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0" yWindow="0" windowWidth="20730" windowHeight="11760" tabRatio="912"/>
  </bookViews>
  <sheets>
    <sheet name="PRVA STRANA" sheetId="3" r:id="rId1"/>
    <sheet name="BILANCA PO IZVORIMA" sheetId="9" state="hidden" r:id="rId2"/>
    <sheet name="funkcijska" sheetId="8" state="hidden" r:id="rId3"/>
    <sheet name="OŠ I SŠ T I K izvor 55 staro" sheetId="17" state="hidden" r:id="rId4"/>
    <sheet name="Posebni dio 2013. arhiva" sheetId="12" state="hidden" r:id="rId5"/>
    <sheet name="PLAN RAZVOJNIH PROGRAMA" sheetId="10" state="hidden" r:id="rId6"/>
  </sheets>
  <definedNames>
    <definedName name="_xlnm._FilterDatabase" localSheetId="1" hidden="1">'BILANCA PO IZVORIMA'!$A$4:$U$161</definedName>
    <definedName name="_xlnm._FilterDatabase" localSheetId="2" hidden="1">funkcijska!#REF!</definedName>
    <definedName name="_xlnm._FilterDatabase" localSheetId="5" hidden="1">'PLAN RAZVOJNIH PROGRAMA'!$B$3:$AB$879</definedName>
    <definedName name="_xlnm._FilterDatabase" localSheetId="4" hidden="1">'Posebni dio 2013. arhiva'!$B$8:$AL$2647</definedName>
    <definedName name="_xlnm.Print_Area" localSheetId="1">'BILANCA PO IZVORIMA'!$B$1:$AB$320</definedName>
    <definedName name="_xlnm.Print_Area" localSheetId="2">funkcijska!$B$8:$X$479</definedName>
    <definedName name="_xlnm.Print_Area" localSheetId="4">'Posebni dio 2013. arhiva'!$B$8:$AI$2597</definedName>
    <definedName name="_xlnm.Print_Area" localSheetId="0">'PRVA STRANA'!$A$1:$BK$48</definedName>
    <definedName name="_xlnm.Print_Titles" localSheetId="1">'BILANCA PO IZVORIMA'!$4:$4</definedName>
    <definedName name="_xlnm.Print_Titles" localSheetId="2">funkcijska!#REF!</definedName>
    <definedName name="_xlnm.Print_Titles" localSheetId="5">'PLAN RAZVOJNIH PROGRAMA'!$B:$H,'PLAN RAZVOJNIH PROGRAMA'!$3:$4</definedName>
    <definedName name="_xlnm.Print_Titles" localSheetId="4">'Posebni dio 2013. arhiva'!$B:$H,'Posebni dio 2013. arhiva'!$8:$9</definedName>
  </definedNames>
  <calcPr calcId="145621"/>
</workbook>
</file>

<file path=xl/calcChain.xml><?xml version="1.0" encoding="utf-8"?>
<calcChain xmlns="http://schemas.openxmlformats.org/spreadsheetml/2006/main">
  <c r="BJ25" i="3" l="1"/>
  <c r="BJ26" i="3"/>
  <c r="BJ22" i="3"/>
  <c r="BJ32" i="3" l="1"/>
  <c r="BK32" i="3"/>
  <c r="BI21" i="3"/>
  <c r="F22" i="3"/>
  <c r="F27" i="3" s="1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R22" i="3" s="1"/>
  <c r="AQ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F23" i="3"/>
  <c r="G23" i="3"/>
  <c r="H23" i="3"/>
  <c r="I23" i="3"/>
  <c r="J23" i="3"/>
  <c r="K23" i="3"/>
  <c r="L23" i="3"/>
  <c r="M23" i="3"/>
  <c r="P23" i="3"/>
  <c r="X23" i="3"/>
  <c r="Y23" i="3"/>
  <c r="Z23" i="3"/>
  <c r="AA23" i="3"/>
  <c r="AB23" i="3"/>
  <c r="AC23" i="3"/>
  <c r="AD23" i="3" s="1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4" i="3"/>
  <c r="F25" i="3"/>
  <c r="G25" i="3"/>
  <c r="H25" i="3"/>
  <c r="I25" i="3"/>
  <c r="J25" i="3"/>
  <c r="K25" i="3"/>
  <c r="L25" i="3"/>
  <c r="M25" i="3"/>
  <c r="P25" i="3"/>
  <c r="X25" i="3"/>
  <c r="Y25" i="3"/>
  <c r="Z25" i="3"/>
  <c r="AA25" i="3"/>
  <c r="AB25" i="3"/>
  <c r="AC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R25" i="3" s="1"/>
  <c r="AQ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F26" i="3"/>
  <c r="G26" i="3"/>
  <c r="H26" i="3"/>
  <c r="I26" i="3"/>
  <c r="J26" i="3"/>
  <c r="K26" i="3"/>
  <c r="L26" i="3"/>
  <c r="M26" i="3"/>
  <c r="P26" i="3"/>
  <c r="X26" i="3"/>
  <c r="Y26" i="3"/>
  <c r="Z26" i="3"/>
  <c r="AA26" i="3"/>
  <c r="AB26" i="3"/>
  <c r="AC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S26" i="3"/>
  <c r="AT26" i="3"/>
  <c r="AU26" i="3"/>
  <c r="AV26" i="3"/>
  <c r="AW26" i="3"/>
  <c r="AW27" i="3" s="1"/>
  <c r="AX26" i="3"/>
  <c r="AY26" i="3"/>
  <c r="AZ26" i="3"/>
  <c r="BA26" i="3"/>
  <c r="BA27" i="3" s="1"/>
  <c r="BB26" i="3"/>
  <c r="BC26" i="3"/>
  <c r="BD26" i="3"/>
  <c r="BE26" i="3"/>
  <c r="BF26" i="3"/>
  <c r="BG26" i="3"/>
  <c r="BH26" i="3"/>
  <c r="J27" i="3"/>
  <c r="P27" i="3"/>
  <c r="AF27" i="3"/>
  <c r="AJ27" i="3"/>
  <c r="F30" i="3"/>
  <c r="G30" i="3"/>
  <c r="H30" i="3"/>
  <c r="I30" i="3"/>
  <c r="J30" i="3"/>
  <c r="K30" i="3"/>
  <c r="L30" i="3"/>
  <c r="M30" i="3"/>
  <c r="P30" i="3"/>
  <c r="P32" i="3" s="1"/>
  <c r="X30" i="3"/>
  <c r="Y30" i="3"/>
  <c r="Z30" i="3"/>
  <c r="AA30" i="3"/>
  <c r="AB30" i="3"/>
  <c r="AC30" i="3"/>
  <c r="AE30" i="3"/>
  <c r="AF30" i="3"/>
  <c r="AF32" i="3" s="1"/>
  <c r="AG30" i="3"/>
  <c r="AH30" i="3"/>
  <c r="AI30" i="3"/>
  <c r="AJ30" i="3"/>
  <c r="AK30" i="3"/>
  <c r="AL30" i="3"/>
  <c r="AM30" i="3"/>
  <c r="AM32" i="3" s="1"/>
  <c r="AN30" i="3"/>
  <c r="AO30" i="3"/>
  <c r="AP30" i="3"/>
  <c r="AQ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F31" i="3"/>
  <c r="G31" i="3"/>
  <c r="H31" i="3"/>
  <c r="I31" i="3"/>
  <c r="I32" i="3" s="1"/>
  <c r="J31" i="3"/>
  <c r="K31" i="3"/>
  <c r="L31" i="3"/>
  <c r="M31" i="3"/>
  <c r="P31" i="3"/>
  <c r="X31" i="3"/>
  <c r="Y31" i="3"/>
  <c r="Z31" i="3"/>
  <c r="Z32" i="3" s="1"/>
  <c r="AA31" i="3"/>
  <c r="AB31" i="3"/>
  <c r="AC31" i="3"/>
  <c r="AE31" i="3"/>
  <c r="AF31" i="3"/>
  <c r="AG31" i="3"/>
  <c r="AG32" i="3" s="1"/>
  <c r="AH31" i="3"/>
  <c r="AI31" i="3"/>
  <c r="AJ31" i="3"/>
  <c r="AK31" i="3"/>
  <c r="AK32" i="3"/>
  <c r="AL31" i="3"/>
  <c r="AL32" i="3" s="1"/>
  <c r="AM31" i="3"/>
  <c r="AN31" i="3"/>
  <c r="AN32" i="3"/>
  <c r="AO31" i="3"/>
  <c r="AO32" i="3" s="1"/>
  <c r="AP31" i="3"/>
  <c r="AQ31" i="3"/>
  <c r="AR31" i="3"/>
  <c r="AS31" i="3"/>
  <c r="AT31" i="3"/>
  <c r="AU31" i="3"/>
  <c r="AU32" i="3" s="1"/>
  <c r="AV31" i="3"/>
  <c r="AW31" i="3"/>
  <c r="AX31" i="3"/>
  <c r="AY31" i="3"/>
  <c r="AY32" i="3" s="1"/>
  <c r="AZ31" i="3"/>
  <c r="BA31" i="3"/>
  <c r="BB31" i="3"/>
  <c r="BB32" i="3" s="1"/>
  <c r="BC31" i="3"/>
  <c r="BD31" i="3"/>
  <c r="BE31" i="3"/>
  <c r="BF31" i="3"/>
  <c r="BF32" i="3" s="1"/>
  <c r="BG31" i="3"/>
  <c r="BG32" i="3" s="1"/>
  <c r="BH31" i="3"/>
  <c r="J32" i="3"/>
  <c r="AH32" i="3"/>
  <c r="AP32" i="3"/>
  <c r="AX32" i="3"/>
  <c r="BC32" i="3"/>
  <c r="BI32" i="3"/>
  <c r="BH34" i="3"/>
  <c r="J39" i="3"/>
  <c r="M39" i="3"/>
  <c r="AD39" i="3"/>
  <c r="AE39" i="3"/>
  <c r="AE41" i="3" s="1"/>
  <c r="AH39" i="3"/>
  <c r="AS39" i="3"/>
  <c r="AY39" i="3"/>
  <c r="AY41" i="3" s="1"/>
  <c r="F40" i="3"/>
  <c r="G40" i="3"/>
  <c r="H40" i="3"/>
  <c r="P40" i="3"/>
  <c r="I41" i="3"/>
  <c r="J41" i="3"/>
  <c r="L41" i="3"/>
  <c r="N41" i="3"/>
  <c r="O41" i="3"/>
  <c r="P41" i="3"/>
  <c r="Q41" i="3"/>
  <c r="R41" i="3"/>
  <c r="S41" i="3"/>
  <c r="T41" i="3"/>
  <c r="U41" i="3"/>
  <c r="V41" i="3"/>
  <c r="W41" i="3"/>
  <c r="X41" i="3"/>
  <c r="M41" i="3" s="1"/>
  <c r="Y41" i="3"/>
  <c r="Z41" i="3"/>
  <c r="AA41" i="3"/>
  <c r="AB41" i="3"/>
  <c r="AC41" i="3"/>
  <c r="AF41" i="3"/>
  <c r="AG41" i="3"/>
  <c r="AH41" i="3"/>
  <c r="AI41" i="3"/>
  <c r="AJ41" i="3"/>
  <c r="AK41" i="3"/>
  <c r="AN39" i="3" s="1"/>
  <c r="AL41" i="3"/>
  <c r="AO41" i="3"/>
  <c r="AP41" i="3"/>
  <c r="AQ41" i="3"/>
  <c r="AS41" i="3"/>
  <c r="AT41" i="3"/>
  <c r="AU41" i="3"/>
  <c r="AW41" i="3"/>
  <c r="AX41" i="3"/>
  <c r="AZ41" i="3"/>
  <c r="BA41" i="3"/>
  <c r="BB41" i="3"/>
  <c r="BC41" i="3"/>
  <c r="BD41" i="3"/>
  <c r="BE41" i="3"/>
  <c r="BF41" i="3"/>
  <c r="Z5" i="10"/>
  <c r="AA5" i="10" s="1"/>
  <c r="Z6" i="10"/>
  <c r="AA6" i="10" s="1"/>
  <c r="Z7" i="10"/>
  <c r="AA7" i="10" s="1"/>
  <c r="Z8" i="10"/>
  <c r="AA8" i="10" s="1"/>
  <c r="Z9" i="10"/>
  <c r="AA9" i="10" s="1"/>
  <c r="Z10" i="10"/>
  <c r="AA10" i="10" s="1"/>
  <c r="Z11" i="10"/>
  <c r="AA11" i="10" s="1"/>
  <c r="Z12" i="10"/>
  <c r="AA12" i="10" s="1"/>
  <c r="O13" i="10"/>
  <c r="R13" i="10"/>
  <c r="Z13" i="10"/>
  <c r="AA13" i="10" s="1"/>
  <c r="R14" i="10"/>
  <c r="Z14" i="10"/>
  <c r="AA14" i="10"/>
  <c r="I15" i="10"/>
  <c r="I12" i="10" s="1"/>
  <c r="I11" i="10" s="1"/>
  <c r="I10" i="10" s="1"/>
  <c r="J15" i="10"/>
  <c r="K15" i="10"/>
  <c r="L15" i="10"/>
  <c r="O15" i="10"/>
  <c r="N15" i="10" s="1"/>
  <c r="P15" i="10"/>
  <c r="Q15" i="10"/>
  <c r="S15" i="10"/>
  <c r="T15" i="10"/>
  <c r="T12" i="10" s="1"/>
  <c r="T11" i="10" s="1"/>
  <c r="T10" i="10" s="1"/>
  <c r="U15" i="10"/>
  <c r="V15" i="10"/>
  <c r="W15" i="10"/>
  <c r="X15" i="10"/>
  <c r="X12" i="10" s="1"/>
  <c r="X11" i="10" s="1"/>
  <c r="X10" i="10" s="1"/>
  <c r="Y15" i="10"/>
  <c r="Z15" i="10"/>
  <c r="AA15" i="10" s="1"/>
  <c r="N16" i="10"/>
  <c r="R16" i="10"/>
  <c r="Z16" i="10"/>
  <c r="AA16" i="10" s="1"/>
  <c r="I17" i="10"/>
  <c r="J17" i="10"/>
  <c r="K17" i="10"/>
  <c r="L17" i="10"/>
  <c r="O17" i="10"/>
  <c r="P17" i="10"/>
  <c r="Q17" i="10"/>
  <c r="S17" i="10"/>
  <c r="T17" i="10"/>
  <c r="U17" i="10"/>
  <c r="V17" i="10"/>
  <c r="R17" i="10" s="1"/>
  <c r="W17" i="10"/>
  <c r="X17" i="10"/>
  <c r="Y17" i="10"/>
  <c r="Z17" i="10"/>
  <c r="AA17" i="10" s="1"/>
  <c r="N18" i="10"/>
  <c r="R18" i="10"/>
  <c r="Z18" i="10"/>
  <c r="AA18" i="10" s="1"/>
  <c r="Z19" i="10"/>
  <c r="AA19" i="10" s="1"/>
  <c r="Z20" i="10"/>
  <c r="AA20" i="10"/>
  <c r="Z21" i="10"/>
  <c r="AA21" i="10"/>
  <c r="Z22" i="10"/>
  <c r="AA22" i="10" s="1"/>
  <c r="I23" i="10"/>
  <c r="I22" i="10" s="1"/>
  <c r="I21" i="10" s="1"/>
  <c r="I19" i="10" s="1"/>
  <c r="J23" i="10"/>
  <c r="J22" i="10" s="1"/>
  <c r="J21" i="10" s="1"/>
  <c r="J19" i="10" s="1"/>
  <c r="K23" i="10"/>
  <c r="K22" i="10" s="1"/>
  <c r="K21" i="10" s="1"/>
  <c r="K19" i="10" s="1"/>
  <c r="L23" i="10"/>
  <c r="L22" i="10" s="1"/>
  <c r="M23" i="10"/>
  <c r="O23" i="10"/>
  <c r="N23" i="10" s="1"/>
  <c r="P23" i="10"/>
  <c r="P22" i="10" s="1"/>
  <c r="P21" i="10" s="1"/>
  <c r="P19" i="10" s="1"/>
  <c r="Q23" i="10"/>
  <c r="Q22" i="10" s="1"/>
  <c r="Q21" i="10" s="1"/>
  <c r="Q19" i="10" s="1"/>
  <c r="S23" i="10"/>
  <c r="S22" i="10" s="1"/>
  <c r="S21" i="10" s="1"/>
  <c r="S19" i="10" s="1"/>
  <c r="T23" i="10"/>
  <c r="T22" i="10" s="1"/>
  <c r="T21" i="10" s="1"/>
  <c r="T19" i="10" s="1"/>
  <c r="U23" i="10"/>
  <c r="U22" i="10" s="1"/>
  <c r="U21" i="10" s="1"/>
  <c r="U19" i="10" s="1"/>
  <c r="V23" i="10"/>
  <c r="R23" i="10" s="1"/>
  <c r="W23" i="10"/>
  <c r="W22" i="10" s="1"/>
  <c r="W21" i="10" s="1"/>
  <c r="X23" i="10"/>
  <c r="X22" i="10" s="1"/>
  <c r="X21" i="10" s="1"/>
  <c r="Y23" i="10"/>
  <c r="Y22" i="10" s="1"/>
  <c r="Y21" i="10" s="1"/>
  <c r="Z23" i="10"/>
  <c r="AA23" i="10" s="1"/>
  <c r="R24" i="10"/>
  <c r="Z24" i="10"/>
  <c r="AA24" i="10" s="1"/>
  <c r="M25" i="10"/>
  <c r="N25" i="10"/>
  <c r="R25" i="10"/>
  <c r="Z25" i="10"/>
  <c r="AA25" i="10"/>
  <c r="Z26" i="10"/>
  <c r="AA26" i="10"/>
  <c r="Z27" i="10"/>
  <c r="AA27" i="10" s="1"/>
  <c r="Z28" i="10"/>
  <c r="AA28" i="10" s="1"/>
  <c r="Z29" i="10"/>
  <c r="AA29" i="10" s="1"/>
  <c r="J30" i="10"/>
  <c r="J29" i="10" s="1"/>
  <c r="J28" i="10" s="1"/>
  <c r="J26" i="10" s="1"/>
  <c r="O30" i="10"/>
  <c r="O29" i="10" s="1"/>
  <c r="O28" i="10" s="1"/>
  <c r="O26" i="10" s="1"/>
  <c r="P30" i="10"/>
  <c r="P29" i="10" s="1"/>
  <c r="P28" i="10" s="1"/>
  <c r="P26" i="10" s="1"/>
  <c r="Q30" i="10"/>
  <c r="Q29" i="10" s="1"/>
  <c r="Q28" i="10" s="1"/>
  <c r="Q26" i="10" s="1"/>
  <c r="S30" i="10"/>
  <c r="S29" i="10" s="1"/>
  <c r="S28" i="10" s="1"/>
  <c r="S26" i="10" s="1"/>
  <c r="T30" i="10"/>
  <c r="T29" i="10" s="1"/>
  <c r="T28" i="10" s="1"/>
  <c r="T26" i="10" s="1"/>
  <c r="U30" i="10"/>
  <c r="U29" i="10" s="1"/>
  <c r="U28" i="10" s="1"/>
  <c r="U26" i="10" s="1"/>
  <c r="V30" i="10"/>
  <c r="V29" i="10" s="1"/>
  <c r="W30" i="10"/>
  <c r="W29" i="10" s="1"/>
  <c r="W28" i="10" s="1"/>
  <c r="X30" i="10"/>
  <c r="X29" i="10" s="1"/>
  <c r="X28" i="10" s="1"/>
  <c r="Y30" i="10"/>
  <c r="Y29" i="10" s="1"/>
  <c r="Y28" i="10" s="1"/>
  <c r="Z30" i="10"/>
  <c r="AA30" i="10" s="1"/>
  <c r="R31" i="10"/>
  <c r="Z31" i="10"/>
  <c r="AA31" i="10"/>
  <c r="Z32" i="10"/>
  <c r="AA32" i="10" s="1"/>
  <c r="Z33" i="10"/>
  <c r="AA33" i="10" s="1"/>
  <c r="M34" i="10"/>
  <c r="Z34" i="10"/>
  <c r="AA34" i="10" s="1"/>
  <c r="Z35" i="10"/>
  <c r="AA35" i="10" s="1"/>
  <c r="Z36" i="10"/>
  <c r="AA36" i="10" s="1"/>
  <c r="Z37" i="10"/>
  <c r="AA37" i="10" s="1"/>
  <c r="Z38" i="10"/>
  <c r="AA38" i="10" s="1"/>
  <c r="Z39" i="10"/>
  <c r="AA39" i="10" s="1"/>
  <c r="I40" i="10"/>
  <c r="J40" i="10"/>
  <c r="K40" i="10"/>
  <c r="L40" i="10"/>
  <c r="O40" i="10"/>
  <c r="P40" i="10"/>
  <c r="Q40" i="10"/>
  <c r="Q39" i="10" s="1"/>
  <c r="Q38" i="10" s="1"/>
  <c r="Q36" i="10" s="1"/>
  <c r="Q35" i="10" s="1"/>
  <c r="Q33" i="10" s="1"/>
  <c r="S40" i="10"/>
  <c r="T40" i="10"/>
  <c r="U40" i="10"/>
  <c r="V40" i="10"/>
  <c r="V39" i="10" s="1"/>
  <c r="X40" i="10"/>
  <c r="Y40" i="10"/>
  <c r="Z40" i="10"/>
  <c r="AA40" i="10" s="1"/>
  <c r="M41" i="10"/>
  <c r="N41" i="10"/>
  <c r="R41" i="10"/>
  <c r="W41" i="10"/>
  <c r="W40" i="10" s="1"/>
  <c r="Z41" i="10"/>
  <c r="AA41" i="10" s="1"/>
  <c r="R42" i="10"/>
  <c r="Z42" i="10"/>
  <c r="AA42" i="10"/>
  <c r="R43" i="10"/>
  <c r="Z43" i="10"/>
  <c r="AA43" i="10" s="1"/>
  <c r="I44" i="10"/>
  <c r="J44" i="10"/>
  <c r="K44" i="10"/>
  <c r="M44" i="10" s="1"/>
  <c r="L44" i="10"/>
  <c r="O44" i="10"/>
  <c r="P44" i="10"/>
  <c r="Q44" i="10"/>
  <c r="S44" i="10"/>
  <c r="T44" i="10"/>
  <c r="U44" i="10"/>
  <c r="V44" i="10"/>
  <c r="R44" i="10" s="1"/>
  <c r="W44" i="10"/>
  <c r="X44" i="10"/>
  <c r="Y44" i="10"/>
  <c r="Z44" i="10"/>
  <c r="AA44" i="10" s="1"/>
  <c r="R45" i="10"/>
  <c r="Z45" i="10"/>
  <c r="AA45" i="10" s="1"/>
  <c r="M46" i="10"/>
  <c r="N46" i="10"/>
  <c r="R46" i="10"/>
  <c r="Z46" i="10"/>
  <c r="AA46" i="10" s="1"/>
  <c r="Z47" i="10"/>
  <c r="AA47" i="10" s="1"/>
  <c r="Z48" i="10"/>
  <c r="AA48" i="10"/>
  <c r="Z49" i="10"/>
  <c r="AA49" i="10" s="1"/>
  <c r="Z50" i="10"/>
  <c r="AA50" i="10" s="1"/>
  <c r="W51" i="10"/>
  <c r="W50" i="10" s="1"/>
  <c r="W49" i="10" s="1"/>
  <c r="X51" i="10"/>
  <c r="X50" i="10" s="1"/>
  <c r="X49" i="10" s="1"/>
  <c r="Y51" i="10"/>
  <c r="Y50" i="10" s="1"/>
  <c r="Y49" i="10" s="1"/>
  <c r="Z51" i="10"/>
  <c r="AA51" i="10"/>
  <c r="Z52" i="10"/>
  <c r="AA52" i="10" s="1"/>
  <c r="Z53" i="10"/>
  <c r="AA53" i="10" s="1"/>
  <c r="Z54" i="10"/>
  <c r="AA54" i="10" s="1"/>
  <c r="Z55" i="10"/>
  <c r="AA55" i="10" s="1"/>
  <c r="Z56" i="10"/>
  <c r="AA56" i="10" s="1"/>
  <c r="W57" i="10"/>
  <c r="W56" i="10" s="1"/>
  <c r="W55" i="10" s="1"/>
  <c r="W54" i="10" s="1"/>
  <c r="X57" i="10"/>
  <c r="X56" i="10" s="1"/>
  <c r="X55" i="10" s="1"/>
  <c r="X54" i="10" s="1"/>
  <c r="Y57" i="10"/>
  <c r="Y56" i="10" s="1"/>
  <c r="Y55" i="10" s="1"/>
  <c r="Y54" i="10" s="1"/>
  <c r="Z57" i="10"/>
  <c r="AA57" i="10"/>
  <c r="Z58" i="10"/>
  <c r="AA58" i="10" s="1"/>
  <c r="Z59" i="10"/>
  <c r="AA59" i="10" s="1"/>
  <c r="Z60" i="10"/>
  <c r="AA60" i="10" s="1"/>
  <c r="Z61" i="10"/>
  <c r="AA61" i="10" s="1"/>
  <c r="Z62" i="10"/>
  <c r="AA62" i="10"/>
  <c r="Z63" i="10"/>
  <c r="AA63" i="10"/>
  <c r="Z64" i="10"/>
  <c r="AA64" i="10" s="1"/>
  <c r="Z65" i="10"/>
  <c r="AA65" i="10" s="1"/>
  <c r="J66" i="10"/>
  <c r="Z66" i="10"/>
  <c r="AA66" i="10" s="1"/>
  <c r="Z67" i="10"/>
  <c r="AA67" i="10" s="1"/>
  <c r="Z68" i="10"/>
  <c r="AA68" i="10"/>
  <c r="J69" i="10"/>
  <c r="J65" i="10" s="1"/>
  <c r="J64" i="10" s="1"/>
  <c r="J63" i="10" s="1"/>
  <c r="J62" i="10" s="1"/>
  <c r="J60" i="10" s="1"/>
  <c r="Z69" i="10"/>
  <c r="AA69" i="10" s="1"/>
  <c r="Z70" i="10"/>
  <c r="AA70" i="10" s="1"/>
  <c r="Z71" i="10"/>
  <c r="AA71" i="10"/>
  <c r="Z72" i="10"/>
  <c r="AA72" i="10" s="1"/>
  <c r="Z73" i="10"/>
  <c r="AA73" i="10" s="1"/>
  <c r="Z74" i="10"/>
  <c r="AA74" i="10" s="1"/>
  <c r="Z75" i="10"/>
  <c r="AA75" i="10" s="1"/>
  <c r="Z76" i="10"/>
  <c r="AA76" i="10"/>
  <c r="Z77" i="10"/>
  <c r="AA77" i="10" s="1"/>
  <c r="Z78" i="10"/>
  <c r="AA78" i="10" s="1"/>
  <c r="Z79" i="10"/>
  <c r="AA79" i="10" s="1"/>
  <c r="I80" i="10"/>
  <c r="I76" i="10" s="1"/>
  <c r="I74" i="10" s="1"/>
  <c r="I72" i="10" s="1"/>
  <c r="J80" i="10"/>
  <c r="J79" i="10" s="1"/>
  <c r="J78" i="10" s="1"/>
  <c r="K80" i="10"/>
  <c r="K76" i="10" s="1"/>
  <c r="K74" i="10" s="1"/>
  <c r="K72" i="10" s="1"/>
  <c r="L80" i="10"/>
  <c r="L76" i="10" s="1"/>
  <c r="N80" i="10"/>
  <c r="O80" i="10"/>
  <c r="O76" i="10" s="1"/>
  <c r="P80" i="10"/>
  <c r="P76" i="10" s="1"/>
  <c r="P74" i="10" s="1"/>
  <c r="P72" i="10" s="1"/>
  <c r="Q80" i="10"/>
  <c r="Q76" i="10" s="1"/>
  <c r="Q74" i="10" s="1"/>
  <c r="Q72" i="10" s="1"/>
  <c r="S80" i="10"/>
  <c r="S76" i="10" s="1"/>
  <c r="S74" i="10" s="1"/>
  <c r="S72" i="10" s="1"/>
  <c r="T80" i="10"/>
  <c r="T76" i="10" s="1"/>
  <c r="T74" i="10" s="1"/>
  <c r="T72" i="10" s="1"/>
  <c r="U80" i="10"/>
  <c r="U76" i="10" s="1"/>
  <c r="U74" i="10" s="1"/>
  <c r="U72" i="10" s="1"/>
  <c r="V80" i="10"/>
  <c r="V79" i="10" s="1"/>
  <c r="W80" i="10"/>
  <c r="W76" i="10" s="1"/>
  <c r="W74" i="10" s="1"/>
  <c r="W72" i="10" s="1"/>
  <c r="X80" i="10"/>
  <c r="X76" i="10" s="1"/>
  <c r="X74" i="10" s="1"/>
  <c r="X72" i="10" s="1"/>
  <c r="Y80" i="10"/>
  <c r="Y76" i="10" s="1"/>
  <c r="Y74" i="10" s="1"/>
  <c r="Y72" i="10" s="1"/>
  <c r="Z80" i="10"/>
  <c r="AA80" i="10" s="1"/>
  <c r="M81" i="10"/>
  <c r="N81" i="10"/>
  <c r="R81" i="10"/>
  <c r="Z81" i="10"/>
  <c r="AA81" i="10"/>
  <c r="Z82" i="10"/>
  <c r="AA82" i="10" s="1"/>
  <c r="Z83" i="10"/>
  <c r="AA83" i="10" s="1"/>
  <c r="Z84" i="10"/>
  <c r="AA84" i="10" s="1"/>
  <c r="Z85" i="10"/>
  <c r="AA85" i="10" s="1"/>
  <c r="Z86" i="10"/>
  <c r="AA86" i="10" s="1"/>
  <c r="Z87" i="10"/>
  <c r="AA87" i="10" s="1"/>
  <c r="Z88" i="10"/>
  <c r="AA88" i="10" s="1"/>
  <c r="Z89" i="10"/>
  <c r="AA89" i="10" s="1"/>
  <c r="J90" i="10"/>
  <c r="Z90" i="10"/>
  <c r="AA90" i="10" s="1"/>
  <c r="Z91" i="10"/>
  <c r="AA91" i="10" s="1"/>
  <c r="Z92" i="10"/>
  <c r="AA92" i="10" s="1"/>
  <c r="J93" i="10"/>
  <c r="Z93" i="10"/>
  <c r="AA93" i="10" s="1"/>
  <c r="Z94" i="10"/>
  <c r="AA94" i="10" s="1"/>
  <c r="Z95" i="10"/>
  <c r="AA95" i="10" s="1"/>
  <c r="Z96" i="10"/>
  <c r="AA96" i="10" s="1"/>
  <c r="M97" i="10"/>
  <c r="Z97" i="10"/>
  <c r="AA97" i="10" s="1"/>
  <c r="Z98" i="10"/>
  <c r="AA98" i="10" s="1"/>
  <c r="Z99" i="10"/>
  <c r="AA99" i="10" s="1"/>
  <c r="Z100" i="10"/>
  <c r="AA100" i="10" s="1"/>
  <c r="Z101" i="10"/>
  <c r="AA101" i="10" s="1"/>
  <c r="Z102" i="10"/>
  <c r="AA102" i="10" s="1"/>
  <c r="I103" i="10"/>
  <c r="I102" i="10" s="1"/>
  <c r="I101" i="10" s="1"/>
  <c r="I99" i="10" s="1"/>
  <c r="I98" i="10" s="1"/>
  <c r="I96" i="10" s="1"/>
  <c r="J103" i="10"/>
  <c r="J102" i="10" s="1"/>
  <c r="J101" i="10" s="1"/>
  <c r="J99" i="10" s="1"/>
  <c r="J98" i="10" s="1"/>
  <c r="J96" i="10" s="1"/>
  <c r="K103" i="10"/>
  <c r="K102" i="10" s="1"/>
  <c r="K101" i="10" s="1"/>
  <c r="K99" i="10" s="1"/>
  <c r="K98" i="10" s="1"/>
  <c r="K96" i="10" s="1"/>
  <c r="L103" i="10"/>
  <c r="L102" i="10" s="1"/>
  <c r="M103" i="10"/>
  <c r="O103" i="10"/>
  <c r="O102" i="10" s="1"/>
  <c r="Q103" i="10"/>
  <c r="Q102" i="10" s="1"/>
  <c r="Q101" i="10" s="1"/>
  <c r="Q99" i="10" s="1"/>
  <c r="Q98" i="10" s="1"/>
  <c r="Q96" i="10" s="1"/>
  <c r="T103" i="10"/>
  <c r="T102" i="10" s="1"/>
  <c r="T101" i="10" s="1"/>
  <c r="T99" i="10" s="1"/>
  <c r="T98" i="10" s="1"/>
  <c r="T96" i="10" s="1"/>
  <c r="U103" i="10"/>
  <c r="U102" i="10" s="1"/>
  <c r="U101" i="10" s="1"/>
  <c r="U99" i="10" s="1"/>
  <c r="U98" i="10" s="1"/>
  <c r="U96" i="10" s="1"/>
  <c r="W103" i="10"/>
  <c r="W102" i="10" s="1"/>
  <c r="W101" i="10" s="1"/>
  <c r="X103" i="10"/>
  <c r="X102" i="10" s="1"/>
  <c r="X101" i="10" s="1"/>
  <c r="Y103" i="10"/>
  <c r="Y102" i="10" s="1"/>
  <c r="Y101" i="10" s="1"/>
  <c r="Z103" i="10"/>
  <c r="AA103" i="10" s="1"/>
  <c r="R104" i="10"/>
  <c r="Z104" i="10"/>
  <c r="AA104" i="10" s="1"/>
  <c r="M105" i="10"/>
  <c r="N105" i="10"/>
  <c r="P105" i="10"/>
  <c r="P103" i="10" s="1"/>
  <c r="P102" i="10" s="1"/>
  <c r="P101" i="10" s="1"/>
  <c r="P99" i="10" s="1"/>
  <c r="P98" i="10" s="1"/>
  <c r="P96" i="10" s="1"/>
  <c r="S105" i="10"/>
  <c r="S103" i="10" s="1"/>
  <c r="S102" i="10" s="1"/>
  <c r="S101" i="10" s="1"/>
  <c r="S99" i="10" s="1"/>
  <c r="S98" i="10" s="1"/>
  <c r="S96" i="10" s="1"/>
  <c r="V105" i="10"/>
  <c r="V103" i="10" s="1"/>
  <c r="Z105" i="10"/>
  <c r="AA105" i="10" s="1"/>
  <c r="R106" i="10"/>
  <c r="Z106" i="10"/>
  <c r="AA106" i="10"/>
  <c r="Z107" i="10"/>
  <c r="AA107" i="10" s="1"/>
  <c r="Z108" i="10"/>
  <c r="AA108" i="10" s="1"/>
  <c r="Z109" i="10"/>
  <c r="AA109" i="10"/>
  <c r="Z110" i="10"/>
  <c r="AA110" i="10" s="1"/>
  <c r="Z111" i="10"/>
  <c r="AA111" i="10" s="1"/>
  <c r="Z112" i="10"/>
  <c r="AA112" i="10" s="1"/>
  <c r="Z113" i="10"/>
  <c r="AA113" i="10" s="1"/>
  <c r="I114" i="10"/>
  <c r="J114" i="10"/>
  <c r="K114" i="10"/>
  <c r="M114" i="10" s="1"/>
  <c r="L114" i="10"/>
  <c r="P114" i="10"/>
  <c r="Q114" i="10"/>
  <c r="S114" i="10"/>
  <c r="S113" i="10" s="1"/>
  <c r="S112" i="10" s="1"/>
  <c r="S110" i="10" s="1"/>
  <c r="S109" i="10" s="1"/>
  <c r="S107" i="10" s="1"/>
  <c r="T114" i="10"/>
  <c r="U114" i="10"/>
  <c r="V114" i="10"/>
  <c r="R114" i="10" s="1"/>
  <c r="W114" i="10"/>
  <c r="W113" i="10" s="1"/>
  <c r="W112" i="10" s="1"/>
  <c r="X114" i="10"/>
  <c r="Y114" i="10"/>
  <c r="Z114" i="10"/>
  <c r="AA114" i="10"/>
  <c r="M115" i="10"/>
  <c r="N115" i="10"/>
  <c r="R115" i="10"/>
  <c r="Z115" i="10"/>
  <c r="AA115" i="10" s="1"/>
  <c r="M116" i="10"/>
  <c r="N116" i="10"/>
  <c r="R116" i="10"/>
  <c r="Z116" i="10"/>
  <c r="AA116" i="10" s="1"/>
  <c r="R117" i="10"/>
  <c r="Z117" i="10"/>
  <c r="AA117" i="10" s="1"/>
  <c r="R118" i="10"/>
  <c r="Z118" i="10"/>
  <c r="AA118" i="10" s="1"/>
  <c r="I119" i="10"/>
  <c r="J119" i="10"/>
  <c r="K119" i="10"/>
  <c r="L119" i="10"/>
  <c r="O119" i="10"/>
  <c r="O114" i="10" s="1"/>
  <c r="P119" i="10"/>
  <c r="Q119" i="10"/>
  <c r="S119" i="10"/>
  <c r="T119" i="10"/>
  <c r="U119" i="10"/>
  <c r="V119" i="10"/>
  <c r="W119" i="10"/>
  <c r="X119" i="10"/>
  <c r="Y119" i="10"/>
  <c r="Z119" i="10"/>
  <c r="AA119" i="10" s="1"/>
  <c r="M120" i="10"/>
  <c r="N120" i="10"/>
  <c r="R120" i="10"/>
  <c r="Z120" i="10"/>
  <c r="AA120" i="10" s="1"/>
  <c r="Z121" i="10"/>
  <c r="AA121" i="10" s="1"/>
  <c r="Z122" i="10"/>
  <c r="AA122" i="10" s="1"/>
  <c r="M123" i="10"/>
  <c r="Z123" i="10"/>
  <c r="AA123" i="10" s="1"/>
  <c r="Z124" i="10"/>
  <c r="AA124" i="10"/>
  <c r="Z125" i="10"/>
  <c r="AA125" i="10" s="1"/>
  <c r="Z126" i="10"/>
  <c r="AA126" i="10"/>
  <c r="Z127" i="10"/>
  <c r="AA127" i="10" s="1"/>
  <c r="P128" i="10"/>
  <c r="P127" i="10" s="1"/>
  <c r="P125" i="10" s="1"/>
  <c r="P124" i="10" s="1"/>
  <c r="P122" i="10" s="1"/>
  <c r="S128" i="10"/>
  <c r="S127" i="10" s="1"/>
  <c r="S125" i="10" s="1"/>
  <c r="S124" i="10" s="1"/>
  <c r="S122" i="10" s="1"/>
  <c r="T128" i="10"/>
  <c r="T127" i="10" s="1"/>
  <c r="T125" i="10" s="1"/>
  <c r="T124" i="10" s="1"/>
  <c r="T122" i="10" s="1"/>
  <c r="U128" i="10"/>
  <c r="U127" i="10" s="1"/>
  <c r="U125" i="10" s="1"/>
  <c r="U124" i="10" s="1"/>
  <c r="U122" i="10" s="1"/>
  <c r="Z128" i="10"/>
  <c r="AA128" i="10" s="1"/>
  <c r="I129" i="10"/>
  <c r="I128" i="10" s="1"/>
  <c r="I127" i="10" s="1"/>
  <c r="I125" i="10" s="1"/>
  <c r="I124" i="10" s="1"/>
  <c r="I122" i="10" s="1"/>
  <c r="J129" i="10"/>
  <c r="J128" i="10" s="1"/>
  <c r="J127" i="10" s="1"/>
  <c r="J125" i="10" s="1"/>
  <c r="J124" i="10" s="1"/>
  <c r="J122" i="10" s="1"/>
  <c r="K129" i="10"/>
  <c r="K128" i="10" s="1"/>
  <c r="K127" i="10" s="1"/>
  <c r="K125" i="10" s="1"/>
  <c r="K124" i="10" s="1"/>
  <c r="K122" i="10" s="1"/>
  <c r="L129" i="10"/>
  <c r="L128" i="10" s="1"/>
  <c r="M129" i="10"/>
  <c r="N129" i="10"/>
  <c r="O129" i="10"/>
  <c r="O128" i="10" s="1"/>
  <c r="Q129" i="10"/>
  <c r="Q128" i="10" s="1"/>
  <c r="Q127" i="10" s="1"/>
  <c r="Q125" i="10" s="1"/>
  <c r="Q124" i="10" s="1"/>
  <c r="Q122" i="10" s="1"/>
  <c r="R129" i="10"/>
  <c r="V129" i="10"/>
  <c r="V128" i="10" s="1"/>
  <c r="W129" i="10"/>
  <c r="W128" i="10" s="1"/>
  <c r="W127" i="10" s="1"/>
  <c r="X129" i="10"/>
  <c r="X128" i="10" s="1"/>
  <c r="X127" i="10" s="1"/>
  <c r="Y129" i="10"/>
  <c r="Y128" i="10" s="1"/>
  <c r="Y127" i="10" s="1"/>
  <c r="Z129" i="10"/>
  <c r="AA129" i="10" s="1"/>
  <c r="M130" i="10"/>
  <c r="N130" i="10"/>
  <c r="R130" i="10"/>
  <c r="Z130" i="10"/>
  <c r="AA130" i="10"/>
  <c r="Z131" i="10"/>
  <c r="AA131" i="10" s="1"/>
  <c r="M132" i="10"/>
  <c r="Z132" i="10"/>
  <c r="AA132" i="10" s="1"/>
  <c r="Z133" i="10"/>
  <c r="AA133" i="10"/>
  <c r="Z134" i="10"/>
  <c r="AA134" i="10" s="1"/>
  <c r="Z135" i="10"/>
  <c r="AA135" i="10" s="1"/>
  <c r="Z136" i="10"/>
  <c r="AA136" i="10"/>
  <c r="Z137" i="10"/>
  <c r="AA137" i="10" s="1"/>
  <c r="I138" i="10"/>
  <c r="I137" i="10" s="1"/>
  <c r="I136" i="10" s="1"/>
  <c r="I135" i="10" s="1"/>
  <c r="J138" i="10"/>
  <c r="J137" i="10" s="1"/>
  <c r="J136" i="10" s="1"/>
  <c r="J135" i="10" s="1"/>
  <c r="K138" i="10"/>
  <c r="L138" i="10"/>
  <c r="L137" i="10" s="1"/>
  <c r="O138" i="10"/>
  <c r="P138" i="10"/>
  <c r="P137" i="10" s="1"/>
  <c r="P136" i="10" s="1"/>
  <c r="P135" i="10" s="1"/>
  <c r="Q138" i="10"/>
  <c r="Q137" i="10" s="1"/>
  <c r="Q136" i="10" s="1"/>
  <c r="Q135" i="10" s="1"/>
  <c r="S138" i="10"/>
  <c r="S137" i="10" s="1"/>
  <c r="S136" i="10" s="1"/>
  <c r="S135" i="10" s="1"/>
  <c r="T138" i="10"/>
  <c r="T137" i="10" s="1"/>
  <c r="T136" i="10" s="1"/>
  <c r="T135" i="10" s="1"/>
  <c r="U138" i="10"/>
  <c r="U137" i="10" s="1"/>
  <c r="U136" i="10" s="1"/>
  <c r="U135" i="10" s="1"/>
  <c r="V138" i="10"/>
  <c r="V137" i="10" s="1"/>
  <c r="W138" i="10"/>
  <c r="W137" i="10" s="1"/>
  <c r="W136" i="10" s="1"/>
  <c r="W135" i="10" s="1"/>
  <c r="X138" i="10"/>
  <c r="X137" i="10" s="1"/>
  <c r="X136" i="10" s="1"/>
  <c r="X135" i="10" s="1"/>
  <c r="Y138" i="10"/>
  <c r="Y137" i="10" s="1"/>
  <c r="Y136" i="10" s="1"/>
  <c r="Y135" i="10" s="1"/>
  <c r="Z138" i="10"/>
  <c r="AA138" i="10" s="1"/>
  <c r="M139" i="10"/>
  <c r="N139" i="10"/>
  <c r="R139" i="10"/>
  <c r="Z139" i="10"/>
  <c r="AA139" i="10"/>
  <c r="M140" i="10"/>
  <c r="N140" i="10"/>
  <c r="R140" i="10"/>
  <c r="Z140" i="10"/>
  <c r="AA140" i="10"/>
  <c r="Z141" i="10"/>
  <c r="AA141" i="10"/>
  <c r="Z142" i="10"/>
  <c r="AA142" i="10" s="1"/>
  <c r="Z143" i="10"/>
  <c r="AA143" i="10" s="1"/>
  <c r="Z144" i="10"/>
  <c r="AA144" i="10" s="1"/>
  <c r="I145" i="10"/>
  <c r="I144" i="10" s="1"/>
  <c r="I143" i="10" s="1"/>
  <c r="I141" i="10" s="1"/>
  <c r="J145" i="10"/>
  <c r="J144" i="10" s="1"/>
  <c r="J143" i="10" s="1"/>
  <c r="J141" i="10" s="1"/>
  <c r="K145" i="10"/>
  <c r="K144" i="10" s="1"/>
  <c r="K143" i="10" s="1"/>
  <c r="K141" i="10" s="1"/>
  <c r="L145" i="10"/>
  <c r="L144" i="10" s="1"/>
  <c r="L143" i="10" s="1"/>
  <c r="M145" i="10"/>
  <c r="O145" i="10"/>
  <c r="O144" i="10" s="1"/>
  <c r="P145" i="10"/>
  <c r="P144" i="10" s="1"/>
  <c r="P143" i="10" s="1"/>
  <c r="P141" i="10" s="1"/>
  <c r="Q145" i="10"/>
  <c r="Q144" i="10" s="1"/>
  <c r="Q143" i="10" s="1"/>
  <c r="Q141" i="10" s="1"/>
  <c r="S145" i="10"/>
  <c r="S144" i="10" s="1"/>
  <c r="S143" i="10" s="1"/>
  <c r="S141" i="10" s="1"/>
  <c r="T145" i="10"/>
  <c r="T144" i="10" s="1"/>
  <c r="T143" i="10" s="1"/>
  <c r="T141" i="10" s="1"/>
  <c r="U145" i="10"/>
  <c r="U144" i="10" s="1"/>
  <c r="U143" i="10" s="1"/>
  <c r="U141" i="10" s="1"/>
  <c r="V145" i="10"/>
  <c r="R145" i="10" s="1"/>
  <c r="W145" i="10"/>
  <c r="W144" i="10" s="1"/>
  <c r="W143" i="10" s="1"/>
  <c r="X145" i="10"/>
  <c r="X144" i="10" s="1"/>
  <c r="X143" i="10" s="1"/>
  <c r="Y145" i="10"/>
  <c r="Y144" i="10" s="1"/>
  <c r="Y143" i="10" s="1"/>
  <c r="Z145" i="10"/>
  <c r="AA145" i="10" s="1"/>
  <c r="M146" i="10"/>
  <c r="N146" i="10"/>
  <c r="R146" i="10"/>
  <c r="Z146" i="10"/>
  <c r="AA146" i="10" s="1"/>
  <c r="R147" i="10"/>
  <c r="Z147" i="10"/>
  <c r="AA147" i="10" s="1"/>
  <c r="Z148" i="10"/>
  <c r="AA148" i="10"/>
  <c r="Z149" i="10"/>
  <c r="AA149" i="10" s="1"/>
  <c r="Z150" i="10"/>
  <c r="AA150" i="10"/>
  <c r="Z151" i="10"/>
  <c r="AA151" i="10" s="1"/>
  <c r="Z152" i="10"/>
  <c r="AA152" i="10" s="1"/>
  <c r="Z153" i="10"/>
  <c r="AA153" i="10"/>
  <c r="Z154" i="10"/>
  <c r="AA154" i="10" s="1"/>
  <c r="I155" i="10"/>
  <c r="I154" i="10" s="1"/>
  <c r="I153" i="10" s="1"/>
  <c r="L155" i="10"/>
  <c r="L154" i="10" s="1"/>
  <c r="Z155" i="10"/>
  <c r="AA155" i="10"/>
  <c r="I156" i="10"/>
  <c r="J156" i="10"/>
  <c r="J155" i="10" s="1"/>
  <c r="J154" i="10" s="1"/>
  <c r="J153" i="10" s="1"/>
  <c r="K156" i="10"/>
  <c r="K155" i="10" s="1"/>
  <c r="K154" i="10" s="1"/>
  <c r="K153" i="10" s="1"/>
  <c r="K133" i="10" s="1"/>
  <c r="L156" i="10"/>
  <c r="M156" i="10" s="1"/>
  <c r="O156" i="10"/>
  <c r="O155" i="10" s="1"/>
  <c r="P156" i="10"/>
  <c r="P155" i="10" s="1"/>
  <c r="P154" i="10" s="1"/>
  <c r="P153" i="10" s="1"/>
  <c r="Q156" i="10"/>
  <c r="Q155" i="10" s="1"/>
  <c r="Q154" i="10" s="1"/>
  <c r="Q153" i="10" s="1"/>
  <c r="S156" i="10"/>
  <c r="S155" i="10" s="1"/>
  <c r="S154" i="10" s="1"/>
  <c r="S153" i="10" s="1"/>
  <c r="T156" i="10"/>
  <c r="T155" i="10" s="1"/>
  <c r="T154" i="10" s="1"/>
  <c r="T153" i="10" s="1"/>
  <c r="U156" i="10"/>
  <c r="U155" i="10" s="1"/>
  <c r="U154" i="10" s="1"/>
  <c r="U153" i="10" s="1"/>
  <c r="V156" i="10"/>
  <c r="V155" i="10" s="1"/>
  <c r="W156" i="10"/>
  <c r="W155" i="10" s="1"/>
  <c r="W154" i="10" s="1"/>
  <c r="W153" i="10" s="1"/>
  <c r="X156" i="10"/>
  <c r="X155" i="10" s="1"/>
  <c r="X154" i="10" s="1"/>
  <c r="X153" i="10" s="1"/>
  <c r="Y156" i="10"/>
  <c r="Y155" i="10" s="1"/>
  <c r="Y154" i="10" s="1"/>
  <c r="Y153" i="10" s="1"/>
  <c r="Z156" i="10"/>
  <c r="AA156" i="10" s="1"/>
  <c r="M157" i="10"/>
  <c r="N157" i="10"/>
  <c r="R157" i="10"/>
  <c r="Z157" i="10"/>
  <c r="AA157" i="10"/>
  <c r="Z158" i="10"/>
  <c r="AA158" i="10" s="1"/>
  <c r="Z159" i="10"/>
  <c r="AA159" i="10" s="1"/>
  <c r="Z160" i="10"/>
  <c r="AA160" i="10" s="1"/>
  <c r="K161" i="10"/>
  <c r="V161" i="10"/>
  <c r="W161" i="10"/>
  <c r="Z161" i="10"/>
  <c r="AA161" i="10"/>
  <c r="I162" i="10"/>
  <c r="I161" i="10" s="1"/>
  <c r="J162" i="10"/>
  <c r="J161" i="10" s="1"/>
  <c r="K162" i="10"/>
  <c r="L162" i="10"/>
  <c r="O162" i="10"/>
  <c r="N162" i="10" s="1"/>
  <c r="P162" i="10"/>
  <c r="P161" i="10" s="1"/>
  <c r="Q162" i="10"/>
  <c r="Q161" i="10" s="1"/>
  <c r="S162" i="10"/>
  <c r="S161" i="10" s="1"/>
  <c r="T162" i="10"/>
  <c r="T161" i="10" s="1"/>
  <c r="U162" i="10"/>
  <c r="U161" i="10" s="1"/>
  <c r="V162" i="10"/>
  <c r="W162" i="10"/>
  <c r="X162" i="10"/>
  <c r="X161" i="10" s="1"/>
  <c r="Y162" i="10"/>
  <c r="Y161" i="10" s="1"/>
  <c r="Z162" i="10"/>
  <c r="AA162" i="10"/>
  <c r="M163" i="10"/>
  <c r="N163" i="10"/>
  <c r="R163" i="10"/>
  <c r="Z163" i="10"/>
  <c r="AA163" i="10"/>
  <c r="R164" i="10"/>
  <c r="Z164" i="10"/>
  <c r="AA164" i="10"/>
  <c r="R165" i="10"/>
  <c r="Z165" i="10"/>
  <c r="AA165" i="10" s="1"/>
  <c r="M166" i="10"/>
  <c r="N166" i="10"/>
  <c r="R166" i="10"/>
  <c r="Z166" i="10"/>
  <c r="AA166" i="10" s="1"/>
  <c r="M167" i="10"/>
  <c r="T167" i="10"/>
  <c r="T160" i="10" s="1"/>
  <c r="T158" i="10" s="1"/>
  <c r="U167" i="10"/>
  <c r="U160" i="10" s="1"/>
  <c r="U158" i="10" s="1"/>
  <c r="Z167" i="10"/>
  <c r="AA167" i="10" s="1"/>
  <c r="I168" i="10"/>
  <c r="I167" i="10" s="1"/>
  <c r="J168" i="10"/>
  <c r="J167" i="10" s="1"/>
  <c r="K168" i="10"/>
  <c r="K167" i="10" s="1"/>
  <c r="L168" i="10"/>
  <c r="L167" i="10" s="1"/>
  <c r="M168" i="10"/>
  <c r="O168" i="10"/>
  <c r="O167" i="10" s="1"/>
  <c r="P168" i="10"/>
  <c r="P167" i="10" s="1"/>
  <c r="Q168" i="10"/>
  <c r="Q167" i="10" s="1"/>
  <c r="S168" i="10"/>
  <c r="S167" i="10" s="1"/>
  <c r="T168" i="10"/>
  <c r="U168" i="10"/>
  <c r="V168" i="10"/>
  <c r="V167" i="10" s="1"/>
  <c r="W168" i="10"/>
  <c r="W167" i="10" s="1"/>
  <c r="X168" i="10"/>
  <c r="X167" i="10" s="1"/>
  <c r="Y168" i="10"/>
  <c r="Y167" i="10" s="1"/>
  <c r="Z168" i="10"/>
  <c r="AA168" i="10" s="1"/>
  <c r="M169" i="10"/>
  <c r="N169" i="10"/>
  <c r="N168" i="10" s="1"/>
  <c r="R169" i="10"/>
  <c r="Z169" i="10"/>
  <c r="AA169" i="10" s="1"/>
  <c r="Z170" i="10"/>
  <c r="AA170" i="10" s="1"/>
  <c r="Y171" i="10"/>
  <c r="Z171" i="10"/>
  <c r="AA171" i="10" s="1"/>
  <c r="Z172" i="10"/>
  <c r="AA172" i="10" s="1"/>
  <c r="O173" i="10"/>
  <c r="Z173" i="10"/>
  <c r="AA173" i="10"/>
  <c r="I174" i="10"/>
  <c r="I173" i="10" s="1"/>
  <c r="I172" i="10" s="1"/>
  <c r="I170" i="10" s="1"/>
  <c r="J174" i="10"/>
  <c r="J173" i="10" s="1"/>
  <c r="J172" i="10" s="1"/>
  <c r="J170" i="10" s="1"/>
  <c r="K174" i="10"/>
  <c r="K173" i="10" s="1"/>
  <c r="K172" i="10" s="1"/>
  <c r="K170" i="10" s="1"/>
  <c r="L174" i="10"/>
  <c r="O174" i="10"/>
  <c r="P174" i="10"/>
  <c r="P173" i="10" s="1"/>
  <c r="P172" i="10" s="1"/>
  <c r="P170" i="10" s="1"/>
  <c r="Q174" i="10"/>
  <c r="Q173" i="10" s="1"/>
  <c r="Q172" i="10" s="1"/>
  <c r="Q170" i="10" s="1"/>
  <c r="S174" i="10"/>
  <c r="S173" i="10" s="1"/>
  <c r="S172" i="10" s="1"/>
  <c r="S170" i="10" s="1"/>
  <c r="T174" i="10"/>
  <c r="T173" i="10" s="1"/>
  <c r="T172" i="10" s="1"/>
  <c r="T170" i="10" s="1"/>
  <c r="U174" i="10"/>
  <c r="U173" i="10" s="1"/>
  <c r="U172" i="10" s="1"/>
  <c r="U170" i="10" s="1"/>
  <c r="V174" i="10"/>
  <c r="V173" i="10" s="1"/>
  <c r="W174" i="10"/>
  <c r="W173" i="10" s="1"/>
  <c r="W172" i="10" s="1"/>
  <c r="X174" i="10"/>
  <c r="X173" i="10" s="1"/>
  <c r="X172" i="10" s="1"/>
  <c r="Y174" i="10"/>
  <c r="Y173" i="10" s="1"/>
  <c r="Y172" i="10" s="1"/>
  <c r="Y170" i="10" s="1"/>
  <c r="Z174" i="10"/>
  <c r="AA174" i="10"/>
  <c r="M175" i="10"/>
  <c r="N175" i="10"/>
  <c r="R175" i="10"/>
  <c r="Z175" i="10"/>
  <c r="AA175" i="10" s="1"/>
  <c r="Z176" i="10"/>
  <c r="AA176" i="10"/>
  <c r="Z177" i="10"/>
  <c r="AA177" i="10" s="1"/>
  <c r="Z178" i="10"/>
  <c r="AA178" i="10" s="1"/>
  <c r="Z179" i="10"/>
  <c r="AA179" i="10" s="1"/>
  <c r="P180" i="10"/>
  <c r="P179" i="10" s="1"/>
  <c r="P178" i="10" s="1"/>
  <c r="P176" i="10" s="1"/>
  <c r="Q180" i="10"/>
  <c r="Q179" i="10" s="1"/>
  <c r="Q178" i="10" s="1"/>
  <c r="Q176" i="10" s="1"/>
  <c r="S180" i="10"/>
  <c r="S179" i="10" s="1"/>
  <c r="S178" i="10" s="1"/>
  <c r="S176" i="10" s="1"/>
  <c r="T180" i="10"/>
  <c r="T179" i="10" s="1"/>
  <c r="T178" i="10" s="1"/>
  <c r="T176" i="10" s="1"/>
  <c r="U180" i="10"/>
  <c r="U179" i="10" s="1"/>
  <c r="U178" i="10" s="1"/>
  <c r="U176" i="10" s="1"/>
  <c r="V180" i="10"/>
  <c r="V179" i="10" s="1"/>
  <c r="R179" i="10" s="1"/>
  <c r="W180" i="10"/>
  <c r="W179" i="10" s="1"/>
  <c r="W178" i="10" s="1"/>
  <c r="X180" i="10"/>
  <c r="X179" i="10" s="1"/>
  <c r="X178" i="10" s="1"/>
  <c r="Y180" i="10"/>
  <c r="Y179" i="10" s="1"/>
  <c r="Y178" i="10" s="1"/>
  <c r="Z180" i="10"/>
  <c r="AA180" i="10" s="1"/>
  <c r="R181" i="10"/>
  <c r="Z181" i="10"/>
  <c r="AA181" i="10"/>
  <c r="Z182" i="10"/>
  <c r="AA182" i="10" s="1"/>
  <c r="Z183" i="10"/>
  <c r="AA183" i="10" s="1"/>
  <c r="Z184" i="10"/>
  <c r="AA184" i="10"/>
  <c r="Z185" i="10"/>
  <c r="AA185" i="10" s="1"/>
  <c r="X186" i="10"/>
  <c r="Z186" i="10"/>
  <c r="AA186" i="10"/>
  <c r="Q187" i="10"/>
  <c r="Q185" i="10" s="1"/>
  <c r="Z187" i="10"/>
  <c r="AA187" i="10" s="1"/>
  <c r="I188" i="10"/>
  <c r="I187" i="10" s="1"/>
  <c r="I185" i="10" s="1"/>
  <c r="V188" i="10"/>
  <c r="Z188" i="10"/>
  <c r="AA188" i="10" s="1"/>
  <c r="I189" i="10"/>
  <c r="J189" i="10"/>
  <c r="J188" i="10" s="1"/>
  <c r="J187" i="10" s="1"/>
  <c r="J185" i="10" s="1"/>
  <c r="K189" i="10"/>
  <c r="L189" i="10"/>
  <c r="L188" i="10" s="1"/>
  <c r="O189" i="10"/>
  <c r="P189" i="10"/>
  <c r="P188" i="10" s="1"/>
  <c r="P187" i="10" s="1"/>
  <c r="P185" i="10" s="1"/>
  <c r="Q189" i="10"/>
  <c r="Q188" i="10" s="1"/>
  <c r="S189" i="10"/>
  <c r="S188" i="10" s="1"/>
  <c r="S187" i="10" s="1"/>
  <c r="S185" i="10" s="1"/>
  <c r="T189" i="10"/>
  <c r="T188" i="10" s="1"/>
  <c r="T187" i="10" s="1"/>
  <c r="T185" i="10" s="1"/>
  <c r="U189" i="10"/>
  <c r="U188" i="10" s="1"/>
  <c r="U187" i="10" s="1"/>
  <c r="U185" i="10" s="1"/>
  <c r="V189" i="10"/>
  <c r="W189" i="10"/>
  <c r="W188" i="10" s="1"/>
  <c r="W187" i="10" s="1"/>
  <c r="X189" i="10"/>
  <c r="X188" i="10" s="1"/>
  <c r="X187" i="10" s="1"/>
  <c r="Y189" i="10"/>
  <c r="Y188" i="10" s="1"/>
  <c r="Y187" i="10" s="1"/>
  <c r="Z189" i="10"/>
  <c r="AA189" i="10"/>
  <c r="M190" i="10"/>
  <c r="N190" i="10"/>
  <c r="R190" i="10"/>
  <c r="Z190" i="10"/>
  <c r="AA190" i="10" s="1"/>
  <c r="Z191" i="10"/>
  <c r="AA191" i="10" s="1"/>
  <c r="Z192" i="10"/>
  <c r="AA192" i="10"/>
  <c r="Z193" i="10"/>
  <c r="AA193" i="10"/>
  <c r="W194" i="10"/>
  <c r="W193" i="10" s="1"/>
  <c r="W192" i="10" s="1"/>
  <c r="W191" i="10" s="1"/>
  <c r="X194" i="10"/>
  <c r="X193" i="10" s="1"/>
  <c r="X192" i="10" s="1"/>
  <c r="X191" i="10" s="1"/>
  <c r="Y194" i="10"/>
  <c r="Y193" i="10" s="1"/>
  <c r="Y192" i="10" s="1"/>
  <c r="Y191" i="10" s="1"/>
  <c r="Z194" i="10"/>
  <c r="AA194" i="10" s="1"/>
  <c r="M195" i="10"/>
  <c r="N195" i="10"/>
  <c r="R195" i="10"/>
  <c r="Z195" i="10"/>
  <c r="AA195" i="10"/>
  <c r="Z196" i="10"/>
  <c r="AA196" i="10" s="1"/>
  <c r="Z197" i="10"/>
  <c r="AA197" i="10"/>
  <c r="Z198" i="10"/>
  <c r="AA198" i="10" s="1"/>
  <c r="K199" i="10"/>
  <c r="K198" i="10" s="1"/>
  <c r="K196" i="10" s="1"/>
  <c r="Z199" i="10"/>
  <c r="AA199" i="10"/>
  <c r="I200" i="10"/>
  <c r="I199" i="10" s="1"/>
  <c r="I198" i="10" s="1"/>
  <c r="I196" i="10" s="1"/>
  <c r="K200" i="10"/>
  <c r="L200" i="10"/>
  <c r="O200" i="10"/>
  <c r="N200" i="10" s="1"/>
  <c r="P200" i="10"/>
  <c r="P199" i="10" s="1"/>
  <c r="P198" i="10" s="1"/>
  <c r="P196" i="10" s="1"/>
  <c r="Q200" i="10"/>
  <c r="Q199" i="10" s="1"/>
  <c r="Q198" i="10" s="1"/>
  <c r="Q196" i="10" s="1"/>
  <c r="S200" i="10"/>
  <c r="S199" i="10" s="1"/>
  <c r="S198" i="10" s="1"/>
  <c r="S196" i="10" s="1"/>
  <c r="T200" i="10"/>
  <c r="T199" i="10" s="1"/>
  <c r="T198" i="10" s="1"/>
  <c r="T196" i="10" s="1"/>
  <c r="U200" i="10"/>
  <c r="U199" i="10" s="1"/>
  <c r="U198" i="10" s="1"/>
  <c r="U196" i="10" s="1"/>
  <c r="W200" i="10"/>
  <c r="W199" i="10" s="1"/>
  <c r="W198" i="10" s="1"/>
  <c r="X200" i="10"/>
  <c r="X199" i="10" s="1"/>
  <c r="X198" i="10" s="1"/>
  <c r="Y200" i="10"/>
  <c r="Y199" i="10" s="1"/>
  <c r="Y198" i="10" s="1"/>
  <c r="Z200" i="10"/>
  <c r="AA200" i="10"/>
  <c r="J201" i="10"/>
  <c r="J200" i="10" s="1"/>
  <c r="J199" i="10" s="1"/>
  <c r="J198" i="10" s="1"/>
  <c r="J196" i="10" s="1"/>
  <c r="M201" i="10"/>
  <c r="N201" i="10"/>
  <c r="V201" i="10"/>
  <c r="Z201" i="10"/>
  <c r="AA201" i="10" s="1"/>
  <c r="R202" i="10"/>
  <c r="Z202" i="10"/>
  <c r="AA202" i="10" s="1"/>
  <c r="Z203" i="10"/>
  <c r="AA203" i="10"/>
  <c r="U204" i="10"/>
  <c r="Z204" i="10"/>
  <c r="AA204" i="10" s="1"/>
  <c r="Z205" i="10"/>
  <c r="AA205" i="10" s="1"/>
  <c r="O206" i="10"/>
  <c r="Z206" i="10"/>
  <c r="AA206" i="10"/>
  <c r="I207" i="10"/>
  <c r="I206" i="10" s="1"/>
  <c r="I205" i="10" s="1"/>
  <c r="I204" i="10" s="1"/>
  <c r="J207" i="10"/>
  <c r="J206" i="10" s="1"/>
  <c r="J205" i="10" s="1"/>
  <c r="J204" i="10" s="1"/>
  <c r="K207" i="10"/>
  <c r="K206" i="10" s="1"/>
  <c r="K205" i="10" s="1"/>
  <c r="K204" i="10" s="1"/>
  <c r="L207" i="10"/>
  <c r="O207" i="10"/>
  <c r="P207" i="10"/>
  <c r="P206" i="10" s="1"/>
  <c r="P205" i="10" s="1"/>
  <c r="P204" i="10" s="1"/>
  <c r="Q207" i="10"/>
  <c r="Q206" i="10" s="1"/>
  <c r="Q205" i="10" s="1"/>
  <c r="Q204" i="10" s="1"/>
  <c r="S207" i="10"/>
  <c r="S206" i="10" s="1"/>
  <c r="S205" i="10" s="1"/>
  <c r="S204" i="10" s="1"/>
  <c r="T207" i="10"/>
  <c r="T206" i="10" s="1"/>
  <c r="T205" i="10" s="1"/>
  <c r="T204" i="10" s="1"/>
  <c r="U207" i="10"/>
  <c r="U206" i="10" s="1"/>
  <c r="U205" i="10" s="1"/>
  <c r="V207" i="10"/>
  <c r="R207" i="10" s="1"/>
  <c r="W207" i="10"/>
  <c r="W206" i="10" s="1"/>
  <c r="W205" i="10" s="1"/>
  <c r="W204" i="10" s="1"/>
  <c r="X207" i="10"/>
  <c r="X206" i="10" s="1"/>
  <c r="X205" i="10" s="1"/>
  <c r="X204" i="10" s="1"/>
  <c r="Y207" i="10"/>
  <c r="Y206" i="10" s="1"/>
  <c r="Y205" i="10" s="1"/>
  <c r="Y204" i="10" s="1"/>
  <c r="Z207" i="10"/>
  <c r="AA207" i="10"/>
  <c r="M208" i="10"/>
  <c r="N208" i="10"/>
  <c r="R208" i="10"/>
  <c r="Z208" i="10"/>
  <c r="AA208" i="10" s="1"/>
  <c r="Z209" i="10"/>
  <c r="AA209" i="10"/>
  <c r="Z210" i="10"/>
  <c r="AA210" i="10" s="1"/>
  <c r="M211" i="10"/>
  <c r="Z211" i="10"/>
  <c r="AA211" i="10"/>
  <c r="Z212" i="10"/>
  <c r="AA212" i="10"/>
  <c r="I213" i="10"/>
  <c r="T213" i="10"/>
  <c r="Z213" i="10"/>
  <c r="AA213" i="10" s="1"/>
  <c r="I214" i="10"/>
  <c r="J214" i="10"/>
  <c r="J213" i="10" s="1"/>
  <c r="K214" i="10"/>
  <c r="K213" i="10" s="1"/>
  <c r="L214" i="10"/>
  <c r="O214" i="10"/>
  <c r="O213" i="10" s="1"/>
  <c r="N213" i="10" s="1"/>
  <c r="Q214" i="10"/>
  <c r="Q213" i="10" s="1"/>
  <c r="T214" i="10"/>
  <c r="U214" i="10"/>
  <c r="U213" i="10" s="1"/>
  <c r="V214" i="10"/>
  <c r="W214" i="10"/>
  <c r="W213" i="10" s="1"/>
  <c r="X214" i="10"/>
  <c r="X213" i="10" s="1"/>
  <c r="Y214" i="10"/>
  <c r="Y213" i="10" s="1"/>
  <c r="Z214" i="10"/>
  <c r="AA214" i="10" s="1"/>
  <c r="M215" i="10"/>
  <c r="N215" i="10"/>
  <c r="P215" i="10"/>
  <c r="P214" i="10" s="1"/>
  <c r="P213" i="10" s="1"/>
  <c r="S215" i="10"/>
  <c r="S214" i="10" s="1"/>
  <c r="S213" i="10" s="1"/>
  <c r="V215" i="10"/>
  <c r="Z215" i="10"/>
  <c r="AA215" i="10" s="1"/>
  <c r="R216" i="10"/>
  <c r="Z216" i="10"/>
  <c r="AA216" i="10" s="1"/>
  <c r="R217" i="10"/>
  <c r="Z217" i="10"/>
  <c r="AA217" i="10"/>
  <c r="Z218" i="10"/>
  <c r="AA218" i="10"/>
  <c r="Z219" i="10"/>
  <c r="AA219" i="10" s="1"/>
  <c r="P220" i="10"/>
  <c r="P218" i="10" s="1"/>
  <c r="P212" i="10" s="1"/>
  <c r="P209" i="10" s="1"/>
  <c r="X220" i="10"/>
  <c r="Z220" i="10"/>
  <c r="AA220" i="10"/>
  <c r="P221" i="10"/>
  <c r="Q221" i="10"/>
  <c r="Q220" i="10" s="1"/>
  <c r="Q218" i="10" s="1"/>
  <c r="Q212" i="10" s="1"/>
  <c r="Q209" i="10" s="1"/>
  <c r="V221" i="10"/>
  <c r="V220" i="10" s="1"/>
  <c r="X221" i="10"/>
  <c r="Z221" i="10"/>
  <c r="AA221" i="10" s="1"/>
  <c r="I222" i="10"/>
  <c r="I221" i="10" s="1"/>
  <c r="I220" i="10" s="1"/>
  <c r="I218" i="10" s="1"/>
  <c r="J222" i="10"/>
  <c r="J221" i="10" s="1"/>
  <c r="J220" i="10" s="1"/>
  <c r="J218" i="10" s="1"/>
  <c r="J212" i="10" s="1"/>
  <c r="J209" i="10" s="1"/>
  <c r="K222" i="10"/>
  <c r="K221" i="10" s="1"/>
  <c r="L222" i="10"/>
  <c r="L221" i="10" s="1"/>
  <c r="L220" i="10" s="1"/>
  <c r="L218" i="10" s="1"/>
  <c r="L212" i="10" s="1"/>
  <c r="L209" i="10" s="1"/>
  <c r="M222" i="10"/>
  <c r="O222" i="10"/>
  <c r="P222" i="10"/>
  <c r="Q222" i="10"/>
  <c r="S222" i="10"/>
  <c r="S221" i="10" s="1"/>
  <c r="S220" i="10" s="1"/>
  <c r="S218" i="10" s="1"/>
  <c r="T222" i="10"/>
  <c r="T221" i="10" s="1"/>
  <c r="T220" i="10" s="1"/>
  <c r="T218" i="10" s="1"/>
  <c r="U222" i="10"/>
  <c r="U221" i="10" s="1"/>
  <c r="U220" i="10" s="1"/>
  <c r="U218" i="10" s="1"/>
  <c r="V222" i="10"/>
  <c r="R222" i="10" s="1"/>
  <c r="W222" i="10"/>
  <c r="W221" i="10" s="1"/>
  <c r="W220" i="10" s="1"/>
  <c r="X222" i="10"/>
  <c r="Y222" i="10"/>
  <c r="Y221" i="10" s="1"/>
  <c r="Y220" i="10" s="1"/>
  <c r="Z222" i="10"/>
  <c r="AA222" i="10"/>
  <c r="N223" i="10"/>
  <c r="R223" i="10"/>
  <c r="Z223" i="10"/>
  <c r="AA223" i="10"/>
  <c r="Z224" i="10"/>
  <c r="AA224" i="10" s="1"/>
  <c r="Z225" i="10"/>
  <c r="AA225" i="10"/>
  <c r="W226" i="10"/>
  <c r="W225" i="10" s="1"/>
  <c r="X226" i="10"/>
  <c r="X225" i="10" s="1"/>
  <c r="Z226" i="10"/>
  <c r="AA226" i="10"/>
  <c r="Y227" i="10"/>
  <c r="Y226" i="10" s="1"/>
  <c r="Y225" i="10" s="1"/>
  <c r="Y224" i="10" s="1"/>
  <c r="Z227" i="10"/>
  <c r="AA227" i="10"/>
  <c r="X228" i="10"/>
  <c r="Z228" i="10"/>
  <c r="AA228" i="10" s="1"/>
  <c r="W229" i="10"/>
  <c r="W228" i="10" s="1"/>
  <c r="X229" i="10"/>
  <c r="Y229" i="10"/>
  <c r="Y228" i="10" s="1"/>
  <c r="Z229" i="10"/>
  <c r="AA229" i="10" s="1"/>
  <c r="Z230" i="10"/>
  <c r="AA230" i="10"/>
  <c r="X231" i="10"/>
  <c r="Z231" i="10"/>
  <c r="AA231" i="10"/>
  <c r="Z232" i="10"/>
  <c r="AA232" i="10"/>
  <c r="Z233" i="10"/>
  <c r="AA233" i="10" s="1"/>
  <c r="W234" i="10"/>
  <c r="W233" i="10" s="1"/>
  <c r="W232" i="10" s="1"/>
  <c r="W231" i="10" s="1"/>
  <c r="X234" i="10"/>
  <c r="X233" i="10" s="1"/>
  <c r="X232" i="10" s="1"/>
  <c r="Y234" i="10"/>
  <c r="Y233" i="10" s="1"/>
  <c r="Y232" i="10" s="1"/>
  <c r="Y231" i="10" s="1"/>
  <c r="Z234" i="10"/>
  <c r="AA234" i="10"/>
  <c r="Z235" i="10"/>
  <c r="AA235" i="10"/>
  <c r="Z236" i="10"/>
  <c r="AA236" i="10"/>
  <c r="Z237" i="10"/>
  <c r="AA237" i="10"/>
  <c r="X238" i="10"/>
  <c r="Z238" i="10"/>
  <c r="AA238" i="10"/>
  <c r="L239" i="10"/>
  <c r="L238" i="10" s="1"/>
  <c r="U239" i="10"/>
  <c r="U238" i="10" s="1"/>
  <c r="U212" i="10" s="1"/>
  <c r="U209" i="10" s="1"/>
  <c r="Z239" i="10"/>
  <c r="AA239" i="10"/>
  <c r="J240" i="10"/>
  <c r="J239" i="10" s="1"/>
  <c r="J238" i="10" s="1"/>
  <c r="P240" i="10"/>
  <c r="P239" i="10" s="1"/>
  <c r="P238" i="10" s="1"/>
  <c r="U240" i="10"/>
  <c r="V240" i="10"/>
  <c r="V239" i="10" s="1"/>
  <c r="Y240" i="10"/>
  <c r="Y239" i="10" s="1"/>
  <c r="Y238" i="10" s="1"/>
  <c r="Z240" i="10"/>
  <c r="AA240" i="10" s="1"/>
  <c r="I241" i="10"/>
  <c r="I240" i="10" s="1"/>
  <c r="I239" i="10" s="1"/>
  <c r="I238" i="10" s="1"/>
  <c r="I212" i="10" s="1"/>
  <c r="I209" i="10" s="1"/>
  <c r="J241" i="10"/>
  <c r="K241" i="10"/>
  <c r="L241" i="10"/>
  <c r="L240" i="10" s="1"/>
  <c r="O241" i="10"/>
  <c r="P241" i="10"/>
  <c r="Q241" i="10"/>
  <c r="Q240" i="10" s="1"/>
  <c r="Q239" i="10" s="1"/>
  <c r="Q238" i="10" s="1"/>
  <c r="S241" i="10"/>
  <c r="S240" i="10" s="1"/>
  <c r="S239" i="10" s="1"/>
  <c r="S238" i="10" s="1"/>
  <c r="S212" i="10" s="1"/>
  <c r="S209" i="10" s="1"/>
  <c r="T241" i="10"/>
  <c r="T240" i="10" s="1"/>
  <c r="T239" i="10" s="1"/>
  <c r="T238" i="10" s="1"/>
  <c r="T212" i="10" s="1"/>
  <c r="T209" i="10" s="1"/>
  <c r="U241" i="10"/>
  <c r="V241" i="10"/>
  <c r="R241" i="10" s="1"/>
  <c r="W241" i="10"/>
  <c r="W240" i="10" s="1"/>
  <c r="W239" i="10" s="1"/>
  <c r="W238" i="10" s="1"/>
  <c r="X241" i="10"/>
  <c r="X240" i="10" s="1"/>
  <c r="X239" i="10" s="1"/>
  <c r="Y241" i="10"/>
  <c r="Z241" i="10"/>
  <c r="AA241" i="10"/>
  <c r="R242" i="10"/>
  <c r="S242" i="10"/>
  <c r="Z242" i="10"/>
  <c r="AA242" i="10"/>
  <c r="M243" i="10"/>
  <c r="N243" i="10"/>
  <c r="R243" i="10"/>
  <c r="Z243" i="10"/>
  <c r="AA243" i="10" s="1"/>
  <c r="Z244" i="10"/>
  <c r="AA244" i="10"/>
  <c r="Z245" i="10"/>
  <c r="AA245" i="10" s="1"/>
  <c r="M246" i="10"/>
  <c r="Z246" i="10"/>
  <c r="AA246" i="10"/>
  <c r="Z247" i="10"/>
  <c r="AA247" i="10" s="1"/>
  <c r="Z248" i="10"/>
  <c r="AA248" i="10" s="1"/>
  <c r="Z249" i="10"/>
  <c r="AA249" i="10" s="1"/>
  <c r="Z250" i="10"/>
  <c r="AA250" i="10"/>
  <c r="P251" i="10"/>
  <c r="P250" i="10" s="1"/>
  <c r="P248" i="10" s="1"/>
  <c r="P247" i="10" s="1"/>
  <c r="P245" i="10" s="1"/>
  <c r="Z251" i="10"/>
  <c r="AA251" i="10"/>
  <c r="I252" i="10"/>
  <c r="I251" i="10" s="1"/>
  <c r="I250" i="10" s="1"/>
  <c r="I248" i="10" s="1"/>
  <c r="I247" i="10" s="1"/>
  <c r="I245" i="10" s="1"/>
  <c r="J252" i="10"/>
  <c r="J251" i="10" s="1"/>
  <c r="J250" i="10" s="1"/>
  <c r="J248" i="10" s="1"/>
  <c r="J247" i="10" s="1"/>
  <c r="J245" i="10" s="1"/>
  <c r="K252" i="10"/>
  <c r="K251" i="10" s="1"/>
  <c r="K250" i="10" s="1"/>
  <c r="K248" i="10" s="1"/>
  <c r="K247" i="10" s="1"/>
  <c r="K245" i="10" s="1"/>
  <c r="K244" i="10" s="1"/>
  <c r="L252" i="10"/>
  <c r="L251" i="10" s="1"/>
  <c r="M252" i="10"/>
  <c r="O252" i="10"/>
  <c r="P252" i="10"/>
  <c r="Q252" i="10"/>
  <c r="Q251" i="10" s="1"/>
  <c r="Q250" i="10" s="1"/>
  <c r="Q248" i="10" s="1"/>
  <c r="Q247" i="10" s="1"/>
  <c r="Q245" i="10" s="1"/>
  <c r="S252" i="10"/>
  <c r="S251" i="10" s="1"/>
  <c r="S250" i="10" s="1"/>
  <c r="S248" i="10" s="1"/>
  <c r="S247" i="10" s="1"/>
  <c r="S245" i="10" s="1"/>
  <c r="T252" i="10"/>
  <c r="T251" i="10" s="1"/>
  <c r="T250" i="10" s="1"/>
  <c r="T248" i="10" s="1"/>
  <c r="T247" i="10" s="1"/>
  <c r="T245" i="10" s="1"/>
  <c r="T244" i="10" s="1"/>
  <c r="U252" i="10"/>
  <c r="U251" i="10" s="1"/>
  <c r="U250" i="10" s="1"/>
  <c r="U248" i="10" s="1"/>
  <c r="U247" i="10" s="1"/>
  <c r="U245" i="10" s="1"/>
  <c r="V252" i="10"/>
  <c r="V251" i="10" s="1"/>
  <c r="W252" i="10"/>
  <c r="W251" i="10" s="1"/>
  <c r="W250" i="10" s="1"/>
  <c r="W249" i="10" s="1"/>
  <c r="X252" i="10"/>
  <c r="X251" i="10" s="1"/>
  <c r="X250" i="10" s="1"/>
  <c r="Y252" i="10"/>
  <c r="Y251" i="10" s="1"/>
  <c r="Y250" i="10" s="1"/>
  <c r="Z252" i="10"/>
  <c r="AA252" i="10"/>
  <c r="M253" i="10"/>
  <c r="N253" i="10"/>
  <c r="R253" i="10"/>
  <c r="Z253" i="10"/>
  <c r="AA253" i="10"/>
  <c r="M254" i="10"/>
  <c r="N254" i="10"/>
  <c r="R254" i="10"/>
  <c r="Z254" i="10"/>
  <c r="AA254" i="10" s="1"/>
  <c r="Z255" i="10"/>
  <c r="AA255" i="10"/>
  <c r="M256" i="10"/>
  <c r="Z256" i="10"/>
  <c r="AA256" i="10" s="1"/>
  <c r="I257" i="10"/>
  <c r="I255" i="10" s="1"/>
  <c r="S257" i="10"/>
  <c r="S255" i="10" s="1"/>
  <c r="T257" i="10"/>
  <c r="T255" i="10" s="1"/>
  <c r="U257" i="10"/>
  <c r="U255" i="10" s="1"/>
  <c r="Z257" i="10"/>
  <c r="AA257" i="10" s="1"/>
  <c r="Z258" i="10"/>
  <c r="AA258" i="10" s="1"/>
  <c r="T259" i="10"/>
  <c r="T258" i="10" s="1"/>
  <c r="Z259" i="10"/>
  <c r="AA259" i="10"/>
  <c r="L260" i="10"/>
  <c r="T260" i="10"/>
  <c r="X260" i="10"/>
  <c r="Z260" i="10"/>
  <c r="AA260" i="10"/>
  <c r="I261" i="10"/>
  <c r="I260" i="10" s="1"/>
  <c r="J261" i="10"/>
  <c r="J260" i="10" s="1"/>
  <c r="K261" i="10"/>
  <c r="K260" i="10" s="1"/>
  <c r="L261" i="10"/>
  <c r="M261" i="10"/>
  <c r="N261" i="10"/>
  <c r="O261" i="10"/>
  <c r="O260" i="10" s="1"/>
  <c r="N260" i="10" s="1"/>
  <c r="P261" i="10"/>
  <c r="P260" i="10" s="1"/>
  <c r="Q261" i="10"/>
  <c r="Q260" i="10" s="1"/>
  <c r="S261" i="10"/>
  <c r="S260" i="10" s="1"/>
  <c r="S259" i="10" s="1"/>
  <c r="S258" i="10" s="1"/>
  <c r="T261" i="10"/>
  <c r="U261" i="10"/>
  <c r="U260" i="10" s="1"/>
  <c r="V261" i="10"/>
  <c r="V260" i="10" s="1"/>
  <c r="W261" i="10"/>
  <c r="W260" i="10" s="1"/>
  <c r="W259" i="10" s="1"/>
  <c r="W258" i="10" s="1"/>
  <c r="X261" i="10"/>
  <c r="Y261" i="10"/>
  <c r="Y260" i="10" s="1"/>
  <c r="Z261" i="10"/>
  <c r="AA261" i="10" s="1"/>
  <c r="M262" i="10"/>
  <c r="N262" i="10"/>
  <c r="R262" i="10"/>
  <c r="Z262" i="10"/>
  <c r="AA262" i="10"/>
  <c r="L263" i="10"/>
  <c r="X263" i="10"/>
  <c r="Z263" i="10"/>
  <c r="AA263" i="10" s="1"/>
  <c r="I264" i="10"/>
  <c r="I263" i="10" s="1"/>
  <c r="J264" i="10"/>
  <c r="J263" i="10" s="1"/>
  <c r="K264" i="10"/>
  <c r="L264" i="10"/>
  <c r="O264" i="10"/>
  <c r="O263" i="10" s="1"/>
  <c r="O259" i="10" s="1"/>
  <c r="O258" i="10" s="1"/>
  <c r="P264" i="10"/>
  <c r="P263" i="10" s="1"/>
  <c r="Q264" i="10"/>
  <c r="Q263" i="10" s="1"/>
  <c r="S264" i="10"/>
  <c r="S263" i="10" s="1"/>
  <c r="T264" i="10"/>
  <c r="T263" i="10" s="1"/>
  <c r="U264" i="10"/>
  <c r="U263" i="10" s="1"/>
  <c r="V264" i="10"/>
  <c r="V263" i="10" s="1"/>
  <c r="W264" i="10"/>
  <c r="W263" i="10" s="1"/>
  <c r="X264" i="10"/>
  <c r="Y264" i="10"/>
  <c r="Y263" i="10" s="1"/>
  <c r="Z264" i="10"/>
  <c r="AA264" i="10" s="1"/>
  <c r="M265" i="10"/>
  <c r="N265" i="10"/>
  <c r="R265" i="10"/>
  <c r="Z265" i="10"/>
  <c r="AA265" i="10" s="1"/>
  <c r="Z266" i="10"/>
  <c r="AA266" i="10"/>
  <c r="Z267" i="10"/>
  <c r="AA267" i="10" s="1"/>
  <c r="Z268" i="10"/>
  <c r="AA268" i="10"/>
  <c r="Z269" i="10"/>
  <c r="AA269" i="10" s="1"/>
  <c r="Z270" i="10"/>
  <c r="AA270" i="10"/>
  <c r="N271" i="10"/>
  <c r="N269" i="10" s="1"/>
  <c r="N257" i="10" s="1"/>
  <c r="N255" i="10" s="1"/>
  <c r="Z271" i="10"/>
  <c r="AA271" i="10" s="1"/>
  <c r="P272" i="10"/>
  <c r="P271" i="10" s="1"/>
  <c r="P269" i="10" s="1"/>
  <c r="P257" i="10" s="1"/>
  <c r="P255" i="10" s="1"/>
  <c r="Q272" i="10"/>
  <c r="Q271" i="10" s="1"/>
  <c r="Q269" i="10" s="1"/>
  <c r="Q257" i="10" s="1"/>
  <c r="Q255" i="10" s="1"/>
  <c r="U272" i="10"/>
  <c r="U271" i="10" s="1"/>
  <c r="U269" i="10" s="1"/>
  <c r="Y272" i="10"/>
  <c r="Y271" i="10" s="1"/>
  <c r="Y270" i="10" s="1"/>
  <c r="Z272" i="10"/>
  <c r="AA272" i="10"/>
  <c r="J273" i="10"/>
  <c r="J272" i="10" s="1"/>
  <c r="J271" i="10" s="1"/>
  <c r="J269" i="10" s="1"/>
  <c r="J257" i="10" s="1"/>
  <c r="J255" i="10" s="1"/>
  <c r="K273" i="10"/>
  <c r="K272" i="10" s="1"/>
  <c r="K271" i="10" s="1"/>
  <c r="K269" i="10" s="1"/>
  <c r="K257" i="10" s="1"/>
  <c r="K255" i="10" s="1"/>
  <c r="L273" i="10"/>
  <c r="L272" i="10" s="1"/>
  <c r="L271" i="10" s="1"/>
  <c r="L269" i="10" s="1"/>
  <c r="L257" i="10" s="1"/>
  <c r="L255" i="10" s="1"/>
  <c r="M273" i="10"/>
  <c r="M272" i="10" s="1"/>
  <c r="M271" i="10" s="1"/>
  <c r="M269" i="10" s="1"/>
  <c r="M257" i="10" s="1"/>
  <c r="M255" i="10" s="1"/>
  <c r="N273" i="10"/>
  <c r="N272" i="10" s="1"/>
  <c r="O273" i="10"/>
  <c r="O272" i="10" s="1"/>
  <c r="O271" i="10" s="1"/>
  <c r="O269" i="10" s="1"/>
  <c r="O257" i="10" s="1"/>
  <c r="O255" i="10" s="1"/>
  <c r="P273" i="10"/>
  <c r="Q273" i="10"/>
  <c r="S273" i="10"/>
  <c r="S272" i="10" s="1"/>
  <c r="S271" i="10" s="1"/>
  <c r="S269" i="10" s="1"/>
  <c r="T273" i="10"/>
  <c r="T272" i="10" s="1"/>
  <c r="T271" i="10" s="1"/>
  <c r="T269" i="10" s="1"/>
  <c r="U273" i="10"/>
  <c r="V273" i="10"/>
  <c r="V272" i="10" s="1"/>
  <c r="W273" i="10"/>
  <c r="W272" i="10" s="1"/>
  <c r="W271" i="10" s="1"/>
  <c r="X273" i="10"/>
  <c r="X272" i="10" s="1"/>
  <c r="X271" i="10" s="1"/>
  <c r="X269" i="10" s="1"/>
  <c r="X257" i="10" s="1"/>
  <c r="X255" i="10" s="1"/>
  <c r="Y273" i="10"/>
  <c r="Z273" i="10"/>
  <c r="AA273" i="10" s="1"/>
  <c r="R274" i="10"/>
  <c r="Z274" i="10"/>
  <c r="AA274" i="10" s="1"/>
  <c r="Z275" i="10"/>
  <c r="AA275" i="10" s="1"/>
  <c r="Z276" i="10"/>
  <c r="AA276" i="10" s="1"/>
  <c r="Y277" i="10"/>
  <c r="Y276" i="10" s="1"/>
  <c r="Y275" i="10" s="1"/>
  <c r="Z277" i="10"/>
  <c r="AA277" i="10"/>
  <c r="W278" i="10"/>
  <c r="W277" i="10" s="1"/>
  <c r="W276" i="10" s="1"/>
  <c r="W275" i="10" s="1"/>
  <c r="X278" i="10"/>
  <c r="X277" i="10" s="1"/>
  <c r="X276" i="10" s="1"/>
  <c r="X275" i="10" s="1"/>
  <c r="Y278" i="10"/>
  <c r="Z278" i="10"/>
  <c r="AA278" i="10"/>
  <c r="Z279" i="10"/>
  <c r="AA279" i="10" s="1"/>
  <c r="M280" i="10"/>
  <c r="N280" i="10"/>
  <c r="R280" i="10"/>
  <c r="Z280" i="10"/>
  <c r="AA280" i="10" s="1"/>
  <c r="D281" i="10"/>
  <c r="I281" i="10"/>
  <c r="J281" i="10"/>
  <c r="K281" i="10"/>
  <c r="L281" i="10"/>
  <c r="M281" i="10"/>
  <c r="O281" i="10"/>
  <c r="N281" i="10" s="1"/>
  <c r="P281" i="10"/>
  <c r="Q281" i="10"/>
  <c r="S281" i="10"/>
  <c r="T281" i="10"/>
  <c r="U281" i="10"/>
  <c r="V281" i="10"/>
  <c r="W281" i="10"/>
  <c r="X281" i="10"/>
  <c r="Y281" i="10"/>
  <c r="Z281" i="10"/>
  <c r="AA281" i="10"/>
  <c r="M282" i="10"/>
  <c r="N282" i="10"/>
  <c r="R282" i="10"/>
  <c r="Z282" i="10"/>
  <c r="AA282" i="10"/>
  <c r="Z283" i="10"/>
  <c r="AA283" i="10" s="1"/>
  <c r="Z284" i="10"/>
  <c r="AA284" i="10" s="1"/>
  <c r="M285" i="10"/>
  <c r="Z285" i="10"/>
  <c r="AA285" i="10" s="1"/>
  <c r="Z286" i="10"/>
  <c r="AA286" i="10" s="1"/>
  <c r="Z287" i="10"/>
  <c r="AA287" i="10" s="1"/>
  <c r="Z288" i="10"/>
  <c r="AA288" i="10" s="1"/>
  <c r="Z289" i="10"/>
  <c r="AA289" i="10" s="1"/>
  <c r="Z290" i="10"/>
  <c r="AA290" i="10" s="1"/>
  <c r="I291" i="10"/>
  <c r="I290" i="10" s="1"/>
  <c r="J291" i="10"/>
  <c r="J290" i="10" s="1"/>
  <c r="K291" i="10"/>
  <c r="K290" i="10" s="1"/>
  <c r="L291" i="10"/>
  <c r="O291" i="10"/>
  <c r="P291" i="10"/>
  <c r="P290" i="10" s="1"/>
  <c r="Q291" i="10"/>
  <c r="Q290" i="10" s="1"/>
  <c r="S291" i="10"/>
  <c r="S290" i="10" s="1"/>
  <c r="T291" i="10"/>
  <c r="T290" i="10" s="1"/>
  <c r="U291" i="10"/>
  <c r="U290" i="10" s="1"/>
  <c r="V291" i="10"/>
  <c r="V290" i="10" s="1"/>
  <c r="R290" i="10" s="1"/>
  <c r="W291" i="10"/>
  <c r="W290" i="10" s="1"/>
  <c r="X291" i="10"/>
  <c r="X290" i="10" s="1"/>
  <c r="Y291" i="10"/>
  <c r="Y290" i="10" s="1"/>
  <c r="Z291" i="10"/>
  <c r="AA291" i="10" s="1"/>
  <c r="M292" i="10"/>
  <c r="N292" i="10"/>
  <c r="R292" i="10"/>
  <c r="Z292" i="10"/>
  <c r="AA292" i="10" s="1"/>
  <c r="X293" i="10"/>
  <c r="X289" i="10" s="1"/>
  <c r="Z293" i="10"/>
  <c r="AA293" i="10"/>
  <c r="I294" i="10"/>
  <c r="I293" i="10" s="1"/>
  <c r="I289" i="10" s="1"/>
  <c r="I287" i="10" s="1"/>
  <c r="I286" i="10" s="1"/>
  <c r="I284" i="10" s="1"/>
  <c r="I283" i="10" s="1"/>
  <c r="J294" i="10"/>
  <c r="J293" i="10" s="1"/>
  <c r="L294" i="10"/>
  <c r="L293" i="10" s="1"/>
  <c r="O294" i="10"/>
  <c r="O293" i="10" s="1"/>
  <c r="P294" i="10"/>
  <c r="P293" i="10" s="1"/>
  <c r="P289" i="10" s="1"/>
  <c r="P287" i="10" s="1"/>
  <c r="P286" i="10" s="1"/>
  <c r="P284" i="10" s="1"/>
  <c r="Q294" i="10"/>
  <c r="Q293" i="10" s="1"/>
  <c r="T294" i="10"/>
  <c r="T293" i="10" s="1"/>
  <c r="U294" i="10"/>
  <c r="U293" i="10" s="1"/>
  <c r="U289" i="10" s="1"/>
  <c r="U287" i="10" s="1"/>
  <c r="U286" i="10" s="1"/>
  <c r="U284" i="10" s="1"/>
  <c r="U283" i="10" s="1"/>
  <c r="V294" i="10"/>
  <c r="V293" i="10" s="1"/>
  <c r="W294" i="10"/>
  <c r="W293" i="10" s="1"/>
  <c r="W289" i="10" s="1"/>
  <c r="X294" i="10"/>
  <c r="Y294" i="10"/>
  <c r="Y293" i="10" s="1"/>
  <c r="Y289" i="10" s="1"/>
  <c r="Z294" i="10"/>
  <c r="AA294" i="10" s="1"/>
  <c r="K295" i="10"/>
  <c r="P295" i="10"/>
  <c r="R295" i="10"/>
  <c r="S295" i="10"/>
  <c r="S294" i="10" s="1"/>
  <c r="S293" i="10" s="1"/>
  <c r="S289" i="10" s="1"/>
  <c r="S287" i="10" s="1"/>
  <c r="S286" i="10" s="1"/>
  <c r="S284" i="10" s="1"/>
  <c r="S283" i="10" s="1"/>
  <c r="Z295" i="10"/>
  <c r="AA295" i="10" s="1"/>
  <c r="Z296" i="10"/>
  <c r="AA296" i="10" s="1"/>
  <c r="Z297" i="10"/>
  <c r="AA297" i="10"/>
  <c r="Z298" i="10"/>
  <c r="AA298" i="10" s="1"/>
  <c r="Z299" i="10"/>
  <c r="AA299" i="10" s="1"/>
  <c r="Z300" i="10"/>
  <c r="AA300" i="10"/>
  <c r="Z301" i="10"/>
  <c r="AA301" i="10"/>
  <c r="I302" i="10"/>
  <c r="J302" i="10"/>
  <c r="K302" i="10"/>
  <c r="K301" i="10" s="1"/>
  <c r="K300" i="10" s="1"/>
  <c r="K299" i="10" s="1"/>
  <c r="K298" i="10" s="1"/>
  <c r="K296" i="10" s="1"/>
  <c r="L302" i="10"/>
  <c r="M302" i="10" s="1"/>
  <c r="N302" i="10"/>
  <c r="O302" i="10"/>
  <c r="P302" i="10"/>
  <c r="Q302" i="10"/>
  <c r="S302" i="10"/>
  <c r="S301" i="10" s="1"/>
  <c r="S300" i="10" s="1"/>
  <c r="S299" i="10" s="1"/>
  <c r="S298" i="10" s="1"/>
  <c r="T302" i="10"/>
  <c r="U302" i="10"/>
  <c r="V302" i="10"/>
  <c r="V301" i="10" s="1"/>
  <c r="V300" i="10" s="1"/>
  <c r="W302" i="10"/>
  <c r="W301" i="10" s="1"/>
  <c r="W300" i="10" s="1"/>
  <c r="W299" i="10" s="1"/>
  <c r="X302" i="10"/>
  <c r="Y302" i="10"/>
  <c r="Z302" i="10"/>
  <c r="AA302" i="10" s="1"/>
  <c r="M303" i="10"/>
  <c r="N303" i="10"/>
  <c r="R303" i="10"/>
  <c r="Z303" i="10"/>
  <c r="AA303" i="10"/>
  <c r="I304" i="10"/>
  <c r="J304" i="10"/>
  <c r="K304" i="10"/>
  <c r="L304" i="10"/>
  <c r="M304" i="10" s="1"/>
  <c r="O304" i="10"/>
  <c r="N304" i="10" s="1"/>
  <c r="P304" i="10"/>
  <c r="Q304" i="10"/>
  <c r="S304" i="10"/>
  <c r="T304" i="10"/>
  <c r="U304" i="10"/>
  <c r="V304" i="10"/>
  <c r="W304" i="10"/>
  <c r="X304" i="10"/>
  <c r="Y304" i="10"/>
  <c r="Z304" i="10"/>
  <c r="AA304" i="10" s="1"/>
  <c r="M305" i="10"/>
  <c r="N305" i="10"/>
  <c r="R305" i="10"/>
  <c r="Z305" i="10"/>
  <c r="AA305" i="10"/>
  <c r="Z306" i="10"/>
  <c r="AA306" i="10" s="1"/>
  <c r="Z307" i="10"/>
  <c r="AA307" i="10"/>
  <c r="Z308" i="10"/>
  <c r="AA308" i="10" s="1"/>
  <c r="O309" i="10"/>
  <c r="O308" i="10" s="1"/>
  <c r="O306" i="10" s="1"/>
  <c r="Z309" i="10"/>
  <c r="AA309" i="10" s="1"/>
  <c r="J310" i="10"/>
  <c r="J309" i="10" s="1"/>
  <c r="J308" i="10" s="1"/>
  <c r="J306" i="10" s="1"/>
  <c r="K310" i="10"/>
  <c r="K309" i="10" s="1"/>
  <c r="K308" i="10" s="1"/>
  <c r="K306" i="10" s="1"/>
  <c r="L310" i="10"/>
  <c r="L309" i="10" s="1"/>
  <c r="L308" i="10" s="1"/>
  <c r="L306" i="10" s="1"/>
  <c r="M310" i="10"/>
  <c r="M309" i="10" s="1"/>
  <c r="M308" i="10" s="1"/>
  <c r="M306" i="10" s="1"/>
  <c r="N310" i="10"/>
  <c r="N309" i="10" s="1"/>
  <c r="N308" i="10" s="1"/>
  <c r="N306" i="10" s="1"/>
  <c r="O310" i="10"/>
  <c r="P310" i="10"/>
  <c r="P309" i="10" s="1"/>
  <c r="P308" i="10" s="1"/>
  <c r="P306" i="10" s="1"/>
  <c r="Q310" i="10"/>
  <c r="Q309" i="10" s="1"/>
  <c r="Q308" i="10" s="1"/>
  <c r="Q306" i="10" s="1"/>
  <c r="V310" i="10"/>
  <c r="W310" i="10"/>
  <c r="W309" i="10" s="1"/>
  <c r="W308" i="10" s="1"/>
  <c r="W306" i="10" s="1"/>
  <c r="W298" i="10" s="1"/>
  <c r="W296" i="10" s="1"/>
  <c r="X310" i="10"/>
  <c r="X309" i="10" s="1"/>
  <c r="X308" i="10" s="1"/>
  <c r="Y310" i="10"/>
  <c r="Y309" i="10" s="1"/>
  <c r="Y308" i="10" s="1"/>
  <c r="Z310" i="10"/>
  <c r="AA310" i="10"/>
  <c r="R311" i="10"/>
  <c r="Z311" i="10"/>
  <c r="AA311" i="10" s="1"/>
  <c r="Z312" i="10"/>
  <c r="AA312" i="10" s="1"/>
  <c r="Z313" i="10"/>
  <c r="AA313" i="10" s="1"/>
  <c r="M314" i="10"/>
  <c r="Z314" i="10"/>
  <c r="AA314" i="10" s="1"/>
  <c r="Z315" i="10"/>
  <c r="AA315" i="10"/>
  <c r="T316" i="10"/>
  <c r="T315" i="10" s="1"/>
  <c r="T313" i="10" s="1"/>
  <c r="Z316" i="10"/>
  <c r="AA316" i="10" s="1"/>
  <c r="Z317" i="10"/>
  <c r="AA317" i="10" s="1"/>
  <c r="U318" i="10"/>
  <c r="U316" i="10" s="1"/>
  <c r="U315" i="10" s="1"/>
  <c r="U313" i="10" s="1"/>
  <c r="Z318" i="10"/>
  <c r="AA318" i="10" s="1"/>
  <c r="I319" i="10"/>
  <c r="I318" i="10" s="1"/>
  <c r="I316" i="10" s="1"/>
  <c r="I315" i="10" s="1"/>
  <c r="I313" i="10" s="1"/>
  <c r="J319" i="10"/>
  <c r="J318" i="10" s="1"/>
  <c r="J316" i="10" s="1"/>
  <c r="J315" i="10" s="1"/>
  <c r="J313" i="10" s="1"/>
  <c r="Z319" i="10"/>
  <c r="AA319" i="10" s="1"/>
  <c r="I320" i="10"/>
  <c r="J320" i="10"/>
  <c r="K320" i="10"/>
  <c r="L320" i="10"/>
  <c r="L319" i="10" s="1"/>
  <c r="O320" i="10"/>
  <c r="O319" i="10" s="1"/>
  <c r="O318" i="10" s="1"/>
  <c r="P320" i="10"/>
  <c r="P319" i="10" s="1"/>
  <c r="P318" i="10" s="1"/>
  <c r="P316" i="10" s="1"/>
  <c r="P315" i="10" s="1"/>
  <c r="P313" i="10" s="1"/>
  <c r="Q320" i="10"/>
  <c r="Q319" i="10" s="1"/>
  <c r="Q318" i="10" s="1"/>
  <c r="Q316" i="10" s="1"/>
  <c r="Q315" i="10" s="1"/>
  <c r="Q313" i="10" s="1"/>
  <c r="S320" i="10"/>
  <c r="S319" i="10" s="1"/>
  <c r="S318" i="10" s="1"/>
  <c r="S316" i="10" s="1"/>
  <c r="S315" i="10" s="1"/>
  <c r="S313" i="10" s="1"/>
  <c r="T320" i="10"/>
  <c r="T319" i="10" s="1"/>
  <c r="T318" i="10" s="1"/>
  <c r="U320" i="10"/>
  <c r="U319" i="10" s="1"/>
  <c r="V320" i="10"/>
  <c r="V319" i="10" s="1"/>
  <c r="V318" i="10" s="1"/>
  <c r="W320" i="10"/>
  <c r="W319" i="10" s="1"/>
  <c r="W318" i="10" s="1"/>
  <c r="W316" i="10" s="1"/>
  <c r="W315" i="10" s="1"/>
  <c r="W313" i="10" s="1"/>
  <c r="X320" i="10"/>
  <c r="X319" i="10" s="1"/>
  <c r="X318" i="10" s="1"/>
  <c r="Y320" i="10"/>
  <c r="Y319" i="10" s="1"/>
  <c r="Y318" i="10" s="1"/>
  <c r="Y317" i="10" s="1"/>
  <c r="Z320" i="10"/>
  <c r="AA320" i="10"/>
  <c r="M321" i="10"/>
  <c r="N321" i="10"/>
  <c r="R321" i="10"/>
  <c r="Z321" i="10"/>
  <c r="AA321" i="10" s="1"/>
  <c r="M322" i="10"/>
  <c r="N322" i="10"/>
  <c r="R322" i="10"/>
  <c r="Z322" i="10"/>
  <c r="AA322" i="10" s="1"/>
  <c r="Z323" i="10"/>
  <c r="AA323" i="10" s="1"/>
  <c r="M324" i="10"/>
  <c r="Z324" i="10"/>
  <c r="AA324" i="10"/>
  <c r="Z325" i="10"/>
  <c r="AA325" i="10"/>
  <c r="Z326" i="10"/>
  <c r="AA326" i="10" s="1"/>
  <c r="Z327" i="10"/>
  <c r="AA327" i="10" s="1"/>
  <c r="R328" i="10"/>
  <c r="Z328" i="10"/>
  <c r="AA328" i="10" s="1"/>
  <c r="Z329" i="10"/>
  <c r="AA329" i="10" s="1"/>
  <c r="Z330" i="10"/>
  <c r="AA330" i="10" s="1"/>
  <c r="L331" i="10"/>
  <c r="L329" i="10" s="1"/>
  <c r="Z331" i="10"/>
  <c r="AA331" i="10" s="1"/>
  <c r="Q332" i="10"/>
  <c r="Q331" i="10" s="1"/>
  <c r="Q329" i="10" s="1"/>
  <c r="V332" i="10"/>
  <c r="Z332" i="10"/>
  <c r="AA332" i="10" s="1"/>
  <c r="I333" i="10"/>
  <c r="I332" i="10" s="1"/>
  <c r="I331" i="10" s="1"/>
  <c r="I329" i="10" s="1"/>
  <c r="J333" i="10"/>
  <c r="J332" i="10" s="1"/>
  <c r="J331" i="10" s="1"/>
  <c r="J329" i="10" s="1"/>
  <c r="K333" i="10"/>
  <c r="K332" i="10" s="1"/>
  <c r="L333" i="10"/>
  <c r="L332" i="10" s="1"/>
  <c r="O333" i="10"/>
  <c r="Q333" i="10"/>
  <c r="S333" i="10"/>
  <c r="S332" i="10" s="1"/>
  <c r="S331" i="10" s="1"/>
  <c r="S329" i="10" s="1"/>
  <c r="V333" i="10"/>
  <c r="W333" i="10"/>
  <c r="W332" i="10" s="1"/>
  <c r="W331" i="10" s="1"/>
  <c r="X333" i="10"/>
  <c r="X332" i="10" s="1"/>
  <c r="X331" i="10" s="1"/>
  <c r="X329" i="10" s="1"/>
  <c r="Y333" i="10"/>
  <c r="Y332" i="10" s="1"/>
  <c r="Y331" i="10" s="1"/>
  <c r="Z333" i="10"/>
  <c r="AA333" i="10" s="1"/>
  <c r="M334" i="10"/>
  <c r="N334" i="10"/>
  <c r="P334" i="10"/>
  <c r="P333" i="10" s="1"/>
  <c r="P332" i="10" s="1"/>
  <c r="P331" i="10" s="1"/>
  <c r="P329" i="10" s="1"/>
  <c r="S334" i="10"/>
  <c r="T334" i="10"/>
  <c r="T333" i="10" s="1"/>
  <c r="T332" i="10" s="1"/>
  <c r="T331" i="10" s="1"/>
  <c r="T329" i="10" s="1"/>
  <c r="U334" i="10"/>
  <c r="U333" i="10" s="1"/>
  <c r="U332" i="10" s="1"/>
  <c r="U331" i="10" s="1"/>
  <c r="U329" i="10" s="1"/>
  <c r="Z334" i="10"/>
  <c r="AA334" i="10" s="1"/>
  <c r="Z335" i="10"/>
  <c r="AA335" i="10"/>
  <c r="Z336" i="10"/>
  <c r="AA336" i="10" s="1"/>
  <c r="Z337" i="10"/>
  <c r="AA337" i="10"/>
  <c r="Z338" i="10"/>
  <c r="AA338" i="10"/>
  <c r="P339" i="10"/>
  <c r="P338" i="10" s="1"/>
  <c r="Q339" i="10"/>
  <c r="Q338" i="10" s="1"/>
  <c r="S339" i="10"/>
  <c r="S338" i="10" s="1"/>
  <c r="T339" i="10"/>
  <c r="T338" i="10" s="1"/>
  <c r="U339" i="10"/>
  <c r="U338" i="10" s="1"/>
  <c r="V339" i="10"/>
  <c r="V338" i="10" s="1"/>
  <c r="R338" i="10" s="1"/>
  <c r="W339" i="10"/>
  <c r="W338" i="10" s="1"/>
  <c r="X339" i="10"/>
  <c r="X338" i="10" s="1"/>
  <c r="Y339" i="10"/>
  <c r="Y338" i="10" s="1"/>
  <c r="Z339" i="10"/>
  <c r="AA339" i="10" s="1"/>
  <c r="R340" i="10"/>
  <c r="W340" i="10"/>
  <c r="Z340" i="10"/>
  <c r="AA340" i="10"/>
  <c r="Z341" i="10"/>
  <c r="AA341" i="10" s="1"/>
  <c r="I342" i="10"/>
  <c r="L342" i="10"/>
  <c r="O342" i="10"/>
  <c r="P342" i="10"/>
  <c r="Q342" i="10"/>
  <c r="S342" i="10"/>
  <c r="T342" i="10"/>
  <c r="U342" i="10"/>
  <c r="W342" i="10"/>
  <c r="W341" i="10" s="1"/>
  <c r="W337" i="10" s="1"/>
  <c r="X342" i="10"/>
  <c r="X341" i="10" s="1"/>
  <c r="Y342" i="10"/>
  <c r="Z342" i="10"/>
  <c r="AA342" i="10"/>
  <c r="M343" i="10"/>
  <c r="N343" i="10"/>
  <c r="V343" i="10"/>
  <c r="Z343" i="10"/>
  <c r="AA343" i="10" s="1"/>
  <c r="R344" i="10"/>
  <c r="Z344" i="10"/>
  <c r="AA344" i="10" s="1"/>
  <c r="M345" i="10"/>
  <c r="N345" i="10"/>
  <c r="R345" i="10"/>
  <c r="Z345" i="10"/>
  <c r="AA345" i="10" s="1"/>
  <c r="M346" i="10"/>
  <c r="N346" i="10"/>
  <c r="R346" i="10"/>
  <c r="Z346" i="10"/>
  <c r="AA346" i="10" s="1"/>
  <c r="M347" i="10"/>
  <c r="N347" i="10"/>
  <c r="R347" i="10"/>
  <c r="Z347" i="10"/>
  <c r="AA347" i="10"/>
  <c r="J348" i="10"/>
  <c r="J342" i="10" s="1"/>
  <c r="K348" i="10"/>
  <c r="L348" i="10"/>
  <c r="R348" i="10"/>
  <c r="V348" i="10"/>
  <c r="Z348" i="10"/>
  <c r="AA348" i="10" s="1"/>
  <c r="M349" i="10"/>
  <c r="N349" i="10"/>
  <c r="R349" i="10"/>
  <c r="Z349" i="10"/>
  <c r="AA349" i="10"/>
  <c r="M350" i="10"/>
  <c r="N350" i="10"/>
  <c r="V350" i="10"/>
  <c r="R350" i="10" s="1"/>
  <c r="Z350" i="10"/>
  <c r="AA350" i="10"/>
  <c r="I351" i="10"/>
  <c r="J351" i="10"/>
  <c r="K351" i="10"/>
  <c r="L351" i="10"/>
  <c r="M351" i="10" s="1"/>
  <c r="O351" i="10"/>
  <c r="N351" i="10" s="1"/>
  <c r="P351" i="10"/>
  <c r="Q351" i="10"/>
  <c r="S351" i="10"/>
  <c r="T351" i="10"/>
  <c r="U351" i="10"/>
  <c r="V351" i="10"/>
  <c r="R351" i="10" s="1"/>
  <c r="W351" i="10"/>
  <c r="X351" i="10"/>
  <c r="Y351" i="10"/>
  <c r="Z351" i="10"/>
  <c r="AA351" i="10" s="1"/>
  <c r="M352" i="10"/>
  <c r="N352" i="10"/>
  <c r="R352" i="10"/>
  <c r="Z352" i="10"/>
  <c r="AA352" i="10" s="1"/>
  <c r="I353" i="10"/>
  <c r="J353" i="10"/>
  <c r="K353" i="10"/>
  <c r="L353" i="10"/>
  <c r="M353" i="10"/>
  <c r="N353" i="10"/>
  <c r="O353" i="10"/>
  <c r="P353" i="10"/>
  <c r="Q353" i="10"/>
  <c r="S353" i="10"/>
  <c r="T353" i="10"/>
  <c r="U353" i="10"/>
  <c r="W353" i="10"/>
  <c r="X353" i="10"/>
  <c r="Y353" i="10"/>
  <c r="Z353" i="10"/>
  <c r="AA353" i="10" s="1"/>
  <c r="M354" i="10"/>
  <c r="N354" i="10"/>
  <c r="V354" i="10"/>
  <c r="Z354" i="10"/>
  <c r="AA354" i="10" s="1"/>
  <c r="P355" i="10"/>
  <c r="T355" i="10"/>
  <c r="Z355" i="10"/>
  <c r="AA355" i="10"/>
  <c r="I356" i="10"/>
  <c r="I355" i="10" s="1"/>
  <c r="J356" i="10"/>
  <c r="J355" i="10" s="1"/>
  <c r="K356" i="10"/>
  <c r="K355" i="10" s="1"/>
  <c r="L356" i="10"/>
  <c r="N356" i="10"/>
  <c r="O356" i="10"/>
  <c r="O355" i="10" s="1"/>
  <c r="N355" i="10" s="1"/>
  <c r="P356" i="10"/>
  <c r="Q356" i="10"/>
  <c r="Q355" i="10" s="1"/>
  <c r="S356" i="10"/>
  <c r="S355" i="10" s="1"/>
  <c r="T356" i="10"/>
  <c r="U356" i="10"/>
  <c r="U355" i="10" s="1"/>
  <c r="V356" i="10"/>
  <c r="V355" i="10" s="1"/>
  <c r="X356" i="10"/>
  <c r="X355" i="10" s="1"/>
  <c r="Y356" i="10"/>
  <c r="Y355" i="10" s="1"/>
  <c r="Z356" i="10"/>
  <c r="AA356" i="10" s="1"/>
  <c r="M357" i="10"/>
  <c r="N357" i="10"/>
  <c r="R357" i="10"/>
  <c r="W357" i="10"/>
  <c r="W356" i="10" s="1"/>
  <c r="W355" i="10" s="1"/>
  <c r="Z357" i="10"/>
  <c r="AA357" i="10"/>
  <c r="Z358" i="10"/>
  <c r="AA358" i="10" s="1"/>
  <c r="U359" i="10"/>
  <c r="Z359" i="10"/>
  <c r="AA359" i="10" s="1"/>
  <c r="Z360" i="10"/>
  <c r="AA360" i="10" s="1"/>
  <c r="K361" i="10"/>
  <c r="K360" i="10" s="1"/>
  <c r="K359" i="10" s="1"/>
  <c r="L361" i="10"/>
  <c r="S361" i="10"/>
  <c r="S360" i="10" s="1"/>
  <c r="S359" i="10" s="1"/>
  <c r="W361" i="10"/>
  <c r="W360" i="10" s="1"/>
  <c r="W359" i="10" s="1"/>
  <c r="Z361" i="10"/>
  <c r="AA361" i="10"/>
  <c r="I362" i="10"/>
  <c r="I361" i="10" s="1"/>
  <c r="I360" i="10" s="1"/>
  <c r="I359" i="10" s="1"/>
  <c r="J362" i="10"/>
  <c r="J361" i="10" s="1"/>
  <c r="J360" i="10" s="1"/>
  <c r="J359" i="10" s="1"/>
  <c r="K362" i="10"/>
  <c r="L362" i="10"/>
  <c r="M362" i="10" s="1"/>
  <c r="O362" i="10"/>
  <c r="P362" i="10"/>
  <c r="P361" i="10" s="1"/>
  <c r="P360" i="10" s="1"/>
  <c r="P359" i="10" s="1"/>
  <c r="Q362" i="10"/>
  <c r="Q361" i="10" s="1"/>
  <c r="Q360" i="10" s="1"/>
  <c r="Q359" i="10" s="1"/>
  <c r="S362" i="10"/>
  <c r="T362" i="10"/>
  <c r="T361" i="10" s="1"/>
  <c r="T360" i="10" s="1"/>
  <c r="T359" i="10" s="1"/>
  <c r="T358" i="10" s="1"/>
  <c r="U362" i="10"/>
  <c r="U361" i="10" s="1"/>
  <c r="U360" i="10" s="1"/>
  <c r="V362" i="10"/>
  <c r="V361" i="10" s="1"/>
  <c r="W362" i="10"/>
  <c r="X362" i="10"/>
  <c r="X361" i="10" s="1"/>
  <c r="X360" i="10" s="1"/>
  <c r="X359" i="10" s="1"/>
  <c r="Y362" i="10"/>
  <c r="Y361" i="10" s="1"/>
  <c r="Y360" i="10" s="1"/>
  <c r="Y359" i="10" s="1"/>
  <c r="Z362" i="10"/>
  <c r="AA362" i="10" s="1"/>
  <c r="M363" i="10"/>
  <c r="N363" i="10"/>
  <c r="R363" i="10"/>
  <c r="Z363" i="10"/>
  <c r="AA363" i="10" s="1"/>
  <c r="I364" i="10"/>
  <c r="T364" i="10"/>
  <c r="Z364" i="10"/>
  <c r="AA364" i="10" s="1"/>
  <c r="J365" i="10"/>
  <c r="K365" i="10"/>
  <c r="K364" i="10" s="1"/>
  <c r="L365" i="10"/>
  <c r="N365" i="10"/>
  <c r="O365" i="10"/>
  <c r="O364" i="10" s="1"/>
  <c r="P365" i="10"/>
  <c r="P364" i="10" s="1"/>
  <c r="P358" i="10" s="1"/>
  <c r="Q365" i="10"/>
  <c r="Q364" i="10" s="1"/>
  <c r="Q358" i="10" s="1"/>
  <c r="S365" i="10"/>
  <c r="S364" i="10" s="1"/>
  <c r="T365" i="10"/>
  <c r="U365" i="10"/>
  <c r="U364" i="10" s="1"/>
  <c r="U358" i="10" s="1"/>
  <c r="V365" i="10"/>
  <c r="V364" i="10" s="1"/>
  <c r="W365" i="10"/>
  <c r="W364" i="10" s="1"/>
  <c r="X365" i="10"/>
  <c r="X364" i="10" s="1"/>
  <c r="Y365" i="10"/>
  <c r="Y364" i="10" s="1"/>
  <c r="Z365" i="10"/>
  <c r="AA365" i="10" s="1"/>
  <c r="I366" i="10"/>
  <c r="I365" i="10" s="1"/>
  <c r="J366" i="10"/>
  <c r="J364" i="10" s="1"/>
  <c r="M366" i="10"/>
  <c r="N366" i="10"/>
  <c r="R366" i="10"/>
  <c r="Z366" i="10"/>
  <c r="AA366" i="10"/>
  <c r="M367" i="10"/>
  <c r="N367" i="10"/>
  <c r="R367" i="10"/>
  <c r="Z367" i="10"/>
  <c r="AA367" i="10" s="1"/>
  <c r="Z368" i="10"/>
  <c r="AA368" i="10"/>
  <c r="Z369" i="10"/>
  <c r="AA369" i="10" s="1"/>
  <c r="Z370" i="10"/>
  <c r="AA370" i="10" s="1"/>
  <c r="P371" i="10"/>
  <c r="P370" i="10" s="1"/>
  <c r="P368" i="10" s="1"/>
  <c r="Z371" i="10"/>
  <c r="AA371" i="10"/>
  <c r="P372" i="10"/>
  <c r="Q372" i="10"/>
  <c r="Q371" i="10" s="1"/>
  <c r="Q370" i="10" s="1"/>
  <c r="Q368" i="10" s="1"/>
  <c r="S372" i="10"/>
  <c r="S371" i="10" s="1"/>
  <c r="S370" i="10" s="1"/>
  <c r="S368" i="10" s="1"/>
  <c r="X372" i="10"/>
  <c r="Z372" i="10"/>
  <c r="AA372" i="10" s="1"/>
  <c r="R373" i="10"/>
  <c r="Z373" i="10"/>
  <c r="AA373" i="10" s="1"/>
  <c r="V374" i="10"/>
  <c r="X374" i="10"/>
  <c r="Y374" i="10"/>
  <c r="Z374" i="10"/>
  <c r="AA374" i="10"/>
  <c r="V375" i="10"/>
  <c r="W375" i="10"/>
  <c r="W372" i="10" s="1"/>
  <c r="X375" i="10"/>
  <c r="Y375" i="10"/>
  <c r="Y372" i="10" s="1"/>
  <c r="Z375" i="10"/>
  <c r="AA375" i="10" s="1"/>
  <c r="Z376" i="10"/>
  <c r="AA376" i="10"/>
  <c r="R377" i="10"/>
  <c r="Z377" i="10"/>
  <c r="AA377" i="10" s="1"/>
  <c r="R378" i="10"/>
  <c r="V378" i="10"/>
  <c r="X378" i="10"/>
  <c r="Y378" i="10"/>
  <c r="Z378" i="10"/>
  <c r="AA378" i="10" s="1"/>
  <c r="R379" i="10"/>
  <c r="W379" i="10"/>
  <c r="W378" i="10" s="1"/>
  <c r="Z379" i="10"/>
  <c r="AA379" i="10" s="1"/>
  <c r="Z380" i="10"/>
  <c r="AA380" i="10" s="1"/>
  <c r="W381" i="10"/>
  <c r="Z381" i="10"/>
  <c r="AA381" i="10"/>
  <c r="Z382" i="10"/>
  <c r="AA382" i="10" s="1"/>
  <c r="Z383" i="10"/>
  <c r="AA383" i="10" s="1"/>
  <c r="W384" i="10"/>
  <c r="W383" i="10" s="1"/>
  <c r="W382" i="10" s="1"/>
  <c r="W380" i="10" s="1"/>
  <c r="X384" i="10"/>
  <c r="X383" i="10" s="1"/>
  <c r="X382" i="10" s="1"/>
  <c r="X381" i="10" s="1"/>
  <c r="Y384" i="10"/>
  <c r="Y383" i="10" s="1"/>
  <c r="Y382" i="10" s="1"/>
  <c r="Z384" i="10"/>
  <c r="AA384" i="10" s="1"/>
  <c r="Z385" i="10"/>
  <c r="AA385" i="10" s="1"/>
  <c r="M386" i="10"/>
  <c r="N386" i="10"/>
  <c r="R386" i="10"/>
  <c r="Z386" i="10"/>
  <c r="AA386" i="10" s="1"/>
  <c r="Z387" i="10"/>
  <c r="AA387" i="10" s="1"/>
  <c r="J388" i="10"/>
  <c r="W388" i="10"/>
  <c r="X388" i="10"/>
  <c r="Y388" i="10"/>
  <c r="Z388" i="10"/>
  <c r="AA388" i="10" s="1"/>
  <c r="R389" i="10"/>
  <c r="Z389" i="10"/>
  <c r="AA389" i="10" s="1"/>
  <c r="Z390" i="10"/>
  <c r="AA390" i="10" s="1"/>
  <c r="V391" i="10"/>
  <c r="R391" i="10" s="1"/>
  <c r="Z391" i="10"/>
  <c r="AA391" i="10" s="1"/>
  <c r="R392" i="10"/>
  <c r="Z392" i="10"/>
  <c r="AA392" i="10" s="1"/>
  <c r="J393" i="10"/>
  <c r="K393" i="10"/>
  <c r="K387" i="10" s="1"/>
  <c r="L393" i="10"/>
  <c r="M393" i="10"/>
  <c r="N393" i="10"/>
  <c r="O393" i="10"/>
  <c r="O387" i="10" s="1"/>
  <c r="P393" i="10"/>
  <c r="Q393" i="10"/>
  <c r="S393" i="10"/>
  <c r="S387" i="10" s="1"/>
  <c r="V393" i="10"/>
  <c r="R393" i="10" s="1"/>
  <c r="W393" i="10"/>
  <c r="X393" i="10"/>
  <c r="Y393" i="10"/>
  <c r="Z393" i="10"/>
  <c r="AA393" i="10" s="1"/>
  <c r="R394" i="10"/>
  <c r="Z394" i="10"/>
  <c r="AA394" i="10"/>
  <c r="R395" i="10"/>
  <c r="Z395" i="10"/>
  <c r="AA395" i="10" s="1"/>
  <c r="R396" i="10"/>
  <c r="Z396" i="10"/>
  <c r="AA396" i="10" s="1"/>
  <c r="J397" i="10"/>
  <c r="K397" i="10"/>
  <c r="L397" i="10"/>
  <c r="L387" i="10" s="1"/>
  <c r="M397" i="10"/>
  <c r="N397" i="10"/>
  <c r="O397" i="10"/>
  <c r="P397" i="10"/>
  <c r="Q397" i="10"/>
  <c r="S397" i="10"/>
  <c r="V397" i="10"/>
  <c r="R397" i="10" s="1"/>
  <c r="W397" i="10"/>
  <c r="X397" i="10"/>
  <c r="Y397" i="10"/>
  <c r="Z397" i="10"/>
  <c r="AA397" i="10" s="1"/>
  <c r="R398" i="10"/>
  <c r="Z398" i="10"/>
  <c r="AA398" i="10" s="1"/>
  <c r="R399" i="10"/>
  <c r="Z399" i="10"/>
  <c r="AA399" i="10" s="1"/>
  <c r="R400" i="10"/>
  <c r="Z400" i="10"/>
  <c r="AA400" i="10"/>
  <c r="Z401" i="10"/>
  <c r="AA401" i="10" s="1"/>
  <c r="Z402" i="10"/>
  <c r="AA402" i="10" s="1"/>
  <c r="Z403" i="10"/>
  <c r="AA403" i="10"/>
  <c r="J404" i="10"/>
  <c r="J403" i="10" s="1"/>
  <c r="J402" i="10" s="1"/>
  <c r="J401" i="10" s="1"/>
  <c r="Z404" i="10"/>
  <c r="AA404" i="10" s="1"/>
  <c r="Z405" i="10"/>
  <c r="AA405" i="10" s="1"/>
  <c r="Z406" i="10"/>
  <c r="AA406" i="10" s="1"/>
  <c r="M407" i="10"/>
  <c r="Z407" i="10"/>
  <c r="AA407" i="10"/>
  <c r="Z408" i="10"/>
  <c r="AA408" i="10" s="1"/>
  <c r="Z409" i="10"/>
  <c r="AA409" i="10" s="1"/>
  <c r="Z410" i="10"/>
  <c r="AA410" i="10" s="1"/>
  <c r="Z411" i="10"/>
  <c r="AA411" i="10"/>
  <c r="Z412" i="10"/>
  <c r="AA412" i="10" s="1"/>
  <c r="Z413" i="10"/>
  <c r="AA413" i="10" s="1"/>
  <c r="O414" i="10"/>
  <c r="W414" i="10"/>
  <c r="Z414" i="10"/>
  <c r="AA414" i="10" s="1"/>
  <c r="J415" i="10"/>
  <c r="J414" i="10" s="1"/>
  <c r="O415" i="10"/>
  <c r="P415" i="10"/>
  <c r="P414" i="10" s="1"/>
  <c r="Q415" i="10"/>
  <c r="Q414" i="10" s="1"/>
  <c r="S415" i="10"/>
  <c r="S414" i="10" s="1"/>
  <c r="T415" i="10"/>
  <c r="T414" i="10" s="1"/>
  <c r="U415" i="10"/>
  <c r="U414" i="10" s="1"/>
  <c r="V415" i="10"/>
  <c r="V414" i="10" s="1"/>
  <c r="W415" i="10"/>
  <c r="X415" i="10"/>
  <c r="X414" i="10" s="1"/>
  <c r="Y415" i="10"/>
  <c r="Y414" i="10" s="1"/>
  <c r="Z415" i="10"/>
  <c r="AA415" i="10" s="1"/>
  <c r="R416" i="10"/>
  <c r="Z416" i="10"/>
  <c r="AA416" i="10" s="1"/>
  <c r="J417" i="10"/>
  <c r="V417" i="10"/>
  <c r="Z417" i="10"/>
  <c r="AA417" i="10"/>
  <c r="I418" i="10"/>
  <c r="I417" i="10" s="1"/>
  <c r="I413" i="10" s="1"/>
  <c r="I411" i="10" s="1"/>
  <c r="I410" i="10" s="1"/>
  <c r="I408" i="10" s="1"/>
  <c r="I406" i="10" s="1"/>
  <c r="J418" i="10"/>
  <c r="K418" i="10"/>
  <c r="K417" i="10" s="1"/>
  <c r="K413" i="10" s="1"/>
  <c r="K411" i="10" s="1"/>
  <c r="K410" i="10" s="1"/>
  <c r="K408" i="10" s="1"/>
  <c r="K406" i="10" s="1"/>
  <c r="L418" i="10"/>
  <c r="O418" i="10"/>
  <c r="P418" i="10"/>
  <c r="P417" i="10" s="1"/>
  <c r="Q418" i="10"/>
  <c r="Q417" i="10" s="1"/>
  <c r="Q413" i="10" s="1"/>
  <c r="Q411" i="10" s="1"/>
  <c r="Q410" i="10" s="1"/>
  <c r="Q408" i="10" s="1"/>
  <c r="Q406" i="10" s="1"/>
  <c r="S418" i="10"/>
  <c r="S417" i="10" s="1"/>
  <c r="S413" i="10" s="1"/>
  <c r="S411" i="10" s="1"/>
  <c r="S410" i="10" s="1"/>
  <c r="S408" i="10" s="1"/>
  <c r="S406" i="10" s="1"/>
  <c r="T418" i="10"/>
  <c r="T417" i="10" s="1"/>
  <c r="T413" i="10" s="1"/>
  <c r="T411" i="10" s="1"/>
  <c r="T410" i="10" s="1"/>
  <c r="T408" i="10" s="1"/>
  <c r="T406" i="10" s="1"/>
  <c r="U418" i="10"/>
  <c r="U417" i="10" s="1"/>
  <c r="V418" i="10"/>
  <c r="W418" i="10"/>
  <c r="W417" i="10" s="1"/>
  <c r="X418" i="10"/>
  <c r="X417" i="10" s="1"/>
  <c r="X413" i="10" s="1"/>
  <c r="Y418" i="10"/>
  <c r="Y417" i="10" s="1"/>
  <c r="Z418" i="10"/>
  <c r="AA418" i="10"/>
  <c r="M419" i="10"/>
  <c r="N419" i="10"/>
  <c r="R419" i="10"/>
  <c r="Z419" i="10"/>
  <c r="AA419" i="10" s="1"/>
  <c r="M420" i="10"/>
  <c r="N420" i="10"/>
  <c r="R420" i="10"/>
  <c r="Z420" i="10"/>
  <c r="AA420" i="10" s="1"/>
  <c r="M421" i="10"/>
  <c r="N421" i="10"/>
  <c r="R421" i="10"/>
  <c r="Z421" i="10"/>
  <c r="AA421" i="10"/>
  <c r="M422" i="10"/>
  <c r="N422" i="10"/>
  <c r="R422" i="10"/>
  <c r="Z422" i="10"/>
  <c r="AA422" i="10" s="1"/>
  <c r="M423" i="10"/>
  <c r="N423" i="10"/>
  <c r="R423" i="10"/>
  <c r="Z423" i="10"/>
  <c r="AA423" i="10"/>
  <c r="X424" i="10"/>
  <c r="Z424" i="10"/>
  <c r="AA424" i="10"/>
  <c r="T425" i="10"/>
  <c r="T424" i="10" s="1"/>
  <c r="X425" i="10"/>
  <c r="Z425" i="10"/>
  <c r="AA425" i="10"/>
  <c r="I426" i="10"/>
  <c r="I425" i="10" s="1"/>
  <c r="I424" i="10" s="1"/>
  <c r="J426" i="10"/>
  <c r="J425" i="10" s="1"/>
  <c r="J424" i="10" s="1"/>
  <c r="K426" i="10"/>
  <c r="K425" i="10" s="1"/>
  <c r="K424" i="10" s="1"/>
  <c r="L426" i="10"/>
  <c r="M426" i="10" s="1"/>
  <c r="N426" i="10"/>
  <c r="O426" i="10"/>
  <c r="O425" i="10" s="1"/>
  <c r="N425" i="10" s="1"/>
  <c r="P426" i="10"/>
  <c r="P425" i="10" s="1"/>
  <c r="P424" i="10" s="1"/>
  <c r="Q426" i="10"/>
  <c r="Q425" i="10" s="1"/>
  <c r="Q424" i="10" s="1"/>
  <c r="S426" i="10"/>
  <c r="S425" i="10" s="1"/>
  <c r="S424" i="10" s="1"/>
  <c r="T426" i="10"/>
  <c r="U426" i="10"/>
  <c r="U425" i="10" s="1"/>
  <c r="U424" i="10" s="1"/>
  <c r="V426" i="10"/>
  <c r="V425" i="10" s="1"/>
  <c r="W426" i="10"/>
  <c r="W425" i="10" s="1"/>
  <c r="W424" i="10" s="1"/>
  <c r="X426" i="10"/>
  <c r="Y426" i="10"/>
  <c r="Y425" i="10" s="1"/>
  <c r="Y424" i="10" s="1"/>
  <c r="Z426" i="10"/>
  <c r="AA426" i="10" s="1"/>
  <c r="M427" i="10"/>
  <c r="N427" i="10"/>
  <c r="R427" i="10"/>
  <c r="Z427" i="10"/>
  <c r="AA427" i="10"/>
  <c r="Z428" i="10"/>
  <c r="AA428" i="10" s="1"/>
  <c r="Z429" i="10"/>
  <c r="AA429" i="10" s="1"/>
  <c r="M430" i="10"/>
  <c r="Z430" i="10"/>
  <c r="AA430" i="10"/>
  <c r="Z431" i="10"/>
  <c r="AA431" i="10" s="1"/>
  <c r="Z432" i="10"/>
  <c r="AA432" i="10" s="1"/>
  <c r="Z433" i="10"/>
  <c r="AA433" i="10" s="1"/>
  <c r="Z434" i="10"/>
  <c r="AA434" i="10" s="1"/>
  <c r="J435" i="10"/>
  <c r="J434" i="10" s="1"/>
  <c r="J432" i="10" s="1"/>
  <c r="J431" i="10" s="1"/>
  <c r="J429" i="10" s="1"/>
  <c r="Z435" i="10"/>
  <c r="AA435" i="10" s="1"/>
  <c r="I436" i="10"/>
  <c r="I435" i="10" s="1"/>
  <c r="I434" i="10" s="1"/>
  <c r="I432" i="10" s="1"/>
  <c r="I431" i="10" s="1"/>
  <c r="I429" i="10" s="1"/>
  <c r="J436" i="10"/>
  <c r="K436" i="10"/>
  <c r="K435" i="10" s="1"/>
  <c r="K434" i="10" s="1"/>
  <c r="K432" i="10" s="1"/>
  <c r="K431" i="10" s="1"/>
  <c r="K429" i="10" s="1"/>
  <c r="L436" i="10"/>
  <c r="O436" i="10"/>
  <c r="O435" i="10" s="1"/>
  <c r="O434" i="10" s="1"/>
  <c r="O432" i="10" s="1"/>
  <c r="Q436" i="10"/>
  <c r="Q435" i="10" s="1"/>
  <c r="Q434" i="10" s="1"/>
  <c r="Q432" i="10" s="1"/>
  <c r="Q431" i="10" s="1"/>
  <c r="Q429" i="10" s="1"/>
  <c r="T436" i="10"/>
  <c r="T435" i="10" s="1"/>
  <c r="T434" i="10" s="1"/>
  <c r="T432" i="10" s="1"/>
  <c r="T431" i="10" s="1"/>
  <c r="T429" i="10" s="1"/>
  <c r="U436" i="10"/>
  <c r="U435" i="10" s="1"/>
  <c r="U434" i="10" s="1"/>
  <c r="U432" i="10" s="1"/>
  <c r="U431" i="10" s="1"/>
  <c r="U429" i="10" s="1"/>
  <c r="V436" i="10"/>
  <c r="W436" i="10"/>
  <c r="W435" i="10" s="1"/>
  <c r="W434" i="10" s="1"/>
  <c r="X436" i="10"/>
  <c r="X435" i="10" s="1"/>
  <c r="X434" i="10" s="1"/>
  <c r="X432" i="10" s="1"/>
  <c r="X431" i="10" s="1"/>
  <c r="X429" i="10" s="1"/>
  <c r="Y436" i="10"/>
  <c r="Y435" i="10" s="1"/>
  <c r="Y434" i="10" s="1"/>
  <c r="Z436" i="10"/>
  <c r="AA436" i="10"/>
  <c r="M437" i="10"/>
  <c r="N437" i="10"/>
  <c r="P437" i="10"/>
  <c r="P436" i="10" s="1"/>
  <c r="P435" i="10" s="1"/>
  <c r="P434" i="10" s="1"/>
  <c r="P432" i="10" s="1"/>
  <c r="P431" i="10" s="1"/>
  <c r="P429" i="10" s="1"/>
  <c r="R437" i="10"/>
  <c r="S437" i="10"/>
  <c r="S436" i="10" s="1"/>
  <c r="S435" i="10" s="1"/>
  <c r="S434" i="10" s="1"/>
  <c r="S432" i="10" s="1"/>
  <c r="S431" i="10" s="1"/>
  <c r="S429" i="10" s="1"/>
  <c r="Z437" i="10"/>
  <c r="AA437" i="10" s="1"/>
  <c r="Z438" i="10"/>
  <c r="AA438" i="10" s="1"/>
  <c r="M439" i="10"/>
  <c r="Z439" i="10"/>
  <c r="AA439" i="10"/>
  <c r="Z440" i="10"/>
  <c r="AA440" i="10"/>
  <c r="Z441" i="10"/>
  <c r="AA441" i="10" s="1"/>
  <c r="Z442" i="10"/>
  <c r="AA442" i="10" s="1"/>
  <c r="Z443" i="10"/>
  <c r="AA443" i="10"/>
  <c r="X444" i="10"/>
  <c r="X443" i="10" s="1"/>
  <c r="Z444" i="10"/>
  <c r="AA444" i="10" s="1"/>
  <c r="J445" i="10"/>
  <c r="J444" i="10" s="1"/>
  <c r="J443" i="10" s="1"/>
  <c r="Q445" i="10"/>
  <c r="Q444" i="10" s="1"/>
  <c r="Q443" i="10" s="1"/>
  <c r="Z445" i="10"/>
  <c r="AA445" i="10" s="1"/>
  <c r="I446" i="10"/>
  <c r="I445" i="10" s="1"/>
  <c r="I444" i="10" s="1"/>
  <c r="I443" i="10" s="1"/>
  <c r="J446" i="10"/>
  <c r="K446" i="10"/>
  <c r="L446" i="10"/>
  <c r="L445" i="10" s="1"/>
  <c r="L444" i="10" s="1"/>
  <c r="O446" i="10"/>
  <c r="O445" i="10" s="1"/>
  <c r="O444" i="10" s="1"/>
  <c r="O443" i="10" s="1"/>
  <c r="P446" i="10"/>
  <c r="P445" i="10" s="1"/>
  <c r="P444" i="10" s="1"/>
  <c r="P443" i="10" s="1"/>
  <c r="Q446" i="10"/>
  <c r="S446" i="10"/>
  <c r="S445" i="10" s="1"/>
  <c r="S444" i="10" s="1"/>
  <c r="S443" i="10" s="1"/>
  <c r="T446" i="10"/>
  <c r="T445" i="10" s="1"/>
  <c r="T444" i="10" s="1"/>
  <c r="T443" i="10" s="1"/>
  <c r="U446" i="10"/>
  <c r="U445" i="10" s="1"/>
  <c r="U444" i="10" s="1"/>
  <c r="U443" i="10" s="1"/>
  <c r="V446" i="10"/>
  <c r="V445" i="10" s="1"/>
  <c r="W446" i="10"/>
  <c r="W445" i="10" s="1"/>
  <c r="W444" i="10" s="1"/>
  <c r="W443" i="10" s="1"/>
  <c r="X446" i="10"/>
  <c r="X445" i="10" s="1"/>
  <c r="Y446" i="10"/>
  <c r="Y445" i="10" s="1"/>
  <c r="Y444" i="10" s="1"/>
  <c r="Y443" i="10" s="1"/>
  <c r="Z446" i="10"/>
  <c r="AA446" i="10" s="1"/>
  <c r="M447" i="10"/>
  <c r="N447" i="10"/>
  <c r="R447" i="10"/>
  <c r="Z447" i="10"/>
  <c r="AA447" i="10" s="1"/>
  <c r="M448" i="10"/>
  <c r="N448" i="10"/>
  <c r="R448" i="10"/>
  <c r="Z448" i="10"/>
  <c r="AA448" i="10" s="1"/>
  <c r="M449" i="10"/>
  <c r="N449" i="10"/>
  <c r="R449" i="10"/>
  <c r="Z449" i="10"/>
  <c r="AA449" i="10"/>
  <c r="M450" i="10"/>
  <c r="N450" i="10"/>
  <c r="R450" i="10"/>
  <c r="Z450" i="10"/>
  <c r="AA450" i="10" s="1"/>
  <c r="M451" i="10"/>
  <c r="N451" i="10"/>
  <c r="R451" i="10"/>
  <c r="Z451" i="10"/>
  <c r="AA451" i="10" s="1"/>
  <c r="O452" i="10"/>
  <c r="Z452" i="10"/>
  <c r="AA452" i="10"/>
  <c r="Z453" i="10"/>
  <c r="AA453" i="10" s="1"/>
  <c r="P454" i="10"/>
  <c r="P453" i="10" s="1"/>
  <c r="P452" i="10" s="1"/>
  <c r="T454" i="10"/>
  <c r="T453" i="10" s="1"/>
  <c r="T452" i="10" s="1"/>
  <c r="Z454" i="10"/>
  <c r="AA454" i="10"/>
  <c r="J455" i="10"/>
  <c r="J454" i="10" s="1"/>
  <c r="J453" i="10" s="1"/>
  <c r="J452" i="10" s="1"/>
  <c r="O455" i="10"/>
  <c r="O454" i="10" s="1"/>
  <c r="O453" i="10" s="1"/>
  <c r="P455" i="10"/>
  <c r="Q455" i="10"/>
  <c r="Q454" i="10" s="1"/>
  <c r="Q453" i="10" s="1"/>
  <c r="Q452" i="10" s="1"/>
  <c r="S455" i="10"/>
  <c r="S454" i="10" s="1"/>
  <c r="S453" i="10" s="1"/>
  <c r="S452" i="10" s="1"/>
  <c r="T455" i="10"/>
  <c r="U455" i="10"/>
  <c r="U454" i="10" s="1"/>
  <c r="U453" i="10" s="1"/>
  <c r="U452" i="10" s="1"/>
  <c r="V455" i="10"/>
  <c r="V454" i="10" s="1"/>
  <c r="V453" i="10" s="1"/>
  <c r="W455" i="10"/>
  <c r="W454" i="10" s="1"/>
  <c r="W453" i="10" s="1"/>
  <c r="W452" i="10" s="1"/>
  <c r="X455" i="10"/>
  <c r="X454" i="10" s="1"/>
  <c r="X453" i="10" s="1"/>
  <c r="X452" i="10" s="1"/>
  <c r="Y455" i="10"/>
  <c r="Y454" i="10" s="1"/>
  <c r="Y453" i="10" s="1"/>
  <c r="Y452" i="10" s="1"/>
  <c r="Z455" i="10"/>
  <c r="AA455" i="10" s="1"/>
  <c r="R456" i="10"/>
  <c r="Z456" i="10"/>
  <c r="AA456" i="10" s="1"/>
  <c r="R457" i="10"/>
  <c r="Z457" i="10"/>
  <c r="AA457" i="10"/>
  <c r="R458" i="10"/>
  <c r="Z458" i="10"/>
  <c r="AA458" i="10" s="1"/>
  <c r="Z459" i="10"/>
  <c r="AA459" i="10"/>
  <c r="Z460" i="10"/>
  <c r="AA460" i="10" s="1"/>
  <c r="J461" i="10"/>
  <c r="J460" i="10" s="1"/>
  <c r="J459" i="10" s="1"/>
  <c r="S461" i="10"/>
  <c r="S460" i="10" s="1"/>
  <c r="S459" i="10" s="1"/>
  <c r="Z461" i="10"/>
  <c r="AA461" i="10" s="1"/>
  <c r="J462" i="10"/>
  <c r="K462" i="10"/>
  <c r="K461" i="10" s="1"/>
  <c r="K460" i="10" s="1"/>
  <c r="K459" i="10" s="1"/>
  <c r="L462" i="10"/>
  <c r="O462" i="10"/>
  <c r="N462" i="10" s="1"/>
  <c r="P462" i="10"/>
  <c r="P461" i="10" s="1"/>
  <c r="P460" i="10" s="1"/>
  <c r="P459" i="10" s="1"/>
  <c r="Q462" i="10"/>
  <c r="Q461" i="10" s="1"/>
  <c r="Q460" i="10" s="1"/>
  <c r="Q459" i="10" s="1"/>
  <c r="S462" i="10"/>
  <c r="T462" i="10"/>
  <c r="T461" i="10" s="1"/>
  <c r="T460" i="10" s="1"/>
  <c r="T459" i="10" s="1"/>
  <c r="U462" i="10"/>
  <c r="U461" i="10" s="1"/>
  <c r="U460" i="10" s="1"/>
  <c r="U459" i="10" s="1"/>
  <c r="V462" i="10"/>
  <c r="W462" i="10"/>
  <c r="W461" i="10" s="1"/>
  <c r="W460" i="10" s="1"/>
  <c r="W459" i="10" s="1"/>
  <c r="X462" i="10"/>
  <c r="X461" i="10" s="1"/>
  <c r="X460" i="10" s="1"/>
  <c r="X459" i="10" s="1"/>
  <c r="Y462" i="10"/>
  <c r="Y461" i="10" s="1"/>
  <c r="Y460" i="10" s="1"/>
  <c r="Y459" i="10" s="1"/>
  <c r="Z462" i="10"/>
  <c r="AA462" i="10" s="1"/>
  <c r="M463" i="10"/>
  <c r="N463" i="10"/>
  <c r="R463" i="10"/>
  <c r="Z463" i="10"/>
  <c r="AA463" i="10" s="1"/>
  <c r="Z464" i="10"/>
  <c r="AA464" i="10" s="1"/>
  <c r="Z465" i="10"/>
  <c r="AA465" i="10" s="1"/>
  <c r="J466" i="10"/>
  <c r="J464" i="10" s="1"/>
  <c r="Z466" i="10"/>
  <c r="AA466" i="10"/>
  <c r="I467" i="10"/>
  <c r="I466" i="10" s="1"/>
  <c r="J467" i="10"/>
  <c r="K467" i="10"/>
  <c r="K466" i="10" s="1"/>
  <c r="L467" i="10"/>
  <c r="O467" i="10"/>
  <c r="P467" i="10"/>
  <c r="P466" i="10" s="1"/>
  <c r="P465" i="10" s="1"/>
  <c r="Q467" i="10"/>
  <c r="Q466" i="10" s="1"/>
  <c r="Q464" i="10" s="1"/>
  <c r="S467" i="10"/>
  <c r="S466" i="10" s="1"/>
  <c r="T467" i="10"/>
  <c r="T466" i="10" s="1"/>
  <c r="U467" i="10"/>
  <c r="U466" i="10" s="1"/>
  <c r="U465" i="10" s="1"/>
  <c r="V467" i="10"/>
  <c r="R467" i="10" s="1"/>
  <c r="W467" i="10"/>
  <c r="W466" i="10" s="1"/>
  <c r="X467" i="10"/>
  <c r="X466" i="10" s="1"/>
  <c r="Y467" i="10"/>
  <c r="Y466" i="10" s="1"/>
  <c r="Y464" i="10" s="1"/>
  <c r="Z467" i="10"/>
  <c r="AA467" i="10"/>
  <c r="M468" i="10"/>
  <c r="N468" i="10"/>
  <c r="R468" i="10"/>
  <c r="Z468" i="10"/>
  <c r="AA468" i="10" s="1"/>
  <c r="Z469" i="10"/>
  <c r="AA469" i="10"/>
  <c r="Q470" i="10"/>
  <c r="Q469" i="10" s="1"/>
  <c r="Z470" i="10"/>
  <c r="AA470" i="10" s="1"/>
  <c r="K471" i="10"/>
  <c r="K470" i="10" s="1"/>
  <c r="K469" i="10" s="1"/>
  <c r="W471" i="10"/>
  <c r="W470" i="10" s="1"/>
  <c r="W469" i="10" s="1"/>
  <c r="Z471" i="10"/>
  <c r="AA471" i="10"/>
  <c r="I472" i="10"/>
  <c r="I471" i="10" s="1"/>
  <c r="I470" i="10" s="1"/>
  <c r="I469" i="10" s="1"/>
  <c r="J472" i="10"/>
  <c r="J471" i="10" s="1"/>
  <c r="J470" i="10" s="1"/>
  <c r="J469" i="10" s="1"/>
  <c r="K472" i="10"/>
  <c r="L472" i="10"/>
  <c r="O472" i="10"/>
  <c r="N472" i="10" s="1"/>
  <c r="P472" i="10"/>
  <c r="P471" i="10" s="1"/>
  <c r="P470" i="10" s="1"/>
  <c r="P469" i="10" s="1"/>
  <c r="Q472" i="10"/>
  <c r="Q471" i="10" s="1"/>
  <c r="S472" i="10"/>
  <c r="S471" i="10" s="1"/>
  <c r="S470" i="10" s="1"/>
  <c r="S469" i="10" s="1"/>
  <c r="T472" i="10"/>
  <c r="T471" i="10" s="1"/>
  <c r="T470" i="10" s="1"/>
  <c r="T469" i="10" s="1"/>
  <c r="U472" i="10"/>
  <c r="U471" i="10" s="1"/>
  <c r="U470" i="10" s="1"/>
  <c r="U469" i="10" s="1"/>
  <c r="V472" i="10"/>
  <c r="V471" i="10" s="1"/>
  <c r="V470" i="10" s="1"/>
  <c r="W472" i="10"/>
  <c r="X472" i="10"/>
  <c r="X471" i="10" s="1"/>
  <c r="X470" i="10" s="1"/>
  <c r="X469" i="10" s="1"/>
  <c r="Y472" i="10"/>
  <c r="Y471" i="10" s="1"/>
  <c r="Y470" i="10" s="1"/>
  <c r="Y469" i="10" s="1"/>
  <c r="Z472" i="10"/>
  <c r="AA472" i="10"/>
  <c r="M473" i="10"/>
  <c r="N473" i="10"/>
  <c r="R473" i="10"/>
  <c r="Z473" i="10"/>
  <c r="AA473" i="10"/>
  <c r="R474" i="10"/>
  <c r="Z474" i="10"/>
  <c r="AA474" i="10"/>
  <c r="R475" i="10"/>
  <c r="Z475" i="10"/>
  <c r="AA475" i="10" s="1"/>
  <c r="R476" i="10"/>
  <c r="Z476" i="10"/>
  <c r="AA476" i="10" s="1"/>
  <c r="X477" i="10"/>
  <c r="Z477" i="10"/>
  <c r="AA477" i="10"/>
  <c r="Z478" i="10"/>
  <c r="AA478" i="10"/>
  <c r="Z479" i="10"/>
  <c r="AA479" i="10"/>
  <c r="J480" i="10"/>
  <c r="J479" i="10" s="1"/>
  <c r="J477" i="10" s="1"/>
  <c r="O480" i="10"/>
  <c r="O479" i="10" s="1"/>
  <c r="O477" i="10" s="1"/>
  <c r="W480" i="10"/>
  <c r="W479" i="10" s="1"/>
  <c r="W477" i="10" s="1"/>
  <c r="Z480" i="10"/>
  <c r="AA480" i="10" s="1"/>
  <c r="J481" i="10"/>
  <c r="O481" i="10"/>
  <c r="P481" i="10"/>
  <c r="P480" i="10" s="1"/>
  <c r="P479" i="10" s="1"/>
  <c r="P477" i="10" s="1"/>
  <c r="Q481" i="10"/>
  <c r="Q480" i="10" s="1"/>
  <c r="Q479" i="10" s="1"/>
  <c r="Q477" i="10" s="1"/>
  <c r="S481" i="10"/>
  <c r="S480" i="10" s="1"/>
  <c r="S479" i="10" s="1"/>
  <c r="S477" i="10" s="1"/>
  <c r="T481" i="10"/>
  <c r="T480" i="10" s="1"/>
  <c r="T479" i="10" s="1"/>
  <c r="T477" i="10" s="1"/>
  <c r="U481" i="10"/>
  <c r="U480" i="10" s="1"/>
  <c r="U479" i="10" s="1"/>
  <c r="U477" i="10" s="1"/>
  <c r="V481" i="10"/>
  <c r="V480" i="10" s="1"/>
  <c r="W481" i="10"/>
  <c r="X481" i="10"/>
  <c r="X480" i="10" s="1"/>
  <c r="X479" i="10" s="1"/>
  <c r="X478" i="10" s="1"/>
  <c r="Y481" i="10"/>
  <c r="Y480" i="10" s="1"/>
  <c r="Y479" i="10" s="1"/>
  <c r="Z481" i="10"/>
  <c r="AA481" i="10" s="1"/>
  <c r="R482" i="10"/>
  <c r="Z482" i="10"/>
  <c r="AA482" i="10" s="1"/>
  <c r="Z483" i="10"/>
  <c r="AA483" i="10"/>
  <c r="V484" i="10"/>
  <c r="Z484" i="10"/>
  <c r="AA484" i="10" s="1"/>
  <c r="S485" i="10"/>
  <c r="S484" i="10" s="1"/>
  <c r="S483" i="10" s="1"/>
  <c r="Z485" i="10"/>
  <c r="AA485" i="10" s="1"/>
  <c r="J486" i="10"/>
  <c r="J485" i="10" s="1"/>
  <c r="J484" i="10" s="1"/>
  <c r="J483" i="10" s="1"/>
  <c r="O486" i="10"/>
  <c r="O485" i="10" s="1"/>
  <c r="O484" i="10" s="1"/>
  <c r="O483" i="10" s="1"/>
  <c r="P486" i="10"/>
  <c r="P485" i="10" s="1"/>
  <c r="P484" i="10" s="1"/>
  <c r="P483" i="10" s="1"/>
  <c r="Q486" i="10"/>
  <c r="Q485" i="10" s="1"/>
  <c r="Q484" i="10" s="1"/>
  <c r="Q483" i="10" s="1"/>
  <c r="S486" i="10"/>
  <c r="T486" i="10"/>
  <c r="T485" i="10" s="1"/>
  <c r="T484" i="10" s="1"/>
  <c r="T483" i="10" s="1"/>
  <c r="U486" i="10"/>
  <c r="U485" i="10" s="1"/>
  <c r="U484" i="10" s="1"/>
  <c r="U483" i="10" s="1"/>
  <c r="V486" i="10"/>
  <c r="V485" i="10" s="1"/>
  <c r="W486" i="10"/>
  <c r="W485" i="10" s="1"/>
  <c r="W484" i="10" s="1"/>
  <c r="W483" i="10" s="1"/>
  <c r="X486" i="10"/>
  <c r="X485" i="10" s="1"/>
  <c r="X484" i="10" s="1"/>
  <c r="X483" i="10" s="1"/>
  <c r="Y486" i="10"/>
  <c r="Y485" i="10" s="1"/>
  <c r="Y484" i="10" s="1"/>
  <c r="Y483" i="10" s="1"/>
  <c r="Z486" i="10"/>
  <c r="AA486" i="10" s="1"/>
  <c r="R487" i="10"/>
  <c r="Z487" i="10"/>
  <c r="AA487" i="10"/>
  <c r="Z488" i="10"/>
  <c r="AA488" i="10" s="1"/>
  <c r="Z489" i="10"/>
  <c r="AA489" i="10" s="1"/>
  <c r="Z490" i="10"/>
  <c r="AA490" i="10" s="1"/>
  <c r="Z491" i="10"/>
  <c r="AA491" i="10" s="1"/>
  <c r="J492" i="10"/>
  <c r="J491" i="10" s="1"/>
  <c r="J489" i="10" s="1"/>
  <c r="V492" i="10"/>
  <c r="V491" i="10" s="1"/>
  <c r="V489" i="10" s="1"/>
  <c r="Z492" i="10"/>
  <c r="AA492" i="10"/>
  <c r="I493" i="10"/>
  <c r="I492" i="10" s="1"/>
  <c r="I491" i="10" s="1"/>
  <c r="I489" i="10" s="1"/>
  <c r="J493" i="10"/>
  <c r="K493" i="10"/>
  <c r="K492" i="10" s="1"/>
  <c r="K491" i="10" s="1"/>
  <c r="K489" i="10" s="1"/>
  <c r="L493" i="10"/>
  <c r="O493" i="10"/>
  <c r="P493" i="10"/>
  <c r="Q493" i="10"/>
  <c r="S493" i="10"/>
  <c r="T493" i="10"/>
  <c r="U493" i="10"/>
  <c r="V493" i="10"/>
  <c r="W493" i="10"/>
  <c r="X493" i="10"/>
  <c r="Y493" i="10"/>
  <c r="Z493" i="10"/>
  <c r="AA493" i="10" s="1"/>
  <c r="M494" i="10"/>
  <c r="N494" i="10"/>
  <c r="R494" i="10"/>
  <c r="Z494" i="10"/>
  <c r="AA494" i="10"/>
  <c r="I495" i="10"/>
  <c r="J495" i="10"/>
  <c r="K495" i="10"/>
  <c r="L495" i="10"/>
  <c r="M495" i="10" s="1"/>
  <c r="O495" i="10"/>
  <c r="N495" i="10" s="1"/>
  <c r="P495" i="10"/>
  <c r="Q495" i="10"/>
  <c r="S495" i="10"/>
  <c r="T495" i="10"/>
  <c r="U495" i="10"/>
  <c r="V495" i="10"/>
  <c r="W495" i="10"/>
  <c r="X495" i="10"/>
  <c r="Y495" i="10"/>
  <c r="Z495" i="10"/>
  <c r="AA495" i="10"/>
  <c r="M496" i="10"/>
  <c r="N496" i="10"/>
  <c r="R496" i="10"/>
  <c r="Z496" i="10"/>
  <c r="AA496" i="10" s="1"/>
  <c r="Z497" i="10"/>
  <c r="AA497" i="10" s="1"/>
  <c r="Z498" i="10"/>
  <c r="AA498" i="10" s="1"/>
  <c r="Z499" i="10"/>
  <c r="AA499" i="10"/>
  <c r="Z500" i="10"/>
  <c r="AA500" i="10" s="1"/>
  <c r="I501" i="10"/>
  <c r="I500" i="10" s="1"/>
  <c r="I499" i="10" s="1"/>
  <c r="I497" i="10" s="1"/>
  <c r="J501" i="10"/>
  <c r="K501" i="10"/>
  <c r="L501" i="10"/>
  <c r="M501" i="10"/>
  <c r="O501" i="10"/>
  <c r="P501" i="10"/>
  <c r="Q501" i="10"/>
  <c r="S501" i="10"/>
  <c r="T501" i="10"/>
  <c r="U501" i="10"/>
  <c r="V501" i="10"/>
  <c r="V500" i="10" s="1"/>
  <c r="W501" i="10"/>
  <c r="X501" i="10"/>
  <c r="Y501" i="10"/>
  <c r="Z501" i="10"/>
  <c r="AA501" i="10" s="1"/>
  <c r="M502" i="10"/>
  <c r="N502" i="10"/>
  <c r="R502" i="10"/>
  <c r="Z502" i="10"/>
  <c r="AA502" i="10" s="1"/>
  <c r="M503" i="10"/>
  <c r="N503" i="10"/>
  <c r="R503" i="10"/>
  <c r="Z503" i="10"/>
  <c r="AA503" i="10"/>
  <c r="R504" i="10"/>
  <c r="Z504" i="10"/>
  <c r="AA504" i="10" s="1"/>
  <c r="M505" i="10"/>
  <c r="N505" i="10"/>
  <c r="R505" i="10"/>
  <c r="Z505" i="10"/>
  <c r="AA505" i="10"/>
  <c r="M506" i="10"/>
  <c r="N506" i="10"/>
  <c r="R506" i="10"/>
  <c r="Z506" i="10"/>
  <c r="AA506" i="10" s="1"/>
  <c r="M507" i="10"/>
  <c r="N507" i="10"/>
  <c r="R507" i="10"/>
  <c r="Z507" i="10"/>
  <c r="AA507" i="10" s="1"/>
  <c r="M508" i="10"/>
  <c r="N508" i="10"/>
  <c r="R508" i="10"/>
  <c r="Z508" i="10"/>
  <c r="AA508" i="10"/>
  <c r="M509" i="10"/>
  <c r="N509" i="10"/>
  <c r="R509" i="10"/>
  <c r="Z509" i="10"/>
  <c r="AA509" i="10" s="1"/>
  <c r="I510" i="10"/>
  <c r="J510" i="10"/>
  <c r="K510" i="10"/>
  <c r="M510" i="10" s="1"/>
  <c r="L510" i="10"/>
  <c r="O510" i="10"/>
  <c r="P510" i="10"/>
  <c r="Q510" i="10"/>
  <c r="S510" i="10"/>
  <c r="T510" i="10"/>
  <c r="U510" i="10"/>
  <c r="V510" i="10"/>
  <c r="W510" i="10"/>
  <c r="X510" i="10"/>
  <c r="Y510" i="10"/>
  <c r="Y500" i="10" s="1"/>
  <c r="Y499" i="10" s="1"/>
  <c r="Z510" i="10"/>
  <c r="AA510" i="10"/>
  <c r="M511" i="10"/>
  <c r="N511" i="10"/>
  <c r="R511" i="10"/>
  <c r="Z511" i="10"/>
  <c r="AA511" i="10" s="1"/>
  <c r="I512" i="10"/>
  <c r="J512" i="10"/>
  <c r="K512" i="10"/>
  <c r="L512" i="10"/>
  <c r="L500" i="10" s="1"/>
  <c r="L499" i="10" s="1"/>
  <c r="M512" i="10"/>
  <c r="O512" i="10"/>
  <c r="P512" i="10"/>
  <c r="Q512" i="10"/>
  <c r="S512" i="10"/>
  <c r="T512" i="10"/>
  <c r="U512" i="10"/>
  <c r="V512" i="10"/>
  <c r="R512" i="10" s="1"/>
  <c r="W512" i="10"/>
  <c r="X512" i="10"/>
  <c r="Y512" i="10"/>
  <c r="Z512" i="10"/>
  <c r="AA512" i="10"/>
  <c r="M513" i="10"/>
  <c r="N513" i="10"/>
  <c r="R513" i="10"/>
  <c r="Z513" i="10"/>
  <c r="AA513" i="10" s="1"/>
  <c r="Z514" i="10"/>
  <c r="AA514" i="10" s="1"/>
  <c r="Z515" i="10"/>
  <c r="AA515" i="10"/>
  <c r="Z516" i="10"/>
  <c r="AA516" i="10"/>
  <c r="P517" i="10"/>
  <c r="P516" i="10" s="1"/>
  <c r="P514" i="10" s="1"/>
  <c r="Q517" i="10"/>
  <c r="Q516" i="10" s="1"/>
  <c r="Q514" i="10" s="1"/>
  <c r="Y517" i="10"/>
  <c r="Y516" i="10" s="1"/>
  <c r="Y514" i="10" s="1"/>
  <c r="Z517" i="10"/>
  <c r="AA517" i="10"/>
  <c r="P518" i="10"/>
  <c r="Q518" i="10"/>
  <c r="W518" i="10"/>
  <c r="W517" i="10" s="1"/>
  <c r="W516" i="10" s="1"/>
  <c r="X518" i="10"/>
  <c r="X517" i="10" s="1"/>
  <c r="X516" i="10" s="1"/>
  <c r="Y518" i="10"/>
  <c r="Z518" i="10"/>
  <c r="AA518" i="10"/>
  <c r="R519" i="10"/>
  <c r="Z519" i="10"/>
  <c r="AA519" i="10"/>
  <c r="R520" i="10"/>
  <c r="Z520" i="10"/>
  <c r="AA520" i="10" s="1"/>
  <c r="V521" i="10"/>
  <c r="Z521" i="10"/>
  <c r="AA521" i="10"/>
  <c r="Z522" i="10"/>
  <c r="AA522" i="10" s="1"/>
  <c r="M523" i="10"/>
  <c r="N523" i="10"/>
  <c r="R523" i="10"/>
  <c r="Z523" i="10"/>
  <c r="AA523" i="10"/>
  <c r="N524" i="10"/>
  <c r="R524" i="10"/>
  <c r="Z524" i="10"/>
  <c r="AA524" i="10"/>
  <c r="M525" i="10"/>
  <c r="N525" i="10"/>
  <c r="R525" i="10"/>
  <c r="Z525" i="10"/>
  <c r="AA525" i="10" s="1"/>
  <c r="R526" i="10"/>
  <c r="Z526" i="10"/>
  <c r="AA526" i="10"/>
  <c r="Z529" i="10"/>
  <c r="AA529" i="10" s="1"/>
  <c r="Z530" i="10"/>
  <c r="AA530" i="10"/>
  <c r="K531" i="10"/>
  <c r="K530" i="10" s="1"/>
  <c r="K529" i="10" s="1"/>
  <c r="P531" i="10"/>
  <c r="P530" i="10" s="1"/>
  <c r="P529" i="10" s="1"/>
  <c r="S531" i="10"/>
  <c r="S530" i="10" s="1"/>
  <c r="S529" i="10" s="1"/>
  <c r="Z531" i="10"/>
  <c r="AA531" i="10"/>
  <c r="I532" i="10"/>
  <c r="I531" i="10" s="1"/>
  <c r="I530" i="10" s="1"/>
  <c r="I529" i="10" s="1"/>
  <c r="J532" i="10"/>
  <c r="J531" i="10" s="1"/>
  <c r="J530" i="10" s="1"/>
  <c r="J529" i="10" s="1"/>
  <c r="K532" i="10"/>
  <c r="L532" i="10"/>
  <c r="L531" i="10" s="1"/>
  <c r="O532" i="10"/>
  <c r="P532" i="10"/>
  <c r="Q532" i="10"/>
  <c r="Q531" i="10" s="1"/>
  <c r="Q530" i="10" s="1"/>
  <c r="Q529" i="10" s="1"/>
  <c r="S532" i="10"/>
  <c r="T532" i="10"/>
  <c r="T531" i="10" s="1"/>
  <c r="T530" i="10" s="1"/>
  <c r="T529" i="10" s="1"/>
  <c r="U532" i="10"/>
  <c r="U531" i="10" s="1"/>
  <c r="U530" i="10" s="1"/>
  <c r="U529" i="10" s="1"/>
  <c r="V532" i="10"/>
  <c r="R532" i="10" s="1"/>
  <c r="W532" i="10"/>
  <c r="W531" i="10" s="1"/>
  <c r="W530" i="10" s="1"/>
  <c r="W529" i="10" s="1"/>
  <c r="X532" i="10"/>
  <c r="X531" i="10" s="1"/>
  <c r="X530" i="10" s="1"/>
  <c r="X529" i="10" s="1"/>
  <c r="Y532" i="10"/>
  <c r="Y531" i="10" s="1"/>
  <c r="Y530" i="10" s="1"/>
  <c r="Y529" i="10" s="1"/>
  <c r="Z532" i="10"/>
  <c r="AA532" i="10" s="1"/>
  <c r="M533" i="10"/>
  <c r="N533" i="10"/>
  <c r="R533" i="10"/>
  <c r="Z533" i="10"/>
  <c r="AA533" i="10"/>
  <c r="Z534" i="10"/>
  <c r="AA534" i="10" s="1"/>
  <c r="Z535" i="10"/>
  <c r="AA535" i="10" s="1"/>
  <c r="K536" i="10"/>
  <c r="K535" i="10" s="1"/>
  <c r="K534" i="10" s="1"/>
  <c r="V536" i="10"/>
  <c r="V535" i="10" s="1"/>
  <c r="V534" i="10" s="1"/>
  <c r="W536" i="10"/>
  <c r="W535" i="10" s="1"/>
  <c r="W534" i="10" s="1"/>
  <c r="Z536" i="10"/>
  <c r="AA536" i="10"/>
  <c r="I537" i="10"/>
  <c r="I536" i="10" s="1"/>
  <c r="I535" i="10" s="1"/>
  <c r="I534" i="10" s="1"/>
  <c r="J537" i="10"/>
  <c r="J536" i="10" s="1"/>
  <c r="J535" i="10" s="1"/>
  <c r="J534" i="10" s="1"/>
  <c r="K537" i="10"/>
  <c r="L537" i="10"/>
  <c r="O537" i="10"/>
  <c r="N537" i="10" s="1"/>
  <c r="P537" i="10"/>
  <c r="P536" i="10" s="1"/>
  <c r="P535" i="10" s="1"/>
  <c r="P534" i="10" s="1"/>
  <c r="Q537" i="10"/>
  <c r="Q536" i="10" s="1"/>
  <c r="Q535" i="10" s="1"/>
  <c r="Q534" i="10" s="1"/>
  <c r="S537" i="10"/>
  <c r="S536" i="10" s="1"/>
  <c r="S535" i="10" s="1"/>
  <c r="S534" i="10" s="1"/>
  <c r="T537" i="10"/>
  <c r="T536" i="10" s="1"/>
  <c r="T535" i="10" s="1"/>
  <c r="T534" i="10" s="1"/>
  <c r="U537" i="10"/>
  <c r="U536" i="10" s="1"/>
  <c r="U535" i="10" s="1"/>
  <c r="U534" i="10" s="1"/>
  <c r="V537" i="10"/>
  <c r="W537" i="10"/>
  <c r="X537" i="10"/>
  <c r="X536" i="10" s="1"/>
  <c r="X535" i="10" s="1"/>
  <c r="X534" i="10" s="1"/>
  <c r="Y537" i="10"/>
  <c r="Y536" i="10" s="1"/>
  <c r="Y535" i="10" s="1"/>
  <c r="Y534" i="10" s="1"/>
  <c r="Z537" i="10"/>
  <c r="AA537" i="10"/>
  <c r="M538" i="10"/>
  <c r="N538" i="10"/>
  <c r="R538" i="10"/>
  <c r="Z538" i="10"/>
  <c r="AA538" i="10" s="1"/>
  <c r="Y539" i="10"/>
  <c r="Z539" i="10"/>
  <c r="AA539" i="10"/>
  <c r="Z540" i="10"/>
  <c r="AA540" i="10"/>
  <c r="Z541" i="10"/>
  <c r="AA541" i="10" s="1"/>
  <c r="P542" i="10"/>
  <c r="P541" i="10" s="1"/>
  <c r="P539" i="10" s="1"/>
  <c r="Z542" i="10"/>
  <c r="AA542" i="10"/>
  <c r="J543" i="10"/>
  <c r="J542" i="10" s="1"/>
  <c r="J541" i="10" s="1"/>
  <c r="J539" i="10" s="1"/>
  <c r="O543" i="10"/>
  <c r="O542" i="10" s="1"/>
  <c r="O541" i="10" s="1"/>
  <c r="O539" i="10" s="1"/>
  <c r="P543" i="10"/>
  <c r="Q543" i="10"/>
  <c r="Q542" i="10" s="1"/>
  <c r="Q541" i="10" s="1"/>
  <c r="Q539" i="10" s="1"/>
  <c r="S543" i="10"/>
  <c r="S542" i="10" s="1"/>
  <c r="S541" i="10" s="1"/>
  <c r="S539" i="10" s="1"/>
  <c r="T543" i="10"/>
  <c r="T542" i="10" s="1"/>
  <c r="T541" i="10" s="1"/>
  <c r="T539" i="10" s="1"/>
  <c r="U543" i="10"/>
  <c r="U542" i="10" s="1"/>
  <c r="U541" i="10" s="1"/>
  <c r="U539" i="10" s="1"/>
  <c r="V543" i="10"/>
  <c r="V542" i="10" s="1"/>
  <c r="W543" i="10"/>
  <c r="W542" i="10" s="1"/>
  <c r="W541" i="10" s="1"/>
  <c r="X543" i="10"/>
  <c r="X542" i="10" s="1"/>
  <c r="X541" i="10" s="1"/>
  <c r="X539" i="10" s="1"/>
  <c r="Y543" i="10"/>
  <c r="Y542" i="10" s="1"/>
  <c r="Y541" i="10" s="1"/>
  <c r="Y540" i="10" s="1"/>
  <c r="Z543" i="10"/>
  <c r="AA543" i="10" s="1"/>
  <c r="R544" i="10"/>
  <c r="Z544" i="10"/>
  <c r="AA544" i="10" s="1"/>
  <c r="R545" i="10"/>
  <c r="Z545" i="10"/>
  <c r="AA545" i="10"/>
  <c r="R546" i="10"/>
  <c r="Z546" i="10"/>
  <c r="AA546" i="10" s="1"/>
  <c r="O547" i="10"/>
  <c r="Z547" i="10"/>
  <c r="AA547" i="10" s="1"/>
  <c r="Z548" i="10"/>
  <c r="AA548" i="10" s="1"/>
  <c r="Z549" i="10"/>
  <c r="AA549" i="10" s="1"/>
  <c r="J550" i="10"/>
  <c r="J549" i="10" s="1"/>
  <c r="J547" i="10" s="1"/>
  <c r="V550" i="10"/>
  <c r="V549" i="10" s="1"/>
  <c r="Z550" i="10"/>
  <c r="AA550" i="10" s="1"/>
  <c r="J551" i="10"/>
  <c r="O551" i="10"/>
  <c r="O550" i="10" s="1"/>
  <c r="O549" i="10" s="1"/>
  <c r="P551" i="10"/>
  <c r="P550" i="10" s="1"/>
  <c r="Q551" i="10"/>
  <c r="Q550" i="10" s="1"/>
  <c r="Q549" i="10" s="1"/>
  <c r="Q547" i="10" s="1"/>
  <c r="S551" i="10"/>
  <c r="S550" i="10" s="1"/>
  <c r="S549" i="10" s="1"/>
  <c r="S547" i="10" s="1"/>
  <c r="T551" i="10"/>
  <c r="T550" i="10" s="1"/>
  <c r="T549" i="10" s="1"/>
  <c r="T547" i="10" s="1"/>
  <c r="U551" i="10"/>
  <c r="U550" i="10" s="1"/>
  <c r="U549" i="10" s="1"/>
  <c r="U547" i="10" s="1"/>
  <c r="V551" i="10"/>
  <c r="W551" i="10"/>
  <c r="W550" i="10" s="1"/>
  <c r="W549" i="10" s="1"/>
  <c r="W548" i="10" s="1"/>
  <c r="X551" i="10"/>
  <c r="X550" i="10" s="1"/>
  <c r="X549" i="10" s="1"/>
  <c r="Y551" i="10"/>
  <c r="Y550" i="10" s="1"/>
  <c r="Y549" i="10" s="1"/>
  <c r="Z551" i="10"/>
  <c r="AA551" i="10"/>
  <c r="R552" i="10"/>
  <c r="Z552" i="10"/>
  <c r="AA552" i="10" s="1"/>
  <c r="Z553" i="10"/>
  <c r="AA553" i="10"/>
  <c r="I554" i="10"/>
  <c r="P554" i="10"/>
  <c r="Z554" i="10"/>
  <c r="AA554" i="10"/>
  <c r="Z555" i="10"/>
  <c r="AA555" i="10" s="1"/>
  <c r="Z556" i="10"/>
  <c r="AA556" i="10" s="1"/>
  <c r="J557" i="10"/>
  <c r="J556" i="10" s="1"/>
  <c r="J554" i="10" s="1"/>
  <c r="V557" i="10"/>
  <c r="R557" i="10" s="1"/>
  <c r="Z557" i="10"/>
  <c r="AA557" i="10" s="1"/>
  <c r="J558" i="10"/>
  <c r="K558" i="10"/>
  <c r="K557" i="10" s="1"/>
  <c r="K556" i="10" s="1"/>
  <c r="K554" i="10" s="1"/>
  <c r="L558" i="10"/>
  <c r="L557" i="10" s="1"/>
  <c r="O558" i="10"/>
  <c r="P558" i="10"/>
  <c r="P557" i="10" s="1"/>
  <c r="P556" i="10" s="1"/>
  <c r="Q558" i="10"/>
  <c r="Q557" i="10" s="1"/>
  <c r="Q556" i="10" s="1"/>
  <c r="Q554" i="10" s="1"/>
  <c r="S558" i="10"/>
  <c r="S557" i="10" s="1"/>
  <c r="S556" i="10" s="1"/>
  <c r="S554" i="10" s="1"/>
  <c r="T558" i="10"/>
  <c r="T557" i="10" s="1"/>
  <c r="T556" i="10" s="1"/>
  <c r="T554" i="10" s="1"/>
  <c r="V558" i="10"/>
  <c r="R558" i="10" s="1"/>
  <c r="W558" i="10"/>
  <c r="W557" i="10" s="1"/>
  <c r="W556" i="10" s="1"/>
  <c r="X558" i="10"/>
  <c r="X557" i="10" s="1"/>
  <c r="X556" i="10" s="1"/>
  <c r="X555" i="10" s="1"/>
  <c r="Y558" i="10"/>
  <c r="Y557" i="10" s="1"/>
  <c r="Y556" i="10" s="1"/>
  <c r="Z558" i="10"/>
  <c r="AA558" i="10"/>
  <c r="R559" i="10"/>
  <c r="U559" i="10"/>
  <c r="U558" i="10" s="1"/>
  <c r="U557" i="10" s="1"/>
  <c r="U556" i="10" s="1"/>
  <c r="U554" i="10" s="1"/>
  <c r="Z559" i="10"/>
  <c r="AA559" i="10"/>
  <c r="M560" i="10"/>
  <c r="N560" i="10"/>
  <c r="R560" i="10"/>
  <c r="Z560" i="10"/>
  <c r="AA560" i="10" s="1"/>
  <c r="Z561" i="10"/>
  <c r="AA561" i="10" s="1"/>
  <c r="Z562" i="10"/>
  <c r="AA562" i="10"/>
  <c r="Z563" i="10"/>
  <c r="AA563" i="10" s="1"/>
  <c r="Z564" i="10"/>
  <c r="AA564" i="10" s="1"/>
  <c r="W565" i="10"/>
  <c r="W564" i="10" s="1"/>
  <c r="W563" i="10" s="1"/>
  <c r="W562" i="10" s="1"/>
  <c r="X565" i="10"/>
  <c r="X564" i="10" s="1"/>
  <c r="X563" i="10" s="1"/>
  <c r="X562" i="10" s="1"/>
  <c r="Y565" i="10"/>
  <c r="Y564" i="10" s="1"/>
  <c r="Y563" i="10" s="1"/>
  <c r="Y562" i="10" s="1"/>
  <c r="Z565" i="10"/>
  <c r="AA565" i="10"/>
  <c r="Z566" i="10"/>
  <c r="AA566" i="10" s="1"/>
  <c r="Z567" i="10"/>
  <c r="AA567" i="10"/>
  <c r="Z568" i="10"/>
  <c r="AA568" i="10" s="1"/>
  <c r="Z569" i="10"/>
  <c r="AA569" i="10"/>
  <c r="Z570" i="10"/>
  <c r="AA570" i="10" s="1"/>
  <c r="Z571" i="10"/>
  <c r="AA571" i="10" s="1"/>
  <c r="Z572" i="10"/>
  <c r="AA572" i="10" s="1"/>
  <c r="W573" i="10"/>
  <c r="X573" i="10"/>
  <c r="Y573" i="10"/>
  <c r="Z573" i="10"/>
  <c r="AA573" i="10" s="1"/>
  <c r="Z574" i="10"/>
  <c r="AA574" i="10" s="1"/>
  <c r="I575" i="10"/>
  <c r="J575" i="10"/>
  <c r="K575" i="10"/>
  <c r="L575" i="10"/>
  <c r="O575" i="10"/>
  <c r="P575" i="10"/>
  <c r="Q575" i="10"/>
  <c r="S575" i="10"/>
  <c r="T575" i="10"/>
  <c r="U575" i="10"/>
  <c r="V575" i="10"/>
  <c r="W575" i="10"/>
  <c r="X575" i="10"/>
  <c r="Y575" i="10"/>
  <c r="Z575" i="10"/>
  <c r="AA575" i="10" s="1"/>
  <c r="M576" i="10"/>
  <c r="N576" i="10"/>
  <c r="R576" i="10"/>
  <c r="Z576" i="10"/>
  <c r="AA576" i="10"/>
  <c r="M577" i="10"/>
  <c r="N577" i="10"/>
  <c r="R577" i="10"/>
  <c r="Z577" i="10"/>
  <c r="AA577" i="10" s="1"/>
  <c r="M578" i="10"/>
  <c r="N578" i="10"/>
  <c r="R578" i="10"/>
  <c r="Z578" i="10"/>
  <c r="AA578" i="10" s="1"/>
  <c r="M579" i="10"/>
  <c r="N579" i="10"/>
  <c r="R579" i="10"/>
  <c r="Z579" i="10"/>
  <c r="AA579" i="10" s="1"/>
  <c r="R580" i="10"/>
  <c r="Z580" i="10"/>
  <c r="AA580" i="10" s="1"/>
  <c r="M581" i="10"/>
  <c r="N581" i="10"/>
  <c r="R581" i="10"/>
  <c r="Z581" i="10"/>
  <c r="AA581" i="10"/>
  <c r="M582" i="10"/>
  <c r="N582" i="10"/>
  <c r="R582" i="10"/>
  <c r="Z582" i="10"/>
  <c r="AA582" i="10" s="1"/>
  <c r="R583" i="10"/>
  <c r="Z583" i="10"/>
  <c r="AA583" i="10"/>
  <c r="M584" i="10"/>
  <c r="N584" i="10"/>
  <c r="R584" i="10"/>
  <c r="Z584" i="10"/>
  <c r="AA584" i="10" s="1"/>
  <c r="M585" i="10"/>
  <c r="N585" i="10"/>
  <c r="R585" i="10"/>
  <c r="Z585" i="10"/>
  <c r="AA585" i="10" s="1"/>
  <c r="I586" i="10"/>
  <c r="J586" i="10"/>
  <c r="K586" i="10"/>
  <c r="L586" i="10"/>
  <c r="O586" i="10"/>
  <c r="P586" i="10"/>
  <c r="Q586" i="10"/>
  <c r="S586" i="10"/>
  <c r="T586" i="10"/>
  <c r="U586" i="10"/>
  <c r="V586" i="10"/>
  <c r="R586" i="10" s="1"/>
  <c r="W586" i="10"/>
  <c r="X586" i="10"/>
  <c r="Y586" i="10"/>
  <c r="Z586" i="10"/>
  <c r="AA586" i="10" s="1"/>
  <c r="M587" i="10"/>
  <c r="N587" i="10"/>
  <c r="R587" i="10"/>
  <c r="Z587" i="10"/>
  <c r="AA587" i="10" s="1"/>
  <c r="M588" i="10"/>
  <c r="N588" i="10"/>
  <c r="R588" i="10"/>
  <c r="Z588" i="10"/>
  <c r="AA588" i="10"/>
  <c r="I589" i="10"/>
  <c r="J589" i="10"/>
  <c r="J572" i="10" s="1"/>
  <c r="J571" i="10" s="1"/>
  <c r="J561" i="10" s="1"/>
  <c r="K589" i="10"/>
  <c r="L589" i="10"/>
  <c r="M589" i="10" s="1"/>
  <c r="N589" i="10"/>
  <c r="O589" i="10"/>
  <c r="P589" i="10"/>
  <c r="Q589" i="10"/>
  <c r="S589" i="10"/>
  <c r="T589" i="10"/>
  <c r="U589" i="10"/>
  <c r="U572" i="10" s="1"/>
  <c r="U571" i="10" s="1"/>
  <c r="U561" i="10" s="1"/>
  <c r="V589" i="10"/>
  <c r="W589" i="10"/>
  <c r="X589" i="10"/>
  <c r="Y589" i="10"/>
  <c r="Y572" i="10" s="1"/>
  <c r="Y571" i="10" s="1"/>
  <c r="Z589" i="10"/>
  <c r="AA589" i="10" s="1"/>
  <c r="M590" i="10"/>
  <c r="N590" i="10"/>
  <c r="R590" i="10"/>
  <c r="Z590" i="10"/>
  <c r="AA590" i="10"/>
  <c r="M591" i="10"/>
  <c r="N591" i="10"/>
  <c r="R591" i="10"/>
  <c r="Z591" i="10"/>
  <c r="AA591" i="10" s="1"/>
  <c r="Z592" i="10"/>
  <c r="AA592" i="10" s="1"/>
  <c r="Z593" i="10"/>
  <c r="AA593" i="10" s="1"/>
  <c r="Z594" i="10"/>
  <c r="AA594" i="10"/>
  <c r="I595" i="10"/>
  <c r="J595" i="10"/>
  <c r="J594" i="10" s="1"/>
  <c r="J593" i="10" s="1"/>
  <c r="J592" i="10" s="1"/>
  <c r="K595" i="10"/>
  <c r="L595" i="10"/>
  <c r="O595" i="10"/>
  <c r="P595" i="10"/>
  <c r="P594" i="10" s="1"/>
  <c r="P593" i="10" s="1"/>
  <c r="P592" i="10" s="1"/>
  <c r="Q595" i="10"/>
  <c r="S595" i="10"/>
  <c r="S594" i="10" s="1"/>
  <c r="S593" i="10" s="1"/>
  <c r="S592" i="10" s="1"/>
  <c r="T595" i="10"/>
  <c r="U595" i="10"/>
  <c r="U594" i="10" s="1"/>
  <c r="U593" i="10" s="1"/>
  <c r="U592" i="10" s="1"/>
  <c r="V595" i="10"/>
  <c r="W595" i="10"/>
  <c r="W594" i="10" s="1"/>
  <c r="W593" i="10" s="1"/>
  <c r="W592" i="10" s="1"/>
  <c r="X595" i="10"/>
  <c r="Y595" i="10"/>
  <c r="Y594" i="10" s="1"/>
  <c r="Y593" i="10" s="1"/>
  <c r="Y592" i="10" s="1"/>
  <c r="Z595" i="10"/>
  <c r="AA595" i="10"/>
  <c r="M596" i="10"/>
  <c r="N596" i="10"/>
  <c r="R596" i="10"/>
  <c r="Z596" i="10"/>
  <c r="AA596" i="10" s="1"/>
  <c r="I597" i="10"/>
  <c r="J597" i="10"/>
  <c r="K597" i="10"/>
  <c r="K594" i="10" s="1"/>
  <c r="K593" i="10" s="1"/>
  <c r="K592" i="10" s="1"/>
  <c r="L597" i="10"/>
  <c r="O597" i="10"/>
  <c r="P597" i="10"/>
  <c r="Q597" i="10"/>
  <c r="S597" i="10"/>
  <c r="T597" i="10"/>
  <c r="U597" i="10"/>
  <c r="V597" i="10"/>
  <c r="W597" i="10"/>
  <c r="X597" i="10"/>
  <c r="Y597" i="10"/>
  <c r="Z597" i="10"/>
  <c r="AA597" i="10" s="1"/>
  <c r="M598" i="10"/>
  <c r="N598" i="10"/>
  <c r="R598" i="10"/>
  <c r="Z598" i="10"/>
  <c r="AA598" i="10"/>
  <c r="Z599" i="10"/>
  <c r="AA599" i="10"/>
  <c r="Z600" i="10"/>
  <c r="AA600" i="10" s="1"/>
  <c r="Z601" i="10"/>
  <c r="AA601" i="10"/>
  <c r="L602" i="10"/>
  <c r="L601" i="10" s="1"/>
  <c r="L599" i="10" s="1"/>
  <c r="U602" i="10"/>
  <c r="U601" i="10" s="1"/>
  <c r="U599" i="10" s="1"/>
  <c r="X602" i="10"/>
  <c r="X601" i="10" s="1"/>
  <c r="Y602" i="10"/>
  <c r="Y601" i="10" s="1"/>
  <c r="Z602" i="10"/>
  <c r="AA602" i="10" s="1"/>
  <c r="I603" i="10"/>
  <c r="I602" i="10" s="1"/>
  <c r="I601" i="10" s="1"/>
  <c r="I599" i="10" s="1"/>
  <c r="K603" i="10"/>
  <c r="K602" i="10" s="1"/>
  <c r="L603" i="10"/>
  <c r="M603" i="10"/>
  <c r="N603" i="10"/>
  <c r="O603" i="10"/>
  <c r="O602" i="10" s="1"/>
  <c r="P603" i="10"/>
  <c r="P602" i="10" s="1"/>
  <c r="P601" i="10" s="1"/>
  <c r="P599" i="10" s="1"/>
  <c r="Q603" i="10"/>
  <c r="Q602" i="10" s="1"/>
  <c r="Q601" i="10" s="1"/>
  <c r="Q599" i="10" s="1"/>
  <c r="S603" i="10"/>
  <c r="S602" i="10" s="1"/>
  <c r="S601" i="10" s="1"/>
  <c r="S599" i="10" s="1"/>
  <c r="T603" i="10"/>
  <c r="T602" i="10" s="1"/>
  <c r="T601" i="10" s="1"/>
  <c r="T599" i="10" s="1"/>
  <c r="U603" i="10"/>
  <c r="V603" i="10"/>
  <c r="V602" i="10" s="1"/>
  <c r="W603" i="10"/>
  <c r="W602" i="10" s="1"/>
  <c r="W601" i="10" s="1"/>
  <c r="X603" i="10"/>
  <c r="Y603" i="10"/>
  <c r="Z603" i="10"/>
  <c r="AA603" i="10" s="1"/>
  <c r="J604" i="10"/>
  <c r="J603" i="10" s="1"/>
  <c r="J602" i="10" s="1"/>
  <c r="J601" i="10" s="1"/>
  <c r="J599" i="10" s="1"/>
  <c r="M604" i="10"/>
  <c r="N604" i="10"/>
  <c r="R604" i="10"/>
  <c r="Z604" i="10"/>
  <c r="AA604" i="10" s="1"/>
  <c r="Z605" i="10"/>
  <c r="AA605" i="10" s="1"/>
  <c r="Z606" i="10"/>
  <c r="AA606" i="10"/>
  <c r="I607" i="10"/>
  <c r="I605" i="10" s="1"/>
  <c r="Z607" i="10"/>
  <c r="AA607" i="10" s="1"/>
  <c r="J608" i="10"/>
  <c r="J607" i="10" s="1"/>
  <c r="J605" i="10" s="1"/>
  <c r="Q608" i="10"/>
  <c r="Q607" i="10" s="1"/>
  <c r="Q605" i="10" s="1"/>
  <c r="U608" i="10"/>
  <c r="U607" i="10" s="1"/>
  <c r="U605" i="10" s="1"/>
  <c r="Y608" i="10"/>
  <c r="Y607" i="10" s="1"/>
  <c r="Z608" i="10"/>
  <c r="AA608" i="10" s="1"/>
  <c r="I609" i="10"/>
  <c r="I608" i="10" s="1"/>
  <c r="J609" i="10"/>
  <c r="K609" i="10"/>
  <c r="L609" i="10"/>
  <c r="L608" i="10" s="1"/>
  <c r="O609" i="10"/>
  <c r="P609" i="10"/>
  <c r="P608" i="10" s="1"/>
  <c r="P607" i="10" s="1"/>
  <c r="P605" i="10" s="1"/>
  <c r="Q609" i="10"/>
  <c r="S609" i="10"/>
  <c r="S608" i="10" s="1"/>
  <c r="S607" i="10" s="1"/>
  <c r="S605" i="10" s="1"/>
  <c r="T609" i="10"/>
  <c r="T608" i="10" s="1"/>
  <c r="T607" i="10" s="1"/>
  <c r="T605" i="10" s="1"/>
  <c r="U609" i="10"/>
  <c r="V609" i="10"/>
  <c r="R609" i="10" s="1"/>
  <c r="W609" i="10"/>
  <c r="W608" i="10" s="1"/>
  <c r="W607" i="10" s="1"/>
  <c r="X609" i="10"/>
  <c r="X608" i="10" s="1"/>
  <c r="X607" i="10" s="1"/>
  <c r="Y609" i="10"/>
  <c r="Z609" i="10"/>
  <c r="AA609" i="10"/>
  <c r="M610" i="10"/>
  <c r="N610" i="10"/>
  <c r="R610" i="10"/>
  <c r="Z610" i="10"/>
  <c r="AA610" i="10" s="1"/>
  <c r="M611" i="10"/>
  <c r="N611" i="10"/>
  <c r="R611" i="10"/>
  <c r="Z611" i="10"/>
  <c r="AA611" i="10" s="1"/>
  <c r="Z612" i="10"/>
  <c r="AA612" i="10" s="1"/>
  <c r="Z613" i="10"/>
  <c r="AA613" i="10" s="1"/>
  <c r="K614" i="10"/>
  <c r="K613" i="10" s="1"/>
  <c r="K612" i="10" s="1"/>
  <c r="L614" i="10"/>
  <c r="Z614" i="10"/>
  <c r="AA614" i="10"/>
  <c r="I615" i="10"/>
  <c r="I614" i="10" s="1"/>
  <c r="I613" i="10" s="1"/>
  <c r="I612" i="10" s="1"/>
  <c r="J615" i="10"/>
  <c r="J614" i="10" s="1"/>
  <c r="J613" i="10" s="1"/>
  <c r="J612" i="10" s="1"/>
  <c r="K615" i="10"/>
  <c r="L615" i="10"/>
  <c r="M615" i="10"/>
  <c r="O615" i="10"/>
  <c r="N615" i="10" s="1"/>
  <c r="Q615" i="10"/>
  <c r="Q614" i="10" s="1"/>
  <c r="Q613" i="10" s="1"/>
  <c r="Q612" i="10" s="1"/>
  <c r="Z615" i="10"/>
  <c r="AA615" i="10" s="1"/>
  <c r="I616" i="10"/>
  <c r="M616" i="10"/>
  <c r="N616" i="10"/>
  <c r="R616" i="10"/>
  <c r="Z616" i="10"/>
  <c r="AA616" i="10"/>
  <c r="M617" i="10"/>
  <c r="N617" i="10"/>
  <c r="R617" i="10"/>
  <c r="Z617" i="10"/>
  <c r="AA617" i="10" s="1"/>
  <c r="M618" i="10"/>
  <c r="N618" i="10"/>
  <c r="R618" i="10"/>
  <c r="Z618" i="10"/>
  <c r="AA618" i="10" s="1"/>
  <c r="M619" i="10"/>
  <c r="N619" i="10"/>
  <c r="R619" i="10"/>
  <c r="Z619" i="10"/>
  <c r="AA619" i="10" s="1"/>
  <c r="Z620" i="10"/>
  <c r="AA620" i="10" s="1"/>
  <c r="Z621" i="10"/>
  <c r="AA621" i="10"/>
  <c r="V622" i="10"/>
  <c r="V621" i="10" s="1"/>
  <c r="Z622" i="10"/>
  <c r="AA622" i="10" s="1"/>
  <c r="J623" i="10"/>
  <c r="J622" i="10" s="1"/>
  <c r="J621" i="10" s="1"/>
  <c r="J620" i="10" s="1"/>
  <c r="K623" i="10"/>
  <c r="K622" i="10" s="1"/>
  <c r="K621" i="10" s="1"/>
  <c r="K620" i="10" s="1"/>
  <c r="L623" i="10"/>
  <c r="O623" i="10"/>
  <c r="P623" i="10"/>
  <c r="P622" i="10" s="1"/>
  <c r="P621" i="10" s="1"/>
  <c r="P620" i="10" s="1"/>
  <c r="P615" i="10" s="1"/>
  <c r="P614" i="10" s="1"/>
  <c r="P613" i="10" s="1"/>
  <c r="P612" i="10" s="1"/>
  <c r="Q623" i="10"/>
  <c r="Q622" i="10" s="1"/>
  <c r="Q621" i="10" s="1"/>
  <c r="Q620" i="10" s="1"/>
  <c r="S623" i="10"/>
  <c r="S622" i="10" s="1"/>
  <c r="S621" i="10" s="1"/>
  <c r="S620" i="10" s="1"/>
  <c r="S615" i="10" s="1"/>
  <c r="S614" i="10" s="1"/>
  <c r="S613" i="10" s="1"/>
  <c r="S612" i="10" s="1"/>
  <c r="T623" i="10"/>
  <c r="T622" i="10" s="1"/>
  <c r="T621" i="10" s="1"/>
  <c r="T620" i="10" s="1"/>
  <c r="T615" i="10" s="1"/>
  <c r="T614" i="10" s="1"/>
  <c r="T613" i="10" s="1"/>
  <c r="T612" i="10" s="1"/>
  <c r="U623" i="10"/>
  <c r="U622" i="10" s="1"/>
  <c r="U621" i="10" s="1"/>
  <c r="U620" i="10" s="1"/>
  <c r="U615" i="10" s="1"/>
  <c r="U614" i="10" s="1"/>
  <c r="U613" i="10" s="1"/>
  <c r="U612" i="10" s="1"/>
  <c r="V623" i="10"/>
  <c r="R623" i="10" s="1"/>
  <c r="W623" i="10"/>
  <c r="W622" i="10" s="1"/>
  <c r="W621" i="10" s="1"/>
  <c r="W620" i="10" s="1"/>
  <c r="W615" i="10" s="1"/>
  <c r="W614" i="10" s="1"/>
  <c r="W613" i="10" s="1"/>
  <c r="W612" i="10" s="1"/>
  <c r="X623" i="10"/>
  <c r="X622" i="10" s="1"/>
  <c r="X621" i="10" s="1"/>
  <c r="X620" i="10" s="1"/>
  <c r="X615" i="10" s="1"/>
  <c r="X614" i="10" s="1"/>
  <c r="X613" i="10" s="1"/>
  <c r="X612" i="10" s="1"/>
  <c r="Y623" i="10"/>
  <c r="Y622" i="10" s="1"/>
  <c r="Y621" i="10" s="1"/>
  <c r="Y620" i="10" s="1"/>
  <c r="Y615" i="10" s="1"/>
  <c r="Y614" i="10" s="1"/>
  <c r="Y613" i="10" s="1"/>
  <c r="Y612" i="10" s="1"/>
  <c r="Z623" i="10"/>
  <c r="AA623" i="10" s="1"/>
  <c r="M624" i="10"/>
  <c r="N624" i="10"/>
  <c r="R624" i="10"/>
  <c r="Z624" i="10"/>
  <c r="AA624" i="10" s="1"/>
  <c r="Z625" i="10"/>
  <c r="AA625" i="10"/>
  <c r="Z626" i="10"/>
  <c r="AA626" i="10"/>
  <c r="Z627" i="10"/>
  <c r="AA627" i="10" s="1"/>
  <c r="O628" i="10"/>
  <c r="O627" i="10" s="1"/>
  <c r="O625" i="10" s="1"/>
  <c r="S628" i="10"/>
  <c r="S627" i="10" s="1"/>
  <c r="S625" i="10" s="1"/>
  <c r="T628" i="10"/>
  <c r="T627" i="10" s="1"/>
  <c r="T625" i="10" s="1"/>
  <c r="Z628" i="10"/>
  <c r="AA628" i="10"/>
  <c r="J629" i="10"/>
  <c r="J628" i="10" s="1"/>
  <c r="J627" i="10" s="1"/>
  <c r="J625" i="10" s="1"/>
  <c r="O629" i="10"/>
  <c r="P629" i="10"/>
  <c r="P628" i="10" s="1"/>
  <c r="P627" i="10" s="1"/>
  <c r="P625" i="10" s="1"/>
  <c r="Q629" i="10"/>
  <c r="Q628" i="10" s="1"/>
  <c r="Q627" i="10" s="1"/>
  <c r="Q625" i="10" s="1"/>
  <c r="S629" i="10"/>
  <c r="T629" i="10"/>
  <c r="U629" i="10"/>
  <c r="U628" i="10" s="1"/>
  <c r="U627" i="10" s="1"/>
  <c r="U625" i="10" s="1"/>
  <c r="V629" i="10"/>
  <c r="V628" i="10" s="1"/>
  <c r="W629" i="10"/>
  <c r="W628" i="10" s="1"/>
  <c r="W627" i="10" s="1"/>
  <c r="W625" i="10" s="1"/>
  <c r="X629" i="10"/>
  <c r="X628" i="10" s="1"/>
  <c r="X627" i="10" s="1"/>
  <c r="Y629" i="10"/>
  <c r="Y628" i="10" s="1"/>
  <c r="Y627" i="10" s="1"/>
  <c r="Z629" i="10"/>
  <c r="AA629" i="10" s="1"/>
  <c r="R630" i="10"/>
  <c r="Z630" i="10"/>
  <c r="AA630" i="10"/>
  <c r="Z631" i="10"/>
  <c r="AA631" i="10" s="1"/>
  <c r="Z632" i="10"/>
  <c r="AA632" i="10"/>
  <c r="U633" i="10"/>
  <c r="U631" i="10" s="1"/>
  <c r="Z633" i="10"/>
  <c r="AA633" i="10" s="1"/>
  <c r="S634" i="10"/>
  <c r="S633" i="10" s="1"/>
  <c r="S631" i="10" s="1"/>
  <c r="W634" i="10"/>
  <c r="W633" i="10" s="1"/>
  <c r="Z634" i="10"/>
  <c r="AA634" i="10"/>
  <c r="J635" i="10"/>
  <c r="J634" i="10" s="1"/>
  <c r="J633" i="10" s="1"/>
  <c r="J631" i="10" s="1"/>
  <c r="O635" i="10"/>
  <c r="O634" i="10" s="1"/>
  <c r="O633" i="10" s="1"/>
  <c r="O631" i="10" s="1"/>
  <c r="P635" i="10"/>
  <c r="P634" i="10" s="1"/>
  <c r="P633" i="10" s="1"/>
  <c r="P631" i="10" s="1"/>
  <c r="Q635" i="10"/>
  <c r="Q634" i="10" s="1"/>
  <c r="Q633" i="10" s="1"/>
  <c r="Q631" i="10" s="1"/>
  <c r="S635" i="10"/>
  <c r="U635" i="10"/>
  <c r="U634" i="10" s="1"/>
  <c r="V635" i="10"/>
  <c r="X635" i="10"/>
  <c r="X634" i="10" s="1"/>
  <c r="X633" i="10" s="1"/>
  <c r="X632" i="10" s="1"/>
  <c r="Y635" i="10"/>
  <c r="Y634" i="10" s="1"/>
  <c r="Y633" i="10" s="1"/>
  <c r="Z635" i="10"/>
  <c r="AA635" i="10" s="1"/>
  <c r="R636" i="10"/>
  <c r="T636" i="10"/>
  <c r="T635" i="10" s="1"/>
  <c r="T634" i="10" s="1"/>
  <c r="T633" i="10" s="1"/>
  <c r="T631" i="10" s="1"/>
  <c r="W636" i="10"/>
  <c r="W635" i="10" s="1"/>
  <c r="Z636" i="10"/>
  <c r="AA636" i="10"/>
  <c r="Z637" i="10"/>
  <c r="AA637" i="10"/>
  <c r="W638" i="10"/>
  <c r="W637" i="10" s="1"/>
  <c r="Z638" i="10"/>
  <c r="AA638" i="10" s="1"/>
  <c r="Z639" i="10"/>
  <c r="AA639" i="10" s="1"/>
  <c r="W640" i="10"/>
  <c r="W639" i="10" s="1"/>
  <c r="X640" i="10"/>
  <c r="X639" i="10" s="1"/>
  <c r="X638" i="10" s="1"/>
  <c r="X637" i="10" s="1"/>
  <c r="Y640" i="10"/>
  <c r="Y639" i="10" s="1"/>
  <c r="Y638" i="10" s="1"/>
  <c r="Y637" i="10" s="1"/>
  <c r="Z640" i="10"/>
  <c r="AA640" i="10"/>
  <c r="R641" i="10"/>
  <c r="Z641" i="10"/>
  <c r="AA641" i="10" s="1"/>
  <c r="Z642" i="10"/>
  <c r="AA642" i="10" s="1"/>
  <c r="Z643" i="10"/>
  <c r="AA643" i="10" s="1"/>
  <c r="Z644" i="10"/>
  <c r="AA644" i="10" s="1"/>
  <c r="J645" i="10"/>
  <c r="J644" i="10" s="1"/>
  <c r="J642" i="10" s="1"/>
  <c r="S645" i="10"/>
  <c r="S644" i="10" s="1"/>
  <c r="S642" i="10" s="1"/>
  <c r="W645" i="10"/>
  <c r="W644" i="10" s="1"/>
  <c r="Z645" i="10"/>
  <c r="AA645" i="10" s="1"/>
  <c r="K646" i="10"/>
  <c r="L646" i="10"/>
  <c r="M646" i="10"/>
  <c r="N646" i="10"/>
  <c r="O646" i="10"/>
  <c r="O645" i="10" s="1"/>
  <c r="O644" i="10" s="1"/>
  <c r="O642" i="10" s="1"/>
  <c r="P646" i="10"/>
  <c r="P645" i="10" s="1"/>
  <c r="P644" i="10" s="1"/>
  <c r="P642" i="10" s="1"/>
  <c r="Q646" i="10"/>
  <c r="Q645" i="10" s="1"/>
  <c r="Q644" i="10" s="1"/>
  <c r="Q642" i="10" s="1"/>
  <c r="S646" i="10"/>
  <c r="T646" i="10"/>
  <c r="T645" i="10" s="1"/>
  <c r="T644" i="10" s="1"/>
  <c r="T642" i="10" s="1"/>
  <c r="U646" i="10"/>
  <c r="U645" i="10" s="1"/>
  <c r="U644" i="10" s="1"/>
  <c r="U642" i="10" s="1"/>
  <c r="V646" i="10"/>
  <c r="V645" i="10" s="1"/>
  <c r="W646" i="10"/>
  <c r="X646" i="10"/>
  <c r="X645" i="10" s="1"/>
  <c r="X644" i="10" s="1"/>
  <c r="Y646" i="10"/>
  <c r="Y645" i="10" s="1"/>
  <c r="Y644" i="10" s="1"/>
  <c r="Z646" i="10"/>
  <c r="AA646" i="10" s="1"/>
  <c r="V647" i="10"/>
  <c r="R647" i="10" s="1"/>
  <c r="Z647" i="10"/>
  <c r="AA647" i="10" s="1"/>
  <c r="Z648" i="10"/>
  <c r="AA648" i="10"/>
  <c r="Z649" i="10"/>
  <c r="AA649" i="10" s="1"/>
  <c r="K650" i="10"/>
  <c r="K649" i="10" s="1"/>
  <c r="K648" i="10" s="1"/>
  <c r="L650" i="10"/>
  <c r="O650" i="10"/>
  <c r="S650" i="10"/>
  <c r="S649" i="10" s="1"/>
  <c r="S648" i="10" s="1"/>
  <c r="T650" i="10"/>
  <c r="T649" i="10" s="1"/>
  <c r="T648" i="10" s="1"/>
  <c r="Z650" i="10"/>
  <c r="AA650" i="10"/>
  <c r="J651" i="10"/>
  <c r="J650" i="10" s="1"/>
  <c r="J649" i="10" s="1"/>
  <c r="J648" i="10" s="1"/>
  <c r="K651" i="10"/>
  <c r="L651" i="10"/>
  <c r="M651" i="10"/>
  <c r="N651" i="10"/>
  <c r="O651" i="10"/>
  <c r="P651" i="10"/>
  <c r="P650" i="10" s="1"/>
  <c r="P649" i="10" s="1"/>
  <c r="P648" i="10" s="1"/>
  <c r="Q651" i="10"/>
  <c r="Q650" i="10" s="1"/>
  <c r="Q649" i="10" s="1"/>
  <c r="Q648" i="10" s="1"/>
  <c r="S651" i="10"/>
  <c r="T651" i="10"/>
  <c r="U651" i="10"/>
  <c r="U650" i="10" s="1"/>
  <c r="U649" i="10" s="1"/>
  <c r="U648" i="10" s="1"/>
  <c r="V651" i="10"/>
  <c r="V650" i="10" s="1"/>
  <c r="W651" i="10"/>
  <c r="W650" i="10" s="1"/>
  <c r="W649" i="10" s="1"/>
  <c r="W648" i="10" s="1"/>
  <c r="X651" i="10"/>
  <c r="X650" i="10" s="1"/>
  <c r="X649" i="10" s="1"/>
  <c r="X648" i="10" s="1"/>
  <c r="Y651" i="10"/>
  <c r="Y650" i="10" s="1"/>
  <c r="Y649" i="10" s="1"/>
  <c r="Y648" i="10" s="1"/>
  <c r="Z651" i="10"/>
  <c r="AA651" i="10" s="1"/>
  <c r="M652" i="10"/>
  <c r="N652" i="10"/>
  <c r="R652" i="10"/>
  <c r="Z652" i="10"/>
  <c r="AA652" i="10" s="1"/>
  <c r="Z653" i="10"/>
  <c r="AA653" i="10" s="1"/>
  <c r="J654" i="10"/>
  <c r="Z654" i="10"/>
  <c r="AA654" i="10" s="1"/>
  <c r="K655" i="10"/>
  <c r="K653" i="10" s="1"/>
  <c r="Z655" i="10"/>
  <c r="AA655" i="10"/>
  <c r="I656" i="10"/>
  <c r="I655" i="10" s="1"/>
  <c r="I654" i="10" s="1"/>
  <c r="J656" i="10"/>
  <c r="J655" i="10" s="1"/>
  <c r="J653" i="10" s="1"/>
  <c r="K656" i="10"/>
  <c r="L656" i="10"/>
  <c r="M656" i="10" s="1"/>
  <c r="O656" i="10"/>
  <c r="P656" i="10"/>
  <c r="P655" i="10" s="1"/>
  <c r="Q656" i="10"/>
  <c r="Q655" i="10" s="1"/>
  <c r="S656" i="10"/>
  <c r="S655" i="10" s="1"/>
  <c r="S653" i="10" s="1"/>
  <c r="T656" i="10"/>
  <c r="T655" i="10" s="1"/>
  <c r="U656" i="10"/>
  <c r="U655" i="10" s="1"/>
  <c r="U654" i="10" s="1"/>
  <c r="V656" i="10"/>
  <c r="V655" i="10" s="1"/>
  <c r="W656" i="10"/>
  <c r="W655" i="10" s="1"/>
  <c r="X656" i="10"/>
  <c r="X655" i="10" s="1"/>
  <c r="Y656" i="10"/>
  <c r="Y655" i="10" s="1"/>
  <c r="Y654" i="10" s="1"/>
  <c r="Z656" i="10"/>
  <c r="AA656" i="10"/>
  <c r="M657" i="10"/>
  <c r="N657" i="10"/>
  <c r="R657" i="10"/>
  <c r="Z657" i="10"/>
  <c r="AA657" i="10"/>
  <c r="Z658" i="10"/>
  <c r="AA658" i="10"/>
  <c r="U659" i="10"/>
  <c r="U658" i="10" s="1"/>
  <c r="Z659" i="10"/>
  <c r="AA659" i="10" s="1"/>
  <c r="J660" i="10"/>
  <c r="J659" i="10" s="1"/>
  <c r="J658" i="10" s="1"/>
  <c r="O660" i="10"/>
  <c r="O659" i="10" s="1"/>
  <c r="O658" i="10" s="1"/>
  <c r="Z660" i="10"/>
  <c r="AA660" i="10" s="1"/>
  <c r="I661" i="10"/>
  <c r="I660" i="10" s="1"/>
  <c r="I659" i="10" s="1"/>
  <c r="I658" i="10" s="1"/>
  <c r="J661" i="10"/>
  <c r="K661" i="10"/>
  <c r="K660" i="10" s="1"/>
  <c r="K659" i="10" s="1"/>
  <c r="K658" i="10" s="1"/>
  <c r="L661" i="10"/>
  <c r="O661" i="10"/>
  <c r="P661" i="10"/>
  <c r="P660" i="10" s="1"/>
  <c r="P659" i="10" s="1"/>
  <c r="Q661" i="10"/>
  <c r="Q660" i="10" s="1"/>
  <c r="Q659" i="10" s="1"/>
  <c r="Q658" i="10" s="1"/>
  <c r="S661" i="10"/>
  <c r="S660" i="10" s="1"/>
  <c r="S659" i="10" s="1"/>
  <c r="S658" i="10" s="1"/>
  <c r="T661" i="10"/>
  <c r="T660" i="10" s="1"/>
  <c r="T659" i="10" s="1"/>
  <c r="T658" i="10" s="1"/>
  <c r="U661" i="10"/>
  <c r="U660" i="10" s="1"/>
  <c r="V661" i="10"/>
  <c r="R661" i="10" s="1"/>
  <c r="W661" i="10"/>
  <c r="W660" i="10" s="1"/>
  <c r="W659" i="10" s="1"/>
  <c r="W658" i="10" s="1"/>
  <c r="X661" i="10"/>
  <c r="X660" i="10" s="1"/>
  <c r="X659" i="10" s="1"/>
  <c r="X658" i="10" s="1"/>
  <c r="Y661" i="10"/>
  <c r="Y660" i="10" s="1"/>
  <c r="Y659" i="10" s="1"/>
  <c r="Y658" i="10" s="1"/>
  <c r="Z661" i="10"/>
  <c r="AA661" i="10"/>
  <c r="M662" i="10"/>
  <c r="N662" i="10"/>
  <c r="R662" i="10"/>
  <c r="Z662" i="10"/>
  <c r="AA662" i="10" s="1"/>
  <c r="R663" i="10"/>
  <c r="Z663" i="10"/>
  <c r="AA663" i="10"/>
  <c r="Z664" i="10"/>
  <c r="AA664" i="10" s="1"/>
  <c r="Z665" i="10"/>
  <c r="AA665" i="10" s="1"/>
  <c r="Z666" i="10"/>
  <c r="AA666" i="10" s="1"/>
  <c r="K667" i="10"/>
  <c r="K665" i="10" s="1"/>
  <c r="Z667" i="10"/>
  <c r="AA667" i="10"/>
  <c r="K668" i="10"/>
  <c r="P668" i="10"/>
  <c r="P667" i="10" s="1"/>
  <c r="S668" i="10"/>
  <c r="S667" i="10" s="1"/>
  <c r="S665" i="10" s="1"/>
  <c r="Z668" i="10"/>
  <c r="AA668" i="10"/>
  <c r="I669" i="10"/>
  <c r="I668" i="10" s="1"/>
  <c r="I667" i="10" s="1"/>
  <c r="I665" i="10" s="1"/>
  <c r="J669" i="10"/>
  <c r="J668" i="10" s="1"/>
  <c r="J667" i="10" s="1"/>
  <c r="J665" i="10" s="1"/>
  <c r="K669" i="10"/>
  <c r="L669" i="10"/>
  <c r="L668" i="10" s="1"/>
  <c r="M669" i="10"/>
  <c r="O669" i="10"/>
  <c r="N669" i="10" s="1"/>
  <c r="P669" i="10"/>
  <c r="Q669" i="10"/>
  <c r="Q668" i="10" s="1"/>
  <c r="Q667" i="10" s="1"/>
  <c r="Q665" i="10" s="1"/>
  <c r="S669" i="10"/>
  <c r="T669" i="10"/>
  <c r="T668" i="10" s="1"/>
  <c r="T667" i="10" s="1"/>
  <c r="T665" i="10" s="1"/>
  <c r="U669" i="10"/>
  <c r="U668" i="10" s="1"/>
  <c r="U667" i="10" s="1"/>
  <c r="U665" i="10" s="1"/>
  <c r="V669" i="10"/>
  <c r="V668" i="10" s="1"/>
  <c r="V667" i="10" s="1"/>
  <c r="V665" i="10" s="1"/>
  <c r="W669" i="10"/>
  <c r="W668" i="10" s="1"/>
  <c r="W667" i="10" s="1"/>
  <c r="X669" i="10"/>
  <c r="X668" i="10" s="1"/>
  <c r="X667" i="10" s="1"/>
  <c r="Y669" i="10"/>
  <c r="Y668" i="10" s="1"/>
  <c r="Y667" i="10" s="1"/>
  <c r="Y665" i="10" s="1"/>
  <c r="Z669" i="10"/>
  <c r="AA669" i="10" s="1"/>
  <c r="M670" i="10"/>
  <c r="N670" i="10"/>
  <c r="R670" i="10"/>
  <c r="Z670" i="10"/>
  <c r="AA670" i="10"/>
  <c r="Z671" i="10"/>
  <c r="AA671" i="10" s="1"/>
  <c r="Z672" i="10"/>
  <c r="AA672" i="10" s="1"/>
  <c r="V673" i="10"/>
  <c r="W673" i="10"/>
  <c r="W672" i="10" s="1"/>
  <c r="W671" i="10" s="1"/>
  <c r="X673" i="10"/>
  <c r="X672" i="10" s="1"/>
  <c r="X671" i="10" s="1"/>
  <c r="Y673" i="10"/>
  <c r="Y672" i="10" s="1"/>
  <c r="Y671" i="10" s="1"/>
  <c r="Z673" i="10"/>
  <c r="AA673" i="10" s="1"/>
  <c r="Z674" i="10"/>
  <c r="AA674" i="10" s="1"/>
  <c r="Z675" i="10"/>
  <c r="AA675" i="10"/>
  <c r="Z676" i="10"/>
  <c r="AA676" i="10" s="1"/>
  <c r="Z677" i="10"/>
  <c r="AA677" i="10" s="1"/>
  <c r="Z678" i="10"/>
  <c r="AA678" i="10" s="1"/>
  <c r="W679" i="10"/>
  <c r="W678" i="10" s="1"/>
  <c r="W677" i="10" s="1"/>
  <c r="W675" i="10" s="1"/>
  <c r="X679" i="10"/>
  <c r="X678" i="10" s="1"/>
  <c r="X677" i="10" s="1"/>
  <c r="X676" i="10" s="1"/>
  <c r="Y679" i="10"/>
  <c r="Y678" i="10" s="1"/>
  <c r="Y677" i="10" s="1"/>
  <c r="Z679" i="10"/>
  <c r="AA679" i="10" s="1"/>
  <c r="Z680" i="10"/>
  <c r="AA680" i="10" s="1"/>
  <c r="Z681" i="10"/>
  <c r="AA681" i="10"/>
  <c r="Z682" i="10"/>
  <c r="AA682" i="10" s="1"/>
  <c r="Z683" i="10"/>
  <c r="AA683" i="10" s="1"/>
  <c r="Z684" i="10"/>
  <c r="AA684" i="10" s="1"/>
  <c r="W685" i="10"/>
  <c r="W684" i="10" s="1"/>
  <c r="W683" i="10" s="1"/>
  <c r="W681" i="10" s="1"/>
  <c r="X685" i="10"/>
  <c r="X684" i="10" s="1"/>
  <c r="X683" i="10" s="1"/>
  <c r="X682" i="10" s="1"/>
  <c r="Y685" i="10"/>
  <c r="Y684" i="10" s="1"/>
  <c r="Y683" i="10" s="1"/>
  <c r="Z685" i="10"/>
  <c r="AA685" i="10"/>
  <c r="Z686" i="10"/>
  <c r="AA686" i="10" s="1"/>
  <c r="Z687" i="10"/>
  <c r="AA687" i="10" s="1"/>
  <c r="Y688" i="10"/>
  <c r="Z688" i="10"/>
  <c r="AA688" i="10" s="1"/>
  <c r="Z689" i="10"/>
  <c r="AA689" i="10"/>
  <c r="Z690" i="10"/>
  <c r="AA690" i="10" s="1"/>
  <c r="W691" i="10"/>
  <c r="W690" i="10" s="1"/>
  <c r="W689" i="10" s="1"/>
  <c r="X691" i="10"/>
  <c r="X690" i="10" s="1"/>
  <c r="X689" i="10" s="1"/>
  <c r="Y691" i="10"/>
  <c r="Y690" i="10" s="1"/>
  <c r="Y689" i="10" s="1"/>
  <c r="Y687" i="10" s="1"/>
  <c r="Z691" i="10"/>
  <c r="AA691" i="10" s="1"/>
  <c r="Z692" i="10"/>
  <c r="AA692" i="10"/>
  <c r="Z693" i="10"/>
  <c r="AA693" i="10" s="1"/>
  <c r="Z694" i="10"/>
  <c r="AA694" i="10" s="1"/>
  <c r="Z695" i="10"/>
  <c r="AA695" i="10" s="1"/>
  <c r="Z696" i="10"/>
  <c r="AA696" i="10"/>
  <c r="W697" i="10"/>
  <c r="W696" i="10" s="1"/>
  <c r="W695" i="10" s="1"/>
  <c r="W694" i="10" s="1"/>
  <c r="X697" i="10"/>
  <c r="X696" i="10" s="1"/>
  <c r="X695" i="10" s="1"/>
  <c r="Y697" i="10"/>
  <c r="Y696" i="10" s="1"/>
  <c r="Y695" i="10" s="1"/>
  <c r="Z697" i="10"/>
  <c r="AA697" i="10" s="1"/>
  <c r="Z698" i="10"/>
  <c r="AA698" i="10" s="1"/>
  <c r="Z699" i="10"/>
  <c r="AA699" i="10" s="1"/>
  <c r="M700" i="10"/>
  <c r="Z700" i="10"/>
  <c r="AA700" i="10" s="1"/>
  <c r="Z701" i="10"/>
  <c r="AA701" i="10"/>
  <c r="Z702" i="10"/>
  <c r="AA702" i="10" s="1"/>
  <c r="Z703" i="10"/>
  <c r="AA703" i="10" s="1"/>
  <c r="Z704" i="10"/>
  <c r="AA704" i="10" s="1"/>
  <c r="Z705" i="10"/>
  <c r="AA705" i="10" s="1"/>
  <c r="K706" i="10"/>
  <c r="P706" i="10"/>
  <c r="Z706" i="10"/>
  <c r="AA706" i="10"/>
  <c r="I707" i="10"/>
  <c r="I706" i="10" s="1"/>
  <c r="J707" i="10"/>
  <c r="J706" i="10" s="1"/>
  <c r="K707" i="10"/>
  <c r="L707" i="10"/>
  <c r="L706" i="10" s="1"/>
  <c r="M706" i="10" s="1"/>
  <c r="M707" i="10"/>
  <c r="O707" i="10"/>
  <c r="P707" i="10"/>
  <c r="Q707" i="10"/>
  <c r="Q706" i="10" s="1"/>
  <c r="S707" i="10"/>
  <c r="S706" i="10" s="1"/>
  <c r="T707" i="10"/>
  <c r="T706" i="10" s="1"/>
  <c r="U707" i="10"/>
  <c r="U706" i="10" s="1"/>
  <c r="V707" i="10"/>
  <c r="V706" i="10" s="1"/>
  <c r="W707" i="10"/>
  <c r="W706" i="10" s="1"/>
  <c r="X707" i="10"/>
  <c r="X706" i="10" s="1"/>
  <c r="Y707" i="10"/>
  <c r="Y706" i="10" s="1"/>
  <c r="Z707" i="10"/>
  <c r="AA707" i="10"/>
  <c r="M708" i="10"/>
  <c r="N708" i="10"/>
  <c r="R708" i="10"/>
  <c r="Z708" i="10"/>
  <c r="AA708" i="10" s="1"/>
  <c r="Z709" i="10"/>
  <c r="AA709" i="10"/>
  <c r="Z710" i="10"/>
  <c r="AA710" i="10" s="1"/>
  <c r="W711" i="10"/>
  <c r="W710" i="10" s="1"/>
  <c r="Z711" i="10"/>
  <c r="AA711" i="10" s="1"/>
  <c r="O712" i="10"/>
  <c r="Z712" i="10"/>
  <c r="AA712" i="10" s="1"/>
  <c r="I713" i="10"/>
  <c r="I712" i="10" s="1"/>
  <c r="I711" i="10" s="1"/>
  <c r="I709" i="10" s="1"/>
  <c r="K713" i="10"/>
  <c r="K712" i="10" s="1"/>
  <c r="K711" i="10" s="1"/>
  <c r="K709" i="10" s="1"/>
  <c r="L713" i="10"/>
  <c r="O713" i="10"/>
  <c r="N713" i="10" s="1"/>
  <c r="P713" i="10"/>
  <c r="Q713" i="10"/>
  <c r="S713" i="10"/>
  <c r="T713" i="10"/>
  <c r="T712" i="10" s="1"/>
  <c r="T711" i="10" s="1"/>
  <c r="T709" i="10" s="1"/>
  <c r="U713" i="10"/>
  <c r="V713" i="10"/>
  <c r="W713" i="10"/>
  <c r="X713" i="10"/>
  <c r="X712" i="10" s="1"/>
  <c r="X711" i="10" s="1"/>
  <c r="Y713" i="10"/>
  <c r="Z713" i="10"/>
  <c r="AA713" i="10" s="1"/>
  <c r="J714" i="10"/>
  <c r="J713" i="10" s="1"/>
  <c r="J712" i="10" s="1"/>
  <c r="J711" i="10" s="1"/>
  <c r="J709" i="10" s="1"/>
  <c r="M714" i="10"/>
  <c r="N714" i="10"/>
  <c r="R714" i="10"/>
  <c r="Z714" i="10"/>
  <c r="AA714" i="10"/>
  <c r="P715" i="10"/>
  <c r="Q715" i="10"/>
  <c r="S715" i="10"/>
  <c r="S712" i="10" s="1"/>
  <c r="S711" i="10" s="1"/>
  <c r="S709" i="10" s="1"/>
  <c r="T715" i="10"/>
  <c r="U715" i="10"/>
  <c r="V715" i="10"/>
  <c r="W715" i="10"/>
  <c r="W712" i="10" s="1"/>
  <c r="X715" i="10"/>
  <c r="Y715" i="10"/>
  <c r="Z715" i="10"/>
  <c r="AA715" i="10" s="1"/>
  <c r="R716" i="10"/>
  <c r="Z716" i="10"/>
  <c r="AA716" i="10" s="1"/>
  <c r="Z717" i="10"/>
  <c r="AA717" i="10" s="1"/>
  <c r="Z718" i="10"/>
  <c r="AA718" i="10" s="1"/>
  <c r="Z719" i="10"/>
  <c r="AA719" i="10" s="1"/>
  <c r="U720" i="10"/>
  <c r="U719" i="10" s="1"/>
  <c r="U717" i="10" s="1"/>
  <c r="Z720" i="10"/>
  <c r="AA720" i="10" s="1"/>
  <c r="I721" i="10"/>
  <c r="I720" i="10" s="1"/>
  <c r="I719" i="10" s="1"/>
  <c r="I717" i="10" s="1"/>
  <c r="J721" i="10"/>
  <c r="J720" i="10" s="1"/>
  <c r="J719" i="10" s="1"/>
  <c r="J717" i="10" s="1"/>
  <c r="K721" i="10"/>
  <c r="L721" i="10"/>
  <c r="L720" i="10" s="1"/>
  <c r="O721" i="10"/>
  <c r="P721" i="10"/>
  <c r="Q721" i="10"/>
  <c r="S721" i="10"/>
  <c r="S720" i="10" s="1"/>
  <c r="S719" i="10" s="1"/>
  <c r="S717" i="10" s="1"/>
  <c r="T721" i="10"/>
  <c r="T720" i="10" s="1"/>
  <c r="T719" i="10" s="1"/>
  <c r="T717" i="10" s="1"/>
  <c r="U721" i="10"/>
  <c r="V721" i="10"/>
  <c r="W721" i="10"/>
  <c r="W720" i="10" s="1"/>
  <c r="W719" i="10" s="1"/>
  <c r="X721" i="10"/>
  <c r="X720" i="10" s="1"/>
  <c r="X719" i="10" s="1"/>
  <c r="Y721" i="10"/>
  <c r="Y720" i="10" s="1"/>
  <c r="Y719" i="10" s="1"/>
  <c r="Y718" i="10" s="1"/>
  <c r="Z721" i="10"/>
  <c r="AA721" i="10"/>
  <c r="M722" i="10"/>
  <c r="N722" i="10"/>
  <c r="R722" i="10"/>
  <c r="Z722" i="10"/>
  <c r="AA722" i="10" s="1"/>
  <c r="M723" i="10"/>
  <c r="N723" i="10"/>
  <c r="R723" i="10"/>
  <c r="Z723" i="10"/>
  <c r="AA723" i="10" s="1"/>
  <c r="M724" i="10"/>
  <c r="N724" i="10"/>
  <c r="R724" i="10"/>
  <c r="Z724" i="10"/>
  <c r="AA724" i="10"/>
  <c r="M725" i="10"/>
  <c r="N725" i="10"/>
  <c r="R725" i="10"/>
  <c r="Z725" i="10"/>
  <c r="AA725" i="10" s="1"/>
  <c r="M726" i="10"/>
  <c r="N726" i="10"/>
  <c r="R726" i="10"/>
  <c r="Z726" i="10"/>
  <c r="AA726" i="10" s="1"/>
  <c r="I727" i="10"/>
  <c r="J727" i="10"/>
  <c r="K727" i="10"/>
  <c r="L727" i="10"/>
  <c r="O727" i="10"/>
  <c r="P727" i="10"/>
  <c r="Q727" i="10"/>
  <c r="S727" i="10"/>
  <c r="T727" i="10"/>
  <c r="U727" i="10"/>
  <c r="V727" i="10"/>
  <c r="R727" i="10" s="1"/>
  <c r="W727" i="10"/>
  <c r="X727" i="10"/>
  <c r="Y727" i="10"/>
  <c r="Z727" i="10"/>
  <c r="AA727" i="10" s="1"/>
  <c r="M728" i="10"/>
  <c r="N728" i="10"/>
  <c r="R728" i="10"/>
  <c r="Z728" i="10"/>
  <c r="AA728" i="10" s="1"/>
  <c r="I729" i="10"/>
  <c r="J729" i="10"/>
  <c r="K729" i="10"/>
  <c r="L729" i="10"/>
  <c r="O729" i="10"/>
  <c r="P729" i="10"/>
  <c r="Q729" i="10"/>
  <c r="S729" i="10"/>
  <c r="T729" i="10"/>
  <c r="U729" i="10"/>
  <c r="V729" i="10"/>
  <c r="W729" i="10"/>
  <c r="X729" i="10"/>
  <c r="Y729" i="10"/>
  <c r="Z729" i="10"/>
  <c r="AA729" i="10" s="1"/>
  <c r="M730" i="10"/>
  <c r="N730" i="10"/>
  <c r="R730" i="10"/>
  <c r="Z730" i="10"/>
  <c r="AA730" i="10" s="1"/>
  <c r="Z731" i="10"/>
  <c r="AA731" i="10"/>
  <c r="L732" i="10"/>
  <c r="Z732" i="10"/>
  <c r="AA732" i="10" s="1"/>
  <c r="P733" i="10"/>
  <c r="P732" i="10" s="1"/>
  <c r="P731" i="10" s="1"/>
  <c r="X733" i="10"/>
  <c r="X732" i="10" s="1"/>
  <c r="X731" i="10" s="1"/>
  <c r="Z733" i="10"/>
  <c r="AA733" i="10"/>
  <c r="I734" i="10"/>
  <c r="I733" i="10" s="1"/>
  <c r="I732" i="10" s="1"/>
  <c r="I731" i="10" s="1"/>
  <c r="J734" i="10"/>
  <c r="J733" i="10" s="1"/>
  <c r="J732" i="10" s="1"/>
  <c r="J731" i="10" s="1"/>
  <c r="K734" i="10"/>
  <c r="K733" i="10" s="1"/>
  <c r="L734" i="10"/>
  <c r="L733" i="10" s="1"/>
  <c r="M734" i="10"/>
  <c r="N734" i="10"/>
  <c r="O734" i="10"/>
  <c r="O733" i="10" s="1"/>
  <c r="P734" i="10"/>
  <c r="Q734" i="10"/>
  <c r="Q733" i="10" s="1"/>
  <c r="Q732" i="10" s="1"/>
  <c r="Q731" i="10" s="1"/>
  <c r="S734" i="10"/>
  <c r="S733" i="10" s="1"/>
  <c r="S732" i="10" s="1"/>
  <c r="S731" i="10" s="1"/>
  <c r="T734" i="10"/>
  <c r="T733" i="10" s="1"/>
  <c r="T732" i="10" s="1"/>
  <c r="T731" i="10" s="1"/>
  <c r="U734" i="10"/>
  <c r="U733" i="10" s="1"/>
  <c r="U732" i="10" s="1"/>
  <c r="U731" i="10" s="1"/>
  <c r="V734" i="10"/>
  <c r="V733" i="10" s="1"/>
  <c r="W734" i="10"/>
  <c r="W733" i="10" s="1"/>
  <c r="W732" i="10" s="1"/>
  <c r="W731" i="10" s="1"/>
  <c r="X734" i="10"/>
  <c r="Y734" i="10"/>
  <c r="Y733" i="10" s="1"/>
  <c r="Y732" i="10" s="1"/>
  <c r="Y731" i="10" s="1"/>
  <c r="Z734" i="10"/>
  <c r="AA734" i="10" s="1"/>
  <c r="M735" i="10"/>
  <c r="N735" i="10"/>
  <c r="R735" i="10"/>
  <c r="Z735" i="10"/>
  <c r="AA735" i="10" s="1"/>
  <c r="Z736" i="10"/>
  <c r="AA736" i="10" s="1"/>
  <c r="Z737" i="10"/>
  <c r="Z738" i="10"/>
  <c r="Z739" i="10"/>
  <c r="AA739" i="10"/>
  <c r="Z740" i="10"/>
  <c r="AA740" i="10" s="1"/>
  <c r="Q741" i="10"/>
  <c r="Q739" i="10" s="1"/>
  <c r="Z741" i="10"/>
  <c r="AA741" i="10" s="1"/>
  <c r="J742" i="10"/>
  <c r="J741" i="10" s="1"/>
  <c r="J739" i="10" s="1"/>
  <c r="Q742" i="10"/>
  <c r="Z742" i="10"/>
  <c r="AA742" i="10" s="1"/>
  <c r="I743" i="10"/>
  <c r="I742" i="10" s="1"/>
  <c r="I741" i="10" s="1"/>
  <c r="I739" i="10" s="1"/>
  <c r="J743" i="10"/>
  <c r="K743" i="10"/>
  <c r="L743" i="10"/>
  <c r="L742" i="10" s="1"/>
  <c r="O743" i="10"/>
  <c r="P743" i="10"/>
  <c r="P742" i="10" s="1"/>
  <c r="P741" i="10" s="1"/>
  <c r="P739" i="10" s="1"/>
  <c r="Q743" i="10"/>
  <c r="S743" i="10"/>
  <c r="S742" i="10" s="1"/>
  <c r="S741" i="10" s="1"/>
  <c r="S739" i="10" s="1"/>
  <c r="T743" i="10"/>
  <c r="T742" i="10" s="1"/>
  <c r="T741" i="10" s="1"/>
  <c r="T739" i="10" s="1"/>
  <c r="V743" i="10"/>
  <c r="R743" i="10" s="1"/>
  <c r="W743" i="10"/>
  <c r="W742" i="10" s="1"/>
  <c r="W741" i="10" s="1"/>
  <c r="Z743" i="10"/>
  <c r="AA743" i="10"/>
  <c r="M744" i="10"/>
  <c r="N744" i="10"/>
  <c r="R744" i="10"/>
  <c r="U744" i="10"/>
  <c r="U743" i="10" s="1"/>
  <c r="U742" i="10" s="1"/>
  <c r="U741" i="10" s="1"/>
  <c r="U739" i="10" s="1"/>
  <c r="Z744" i="10"/>
  <c r="AA744" i="10" s="1"/>
  <c r="Z745" i="10"/>
  <c r="AA745" i="10"/>
  <c r="Z746" i="10"/>
  <c r="AA746" i="10" s="1"/>
  <c r="Z747" i="10"/>
  <c r="AA747" i="10" s="1"/>
  <c r="W748" i="10"/>
  <c r="W747" i="10" s="1"/>
  <c r="W746" i="10" s="1"/>
  <c r="W745" i="10" s="1"/>
  <c r="X748" i="10"/>
  <c r="X747" i="10" s="1"/>
  <c r="X746" i="10" s="1"/>
  <c r="X745" i="10" s="1"/>
  <c r="X743" i="10" s="1"/>
  <c r="X742" i="10" s="1"/>
  <c r="X741" i="10" s="1"/>
  <c r="Y748" i="10"/>
  <c r="Y747" i="10" s="1"/>
  <c r="Y746" i="10" s="1"/>
  <c r="Y745" i="10" s="1"/>
  <c r="Y743" i="10" s="1"/>
  <c r="Y742" i="10" s="1"/>
  <c r="Y741" i="10" s="1"/>
  <c r="Y740" i="10" s="1"/>
  <c r="Z748" i="10"/>
  <c r="AA748" i="10" s="1"/>
  <c r="M749" i="10"/>
  <c r="N749" i="10"/>
  <c r="R749" i="10"/>
  <c r="Z749" i="10"/>
  <c r="AA749" i="10"/>
  <c r="M750" i="10"/>
  <c r="N750" i="10"/>
  <c r="R750" i="10"/>
  <c r="Z750" i="10"/>
  <c r="AA750" i="10" s="1"/>
  <c r="Z751" i="10"/>
  <c r="AA751" i="10"/>
  <c r="Z752" i="10"/>
  <c r="AA752" i="10" s="1"/>
  <c r="I753" i="10"/>
  <c r="I752" i="10" s="1"/>
  <c r="I751" i="10" s="1"/>
  <c r="J753" i="10"/>
  <c r="J752" i="10" s="1"/>
  <c r="J751" i="10" s="1"/>
  <c r="V753" i="10"/>
  <c r="Z753" i="10"/>
  <c r="AA753" i="10" s="1"/>
  <c r="I754" i="10"/>
  <c r="J754" i="10"/>
  <c r="K754" i="10"/>
  <c r="L754" i="10"/>
  <c r="L753" i="10" s="1"/>
  <c r="O754" i="10"/>
  <c r="P754" i="10"/>
  <c r="P753" i="10" s="1"/>
  <c r="P752" i="10" s="1"/>
  <c r="P751" i="10" s="1"/>
  <c r="Q754" i="10"/>
  <c r="Q753" i="10" s="1"/>
  <c r="Q752" i="10" s="1"/>
  <c r="Q751" i="10" s="1"/>
  <c r="S754" i="10"/>
  <c r="S753" i="10" s="1"/>
  <c r="S752" i="10" s="1"/>
  <c r="S751" i="10" s="1"/>
  <c r="T754" i="10"/>
  <c r="T753" i="10" s="1"/>
  <c r="T752" i="10" s="1"/>
  <c r="T751" i="10" s="1"/>
  <c r="U754" i="10"/>
  <c r="U753" i="10" s="1"/>
  <c r="U752" i="10" s="1"/>
  <c r="U751" i="10" s="1"/>
  <c r="V754" i="10"/>
  <c r="W754" i="10"/>
  <c r="W753" i="10" s="1"/>
  <c r="W752" i="10" s="1"/>
  <c r="W751" i="10" s="1"/>
  <c r="X754" i="10"/>
  <c r="X753" i="10" s="1"/>
  <c r="X752" i="10" s="1"/>
  <c r="X751" i="10" s="1"/>
  <c r="Y754" i="10"/>
  <c r="Y753" i="10" s="1"/>
  <c r="Y752" i="10" s="1"/>
  <c r="Y751" i="10" s="1"/>
  <c r="Z754" i="10"/>
  <c r="AA754" i="10" s="1"/>
  <c r="M755" i="10"/>
  <c r="N755" i="10"/>
  <c r="R755" i="10"/>
  <c r="Z755" i="10"/>
  <c r="AA755" i="10" s="1"/>
  <c r="M756" i="10"/>
  <c r="N756" i="10"/>
  <c r="R756" i="10"/>
  <c r="Z756" i="10"/>
  <c r="AA756" i="10" s="1"/>
  <c r="Q757" i="10"/>
  <c r="Z757" i="10"/>
  <c r="AA757" i="10" s="1"/>
  <c r="Z758" i="10"/>
  <c r="AA758" i="10"/>
  <c r="T759" i="10"/>
  <c r="T757" i="10" s="1"/>
  <c r="Z759" i="10"/>
  <c r="AA759" i="10"/>
  <c r="I760" i="10"/>
  <c r="I759" i="10" s="1"/>
  <c r="I757" i="10" s="1"/>
  <c r="Q760" i="10"/>
  <c r="Q759" i="10" s="1"/>
  <c r="U760" i="10"/>
  <c r="U759" i="10" s="1"/>
  <c r="U757" i="10" s="1"/>
  <c r="Y760" i="10"/>
  <c r="Y759" i="10" s="1"/>
  <c r="Y758" i="10" s="1"/>
  <c r="Z760" i="10"/>
  <c r="AA760" i="10"/>
  <c r="I761" i="10"/>
  <c r="J761" i="10"/>
  <c r="J760" i="10" s="1"/>
  <c r="J759" i="10" s="1"/>
  <c r="J757" i="10" s="1"/>
  <c r="K761" i="10"/>
  <c r="K760" i="10" s="1"/>
  <c r="K759" i="10" s="1"/>
  <c r="K757" i="10" s="1"/>
  <c r="L761" i="10"/>
  <c r="N761" i="10"/>
  <c r="O761" i="10"/>
  <c r="O760" i="10" s="1"/>
  <c r="P761" i="10"/>
  <c r="P760" i="10" s="1"/>
  <c r="P759" i="10" s="1"/>
  <c r="P757" i="10" s="1"/>
  <c r="Q761" i="10"/>
  <c r="R761" i="10"/>
  <c r="S761" i="10"/>
  <c r="S760" i="10" s="1"/>
  <c r="S759" i="10" s="1"/>
  <c r="S757" i="10" s="1"/>
  <c r="V761" i="10"/>
  <c r="V760" i="10" s="1"/>
  <c r="W761" i="10"/>
  <c r="W760" i="10" s="1"/>
  <c r="W759" i="10" s="1"/>
  <c r="X761" i="10"/>
  <c r="X760" i="10" s="1"/>
  <c r="X759" i="10" s="1"/>
  <c r="Y761" i="10"/>
  <c r="Z761" i="10"/>
  <c r="AA761" i="10" s="1"/>
  <c r="M762" i="10"/>
  <c r="N762" i="10"/>
  <c r="R762" i="10"/>
  <c r="T762" i="10"/>
  <c r="T761" i="10" s="1"/>
  <c r="T760" i="10" s="1"/>
  <c r="U762" i="10"/>
  <c r="U761" i="10" s="1"/>
  <c r="Z762" i="10"/>
  <c r="AA762" i="10" s="1"/>
  <c r="Z763" i="10"/>
  <c r="AA763" i="10"/>
  <c r="Z764" i="10"/>
  <c r="AA764" i="10" s="1"/>
  <c r="P765" i="10"/>
  <c r="P763" i="10" s="1"/>
  <c r="Z765" i="10"/>
  <c r="AA765" i="10" s="1"/>
  <c r="Q766" i="10"/>
  <c r="Q765" i="10" s="1"/>
  <c r="Q763" i="10" s="1"/>
  <c r="Z766" i="10"/>
  <c r="AA766" i="10"/>
  <c r="P767" i="10"/>
  <c r="P766" i="10" s="1"/>
  <c r="Q767" i="10"/>
  <c r="S767" i="10"/>
  <c r="S766" i="10" s="1"/>
  <c r="S765" i="10" s="1"/>
  <c r="S763" i="10" s="1"/>
  <c r="V767" i="10"/>
  <c r="W767" i="10"/>
  <c r="W766" i="10" s="1"/>
  <c r="W765" i="10" s="1"/>
  <c r="X767" i="10"/>
  <c r="X766" i="10" s="1"/>
  <c r="X765" i="10" s="1"/>
  <c r="X763" i="10" s="1"/>
  <c r="Y767" i="10"/>
  <c r="Y766" i="10" s="1"/>
  <c r="Y765" i="10" s="1"/>
  <c r="Z767" i="10"/>
  <c r="AA767" i="10" s="1"/>
  <c r="R768" i="10"/>
  <c r="Z768" i="10"/>
  <c r="AA768" i="10" s="1"/>
  <c r="R769" i="10"/>
  <c r="Z769" i="10"/>
  <c r="AA769" i="10"/>
  <c r="R770" i="10"/>
  <c r="Z770" i="10"/>
  <c r="AA770" i="10" s="1"/>
  <c r="Z771" i="10"/>
  <c r="AA771" i="10" s="1"/>
  <c r="Z772" i="10"/>
  <c r="AA772" i="10" s="1"/>
  <c r="Z773" i="10"/>
  <c r="AA773" i="10"/>
  <c r="Z774" i="10"/>
  <c r="AA774" i="10"/>
  <c r="W775" i="10"/>
  <c r="W774" i="10" s="1"/>
  <c r="W773" i="10" s="1"/>
  <c r="W772" i="10" s="1"/>
  <c r="X775" i="10"/>
  <c r="X774" i="10" s="1"/>
  <c r="X773" i="10" s="1"/>
  <c r="X772" i="10" s="1"/>
  <c r="Y775" i="10"/>
  <c r="Y774" i="10" s="1"/>
  <c r="Y773" i="10" s="1"/>
  <c r="Y772" i="10" s="1"/>
  <c r="Z775" i="10"/>
  <c r="AA775" i="10" s="1"/>
  <c r="R776" i="10"/>
  <c r="Z776" i="10"/>
  <c r="AA776" i="10" s="1"/>
  <c r="Z777" i="10"/>
  <c r="AA777" i="10" s="1"/>
  <c r="Z778" i="10"/>
  <c r="AA778" i="10" s="1"/>
  <c r="Z779" i="10"/>
  <c r="AA779" i="10" s="1"/>
  <c r="I780" i="10"/>
  <c r="I779" i="10" s="1"/>
  <c r="I778" i="10" s="1"/>
  <c r="I771" i="10" s="1"/>
  <c r="J780" i="10"/>
  <c r="J779" i="10" s="1"/>
  <c r="J778" i="10" s="1"/>
  <c r="J771" i="10" s="1"/>
  <c r="L780" i="10"/>
  <c r="O780" i="10"/>
  <c r="O779" i="10" s="1"/>
  <c r="O778" i="10" s="1"/>
  <c r="P780" i="10"/>
  <c r="Q780" i="10"/>
  <c r="Q779" i="10" s="1"/>
  <c r="Q778" i="10" s="1"/>
  <c r="Q771" i="10" s="1"/>
  <c r="S780" i="10"/>
  <c r="V780" i="10"/>
  <c r="W780" i="10"/>
  <c r="X780" i="10"/>
  <c r="Y780" i="10"/>
  <c r="Z780" i="10"/>
  <c r="AA780" i="10" s="1"/>
  <c r="K781" i="10"/>
  <c r="K780" i="10" s="1"/>
  <c r="M781" i="10"/>
  <c r="R781" i="10"/>
  <c r="T781" i="10"/>
  <c r="T780" i="10" s="1"/>
  <c r="U781" i="10"/>
  <c r="U780" i="10" s="1"/>
  <c r="Z781" i="10"/>
  <c r="AA781" i="10" s="1"/>
  <c r="R782" i="10"/>
  <c r="Z782" i="10"/>
  <c r="AA782" i="10" s="1"/>
  <c r="M783" i="10"/>
  <c r="N783" i="10"/>
  <c r="R783" i="10"/>
  <c r="Z783" i="10"/>
  <c r="AA783" i="10"/>
  <c r="R784" i="10"/>
  <c r="Z784" i="10"/>
  <c r="AA784" i="10" s="1"/>
  <c r="M785" i="10"/>
  <c r="N785" i="10"/>
  <c r="R785" i="10"/>
  <c r="Z785" i="10"/>
  <c r="AA785" i="10"/>
  <c r="R786" i="10"/>
  <c r="Z786" i="10"/>
  <c r="AA786" i="10" s="1"/>
  <c r="R787" i="10"/>
  <c r="Z787" i="10"/>
  <c r="AA787" i="10"/>
  <c r="R788" i="10"/>
  <c r="Z788" i="10"/>
  <c r="AA788" i="10"/>
  <c r="R789" i="10"/>
  <c r="Z789" i="10"/>
  <c r="AA789" i="10" s="1"/>
  <c r="M790" i="10"/>
  <c r="N790" i="10"/>
  <c r="R790" i="10"/>
  <c r="Z790" i="10"/>
  <c r="AA790" i="10"/>
  <c r="M791" i="10"/>
  <c r="N791" i="10"/>
  <c r="R791" i="10"/>
  <c r="Z791" i="10"/>
  <c r="AA791" i="10"/>
  <c r="P792" i="10"/>
  <c r="P779" i="10" s="1"/>
  <c r="P778" i="10" s="1"/>
  <c r="P771" i="10" s="1"/>
  <c r="Q792" i="10"/>
  <c r="S792" i="10"/>
  <c r="T792" i="10"/>
  <c r="U792" i="10"/>
  <c r="W792" i="10"/>
  <c r="X792" i="10"/>
  <c r="Y792" i="10"/>
  <c r="Z792" i="10"/>
  <c r="AA792" i="10"/>
  <c r="R793" i="10"/>
  <c r="Z793" i="10"/>
  <c r="AA793" i="10" s="1"/>
  <c r="R794" i="10"/>
  <c r="Z794" i="10"/>
  <c r="AA794" i="10" s="1"/>
  <c r="P795" i="10"/>
  <c r="Q795" i="10"/>
  <c r="S795" i="10"/>
  <c r="T795" i="10"/>
  <c r="U795" i="10"/>
  <c r="V795" i="10"/>
  <c r="W795" i="10"/>
  <c r="X795" i="10"/>
  <c r="Y795" i="10"/>
  <c r="Z795" i="10"/>
  <c r="AA795" i="10" s="1"/>
  <c r="R796" i="10"/>
  <c r="Z796" i="10"/>
  <c r="AA796" i="10" s="1"/>
  <c r="R797" i="10"/>
  <c r="Z797" i="10"/>
  <c r="AA797" i="10"/>
  <c r="R798" i="10"/>
  <c r="Z798" i="10"/>
  <c r="AA798" i="10"/>
  <c r="R799" i="10"/>
  <c r="Z799" i="10"/>
  <c r="AA799" i="10" s="1"/>
  <c r="P800" i="10"/>
  <c r="S800" i="10"/>
  <c r="V800" i="10"/>
  <c r="R800" i="10" s="1"/>
  <c r="W800" i="10"/>
  <c r="X800" i="10"/>
  <c r="Y800" i="10"/>
  <c r="Z800" i="10"/>
  <c r="AA800" i="10" s="1"/>
  <c r="R801" i="10"/>
  <c r="Z801" i="10"/>
  <c r="AA801" i="10" s="1"/>
  <c r="Z802" i="10"/>
  <c r="AA802" i="10" s="1"/>
  <c r="Z803" i="10"/>
  <c r="AA803" i="10"/>
  <c r="Z804" i="10"/>
  <c r="AA804" i="10"/>
  <c r="W805" i="10"/>
  <c r="W804" i="10" s="1"/>
  <c r="X805" i="10"/>
  <c r="X804" i="10" s="1"/>
  <c r="Y805" i="10"/>
  <c r="Y804" i="10" s="1"/>
  <c r="Z805" i="10"/>
  <c r="AA805" i="10" s="1"/>
  <c r="Z806" i="10"/>
  <c r="AA806" i="10" s="1"/>
  <c r="Z807" i="10"/>
  <c r="AA807" i="10" s="1"/>
  <c r="Z808" i="10"/>
  <c r="AA808" i="10" s="1"/>
  <c r="W809" i="10"/>
  <c r="W808" i="10" s="1"/>
  <c r="X809" i="10"/>
  <c r="X808" i="10" s="1"/>
  <c r="X803" i="10" s="1"/>
  <c r="X802" i="10" s="1"/>
  <c r="Y809" i="10"/>
  <c r="Y808" i="10" s="1"/>
  <c r="Z809" i="10"/>
  <c r="AA809" i="10" s="1"/>
  <c r="Z810" i="10"/>
  <c r="AA810" i="10" s="1"/>
  <c r="Z812" i="10"/>
  <c r="AA812" i="10"/>
  <c r="U813" i="10"/>
  <c r="Z813" i="10"/>
  <c r="AA813" i="10" s="1"/>
  <c r="W814" i="10"/>
  <c r="W813" i="10" s="1"/>
  <c r="Z814" i="10"/>
  <c r="AA814" i="10" s="1"/>
  <c r="J815" i="10"/>
  <c r="J814" i="10" s="1"/>
  <c r="J813" i="10" s="1"/>
  <c r="K815" i="10"/>
  <c r="K814" i="10" s="1"/>
  <c r="K813" i="10" s="1"/>
  <c r="L815" i="10"/>
  <c r="L814" i="10" s="1"/>
  <c r="O815" i="10"/>
  <c r="P815" i="10"/>
  <c r="P814" i="10" s="1"/>
  <c r="P813" i="10" s="1"/>
  <c r="Q815" i="10"/>
  <c r="Q814" i="10" s="1"/>
  <c r="Q813" i="10" s="1"/>
  <c r="S815" i="10"/>
  <c r="S814" i="10" s="1"/>
  <c r="S813" i="10" s="1"/>
  <c r="T815" i="10"/>
  <c r="T814" i="10" s="1"/>
  <c r="T813" i="10" s="1"/>
  <c r="U815" i="10"/>
  <c r="U814" i="10" s="1"/>
  <c r="V815" i="10"/>
  <c r="V814" i="10" s="1"/>
  <c r="R814" i="10" s="1"/>
  <c r="W815" i="10"/>
  <c r="X815" i="10"/>
  <c r="X814" i="10" s="1"/>
  <c r="X813" i="10" s="1"/>
  <c r="Y815" i="10"/>
  <c r="Y814" i="10" s="1"/>
  <c r="Y813" i="10" s="1"/>
  <c r="Z815" i="10"/>
  <c r="AA815" i="10" s="1"/>
  <c r="M816" i="10"/>
  <c r="N816" i="10"/>
  <c r="R816" i="10"/>
  <c r="Z816" i="10"/>
  <c r="AA816" i="10"/>
  <c r="M817" i="10"/>
  <c r="N817" i="10"/>
  <c r="R817" i="10"/>
  <c r="Z817" i="10"/>
  <c r="AA817" i="10"/>
  <c r="Z818" i="10"/>
  <c r="AA818" i="10"/>
  <c r="Z819" i="10"/>
  <c r="AA819" i="10"/>
  <c r="I820" i="10"/>
  <c r="I819" i="10" s="1"/>
  <c r="I818" i="10" s="1"/>
  <c r="I812" i="10" s="1"/>
  <c r="J820" i="10"/>
  <c r="K820" i="10"/>
  <c r="L820" i="10"/>
  <c r="M820" i="10" s="1"/>
  <c r="O820" i="10"/>
  <c r="P820" i="10"/>
  <c r="Q820" i="10"/>
  <c r="Q819" i="10" s="1"/>
  <c r="Q818" i="10" s="1"/>
  <c r="S820" i="10"/>
  <c r="T820" i="10"/>
  <c r="U820" i="10"/>
  <c r="V820" i="10"/>
  <c r="W820" i="10"/>
  <c r="X820" i="10"/>
  <c r="Y820" i="10"/>
  <c r="Z820" i="10"/>
  <c r="AA820" i="10" s="1"/>
  <c r="M821" i="10"/>
  <c r="N821" i="10"/>
  <c r="R821" i="10"/>
  <c r="Z821" i="10"/>
  <c r="AA821" i="10" s="1"/>
  <c r="M822" i="10"/>
  <c r="N822" i="10"/>
  <c r="R822" i="10"/>
  <c r="Z822" i="10"/>
  <c r="AA822" i="10"/>
  <c r="M823" i="10"/>
  <c r="N823" i="10"/>
  <c r="R823" i="10"/>
  <c r="Z823" i="10"/>
  <c r="AA823" i="10"/>
  <c r="M824" i="10"/>
  <c r="N824" i="10"/>
  <c r="R824" i="10"/>
  <c r="Z824" i="10"/>
  <c r="AA824" i="10" s="1"/>
  <c r="M825" i="10"/>
  <c r="N825" i="10"/>
  <c r="R825" i="10"/>
  <c r="Z825" i="10"/>
  <c r="AA825" i="10" s="1"/>
  <c r="M826" i="10"/>
  <c r="N826" i="10"/>
  <c r="R826" i="10"/>
  <c r="Z826" i="10"/>
  <c r="AA826" i="10" s="1"/>
  <c r="I827" i="10"/>
  <c r="J827" i="10"/>
  <c r="K827" i="10"/>
  <c r="L827" i="10"/>
  <c r="M827" i="10"/>
  <c r="O827" i="10"/>
  <c r="N827" i="10" s="1"/>
  <c r="P827" i="10"/>
  <c r="Q827" i="10"/>
  <c r="S827" i="10"/>
  <c r="T827" i="10"/>
  <c r="T819" i="10" s="1"/>
  <c r="T818" i="10" s="1"/>
  <c r="U827" i="10"/>
  <c r="V827" i="10"/>
  <c r="W827" i="10"/>
  <c r="X827" i="10"/>
  <c r="X819" i="10" s="1"/>
  <c r="X818" i="10" s="1"/>
  <c r="Y827" i="10"/>
  <c r="Z827" i="10"/>
  <c r="AA827" i="10"/>
  <c r="M828" i="10"/>
  <c r="N828" i="10"/>
  <c r="R828" i="10"/>
  <c r="Z828" i="10"/>
  <c r="AA828" i="10"/>
  <c r="M829" i="10"/>
  <c r="N829" i="10"/>
  <c r="R829" i="10"/>
  <c r="Z829" i="10"/>
  <c r="AA829" i="10" s="1"/>
  <c r="W830" i="10"/>
  <c r="X830" i="10"/>
  <c r="Z830" i="10"/>
  <c r="AA830" i="10" s="1"/>
  <c r="V831" i="10"/>
  <c r="W831" i="10"/>
  <c r="X831" i="10"/>
  <c r="Y831" i="10"/>
  <c r="Y830" i="10" s="1"/>
  <c r="Z831" i="10"/>
  <c r="AA831" i="10" s="1"/>
  <c r="R832" i="10"/>
  <c r="Z832" i="10"/>
  <c r="AA832" i="10" s="1"/>
  <c r="L833" i="10"/>
  <c r="Z833" i="10"/>
  <c r="AA833" i="10"/>
  <c r="Z834" i="10"/>
  <c r="AA834" i="10" s="1"/>
  <c r="Z835" i="10"/>
  <c r="AA835" i="10"/>
  <c r="Z836" i="10"/>
  <c r="AA836" i="10"/>
  <c r="J837" i="10"/>
  <c r="J836" i="10" s="1"/>
  <c r="J833" i="10" s="1"/>
  <c r="K837" i="10"/>
  <c r="K836" i="10" s="1"/>
  <c r="K833" i="10" s="1"/>
  <c r="L837" i="10"/>
  <c r="L836" i="10" s="1"/>
  <c r="M837" i="10"/>
  <c r="M836" i="10" s="1"/>
  <c r="M833" i="10" s="1"/>
  <c r="N837" i="10"/>
  <c r="N836" i="10" s="1"/>
  <c r="N833" i="10" s="1"/>
  <c r="O837" i="10"/>
  <c r="O836" i="10" s="1"/>
  <c r="O833" i="10" s="1"/>
  <c r="P837" i="10"/>
  <c r="R837" i="10" s="1"/>
  <c r="Q837" i="10"/>
  <c r="Q836" i="10" s="1"/>
  <c r="Q833" i="10" s="1"/>
  <c r="V837" i="10"/>
  <c r="V836" i="10" s="1"/>
  <c r="W837" i="10"/>
  <c r="W836" i="10" s="1"/>
  <c r="X837" i="10"/>
  <c r="X836" i="10" s="1"/>
  <c r="Y837" i="10"/>
  <c r="Y836" i="10" s="1"/>
  <c r="Z837" i="10"/>
  <c r="AA837" i="10"/>
  <c r="R838" i="10"/>
  <c r="Z838" i="10"/>
  <c r="AA838" i="10" s="1"/>
  <c r="R839" i="10"/>
  <c r="Z839" i="10"/>
  <c r="AA839" i="10"/>
  <c r="Z840" i="10"/>
  <c r="AA840" i="10" s="1"/>
  <c r="Z841" i="10"/>
  <c r="AA841" i="10"/>
  <c r="X842" i="10"/>
  <c r="X841" i="10" s="1"/>
  <c r="Z842" i="10"/>
  <c r="AA842" i="10" s="1"/>
  <c r="M843" i="10"/>
  <c r="M840" i="10" s="1"/>
  <c r="X843" i="10"/>
  <c r="X840" i="10" s="1"/>
  <c r="Y843" i="10"/>
  <c r="Z843" i="10"/>
  <c r="AA843" i="10" s="1"/>
  <c r="J844" i="10"/>
  <c r="J843" i="10" s="1"/>
  <c r="J840" i="10" s="1"/>
  <c r="K844" i="10"/>
  <c r="K843" i="10" s="1"/>
  <c r="K840" i="10" s="1"/>
  <c r="L844" i="10"/>
  <c r="L843" i="10" s="1"/>
  <c r="L840" i="10" s="1"/>
  <c r="M844" i="10"/>
  <c r="N844" i="10"/>
  <c r="N843" i="10" s="1"/>
  <c r="N840" i="10" s="1"/>
  <c r="O844" i="10"/>
  <c r="O843" i="10" s="1"/>
  <c r="O840" i="10" s="1"/>
  <c r="P844" i="10"/>
  <c r="P843" i="10" s="1"/>
  <c r="P840" i="10" s="1"/>
  <c r="Q844" i="10"/>
  <c r="Q843" i="10" s="1"/>
  <c r="Q840" i="10" s="1"/>
  <c r="V844" i="10"/>
  <c r="W844" i="10"/>
  <c r="W843" i="10" s="1"/>
  <c r="X844" i="10"/>
  <c r="Y844" i="10"/>
  <c r="Z844" i="10"/>
  <c r="AA844" i="10" s="1"/>
  <c r="R845" i="10"/>
  <c r="Z845" i="10"/>
  <c r="AA845" i="10" s="1"/>
  <c r="R846" i="10"/>
  <c r="Z846" i="10"/>
  <c r="AA846" i="10" s="1"/>
  <c r="Z847" i="10"/>
  <c r="AA847" i="10" s="1"/>
  <c r="Z849" i="10"/>
  <c r="AA849" i="10" s="1"/>
  <c r="L850" i="10"/>
  <c r="L849" i="10" s="1"/>
  <c r="L847" i="10" s="1"/>
  <c r="Z850" i="10"/>
  <c r="AA850" i="10" s="1"/>
  <c r="J851" i="10"/>
  <c r="J850" i="10" s="1"/>
  <c r="J849" i="10" s="1"/>
  <c r="J847" i="10" s="1"/>
  <c r="K851" i="10"/>
  <c r="K850" i="10" s="1"/>
  <c r="K849" i="10" s="1"/>
  <c r="K847" i="10" s="1"/>
  <c r="L851" i="10"/>
  <c r="M851" i="10"/>
  <c r="M850" i="10" s="1"/>
  <c r="M849" i="10" s="1"/>
  <c r="M847" i="10" s="1"/>
  <c r="N851" i="10"/>
  <c r="N850" i="10" s="1"/>
  <c r="N849" i="10" s="1"/>
  <c r="N847" i="10" s="1"/>
  <c r="O851" i="10"/>
  <c r="O850" i="10" s="1"/>
  <c r="O849" i="10" s="1"/>
  <c r="O847" i="10" s="1"/>
  <c r="P851" i="10"/>
  <c r="P850" i="10" s="1"/>
  <c r="P849" i="10" s="1"/>
  <c r="P847" i="10" s="1"/>
  <c r="Q851" i="10"/>
  <c r="Q850" i="10" s="1"/>
  <c r="Q849" i="10" s="1"/>
  <c r="Q847" i="10" s="1"/>
  <c r="V851" i="10"/>
  <c r="R851" i="10" s="1"/>
  <c r="W851" i="10"/>
  <c r="W850" i="10" s="1"/>
  <c r="W849" i="10" s="1"/>
  <c r="W847" i="10" s="1"/>
  <c r="X851" i="10"/>
  <c r="X850" i="10" s="1"/>
  <c r="X849" i="10" s="1"/>
  <c r="X847" i="10" s="1"/>
  <c r="Y851" i="10"/>
  <c r="Y850" i="10" s="1"/>
  <c r="Y849" i="10" s="1"/>
  <c r="Y847" i="10" s="1"/>
  <c r="Z851" i="10"/>
  <c r="AA851" i="10"/>
  <c r="R852" i="10"/>
  <c r="Z852" i="10"/>
  <c r="AA852" i="10"/>
  <c r="J853" i="10"/>
  <c r="Z853" i="10"/>
  <c r="AA853" i="10" s="1"/>
  <c r="K854" i="10"/>
  <c r="K853" i="10" s="1"/>
  <c r="V854" i="10"/>
  <c r="V853" i="10" s="1"/>
  <c r="W854" i="10"/>
  <c r="W853" i="10" s="1"/>
  <c r="Z854" i="10"/>
  <c r="AA854" i="10" s="1"/>
  <c r="I855" i="10"/>
  <c r="I854" i="10" s="1"/>
  <c r="I853" i="10" s="1"/>
  <c r="J855" i="10"/>
  <c r="J854" i="10" s="1"/>
  <c r="K855" i="10"/>
  <c r="L855" i="10"/>
  <c r="O855" i="10"/>
  <c r="N855" i="10" s="1"/>
  <c r="P855" i="10"/>
  <c r="P854" i="10" s="1"/>
  <c r="P853" i="10" s="1"/>
  <c r="Q855" i="10"/>
  <c r="Q854" i="10" s="1"/>
  <c r="Q853" i="10" s="1"/>
  <c r="S855" i="10"/>
  <c r="S854" i="10" s="1"/>
  <c r="S853" i="10" s="1"/>
  <c r="T855" i="10"/>
  <c r="T854" i="10" s="1"/>
  <c r="T853" i="10" s="1"/>
  <c r="U855" i="10"/>
  <c r="U854" i="10" s="1"/>
  <c r="U853" i="10" s="1"/>
  <c r="V855" i="10"/>
  <c r="W855" i="10"/>
  <c r="X855" i="10"/>
  <c r="X854" i="10" s="1"/>
  <c r="X853" i="10" s="1"/>
  <c r="Y855" i="10"/>
  <c r="Y854" i="10" s="1"/>
  <c r="Y853" i="10" s="1"/>
  <c r="Z855" i="10"/>
  <c r="AA855" i="10" s="1"/>
  <c r="M856" i="10"/>
  <c r="N856" i="10"/>
  <c r="R856" i="10"/>
  <c r="Z856" i="10"/>
  <c r="AA856" i="10"/>
  <c r="R857" i="10"/>
  <c r="Z857" i="10"/>
  <c r="AA857" i="10" s="1"/>
  <c r="Q858" i="10"/>
  <c r="Z858" i="10"/>
  <c r="AA858" i="10" s="1"/>
  <c r="Z859" i="10"/>
  <c r="AA859" i="10"/>
  <c r="P860" i="10"/>
  <c r="P858" i="10" s="1"/>
  <c r="Z860" i="10"/>
  <c r="AA860" i="10" s="1"/>
  <c r="Z861" i="10"/>
  <c r="AA861" i="10" s="1"/>
  <c r="M862" i="10"/>
  <c r="N862" i="10"/>
  <c r="R862" i="10"/>
  <c r="Z862" i="10"/>
  <c r="AA862" i="10"/>
  <c r="Z863" i="10"/>
  <c r="AA863" i="10" s="1"/>
  <c r="Z864" i="10"/>
  <c r="AA864" i="10"/>
  <c r="I865" i="10"/>
  <c r="I863" i="10" s="1"/>
  <c r="I860" i="10" s="1"/>
  <c r="I858" i="10" s="1"/>
  <c r="Z865" i="10"/>
  <c r="AA865" i="10" s="1"/>
  <c r="J866" i="10"/>
  <c r="J865" i="10" s="1"/>
  <c r="J863" i="10" s="1"/>
  <c r="J860" i="10" s="1"/>
  <c r="J858" i="10" s="1"/>
  <c r="S866" i="10"/>
  <c r="S865" i="10" s="1"/>
  <c r="S863" i="10" s="1"/>
  <c r="S860" i="10" s="1"/>
  <c r="S858" i="10" s="1"/>
  <c r="W866" i="10"/>
  <c r="W865" i="10" s="1"/>
  <c r="Z866" i="10"/>
  <c r="AA866" i="10" s="1"/>
  <c r="I867" i="10"/>
  <c r="I866" i="10" s="1"/>
  <c r="J867" i="10"/>
  <c r="K867" i="10"/>
  <c r="K866" i="10" s="1"/>
  <c r="K865" i="10" s="1"/>
  <c r="K863" i="10" s="1"/>
  <c r="K860" i="10" s="1"/>
  <c r="K858" i="10" s="1"/>
  <c r="L867" i="10"/>
  <c r="O867" i="10"/>
  <c r="N867" i="10" s="1"/>
  <c r="P867" i="10"/>
  <c r="P866" i="10" s="1"/>
  <c r="P865" i="10" s="1"/>
  <c r="P863" i="10" s="1"/>
  <c r="Q867" i="10"/>
  <c r="Q866" i="10" s="1"/>
  <c r="Q865" i="10" s="1"/>
  <c r="Q863" i="10" s="1"/>
  <c r="Q860" i="10" s="1"/>
  <c r="S867" i="10"/>
  <c r="T867" i="10"/>
  <c r="T866" i="10" s="1"/>
  <c r="T865" i="10" s="1"/>
  <c r="T863" i="10" s="1"/>
  <c r="T860" i="10" s="1"/>
  <c r="T858" i="10" s="1"/>
  <c r="U867" i="10"/>
  <c r="U866" i="10" s="1"/>
  <c r="U865" i="10" s="1"/>
  <c r="U863" i="10" s="1"/>
  <c r="U860" i="10" s="1"/>
  <c r="U858" i="10" s="1"/>
  <c r="X867" i="10"/>
  <c r="X866" i="10" s="1"/>
  <c r="X865" i="10" s="1"/>
  <c r="Y867" i="10"/>
  <c r="Y866" i="10" s="1"/>
  <c r="Y865" i="10" s="1"/>
  <c r="Z867" i="10"/>
  <c r="AA867" i="10"/>
  <c r="M868" i="10"/>
  <c r="N868" i="10"/>
  <c r="R868" i="10"/>
  <c r="Z868" i="10"/>
  <c r="AA868" i="10" s="1"/>
  <c r="R869" i="10"/>
  <c r="Z869" i="10"/>
  <c r="AA869" i="10"/>
  <c r="R870" i="10"/>
  <c r="Z870" i="10"/>
  <c r="AA870" i="10"/>
  <c r="R871" i="10"/>
  <c r="Z871" i="10"/>
  <c r="AA871" i="10" s="1"/>
  <c r="V872" i="10"/>
  <c r="V867" i="10" s="1"/>
  <c r="W872" i="10"/>
  <c r="W867" i="10" s="1"/>
  <c r="Z872" i="10"/>
  <c r="AA872" i="10" s="1"/>
  <c r="M873" i="10"/>
  <c r="N873" i="10"/>
  <c r="R873" i="10"/>
  <c r="Z873" i="10"/>
  <c r="AA873" i="10" s="1"/>
  <c r="Z874" i="10"/>
  <c r="AA874" i="10"/>
  <c r="Z875" i="10"/>
  <c r="AA875" i="10" s="1"/>
  <c r="Z876" i="10"/>
  <c r="AA876" i="10"/>
  <c r="Z877" i="10"/>
  <c r="AA877" i="10" s="1"/>
  <c r="Z878" i="10"/>
  <c r="AA878" i="10" s="1"/>
  <c r="Z879" i="10"/>
  <c r="AA879" i="10" s="1"/>
  <c r="Z880" i="10"/>
  <c r="AA880" i="10" s="1"/>
  <c r="Z882" i="10"/>
  <c r="AA882" i="10" s="1"/>
  <c r="Z884" i="10"/>
  <c r="AA884" i="10"/>
  <c r="Z885" i="10"/>
  <c r="AA885" i="10" s="1"/>
  <c r="Z886" i="10"/>
  <c r="AA886" i="10"/>
  <c r="Z887" i="10"/>
  <c r="AA887" i="10" s="1"/>
  <c r="Z888" i="10"/>
  <c r="AA888" i="10" s="1"/>
  <c r="AA889" i="10"/>
  <c r="AA890" i="10"/>
  <c r="AA891" i="10"/>
  <c r="AA892" i="10"/>
  <c r="AA893" i="10"/>
  <c r="AA894" i="10"/>
  <c r="AA895" i="10"/>
  <c r="AA896" i="10"/>
  <c r="AA897" i="10"/>
  <c r="AA898" i="10"/>
  <c r="AA899" i="10"/>
  <c r="AA900" i="10"/>
  <c r="AA901" i="10"/>
  <c r="AA902" i="10"/>
  <c r="AA903" i="10"/>
  <c r="AA904" i="10"/>
  <c r="AA905" i="10"/>
  <c r="AA906" i="10"/>
  <c r="AA907" i="10"/>
  <c r="AA908" i="10"/>
  <c r="AA909" i="10"/>
  <c r="AA910" i="10"/>
  <c r="AA911" i="10"/>
  <c r="AA912" i="10"/>
  <c r="AJ9" i="12"/>
  <c r="AK9" i="12" s="1"/>
  <c r="AJ10" i="12"/>
  <c r="AK10" i="12" s="1"/>
  <c r="AJ11" i="12"/>
  <c r="AK11" i="12" s="1"/>
  <c r="AE12" i="12"/>
  <c r="AJ12" i="12"/>
  <c r="AK12" i="12" s="1"/>
  <c r="AE13" i="12"/>
  <c r="AJ13" i="12"/>
  <c r="AK13" i="12" s="1"/>
  <c r="AJ14" i="12"/>
  <c r="AK14" i="12" s="1"/>
  <c r="AJ15" i="12"/>
  <c r="AK15" i="12"/>
  <c r="AJ16" i="12"/>
  <c r="AK16" i="12" s="1"/>
  <c r="AJ17" i="12"/>
  <c r="AK17" i="12"/>
  <c r="AJ18" i="12"/>
  <c r="AK18" i="12" s="1"/>
  <c r="N19" i="12"/>
  <c r="O19" i="12"/>
  <c r="Q19" i="12"/>
  <c r="R19" i="12"/>
  <c r="S19" i="12"/>
  <c r="T19" i="12"/>
  <c r="P19" i="12" s="1"/>
  <c r="U19" i="12"/>
  <c r="V19" i="12"/>
  <c r="W19" i="12"/>
  <c r="X19" i="12"/>
  <c r="Y19" i="12"/>
  <c r="Z19" i="12" s="1"/>
  <c r="AB19" i="12"/>
  <c r="AA19" i="12" s="1"/>
  <c r="AC19" i="12"/>
  <c r="AF19" i="12"/>
  <c r="AG19" i="12"/>
  <c r="AH19" i="12"/>
  <c r="AI19" i="12"/>
  <c r="AJ19" i="12"/>
  <c r="AK19" i="12" s="1"/>
  <c r="AA20" i="12"/>
  <c r="AD20" i="12"/>
  <c r="AE20" i="12"/>
  <c r="AJ20" i="12"/>
  <c r="AK20" i="12"/>
  <c r="AA21" i="12"/>
  <c r="AD21" i="12"/>
  <c r="AE21" i="12"/>
  <c r="AJ21" i="12"/>
  <c r="AK21" i="12" s="1"/>
  <c r="P22" i="12"/>
  <c r="Z22" i="12"/>
  <c r="AA22" i="12"/>
  <c r="AD22" i="12"/>
  <c r="AE22" i="12"/>
  <c r="AJ22" i="12"/>
  <c r="AK22" i="12" s="1"/>
  <c r="I23" i="12"/>
  <c r="J23" i="12"/>
  <c r="M23" i="12"/>
  <c r="N23" i="12"/>
  <c r="O23" i="12"/>
  <c r="Q23" i="12"/>
  <c r="R23" i="12"/>
  <c r="S23" i="12"/>
  <c r="T23" i="12"/>
  <c r="P23" i="12" s="1"/>
  <c r="U23" i="12"/>
  <c r="V23" i="12"/>
  <c r="W23" i="12"/>
  <c r="X23" i="12"/>
  <c r="Y23" i="12"/>
  <c r="Z23" i="12" s="1"/>
  <c r="AB23" i="12"/>
  <c r="AC23" i="12"/>
  <c r="AD23" i="12" s="1"/>
  <c r="AF23" i="12"/>
  <c r="AE23" i="12" s="1"/>
  <c r="AG23" i="12"/>
  <c r="AH23" i="12"/>
  <c r="AI23" i="12"/>
  <c r="AJ23" i="12"/>
  <c r="AK23" i="12"/>
  <c r="K24" i="12"/>
  <c r="L24" i="12"/>
  <c r="P24" i="12"/>
  <c r="Z24" i="12"/>
  <c r="AA24" i="12"/>
  <c r="AD24" i="12"/>
  <c r="AE24" i="12"/>
  <c r="AJ24" i="12"/>
  <c r="AK24" i="12" s="1"/>
  <c r="I25" i="12"/>
  <c r="J25" i="12"/>
  <c r="K25" i="12"/>
  <c r="L25" i="12"/>
  <c r="M25" i="12"/>
  <c r="M18" i="12" s="1"/>
  <c r="M17" i="12" s="1"/>
  <c r="N25" i="12"/>
  <c r="N18" i="12" s="1"/>
  <c r="N17" i="12" s="1"/>
  <c r="N15" i="12" s="1"/>
  <c r="O25" i="12"/>
  <c r="O18" i="12" s="1"/>
  <c r="O17" i="12" s="1"/>
  <c r="O15" i="12" s="1"/>
  <c r="Q25" i="12"/>
  <c r="R25" i="12"/>
  <c r="S25" i="12"/>
  <c r="S18" i="12" s="1"/>
  <c r="S17" i="12" s="1"/>
  <c r="S15" i="12" s="1"/>
  <c r="T25" i="12"/>
  <c r="T18" i="12" s="1"/>
  <c r="U25" i="12"/>
  <c r="V25" i="12"/>
  <c r="W25" i="12"/>
  <c r="W18" i="12" s="1"/>
  <c r="W17" i="12" s="1"/>
  <c r="X25" i="12"/>
  <c r="X18" i="12" s="1"/>
  <c r="X17" i="12" s="1"/>
  <c r="Y25" i="12"/>
  <c r="Z25" i="12" s="1"/>
  <c r="AC25" i="12"/>
  <c r="AF25" i="12"/>
  <c r="AJ25" i="12"/>
  <c r="AK25" i="12" s="1"/>
  <c r="K26" i="12"/>
  <c r="L26" i="12"/>
  <c r="P26" i="12"/>
  <c r="Z26" i="12"/>
  <c r="AA26" i="12"/>
  <c r="AD26" i="12"/>
  <c r="AE26" i="12"/>
  <c r="AJ26" i="12"/>
  <c r="AK26" i="12" s="1"/>
  <c r="K27" i="12"/>
  <c r="L27" i="12"/>
  <c r="P27" i="12"/>
  <c r="Z27" i="12"/>
  <c r="AA27" i="12"/>
  <c r="AD27" i="12"/>
  <c r="AE27" i="12"/>
  <c r="AJ27" i="12"/>
  <c r="AK27" i="12" s="1"/>
  <c r="K28" i="12"/>
  <c r="L28" i="12"/>
  <c r="P28" i="12"/>
  <c r="Z28" i="12"/>
  <c r="AB28" i="12"/>
  <c r="AF28" i="12"/>
  <c r="AG28" i="12"/>
  <c r="AG25" i="12" s="1"/>
  <c r="AH28" i="12"/>
  <c r="AI28" i="12"/>
  <c r="AI25" i="12" s="1"/>
  <c r="AI18" i="12" s="1"/>
  <c r="AI17" i="12" s="1"/>
  <c r="AJ28" i="12"/>
  <c r="AK28" i="12" s="1"/>
  <c r="K29" i="12"/>
  <c r="L29" i="12"/>
  <c r="P29" i="12"/>
  <c r="Z29" i="12"/>
  <c r="AA29" i="12"/>
  <c r="AD29" i="12"/>
  <c r="AE29" i="12"/>
  <c r="AJ29" i="12"/>
  <c r="AK29" i="12" s="1"/>
  <c r="Z30" i="12"/>
  <c r="AA30" i="12"/>
  <c r="AD30" i="12"/>
  <c r="AE30" i="12"/>
  <c r="AJ30" i="12"/>
  <c r="AK30" i="12"/>
  <c r="AJ31" i="12"/>
  <c r="AK31" i="12" s="1"/>
  <c r="X32" i="12"/>
  <c r="AJ32" i="12"/>
  <c r="AK32" i="12" s="1"/>
  <c r="AJ33" i="12"/>
  <c r="AK33" i="12" s="1"/>
  <c r="J34" i="12"/>
  <c r="N34" i="12"/>
  <c r="N33" i="12" s="1"/>
  <c r="N31" i="12" s="1"/>
  <c r="AH34" i="12"/>
  <c r="AH33" i="12" s="1"/>
  <c r="AJ34" i="12"/>
  <c r="AK34" i="12" s="1"/>
  <c r="I35" i="12"/>
  <c r="I34" i="12" s="1"/>
  <c r="I33" i="12" s="1"/>
  <c r="I31" i="12" s="1"/>
  <c r="J35" i="12"/>
  <c r="K35" i="12" s="1"/>
  <c r="M35" i="12"/>
  <c r="N35" i="12"/>
  <c r="O35" i="12"/>
  <c r="O34" i="12" s="1"/>
  <c r="O33" i="12" s="1"/>
  <c r="O31" i="12" s="1"/>
  <c r="Q35" i="12"/>
  <c r="Q34" i="12" s="1"/>
  <c r="Q33" i="12" s="1"/>
  <c r="Q31" i="12" s="1"/>
  <c r="R35" i="12"/>
  <c r="R34" i="12" s="1"/>
  <c r="R33" i="12" s="1"/>
  <c r="R31" i="12" s="1"/>
  <c r="S35" i="12"/>
  <c r="S34" i="12" s="1"/>
  <c r="S33" i="12" s="1"/>
  <c r="S31" i="12" s="1"/>
  <c r="T35" i="12"/>
  <c r="P35" i="12" s="1"/>
  <c r="U35" i="12"/>
  <c r="U34" i="12" s="1"/>
  <c r="U33" i="12" s="1"/>
  <c r="Y35" i="12"/>
  <c r="AB35" i="12"/>
  <c r="AB34" i="12" s="1"/>
  <c r="AC35" i="12"/>
  <c r="AF35" i="12"/>
  <c r="AF34" i="12" s="1"/>
  <c r="AG35" i="12"/>
  <c r="AG34" i="12" s="1"/>
  <c r="AG33" i="12" s="1"/>
  <c r="AH35" i="12"/>
  <c r="AI35" i="12"/>
  <c r="AI34" i="12" s="1"/>
  <c r="AI33" i="12" s="1"/>
  <c r="AJ35" i="12"/>
  <c r="AK35" i="12" s="1"/>
  <c r="P36" i="12"/>
  <c r="V36" i="12"/>
  <c r="V35" i="12" s="1"/>
  <c r="V34" i="12" s="1"/>
  <c r="V33" i="12" s="1"/>
  <c r="W36" i="12"/>
  <c r="W35" i="12" s="1"/>
  <c r="W34" i="12" s="1"/>
  <c r="W33" i="12" s="1"/>
  <c r="X36" i="12"/>
  <c r="X35" i="12" s="1"/>
  <c r="X34" i="12" s="1"/>
  <c r="X33" i="12" s="1"/>
  <c r="X31" i="12" s="1"/>
  <c r="AA36" i="12"/>
  <c r="AD36" i="12"/>
  <c r="AE36" i="12"/>
  <c r="AJ36" i="12"/>
  <c r="AK36" i="12" s="1"/>
  <c r="AJ37" i="12"/>
  <c r="AK37" i="12"/>
  <c r="AJ38" i="12"/>
  <c r="AK38" i="12" s="1"/>
  <c r="AJ39" i="12"/>
  <c r="AK39" i="12"/>
  <c r="T40" i="12"/>
  <c r="T39" i="12" s="1"/>
  <c r="T38" i="12" s="1"/>
  <c r="U40" i="12"/>
  <c r="U39" i="12" s="1"/>
  <c r="U38" i="12" s="1"/>
  <c r="AJ40" i="12"/>
  <c r="AK40" i="12"/>
  <c r="AJ41" i="12"/>
  <c r="AK41" i="12" s="1"/>
  <c r="AJ42" i="12"/>
  <c r="AK42" i="12" s="1"/>
  <c r="AJ43" i="12"/>
  <c r="AK43" i="12" s="1"/>
  <c r="AJ44" i="12"/>
  <c r="AK44" i="12" s="1"/>
  <c r="AJ45" i="12"/>
  <c r="AK45" i="12" s="1"/>
  <c r="T46" i="12"/>
  <c r="T45" i="12" s="1"/>
  <c r="T44" i="12" s="1"/>
  <c r="T43" i="12" s="1"/>
  <c r="T42" i="12" s="1"/>
  <c r="U46" i="12"/>
  <c r="U45" i="12" s="1"/>
  <c r="U44" i="12" s="1"/>
  <c r="U43" i="12" s="1"/>
  <c r="U42" i="12" s="1"/>
  <c r="AJ46" i="12"/>
  <c r="AK46" i="12" s="1"/>
  <c r="AJ47" i="12"/>
  <c r="AK47" i="12"/>
  <c r="X48" i="12"/>
  <c r="AJ48" i="12"/>
  <c r="AK48" i="12" s="1"/>
  <c r="X49" i="12"/>
  <c r="AJ49" i="12"/>
  <c r="AK49" i="12" s="1"/>
  <c r="S50" i="12"/>
  <c r="S48" i="12" s="1"/>
  <c r="W50" i="12"/>
  <c r="AJ50" i="12"/>
  <c r="AK50" i="12" s="1"/>
  <c r="N51" i="12"/>
  <c r="N50" i="12" s="1"/>
  <c r="N48" i="12" s="1"/>
  <c r="Y51" i="12"/>
  <c r="AJ51" i="12"/>
  <c r="AK51" i="12" s="1"/>
  <c r="I52" i="12"/>
  <c r="J52" i="12"/>
  <c r="J51" i="12" s="1"/>
  <c r="M52" i="12"/>
  <c r="M51" i="12" s="1"/>
  <c r="N52" i="12"/>
  <c r="O52" i="12"/>
  <c r="O51" i="12" s="1"/>
  <c r="O50" i="12" s="1"/>
  <c r="O48" i="12" s="1"/>
  <c r="Q52" i="12"/>
  <c r="Q51" i="12" s="1"/>
  <c r="Q50" i="12" s="1"/>
  <c r="Q48" i="12" s="1"/>
  <c r="R52" i="12"/>
  <c r="R51" i="12" s="1"/>
  <c r="R50" i="12" s="1"/>
  <c r="R48" i="12" s="1"/>
  <c r="S52" i="12"/>
  <c r="S51" i="12" s="1"/>
  <c r="T52" i="12"/>
  <c r="T51" i="12" s="1"/>
  <c r="U52" i="12"/>
  <c r="U51" i="12" s="1"/>
  <c r="U50" i="12" s="1"/>
  <c r="U48" i="12" s="1"/>
  <c r="V52" i="12"/>
  <c r="V51" i="12" s="1"/>
  <c r="V50" i="12" s="1"/>
  <c r="W52" i="12"/>
  <c r="W51" i="12" s="1"/>
  <c r="X52" i="12"/>
  <c r="X51" i="12" s="1"/>
  <c r="X50" i="12" s="1"/>
  <c r="Y52" i="12"/>
  <c r="AB52" i="12"/>
  <c r="AC52" i="12"/>
  <c r="AC51" i="12" s="1"/>
  <c r="AC50" i="12" s="1"/>
  <c r="AF52" i="12"/>
  <c r="AG52" i="12"/>
  <c r="AG51" i="12" s="1"/>
  <c r="AG50" i="12" s="1"/>
  <c r="AH52" i="12"/>
  <c r="AH51" i="12" s="1"/>
  <c r="AH50" i="12" s="1"/>
  <c r="AI52" i="12"/>
  <c r="AI51" i="12" s="1"/>
  <c r="AI50" i="12" s="1"/>
  <c r="AI48" i="12" s="1"/>
  <c r="AJ52" i="12"/>
  <c r="AK52" i="12"/>
  <c r="K53" i="12"/>
  <c r="L53" i="12"/>
  <c r="P53" i="12"/>
  <c r="Z53" i="12"/>
  <c r="AA53" i="12"/>
  <c r="AD53" i="12"/>
  <c r="AE53" i="12"/>
  <c r="AJ53" i="12"/>
  <c r="AK53" i="12" s="1"/>
  <c r="R54" i="12"/>
  <c r="AH54" i="12"/>
  <c r="AJ54" i="12"/>
  <c r="AK54" i="12" s="1"/>
  <c r="V55" i="12"/>
  <c r="AJ55" i="12"/>
  <c r="AK55" i="12"/>
  <c r="M56" i="12"/>
  <c r="M54" i="12" s="1"/>
  <c r="X56" i="12"/>
  <c r="AJ56" i="12"/>
  <c r="AK56" i="12"/>
  <c r="T57" i="12"/>
  <c r="AF57" i="12"/>
  <c r="AJ57" i="12"/>
  <c r="AK57" i="12" s="1"/>
  <c r="I58" i="12"/>
  <c r="I57" i="12" s="1"/>
  <c r="I56" i="12" s="1"/>
  <c r="I54" i="12" s="1"/>
  <c r="J58" i="12"/>
  <c r="M58" i="12"/>
  <c r="M57" i="12" s="1"/>
  <c r="N58" i="12"/>
  <c r="N57" i="12" s="1"/>
  <c r="N56" i="12" s="1"/>
  <c r="N54" i="12" s="1"/>
  <c r="O58" i="12"/>
  <c r="O57" i="12" s="1"/>
  <c r="O56" i="12" s="1"/>
  <c r="O54" i="12" s="1"/>
  <c r="Q58" i="12"/>
  <c r="Q57" i="12" s="1"/>
  <c r="Q56" i="12" s="1"/>
  <c r="Q54" i="12" s="1"/>
  <c r="R58" i="12"/>
  <c r="R57" i="12" s="1"/>
  <c r="R56" i="12" s="1"/>
  <c r="S58" i="12"/>
  <c r="S57" i="12" s="1"/>
  <c r="S56" i="12" s="1"/>
  <c r="S54" i="12" s="1"/>
  <c r="T58" i="12"/>
  <c r="P58" i="12" s="1"/>
  <c r="U58" i="12"/>
  <c r="U57" i="12" s="1"/>
  <c r="U56" i="12" s="1"/>
  <c r="V58" i="12"/>
  <c r="V57" i="12" s="1"/>
  <c r="V56" i="12" s="1"/>
  <c r="V54" i="12" s="1"/>
  <c r="W58" i="12"/>
  <c r="W57" i="12" s="1"/>
  <c r="W56" i="12" s="1"/>
  <c r="X58" i="12"/>
  <c r="X57" i="12" s="1"/>
  <c r="Y58" i="12"/>
  <c r="Y57" i="12" s="1"/>
  <c r="AB58" i="12"/>
  <c r="AC58" i="12"/>
  <c r="AC57" i="12" s="1"/>
  <c r="AF58" i="12"/>
  <c r="AG58" i="12"/>
  <c r="AG57" i="12" s="1"/>
  <c r="AG56" i="12" s="1"/>
  <c r="AH58" i="12"/>
  <c r="AH57" i="12" s="1"/>
  <c r="AH56" i="12" s="1"/>
  <c r="AH55" i="12" s="1"/>
  <c r="AI58" i="12"/>
  <c r="AI57" i="12" s="1"/>
  <c r="AI56" i="12" s="1"/>
  <c r="AJ58" i="12"/>
  <c r="AK58" i="12" s="1"/>
  <c r="K59" i="12"/>
  <c r="L59" i="12"/>
  <c r="P59" i="12"/>
  <c r="Z59" i="12"/>
  <c r="AA59" i="12"/>
  <c r="AD59" i="12"/>
  <c r="AE59" i="12"/>
  <c r="AJ59" i="12"/>
  <c r="AK59" i="12" s="1"/>
  <c r="AJ60" i="12"/>
  <c r="AK60" i="12"/>
  <c r="AJ61" i="12"/>
  <c r="AK61" i="12" s="1"/>
  <c r="O62" i="12"/>
  <c r="O60" i="12" s="1"/>
  <c r="W62" i="12"/>
  <c r="AJ62" i="12"/>
  <c r="AK62" i="12" s="1"/>
  <c r="AJ63" i="12"/>
  <c r="AK63" i="12"/>
  <c r="I64" i="12"/>
  <c r="I63" i="12" s="1"/>
  <c r="I62" i="12" s="1"/>
  <c r="I60" i="12" s="1"/>
  <c r="J64" i="12"/>
  <c r="M64" i="12"/>
  <c r="L64" i="12" s="1"/>
  <c r="N64" i="12"/>
  <c r="N63" i="12" s="1"/>
  <c r="N62" i="12" s="1"/>
  <c r="N60" i="12" s="1"/>
  <c r="O64" i="12"/>
  <c r="O63" i="12" s="1"/>
  <c r="Q64" i="12"/>
  <c r="Q63" i="12" s="1"/>
  <c r="Q62" i="12" s="1"/>
  <c r="Q60" i="12" s="1"/>
  <c r="R64" i="12"/>
  <c r="R63" i="12" s="1"/>
  <c r="R62" i="12" s="1"/>
  <c r="R60" i="12" s="1"/>
  <c r="S64" i="12"/>
  <c r="S63" i="12" s="1"/>
  <c r="S62" i="12" s="1"/>
  <c r="S60" i="12" s="1"/>
  <c r="T64" i="12"/>
  <c r="T63" i="12" s="1"/>
  <c r="U64" i="12"/>
  <c r="U63" i="12" s="1"/>
  <c r="U62" i="12" s="1"/>
  <c r="V64" i="12"/>
  <c r="V63" i="12" s="1"/>
  <c r="V62" i="12" s="1"/>
  <c r="W64" i="12"/>
  <c r="W63" i="12" s="1"/>
  <c r="X64" i="12"/>
  <c r="X63" i="12" s="1"/>
  <c r="X62" i="12" s="1"/>
  <c r="X61" i="12" s="1"/>
  <c r="Y64" i="12"/>
  <c r="Y63" i="12" s="1"/>
  <c r="Y62" i="12" s="1"/>
  <c r="Z64" i="12"/>
  <c r="AC64" i="12"/>
  <c r="AC63" i="12" s="1"/>
  <c r="AH64" i="12"/>
  <c r="AH63" i="12" s="1"/>
  <c r="AH62" i="12" s="1"/>
  <c r="AJ64" i="12"/>
  <c r="AK64" i="12" s="1"/>
  <c r="K65" i="12"/>
  <c r="L65" i="12"/>
  <c r="P65" i="12"/>
  <c r="Z65" i="12"/>
  <c r="AB65" i="12"/>
  <c r="AF65" i="12"/>
  <c r="AG65" i="12"/>
  <c r="AG64" i="12" s="1"/>
  <c r="AG63" i="12" s="1"/>
  <c r="AG62" i="12" s="1"/>
  <c r="AH65" i="12"/>
  <c r="AI65" i="12"/>
  <c r="AI64" i="12" s="1"/>
  <c r="AI63" i="12" s="1"/>
  <c r="AI62" i="12" s="1"/>
  <c r="AJ65" i="12"/>
  <c r="AK65" i="12" s="1"/>
  <c r="O66" i="12"/>
  <c r="S66" i="12"/>
  <c r="AI66" i="12"/>
  <c r="AJ66" i="12"/>
  <c r="AK66" i="12"/>
  <c r="W67" i="12"/>
  <c r="AJ67" i="12"/>
  <c r="AK67" i="12" s="1"/>
  <c r="AH68" i="12"/>
  <c r="AJ68" i="12"/>
  <c r="AK68" i="12" s="1"/>
  <c r="AC69" i="12"/>
  <c r="AJ69" i="12"/>
  <c r="AK69" i="12"/>
  <c r="I70" i="12"/>
  <c r="I69" i="12" s="1"/>
  <c r="I68" i="12" s="1"/>
  <c r="I66" i="12" s="1"/>
  <c r="J70" i="12"/>
  <c r="J69" i="12" s="1"/>
  <c r="M70" i="12"/>
  <c r="L70" i="12" s="1"/>
  <c r="N70" i="12"/>
  <c r="N69" i="12" s="1"/>
  <c r="N68" i="12" s="1"/>
  <c r="N66" i="12" s="1"/>
  <c r="O70" i="12"/>
  <c r="O69" i="12" s="1"/>
  <c r="O68" i="12" s="1"/>
  <c r="Q70" i="12"/>
  <c r="Q69" i="12" s="1"/>
  <c r="Q68" i="12" s="1"/>
  <c r="Q66" i="12" s="1"/>
  <c r="R70" i="12"/>
  <c r="R69" i="12" s="1"/>
  <c r="R68" i="12" s="1"/>
  <c r="R66" i="12" s="1"/>
  <c r="S70" i="12"/>
  <c r="S69" i="12" s="1"/>
  <c r="S68" i="12" s="1"/>
  <c r="T70" i="12"/>
  <c r="T69" i="12" s="1"/>
  <c r="U70" i="12"/>
  <c r="U69" i="12" s="1"/>
  <c r="U68" i="12" s="1"/>
  <c r="U66" i="12" s="1"/>
  <c r="V70" i="12"/>
  <c r="V69" i="12" s="1"/>
  <c r="V68" i="12" s="1"/>
  <c r="W70" i="12"/>
  <c r="W69" i="12" s="1"/>
  <c r="W68" i="12" s="1"/>
  <c r="W66" i="12" s="1"/>
  <c r="X70" i="12"/>
  <c r="X69" i="12" s="1"/>
  <c r="X68" i="12" s="1"/>
  <c r="Y70" i="12"/>
  <c r="Y69" i="12" s="1"/>
  <c r="Z70" i="12"/>
  <c r="AB70" i="12"/>
  <c r="AC70" i="12"/>
  <c r="AF70" i="12"/>
  <c r="AG70" i="12"/>
  <c r="AG69" i="12" s="1"/>
  <c r="AG68" i="12" s="1"/>
  <c r="AH70" i="12"/>
  <c r="AH69" i="12" s="1"/>
  <c r="AI70" i="12"/>
  <c r="AI69" i="12" s="1"/>
  <c r="AI68" i="12" s="1"/>
  <c r="AI67" i="12" s="1"/>
  <c r="AJ70" i="12"/>
  <c r="AK70" i="12" s="1"/>
  <c r="K71" i="12"/>
  <c r="L71" i="12"/>
  <c r="P71" i="12"/>
  <c r="Z71" i="12"/>
  <c r="AA71" i="12"/>
  <c r="AD71" i="12"/>
  <c r="AE71" i="12"/>
  <c r="AJ71" i="12"/>
  <c r="AK71" i="12"/>
  <c r="AJ72" i="12"/>
  <c r="AK72" i="12" s="1"/>
  <c r="AJ73" i="12"/>
  <c r="AK73" i="12" s="1"/>
  <c r="AJ74" i="12"/>
  <c r="AK74" i="12" s="1"/>
  <c r="I75" i="12"/>
  <c r="J75" i="12"/>
  <c r="K75" i="12"/>
  <c r="K74" i="12" s="1"/>
  <c r="K73" i="12" s="1"/>
  <c r="K72" i="12" s="1"/>
  <c r="M75" i="12"/>
  <c r="N75" i="12"/>
  <c r="O75" i="12"/>
  <c r="Q75" i="12"/>
  <c r="R75" i="12"/>
  <c r="R74" i="12" s="1"/>
  <c r="S75" i="12"/>
  <c r="T75" i="12"/>
  <c r="U75" i="12"/>
  <c r="V75" i="12"/>
  <c r="V74" i="12" s="1"/>
  <c r="W75" i="12"/>
  <c r="X75" i="12"/>
  <c r="Y75" i="12"/>
  <c r="AA75" i="12"/>
  <c r="AB75" i="12"/>
  <c r="AC75" i="12"/>
  <c r="AF75" i="12"/>
  <c r="AE75" i="12" s="1"/>
  <c r="AG75" i="12"/>
  <c r="AH75" i="12"/>
  <c r="AI75" i="12"/>
  <c r="AJ75" i="12"/>
  <c r="AK75" i="12" s="1"/>
  <c r="L76" i="12"/>
  <c r="P76" i="12"/>
  <c r="Z76" i="12"/>
  <c r="AA76" i="12"/>
  <c r="AE76" i="12"/>
  <c r="AJ76" i="12"/>
  <c r="AK76" i="12" s="1"/>
  <c r="I77" i="12"/>
  <c r="J77" i="12"/>
  <c r="K77" i="12"/>
  <c r="M77" i="12"/>
  <c r="L77" i="12" s="1"/>
  <c r="N77" i="12"/>
  <c r="O77" i="12"/>
  <c r="Q77" i="12"/>
  <c r="R77" i="12"/>
  <c r="S77" i="12"/>
  <c r="T77" i="12"/>
  <c r="U77" i="12"/>
  <c r="V77" i="12"/>
  <c r="W77" i="12"/>
  <c r="X77" i="12"/>
  <c r="Y77" i="12"/>
  <c r="Z77" i="12"/>
  <c r="AB77" i="12"/>
  <c r="AC77" i="12"/>
  <c r="AF77" i="12"/>
  <c r="AG77" i="12"/>
  <c r="AH77" i="12"/>
  <c r="AI77" i="12"/>
  <c r="AJ77" i="12"/>
  <c r="AK77" i="12"/>
  <c r="L78" i="12"/>
  <c r="P78" i="12"/>
  <c r="Z78" i="12"/>
  <c r="AA78" i="12"/>
  <c r="AE78" i="12"/>
  <c r="AJ78" i="12"/>
  <c r="AK78" i="12" s="1"/>
  <c r="I79" i="12"/>
  <c r="J79" i="12"/>
  <c r="K79" i="12"/>
  <c r="M79" i="12"/>
  <c r="N79" i="12"/>
  <c r="O79" i="12"/>
  <c r="Q79" i="12"/>
  <c r="R79" i="12"/>
  <c r="S79" i="12"/>
  <c r="T79" i="12"/>
  <c r="P79" i="12" s="1"/>
  <c r="U79" i="12"/>
  <c r="V79" i="12"/>
  <c r="W79" i="12"/>
  <c r="X79" i="12"/>
  <c r="Y79" i="12"/>
  <c r="Z79" i="12" s="1"/>
  <c r="AB79" i="12"/>
  <c r="AA79" i="12" s="1"/>
  <c r="AC79" i="12"/>
  <c r="AF79" i="12"/>
  <c r="AE79" i="12" s="1"/>
  <c r="AG79" i="12"/>
  <c r="AH79" i="12"/>
  <c r="AI79" i="12"/>
  <c r="AJ79" i="12"/>
  <c r="AK79" i="12" s="1"/>
  <c r="L80" i="12"/>
  <c r="P80" i="12"/>
  <c r="Z80" i="12"/>
  <c r="AA80" i="12"/>
  <c r="AE80" i="12"/>
  <c r="AJ80" i="12"/>
  <c r="AK80" i="12"/>
  <c r="J81" i="12"/>
  <c r="AJ81" i="12"/>
  <c r="AK81" i="12"/>
  <c r="I82" i="12"/>
  <c r="I81" i="12" s="1"/>
  <c r="J82" i="12"/>
  <c r="K82" i="12"/>
  <c r="K81" i="12" s="1"/>
  <c r="L82" i="12"/>
  <c r="M82" i="12"/>
  <c r="M81" i="12" s="1"/>
  <c r="L81" i="12" s="1"/>
  <c r="N82" i="12"/>
  <c r="N81" i="12" s="1"/>
  <c r="O82" i="12"/>
  <c r="O81" i="12" s="1"/>
  <c r="Q82" i="12"/>
  <c r="Q81" i="12" s="1"/>
  <c r="R82" i="12"/>
  <c r="R81" i="12" s="1"/>
  <c r="S82" i="12"/>
  <c r="S81" i="12" s="1"/>
  <c r="T82" i="12"/>
  <c r="T81" i="12" s="1"/>
  <c r="U82" i="12"/>
  <c r="U81" i="12" s="1"/>
  <c r="V82" i="12"/>
  <c r="V81" i="12" s="1"/>
  <c r="W82" i="12"/>
  <c r="W81" i="12" s="1"/>
  <c r="X82" i="12"/>
  <c r="X81" i="12" s="1"/>
  <c r="Y82" i="12"/>
  <c r="AB82" i="12"/>
  <c r="AB81" i="12" s="1"/>
  <c r="AC82" i="12"/>
  <c r="AC81" i="12" s="1"/>
  <c r="AE82" i="12"/>
  <c r="AF82" i="12"/>
  <c r="AF81" i="12" s="1"/>
  <c r="AE81" i="12" s="1"/>
  <c r="AG82" i="12"/>
  <c r="AG81" i="12" s="1"/>
  <c r="AH82" i="12"/>
  <c r="AH81" i="12" s="1"/>
  <c r="AI82" i="12"/>
  <c r="AI81" i="12" s="1"/>
  <c r="AJ82" i="12"/>
  <c r="AK82" i="12" s="1"/>
  <c r="L83" i="12"/>
  <c r="P83" i="12"/>
  <c r="Z83" i="12"/>
  <c r="AA83" i="12"/>
  <c r="AE83" i="12"/>
  <c r="AJ83" i="12"/>
  <c r="AK83" i="12" s="1"/>
  <c r="AJ84" i="12"/>
  <c r="AK84" i="12"/>
  <c r="AJ85" i="12"/>
  <c r="AK85" i="12" s="1"/>
  <c r="AJ86" i="12"/>
  <c r="AK86" i="12"/>
  <c r="AJ87" i="12"/>
  <c r="AK87" i="12" s="1"/>
  <c r="I88" i="12"/>
  <c r="I87" i="12" s="1"/>
  <c r="I86" i="12" s="1"/>
  <c r="I84" i="12" s="1"/>
  <c r="J88" i="12"/>
  <c r="K88" i="12" s="1"/>
  <c r="M88" i="12"/>
  <c r="M87" i="12" s="1"/>
  <c r="M86" i="12" s="1"/>
  <c r="N88" i="12"/>
  <c r="O88" i="12"/>
  <c r="Q88" i="12"/>
  <c r="R88" i="12"/>
  <c r="R87" i="12" s="1"/>
  <c r="R86" i="12" s="1"/>
  <c r="R84" i="12" s="1"/>
  <c r="S88" i="12"/>
  <c r="S87" i="12" s="1"/>
  <c r="S86" i="12" s="1"/>
  <c r="S84" i="12" s="1"/>
  <c r="T88" i="12"/>
  <c r="U88" i="12"/>
  <c r="V88" i="12"/>
  <c r="V87" i="12" s="1"/>
  <c r="V86" i="12" s="1"/>
  <c r="V84" i="12" s="1"/>
  <c r="W88" i="12"/>
  <c r="W87" i="12" s="1"/>
  <c r="W86" i="12" s="1"/>
  <c r="X88" i="12"/>
  <c r="Y88" i="12"/>
  <c r="AB88" i="12"/>
  <c r="AC88" i="12"/>
  <c r="AF88" i="12"/>
  <c r="AF87" i="12" s="1"/>
  <c r="AG88" i="12"/>
  <c r="AH88" i="12"/>
  <c r="AI88" i="12"/>
  <c r="AJ88" i="12"/>
  <c r="AK88" i="12"/>
  <c r="K89" i="12"/>
  <c r="L89" i="12"/>
  <c r="P89" i="12"/>
  <c r="Z89" i="12"/>
  <c r="AA89" i="12"/>
  <c r="AD89" i="12"/>
  <c r="AE89" i="12"/>
  <c r="AJ89" i="12"/>
  <c r="AK89" i="12" s="1"/>
  <c r="K90" i="12"/>
  <c r="L90" i="12"/>
  <c r="P90" i="12"/>
  <c r="Z90" i="12"/>
  <c r="AA90" i="12"/>
  <c r="AD90" i="12"/>
  <c r="AE90" i="12"/>
  <c r="AJ90" i="12"/>
  <c r="AK90" i="12" s="1"/>
  <c r="I91" i="12"/>
  <c r="J91" i="12"/>
  <c r="K91" i="12" s="1"/>
  <c r="L91" i="12"/>
  <c r="M91" i="12"/>
  <c r="O91" i="12"/>
  <c r="R91" i="12"/>
  <c r="S91" i="12"/>
  <c r="T91" i="12"/>
  <c r="T87" i="12" s="1"/>
  <c r="U91" i="12"/>
  <c r="V91" i="12"/>
  <c r="W91" i="12"/>
  <c r="X91" i="12"/>
  <c r="X87" i="12" s="1"/>
  <c r="X86" i="12" s="1"/>
  <c r="Y91" i="12"/>
  <c r="Z91" i="12" s="1"/>
  <c r="AB91" i="12"/>
  <c r="AC91" i="12"/>
  <c r="AF91" i="12"/>
  <c r="AH91" i="12"/>
  <c r="AJ91" i="12"/>
  <c r="AK91" i="12" s="1"/>
  <c r="K92" i="12"/>
  <c r="L92" i="12"/>
  <c r="P92" i="12"/>
  <c r="Z92" i="12"/>
  <c r="AA92" i="12"/>
  <c r="AD92" i="12"/>
  <c r="AE92" i="12"/>
  <c r="AJ92" i="12"/>
  <c r="AK92" i="12"/>
  <c r="K93" i="12"/>
  <c r="L93" i="12"/>
  <c r="N93" i="12"/>
  <c r="N91" i="12" s="1"/>
  <c r="P91" i="12" s="1"/>
  <c r="P93" i="12"/>
  <c r="Q93" i="12"/>
  <c r="Q91" i="12" s="1"/>
  <c r="Z93" i="12"/>
  <c r="AA93" i="12"/>
  <c r="AD93" i="12"/>
  <c r="AE93" i="12"/>
  <c r="AG93" i="12"/>
  <c r="AG91" i="12" s="1"/>
  <c r="AH93" i="12"/>
  <c r="AI93" i="12"/>
  <c r="AI91" i="12" s="1"/>
  <c r="AJ93" i="12"/>
  <c r="AK93" i="12" s="1"/>
  <c r="AJ94" i="12"/>
  <c r="AK94" i="12" s="1"/>
  <c r="AJ95" i="12"/>
  <c r="AK95" i="12" s="1"/>
  <c r="AJ96" i="12"/>
  <c r="AK96" i="12"/>
  <c r="J97" i="12"/>
  <c r="AH97" i="12"/>
  <c r="AJ97" i="12"/>
  <c r="AK97" i="12" s="1"/>
  <c r="I98" i="12"/>
  <c r="J98" i="12"/>
  <c r="M98" i="12"/>
  <c r="N98" i="12"/>
  <c r="N97" i="12" s="1"/>
  <c r="O98" i="12"/>
  <c r="Q98" i="12"/>
  <c r="R98" i="12"/>
  <c r="R97" i="12" s="1"/>
  <c r="S98" i="12"/>
  <c r="S97" i="12" s="1"/>
  <c r="T98" i="12"/>
  <c r="U98" i="12"/>
  <c r="V98" i="12"/>
  <c r="V97" i="12" s="1"/>
  <c r="W98" i="12"/>
  <c r="W97" i="12" s="1"/>
  <c r="X98" i="12"/>
  <c r="Y98" i="12"/>
  <c r="AA98" i="12"/>
  <c r="AB98" i="12"/>
  <c r="AB97" i="12" s="1"/>
  <c r="AC98" i="12"/>
  <c r="AF98" i="12"/>
  <c r="AG98" i="12"/>
  <c r="AG97" i="12" s="1"/>
  <c r="AH98" i="12"/>
  <c r="AI98" i="12"/>
  <c r="AJ98" i="12"/>
  <c r="AK98" i="12" s="1"/>
  <c r="K99" i="12"/>
  <c r="L99" i="12"/>
  <c r="P99" i="12"/>
  <c r="Z99" i="12"/>
  <c r="AA99" i="12"/>
  <c r="AD99" i="12"/>
  <c r="AE99" i="12"/>
  <c r="AJ99" i="12"/>
  <c r="AK99" i="12" s="1"/>
  <c r="I100" i="12"/>
  <c r="J100" i="12"/>
  <c r="K100" i="12"/>
  <c r="M100" i="12"/>
  <c r="L100" i="12" s="1"/>
  <c r="N100" i="12"/>
  <c r="O100" i="12"/>
  <c r="Q100" i="12"/>
  <c r="R100" i="12"/>
  <c r="S100" i="12"/>
  <c r="T100" i="12"/>
  <c r="P100" i="12" s="1"/>
  <c r="U100" i="12"/>
  <c r="V100" i="12"/>
  <c r="W100" i="12"/>
  <c r="X100" i="12"/>
  <c r="Y100" i="12"/>
  <c r="Z100" i="12" s="1"/>
  <c r="AA100" i="12"/>
  <c r="AB100" i="12"/>
  <c r="AC100" i="12"/>
  <c r="AD100" i="12" s="1"/>
  <c r="AE100" i="12"/>
  <c r="AF100" i="12"/>
  <c r="AG100" i="12"/>
  <c r="AH100" i="12"/>
  <c r="AI100" i="12"/>
  <c r="AJ100" i="12"/>
  <c r="AK100" i="12" s="1"/>
  <c r="K101" i="12"/>
  <c r="L101" i="12"/>
  <c r="P101" i="12"/>
  <c r="Z101" i="12"/>
  <c r="AA101" i="12"/>
  <c r="AD101" i="12"/>
  <c r="AE101" i="12"/>
  <c r="AJ101" i="12"/>
  <c r="AK101" i="12" s="1"/>
  <c r="I102" i="12"/>
  <c r="J102" i="12"/>
  <c r="M102" i="12"/>
  <c r="N102" i="12"/>
  <c r="O102" i="12"/>
  <c r="Q102" i="12"/>
  <c r="R102" i="12"/>
  <c r="S102" i="12"/>
  <c r="T102" i="12"/>
  <c r="P102" i="12" s="1"/>
  <c r="U102" i="12"/>
  <c r="V102" i="12"/>
  <c r="W102" i="12"/>
  <c r="X102" i="12"/>
  <c r="Y102" i="12"/>
  <c r="Z102" i="12" s="1"/>
  <c r="AA102" i="12"/>
  <c r="AB102" i="12"/>
  <c r="AC102" i="12"/>
  <c r="AD102" i="12" s="1"/>
  <c r="AE102" i="12"/>
  <c r="AF102" i="12"/>
  <c r="AG102" i="12"/>
  <c r="AH102" i="12"/>
  <c r="AI102" i="12"/>
  <c r="AJ102" i="12"/>
  <c r="AK102" i="12" s="1"/>
  <c r="K103" i="12"/>
  <c r="L103" i="12"/>
  <c r="P103" i="12"/>
  <c r="Z103" i="12"/>
  <c r="AA103" i="12"/>
  <c r="AD103" i="12"/>
  <c r="AJ103" i="12"/>
  <c r="AK103" i="12" s="1"/>
  <c r="K104" i="12"/>
  <c r="L104" i="12"/>
  <c r="P104" i="12"/>
  <c r="Z104" i="12"/>
  <c r="AA104" i="12"/>
  <c r="AD104" i="12"/>
  <c r="AE104" i="12"/>
  <c r="AJ104" i="12"/>
  <c r="AK104" i="12" s="1"/>
  <c r="K105" i="12"/>
  <c r="L105" i="12"/>
  <c r="P105" i="12"/>
  <c r="Z105" i="12"/>
  <c r="AA105" i="12"/>
  <c r="AD105" i="12"/>
  <c r="AE105" i="12"/>
  <c r="AJ105" i="12"/>
  <c r="AK105" i="12"/>
  <c r="J106" i="12"/>
  <c r="AH106" i="12"/>
  <c r="AJ106" i="12"/>
  <c r="AK106" i="12" s="1"/>
  <c r="I107" i="12"/>
  <c r="J107" i="12"/>
  <c r="M107" i="12"/>
  <c r="N107" i="12"/>
  <c r="N106" i="12" s="1"/>
  <c r="O107" i="12"/>
  <c r="O106" i="12" s="1"/>
  <c r="Q107" i="12"/>
  <c r="Q106" i="12" s="1"/>
  <c r="R107" i="12"/>
  <c r="R106" i="12" s="1"/>
  <c r="S107" i="12"/>
  <c r="S106" i="12" s="1"/>
  <c r="T107" i="12"/>
  <c r="U107" i="12"/>
  <c r="U106" i="12" s="1"/>
  <c r="V107" i="12"/>
  <c r="V106" i="12" s="1"/>
  <c r="W107" i="12"/>
  <c r="W106" i="12" s="1"/>
  <c r="X107" i="12"/>
  <c r="X106" i="12" s="1"/>
  <c r="Y107" i="12"/>
  <c r="AA107" i="12"/>
  <c r="AB107" i="12"/>
  <c r="AB106" i="12" s="1"/>
  <c r="AC107" i="12"/>
  <c r="AF107" i="12"/>
  <c r="AG107" i="12"/>
  <c r="AG106" i="12" s="1"/>
  <c r="AH107" i="12"/>
  <c r="AI107" i="12"/>
  <c r="AI106" i="12" s="1"/>
  <c r="AJ107" i="12"/>
  <c r="AK107" i="12" s="1"/>
  <c r="K108" i="12"/>
  <c r="L108" i="12"/>
  <c r="P108" i="12"/>
  <c r="Z108" i="12"/>
  <c r="AA108" i="12"/>
  <c r="AD108" i="12"/>
  <c r="AE108" i="12"/>
  <c r="AJ108" i="12"/>
  <c r="AK108" i="12" s="1"/>
  <c r="AJ109" i="12"/>
  <c r="AK109" i="12" s="1"/>
  <c r="AJ110" i="12"/>
  <c r="AK110" i="12" s="1"/>
  <c r="AJ111" i="12"/>
  <c r="AK111" i="12" s="1"/>
  <c r="AF112" i="12"/>
  <c r="AJ112" i="12"/>
  <c r="AK112" i="12" s="1"/>
  <c r="V113" i="12"/>
  <c r="V112" i="12" s="1"/>
  <c r="V111" i="12" s="1"/>
  <c r="W113" i="12"/>
  <c r="W112" i="12" s="1"/>
  <c r="W111" i="12" s="1"/>
  <c r="X113" i="12"/>
  <c r="X112" i="12" s="1"/>
  <c r="X111" i="12" s="1"/>
  <c r="Y113" i="12"/>
  <c r="Y112" i="12" s="1"/>
  <c r="Z113" i="12"/>
  <c r="AB113" i="12"/>
  <c r="AC113" i="12"/>
  <c r="AC112" i="12" s="1"/>
  <c r="AF113" i="12"/>
  <c r="AG113" i="12"/>
  <c r="AG112" i="12" s="1"/>
  <c r="AG111" i="12" s="1"/>
  <c r="AH113" i="12"/>
  <c r="AH112" i="12" s="1"/>
  <c r="AH111" i="12" s="1"/>
  <c r="AI113" i="12"/>
  <c r="AI112" i="12" s="1"/>
  <c r="AI111" i="12" s="1"/>
  <c r="AJ113" i="12"/>
  <c r="AK113" i="12" s="1"/>
  <c r="Z114" i="12"/>
  <c r="AA114" i="12"/>
  <c r="AD114" i="12"/>
  <c r="AE114" i="12"/>
  <c r="AJ114" i="12"/>
  <c r="AK114" i="12" s="1"/>
  <c r="AJ115" i="12"/>
  <c r="AK115" i="12" s="1"/>
  <c r="AJ116" i="12"/>
  <c r="AK116" i="12" s="1"/>
  <c r="AJ117" i="12"/>
  <c r="AK117" i="12" s="1"/>
  <c r="AJ118" i="12"/>
  <c r="AK118" i="12" s="1"/>
  <c r="V119" i="12"/>
  <c r="V118" i="12" s="1"/>
  <c r="W119" i="12"/>
  <c r="W118" i="12" s="1"/>
  <c r="W117" i="12" s="1"/>
  <c r="X119" i="12"/>
  <c r="X118" i="12" s="1"/>
  <c r="X117" i="12" s="1"/>
  <c r="Y119" i="12"/>
  <c r="Y118" i="12" s="1"/>
  <c r="Y117" i="12" s="1"/>
  <c r="Z119" i="12"/>
  <c r="AB119" i="12"/>
  <c r="AB118" i="12" s="1"/>
  <c r="AC119" i="12"/>
  <c r="AC118" i="12" s="1"/>
  <c r="AC117" i="12" s="1"/>
  <c r="AD119" i="12"/>
  <c r="AF119" i="12"/>
  <c r="AF118" i="12" s="1"/>
  <c r="AG119" i="12"/>
  <c r="AG118" i="12" s="1"/>
  <c r="AG117" i="12" s="1"/>
  <c r="AH119" i="12"/>
  <c r="AH118" i="12" s="1"/>
  <c r="AH117" i="12" s="1"/>
  <c r="AH115" i="12" s="1"/>
  <c r="AI119" i="12"/>
  <c r="AI118" i="12" s="1"/>
  <c r="AI117" i="12" s="1"/>
  <c r="AJ119" i="12"/>
  <c r="AK119" i="12" s="1"/>
  <c r="Z120" i="12"/>
  <c r="AA120" i="12"/>
  <c r="AD120" i="12"/>
  <c r="AE120" i="12"/>
  <c r="AJ120" i="12"/>
  <c r="AK120" i="12" s="1"/>
  <c r="AJ121" i="12"/>
  <c r="AK121" i="12"/>
  <c r="AJ122" i="12"/>
  <c r="AK122" i="12" s="1"/>
  <c r="AJ123" i="12"/>
  <c r="AK123" i="12"/>
  <c r="AH124" i="12"/>
  <c r="AH123" i="12" s="1"/>
  <c r="AH122" i="12" s="1"/>
  <c r="AH121" i="12" s="1"/>
  <c r="AJ124" i="12"/>
  <c r="AK124" i="12" s="1"/>
  <c r="AF125" i="12"/>
  <c r="AG125" i="12"/>
  <c r="AG124" i="12" s="1"/>
  <c r="AG123" i="12" s="1"/>
  <c r="AG122" i="12" s="1"/>
  <c r="AG121" i="12" s="1"/>
  <c r="AH125" i="12"/>
  <c r="AI125" i="12"/>
  <c r="AI124" i="12" s="1"/>
  <c r="AI123" i="12" s="1"/>
  <c r="AI122" i="12" s="1"/>
  <c r="AI121" i="12" s="1"/>
  <c r="AJ125" i="12"/>
  <c r="AK125" i="12" s="1"/>
  <c r="AE126" i="12"/>
  <c r="AJ126" i="12"/>
  <c r="AK126" i="12" s="1"/>
  <c r="AJ127" i="12"/>
  <c r="AK127" i="12" s="1"/>
  <c r="AJ128" i="12"/>
  <c r="AK128" i="12" s="1"/>
  <c r="AJ129" i="12"/>
  <c r="AK129" i="12" s="1"/>
  <c r="AJ130" i="12"/>
  <c r="AK130" i="12" s="1"/>
  <c r="AJ131" i="12"/>
  <c r="AK131" i="12" s="1"/>
  <c r="AJ132" i="12"/>
  <c r="AK132" i="12" s="1"/>
  <c r="I133" i="12"/>
  <c r="J133" i="12"/>
  <c r="M133" i="12"/>
  <c r="L133" i="12" s="1"/>
  <c r="N133" i="12"/>
  <c r="O133" i="12"/>
  <c r="Q133" i="12"/>
  <c r="R133" i="12"/>
  <c r="S133" i="12"/>
  <c r="T133" i="12"/>
  <c r="U133" i="12"/>
  <c r="V133" i="12"/>
  <c r="AA133" i="12" s="1"/>
  <c r="W133" i="12"/>
  <c r="X133" i="12"/>
  <c r="Y133" i="12"/>
  <c r="Z133" i="12"/>
  <c r="AB133" i="12"/>
  <c r="AC133" i="12"/>
  <c r="AD133" i="12"/>
  <c r="AE133" i="12"/>
  <c r="AF133" i="12"/>
  <c r="AG133" i="12"/>
  <c r="AH133" i="12"/>
  <c r="AI133" i="12"/>
  <c r="AJ133" i="12"/>
  <c r="AK133" i="12" s="1"/>
  <c r="K134" i="12"/>
  <c r="L134" i="12"/>
  <c r="P134" i="12"/>
  <c r="Z134" i="12"/>
  <c r="AA134" i="12"/>
  <c r="AD134" i="12"/>
  <c r="AE134" i="12"/>
  <c r="AJ134" i="12"/>
  <c r="AK134" i="12"/>
  <c r="I135" i="12"/>
  <c r="J135" i="12"/>
  <c r="M135" i="12"/>
  <c r="N135" i="12"/>
  <c r="O135" i="12"/>
  <c r="Q135" i="12"/>
  <c r="R135" i="12"/>
  <c r="S135" i="12"/>
  <c r="T135" i="12"/>
  <c r="P135" i="12" s="1"/>
  <c r="U135" i="12"/>
  <c r="V135" i="12"/>
  <c r="W135" i="12"/>
  <c r="X135" i="12"/>
  <c r="X132" i="12" s="1"/>
  <c r="X131" i="12" s="1"/>
  <c r="Y135" i="12"/>
  <c r="Z135" i="12" s="1"/>
  <c r="AB135" i="12"/>
  <c r="AA135" i="12" s="1"/>
  <c r="AC135" i="12"/>
  <c r="AD135" i="12" s="1"/>
  <c r="AF135" i="12"/>
  <c r="AG135" i="12"/>
  <c r="AH135" i="12"/>
  <c r="AI135" i="12"/>
  <c r="AJ135" i="12"/>
  <c r="AK135" i="12" s="1"/>
  <c r="AE136" i="12"/>
  <c r="AJ136" i="12"/>
  <c r="AK136" i="12" s="1"/>
  <c r="K137" i="12"/>
  <c r="L137" i="12"/>
  <c r="P137" i="12"/>
  <c r="Z137" i="12"/>
  <c r="AA137" i="12"/>
  <c r="AD137" i="12"/>
  <c r="AE137" i="12"/>
  <c r="AJ137" i="12"/>
  <c r="AK137" i="12"/>
  <c r="K138" i="12"/>
  <c r="L138" i="12"/>
  <c r="P138" i="12"/>
  <c r="Z138" i="12"/>
  <c r="AA138" i="12"/>
  <c r="AD138" i="12"/>
  <c r="AE138" i="12"/>
  <c r="AJ138" i="12"/>
  <c r="AK138" i="12" s="1"/>
  <c r="N139" i="12"/>
  <c r="O139" i="12"/>
  <c r="P139" i="12"/>
  <c r="Q139" i="12"/>
  <c r="T139" i="12"/>
  <c r="U139" i="12"/>
  <c r="V139" i="12"/>
  <c r="W139" i="12"/>
  <c r="W132" i="12" s="1"/>
  <c r="W131" i="12" s="1"/>
  <c r="X139" i="12"/>
  <c r="Y139" i="12"/>
  <c r="Z139" i="12" s="1"/>
  <c r="AB139" i="12"/>
  <c r="AB132" i="12" s="1"/>
  <c r="AC139" i="12"/>
  <c r="AF139" i="12"/>
  <c r="AF132" i="12" s="1"/>
  <c r="AG139" i="12"/>
  <c r="AH139" i="12"/>
  <c r="AI139" i="12"/>
  <c r="AI132" i="12" s="1"/>
  <c r="AI131" i="12" s="1"/>
  <c r="AJ139" i="12"/>
  <c r="AK139" i="12" s="1"/>
  <c r="P140" i="12"/>
  <c r="Z140" i="12"/>
  <c r="AA140" i="12"/>
  <c r="AD140" i="12"/>
  <c r="AE140" i="12"/>
  <c r="AJ140" i="12"/>
  <c r="AK140" i="12" s="1"/>
  <c r="AJ141" i="12"/>
  <c r="AK141" i="12"/>
  <c r="U142" i="12"/>
  <c r="U141" i="12" s="1"/>
  <c r="AJ142" i="12"/>
  <c r="AK142" i="12" s="1"/>
  <c r="AB143" i="12"/>
  <c r="AB142" i="12" s="1"/>
  <c r="AB141" i="12" s="1"/>
  <c r="AJ143" i="12"/>
  <c r="AK143" i="12" s="1"/>
  <c r="I144" i="12"/>
  <c r="J144" i="12"/>
  <c r="K144" i="12" s="1"/>
  <c r="M144" i="12"/>
  <c r="N144" i="12"/>
  <c r="O144" i="12"/>
  <c r="Q144" i="12"/>
  <c r="R144" i="12"/>
  <c r="S144" i="12"/>
  <c r="T144" i="12"/>
  <c r="P144" i="12" s="1"/>
  <c r="U144" i="12"/>
  <c r="U143" i="12" s="1"/>
  <c r="V144" i="12"/>
  <c r="V143" i="12" s="1"/>
  <c r="V142" i="12" s="1"/>
  <c r="V141" i="12" s="1"/>
  <c r="W144" i="12"/>
  <c r="W143" i="12" s="1"/>
  <c r="W142" i="12" s="1"/>
  <c r="W141" i="12" s="1"/>
  <c r="X144" i="12"/>
  <c r="X143" i="12" s="1"/>
  <c r="X142" i="12" s="1"/>
  <c r="X141" i="12" s="1"/>
  <c r="Y144" i="12"/>
  <c r="AB144" i="12"/>
  <c r="AA144" i="12" s="1"/>
  <c r="AA143" i="12" s="1"/>
  <c r="AA142" i="12" s="1"/>
  <c r="AA141" i="12" s="1"/>
  <c r="AC144" i="12"/>
  <c r="AD144" i="12" s="1"/>
  <c r="AF144" i="12"/>
  <c r="AG144" i="12"/>
  <c r="AG143" i="12" s="1"/>
  <c r="AG142" i="12" s="1"/>
  <c r="AG141" i="12" s="1"/>
  <c r="AH144" i="12"/>
  <c r="AH143" i="12" s="1"/>
  <c r="AH142" i="12" s="1"/>
  <c r="AH141" i="12" s="1"/>
  <c r="AI144" i="12"/>
  <c r="AI143" i="12" s="1"/>
  <c r="AI142" i="12" s="1"/>
  <c r="AI141" i="12" s="1"/>
  <c r="AJ144" i="12"/>
  <c r="AK144" i="12" s="1"/>
  <c r="K145" i="12"/>
  <c r="L145" i="12"/>
  <c r="P145" i="12"/>
  <c r="Z145" i="12"/>
  <c r="AA145" i="12"/>
  <c r="AD145" i="12"/>
  <c r="AE145" i="12"/>
  <c r="AJ145" i="12"/>
  <c r="AK145" i="12" s="1"/>
  <c r="AJ146" i="12"/>
  <c r="AK146" i="12" s="1"/>
  <c r="AJ147" i="12"/>
  <c r="AK147" i="12" s="1"/>
  <c r="AJ148" i="12"/>
  <c r="AK148" i="12" s="1"/>
  <c r="AJ149" i="12"/>
  <c r="AK149" i="12" s="1"/>
  <c r="AJ150" i="12"/>
  <c r="AK150" i="12"/>
  <c r="AJ151" i="12"/>
  <c r="AK151" i="12" s="1"/>
  <c r="AG152" i="12"/>
  <c r="AH152" i="12"/>
  <c r="AI152" i="12"/>
  <c r="AJ152" i="12"/>
  <c r="AK152" i="12" s="1"/>
  <c r="AJ153" i="12"/>
  <c r="AK153" i="12"/>
  <c r="I154" i="12"/>
  <c r="J154" i="12"/>
  <c r="K154" i="12" s="1"/>
  <c r="M154" i="12"/>
  <c r="N154" i="12"/>
  <c r="O154" i="12"/>
  <c r="Q154" i="12"/>
  <c r="R154" i="12"/>
  <c r="S154" i="12"/>
  <c r="T154" i="12"/>
  <c r="U154" i="12"/>
  <c r="V154" i="12"/>
  <c r="W154" i="12"/>
  <c r="X154" i="12"/>
  <c r="Y154" i="12"/>
  <c r="AB154" i="12"/>
  <c r="AC154" i="12"/>
  <c r="AF154" i="12"/>
  <c r="AG154" i="12"/>
  <c r="AH154" i="12"/>
  <c r="AI154" i="12"/>
  <c r="AJ154" i="12"/>
  <c r="AK154" i="12" s="1"/>
  <c r="K155" i="12"/>
  <c r="L155" i="12"/>
  <c r="P155" i="12"/>
  <c r="Z155" i="12"/>
  <c r="AA155" i="12"/>
  <c r="AD155" i="12"/>
  <c r="AE155" i="12"/>
  <c r="AJ155" i="12"/>
  <c r="AK155" i="12" s="1"/>
  <c r="K156" i="12"/>
  <c r="L156" i="12"/>
  <c r="P156" i="12"/>
  <c r="Z156" i="12"/>
  <c r="AA156" i="12"/>
  <c r="AD156" i="12"/>
  <c r="AE156" i="12"/>
  <c r="AJ156" i="12"/>
  <c r="AK156" i="12"/>
  <c r="K157" i="12"/>
  <c r="L157" i="12"/>
  <c r="P157" i="12"/>
  <c r="Z157" i="12"/>
  <c r="AA157" i="12"/>
  <c r="AD157" i="12"/>
  <c r="AE157" i="12"/>
  <c r="AJ157" i="12"/>
  <c r="AK157" i="12"/>
  <c r="I158" i="12"/>
  <c r="J158" i="12"/>
  <c r="M158" i="12"/>
  <c r="L158" i="12" s="1"/>
  <c r="N158" i="12"/>
  <c r="O158" i="12"/>
  <c r="Q158" i="12"/>
  <c r="R158" i="12"/>
  <c r="S158" i="12"/>
  <c r="T158" i="12"/>
  <c r="P158" i="12" s="1"/>
  <c r="U158" i="12"/>
  <c r="V158" i="12"/>
  <c r="W158" i="12"/>
  <c r="X158" i="12"/>
  <c r="Y158" i="12"/>
  <c r="AB158" i="12"/>
  <c r="AA158" i="12" s="1"/>
  <c r="AC158" i="12"/>
  <c r="AF158" i="12"/>
  <c r="AG158" i="12"/>
  <c r="AH158" i="12"/>
  <c r="AI158" i="12"/>
  <c r="AJ158" i="12"/>
  <c r="AK158" i="12" s="1"/>
  <c r="K159" i="12"/>
  <c r="L159" i="12"/>
  <c r="P159" i="12"/>
  <c r="Z159" i="12"/>
  <c r="AA159" i="12"/>
  <c r="AD159" i="12"/>
  <c r="AE159" i="12"/>
  <c r="AJ159" i="12"/>
  <c r="AK159" i="12" s="1"/>
  <c r="I160" i="12"/>
  <c r="J160" i="12"/>
  <c r="K160" i="12" s="1"/>
  <c r="M160" i="12"/>
  <c r="N160" i="12"/>
  <c r="O160" i="12"/>
  <c r="Q160" i="12"/>
  <c r="R160" i="12"/>
  <c r="S160" i="12"/>
  <c r="T160" i="12"/>
  <c r="U160" i="12"/>
  <c r="V160" i="12"/>
  <c r="W160" i="12"/>
  <c r="X160" i="12"/>
  <c r="X151" i="12" s="1"/>
  <c r="X150" i="12" s="1"/>
  <c r="Y160" i="12"/>
  <c r="Z160" i="12" s="1"/>
  <c r="AB160" i="12"/>
  <c r="AC160" i="12"/>
  <c r="AD160" i="12"/>
  <c r="AF160" i="12"/>
  <c r="AE160" i="12" s="1"/>
  <c r="AG160" i="12"/>
  <c r="AH160" i="12"/>
  <c r="AI160" i="12"/>
  <c r="AJ160" i="12"/>
  <c r="AK160" i="12" s="1"/>
  <c r="K161" i="12"/>
  <c r="L161" i="12"/>
  <c r="P161" i="12"/>
  <c r="Z161" i="12"/>
  <c r="AA161" i="12"/>
  <c r="AD161" i="12"/>
  <c r="AE161" i="12"/>
  <c r="AJ161" i="12"/>
  <c r="AK161" i="12" s="1"/>
  <c r="AJ162" i="12"/>
  <c r="AK162" i="12" s="1"/>
  <c r="K163" i="12"/>
  <c r="L163" i="12"/>
  <c r="P163" i="12"/>
  <c r="Z163" i="12"/>
  <c r="AA163" i="12"/>
  <c r="AD163" i="12"/>
  <c r="AE163" i="12"/>
  <c r="AJ163" i="12"/>
  <c r="AK163" i="12"/>
  <c r="AJ164" i="12"/>
  <c r="AK164" i="12" s="1"/>
  <c r="AE165" i="12"/>
  <c r="AJ165" i="12"/>
  <c r="AK165" i="12" s="1"/>
  <c r="AJ166" i="12"/>
  <c r="AK166" i="12" s="1"/>
  <c r="AJ167" i="12"/>
  <c r="AK167" i="12"/>
  <c r="AJ168" i="12"/>
  <c r="AK168" i="12" s="1"/>
  <c r="S169" i="12"/>
  <c r="S168" i="12" s="1"/>
  <c r="S166" i="12" s="1"/>
  <c r="S164" i="12" s="1"/>
  <c r="AJ169" i="12"/>
  <c r="AK169" i="12" s="1"/>
  <c r="I170" i="12"/>
  <c r="J170" i="12"/>
  <c r="M170" i="12"/>
  <c r="M169" i="12" s="1"/>
  <c r="N170" i="12"/>
  <c r="O170" i="12"/>
  <c r="O169" i="12" s="1"/>
  <c r="O168" i="12" s="1"/>
  <c r="O166" i="12" s="1"/>
  <c r="O164" i="12" s="1"/>
  <c r="Q170" i="12"/>
  <c r="R170" i="12"/>
  <c r="R169" i="12" s="1"/>
  <c r="R168" i="12" s="1"/>
  <c r="R166" i="12" s="1"/>
  <c r="R164" i="12" s="1"/>
  <c r="S170" i="12"/>
  <c r="U170" i="12"/>
  <c r="V170" i="12"/>
  <c r="W170" i="12"/>
  <c r="W169" i="12" s="1"/>
  <c r="W168" i="12" s="1"/>
  <c r="X170" i="12"/>
  <c r="Y170" i="12"/>
  <c r="Z170" i="12" s="1"/>
  <c r="AC170" i="12"/>
  <c r="AJ170" i="12"/>
  <c r="AK170" i="12"/>
  <c r="K171" i="12"/>
  <c r="L171" i="12"/>
  <c r="P171" i="12"/>
  <c r="Z171" i="12"/>
  <c r="AA171" i="12"/>
  <c r="AD171" i="12"/>
  <c r="AE171" i="12"/>
  <c r="AJ171" i="12"/>
  <c r="AK171" i="12" s="1"/>
  <c r="K172" i="12"/>
  <c r="L172" i="12"/>
  <c r="T172" i="12"/>
  <c r="Z172" i="12"/>
  <c r="AB172" i="12"/>
  <c r="AE172" i="12"/>
  <c r="AF172" i="12"/>
  <c r="AG172" i="12"/>
  <c r="AG170" i="12" s="1"/>
  <c r="AH172" i="12"/>
  <c r="AH170" i="12" s="1"/>
  <c r="AI172" i="12"/>
  <c r="AI170" i="12" s="1"/>
  <c r="AI169" i="12" s="1"/>
  <c r="AI168" i="12" s="1"/>
  <c r="AJ172" i="12"/>
  <c r="AK172" i="12" s="1"/>
  <c r="K173" i="12"/>
  <c r="L173" i="12"/>
  <c r="P173" i="12"/>
  <c r="Z173" i="12"/>
  <c r="AA173" i="12"/>
  <c r="AD173" i="12"/>
  <c r="AE173" i="12"/>
  <c r="AJ173" i="12"/>
  <c r="AK173" i="12" s="1"/>
  <c r="AA174" i="12"/>
  <c r="AD174" i="12"/>
  <c r="AF174" i="12"/>
  <c r="AE174" i="12" s="1"/>
  <c r="AJ174" i="12"/>
  <c r="AK174" i="12" s="1"/>
  <c r="I175" i="12"/>
  <c r="J175" i="12"/>
  <c r="K175" i="12" s="1"/>
  <c r="M175" i="12"/>
  <c r="N175" i="12"/>
  <c r="O175" i="12"/>
  <c r="Q175" i="12"/>
  <c r="R175" i="12"/>
  <c r="S175" i="12"/>
  <c r="T175" i="12"/>
  <c r="U175" i="12"/>
  <c r="V175" i="12"/>
  <c r="AA175" i="12" s="1"/>
  <c r="W175" i="12"/>
  <c r="X175" i="12"/>
  <c r="Y175" i="12"/>
  <c r="Z175" i="12" s="1"/>
  <c r="AB175" i="12"/>
  <c r="AC175" i="12"/>
  <c r="AD175" i="12"/>
  <c r="AE175" i="12"/>
  <c r="AF175" i="12"/>
  <c r="AG175" i="12"/>
  <c r="AH175" i="12"/>
  <c r="AI175" i="12"/>
  <c r="AJ175" i="12"/>
  <c r="AK175" i="12"/>
  <c r="K176" i="12"/>
  <c r="L176" i="12"/>
  <c r="P176" i="12"/>
  <c r="Z176" i="12"/>
  <c r="AA176" i="12"/>
  <c r="AD176" i="12"/>
  <c r="AE176" i="12"/>
  <c r="AJ176" i="12"/>
  <c r="AK176" i="12"/>
  <c r="I177" i="12"/>
  <c r="J177" i="12"/>
  <c r="K177" i="12"/>
  <c r="L177" i="12"/>
  <c r="M177" i="12"/>
  <c r="N177" i="12"/>
  <c r="O177" i="12"/>
  <c r="Q177" i="12"/>
  <c r="R177" i="12"/>
  <c r="S177" i="12"/>
  <c r="U177" i="12"/>
  <c r="V177" i="12"/>
  <c r="W177" i="12"/>
  <c r="X177" i="12"/>
  <c r="Y177" i="12"/>
  <c r="AC177" i="12"/>
  <c r="AF177" i="12"/>
  <c r="AG177" i="12"/>
  <c r="AH177" i="12"/>
  <c r="AI177" i="12"/>
  <c r="AJ177" i="12"/>
  <c r="AK177" i="12" s="1"/>
  <c r="K178" i="12"/>
  <c r="L178" i="12"/>
  <c r="P178" i="12"/>
  <c r="T178" i="12"/>
  <c r="Z178" i="12"/>
  <c r="AB178" i="12"/>
  <c r="AJ178" i="12"/>
  <c r="AK178" i="12" s="1"/>
  <c r="K179" i="12"/>
  <c r="L179" i="12"/>
  <c r="T179" i="12"/>
  <c r="P179" i="12" s="1"/>
  <c r="Z179" i="12"/>
  <c r="AB179" i="12"/>
  <c r="AA179" i="12" s="1"/>
  <c r="AD179" i="12"/>
  <c r="AJ179" i="12"/>
  <c r="AK179" i="12" s="1"/>
  <c r="AJ180" i="12"/>
  <c r="AK180" i="12"/>
  <c r="AJ181" i="12"/>
  <c r="AK181" i="12" s="1"/>
  <c r="AJ182" i="12"/>
  <c r="AK182" i="12" s="1"/>
  <c r="AJ183" i="12"/>
  <c r="AK183" i="12" s="1"/>
  <c r="AJ184" i="12"/>
  <c r="AK184" i="12" s="1"/>
  <c r="AJ185" i="12"/>
  <c r="AK185" i="12" s="1"/>
  <c r="AJ186" i="12"/>
  <c r="AK186" i="12"/>
  <c r="M187" i="12"/>
  <c r="AJ187" i="12"/>
  <c r="AK187" i="12" s="1"/>
  <c r="I188" i="12"/>
  <c r="J188" i="12"/>
  <c r="K188" i="12"/>
  <c r="L188" i="12"/>
  <c r="M188" i="12"/>
  <c r="N188" i="12"/>
  <c r="O188" i="12"/>
  <c r="O187" i="12" s="1"/>
  <c r="Q188" i="12"/>
  <c r="R188" i="12"/>
  <c r="S188" i="12"/>
  <c r="T188" i="12"/>
  <c r="T187" i="12" s="1"/>
  <c r="U188" i="12"/>
  <c r="U187" i="12" s="1"/>
  <c r="V188" i="12"/>
  <c r="W188" i="12"/>
  <c r="X188" i="12"/>
  <c r="X187" i="12" s="1"/>
  <c r="Y188" i="12"/>
  <c r="Z188" i="12" s="1"/>
  <c r="AB188" i="12"/>
  <c r="AC188" i="12"/>
  <c r="AD188" i="12" s="1"/>
  <c r="AF188" i="12"/>
  <c r="AG188" i="12"/>
  <c r="AH188" i="12"/>
  <c r="AI188" i="12"/>
  <c r="AJ188" i="12"/>
  <c r="AK188" i="12" s="1"/>
  <c r="K189" i="12"/>
  <c r="L189" i="12"/>
  <c r="P189" i="12"/>
  <c r="Z189" i="12"/>
  <c r="AA189" i="12"/>
  <c r="AD189" i="12"/>
  <c r="AE189" i="12"/>
  <c r="AJ189" i="12"/>
  <c r="AK189" i="12" s="1"/>
  <c r="I190" i="12"/>
  <c r="J190" i="12"/>
  <c r="M190" i="12"/>
  <c r="L190" i="12" s="1"/>
  <c r="N190" i="12"/>
  <c r="O190" i="12"/>
  <c r="Q190" i="12"/>
  <c r="R190" i="12"/>
  <c r="S190" i="12"/>
  <c r="T190" i="12"/>
  <c r="U190" i="12"/>
  <c r="V190" i="12"/>
  <c r="W190" i="12"/>
  <c r="X190" i="12"/>
  <c r="Y190" i="12"/>
  <c r="Z190" i="12"/>
  <c r="AB190" i="12"/>
  <c r="AC190" i="12"/>
  <c r="AD190" i="12" s="1"/>
  <c r="AF190" i="12"/>
  <c r="AG190" i="12"/>
  <c r="AH190" i="12"/>
  <c r="AI190" i="12"/>
  <c r="AJ190" i="12"/>
  <c r="AK190" i="12" s="1"/>
  <c r="K191" i="12"/>
  <c r="L191" i="12"/>
  <c r="P191" i="12"/>
  <c r="Z191" i="12"/>
  <c r="AA191" i="12"/>
  <c r="AD191" i="12"/>
  <c r="AE191" i="12"/>
  <c r="AJ191" i="12"/>
  <c r="AK191" i="12" s="1"/>
  <c r="I192" i="12"/>
  <c r="J192" i="12"/>
  <c r="J187" i="12" s="1"/>
  <c r="M192" i="12"/>
  <c r="N192" i="12"/>
  <c r="O192" i="12"/>
  <c r="Q192" i="12"/>
  <c r="R192" i="12"/>
  <c r="S192" i="12"/>
  <c r="T192" i="12"/>
  <c r="P192" i="12" s="1"/>
  <c r="U192" i="12"/>
  <c r="V192" i="12"/>
  <c r="W192" i="12"/>
  <c r="X192" i="12"/>
  <c r="Y192" i="12"/>
  <c r="Z192" i="12" s="1"/>
  <c r="AB192" i="12"/>
  <c r="AA192" i="12" s="1"/>
  <c r="AC192" i="12"/>
  <c r="AF192" i="12"/>
  <c r="AG192" i="12"/>
  <c r="AH192" i="12"/>
  <c r="AH187" i="12" s="1"/>
  <c r="AI192" i="12"/>
  <c r="AJ192" i="12"/>
  <c r="AK192" i="12" s="1"/>
  <c r="K193" i="12"/>
  <c r="L193" i="12"/>
  <c r="P193" i="12"/>
  <c r="Z193" i="12"/>
  <c r="AA193" i="12"/>
  <c r="AD193" i="12"/>
  <c r="AE193" i="12"/>
  <c r="AJ193" i="12"/>
  <c r="AK193" i="12" s="1"/>
  <c r="K194" i="12"/>
  <c r="L194" i="12"/>
  <c r="P194" i="12"/>
  <c r="Z194" i="12"/>
  <c r="AA194" i="12"/>
  <c r="AD194" i="12"/>
  <c r="AE194" i="12"/>
  <c r="AJ194" i="12"/>
  <c r="AK194" i="12" s="1"/>
  <c r="AJ195" i="12"/>
  <c r="AK195" i="12"/>
  <c r="I196" i="12"/>
  <c r="K196" i="12" s="1"/>
  <c r="J196" i="12"/>
  <c r="M196" i="12"/>
  <c r="L196" i="12" s="1"/>
  <c r="N196" i="12"/>
  <c r="O196" i="12"/>
  <c r="Q196" i="12"/>
  <c r="R196" i="12"/>
  <c r="S196" i="12"/>
  <c r="T196" i="12"/>
  <c r="U196" i="12"/>
  <c r="V196" i="12"/>
  <c r="W196" i="12"/>
  <c r="X196" i="12"/>
  <c r="Y196" i="12"/>
  <c r="AB196" i="12"/>
  <c r="AC196" i="12"/>
  <c r="AC195" i="12" s="1"/>
  <c r="AF196" i="12"/>
  <c r="AG196" i="12"/>
  <c r="AH196" i="12"/>
  <c r="AI196" i="12"/>
  <c r="AJ196" i="12"/>
  <c r="AK196" i="12" s="1"/>
  <c r="K197" i="12"/>
  <c r="L197" i="12"/>
  <c r="P197" i="12"/>
  <c r="Z197" i="12"/>
  <c r="AA197" i="12"/>
  <c r="AD197" i="12"/>
  <c r="AE197" i="12"/>
  <c r="AJ197" i="12"/>
  <c r="AK197" i="12" s="1"/>
  <c r="I198" i="12"/>
  <c r="J198" i="12"/>
  <c r="M198" i="12"/>
  <c r="N198" i="12"/>
  <c r="O198" i="12"/>
  <c r="Q198" i="12"/>
  <c r="R198" i="12"/>
  <c r="S198" i="12"/>
  <c r="T198" i="12"/>
  <c r="P198" i="12" s="1"/>
  <c r="U198" i="12"/>
  <c r="V198" i="12"/>
  <c r="W198" i="12"/>
  <c r="X198" i="12"/>
  <c r="Y198" i="12"/>
  <c r="Z198" i="12" s="1"/>
  <c r="AB198" i="12"/>
  <c r="AC198" i="12"/>
  <c r="AD198" i="12"/>
  <c r="AG198" i="12"/>
  <c r="AH198" i="12"/>
  <c r="AI198" i="12"/>
  <c r="AJ198" i="12"/>
  <c r="AK198" i="12" s="1"/>
  <c r="K199" i="12"/>
  <c r="L199" i="12"/>
  <c r="P199" i="12"/>
  <c r="Z199" i="12"/>
  <c r="AA199" i="12"/>
  <c r="AD199" i="12"/>
  <c r="AF199" i="12"/>
  <c r="AF198" i="12" s="1"/>
  <c r="AE198" i="12" s="1"/>
  <c r="AJ199" i="12"/>
  <c r="AK199" i="12" s="1"/>
  <c r="K200" i="12"/>
  <c r="L200" i="12"/>
  <c r="P200" i="12"/>
  <c r="Z200" i="12"/>
  <c r="AA200" i="12"/>
  <c r="AD200" i="12"/>
  <c r="AE200" i="12"/>
  <c r="AJ200" i="12"/>
  <c r="AK200" i="12" s="1"/>
  <c r="K201" i="12"/>
  <c r="L201" i="12"/>
  <c r="P201" i="12"/>
  <c r="Z201" i="12"/>
  <c r="AA201" i="12"/>
  <c r="AD201" i="12"/>
  <c r="AE201" i="12"/>
  <c r="AJ201" i="12"/>
  <c r="AK201" i="12" s="1"/>
  <c r="I202" i="12"/>
  <c r="I195" i="12" s="1"/>
  <c r="J202" i="12"/>
  <c r="M202" i="12"/>
  <c r="N202" i="12"/>
  <c r="O202" i="12"/>
  <c r="Q202" i="12"/>
  <c r="R202" i="12"/>
  <c r="S202" i="12"/>
  <c r="T202" i="12"/>
  <c r="P202" i="12" s="1"/>
  <c r="U202" i="12"/>
  <c r="V202" i="12"/>
  <c r="W202" i="12"/>
  <c r="X202" i="12"/>
  <c r="Y202" i="12"/>
  <c r="Z202" i="12" s="1"/>
  <c r="AB202" i="12"/>
  <c r="AA202" i="12" s="1"/>
  <c r="AC202" i="12"/>
  <c r="AF202" i="12"/>
  <c r="AE202" i="12" s="1"/>
  <c r="AG202" i="12"/>
  <c r="AG195" i="12" s="1"/>
  <c r="AH202" i="12"/>
  <c r="AI202" i="12"/>
  <c r="AJ202" i="12"/>
  <c r="AK202" i="12"/>
  <c r="K203" i="12"/>
  <c r="L203" i="12"/>
  <c r="P203" i="12"/>
  <c r="Z203" i="12"/>
  <c r="AA203" i="12"/>
  <c r="AD203" i="12"/>
  <c r="AE203" i="12"/>
  <c r="AJ203" i="12"/>
  <c r="AK203" i="12" s="1"/>
  <c r="K204" i="12"/>
  <c r="L204" i="12"/>
  <c r="P204" i="12"/>
  <c r="Z204" i="12"/>
  <c r="AA204" i="12"/>
  <c r="AD204" i="12"/>
  <c r="AE204" i="12"/>
  <c r="AJ204" i="12"/>
  <c r="AK204" i="12" s="1"/>
  <c r="K205" i="12"/>
  <c r="L205" i="12"/>
  <c r="P205" i="12"/>
  <c r="Z205" i="12"/>
  <c r="AA205" i="12"/>
  <c r="AD205" i="12"/>
  <c r="AE205" i="12"/>
  <c r="AJ205" i="12"/>
  <c r="AK205" i="12" s="1"/>
  <c r="I206" i="12"/>
  <c r="J206" i="12"/>
  <c r="K206" i="12" s="1"/>
  <c r="M206" i="12"/>
  <c r="L206" i="12" s="1"/>
  <c r="N206" i="12"/>
  <c r="O206" i="12"/>
  <c r="Q206" i="12"/>
  <c r="R206" i="12"/>
  <c r="S206" i="12"/>
  <c r="T206" i="12"/>
  <c r="U206" i="12"/>
  <c r="V206" i="12"/>
  <c r="W206" i="12"/>
  <c r="X206" i="12"/>
  <c r="Y206" i="12"/>
  <c r="AB206" i="12"/>
  <c r="AA206" i="12" s="1"/>
  <c r="AC206" i="12"/>
  <c r="AG206" i="12"/>
  <c r="AH206" i="12"/>
  <c r="AI206" i="12"/>
  <c r="AJ206" i="12"/>
  <c r="AK206" i="12" s="1"/>
  <c r="K207" i="12"/>
  <c r="L207" i="12"/>
  <c r="P207" i="12"/>
  <c r="Z207" i="12"/>
  <c r="AA207" i="12"/>
  <c r="AD207" i="12"/>
  <c r="AE207" i="12"/>
  <c r="AJ207" i="12"/>
  <c r="AK207" i="12" s="1"/>
  <c r="K208" i="12"/>
  <c r="L208" i="12"/>
  <c r="P208" i="12"/>
  <c r="Z208" i="12"/>
  <c r="AA208" i="12"/>
  <c r="AD208" i="12"/>
  <c r="AE208" i="12"/>
  <c r="AF208" i="12"/>
  <c r="AF206" i="12" s="1"/>
  <c r="AJ208" i="12"/>
  <c r="AK208" i="12"/>
  <c r="M209" i="12"/>
  <c r="N209" i="12"/>
  <c r="U209" i="12"/>
  <c r="V209" i="12"/>
  <c r="AG209" i="12"/>
  <c r="AH209" i="12"/>
  <c r="AJ209" i="12"/>
  <c r="AK209" i="12" s="1"/>
  <c r="I210" i="12"/>
  <c r="J210" i="12"/>
  <c r="J209" i="12" s="1"/>
  <c r="M210" i="12"/>
  <c r="N210" i="12"/>
  <c r="O210" i="12"/>
  <c r="O209" i="12" s="1"/>
  <c r="Q210" i="12"/>
  <c r="Q209" i="12" s="1"/>
  <c r="R210" i="12"/>
  <c r="R209" i="12" s="1"/>
  <c r="S210" i="12"/>
  <c r="S209" i="12" s="1"/>
  <c r="T210" i="12"/>
  <c r="T209" i="12" s="1"/>
  <c r="U210" i="12"/>
  <c r="V210" i="12"/>
  <c r="W210" i="12"/>
  <c r="W209" i="12" s="1"/>
  <c r="X210" i="12"/>
  <c r="X209" i="12" s="1"/>
  <c r="Y210" i="12"/>
  <c r="Z210" i="12" s="1"/>
  <c r="AB210" i="12"/>
  <c r="AC210" i="12"/>
  <c r="AC209" i="12" s="1"/>
  <c r="AF210" i="12"/>
  <c r="AG210" i="12"/>
  <c r="AH210" i="12"/>
  <c r="AI210" i="12"/>
  <c r="AI209" i="12" s="1"/>
  <c r="AJ210" i="12"/>
  <c r="AK210" i="12" s="1"/>
  <c r="K211" i="12"/>
  <c r="L211" i="12"/>
  <c r="P211" i="12"/>
  <c r="Z211" i="12"/>
  <c r="AA211" i="12"/>
  <c r="AD211" i="12"/>
  <c r="AE211" i="12"/>
  <c r="AJ211" i="12"/>
  <c r="AK211" i="12" s="1"/>
  <c r="AJ212" i="12"/>
  <c r="AK212" i="12"/>
  <c r="AJ213" i="12"/>
  <c r="AK213" i="12" s="1"/>
  <c r="AJ214" i="12"/>
  <c r="AK214" i="12" s="1"/>
  <c r="AI215" i="12"/>
  <c r="AJ215" i="12"/>
  <c r="AK215" i="12" s="1"/>
  <c r="AJ216" i="12"/>
  <c r="AK216" i="12"/>
  <c r="M217" i="12"/>
  <c r="N217" i="12"/>
  <c r="N216" i="12" s="1"/>
  <c r="N214" i="12" s="1"/>
  <c r="N212" i="12" s="1"/>
  <c r="U217" i="12"/>
  <c r="U216" i="12" s="1"/>
  <c r="U214" i="12" s="1"/>
  <c r="U212" i="12" s="1"/>
  <c r="V217" i="12"/>
  <c r="V216" i="12" s="1"/>
  <c r="AG217" i="12"/>
  <c r="AG216" i="12" s="1"/>
  <c r="AH217" i="12"/>
  <c r="AH216" i="12" s="1"/>
  <c r="AJ217" i="12"/>
  <c r="AK217" i="12" s="1"/>
  <c r="I218" i="12"/>
  <c r="J218" i="12"/>
  <c r="J217" i="12" s="1"/>
  <c r="M218" i="12"/>
  <c r="N218" i="12"/>
  <c r="O218" i="12"/>
  <c r="O217" i="12" s="1"/>
  <c r="O216" i="12" s="1"/>
  <c r="O214" i="12" s="1"/>
  <c r="O212" i="12" s="1"/>
  <c r="Q218" i="12"/>
  <c r="Q217" i="12" s="1"/>
  <c r="Q216" i="12" s="1"/>
  <c r="Q214" i="12" s="1"/>
  <c r="Q212" i="12" s="1"/>
  <c r="R218" i="12"/>
  <c r="R217" i="12" s="1"/>
  <c r="R216" i="12" s="1"/>
  <c r="R214" i="12" s="1"/>
  <c r="R212" i="12" s="1"/>
  <c r="S218" i="12"/>
  <c r="S217" i="12" s="1"/>
  <c r="S216" i="12" s="1"/>
  <c r="S214" i="12" s="1"/>
  <c r="S212" i="12" s="1"/>
  <c r="T218" i="12"/>
  <c r="T217" i="12" s="1"/>
  <c r="U218" i="12"/>
  <c r="V218" i="12"/>
  <c r="W218" i="12"/>
  <c r="W217" i="12" s="1"/>
  <c r="W216" i="12" s="1"/>
  <c r="W214" i="12" s="1"/>
  <c r="W212" i="12" s="1"/>
  <c r="X218" i="12"/>
  <c r="X217" i="12" s="1"/>
  <c r="X216" i="12" s="1"/>
  <c r="Y218" i="12"/>
  <c r="Z218" i="12" s="1"/>
  <c r="AB218" i="12"/>
  <c r="AC218" i="12"/>
  <c r="AC217" i="12" s="1"/>
  <c r="AF218" i="12"/>
  <c r="AG218" i="12"/>
  <c r="AH218" i="12"/>
  <c r="AI218" i="12"/>
  <c r="AI217" i="12" s="1"/>
  <c r="AI216" i="12" s="1"/>
  <c r="AI214" i="12" s="1"/>
  <c r="AI212" i="12" s="1"/>
  <c r="AJ218" i="12"/>
  <c r="AK218" i="12" s="1"/>
  <c r="K219" i="12"/>
  <c r="L219" i="12"/>
  <c r="P219" i="12"/>
  <c r="Z219" i="12"/>
  <c r="AA219" i="12"/>
  <c r="AD219" i="12"/>
  <c r="AE219" i="12"/>
  <c r="AJ219" i="12"/>
  <c r="AK219" i="12" s="1"/>
  <c r="AJ220" i="12"/>
  <c r="AK220" i="12" s="1"/>
  <c r="AE221" i="12"/>
  <c r="AJ221" i="12"/>
  <c r="AK221" i="12" s="1"/>
  <c r="AJ222" i="12"/>
  <c r="AK222" i="12"/>
  <c r="V223" i="12"/>
  <c r="AJ223" i="12"/>
  <c r="AK223" i="12"/>
  <c r="I224" i="12"/>
  <c r="I222" i="12" s="1"/>
  <c r="I220" i="12" s="1"/>
  <c r="AJ224" i="12"/>
  <c r="AK224" i="12"/>
  <c r="I225" i="12"/>
  <c r="M225" i="12"/>
  <c r="M224" i="12" s="1"/>
  <c r="Q225" i="12"/>
  <c r="Q224" i="12" s="1"/>
  <c r="Q222" i="12" s="1"/>
  <c r="Q220" i="12" s="1"/>
  <c r="AG225" i="12"/>
  <c r="AG224" i="12" s="1"/>
  <c r="AJ225" i="12"/>
  <c r="AK225" i="12" s="1"/>
  <c r="I226" i="12"/>
  <c r="J226" i="12"/>
  <c r="J225" i="12" s="1"/>
  <c r="K226" i="12"/>
  <c r="L226" i="12"/>
  <c r="M226" i="12"/>
  <c r="N226" i="12"/>
  <c r="N225" i="12" s="1"/>
  <c r="N224" i="12" s="1"/>
  <c r="N222" i="12" s="1"/>
  <c r="N220" i="12" s="1"/>
  <c r="O226" i="12"/>
  <c r="O225" i="12" s="1"/>
  <c r="O224" i="12" s="1"/>
  <c r="O222" i="12" s="1"/>
  <c r="O220" i="12" s="1"/>
  <c r="Q226" i="12"/>
  <c r="R226" i="12"/>
  <c r="R225" i="12" s="1"/>
  <c r="R224" i="12" s="1"/>
  <c r="R222" i="12" s="1"/>
  <c r="R220" i="12" s="1"/>
  <c r="S226" i="12"/>
  <c r="S225" i="12" s="1"/>
  <c r="S224" i="12" s="1"/>
  <c r="S222" i="12" s="1"/>
  <c r="S220" i="12" s="1"/>
  <c r="T226" i="12"/>
  <c r="T225" i="12" s="1"/>
  <c r="U226" i="12"/>
  <c r="U225" i="12" s="1"/>
  <c r="U224" i="12" s="1"/>
  <c r="U222" i="12" s="1"/>
  <c r="U220" i="12" s="1"/>
  <c r="V226" i="12"/>
  <c r="V225" i="12" s="1"/>
  <c r="V224" i="12" s="1"/>
  <c r="V222" i="12" s="1"/>
  <c r="V220" i="12" s="1"/>
  <c r="W226" i="12"/>
  <c r="W225" i="12" s="1"/>
  <c r="W224" i="12" s="1"/>
  <c r="X226" i="12"/>
  <c r="X225" i="12" s="1"/>
  <c r="X224" i="12" s="1"/>
  <c r="Y226" i="12"/>
  <c r="Y225" i="12" s="1"/>
  <c r="Y224" i="12" s="1"/>
  <c r="AB226" i="12"/>
  <c r="AB225" i="12" s="1"/>
  <c r="AC226" i="12"/>
  <c r="AC225" i="12" s="1"/>
  <c r="AC224" i="12" s="1"/>
  <c r="AF226" i="12"/>
  <c r="AF225" i="12" s="1"/>
  <c r="AG226" i="12"/>
  <c r="AH226" i="12"/>
  <c r="AH225" i="12" s="1"/>
  <c r="AH224" i="12" s="1"/>
  <c r="AH223" i="12" s="1"/>
  <c r="AI226" i="12"/>
  <c r="AI225" i="12" s="1"/>
  <c r="AI224" i="12" s="1"/>
  <c r="AJ226" i="12"/>
  <c r="AK226" i="12" s="1"/>
  <c r="K227" i="12"/>
  <c r="L227" i="12"/>
  <c r="P227" i="12"/>
  <c r="Z227" i="12"/>
  <c r="AA227" i="12"/>
  <c r="AD227" i="12"/>
  <c r="AE227" i="12"/>
  <c r="AJ227" i="12"/>
  <c r="AK227" i="12" s="1"/>
  <c r="AJ228" i="12"/>
  <c r="AK228" i="12" s="1"/>
  <c r="AE229" i="12"/>
  <c r="AJ229" i="12"/>
  <c r="AK229" i="12"/>
  <c r="AJ230" i="12"/>
  <c r="AK230" i="12" s="1"/>
  <c r="AJ231" i="12"/>
  <c r="AK231" i="12"/>
  <c r="I232" i="12"/>
  <c r="I230" i="12" s="1"/>
  <c r="I228" i="12" s="1"/>
  <c r="AJ232" i="12"/>
  <c r="AK232" i="12"/>
  <c r="I233" i="12"/>
  <c r="M233" i="12"/>
  <c r="M232" i="12" s="1"/>
  <c r="Q233" i="12"/>
  <c r="Q232" i="12" s="1"/>
  <c r="Q230" i="12" s="1"/>
  <c r="Q228" i="12" s="1"/>
  <c r="Y233" i="12"/>
  <c r="Z233" i="12" s="1"/>
  <c r="AG233" i="12"/>
  <c r="AG232" i="12" s="1"/>
  <c r="AJ233" i="12"/>
  <c r="AK233" i="12" s="1"/>
  <c r="I234" i="12"/>
  <c r="J234" i="12"/>
  <c r="J233" i="12" s="1"/>
  <c r="K234" i="12"/>
  <c r="L234" i="12"/>
  <c r="M234" i="12"/>
  <c r="N234" i="12"/>
  <c r="N233" i="12" s="1"/>
  <c r="N232" i="12" s="1"/>
  <c r="N230" i="12" s="1"/>
  <c r="N228" i="12" s="1"/>
  <c r="O234" i="12"/>
  <c r="O233" i="12" s="1"/>
  <c r="O232" i="12" s="1"/>
  <c r="O230" i="12" s="1"/>
  <c r="O228" i="12" s="1"/>
  <c r="Q234" i="12"/>
  <c r="R234" i="12"/>
  <c r="R233" i="12" s="1"/>
  <c r="R232" i="12" s="1"/>
  <c r="R230" i="12" s="1"/>
  <c r="R228" i="12" s="1"/>
  <c r="S234" i="12"/>
  <c r="S233" i="12" s="1"/>
  <c r="S232" i="12" s="1"/>
  <c r="S230" i="12" s="1"/>
  <c r="S228" i="12" s="1"/>
  <c r="T234" i="12"/>
  <c r="U234" i="12"/>
  <c r="U233" i="12" s="1"/>
  <c r="U232" i="12" s="1"/>
  <c r="U230" i="12" s="1"/>
  <c r="U228" i="12" s="1"/>
  <c r="V234" i="12"/>
  <c r="V233" i="12" s="1"/>
  <c r="V232" i="12" s="1"/>
  <c r="W234" i="12"/>
  <c r="W233" i="12" s="1"/>
  <c r="W232" i="12" s="1"/>
  <c r="X234" i="12"/>
  <c r="X233" i="12" s="1"/>
  <c r="X232" i="12" s="1"/>
  <c r="Y234" i="12"/>
  <c r="Z234" i="12" s="1"/>
  <c r="AB234" i="12"/>
  <c r="AC234" i="12"/>
  <c r="AC233" i="12" s="1"/>
  <c r="AF234" i="12"/>
  <c r="AE234" i="12" s="1"/>
  <c r="AG234" i="12"/>
  <c r="AH234" i="12"/>
  <c r="AH233" i="12" s="1"/>
  <c r="AH232" i="12" s="1"/>
  <c r="AH230" i="12" s="1"/>
  <c r="AH228" i="12" s="1"/>
  <c r="AI234" i="12"/>
  <c r="AI233" i="12" s="1"/>
  <c r="AI232" i="12" s="1"/>
  <c r="AJ234" i="12"/>
  <c r="AK234" i="12" s="1"/>
  <c r="K235" i="12"/>
  <c r="L235" i="12"/>
  <c r="P235" i="12"/>
  <c r="Z235" i="12"/>
  <c r="AA235" i="12"/>
  <c r="AD235" i="12"/>
  <c r="AE235" i="12"/>
  <c r="AJ235" i="12"/>
  <c r="AK235" i="12"/>
  <c r="AJ236" i="12"/>
  <c r="AK236" i="12" s="1"/>
  <c r="AJ237" i="12"/>
  <c r="AK237" i="12" s="1"/>
  <c r="K238" i="12"/>
  <c r="AE238" i="12"/>
  <c r="AJ238" i="12"/>
  <c r="AK238" i="12" s="1"/>
  <c r="AJ239" i="12"/>
  <c r="AK239" i="12" s="1"/>
  <c r="AJ240" i="12"/>
  <c r="AK240" i="12" s="1"/>
  <c r="AJ241" i="12"/>
  <c r="AK241" i="12"/>
  <c r="AJ242" i="12"/>
  <c r="AK242" i="12" s="1"/>
  <c r="AJ243" i="12"/>
  <c r="AK243" i="12" s="1"/>
  <c r="I244" i="12"/>
  <c r="J244" i="12"/>
  <c r="M244" i="12"/>
  <c r="N244" i="12"/>
  <c r="N243" i="12" s="1"/>
  <c r="O244" i="12"/>
  <c r="Q244" i="12"/>
  <c r="T244" i="12"/>
  <c r="U244" i="12"/>
  <c r="V244" i="12"/>
  <c r="W244" i="12"/>
  <c r="W243" i="12" s="1"/>
  <c r="X244" i="12"/>
  <c r="Y244" i="12"/>
  <c r="Z244" i="12" s="1"/>
  <c r="AB244" i="12"/>
  <c r="AC244" i="12"/>
  <c r="AF244" i="12"/>
  <c r="AE244" i="12" s="1"/>
  <c r="AH244" i="12"/>
  <c r="AH243" i="12" s="1"/>
  <c r="AJ244" i="12"/>
  <c r="AK244" i="12"/>
  <c r="K245" i="12"/>
  <c r="L245" i="12"/>
  <c r="P245" i="12"/>
  <c r="R245" i="12"/>
  <c r="R244" i="12" s="1"/>
  <c r="S245" i="12"/>
  <c r="S244" i="12" s="1"/>
  <c r="S243" i="12" s="1"/>
  <c r="Z245" i="12"/>
  <c r="AA245" i="12"/>
  <c r="AD245" i="12"/>
  <c r="AE245" i="12"/>
  <c r="AG245" i="12"/>
  <c r="AG244" i="12" s="1"/>
  <c r="AH245" i="12"/>
  <c r="AI245" i="12"/>
  <c r="AI244" i="12" s="1"/>
  <c r="AJ245" i="12"/>
  <c r="AK245" i="12" s="1"/>
  <c r="K246" i="12"/>
  <c r="L246" i="12"/>
  <c r="P246" i="12"/>
  <c r="Z246" i="12"/>
  <c r="AA246" i="12"/>
  <c r="AD246" i="12"/>
  <c r="AE246" i="12"/>
  <c r="AJ246" i="12"/>
  <c r="AK246" i="12" s="1"/>
  <c r="J247" i="12"/>
  <c r="M247" i="12"/>
  <c r="N247" i="12"/>
  <c r="O247" i="12"/>
  <c r="Q247" i="12"/>
  <c r="R247" i="12"/>
  <c r="S247" i="12"/>
  <c r="T247" i="12"/>
  <c r="P247" i="12" s="1"/>
  <c r="U247" i="12"/>
  <c r="V247" i="12"/>
  <c r="W247" i="12"/>
  <c r="X247" i="12"/>
  <c r="Y247" i="12"/>
  <c r="Z247" i="12" s="1"/>
  <c r="AB247" i="12"/>
  <c r="AC247" i="12"/>
  <c r="AD247" i="12" s="1"/>
  <c r="AF247" i="12"/>
  <c r="AE247" i="12" s="1"/>
  <c r="AG247" i="12"/>
  <c r="AH247" i="12"/>
  <c r="AI247" i="12"/>
  <c r="AJ247" i="12"/>
  <c r="AK247" i="12"/>
  <c r="I248" i="12"/>
  <c r="P248" i="12"/>
  <c r="Z248" i="12"/>
  <c r="AA248" i="12"/>
  <c r="AD248" i="12"/>
  <c r="AE248" i="12"/>
  <c r="AJ248" i="12"/>
  <c r="AK248" i="12" s="1"/>
  <c r="I249" i="12"/>
  <c r="J249" i="12"/>
  <c r="M249" i="12"/>
  <c r="O249" i="12"/>
  <c r="R249" i="12"/>
  <c r="S249" i="12"/>
  <c r="T249" i="12"/>
  <c r="U249" i="12"/>
  <c r="V249" i="12"/>
  <c r="W249" i="12"/>
  <c r="X249" i="12"/>
  <c r="Y249" i="12"/>
  <c r="Z249" i="12" s="1"/>
  <c r="AB249" i="12"/>
  <c r="AC249" i="12"/>
  <c r="AF249" i="12"/>
  <c r="AF243" i="12" s="1"/>
  <c r="AG249" i="12"/>
  <c r="AH249" i="12"/>
  <c r="AI249" i="12"/>
  <c r="AJ249" i="12"/>
  <c r="AK249" i="12" s="1"/>
  <c r="K250" i="12"/>
  <c r="L250" i="12"/>
  <c r="N250" i="12"/>
  <c r="N249" i="12" s="1"/>
  <c r="Q250" i="12"/>
  <c r="Q249" i="12" s="1"/>
  <c r="Z250" i="12"/>
  <c r="AA250" i="12"/>
  <c r="AD250" i="12"/>
  <c r="AE250" i="12"/>
  <c r="AJ250" i="12"/>
  <c r="AK250" i="12" s="1"/>
  <c r="K251" i="12"/>
  <c r="L251" i="12"/>
  <c r="P251" i="12"/>
  <c r="Z251" i="12"/>
  <c r="AA251" i="12"/>
  <c r="AD251" i="12"/>
  <c r="AE251" i="12"/>
  <c r="AJ251" i="12"/>
  <c r="AK251" i="12" s="1"/>
  <c r="AJ252" i="12"/>
  <c r="AK252" i="12"/>
  <c r="I253" i="12"/>
  <c r="J253" i="12"/>
  <c r="M253" i="12"/>
  <c r="O253" i="12"/>
  <c r="R253" i="12"/>
  <c r="S253" i="12"/>
  <c r="T253" i="12"/>
  <c r="U253" i="12"/>
  <c r="V253" i="12"/>
  <c r="W253" i="12"/>
  <c r="X253" i="12"/>
  <c r="X252" i="12" s="1"/>
  <c r="Y253" i="12"/>
  <c r="AB253" i="12"/>
  <c r="AC253" i="12"/>
  <c r="AG253" i="12"/>
  <c r="AH253" i="12"/>
  <c r="AI253" i="12"/>
  <c r="AJ253" i="12"/>
  <c r="AK253" i="12"/>
  <c r="K254" i="12"/>
  <c r="L254" i="12"/>
  <c r="P254" i="12"/>
  <c r="Z254" i="12"/>
  <c r="AA254" i="12"/>
  <c r="AD254" i="12"/>
  <c r="AE254" i="12"/>
  <c r="AJ254" i="12"/>
  <c r="AK254" i="12" s="1"/>
  <c r="K255" i="12"/>
  <c r="L255" i="12"/>
  <c r="P255" i="12"/>
  <c r="Z255" i="12"/>
  <c r="AA255" i="12"/>
  <c r="AD255" i="12"/>
  <c r="AF255" i="12"/>
  <c r="AF253" i="12" s="1"/>
  <c r="AJ255" i="12"/>
  <c r="AK255" i="12" s="1"/>
  <c r="K256" i="12"/>
  <c r="L256" i="12"/>
  <c r="N256" i="12"/>
  <c r="P256" i="12" s="1"/>
  <c r="Q256" i="12"/>
  <c r="Q253" i="12" s="1"/>
  <c r="Q252" i="12" s="1"/>
  <c r="Z256" i="12"/>
  <c r="AA256" i="12"/>
  <c r="AD256" i="12"/>
  <c r="AE256" i="12"/>
  <c r="AJ256" i="12"/>
  <c r="AK256" i="12" s="1"/>
  <c r="I257" i="12"/>
  <c r="J257" i="12"/>
  <c r="K257" i="12" s="1"/>
  <c r="M257" i="12"/>
  <c r="L257" i="12" s="1"/>
  <c r="N257" i="12"/>
  <c r="O257" i="12"/>
  <c r="Q257" i="12"/>
  <c r="R257" i="12"/>
  <c r="S257" i="12"/>
  <c r="T257" i="12"/>
  <c r="U257" i="12"/>
  <c r="V257" i="12"/>
  <c r="AA257" i="12" s="1"/>
  <c r="W257" i="12"/>
  <c r="X257" i="12"/>
  <c r="Y257" i="12"/>
  <c r="Z257" i="12"/>
  <c r="AB257" i="12"/>
  <c r="AC257" i="12"/>
  <c r="AD257" i="12"/>
  <c r="AE257" i="12"/>
  <c r="AF257" i="12"/>
  <c r="AG257" i="12"/>
  <c r="AH257" i="12"/>
  <c r="AI257" i="12"/>
  <c r="AI252" i="12" s="1"/>
  <c r="AJ257" i="12"/>
  <c r="AK257" i="12" s="1"/>
  <c r="K258" i="12"/>
  <c r="L258" i="12"/>
  <c r="P258" i="12"/>
  <c r="Z258" i="12"/>
  <c r="AA258" i="12"/>
  <c r="AD258" i="12"/>
  <c r="AE258" i="12"/>
  <c r="AJ258" i="12"/>
  <c r="AK258" i="12"/>
  <c r="I259" i="12"/>
  <c r="K259" i="12" s="1"/>
  <c r="J259" i="12"/>
  <c r="M259" i="12"/>
  <c r="N259" i="12"/>
  <c r="O259" i="12"/>
  <c r="Q259" i="12"/>
  <c r="R259" i="12"/>
  <c r="S259" i="12"/>
  <c r="T259" i="12"/>
  <c r="U259" i="12"/>
  <c r="V259" i="12"/>
  <c r="W259" i="12"/>
  <c r="X259" i="12"/>
  <c r="Y259" i="12"/>
  <c r="AB259" i="12"/>
  <c r="AA259" i="12" s="1"/>
  <c r="AC259" i="12"/>
  <c r="AD259" i="12" s="1"/>
  <c r="AF259" i="12"/>
  <c r="AG259" i="12"/>
  <c r="AH259" i="12"/>
  <c r="AI259" i="12"/>
  <c r="AJ259" i="12"/>
  <c r="AK259" i="12" s="1"/>
  <c r="K260" i="12"/>
  <c r="L260" i="12"/>
  <c r="P260" i="12"/>
  <c r="Z260" i="12"/>
  <c r="AA260" i="12"/>
  <c r="AD260" i="12"/>
  <c r="AE260" i="12"/>
  <c r="AJ260" i="12"/>
  <c r="AK260" i="12" s="1"/>
  <c r="K261" i="12"/>
  <c r="L261" i="12"/>
  <c r="P261" i="12"/>
  <c r="Z261" i="12"/>
  <c r="AA261" i="12"/>
  <c r="AD261" i="12"/>
  <c r="AE261" i="12"/>
  <c r="AJ261" i="12"/>
  <c r="AK261" i="12" s="1"/>
  <c r="AJ262" i="12"/>
  <c r="AK262" i="12" s="1"/>
  <c r="AJ263" i="12"/>
  <c r="AK263" i="12" s="1"/>
  <c r="I264" i="12"/>
  <c r="J264" i="12"/>
  <c r="M264" i="12"/>
  <c r="L264" i="12" s="1"/>
  <c r="N264" i="12"/>
  <c r="O264" i="12"/>
  <c r="Q264" i="12"/>
  <c r="R264" i="12"/>
  <c r="S264" i="12"/>
  <c r="T264" i="12"/>
  <c r="U264" i="12"/>
  <c r="V264" i="12"/>
  <c r="W264" i="12"/>
  <c r="X264" i="12"/>
  <c r="Y264" i="12"/>
  <c r="AB264" i="12"/>
  <c r="AA264" i="12" s="1"/>
  <c r="AC264" i="12"/>
  <c r="AF264" i="12"/>
  <c r="AG264" i="12"/>
  <c r="AH264" i="12"/>
  <c r="AI264" i="12"/>
  <c r="AJ264" i="12"/>
  <c r="AK264" i="12"/>
  <c r="K265" i="12"/>
  <c r="L265" i="12"/>
  <c r="P265" i="12"/>
  <c r="Z265" i="12"/>
  <c r="AA265" i="12"/>
  <c r="AD265" i="12"/>
  <c r="AE265" i="12"/>
  <c r="AJ265" i="12"/>
  <c r="AK265" i="12" s="1"/>
  <c r="AJ266" i="12"/>
  <c r="AK266" i="12" s="1"/>
  <c r="V267" i="12"/>
  <c r="AJ267" i="12"/>
  <c r="AK267" i="12"/>
  <c r="I268" i="12"/>
  <c r="I266" i="12" s="1"/>
  <c r="Y268" i="12"/>
  <c r="AJ268" i="12"/>
  <c r="AK268" i="12"/>
  <c r="I269" i="12"/>
  <c r="M269" i="12"/>
  <c r="M268" i="12" s="1"/>
  <c r="U269" i="12"/>
  <c r="U268" i="12" s="1"/>
  <c r="AF269" i="12"/>
  <c r="AG269" i="12"/>
  <c r="AG268" i="12" s="1"/>
  <c r="AJ269" i="12"/>
  <c r="AK269" i="12" s="1"/>
  <c r="I270" i="12"/>
  <c r="J270" i="12"/>
  <c r="J269" i="12" s="1"/>
  <c r="K270" i="12"/>
  <c r="L270" i="12"/>
  <c r="M270" i="12"/>
  <c r="O270" i="12"/>
  <c r="O269" i="12" s="1"/>
  <c r="O268" i="12" s="1"/>
  <c r="O266" i="12" s="1"/>
  <c r="S270" i="12"/>
  <c r="S269" i="12" s="1"/>
  <c r="S268" i="12" s="1"/>
  <c r="S266" i="12" s="1"/>
  <c r="U270" i="12"/>
  <c r="Y270" i="12"/>
  <c r="Y269" i="12" s="1"/>
  <c r="AC270" i="12"/>
  <c r="AC269" i="12" s="1"/>
  <c r="AC268" i="12" s="1"/>
  <c r="AF270" i="12"/>
  <c r="AG270" i="12"/>
  <c r="AH270" i="12"/>
  <c r="AH269" i="12" s="1"/>
  <c r="AH268" i="12" s="1"/>
  <c r="AH266" i="12" s="1"/>
  <c r="AI270" i="12"/>
  <c r="AI269" i="12" s="1"/>
  <c r="AI268" i="12" s="1"/>
  <c r="AJ270" i="12"/>
  <c r="AK270" i="12" s="1"/>
  <c r="K271" i="12"/>
  <c r="L271" i="12"/>
  <c r="P271" i="12"/>
  <c r="T271" i="12"/>
  <c r="V271" i="12"/>
  <c r="V270" i="12" s="1"/>
  <c r="V269" i="12" s="1"/>
  <c r="V268" i="12" s="1"/>
  <c r="V266" i="12" s="1"/>
  <c r="W271" i="12"/>
  <c r="W270" i="12" s="1"/>
  <c r="W269" i="12" s="1"/>
  <c r="W268" i="12" s="1"/>
  <c r="X271" i="12"/>
  <c r="X270" i="12" s="1"/>
  <c r="X269" i="12" s="1"/>
  <c r="X268" i="12" s="1"/>
  <c r="AB271" i="12"/>
  <c r="AF271" i="12"/>
  <c r="AJ271" i="12"/>
  <c r="AK271" i="12" s="1"/>
  <c r="K272" i="12"/>
  <c r="L272" i="12"/>
  <c r="N272" i="12"/>
  <c r="N270" i="12" s="1"/>
  <c r="N269" i="12" s="1"/>
  <c r="N268" i="12" s="1"/>
  <c r="N266" i="12" s="1"/>
  <c r="Q272" i="12"/>
  <c r="Q270" i="12" s="1"/>
  <c r="Q269" i="12" s="1"/>
  <c r="Q268" i="12" s="1"/>
  <c r="Q266" i="12" s="1"/>
  <c r="R272" i="12"/>
  <c r="R270" i="12" s="1"/>
  <c r="R269" i="12" s="1"/>
  <c r="R268" i="12" s="1"/>
  <c r="R266" i="12" s="1"/>
  <c r="S272" i="12"/>
  <c r="T272" i="12"/>
  <c r="Z272" i="12"/>
  <c r="AA272" i="12"/>
  <c r="AD272" i="12"/>
  <c r="AE272" i="12"/>
  <c r="AJ272" i="12"/>
  <c r="AK272" i="12" s="1"/>
  <c r="AJ273" i="12"/>
  <c r="AK273" i="12" s="1"/>
  <c r="AJ274" i="12"/>
  <c r="AK274" i="12" s="1"/>
  <c r="AJ275" i="12"/>
  <c r="AK275" i="12" s="1"/>
  <c r="AH276" i="12"/>
  <c r="AH275" i="12" s="1"/>
  <c r="AH274" i="12" s="1"/>
  <c r="AH273" i="12" s="1"/>
  <c r="AI276" i="12"/>
  <c r="AI275" i="12" s="1"/>
  <c r="AI274" i="12" s="1"/>
  <c r="AI273" i="12" s="1"/>
  <c r="AJ276" i="12"/>
  <c r="AK276" i="12" s="1"/>
  <c r="U277" i="12"/>
  <c r="U276" i="12" s="1"/>
  <c r="U275" i="12" s="1"/>
  <c r="U274" i="12" s="1"/>
  <c r="U273" i="12" s="1"/>
  <c r="AG277" i="12"/>
  <c r="AG276" i="12" s="1"/>
  <c r="AG275" i="12" s="1"/>
  <c r="AG274" i="12" s="1"/>
  <c r="AG273" i="12" s="1"/>
  <c r="AH277" i="12"/>
  <c r="AI277" i="12"/>
  <c r="AJ277" i="12"/>
  <c r="AK277" i="12" s="1"/>
  <c r="AJ278" i="12"/>
  <c r="AK278" i="12" s="1"/>
  <c r="AJ279" i="12"/>
  <c r="AK279" i="12" s="1"/>
  <c r="AJ280" i="12"/>
  <c r="AK280" i="12"/>
  <c r="AJ281" i="12"/>
  <c r="AK281" i="12" s="1"/>
  <c r="AJ282" i="12"/>
  <c r="AK282" i="12" s="1"/>
  <c r="V283" i="12"/>
  <c r="W283" i="12"/>
  <c r="W282" i="12" s="1"/>
  <c r="X283" i="12"/>
  <c r="Y283" i="12"/>
  <c r="Z283" i="12"/>
  <c r="AB283" i="12"/>
  <c r="AC283" i="12"/>
  <c r="AC282" i="12" s="1"/>
  <c r="AF283" i="12"/>
  <c r="AE283" i="12" s="1"/>
  <c r="AG283" i="12"/>
  <c r="AH283" i="12"/>
  <c r="AI283" i="12"/>
  <c r="AI282" i="12" s="1"/>
  <c r="AJ283" i="12"/>
  <c r="AK283" i="12" s="1"/>
  <c r="Z284" i="12"/>
  <c r="AA284" i="12"/>
  <c r="AD284" i="12"/>
  <c r="AE284" i="12"/>
  <c r="AJ284" i="12"/>
  <c r="AK284" i="12" s="1"/>
  <c r="V285" i="12"/>
  <c r="W285" i="12"/>
  <c r="X285" i="12"/>
  <c r="Y285" i="12"/>
  <c r="Z285" i="12" s="1"/>
  <c r="AC285" i="12"/>
  <c r="AF285" i="12"/>
  <c r="AG285" i="12"/>
  <c r="AH285" i="12"/>
  <c r="AH282" i="12" s="1"/>
  <c r="AH281" i="12" s="1"/>
  <c r="AI285" i="12"/>
  <c r="AJ285" i="12"/>
  <c r="AK285" i="12" s="1"/>
  <c r="Z286" i="12"/>
  <c r="AB286" i="12"/>
  <c r="AF286" i="12"/>
  <c r="AJ286" i="12"/>
  <c r="AK286" i="12" s="1"/>
  <c r="Z287" i="12"/>
  <c r="AA287" i="12"/>
  <c r="AD287" i="12"/>
  <c r="AE287" i="12"/>
  <c r="AJ287" i="12"/>
  <c r="AK287" i="12" s="1"/>
  <c r="AH288" i="12"/>
  <c r="AJ288" i="12"/>
  <c r="AK288" i="12" s="1"/>
  <c r="V289" i="12"/>
  <c r="W289" i="12"/>
  <c r="X289" i="12"/>
  <c r="Y289" i="12"/>
  <c r="Z289" i="12"/>
  <c r="AB289" i="12"/>
  <c r="AC289" i="12"/>
  <c r="AD289" i="12" s="1"/>
  <c r="AF289" i="12"/>
  <c r="AG289" i="12"/>
  <c r="AH289" i="12"/>
  <c r="AI289" i="12"/>
  <c r="AJ289" i="12"/>
  <c r="AK289" i="12" s="1"/>
  <c r="Z290" i="12"/>
  <c r="AA290" i="12"/>
  <c r="AD290" i="12"/>
  <c r="AE290" i="12"/>
  <c r="AJ290" i="12"/>
  <c r="AK290" i="12" s="1"/>
  <c r="V291" i="12"/>
  <c r="W291" i="12"/>
  <c r="X291" i="12"/>
  <c r="Y291" i="12"/>
  <c r="Z291" i="12" s="1"/>
  <c r="AB291" i="12"/>
  <c r="AA291" i="12" s="1"/>
  <c r="AC291" i="12"/>
  <c r="AF291" i="12"/>
  <c r="AG291" i="12"/>
  <c r="AH291" i="12"/>
  <c r="AI291" i="12"/>
  <c r="AJ291" i="12"/>
  <c r="AK291" i="12" s="1"/>
  <c r="Z292" i="12"/>
  <c r="AA292" i="12"/>
  <c r="AE292" i="12"/>
  <c r="AJ292" i="12"/>
  <c r="AK292" i="12" s="1"/>
  <c r="V293" i="12"/>
  <c r="W293" i="12"/>
  <c r="X293" i="12"/>
  <c r="Y293" i="12"/>
  <c r="Z293" i="12" s="1"/>
  <c r="AB293" i="12"/>
  <c r="AA293" i="12" s="1"/>
  <c r="AC293" i="12"/>
  <c r="AD293" i="12" s="1"/>
  <c r="AF293" i="12"/>
  <c r="AG293" i="12"/>
  <c r="AH293" i="12"/>
  <c r="AI293" i="12"/>
  <c r="AJ293" i="12"/>
  <c r="AK293" i="12" s="1"/>
  <c r="Z294" i="12"/>
  <c r="AA294" i="12"/>
  <c r="AD294" i="12"/>
  <c r="AE294" i="12"/>
  <c r="AJ294" i="12"/>
  <c r="AK294" i="12" s="1"/>
  <c r="Z295" i="12"/>
  <c r="AA295" i="12"/>
  <c r="AE295" i="12"/>
  <c r="AJ295" i="12"/>
  <c r="AK295" i="12" s="1"/>
  <c r="Z296" i="12"/>
  <c r="AA296" i="12"/>
  <c r="AD296" i="12"/>
  <c r="AE296" i="12"/>
  <c r="AJ296" i="12"/>
  <c r="AK296" i="12" s="1"/>
  <c r="V297" i="12"/>
  <c r="AA297" i="12" s="1"/>
  <c r="W297" i="12"/>
  <c r="X297" i="12"/>
  <c r="Y297" i="12"/>
  <c r="Z297" i="12"/>
  <c r="AB297" i="12"/>
  <c r="AC297" i="12"/>
  <c r="AF297" i="12"/>
  <c r="AE297" i="12" s="1"/>
  <c r="AG297" i="12"/>
  <c r="AH297" i="12"/>
  <c r="AI297" i="12"/>
  <c r="AJ297" i="12"/>
  <c r="AK297" i="12" s="1"/>
  <c r="Z298" i="12"/>
  <c r="AA298" i="12"/>
  <c r="AE298" i="12"/>
  <c r="AJ298" i="12"/>
  <c r="AK298" i="12" s="1"/>
  <c r="V299" i="12"/>
  <c r="W299" i="12"/>
  <c r="X299" i="12"/>
  <c r="Y299" i="12"/>
  <c r="Z299" i="12" s="1"/>
  <c r="AA299" i="12"/>
  <c r="AB299" i="12"/>
  <c r="AC299" i="12"/>
  <c r="AF299" i="12"/>
  <c r="AE299" i="12" s="1"/>
  <c r="AG299" i="12"/>
  <c r="AH299" i="12"/>
  <c r="AI299" i="12"/>
  <c r="AJ299" i="12"/>
  <c r="AK299" i="12" s="1"/>
  <c r="Z300" i="12"/>
  <c r="AA300" i="12"/>
  <c r="AE300" i="12"/>
  <c r="AJ300" i="12"/>
  <c r="AK300" i="12" s="1"/>
  <c r="AJ301" i="12"/>
  <c r="AK301" i="12" s="1"/>
  <c r="AJ302" i="12"/>
  <c r="AK302" i="12" s="1"/>
  <c r="W303" i="12"/>
  <c r="AJ303" i="12"/>
  <c r="AK303" i="12" s="1"/>
  <c r="V304" i="12"/>
  <c r="W304" i="12"/>
  <c r="X304" i="12"/>
  <c r="Y304" i="12"/>
  <c r="Z304" i="12" s="1"/>
  <c r="AB304" i="12"/>
  <c r="AC304" i="12"/>
  <c r="AC303" i="12" s="1"/>
  <c r="AF304" i="12"/>
  <c r="AG304" i="12"/>
  <c r="AH304" i="12"/>
  <c r="AH303" i="12" s="1"/>
  <c r="AI304" i="12"/>
  <c r="AI303" i="12" s="1"/>
  <c r="AJ304" i="12"/>
  <c r="AK304" i="12" s="1"/>
  <c r="Z305" i="12"/>
  <c r="AA305" i="12"/>
  <c r="AD305" i="12"/>
  <c r="AE305" i="12"/>
  <c r="AJ305" i="12"/>
  <c r="AK305" i="12"/>
  <c r="V306" i="12"/>
  <c r="W306" i="12"/>
  <c r="X306" i="12"/>
  <c r="Y306" i="12"/>
  <c r="Z306" i="12" s="1"/>
  <c r="AB306" i="12"/>
  <c r="AA306" i="12" s="1"/>
  <c r="AC306" i="12"/>
  <c r="AF306" i="12"/>
  <c r="AE306" i="12" s="1"/>
  <c r="AG306" i="12"/>
  <c r="AH306" i="12"/>
  <c r="AI306" i="12"/>
  <c r="AJ306" i="12"/>
  <c r="AK306" i="12"/>
  <c r="Z307" i="12"/>
  <c r="AA307" i="12"/>
  <c r="AD307" i="12"/>
  <c r="AE307" i="12"/>
  <c r="AJ307" i="12"/>
  <c r="AK307" i="12" s="1"/>
  <c r="Z308" i="12"/>
  <c r="AA308" i="12"/>
  <c r="AD308" i="12"/>
  <c r="AE308" i="12"/>
  <c r="AJ308" i="12"/>
  <c r="AK308" i="12"/>
  <c r="Y309" i="12"/>
  <c r="AJ309" i="12"/>
  <c r="AK309" i="12" s="1"/>
  <c r="V310" i="12"/>
  <c r="W310" i="12"/>
  <c r="W309" i="12" s="1"/>
  <c r="X310" i="12"/>
  <c r="X309" i="12" s="1"/>
  <c r="Y310" i="12"/>
  <c r="AB310" i="12"/>
  <c r="AB309" i="12" s="1"/>
  <c r="AC310" i="12"/>
  <c r="AD310" i="12" s="1"/>
  <c r="AF310" i="12"/>
  <c r="AG310" i="12"/>
  <c r="AH310" i="12"/>
  <c r="AI310" i="12"/>
  <c r="AJ310" i="12"/>
  <c r="AK310" i="12" s="1"/>
  <c r="Z311" i="12"/>
  <c r="AA311" i="12"/>
  <c r="AD311" i="12"/>
  <c r="AE311" i="12"/>
  <c r="AJ311" i="12"/>
  <c r="AK311" i="12" s="1"/>
  <c r="V312" i="12"/>
  <c r="AA312" i="12" s="1"/>
  <c r="W312" i="12"/>
  <c r="X312" i="12"/>
  <c r="Y312" i="12"/>
  <c r="Z312" i="12"/>
  <c r="AB312" i="12"/>
  <c r="AC312" i="12"/>
  <c r="AE312" i="12"/>
  <c r="AF312" i="12"/>
  <c r="AG312" i="12"/>
  <c r="AH312" i="12"/>
  <c r="AI312" i="12"/>
  <c r="AJ312" i="12"/>
  <c r="AK312" i="12" s="1"/>
  <c r="Z313" i="12"/>
  <c r="AA313" i="12"/>
  <c r="AD313" i="12"/>
  <c r="AE313" i="12"/>
  <c r="AJ313" i="12"/>
  <c r="AK313" i="12"/>
  <c r="Z314" i="12"/>
  <c r="AA314" i="12"/>
  <c r="AD314" i="12"/>
  <c r="AE314" i="12"/>
  <c r="AJ314" i="12"/>
  <c r="AK314" i="12" s="1"/>
  <c r="AJ315" i="12"/>
  <c r="AK315" i="12"/>
  <c r="AJ316" i="12"/>
  <c r="AK316" i="12" s="1"/>
  <c r="AJ317" i="12"/>
  <c r="AK317" i="12" s="1"/>
  <c r="J318" i="12"/>
  <c r="S318" i="12"/>
  <c r="S317" i="12" s="1"/>
  <c r="S315" i="12" s="1"/>
  <c r="AJ318" i="12"/>
  <c r="AK318" i="12" s="1"/>
  <c r="I319" i="12"/>
  <c r="I318" i="12" s="1"/>
  <c r="I317" i="12" s="1"/>
  <c r="I315" i="12" s="1"/>
  <c r="J319" i="12"/>
  <c r="K319" i="12" s="1"/>
  <c r="M319" i="12"/>
  <c r="N319" i="12"/>
  <c r="N318" i="12" s="1"/>
  <c r="N317" i="12" s="1"/>
  <c r="N315" i="12" s="1"/>
  <c r="O319" i="12"/>
  <c r="O318" i="12" s="1"/>
  <c r="O317" i="12" s="1"/>
  <c r="O315" i="12" s="1"/>
  <c r="Q319" i="12"/>
  <c r="Q318" i="12" s="1"/>
  <c r="Q317" i="12" s="1"/>
  <c r="Q315" i="12" s="1"/>
  <c r="R319" i="12"/>
  <c r="R318" i="12" s="1"/>
  <c r="R317" i="12" s="1"/>
  <c r="R315" i="12" s="1"/>
  <c r="S319" i="12"/>
  <c r="T319" i="12"/>
  <c r="U319" i="12"/>
  <c r="U318" i="12" s="1"/>
  <c r="U317" i="12" s="1"/>
  <c r="W319" i="12"/>
  <c r="X319" i="12"/>
  <c r="Y319" i="12"/>
  <c r="AB319" i="12"/>
  <c r="AC319" i="12"/>
  <c r="AF319" i="12"/>
  <c r="AG319" i="12"/>
  <c r="AH319" i="12"/>
  <c r="AI319" i="12"/>
  <c r="AJ319" i="12"/>
  <c r="AK319" i="12" s="1"/>
  <c r="K320" i="12"/>
  <c r="L320" i="12"/>
  <c r="P320" i="12"/>
  <c r="V320" i="12"/>
  <c r="AD320" i="12"/>
  <c r="AE320" i="12"/>
  <c r="AJ320" i="12"/>
  <c r="AK320" i="12" s="1"/>
  <c r="P321" i="12"/>
  <c r="Z321" i="12"/>
  <c r="AA321" i="12"/>
  <c r="AE321" i="12"/>
  <c r="AJ321" i="12"/>
  <c r="AK321" i="12"/>
  <c r="P322" i="12"/>
  <c r="Z322" i="12"/>
  <c r="AA322" i="12"/>
  <c r="AE322" i="12"/>
  <c r="AJ322" i="12"/>
  <c r="AK322" i="12" s="1"/>
  <c r="U323" i="12"/>
  <c r="V323" i="12"/>
  <c r="W323" i="12"/>
  <c r="X323" i="12"/>
  <c r="Y323" i="12"/>
  <c r="Z323" i="12"/>
  <c r="AB323" i="12"/>
  <c r="AC323" i="12"/>
  <c r="AD323" i="12" s="1"/>
  <c r="AF323" i="12"/>
  <c r="AE323" i="12" s="1"/>
  <c r="AG323" i="12"/>
  <c r="AH323" i="12"/>
  <c r="AI323" i="12"/>
  <c r="AJ323" i="12"/>
  <c r="AK323" i="12" s="1"/>
  <c r="AA324" i="12"/>
  <c r="AA323" i="12" s="1"/>
  <c r="AD324" i="12"/>
  <c r="AE324" i="12"/>
  <c r="AJ324" i="12"/>
  <c r="AK324" i="12"/>
  <c r="AJ325" i="12"/>
  <c r="AK325" i="12" s="1"/>
  <c r="AJ326" i="12"/>
  <c r="AK326" i="12" s="1"/>
  <c r="W327" i="12"/>
  <c r="W326" i="12" s="1"/>
  <c r="W325" i="12" s="1"/>
  <c r="Z327" i="12"/>
  <c r="Z326" i="12" s="1"/>
  <c r="Z325" i="12" s="1"/>
  <c r="AJ327" i="12"/>
  <c r="AK327" i="12" s="1"/>
  <c r="U328" i="12"/>
  <c r="U327" i="12" s="1"/>
  <c r="U326" i="12" s="1"/>
  <c r="U325" i="12" s="1"/>
  <c r="V328" i="12"/>
  <c r="V327" i="12" s="1"/>
  <c r="V326" i="12" s="1"/>
  <c r="V325" i="12" s="1"/>
  <c r="W328" i="12"/>
  <c r="X328" i="12"/>
  <c r="X327" i="12" s="1"/>
  <c r="X326" i="12" s="1"/>
  <c r="X325" i="12" s="1"/>
  <c r="Y328" i="12"/>
  <c r="Y327" i="12" s="1"/>
  <c r="Y326" i="12" s="1"/>
  <c r="Y325" i="12" s="1"/>
  <c r="Z328" i="12"/>
  <c r="AB328" i="12"/>
  <c r="AB327" i="12" s="1"/>
  <c r="AB326" i="12" s="1"/>
  <c r="AB325" i="12" s="1"/>
  <c r="AC328" i="12"/>
  <c r="AE328" i="12"/>
  <c r="AF328" i="12"/>
  <c r="AF327" i="12" s="1"/>
  <c r="AG328" i="12"/>
  <c r="AG327" i="12" s="1"/>
  <c r="AG326" i="12" s="1"/>
  <c r="AG325" i="12" s="1"/>
  <c r="AH328" i="12"/>
  <c r="AH327" i="12" s="1"/>
  <c r="AH326" i="12" s="1"/>
  <c r="AH325" i="12" s="1"/>
  <c r="AI328" i="12"/>
  <c r="AI327" i="12" s="1"/>
  <c r="AI326" i="12" s="1"/>
  <c r="AI325" i="12" s="1"/>
  <c r="AJ328" i="12"/>
  <c r="AK328" i="12" s="1"/>
  <c r="AA329" i="12"/>
  <c r="AA328" i="12" s="1"/>
  <c r="AA327" i="12" s="1"/>
  <c r="AA326" i="12" s="1"/>
  <c r="AA325" i="12" s="1"/>
  <c r="AD329" i="12"/>
  <c r="AE329" i="12"/>
  <c r="AJ329" i="12"/>
  <c r="AK329" i="12" s="1"/>
  <c r="AJ330" i="12"/>
  <c r="AK330" i="12" s="1"/>
  <c r="AJ331" i="12"/>
  <c r="AK331" i="12" s="1"/>
  <c r="AJ332" i="12"/>
  <c r="AK332" i="12" s="1"/>
  <c r="AB333" i="12"/>
  <c r="AA333" i="12" s="1"/>
  <c r="AJ333" i="12"/>
  <c r="AK333" i="12" s="1"/>
  <c r="V334" i="12"/>
  <c r="V333" i="12" s="1"/>
  <c r="V332" i="12" s="1"/>
  <c r="W334" i="12"/>
  <c r="W333" i="12" s="1"/>
  <c r="W332" i="12" s="1"/>
  <c r="X334" i="12"/>
  <c r="X333" i="12" s="1"/>
  <c r="X332" i="12" s="1"/>
  <c r="Y334" i="12"/>
  <c r="Z334" i="12" s="1"/>
  <c r="AB334" i="12"/>
  <c r="AA334" i="12" s="1"/>
  <c r="AC334" i="12"/>
  <c r="AF334" i="12"/>
  <c r="AG334" i="12"/>
  <c r="AG333" i="12" s="1"/>
  <c r="AG332" i="12" s="1"/>
  <c r="AH334" i="12"/>
  <c r="AH333" i="12" s="1"/>
  <c r="AH332" i="12" s="1"/>
  <c r="AI334" i="12"/>
  <c r="AI333" i="12" s="1"/>
  <c r="AI332" i="12" s="1"/>
  <c r="AJ334" i="12"/>
  <c r="AK334" i="12" s="1"/>
  <c r="Z335" i="12"/>
  <c r="AA335" i="12"/>
  <c r="AD335" i="12"/>
  <c r="AE335" i="12"/>
  <c r="AJ335" i="12"/>
  <c r="AK335" i="12" s="1"/>
  <c r="Z336" i="12"/>
  <c r="AA336" i="12"/>
  <c r="AD336" i="12"/>
  <c r="AE336" i="12"/>
  <c r="AJ336" i="12"/>
  <c r="AK336" i="12" s="1"/>
  <c r="AJ337" i="12"/>
  <c r="AK337" i="12" s="1"/>
  <c r="AJ338" i="12"/>
  <c r="AK338" i="12" s="1"/>
  <c r="AJ339" i="12"/>
  <c r="AK339" i="12" s="1"/>
  <c r="V340" i="12"/>
  <c r="V339" i="12" s="1"/>
  <c r="V338" i="12" s="1"/>
  <c r="V337" i="12" s="1"/>
  <c r="W340" i="12"/>
  <c r="W339" i="12" s="1"/>
  <c r="W338" i="12" s="1"/>
  <c r="W337" i="12" s="1"/>
  <c r="X340" i="12"/>
  <c r="X339" i="12" s="1"/>
  <c r="X338" i="12" s="1"/>
  <c r="X337" i="12" s="1"/>
  <c r="Y340" i="12"/>
  <c r="Z340" i="12" s="1"/>
  <c r="AB340" i="12"/>
  <c r="AA340" i="12" s="1"/>
  <c r="AC340" i="12"/>
  <c r="AF340" i="12"/>
  <c r="AE340" i="12" s="1"/>
  <c r="AG340" i="12"/>
  <c r="AG339" i="12" s="1"/>
  <c r="AG338" i="12" s="1"/>
  <c r="AG337" i="12" s="1"/>
  <c r="AH340" i="12"/>
  <c r="AH339" i="12" s="1"/>
  <c r="AH338" i="12" s="1"/>
  <c r="AH337" i="12" s="1"/>
  <c r="AI340" i="12"/>
  <c r="AI339" i="12" s="1"/>
  <c r="AI338" i="12" s="1"/>
  <c r="AI337" i="12" s="1"/>
  <c r="AJ340" i="12"/>
  <c r="AK340" i="12" s="1"/>
  <c r="Z341" i="12"/>
  <c r="AA341" i="12"/>
  <c r="AD341" i="12"/>
  <c r="AE341" i="12"/>
  <c r="AJ341" i="12"/>
  <c r="AK341" i="12" s="1"/>
  <c r="Z342" i="12"/>
  <c r="AA342" i="12"/>
  <c r="AD342" i="12"/>
  <c r="AE342" i="12"/>
  <c r="AJ342" i="12"/>
  <c r="AK342" i="12" s="1"/>
  <c r="AJ343" i="12"/>
  <c r="AK343" i="12" s="1"/>
  <c r="AJ344" i="12"/>
  <c r="AK344" i="12" s="1"/>
  <c r="AJ345" i="12"/>
  <c r="AK345" i="12"/>
  <c r="AG346" i="12"/>
  <c r="AG345" i="12" s="1"/>
  <c r="AG344" i="12" s="1"/>
  <c r="AG343" i="12" s="1"/>
  <c r="AJ346" i="12"/>
  <c r="AK346" i="12" s="1"/>
  <c r="AB347" i="12"/>
  <c r="AB346" i="12" s="1"/>
  <c r="AB345" i="12" s="1"/>
  <c r="AB344" i="12" s="1"/>
  <c r="AB343" i="12" s="1"/>
  <c r="AC347" i="12"/>
  <c r="AC346" i="12" s="1"/>
  <c r="AC345" i="12" s="1"/>
  <c r="AC344" i="12" s="1"/>
  <c r="AC343" i="12" s="1"/>
  <c r="AE347" i="12"/>
  <c r="AE346" i="12" s="1"/>
  <c r="AE345" i="12" s="1"/>
  <c r="AE344" i="12" s="1"/>
  <c r="AE343" i="12" s="1"/>
  <c r="AF347" i="12"/>
  <c r="AF346" i="12" s="1"/>
  <c r="AF345" i="12" s="1"/>
  <c r="AF344" i="12" s="1"/>
  <c r="AF343" i="12" s="1"/>
  <c r="AG347" i="12"/>
  <c r="AH347" i="12"/>
  <c r="AH346" i="12" s="1"/>
  <c r="AH345" i="12" s="1"/>
  <c r="AH344" i="12" s="1"/>
  <c r="AH343" i="12" s="1"/>
  <c r="AI347" i="12"/>
  <c r="AI346" i="12" s="1"/>
  <c r="AI345" i="12" s="1"/>
  <c r="AI344" i="12" s="1"/>
  <c r="AI343" i="12" s="1"/>
  <c r="AJ347" i="12"/>
  <c r="AK347" i="12" s="1"/>
  <c r="AJ348" i="12"/>
  <c r="AK348" i="12" s="1"/>
  <c r="AJ349" i="12"/>
  <c r="AK349" i="12" s="1"/>
  <c r="AJ350" i="12"/>
  <c r="AK350" i="12" s="1"/>
  <c r="AE351" i="12"/>
  <c r="AJ351" i="12"/>
  <c r="AK351" i="12" s="1"/>
  <c r="AJ352" i="12"/>
  <c r="AK352" i="12" s="1"/>
  <c r="AE353" i="12"/>
  <c r="AJ353" i="12"/>
  <c r="AK353" i="12" s="1"/>
  <c r="AJ354" i="12"/>
  <c r="AK354" i="12"/>
  <c r="AJ355" i="12"/>
  <c r="AK355" i="12"/>
  <c r="I356" i="12"/>
  <c r="I354" i="12" s="1"/>
  <c r="AJ356" i="12"/>
  <c r="AK356" i="12"/>
  <c r="I357" i="12"/>
  <c r="M357" i="12"/>
  <c r="M356" i="12" s="1"/>
  <c r="Q357" i="12"/>
  <c r="Q356" i="12" s="1"/>
  <c r="Q354" i="12" s="1"/>
  <c r="Y357" i="12"/>
  <c r="Z357" i="12" s="1"/>
  <c r="AG357" i="12"/>
  <c r="AG356" i="12" s="1"/>
  <c r="AJ357" i="12"/>
  <c r="AK357" i="12" s="1"/>
  <c r="I358" i="12"/>
  <c r="J358" i="12"/>
  <c r="J357" i="12" s="1"/>
  <c r="K358" i="12"/>
  <c r="L358" i="12"/>
  <c r="M358" i="12"/>
  <c r="N358" i="12"/>
  <c r="N357" i="12" s="1"/>
  <c r="N356" i="12" s="1"/>
  <c r="N354" i="12" s="1"/>
  <c r="O358" i="12"/>
  <c r="O357" i="12" s="1"/>
  <c r="O356" i="12" s="1"/>
  <c r="O354" i="12" s="1"/>
  <c r="Q358" i="12"/>
  <c r="R358" i="12"/>
  <c r="R357" i="12" s="1"/>
  <c r="R356" i="12" s="1"/>
  <c r="R354" i="12" s="1"/>
  <c r="S358" i="12"/>
  <c r="S357" i="12" s="1"/>
  <c r="S356" i="12" s="1"/>
  <c r="S354" i="12" s="1"/>
  <c r="T358" i="12"/>
  <c r="U358" i="12"/>
  <c r="U357" i="12" s="1"/>
  <c r="U356" i="12" s="1"/>
  <c r="U354" i="12" s="1"/>
  <c r="V358" i="12"/>
  <c r="V357" i="12" s="1"/>
  <c r="V356" i="12" s="1"/>
  <c r="V354" i="12" s="1"/>
  <c r="W358" i="12"/>
  <c r="W357" i="12" s="1"/>
  <c r="W356" i="12" s="1"/>
  <c r="X358" i="12"/>
  <c r="X357" i="12" s="1"/>
  <c r="X356" i="12" s="1"/>
  <c r="Y358" i="12"/>
  <c r="Z358" i="12" s="1"/>
  <c r="AB358" i="12"/>
  <c r="AC358" i="12"/>
  <c r="AC357" i="12" s="1"/>
  <c r="AF358" i="12"/>
  <c r="AE358" i="12" s="1"/>
  <c r="AG358" i="12"/>
  <c r="AH358" i="12"/>
  <c r="AH357" i="12" s="1"/>
  <c r="AH356" i="12" s="1"/>
  <c r="AH355" i="12" s="1"/>
  <c r="AI358" i="12"/>
  <c r="AI357" i="12" s="1"/>
  <c r="AI356" i="12" s="1"/>
  <c r="AJ358" i="12"/>
  <c r="AK358" i="12" s="1"/>
  <c r="K359" i="12"/>
  <c r="L359" i="12"/>
  <c r="P359" i="12"/>
  <c r="Z359" i="12"/>
  <c r="AA359" i="12"/>
  <c r="AD359" i="12"/>
  <c r="AE359" i="12"/>
  <c r="AJ359" i="12"/>
  <c r="AK359" i="12"/>
  <c r="AJ360" i="12"/>
  <c r="AK360" i="12"/>
  <c r="AG361" i="12"/>
  <c r="AJ361" i="12"/>
  <c r="AK361" i="12" s="1"/>
  <c r="AJ362" i="12"/>
  <c r="AK362" i="12" s="1"/>
  <c r="S363" i="12"/>
  <c r="S362" i="12" s="1"/>
  <c r="S360" i="12" s="1"/>
  <c r="AB363" i="12"/>
  <c r="AB362" i="12" s="1"/>
  <c r="AJ363" i="12"/>
  <c r="AK363" i="12" s="1"/>
  <c r="I364" i="12"/>
  <c r="I363" i="12" s="1"/>
  <c r="I362" i="12" s="1"/>
  <c r="I360" i="12" s="1"/>
  <c r="J364" i="12"/>
  <c r="M364" i="12"/>
  <c r="M363" i="12" s="1"/>
  <c r="N364" i="12"/>
  <c r="N363" i="12" s="1"/>
  <c r="N362" i="12" s="1"/>
  <c r="N360" i="12" s="1"/>
  <c r="O364" i="12"/>
  <c r="O363" i="12" s="1"/>
  <c r="O362" i="12" s="1"/>
  <c r="O360" i="12" s="1"/>
  <c r="Q364" i="12"/>
  <c r="Q363" i="12" s="1"/>
  <c r="Q362" i="12" s="1"/>
  <c r="Q360" i="12" s="1"/>
  <c r="R364" i="12"/>
  <c r="R363" i="12" s="1"/>
  <c r="R362" i="12" s="1"/>
  <c r="R360" i="12" s="1"/>
  <c r="S364" i="12"/>
  <c r="T364" i="12"/>
  <c r="T363" i="12" s="1"/>
  <c r="T362" i="12" s="1"/>
  <c r="T360" i="12" s="1"/>
  <c r="U364" i="12"/>
  <c r="U363" i="12" s="1"/>
  <c r="U362" i="12" s="1"/>
  <c r="U360" i="12" s="1"/>
  <c r="V364" i="12"/>
  <c r="W364" i="12"/>
  <c r="W363" i="12" s="1"/>
  <c r="W362" i="12" s="1"/>
  <c r="X364" i="12"/>
  <c r="X363" i="12" s="1"/>
  <c r="X362" i="12" s="1"/>
  <c r="Y364" i="12"/>
  <c r="AB364" i="12"/>
  <c r="AC364" i="12"/>
  <c r="AC363" i="12" s="1"/>
  <c r="AD364" i="12"/>
  <c r="AG364" i="12"/>
  <c r="AG363" i="12" s="1"/>
  <c r="AG362" i="12" s="1"/>
  <c r="AG360" i="12" s="1"/>
  <c r="AH364" i="12"/>
  <c r="AH363" i="12" s="1"/>
  <c r="AH362" i="12" s="1"/>
  <c r="AI364" i="12"/>
  <c r="AI363" i="12" s="1"/>
  <c r="AI362" i="12" s="1"/>
  <c r="AJ364" i="12"/>
  <c r="AK364" i="12" s="1"/>
  <c r="K365" i="12"/>
  <c r="L365" i="12"/>
  <c r="P365" i="12"/>
  <c r="Z365" i="12"/>
  <c r="AA365" i="12"/>
  <c r="AD365" i="12"/>
  <c r="AF365" i="12"/>
  <c r="AF364" i="12" s="1"/>
  <c r="AJ365" i="12"/>
  <c r="AK365" i="12" s="1"/>
  <c r="AJ366" i="12"/>
  <c r="AK366" i="12" s="1"/>
  <c r="AJ367" i="12"/>
  <c r="AK367" i="12" s="1"/>
  <c r="AJ368" i="12"/>
  <c r="AK368" i="12" s="1"/>
  <c r="M369" i="12"/>
  <c r="N369" i="12"/>
  <c r="N368" i="12" s="1"/>
  <c r="U369" i="12"/>
  <c r="U368" i="12" s="1"/>
  <c r="V369" i="12"/>
  <c r="V368" i="12" s="1"/>
  <c r="V367" i="12" s="1"/>
  <c r="AG369" i="12"/>
  <c r="AG368" i="12" s="1"/>
  <c r="AH369" i="12"/>
  <c r="AH368" i="12" s="1"/>
  <c r="AJ369" i="12"/>
  <c r="AK369" i="12" s="1"/>
  <c r="I370" i="12"/>
  <c r="J370" i="12"/>
  <c r="M370" i="12"/>
  <c r="M366" i="12" s="1"/>
  <c r="N370" i="12"/>
  <c r="N366" i="12" s="1"/>
  <c r="O370" i="12"/>
  <c r="Q370" i="12"/>
  <c r="Q366" i="12" s="1"/>
  <c r="R370" i="12"/>
  <c r="R366" i="12" s="1"/>
  <c r="S370" i="12"/>
  <c r="S369" i="12" s="1"/>
  <c r="S368" i="12" s="1"/>
  <c r="T370" i="12"/>
  <c r="U370" i="12"/>
  <c r="U366" i="12" s="1"/>
  <c r="V370" i="12"/>
  <c r="V366" i="12" s="1"/>
  <c r="W370" i="12"/>
  <c r="W369" i="12" s="1"/>
  <c r="W368" i="12" s="1"/>
  <c r="W367" i="12" s="1"/>
  <c r="X370" i="12"/>
  <c r="Y370" i="12"/>
  <c r="Y366" i="12" s="1"/>
  <c r="AB370" i="12"/>
  <c r="AC370" i="12"/>
  <c r="AC369" i="12" s="1"/>
  <c r="AF370" i="12"/>
  <c r="AG370" i="12"/>
  <c r="AH370" i="12"/>
  <c r="AI370" i="12"/>
  <c r="AI369" i="12" s="1"/>
  <c r="AI368" i="12" s="1"/>
  <c r="AI366" i="12" s="1"/>
  <c r="AJ370" i="12"/>
  <c r="AK370" i="12" s="1"/>
  <c r="K371" i="12"/>
  <c r="L371" i="12"/>
  <c r="P371" i="12"/>
  <c r="Z371" i="12"/>
  <c r="AA371" i="12"/>
  <c r="AD371" i="12"/>
  <c r="AE371" i="12"/>
  <c r="AJ371" i="12"/>
  <c r="AK371" i="12" s="1"/>
  <c r="AJ372" i="12"/>
  <c r="AK372" i="12" s="1"/>
  <c r="K373" i="12"/>
  <c r="AE373" i="12"/>
  <c r="AJ373" i="12"/>
  <c r="AK373" i="12" s="1"/>
  <c r="AJ374" i="12"/>
  <c r="AK374" i="12" s="1"/>
  <c r="AJ375" i="12"/>
  <c r="AK375" i="12" s="1"/>
  <c r="AJ376" i="12"/>
  <c r="AK376" i="12" s="1"/>
  <c r="AJ377" i="12"/>
  <c r="AK377" i="12" s="1"/>
  <c r="AJ378" i="12"/>
  <c r="AK378" i="12" s="1"/>
  <c r="I379" i="12"/>
  <c r="J379" i="12"/>
  <c r="J378" i="12" s="1"/>
  <c r="M379" i="12"/>
  <c r="N379" i="12"/>
  <c r="O379" i="12"/>
  <c r="Q379" i="12"/>
  <c r="R379" i="12"/>
  <c r="S379" i="12"/>
  <c r="T379" i="12"/>
  <c r="U379" i="12"/>
  <c r="V379" i="12"/>
  <c r="W379" i="12"/>
  <c r="X379" i="12"/>
  <c r="Y379" i="12"/>
  <c r="AB379" i="12"/>
  <c r="AC379" i="12"/>
  <c r="AF379" i="12"/>
  <c r="AJ379" i="12"/>
  <c r="AK379" i="12"/>
  <c r="K380" i="12"/>
  <c r="L380" i="12"/>
  <c r="P380" i="12"/>
  <c r="Z380" i="12"/>
  <c r="AA380" i="12"/>
  <c r="AD380" i="12"/>
  <c r="AE380" i="12"/>
  <c r="AG380" i="12"/>
  <c r="AG379" i="12" s="1"/>
  <c r="AG378" i="12" s="1"/>
  <c r="AH380" i="12"/>
  <c r="AH379" i="12" s="1"/>
  <c r="AI380" i="12"/>
  <c r="AI379" i="12" s="1"/>
  <c r="AJ380" i="12"/>
  <c r="AK380" i="12"/>
  <c r="I381" i="12"/>
  <c r="J381" i="12"/>
  <c r="M381" i="12"/>
  <c r="N381" i="12"/>
  <c r="O381" i="12"/>
  <c r="Q381" i="12"/>
  <c r="R381" i="12"/>
  <c r="S381" i="12"/>
  <c r="T381" i="12"/>
  <c r="U381" i="12"/>
  <c r="V381" i="12"/>
  <c r="W381" i="12"/>
  <c r="X381" i="12"/>
  <c r="Y381" i="12"/>
  <c r="AB381" i="12"/>
  <c r="AA381" i="12" s="1"/>
  <c r="AC381" i="12"/>
  <c r="AF381" i="12"/>
  <c r="AG381" i="12"/>
  <c r="AH381" i="12"/>
  <c r="AI381" i="12"/>
  <c r="AJ381" i="12"/>
  <c r="AK381" i="12" s="1"/>
  <c r="K382" i="12"/>
  <c r="L382" i="12"/>
  <c r="P382" i="12"/>
  <c r="Z382" i="12"/>
  <c r="AA382" i="12"/>
  <c r="AD382" i="12"/>
  <c r="AE382" i="12"/>
  <c r="AJ382" i="12"/>
  <c r="AK382" i="12" s="1"/>
  <c r="I383" i="12"/>
  <c r="J383" i="12"/>
  <c r="K383" i="12" s="1"/>
  <c r="M383" i="12"/>
  <c r="L383" i="12" s="1"/>
  <c r="N383" i="12"/>
  <c r="O383" i="12"/>
  <c r="Q383" i="12"/>
  <c r="R383" i="12"/>
  <c r="S383" i="12"/>
  <c r="T383" i="12"/>
  <c r="U383" i="12"/>
  <c r="V383" i="12"/>
  <c r="AA383" i="12" s="1"/>
  <c r="W383" i="12"/>
  <c r="X383" i="12"/>
  <c r="Y383" i="12"/>
  <c r="Z383" i="12"/>
  <c r="AB383" i="12"/>
  <c r="AC383" i="12"/>
  <c r="AD383" i="12"/>
  <c r="AE383" i="12"/>
  <c r="AF383" i="12"/>
  <c r="AG383" i="12"/>
  <c r="AH383" i="12"/>
  <c r="AI383" i="12"/>
  <c r="AJ383" i="12"/>
  <c r="AK383" i="12" s="1"/>
  <c r="K384" i="12"/>
  <c r="L384" i="12"/>
  <c r="P384" i="12"/>
  <c r="Z384" i="12"/>
  <c r="AA384" i="12"/>
  <c r="AD384" i="12"/>
  <c r="AE384" i="12"/>
  <c r="AJ384" i="12"/>
  <c r="AK384" i="12"/>
  <c r="K385" i="12"/>
  <c r="L385" i="12"/>
  <c r="P385" i="12"/>
  <c r="Z385" i="12"/>
  <c r="AA385" i="12"/>
  <c r="AD385" i="12"/>
  <c r="AE385" i="12"/>
  <c r="AJ385" i="12"/>
  <c r="AK385" i="12" s="1"/>
  <c r="W386" i="12"/>
  <c r="AJ386" i="12"/>
  <c r="AK386" i="12" s="1"/>
  <c r="I387" i="12"/>
  <c r="J387" i="12"/>
  <c r="M387" i="12"/>
  <c r="M386" i="12" s="1"/>
  <c r="N387" i="12"/>
  <c r="O387" i="12"/>
  <c r="Q387" i="12"/>
  <c r="R387" i="12"/>
  <c r="S387" i="12"/>
  <c r="T387" i="12"/>
  <c r="U387" i="12"/>
  <c r="V387" i="12"/>
  <c r="W387" i="12"/>
  <c r="X387" i="12"/>
  <c r="Y387" i="12"/>
  <c r="Z387" i="12"/>
  <c r="AB387" i="12"/>
  <c r="AC387" i="12"/>
  <c r="AD387" i="12"/>
  <c r="AE387" i="12"/>
  <c r="AF387" i="12"/>
  <c r="AG387" i="12"/>
  <c r="AH387" i="12"/>
  <c r="AI387" i="12"/>
  <c r="AJ387" i="12"/>
  <c r="AK387" i="12" s="1"/>
  <c r="K388" i="12"/>
  <c r="L388" i="12"/>
  <c r="P388" i="12"/>
  <c r="Z388" i="12"/>
  <c r="AA388" i="12"/>
  <c r="AD388" i="12"/>
  <c r="AE388" i="12"/>
  <c r="AJ388" i="12"/>
  <c r="AK388" i="12"/>
  <c r="K389" i="12"/>
  <c r="L389" i="12"/>
  <c r="P389" i="12"/>
  <c r="Z389" i="12"/>
  <c r="AA389" i="12"/>
  <c r="AD389" i="12"/>
  <c r="AE389" i="12"/>
  <c r="AJ389" i="12"/>
  <c r="AK389" i="12" s="1"/>
  <c r="K390" i="12"/>
  <c r="L390" i="12"/>
  <c r="P390" i="12"/>
  <c r="Z390" i="12"/>
  <c r="AA390" i="12"/>
  <c r="AD390" i="12"/>
  <c r="AE390" i="12"/>
  <c r="AJ390" i="12"/>
  <c r="AK390" i="12" s="1"/>
  <c r="I391" i="12"/>
  <c r="J391" i="12"/>
  <c r="M391" i="12"/>
  <c r="N391" i="12"/>
  <c r="O391" i="12"/>
  <c r="Q391" i="12"/>
  <c r="R391" i="12"/>
  <c r="S391" i="12"/>
  <c r="T391" i="12"/>
  <c r="U391" i="12"/>
  <c r="V391" i="12"/>
  <c r="W391" i="12"/>
  <c r="X391" i="12"/>
  <c r="Y391" i="12"/>
  <c r="Z391" i="12" s="1"/>
  <c r="AB391" i="12"/>
  <c r="AC391" i="12"/>
  <c r="AD391" i="12" s="1"/>
  <c r="AF391" i="12"/>
  <c r="AE391" i="12" s="1"/>
  <c r="AG391" i="12"/>
  <c r="AH391" i="12"/>
  <c r="AI391" i="12"/>
  <c r="AJ391" i="12"/>
  <c r="AK391" i="12"/>
  <c r="K392" i="12"/>
  <c r="L392" i="12"/>
  <c r="P392" i="12"/>
  <c r="Z392" i="12"/>
  <c r="AA392" i="12"/>
  <c r="AD392" i="12"/>
  <c r="AE392" i="12"/>
  <c r="AJ392" i="12"/>
  <c r="AK392" i="12" s="1"/>
  <c r="I393" i="12"/>
  <c r="J393" i="12"/>
  <c r="L393" i="12"/>
  <c r="M393" i="12"/>
  <c r="N393" i="12"/>
  <c r="O393" i="12"/>
  <c r="Q393" i="12"/>
  <c r="R393" i="12"/>
  <c r="S393" i="12"/>
  <c r="T393" i="12"/>
  <c r="U393" i="12"/>
  <c r="V393" i="12"/>
  <c r="W393" i="12"/>
  <c r="X393" i="12"/>
  <c r="Y393" i="12"/>
  <c r="Z393" i="12" s="1"/>
  <c r="AB393" i="12"/>
  <c r="AC393" i="12"/>
  <c r="AF393" i="12"/>
  <c r="AG393" i="12"/>
  <c r="AH393" i="12"/>
  <c r="AI393" i="12"/>
  <c r="AJ393" i="12"/>
  <c r="AK393" i="12" s="1"/>
  <c r="K394" i="12"/>
  <c r="L394" i="12"/>
  <c r="P394" i="12"/>
  <c r="Z394" i="12"/>
  <c r="AA394" i="12"/>
  <c r="AD394" i="12"/>
  <c r="AE394" i="12"/>
  <c r="AJ394" i="12"/>
  <c r="AK394" i="12" s="1"/>
  <c r="P395" i="12"/>
  <c r="Z395" i="12"/>
  <c r="AA395" i="12"/>
  <c r="AD395" i="12"/>
  <c r="AE395" i="12"/>
  <c r="AJ395" i="12"/>
  <c r="AK395" i="12" s="1"/>
  <c r="I396" i="12"/>
  <c r="J396" i="12"/>
  <c r="K396" i="12"/>
  <c r="L396" i="12"/>
  <c r="M396" i="12"/>
  <c r="N396" i="12"/>
  <c r="O396" i="12"/>
  <c r="O386" i="12" s="1"/>
  <c r="Q396" i="12"/>
  <c r="R396" i="12"/>
  <c r="S396" i="12"/>
  <c r="S386" i="12" s="1"/>
  <c r="T396" i="12"/>
  <c r="P396" i="12" s="1"/>
  <c r="U396" i="12"/>
  <c r="V396" i="12"/>
  <c r="W396" i="12"/>
  <c r="X396" i="12"/>
  <c r="Y396" i="12"/>
  <c r="Z396" i="12" s="1"/>
  <c r="AB396" i="12"/>
  <c r="AC396" i="12"/>
  <c r="AF396" i="12"/>
  <c r="AG396" i="12"/>
  <c r="AH396" i="12"/>
  <c r="AI396" i="12"/>
  <c r="AJ396" i="12"/>
  <c r="AK396" i="12" s="1"/>
  <c r="P397" i="12"/>
  <c r="Z397" i="12"/>
  <c r="AA397" i="12"/>
  <c r="AD397" i="12"/>
  <c r="AE397" i="12"/>
  <c r="AJ397" i="12"/>
  <c r="AK397" i="12" s="1"/>
  <c r="K398" i="12"/>
  <c r="L398" i="12"/>
  <c r="P398" i="12"/>
  <c r="Z398" i="12"/>
  <c r="AA398" i="12"/>
  <c r="AD398" i="12"/>
  <c r="AE398" i="12"/>
  <c r="AJ398" i="12"/>
  <c r="AK398" i="12" s="1"/>
  <c r="AJ399" i="12"/>
  <c r="AK399" i="12" s="1"/>
  <c r="AJ400" i="12"/>
  <c r="AK400" i="12" s="1"/>
  <c r="AJ401" i="12"/>
  <c r="AK401" i="12" s="1"/>
  <c r="R402" i="12"/>
  <c r="R401" i="12" s="1"/>
  <c r="R399" i="12" s="1"/>
  <c r="AH402" i="12"/>
  <c r="AH401" i="12" s="1"/>
  <c r="AJ402" i="12"/>
  <c r="AK402" i="12"/>
  <c r="I403" i="12"/>
  <c r="I402" i="12" s="1"/>
  <c r="I401" i="12" s="1"/>
  <c r="I399" i="12" s="1"/>
  <c r="J403" i="12"/>
  <c r="M403" i="12"/>
  <c r="O403" i="12"/>
  <c r="O402" i="12" s="1"/>
  <c r="O401" i="12" s="1"/>
  <c r="O399" i="12" s="1"/>
  <c r="Q403" i="12"/>
  <c r="Q402" i="12" s="1"/>
  <c r="Q401" i="12" s="1"/>
  <c r="Q399" i="12" s="1"/>
  <c r="R403" i="12"/>
  <c r="S403" i="12"/>
  <c r="S402" i="12" s="1"/>
  <c r="S401" i="12" s="1"/>
  <c r="S399" i="12" s="1"/>
  <c r="T403" i="12"/>
  <c r="P403" i="12" s="1"/>
  <c r="U403" i="12"/>
  <c r="U402" i="12" s="1"/>
  <c r="U401" i="12" s="1"/>
  <c r="V403" i="12"/>
  <c r="V402" i="12" s="1"/>
  <c r="V401" i="12" s="1"/>
  <c r="V400" i="12" s="1"/>
  <c r="W403" i="12"/>
  <c r="W402" i="12" s="1"/>
  <c r="W401" i="12" s="1"/>
  <c r="X403" i="12"/>
  <c r="X402" i="12" s="1"/>
  <c r="X401" i="12" s="1"/>
  <c r="Y403" i="12"/>
  <c r="AB403" i="12"/>
  <c r="AB402" i="12" s="1"/>
  <c r="AC403" i="12"/>
  <c r="AF403" i="12"/>
  <c r="AF402" i="12" s="1"/>
  <c r="AG403" i="12"/>
  <c r="AG402" i="12" s="1"/>
  <c r="AG401" i="12" s="1"/>
  <c r="AH403" i="12"/>
  <c r="AI403" i="12"/>
  <c r="AI402" i="12" s="1"/>
  <c r="AI401" i="12" s="1"/>
  <c r="AJ403" i="12"/>
  <c r="AK403" i="12" s="1"/>
  <c r="K404" i="12"/>
  <c r="L404" i="12"/>
  <c r="N404" i="12"/>
  <c r="N403" i="12" s="1"/>
  <c r="N402" i="12" s="1"/>
  <c r="N401" i="12" s="1"/>
  <c r="N399" i="12" s="1"/>
  <c r="Q404" i="12"/>
  <c r="T404" i="12"/>
  <c r="P404" i="12" s="1"/>
  <c r="Z404" i="12"/>
  <c r="AA404" i="12"/>
  <c r="AD404" i="12"/>
  <c r="AE404" i="12"/>
  <c r="AJ404" i="12"/>
  <c r="AK404" i="12" s="1"/>
  <c r="AJ405" i="12"/>
  <c r="AK405" i="12" s="1"/>
  <c r="AE406" i="12"/>
  <c r="AJ406" i="12"/>
  <c r="AK406" i="12" s="1"/>
  <c r="AJ407" i="12"/>
  <c r="AK407" i="12" s="1"/>
  <c r="AJ408" i="12"/>
  <c r="AK408" i="12" s="1"/>
  <c r="AJ409" i="12"/>
  <c r="AK409" i="12" s="1"/>
  <c r="AJ410" i="12"/>
  <c r="AK410" i="12" s="1"/>
  <c r="O411" i="12"/>
  <c r="AJ411" i="12"/>
  <c r="AK411" i="12" s="1"/>
  <c r="I412" i="12"/>
  <c r="J412" i="12"/>
  <c r="M412" i="12"/>
  <c r="N412" i="12"/>
  <c r="O412" i="12"/>
  <c r="Q412" i="12"/>
  <c r="R412" i="12"/>
  <c r="S412" i="12"/>
  <c r="S411" i="12" s="1"/>
  <c r="T412" i="12"/>
  <c r="U412" i="12"/>
  <c r="V412" i="12"/>
  <c r="W412" i="12"/>
  <c r="W411" i="12" s="1"/>
  <c r="X412" i="12"/>
  <c r="Y412" i="12"/>
  <c r="Z412" i="12"/>
  <c r="AC412" i="12"/>
  <c r="AC411" i="12" s="1"/>
  <c r="AG412" i="12"/>
  <c r="AH412" i="12"/>
  <c r="AI412" i="12"/>
  <c r="AJ412" i="12"/>
  <c r="AK412" i="12" s="1"/>
  <c r="K413" i="12"/>
  <c r="L413" i="12"/>
  <c r="P413" i="12"/>
  <c r="Z413" i="12"/>
  <c r="AB413" i="12"/>
  <c r="AB412" i="12" s="1"/>
  <c r="AF413" i="12"/>
  <c r="AJ413" i="12"/>
  <c r="AK413" i="12" s="1"/>
  <c r="I414" i="12"/>
  <c r="J414" i="12"/>
  <c r="K414" i="12" s="1"/>
  <c r="M414" i="12"/>
  <c r="L414" i="12" s="1"/>
  <c r="N414" i="12"/>
  <c r="O414" i="12"/>
  <c r="Q414" i="12"/>
  <c r="R414" i="12"/>
  <c r="S414" i="12"/>
  <c r="T414" i="12"/>
  <c r="U414" i="12"/>
  <c r="V414" i="12"/>
  <c r="AA414" i="12" s="1"/>
  <c r="W414" i="12"/>
  <c r="X414" i="12"/>
  <c r="Y414" i="12"/>
  <c r="Z414" i="12"/>
  <c r="AB414" i="12"/>
  <c r="AC414" i="12"/>
  <c r="AD414" i="12"/>
  <c r="AE414" i="12"/>
  <c r="AF414" i="12"/>
  <c r="AG414" i="12"/>
  <c r="AH414" i="12"/>
  <c r="AI414" i="12"/>
  <c r="AJ414" i="12"/>
  <c r="AK414" i="12" s="1"/>
  <c r="K415" i="12"/>
  <c r="L415" i="12"/>
  <c r="P415" i="12"/>
  <c r="Z415" i="12"/>
  <c r="AA415" i="12"/>
  <c r="AD415" i="12"/>
  <c r="AE415" i="12"/>
  <c r="AJ415" i="12"/>
  <c r="AK415" i="12"/>
  <c r="I416" i="12"/>
  <c r="K416" i="12" s="1"/>
  <c r="J416" i="12"/>
  <c r="M416" i="12"/>
  <c r="O416" i="12"/>
  <c r="R416" i="12"/>
  <c r="S416" i="12"/>
  <c r="T416" i="12"/>
  <c r="T411" i="12" s="1"/>
  <c r="U416" i="12"/>
  <c r="V416" i="12"/>
  <c r="W416" i="12"/>
  <c r="X416" i="12"/>
  <c r="X411" i="12" s="1"/>
  <c r="Y416" i="12"/>
  <c r="Z416" i="12" s="1"/>
  <c r="AC416" i="12"/>
  <c r="AG416" i="12"/>
  <c r="AH416" i="12"/>
  <c r="AI416" i="12"/>
  <c r="AJ416" i="12"/>
  <c r="AK416" i="12" s="1"/>
  <c r="K417" i="12"/>
  <c r="L417" i="12"/>
  <c r="N417" i="12"/>
  <c r="Q417" i="12"/>
  <c r="Q416" i="12" s="1"/>
  <c r="Z417" i="12"/>
  <c r="AA417" i="12"/>
  <c r="AB417" i="12"/>
  <c r="AD417" i="12" s="1"/>
  <c r="AF417" i="12"/>
  <c r="AE417" i="12" s="1"/>
  <c r="AJ417" i="12"/>
  <c r="AK417" i="12" s="1"/>
  <c r="K418" i="12"/>
  <c r="L418" i="12"/>
  <c r="P418" i="12"/>
  <c r="Z418" i="12"/>
  <c r="AA418" i="12"/>
  <c r="AD418" i="12"/>
  <c r="AE418" i="12"/>
  <c r="AJ418" i="12"/>
  <c r="AK418" i="12" s="1"/>
  <c r="AJ419" i="12"/>
  <c r="AK419" i="12"/>
  <c r="I420" i="12"/>
  <c r="K420" i="12" s="1"/>
  <c r="J420" i="12"/>
  <c r="M420" i="12"/>
  <c r="O420" i="12"/>
  <c r="O419" i="12" s="1"/>
  <c r="R420" i="12"/>
  <c r="S420" i="12"/>
  <c r="T420" i="12"/>
  <c r="U420" i="12"/>
  <c r="V420" i="12"/>
  <c r="W420" i="12"/>
  <c r="X420" i="12"/>
  <c r="Y420" i="12"/>
  <c r="AB420" i="12"/>
  <c r="AC420" i="12"/>
  <c r="AF420" i="12"/>
  <c r="AG420" i="12"/>
  <c r="AH420" i="12"/>
  <c r="AI420" i="12"/>
  <c r="AJ420" i="12"/>
  <c r="AK420" i="12" s="1"/>
  <c r="K421" i="12"/>
  <c r="L421" i="12"/>
  <c r="P421" i="12"/>
  <c r="Z421" i="12"/>
  <c r="AA421" i="12"/>
  <c r="AD421" i="12"/>
  <c r="AE421" i="12"/>
  <c r="AJ421" i="12"/>
  <c r="AK421" i="12" s="1"/>
  <c r="K422" i="12"/>
  <c r="L422" i="12"/>
  <c r="P422" i="12"/>
  <c r="Z422" i="12"/>
  <c r="AA422" i="12"/>
  <c r="AD422" i="12"/>
  <c r="AE422" i="12"/>
  <c r="AJ422" i="12"/>
  <c r="AK422" i="12"/>
  <c r="K423" i="12"/>
  <c r="L423" i="12"/>
  <c r="N423" i="12"/>
  <c r="N420" i="12" s="1"/>
  <c r="P423" i="12"/>
  <c r="Q423" i="12"/>
  <c r="Q420" i="12" s="1"/>
  <c r="Z423" i="12"/>
  <c r="AA423" i="12"/>
  <c r="AD423" i="12"/>
  <c r="AE423" i="12"/>
  <c r="AJ423" i="12"/>
  <c r="AK423" i="12" s="1"/>
  <c r="I424" i="12"/>
  <c r="J424" i="12"/>
  <c r="M424" i="12"/>
  <c r="N424" i="12"/>
  <c r="O424" i="12"/>
  <c r="Q424" i="12"/>
  <c r="R424" i="12"/>
  <c r="R419" i="12" s="1"/>
  <c r="S424" i="12"/>
  <c r="T424" i="12"/>
  <c r="P424" i="12" s="1"/>
  <c r="U424" i="12"/>
  <c r="V424" i="12"/>
  <c r="W424" i="12"/>
  <c r="X424" i="12"/>
  <c r="Y424" i="12"/>
  <c r="Z424" i="12" s="1"/>
  <c r="AB424" i="12"/>
  <c r="AC424" i="12"/>
  <c r="AD424" i="12"/>
  <c r="AE424" i="12"/>
  <c r="AF424" i="12"/>
  <c r="AG424" i="12"/>
  <c r="AH424" i="12"/>
  <c r="AI424" i="12"/>
  <c r="AJ424" i="12"/>
  <c r="AK424" i="12"/>
  <c r="K425" i="12"/>
  <c r="L425" i="12"/>
  <c r="P425" i="12"/>
  <c r="Z425" i="12"/>
  <c r="AA425" i="12"/>
  <c r="AD425" i="12"/>
  <c r="AE425" i="12"/>
  <c r="AJ425" i="12"/>
  <c r="AK425" i="12"/>
  <c r="K426" i="12"/>
  <c r="L426" i="12"/>
  <c r="P426" i="12"/>
  <c r="Z426" i="12"/>
  <c r="AA426" i="12"/>
  <c r="AD426" i="12"/>
  <c r="AE426" i="12"/>
  <c r="AJ426" i="12"/>
  <c r="AK426" i="12" s="1"/>
  <c r="K427" i="12"/>
  <c r="L427" i="12"/>
  <c r="P427" i="12"/>
  <c r="Z427" i="12"/>
  <c r="AA427" i="12"/>
  <c r="AD427" i="12"/>
  <c r="AE427" i="12"/>
  <c r="AJ427" i="12"/>
  <c r="AK427" i="12" s="1"/>
  <c r="J428" i="12"/>
  <c r="M428" i="12"/>
  <c r="N428" i="12"/>
  <c r="O428" i="12"/>
  <c r="Q428" i="12"/>
  <c r="R428" i="12"/>
  <c r="S428" i="12"/>
  <c r="T428" i="12"/>
  <c r="U428" i="12"/>
  <c r="W428" i="12"/>
  <c r="X428" i="12"/>
  <c r="Y428" i="12"/>
  <c r="AB428" i="12"/>
  <c r="AC428" i="12"/>
  <c r="AI428" i="12"/>
  <c r="AJ428" i="12"/>
  <c r="AK428" i="12" s="1"/>
  <c r="K429" i="12"/>
  <c r="L429" i="12"/>
  <c r="P429" i="12"/>
  <c r="Z429" i="12"/>
  <c r="AA429" i="12"/>
  <c r="AD429" i="12"/>
  <c r="AE429" i="12"/>
  <c r="AJ429" i="12"/>
  <c r="AK429" i="12" s="1"/>
  <c r="I430" i="12"/>
  <c r="I428" i="12" s="1"/>
  <c r="I419" i="12" s="1"/>
  <c r="P430" i="12"/>
  <c r="V430" i="12"/>
  <c r="AA430" i="12" s="1"/>
  <c r="AD430" i="12"/>
  <c r="AE430" i="12"/>
  <c r="AG430" i="12"/>
  <c r="AJ430" i="12"/>
  <c r="AK430" i="12" s="1"/>
  <c r="K431" i="12"/>
  <c r="L431" i="12"/>
  <c r="P431" i="12"/>
  <c r="Z431" i="12"/>
  <c r="AA431" i="12"/>
  <c r="AD431" i="12"/>
  <c r="AE431" i="12"/>
  <c r="AJ431" i="12"/>
  <c r="AK431" i="12" s="1"/>
  <c r="I432" i="12"/>
  <c r="L432" i="12" s="1"/>
  <c r="K432" i="12"/>
  <c r="P432" i="12"/>
  <c r="Z432" i="12"/>
  <c r="AA432" i="12"/>
  <c r="AD432" i="12"/>
  <c r="AE432" i="12"/>
  <c r="AJ432" i="12"/>
  <c r="AK432" i="12"/>
  <c r="K433" i="12"/>
  <c r="L433" i="12"/>
  <c r="P433" i="12"/>
  <c r="Z433" i="12"/>
  <c r="AA433" i="12"/>
  <c r="AD433" i="12"/>
  <c r="AF433" i="12"/>
  <c r="AF428" i="12" s="1"/>
  <c r="AG433" i="12"/>
  <c r="AH433" i="12"/>
  <c r="AH428" i="12" s="1"/>
  <c r="AI433" i="12"/>
  <c r="AJ433" i="12"/>
  <c r="AK433" i="12"/>
  <c r="K434" i="12"/>
  <c r="L434" i="12"/>
  <c r="P434" i="12"/>
  <c r="Z434" i="12"/>
  <c r="AA434" i="12"/>
  <c r="AD434" i="12"/>
  <c r="AE434" i="12"/>
  <c r="AJ434" i="12"/>
  <c r="AK434" i="12" s="1"/>
  <c r="K435" i="12"/>
  <c r="L435" i="12"/>
  <c r="P435" i="12"/>
  <c r="Z435" i="12"/>
  <c r="AA435" i="12"/>
  <c r="AD435" i="12"/>
  <c r="AE435" i="12"/>
  <c r="AG435" i="12"/>
  <c r="AH435" i="12"/>
  <c r="AI435" i="12"/>
  <c r="AJ435" i="12"/>
  <c r="AK435" i="12" s="1"/>
  <c r="K436" i="12"/>
  <c r="L436" i="12"/>
  <c r="P436" i="12"/>
  <c r="Z436" i="12"/>
  <c r="AA436" i="12"/>
  <c r="AD436" i="12"/>
  <c r="AE436" i="12"/>
  <c r="AJ436" i="12"/>
  <c r="AK436" i="12" s="1"/>
  <c r="I437" i="12"/>
  <c r="J437" i="12"/>
  <c r="M437" i="12"/>
  <c r="N437" i="12"/>
  <c r="O437" i="12"/>
  <c r="Q437" i="12"/>
  <c r="R437" i="12"/>
  <c r="S437" i="12"/>
  <c r="T437" i="12"/>
  <c r="U437" i="12"/>
  <c r="V437" i="12"/>
  <c r="W437" i="12"/>
  <c r="X437" i="12"/>
  <c r="Y437" i="12"/>
  <c r="Z437" i="12" s="1"/>
  <c r="AB437" i="12"/>
  <c r="AC437" i="12"/>
  <c r="AG437" i="12"/>
  <c r="AH437" i="12"/>
  <c r="AI437" i="12"/>
  <c r="AJ437" i="12"/>
  <c r="AK437" i="12" s="1"/>
  <c r="K438" i="12"/>
  <c r="L438" i="12"/>
  <c r="P438" i="12"/>
  <c r="Z438" i="12"/>
  <c r="AA438" i="12"/>
  <c r="AD438" i="12"/>
  <c r="AF438" i="12"/>
  <c r="AF437" i="12" s="1"/>
  <c r="AJ438" i="12"/>
  <c r="AK438" i="12" s="1"/>
  <c r="K439" i="12"/>
  <c r="L439" i="12"/>
  <c r="P439" i="12"/>
  <c r="Z439" i="12"/>
  <c r="AA439" i="12"/>
  <c r="AD439" i="12"/>
  <c r="AE439" i="12"/>
  <c r="AJ439" i="12"/>
  <c r="AK439" i="12" s="1"/>
  <c r="K440" i="12"/>
  <c r="L440" i="12"/>
  <c r="P440" i="12"/>
  <c r="Z440" i="12"/>
  <c r="AA440" i="12"/>
  <c r="AD440" i="12"/>
  <c r="AE440" i="12"/>
  <c r="AJ440" i="12"/>
  <c r="AK440" i="12"/>
  <c r="I441" i="12"/>
  <c r="N441" i="12"/>
  <c r="Y441" i="12"/>
  <c r="AC441" i="12"/>
  <c r="AJ441" i="12"/>
  <c r="AK441" i="12" s="1"/>
  <c r="I442" i="12"/>
  <c r="J442" i="12"/>
  <c r="J441" i="12" s="1"/>
  <c r="M442" i="12"/>
  <c r="M441" i="12" s="1"/>
  <c r="N442" i="12"/>
  <c r="O442" i="12"/>
  <c r="O441" i="12" s="1"/>
  <c r="Q442" i="12"/>
  <c r="Q441" i="12" s="1"/>
  <c r="R442" i="12"/>
  <c r="R441" i="12" s="1"/>
  <c r="S442" i="12"/>
  <c r="S441" i="12" s="1"/>
  <c r="T442" i="12"/>
  <c r="T441" i="12" s="1"/>
  <c r="P441" i="12" s="1"/>
  <c r="U442" i="12"/>
  <c r="U441" i="12" s="1"/>
  <c r="V442" i="12"/>
  <c r="V441" i="12" s="1"/>
  <c r="W442" i="12"/>
  <c r="W441" i="12" s="1"/>
  <c r="X442" i="12"/>
  <c r="X441" i="12" s="1"/>
  <c r="Y442" i="12"/>
  <c r="AB442" i="12"/>
  <c r="AC442" i="12"/>
  <c r="AG442" i="12"/>
  <c r="AG441" i="12" s="1"/>
  <c r="AH442" i="12"/>
  <c r="AH441" i="12" s="1"/>
  <c r="AI442" i="12"/>
  <c r="AI441" i="12" s="1"/>
  <c r="AJ442" i="12"/>
  <c r="AK442" i="12" s="1"/>
  <c r="K443" i="12"/>
  <c r="L443" i="12"/>
  <c r="P443" i="12"/>
  <c r="Z443" i="12"/>
  <c r="AA443" i="12"/>
  <c r="AD443" i="12"/>
  <c r="AE443" i="12"/>
  <c r="AJ443" i="12"/>
  <c r="AK443" i="12" s="1"/>
  <c r="K444" i="12"/>
  <c r="L444" i="12"/>
  <c r="P444" i="12"/>
  <c r="Z444" i="12"/>
  <c r="AA444" i="12"/>
  <c r="AD444" i="12"/>
  <c r="AE444" i="12"/>
  <c r="AJ444" i="12"/>
  <c r="AK444" i="12" s="1"/>
  <c r="K445" i="12"/>
  <c r="L445" i="12"/>
  <c r="P445" i="12"/>
  <c r="Z445" i="12"/>
  <c r="AA445" i="12"/>
  <c r="AD445" i="12"/>
  <c r="AF445" i="12"/>
  <c r="AE445" i="12" s="1"/>
  <c r="AJ445" i="12"/>
  <c r="AK445" i="12" s="1"/>
  <c r="T446" i="12"/>
  <c r="W446" i="12"/>
  <c r="AF446" i="12"/>
  <c r="AE446" i="12" s="1"/>
  <c r="AJ446" i="12"/>
  <c r="AK446" i="12" s="1"/>
  <c r="I447" i="12"/>
  <c r="I446" i="12" s="1"/>
  <c r="J447" i="12"/>
  <c r="M447" i="12"/>
  <c r="M446" i="12" s="1"/>
  <c r="N447" i="12"/>
  <c r="N446" i="12" s="1"/>
  <c r="O447" i="12"/>
  <c r="O446" i="12" s="1"/>
  <c r="Q447" i="12"/>
  <c r="Q446" i="12" s="1"/>
  <c r="R447" i="12"/>
  <c r="R446" i="12" s="1"/>
  <c r="S447" i="12"/>
  <c r="S446" i="12" s="1"/>
  <c r="T447" i="12"/>
  <c r="U447" i="12"/>
  <c r="U446" i="12" s="1"/>
  <c r="V447" i="12"/>
  <c r="W447" i="12"/>
  <c r="X447" i="12"/>
  <c r="X446" i="12" s="1"/>
  <c r="Y447" i="12"/>
  <c r="AB447" i="12"/>
  <c r="AB446" i="12" s="1"/>
  <c r="AC447" i="12"/>
  <c r="AC446" i="12" s="1"/>
  <c r="AD446" i="12" s="1"/>
  <c r="AD447" i="12"/>
  <c r="AE447" i="12"/>
  <c r="AF447" i="12"/>
  <c r="AG447" i="12"/>
  <c r="AG446" i="12" s="1"/>
  <c r="AH447" i="12"/>
  <c r="AH446" i="12" s="1"/>
  <c r="AI447" i="12"/>
  <c r="AI446" i="12" s="1"/>
  <c r="AJ447" i="12"/>
  <c r="AK447" i="12"/>
  <c r="K448" i="12"/>
  <c r="L448" i="12"/>
  <c r="P448" i="12"/>
  <c r="Z448" i="12"/>
  <c r="AA448" i="12"/>
  <c r="AD448" i="12"/>
  <c r="AE448" i="12"/>
  <c r="AJ448" i="12"/>
  <c r="AK448" i="12"/>
  <c r="AJ449" i="12"/>
  <c r="AK449" i="12" s="1"/>
  <c r="AJ450" i="12"/>
  <c r="AK450" i="12"/>
  <c r="I451" i="12"/>
  <c r="I449" i="12" s="1"/>
  <c r="AG451" i="12"/>
  <c r="AJ451" i="12"/>
  <c r="AK451" i="12" s="1"/>
  <c r="M452" i="12"/>
  <c r="Q452" i="12"/>
  <c r="Q451" i="12" s="1"/>
  <c r="Q449" i="12" s="1"/>
  <c r="U452" i="12"/>
  <c r="U451" i="12" s="1"/>
  <c r="X452" i="12"/>
  <c r="X451" i="12" s="1"/>
  <c r="Y452" i="12"/>
  <c r="Y451" i="12" s="1"/>
  <c r="AG452" i="12"/>
  <c r="AJ452" i="12"/>
  <c r="AK452" i="12" s="1"/>
  <c r="I453" i="12"/>
  <c r="I452" i="12" s="1"/>
  <c r="J453" i="12"/>
  <c r="J452" i="12" s="1"/>
  <c r="K453" i="12"/>
  <c r="M453" i="12"/>
  <c r="L453" i="12" s="1"/>
  <c r="N453" i="12"/>
  <c r="N452" i="12" s="1"/>
  <c r="N451" i="12" s="1"/>
  <c r="N449" i="12" s="1"/>
  <c r="O453" i="12"/>
  <c r="O452" i="12" s="1"/>
  <c r="O451" i="12" s="1"/>
  <c r="O449" i="12" s="1"/>
  <c r="Q453" i="12"/>
  <c r="R453" i="12"/>
  <c r="R452" i="12" s="1"/>
  <c r="R451" i="12" s="1"/>
  <c r="R449" i="12" s="1"/>
  <c r="S453" i="12"/>
  <c r="S452" i="12" s="1"/>
  <c r="S451" i="12" s="1"/>
  <c r="S449" i="12" s="1"/>
  <c r="T453" i="12"/>
  <c r="U453" i="12"/>
  <c r="V453" i="12"/>
  <c r="W453" i="12"/>
  <c r="W452" i="12" s="1"/>
  <c r="W451" i="12" s="1"/>
  <c r="X453" i="12"/>
  <c r="Y453" i="12"/>
  <c r="Z453" i="12"/>
  <c r="AB453" i="12"/>
  <c r="AC453" i="12"/>
  <c r="AG453" i="12"/>
  <c r="AH453" i="12"/>
  <c r="AI453" i="12"/>
  <c r="AJ453" i="12"/>
  <c r="AK453" i="12" s="1"/>
  <c r="K454" i="12"/>
  <c r="L454" i="12"/>
  <c r="P454" i="12"/>
  <c r="Z454" i="12"/>
  <c r="AA454" i="12"/>
  <c r="AD454" i="12"/>
  <c r="AE454" i="12"/>
  <c r="AF454" i="12"/>
  <c r="AF453" i="12" s="1"/>
  <c r="AF452" i="12" s="1"/>
  <c r="AJ454" i="12"/>
  <c r="AK454" i="12" s="1"/>
  <c r="K455" i="12"/>
  <c r="L455" i="12"/>
  <c r="P455" i="12"/>
  <c r="Z455" i="12"/>
  <c r="AA455" i="12"/>
  <c r="AD455" i="12"/>
  <c r="AE455" i="12"/>
  <c r="AJ455" i="12"/>
  <c r="AK455" i="12" s="1"/>
  <c r="V456" i="12"/>
  <c r="AA456" i="12" s="1"/>
  <c r="Y456" i="12"/>
  <c r="AB456" i="12"/>
  <c r="AC456" i="12"/>
  <c r="AC452" i="12" s="1"/>
  <c r="AC451" i="12" s="1"/>
  <c r="AE456" i="12"/>
  <c r="AF456" i="12"/>
  <c r="AG456" i="12"/>
  <c r="AH456" i="12"/>
  <c r="AI456" i="12"/>
  <c r="AJ456" i="12"/>
  <c r="AK456" i="12" s="1"/>
  <c r="AA457" i="12"/>
  <c r="AD457" i="12"/>
  <c r="AE457" i="12"/>
  <c r="AJ457" i="12"/>
  <c r="AK457" i="12" s="1"/>
  <c r="AJ458" i="12"/>
  <c r="AK458" i="12"/>
  <c r="AJ459" i="12"/>
  <c r="AK459" i="12" s="1"/>
  <c r="AJ460" i="12"/>
  <c r="AK460" i="12" s="1"/>
  <c r="O461" i="12"/>
  <c r="O460" i="12" s="1"/>
  <c r="O458" i="12" s="1"/>
  <c r="W461" i="12"/>
  <c r="W460" i="12" s="1"/>
  <c r="AJ461" i="12"/>
  <c r="AK461" i="12"/>
  <c r="I462" i="12"/>
  <c r="I461" i="12" s="1"/>
  <c r="I460" i="12" s="1"/>
  <c r="I458" i="12" s="1"/>
  <c r="J462" i="12"/>
  <c r="J461" i="12" s="1"/>
  <c r="J460" i="12" s="1"/>
  <c r="J458" i="12" s="1"/>
  <c r="M462" i="12"/>
  <c r="M461" i="12" s="1"/>
  <c r="M460" i="12" s="1"/>
  <c r="M458" i="12" s="1"/>
  <c r="N462" i="12"/>
  <c r="N461" i="12" s="1"/>
  <c r="N460" i="12" s="1"/>
  <c r="N458" i="12" s="1"/>
  <c r="O462" i="12"/>
  <c r="U462" i="12"/>
  <c r="U461" i="12" s="1"/>
  <c r="U460" i="12" s="1"/>
  <c r="V462" i="12"/>
  <c r="V461" i="12" s="1"/>
  <c r="V460" i="12" s="1"/>
  <c r="W462" i="12"/>
  <c r="X462" i="12"/>
  <c r="X461" i="12" s="1"/>
  <c r="X460" i="12" s="1"/>
  <c r="Y462" i="12"/>
  <c r="Y461" i="12" s="1"/>
  <c r="Y460" i="12" s="1"/>
  <c r="AB462" i="12"/>
  <c r="AC462" i="12"/>
  <c r="AC461" i="12" s="1"/>
  <c r="AC460" i="12" s="1"/>
  <c r="AF462" i="12"/>
  <c r="AG462" i="12"/>
  <c r="AG461" i="12" s="1"/>
  <c r="AG460" i="12" s="1"/>
  <c r="AH462" i="12"/>
  <c r="AH461" i="12" s="1"/>
  <c r="AH460" i="12" s="1"/>
  <c r="AH459" i="12" s="1"/>
  <c r="AI462" i="12"/>
  <c r="AI461" i="12" s="1"/>
  <c r="AI460" i="12" s="1"/>
  <c r="AJ462" i="12"/>
  <c r="AK462" i="12" s="1"/>
  <c r="K463" i="12"/>
  <c r="K462" i="12" s="1"/>
  <c r="K461" i="12" s="1"/>
  <c r="K460" i="12" s="1"/>
  <c r="K458" i="12" s="1"/>
  <c r="L463" i="12"/>
  <c r="L462" i="12" s="1"/>
  <c r="L461" i="12" s="1"/>
  <c r="L460" i="12" s="1"/>
  <c r="L458" i="12" s="1"/>
  <c r="R463" i="12"/>
  <c r="S463" i="12"/>
  <c r="T463" i="12"/>
  <c r="Z463" i="12"/>
  <c r="AA463" i="12"/>
  <c r="AD463" i="12"/>
  <c r="AE463" i="12"/>
  <c r="AJ463" i="12"/>
  <c r="AK463" i="12" s="1"/>
  <c r="T464" i="12"/>
  <c r="P464" i="12" s="1"/>
  <c r="Z464" i="12"/>
  <c r="AA464" i="12"/>
  <c r="AD464" i="12"/>
  <c r="AE464" i="12"/>
  <c r="AJ464" i="12"/>
  <c r="AK464" i="12" s="1"/>
  <c r="K465" i="12"/>
  <c r="L465" i="12"/>
  <c r="P465" i="12"/>
  <c r="Z465" i="12"/>
  <c r="AA465" i="12"/>
  <c r="AD465" i="12"/>
  <c r="AE465" i="12"/>
  <c r="AJ465" i="12"/>
  <c r="AK465" i="12" s="1"/>
  <c r="AJ466" i="12"/>
  <c r="AK466" i="12" s="1"/>
  <c r="I467" i="12"/>
  <c r="I466" i="12" s="1"/>
  <c r="J467" i="12"/>
  <c r="J466" i="12" s="1"/>
  <c r="K467" i="12"/>
  <c r="K466" i="12" s="1"/>
  <c r="L467" i="12"/>
  <c r="L466" i="12" s="1"/>
  <c r="M467" i="12"/>
  <c r="M466" i="12" s="1"/>
  <c r="T467" i="12"/>
  <c r="AB467" i="12"/>
  <c r="AB466" i="12" s="1"/>
  <c r="AJ467" i="12"/>
  <c r="AK467" i="12" s="1"/>
  <c r="N468" i="12"/>
  <c r="P468" i="12" s="1"/>
  <c r="O468" i="12"/>
  <c r="O467" i="12" s="1"/>
  <c r="O466" i="12" s="1"/>
  <c r="R468" i="12"/>
  <c r="R467" i="12" s="1"/>
  <c r="R466" i="12" s="1"/>
  <c r="R458" i="12" s="1"/>
  <c r="S468" i="12"/>
  <c r="S467" i="12" s="1"/>
  <c r="S466" i="12" s="1"/>
  <c r="S458" i="12" s="1"/>
  <c r="U468" i="12"/>
  <c r="U467" i="12" s="1"/>
  <c r="U466" i="12" s="1"/>
  <c r="V468" i="12"/>
  <c r="V467" i="12" s="1"/>
  <c r="V466" i="12" s="1"/>
  <c r="W468" i="12"/>
  <c r="W467" i="12" s="1"/>
  <c r="W466" i="12" s="1"/>
  <c r="X468" i="12"/>
  <c r="X467" i="12" s="1"/>
  <c r="X466" i="12" s="1"/>
  <c r="Y468" i="12"/>
  <c r="Y467" i="12" s="1"/>
  <c r="AB468" i="12"/>
  <c r="AC468" i="12"/>
  <c r="AC467" i="12" s="1"/>
  <c r="AF468" i="12"/>
  <c r="AF467" i="12" s="1"/>
  <c r="AF466" i="12" s="1"/>
  <c r="AG468" i="12"/>
  <c r="AG467" i="12" s="1"/>
  <c r="AG466" i="12" s="1"/>
  <c r="AH468" i="12"/>
  <c r="AH467" i="12" s="1"/>
  <c r="AH466" i="12" s="1"/>
  <c r="AI468" i="12"/>
  <c r="AI467" i="12" s="1"/>
  <c r="AI466" i="12" s="1"/>
  <c r="AJ468" i="12"/>
  <c r="AK468" i="12"/>
  <c r="P469" i="12"/>
  <c r="Z469" i="12"/>
  <c r="Z468" i="12" s="1"/>
  <c r="AA469" i="12"/>
  <c r="AA468" i="12" s="1"/>
  <c r="AD469" i="12"/>
  <c r="AD468" i="12" s="1"/>
  <c r="AE469" i="12"/>
  <c r="AJ469" i="12"/>
  <c r="AK469" i="12" s="1"/>
  <c r="AE470" i="12"/>
  <c r="AJ470" i="12"/>
  <c r="AK470" i="12" s="1"/>
  <c r="AJ471" i="12"/>
  <c r="AK471" i="12" s="1"/>
  <c r="AJ472" i="12"/>
  <c r="AK472" i="12"/>
  <c r="K473" i="12"/>
  <c r="AE473" i="12"/>
  <c r="AJ473" i="12"/>
  <c r="AK473" i="12"/>
  <c r="AJ474" i="12"/>
  <c r="AK474" i="12" s="1"/>
  <c r="AJ475" i="12"/>
  <c r="AK475" i="12" s="1"/>
  <c r="AJ476" i="12"/>
  <c r="AK476" i="12" s="1"/>
  <c r="AJ477" i="12"/>
  <c r="AK477" i="12" s="1"/>
  <c r="AJ478" i="12"/>
  <c r="AK478" i="12" s="1"/>
  <c r="I479" i="12"/>
  <c r="J479" i="12"/>
  <c r="K479" i="12" s="1"/>
  <c r="L479" i="12"/>
  <c r="M479" i="12"/>
  <c r="N479" i="12"/>
  <c r="O479" i="12"/>
  <c r="Q479" i="12"/>
  <c r="Q478" i="12" s="1"/>
  <c r="R479" i="12"/>
  <c r="S479" i="12"/>
  <c r="T479" i="12"/>
  <c r="U479" i="12"/>
  <c r="U478" i="12" s="1"/>
  <c r="V479" i="12"/>
  <c r="W479" i="12"/>
  <c r="X479" i="12"/>
  <c r="Y479" i="12"/>
  <c r="AB479" i="12"/>
  <c r="AC479" i="12"/>
  <c r="AF479" i="12"/>
  <c r="AG479" i="12"/>
  <c r="AG478" i="12" s="1"/>
  <c r="AH479" i="12"/>
  <c r="AI479" i="12"/>
  <c r="AJ479" i="12"/>
  <c r="AK479" i="12" s="1"/>
  <c r="K480" i="12"/>
  <c r="L480" i="12"/>
  <c r="P480" i="12"/>
  <c r="Z480" i="12"/>
  <c r="AA480" i="12"/>
  <c r="AD480" i="12"/>
  <c r="AE480" i="12"/>
  <c r="AJ480" i="12"/>
  <c r="AK480" i="12" s="1"/>
  <c r="I481" i="12"/>
  <c r="I478" i="12" s="1"/>
  <c r="J481" i="12"/>
  <c r="M481" i="12"/>
  <c r="N481" i="12"/>
  <c r="N478" i="12" s="1"/>
  <c r="O481" i="12"/>
  <c r="Q481" i="12"/>
  <c r="R481" i="12"/>
  <c r="S481" i="12"/>
  <c r="T481" i="12"/>
  <c r="P481" i="12" s="1"/>
  <c r="U481" i="12"/>
  <c r="V481" i="12"/>
  <c r="W481" i="12"/>
  <c r="X481" i="12"/>
  <c r="Y481" i="12"/>
  <c r="Z481" i="12"/>
  <c r="AB481" i="12"/>
  <c r="AE481" i="12" s="1"/>
  <c r="AC481" i="12"/>
  <c r="AD481" i="12" s="1"/>
  <c r="AF481" i="12"/>
  <c r="AG481" i="12"/>
  <c r="AH481" i="12"/>
  <c r="AI481" i="12"/>
  <c r="AJ481" i="12"/>
  <c r="AK481" i="12" s="1"/>
  <c r="K482" i="12"/>
  <c r="L482" i="12"/>
  <c r="P482" i="12"/>
  <c r="Z482" i="12"/>
  <c r="AA482" i="12"/>
  <c r="AD482" i="12"/>
  <c r="AE482" i="12"/>
  <c r="AJ482" i="12"/>
  <c r="AK482" i="12"/>
  <c r="I483" i="12"/>
  <c r="J483" i="12"/>
  <c r="M483" i="12"/>
  <c r="L483" i="12" s="1"/>
  <c r="N483" i="12"/>
  <c r="O483" i="12"/>
  <c r="Q483" i="12"/>
  <c r="R483" i="12"/>
  <c r="S483" i="12"/>
  <c r="T483" i="12"/>
  <c r="P483" i="12" s="1"/>
  <c r="U483" i="12"/>
  <c r="V483" i="12"/>
  <c r="W483" i="12"/>
  <c r="X483" i="12"/>
  <c r="Y483" i="12"/>
  <c r="AB483" i="12"/>
  <c r="AA483" i="12" s="1"/>
  <c r="AC483" i="12"/>
  <c r="AF483" i="12"/>
  <c r="AG483" i="12"/>
  <c r="AH483" i="12"/>
  <c r="AI483" i="12"/>
  <c r="AJ483" i="12"/>
  <c r="AK483" i="12" s="1"/>
  <c r="K484" i="12"/>
  <c r="L484" i="12"/>
  <c r="P484" i="12"/>
  <c r="Z484" i="12"/>
  <c r="AA484" i="12"/>
  <c r="AD484" i="12"/>
  <c r="AE484" i="12"/>
  <c r="AJ484" i="12"/>
  <c r="AK484" i="12" s="1"/>
  <c r="K485" i="12"/>
  <c r="L485" i="12"/>
  <c r="P485" i="12"/>
  <c r="Z485" i="12"/>
  <c r="AA485" i="12"/>
  <c r="AD485" i="12"/>
  <c r="AE485" i="12"/>
  <c r="AJ485" i="12"/>
  <c r="AK485" i="12" s="1"/>
  <c r="U486" i="12"/>
  <c r="AJ486" i="12"/>
  <c r="AK486" i="12"/>
  <c r="I487" i="12"/>
  <c r="J487" i="12"/>
  <c r="M487" i="12"/>
  <c r="N487" i="12"/>
  <c r="O487" i="12"/>
  <c r="Q487" i="12"/>
  <c r="Q486" i="12" s="1"/>
  <c r="R487" i="12"/>
  <c r="S487" i="12"/>
  <c r="T487" i="12"/>
  <c r="U487" i="12"/>
  <c r="V487" i="12"/>
  <c r="W487" i="12"/>
  <c r="X487" i="12"/>
  <c r="Y487" i="12"/>
  <c r="AB487" i="12"/>
  <c r="AC487" i="12"/>
  <c r="AC486" i="12" s="1"/>
  <c r="AF487" i="12"/>
  <c r="AG487" i="12"/>
  <c r="AG486" i="12" s="1"/>
  <c r="AH487" i="12"/>
  <c r="AI487" i="12"/>
  <c r="AJ487" i="12"/>
  <c r="AK487" i="12" s="1"/>
  <c r="K488" i="12"/>
  <c r="L488" i="12"/>
  <c r="P488" i="12"/>
  <c r="Z488" i="12"/>
  <c r="AA488" i="12"/>
  <c r="AD488" i="12"/>
  <c r="AE488" i="12"/>
  <c r="AJ488" i="12"/>
  <c r="AK488" i="12" s="1"/>
  <c r="K489" i="12"/>
  <c r="L489" i="12"/>
  <c r="P489" i="12"/>
  <c r="Z489" i="12"/>
  <c r="AA489" i="12"/>
  <c r="AD489" i="12"/>
  <c r="AE489" i="12"/>
  <c r="AJ489" i="12"/>
  <c r="AK489" i="12" s="1"/>
  <c r="K490" i="12"/>
  <c r="L490" i="12"/>
  <c r="P490" i="12"/>
  <c r="Z490" i="12"/>
  <c r="AA490" i="12"/>
  <c r="AD490" i="12"/>
  <c r="AE490" i="12"/>
  <c r="AJ490" i="12"/>
  <c r="AK490" i="12"/>
  <c r="I491" i="12"/>
  <c r="K491" i="12" s="1"/>
  <c r="J491" i="12"/>
  <c r="M491" i="12"/>
  <c r="N491" i="12"/>
  <c r="O491" i="12"/>
  <c r="Q491" i="12"/>
  <c r="R491" i="12"/>
  <c r="S491" i="12"/>
  <c r="T491" i="12"/>
  <c r="P491" i="12" s="1"/>
  <c r="U491" i="12"/>
  <c r="V491" i="12"/>
  <c r="W491" i="12"/>
  <c r="X491" i="12"/>
  <c r="Y491" i="12"/>
  <c r="AB491" i="12"/>
  <c r="AA491" i="12" s="1"/>
  <c r="AC491" i="12"/>
  <c r="AD491" i="12" s="1"/>
  <c r="AF491" i="12"/>
  <c r="AE491" i="12" s="1"/>
  <c r="AG491" i="12"/>
  <c r="AH491" i="12"/>
  <c r="AI491" i="12"/>
  <c r="AJ491" i="12"/>
  <c r="AK491" i="12" s="1"/>
  <c r="K492" i="12"/>
  <c r="L492" i="12"/>
  <c r="P492" i="12"/>
  <c r="Z492" i="12"/>
  <c r="AA492" i="12"/>
  <c r="AD492" i="12"/>
  <c r="AE492" i="12"/>
  <c r="AJ492" i="12"/>
  <c r="AK492" i="12" s="1"/>
  <c r="I493" i="12"/>
  <c r="J493" i="12"/>
  <c r="M493" i="12"/>
  <c r="L493" i="12" s="1"/>
  <c r="N493" i="12"/>
  <c r="N486" i="12" s="1"/>
  <c r="O493" i="12"/>
  <c r="Q493" i="12"/>
  <c r="R493" i="12"/>
  <c r="S493" i="12"/>
  <c r="T493" i="12"/>
  <c r="U493" i="12"/>
  <c r="V493" i="12"/>
  <c r="W493" i="12"/>
  <c r="X493" i="12"/>
  <c r="Y493" i="12"/>
  <c r="Z493" i="12"/>
  <c r="AB493" i="12"/>
  <c r="AD493" i="12" s="1"/>
  <c r="AC493" i="12"/>
  <c r="AF493" i="12"/>
  <c r="AG493" i="12"/>
  <c r="AH493" i="12"/>
  <c r="AI493" i="12"/>
  <c r="AJ493" i="12"/>
  <c r="AK493" i="12" s="1"/>
  <c r="K494" i="12"/>
  <c r="L494" i="12"/>
  <c r="P494" i="12"/>
  <c r="Z494" i="12"/>
  <c r="AA494" i="12"/>
  <c r="AD494" i="12"/>
  <c r="AE494" i="12"/>
  <c r="AJ494" i="12"/>
  <c r="AK494" i="12"/>
  <c r="I495" i="12"/>
  <c r="J495" i="12"/>
  <c r="M495" i="12"/>
  <c r="L495" i="12" s="1"/>
  <c r="N495" i="12"/>
  <c r="O495" i="12"/>
  <c r="Q495" i="12"/>
  <c r="R495" i="12"/>
  <c r="S495" i="12"/>
  <c r="T495" i="12"/>
  <c r="U495" i="12"/>
  <c r="V495" i="12"/>
  <c r="W495" i="12"/>
  <c r="X495" i="12"/>
  <c r="Y495" i="12"/>
  <c r="AB495" i="12"/>
  <c r="AA495" i="12" s="1"/>
  <c r="AC495" i="12"/>
  <c r="AF495" i="12"/>
  <c r="AG495" i="12"/>
  <c r="AH495" i="12"/>
  <c r="AI495" i="12"/>
  <c r="AJ495" i="12"/>
  <c r="AK495" i="12" s="1"/>
  <c r="K496" i="12"/>
  <c r="L496" i="12"/>
  <c r="P496" i="12"/>
  <c r="Z496" i="12"/>
  <c r="AA496" i="12"/>
  <c r="AD496" i="12"/>
  <c r="AE496" i="12"/>
  <c r="AJ496" i="12"/>
  <c r="AK496" i="12" s="1"/>
  <c r="AJ497" i="12"/>
  <c r="AK497" i="12" s="1"/>
  <c r="AJ498" i="12"/>
  <c r="AK498" i="12" s="1"/>
  <c r="I499" i="12"/>
  <c r="I497" i="12" s="1"/>
  <c r="M499" i="12"/>
  <c r="N499" i="12"/>
  <c r="N497" i="12" s="1"/>
  <c r="U499" i="12"/>
  <c r="U497" i="12" s="1"/>
  <c r="Y499" i="12"/>
  <c r="AJ499" i="12"/>
  <c r="AK499" i="12"/>
  <c r="L500" i="12"/>
  <c r="M500" i="12"/>
  <c r="N500" i="12"/>
  <c r="Q500" i="12"/>
  <c r="Q499" i="12" s="1"/>
  <c r="Q497" i="12" s="1"/>
  <c r="R500" i="12"/>
  <c r="R499" i="12" s="1"/>
  <c r="R497" i="12" s="1"/>
  <c r="S500" i="12"/>
  <c r="S499" i="12" s="1"/>
  <c r="S497" i="12" s="1"/>
  <c r="Y500" i="12"/>
  <c r="AG500" i="12"/>
  <c r="AG499" i="12" s="1"/>
  <c r="AJ500" i="12"/>
  <c r="AK500" i="12" s="1"/>
  <c r="I501" i="12"/>
  <c r="I500" i="12" s="1"/>
  <c r="J501" i="12"/>
  <c r="J500" i="12" s="1"/>
  <c r="K501" i="12"/>
  <c r="L501" i="12"/>
  <c r="M501" i="12"/>
  <c r="O501" i="12"/>
  <c r="O500" i="12" s="1"/>
  <c r="O499" i="12" s="1"/>
  <c r="O497" i="12" s="1"/>
  <c r="T501" i="12"/>
  <c r="U501" i="12"/>
  <c r="U500" i="12" s="1"/>
  <c r="V501" i="12"/>
  <c r="V500" i="12" s="1"/>
  <c r="V499" i="12" s="1"/>
  <c r="W501" i="12"/>
  <c r="W500" i="12" s="1"/>
  <c r="W499" i="12" s="1"/>
  <c r="X501" i="12"/>
  <c r="X500" i="12" s="1"/>
  <c r="X499" i="12" s="1"/>
  <c r="Y501" i="12"/>
  <c r="AB501" i="12"/>
  <c r="AB500" i="12" s="1"/>
  <c r="AC501" i="12"/>
  <c r="AF501" i="12"/>
  <c r="AF500" i="12" s="1"/>
  <c r="AG501" i="12"/>
  <c r="AH501" i="12"/>
  <c r="AH500" i="12" s="1"/>
  <c r="AH499" i="12" s="1"/>
  <c r="AH497" i="12" s="1"/>
  <c r="AI501" i="12"/>
  <c r="AI500" i="12" s="1"/>
  <c r="AI499" i="12" s="1"/>
  <c r="AJ501" i="12"/>
  <c r="AK501" i="12" s="1"/>
  <c r="K502" i="12"/>
  <c r="L502" i="12"/>
  <c r="P502" i="12"/>
  <c r="Z502" i="12"/>
  <c r="AA502" i="12"/>
  <c r="AD502" i="12"/>
  <c r="AE502" i="12"/>
  <c r="AJ502" i="12"/>
  <c r="AK502" i="12" s="1"/>
  <c r="AJ503" i="12"/>
  <c r="AK503" i="12" s="1"/>
  <c r="K504" i="12"/>
  <c r="AE504" i="12"/>
  <c r="AJ504" i="12"/>
  <c r="AK504" i="12" s="1"/>
  <c r="AJ505" i="12"/>
  <c r="AK505" i="12" s="1"/>
  <c r="AJ506" i="12"/>
  <c r="AK506" i="12" s="1"/>
  <c r="AJ507" i="12"/>
  <c r="AK507" i="12"/>
  <c r="AG508" i="12"/>
  <c r="AJ508" i="12"/>
  <c r="AK508" i="12" s="1"/>
  <c r="AJ509" i="12"/>
  <c r="AK509" i="12" s="1"/>
  <c r="O510" i="12"/>
  <c r="O509" i="12" s="1"/>
  <c r="O507" i="12" s="1"/>
  <c r="W510" i="12"/>
  <c r="W509" i="12" s="1"/>
  <c r="X510" i="12"/>
  <c r="X509" i="12" s="1"/>
  <c r="AI510" i="12"/>
  <c r="AI509" i="12" s="1"/>
  <c r="AJ510" i="12"/>
  <c r="AK510" i="12" s="1"/>
  <c r="I511" i="12"/>
  <c r="I510" i="12" s="1"/>
  <c r="I509" i="12" s="1"/>
  <c r="I507" i="12" s="1"/>
  <c r="J511" i="12"/>
  <c r="M511" i="12"/>
  <c r="M510" i="12" s="1"/>
  <c r="N511" i="12"/>
  <c r="N510" i="12" s="1"/>
  <c r="N509" i="12" s="1"/>
  <c r="N507" i="12" s="1"/>
  <c r="O511" i="12"/>
  <c r="Q511" i="12"/>
  <c r="Q510" i="12" s="1"/>
  <c r="Q509" i="12" s="1"/>
  <c r="Q507" i="12" s="1"/>
  <c r="R511" i="12"/>
  <c r="R510" i="12" s="1"/>
  <c r="R509" i="12" s="1"/>
  <c r="R507" i="12" s="1"/>
  <c r="S511" i="12"/>
  <c r="S510" i="12" s="1"/>
  <c r="S509" i="12" s="1"/>
  <c r="S507" i="12" s="1"/>
  <c r="T511" i="12"/>
  <c r="U511" i="12"/>
  <c r="U510" i="12" s="1"/>
  <c r="U509" i="12" s="1"/>
  <c r="U507" i="12" s="1"/>
  <c r="V511" i="12"/>
  <c r="W511" i="12"/>
  <c r="X511" i="12"/>
  <c r="Y511" i="12"/>
  <c r="Y510" i="12" s="1"/>
  <c r="Z511" i="12"/>
  <c r="AB511" i="12"/>
  <c r="AB510" i="12" s="1"/>
  <c r="AB509" i="12" s="1"/>
  <c r="AC511" i="12"/>
  <c r="AC510" i="12" s="1"/>
  <c r="AD511" i="12"/>
  <c r="AF511" i="12"/>
  <c r="AF510" i="12" s="1"/>
  <c r="AG511" i="12"/>
  <c r="AG510" i="12" s="1"/>
  <c r="AG509" i="12" s="1"/>
  <c r="AH511" i="12"/>
  <c r="AH510" i="12" s="1"/>
  <c r="AH509" i="12" s="1"/>
  <c r="AI511" i="12"/>
  <c r="AJ511" i="12"/>
  <c r="AK511" i="12" s="1"/>
  <c r="K512" i="12"/>
  <c r="L512" i="12"/>
  <c r="P512" i="12"/>
  <c r="Z512" i="12"/>
  <c r="AA512" i="12"/>
  <c r="AD512" i="12"/>
  <c r="AE512" i="12"/>
  <c r="AJ512" i="12"/>
  <c r="AK512" i="12" s="1"/>
  <c r="AE513" i="12"/>
  <c r="AJ513" i="12"/>
  <c r="AK513" i="12" s="1"/>
  <c r="Z514" i="12"/>
  <c r="AA514" i="12"/>
  <c r="AJ514" i="12"/>
  <c r="AK514" i="12" s="1"/>
  <c r="P515" i="12"/>
  <c r="Z515" i="12"/>
  <c r="AA515" i="12"/>
  <c r="AD515" i="12"/>
  <c r="AE515" i="12"/>
  <c r="AJ515" i="12"/>
  <c r="AK515" i="12" s="1"/>
  <c r="AJ516" i="12"/>
  <c r="AK516" i="12" s="1"/>
  <c r="AJ517" i="12"/>
  <c r="AK517" i="12"/>
  <c r="AG518" i="12"/>
  <c r="AG517" i="12" s="1"/>
  <c r="AG516" i="12" s="1"/>
  <c r="AJ518" i="12"/>
  <c r="AK518" i="12"/>
  <c r="AE519" i="12"/>
  <c r="AF519" i="12"/>
  <c r="AF518" i="12" s="1"/>
  <c r="AG519" i="12"/>
  <c r="AH519" i="12"/>
  <c r="AH518" i="12" s="1"/>
  <c r="AH517" i="12" s="1"/>
  <c r="AH516" i="12" s="1"/>
  <c r="AI519" i="12"/>
  <c r="AI518" i="12" s="1"/>
  <c r="AI517" i="12" s="1"/>
  <c r="AI516" i="12" s="1"/>
  <c r="AJ519" i="12"/>
  <c r="AK519" i="12" s="1"/>
  <c r="AE520" i="12"/>
  <c r="AJ520" i="12"/>
  <c r="AK520" i="12" s="1"/>
  <c r="O521" i="12"/>
  <c r="AJ521" i="12"/>
  <c r="AK521" i="12" s="1"/>
  <c r="AJ522" i="12"/>
  <c r="AK522" i="12" s="1"/>
  <c r="AJ523" i="12"/>
  <c r="AK523" i="12" s="1"/>
  <c r="J524" i="12"/>
  <c r="M524" i="12"/>
  <c r="U524" i="12"/>
  <c r="U523" i="12" s="1"/>
  <c r="U521" i="12" s="1"/>
  <c r="AG524" i="12"/>
  <c r="AG523" i="12" s="1"/>
  <c r="AJ524" i="12"/>
  <c r="AK524" i="12"/>
  <c r="I525" i="12"/>
  <c r="I524" i="12" s="1"/>
  <c r="I523" i="12" s="1"/>
  <c r="I521" i="12" s="1"/>
  <c r="J525" i="12"/>
  <c r="M525" i="12"/>
  <c r="N525" i="12"/>
  <c r="N524" i="12" s="1"/>
  <c r="N523" i="12" s="1"/>
  <c r="N521" i="12" s="1"/>
  <c r="O525" i="12"/>
  <c r="O524" i="12" s="1"/>
  <c r="O523" i="12" s="1"/>
  <c r="Q525" i="12"/>
  <c r="Q524" i="12" s="1"/>
  <c r="Q523" i="12" s="1"/>
  <c r="Q521" i="12" s="1"/>
  <c r="R525" i="12"/>
  <c r="R524" i="12" s="1"/>
  <c r="R523" i="12" s="1"/>
  <c r="R521" i="12" s="1"/>
  <c r="S525" i="12"/>
  <c r="S524" i="12" s="1"/>
  <c r="S523" i="12" s="1"/>
  <c r="S521" i="12" s="1"/>
  <c r="T525" i="12"/>
  <c r="T524" i="12" s="1"/>
  <c r="U525" i="12"/>
  <c r="V525" i="12"/>
  <c r="V524" i="12" s="1"/>
  <c r="V523" i="12" s="1"/>
  <c r="W525" i="12"/>
  <c r="W524" i="12" s="1"/>
  <c r="W523" i="12" s="1"/>
  <c r="X525" i="12"/>
  <c r="X524" i="12" s="1"/>
  <c r="X523" i="12" s="1"/>
  <c r="Y525" i="12"/>
  <c r="AB525" i="12"/>
  <c r="AC525" i="12"/>
  <c r="AF525" i="12"/>
  <c r="AG525" i="12"/>
  <c r="AH525" i="12"/>
  <c r="AH524" i="12" s="1"/>
  <c r="AH523" i="12" s="1"/>
  <c r="AI525" i="12"/>
  <c r="AI524" i="12" s="1"/>
  <c r="AI523" i="12" s="1"/>
  <c r="AJ525" i="12"/>
  <c r="AK525" i="12" s="1"/>
  <c r="K526" i="12"/>
  <c r="L526" i="12"/>
  <c r="P526" i="12"/>
  <c r="Z526" i="12"/>
  <c r="AA526" i="12"/>
  <c r="AD526" i="12"/>
  <c r="AE526" i="12"/>
  <c r="AJ526" i="12"/>
  <c r="AK526" i="12" s="1"/>
  <c r="AJ527" i="12"/>
  <c r="AK527" i="12" s="1"/>
  <c r="AJ528" i="12"/>
  <c r="AK528" i="12" s="1"/>
  <c r="AJ529" i="12"/>
  <c r="AK529" i="12" s="1"/>
  <c r="V530" i="12"/>
  <c r="V529" i="12" s="1"/>
  <c r="V528" i="12" s="1"/>
  <c r="W530" i="12"/>
  <c r="W529" i="12" s="1"/>
  <c r="W528" i="12" s="1"/>
  <c r="W527" i="12" s="1"/>
  <c r="X530" i="12"/>
  <c r="X529" i="12" s="1"/>
  <c r="X528" i="12" s="1"/>
  <c r="X527" i="12" s="1"/>
  <c r="Y530" i="12"/>
  <c r="AA530" i="12"/>
  <c r="AB530" i="12"/>
  <c r="AB529" i="12" s="1"/>
  <c r="AB528" i="12" s="1"/>
  <c r="AB527" i="12" s="1"/>
  <c r="AC530" i="12"/>
  <c r="AF530" i="12"/>
  <c r="AG530" i="12"/>
  <c r="AG529" i="12" s="1"/>
  <c r="AG528" i="12" s="1"/>
  <c r="AG527" i="12" s="1"/>
  <c r="AH530" i="12"/>
  <c r="AH529" i="12" s="1"/>
  <c r="AH528" i="12" s="1"/>
  <c r="AH527" i="12" s="1"/>
  <c r="AI530" i="12"/>
  <c r="AI529" i="12" s="1"/>
  <c r="AI528" i="12" s="1"/>
  <c r="AI527" i="12" s="1"/>
  <c r="AJ530" i="12"/>
  <c r="AK530" i="12" s="1"/>
  <c r="K531" i="12"/>
  <c r="L531" i="12"/>
  <c r="P531" i="12"/>
  <c r="Z531" i="12"/>
  <c r="AA531" i="12"/>
  <c r="AD531" i="12"/>
  <c r="AE531" i="12"/>
  <c r="AJ531" i="12"/>
  <c r="AK531" i="12" s="1"/>
  <c r="AJ532" i="12"/>
  <c r="AK532" i="12"/>
  <c r="AJ533" i="12"/>
  <c r="AK533" i="12" s="1"/>
  <c r="AJ534" i="12"/>
  <c r="AK534" i="12" s="1"/>
  <c r="O535" i="12"/>
  <c r="O534" i="12" s="1"/>
  <c r="O532" i="12" s="1"/>
  <c r="S535" i="12"/>
  <c r="S534" i="12" s="1"/>
  <c r="S532" i="12" s="1"/>
  <c r="X535" i="12"/>
  <c r="X534" i="12" s="1"/>
  <c r="AB535" i="12"/>
  <c r="AB534" i="12" s="1"/>
  <c r="AJ535" i="12"/>
  <c r="AK535" i="12" s="1"/>
  <c r="I536" i="12"/>
  <c r="I535" i="12" s="1"/>
  <c r="I534" i="12" s="1"/>
  <c r="I532" i="12" s="1"/>
  <c r="J536" i="12"/>
  <c r="M536" i="12"/>
  <c r="M535" i="12" s="1"/>
  <c r="N536" i="12"/>
  <c r="N535" i="12" s="1"/>
  <c r="N534" i="12" s="1"/>
  <c r="N532" i="12" s="1"/>
  <c r="O536" i="12"/>
  <c r="Q536" i="12"/>
  <c r="Q535" i="12" s="1"/>
  <c r="Q534" i="12" s="1"/>
  <c r="Q532" i="12" s="1"/>
  <c r="R536" i="12"/>
  <c r="R535" i="12" s="1"/>
  <c r="R534" i="12" s="1"/>
  <c r="R532" i="12" s="1"/>
  <c r="S536" i="12"/>
  <c r="T536" i="12"/>
  <c r="T535" i="12" s="1"/>
  <c r="T534" i="12" s="1"/>
  <c r="T532" i="12" s="1"/>
  <c r="U536" i="12"/>
  <c r="U535" i="12" s="1"/>
  <c r="U534" i="12" s="1"/>
  <c r="U532" i="12" s="1"/>
  <c r="V536" i="12"/>
  <c r="W536" i="12"/>
  <c r="W535" i="12" s="1"/>
  <c r="W534" i="12" s="1"/>
  <c r="X536" i="12"/>
  <c r="Y536" i="12"/>
  <c r="Y535" i="12" s="1"/>
  <c r="Z536" i="12"/>
  <c r="AB536" i="12"/>
  <c r="AC536" i="12"/>
  <c r="AC535" i="12" s="1"/>
  <c r="AF536" i="12"/>
  <c r="AG536" i="12"/>
  <c r="AG535" i="12" s="1"/>
  <c r="AG534" i="12" s="1"/>
  <c r="AG533" i="12" s="1"/>
  <c r="AH536" i="12"/>
  <c r="AH535" i="12" s="1"/>
  <c r="AH534" i="12" s="1"/>
  <c r="AI536" i="12"/>
  <c r="AI535" i="12" s="1"/>
  <c r="AI534" i="12" s="1"/>
  <c r="AJ536" i="12"/>
  <c r="AK536" i="12" s="1"/>
  <c r="K537" i="12"/>
  <c r="L537" i="12"/>
  <c r="P537" i="12"/>
  <c r="Z537" i="12"/>
  <c r="AA537" i="12"/>
  <c r="AD537" i="12"/>
  <c r="AE537" i="12"/>
  <c r="AJ537" i="12"/>
  <c r="AK537" i="12" s="1"/>
  <c r="AJ538" i="12"/>
  <c r="AK538" i="12"/>
  <c r="AJ539" i="12"/>
  <c r="AK539" i="12"/>
  <c r="AC540" i="12"/>
  <c r="AJ540" i="12"/>
  <c r="AK540" i="12"/>
  <c r="V541" i="12"/>
  <c r="V540" i="12" s="1"/>
  <c r="V539" i="12" s="1"/>
  <c r="V538" i="12" s="1"/>
  <c r="W541" i="12"/>
  <c r="W540" i="12" s="1"/>
  <c r="W539" i="12" s="1"/>
  <c r="W538" i="12" s="1"/>
  <c r="X541" i="12"/>
  <c r="X540" i="12" s="1"/>
  <c r="X539" i="12" s="1"/>
  <c r="X538" i="12" s="1"/>
  <c r="Y541" i="12"/>
  <c r="AB541" i="12"/>
  <c r="AB540" i="12" s="1"/>
  <c r="AC541" i="12"/>
  <c r="AF541" i="12"/>
  <c r="AF540" i="12" s="1"/>
  <c r="AG541" i="12"/>
  <c r="AG540" i="12" s="1"/>
  <c r="AG539" i="12" s="1"/>
  <c r="AH541" i="12"/>
  <c r="AH540" i="12" s="1"/>
  <c r="AH539" i="12" s="1"/>
  <c r="AH538" i="12" s="1"/>
  <c r="AI541" i="12"/>
  <c r="AI540" i="12" s="1"/>
  <c r="AI539" i="12" s="1"/>
  <c r="AI538" i="12" s="1"/>
  <c r="AJ541" i="12"/>
  <c r="AK541" i="12"/>
  <c r="K542" i="12"/>
  <c r="L542" i="12"/>
  <c r="P542" i="12"/>
  <c r="Z542" i="12"/>
  <c r="AA542" i="12"/>
  <c r="AD542" i="12"/>
  <c r="AE542" i="12"/>
  <c r="AJ542" i="12"/>
  <c r="AK542" i="12" s="1"/>
  <c r="S543" i="12"/>
  <c r="AJ543" i="12"/>
  <c r="AK543" i="12" s="1"/>
  <c r="AJ544" i="12"/>
  <c r="AK544" i="12" s="1"/>
  <c r="AJ545" i="12"/>
  <c r="AK545" i="12" s="1"/>
  <c r="Y546" i="12"/>
  <c r="Y545" i="12" s="1"/>
  <c r="AC546" i="12"/>
  <c r="AJ546" i="12"/>
  <c r="AK546" i="12"/>
  <c r="I547" i="12"/>
  <c r="I546" i="12" s="1"/>
  <c r="I545" i="12" s="1"/>
  <c r="I543" i="12" s="1"/>
  <c r="J547" i="12"/>
  <c r="J546" i="12" s="1"/>
  <c r="M547" i="12"/>
  <c r="N547" i="12"/>
  <c r="N546" i="12" s="1"/>
  <c r="N545" i="12" s="1"/>
  <c r="N543" i="12" s="1"/>
  <c r="O547" i="12"/>
  <c r="O546" i="12" s="1"/>
  <c r="O545" i="12" s="1"/>
  <c r="O543" i="12" s="1"/>
  <c r="Q547" i="12"/>
  <c r="Q546" i="12" s="1"/>
  <c r="Q545" i="12" s="1"/>
  <c r="Q543" i="12" s="1"/>
  <c r="R547" i="12"/>
  <c r="R546" i="12" s="1"/>
  <c r="R545" i="12" s="1"/>
  <c r="R543" i="12" s="1"/>
  <c r="S547" i="12"/>
  <c r="S546" i="12" s="1"/>
  <c r="S545" i="12" s="1"/>
  <c r="T547" i="12"/>
  <c r="T546" i="12" s="1"/>
  <c r="U547" i="12"/>
  <c r="U546" i="12" s="1"/>
  <c r="U545" i="12" s="1"/>
  <c r="V547" i="12"/>
  <c r="V546" i="12" s="1"/>
  <c r="V545" i="12" s="1"/>
  <c r="V544" i="12" s="1"/>
  <c r="W547" i="12"/>
  <c r="W546" i="12" s="1"/>
  <c r="W545" i="12" s="1"/>
  <c r="W544" i="12" s="1"/>
  <c r="X547" i="12"/>
  <c r="X546" i="12" s="1"/>
  <c r="X545" i="12" s="1"/>
  <c r="Y547" i="12"/>
  <c r="AA547" i="12"/>
  <c r="AA546" i="12" s="1"/>
  <c r="AA545" i="12" s="1"/>
  <c r="AB547" i="12"/>
  <c r="AB546" i="12" s="1"/>
  <c r="AB545" i="12" s="1"/>
  <c r="AC547" i="12"/>
  <c r="AF547" i="12"/>
  <c r="AF546" i="12" s="1"/>
  <c r="AJ547" i="12"/>
  <c r="AK547" i="12" s="1"/>
  <c r="K548" i="12"/>
  <c r="L548" i="12"/>
  <c r="P548" i="12"/>
  <c r="Z548" i="12"/>
  <c r="Z547" i="12" s="1"/>
  <c r="Z546" i="12" s="1"/>
  <c r="Z545" i="12" s="1"/>
  <c r="AA548" i="12"/>
  <c r="AD548" i="12"/>
  <c r="AE548" i="12"/>
  <c r="AG548" i="12"/>
  <c r="AG547" i="12" s="1"/>
  <c r="AG546" i="12" s="1"/>
  <c r="AG545" i="12" s="1"/>
  <c r="AH548" i="12"/>
  <c r="AH547" i="12" s="1"/>
  <c r="AH546" i="12" s="1"/>
  <c r="AH545" i="12" s="1"/>
  <c r="AI548" i="12"/>
  <c r="AI547" i="12" s="1"/>
  <c r="AI546" i="12" s="1"/>
  <c r="AI545" i="12" s="1"/>
  <c r="AJ548" i="12"/>
  <c r="AK548" i="12" s="1"/>
  <c r="AJ549" i="12"/>
  <c r="AK549" i="12" s="1"/>
  <c r="Z550" i="12"/>
  <c r="Z549" i="12" s="1"/>
  <c r="AJ550" i="12"/>
  <c r="AK550" i="12"/>
  <c r="AC551" i="12"/>
  <c r="AC550" i="12" s="1"/>
  <c r="AJ551" i="12"/>
  <c r="AK551" i="12" s="1"/>
  <c r="U552" i="12"/>
  <c r="U551" i="12" s="1"/>
  <c r="U550" i="12" s="1"/>
  <c r="U549" i="12" s="1"/>
  <c r="V552" i="12"/>
  <c r="V551" i="12" s="1"/>
  <c r="V550" i="12" s="1"/>
  <c r="V549" i="12" s="1"/>
  <c r="W552" i="12"/>
  <c r="W551" i="12" s="1"/>
  <c r="W550" i="12" s="1"/>
  <c r="W549" i="12" s="1"/>
  <c r="X552" i="12"/>
  <c r="X551" i="12" s="1"/>
  <c r="X550" i="12" s="1"/>
  <c r="X549" i="12" s="1"/>
  <c r="Y552" i="12"/>
  <c r="Y551" i="12" s="1"/>
  <c r="Y550" i="12" s="1"/>
  <c r="Y549" i="12" s="1"/>
  <c r="AA552" i="12"/>
  <c r="AA551" i="12" s="1"/>
  <c r="AA550" i="12" s="1"/>
  <c r="AA549" i="12" s="1"/>
  <c r="AB552" i="12"/>
  <c r="AB551" i="12" s="1"/>
  <c r="AB550" i="12" s="1"/>
  <c r="AB549" i="12" s="1"/>
  <c r="AC552" i="12"/>
  <c r="AF552" i="12"/>
  <c r="AJ552" i="12"/>
  <c r="AK552" i="12" s="1"/>
  <c r="K553" i="12"/>
  <c r="L553" i="12"/>
  <c r="P553" i="12"/>
  <c r="Z553" i="12"/>
  <c r="Z552" i="12" s="1"/>
  <c r="Z551" i="12" s="1"/>
  <c r="AA553" i="12"/>
  <c r="AD553" i="12"/>
  <c r="AE553" i="12"/>
  <c r="AG553" i="12"/>
  <c r="AG552" i="12" s="1"/>
  <c r="AG551" i="12" s="1"/>
  <c r="AG550" i="12" s="1"/>
  <c r="AG549" i="12" s="1"/>
  <c r="AH553" i="12"/>
  <c r="AH552" i="12" s="1"/>
  <c r="AH551" i="12" s="1"/>
  <c r="AH550" i="12" s="1"/>
  <c r="AH549" i="12" s="1"/>
  <c r="AI553" i="12"/>
  <c r="AI552" i="12" s="1"/>
  <c r="AI551" i="12" s="1"/>
  <c r="AI550" i="12" s="1"/>
  <c r="AI549" i="12" s="1"/>
  <c r="AJ553" i="12"/>
  <c r="AK553" i="12" s="1"/>
  <c r="AJ554" i="12"/>
  <c r="AK554" i="12" s="1"/>
  <c r="AH555" i="12"/>
  <c r="AJ555" i="12"/>
  <c r="AK555" i="12" s="1"/>
  <c r="Q556" i="12"/>
  <c r="Q554" i="12" s="1"/>
  <c r="AJ556" i="12"/>
  <c r="AK556" i="12" s="1"/>
  <c r="M557" i="12"/>
  <c r="U557" i="12"/>
  <c r="U556" i="12" s="1"/>
  <c r="U554" i="12" s="1"/>
  <c r="W557" i="12"/>
  <c r="W556" i="12" s="1"/>
  <c r="W555" i="12" s="1"/>
  <c r="AG557" i="12"/>
  <c r="AG556" i="12" s="1"/>
  <c r="AJ557" i="12"/>
  <c r="AK557" i="12" s="1"/>
  <c r="I558" i="12"/>
  <c r="L558" i="12" s="1"/>
  <c r="J558" i="12"/>
  <c r="K558" i="12" s="1"/>
  <c r="M558" i="12"/>
  <c r="N558" i="12"/>
  <c r="N557" i="12" s="1"/>
  <c r="N556" i="12" s="1"/>
  <c r="N554" i="12" s="1"/>
  <c r="O558" i="12"/>
  <c r="O557" i="12" s="1"/>
  <c r="O556" i="12" s="1"/>
  <c r="O554" i="12" s="1"/>
  <c r="Q558" i="12"/>
  <c r="Q557" i="12" s="1"/>
  <c r="R558" i="12"/>
  <c r="R557" i="12" s="1"/>
  <c r="R556" i="12" s="1"/>
  <c r="R554" i="12" s="1"/>
  <c r="S558" i="12"/>
  <c r="S557" i="12" s="1"/>
  <c r="S556" i="12" s="1"/>
  <c r="S554" i="12" s="1"/>
  <c r="T558" i="12"/>
  <c r="T557" i="12" s="1"/>
  <c r="U558" i="12"/>
  <c r="V558" i="12"/>
  <c r="V557" i="12" s="1"/>
  <c r="V556" i="12" s="1"/>
  <c r="W558" i="12"/>
  <c r="X558" i="12"/>
  <c r="X557" i="12" s="1"/>
  <c r="X556" i="12" s="1"/>
  <c r="Y558" i="12"/>
  <c r="Y557" i="12" s="1"/>
  <c r="AB558" i="12"/>
  <c r="AC558" i="12"/>
  <c r="AC557" i="12" s="1"/>
  <c r="AF558" i="12"/>
  <c r="AG558" i="12"/>
  <c r="AH558" i="12"/>
  <c r="AH557" i="12" s="1"/>
  <c r="AH556" i="12" s="1"/>
  <c r="AH554" i="12" s="1"/>
  <c r="AI558" i="12"/>
  <c r="AI557" i="12" s="1"/>
  <c r="AI556" i="12" s="1"/>
  <c r="AI555" i="12" s="1"/>
  <c r="AJ558" i="12"/>
  <c r="AK558" i="12" s="1"/>
  <c r="K559" i="12"/>
  <c r="L559" i="12"/>
  <c r="P559" i="12"/>
  <c r="Z559" i="12"/>
  <c r="AA559" i="12"/>
  <c r="AD559" i="12"/>
  <c r="AE559" i="12"/>
  <c r="AJ559" i="12"/>
  <c r="AK559" i="12" s="1"/>
  <c r="V560" i="12"/>
  <c r="AJ560" i="12"/>
  <c r="AK560" i="12" s="1"/>
  <c r="AJ561" i="12"/>
  <c r="AK561" i="12" s="1"/>
  <c r="AF562" i="12"/>
  <c r="AJ562" i="12"/>
  <c r="AK562" i="12" s="1"/>
  <c r="M563" i="12"/>
  <c r="M562" i="12" s="1"/>
  <c r="U563" i="12"/>
  <c r="U562" i="12" s="1"/>
  <c r="W563" i="12"/>
  <c r="W562" i="12" s="1"/>
  <c r="AI563" i="12"/>
  <c r="AI562" i="12" s="1"/>
  <c r="AJ563" i="12"/>
  <c r="AK563" i="12" s="1"/>
  <c r="I564" i="12"/>
  <c r="L564" i="12" s="1"/>
  <c r="J564" i="12"/>
  <c r="M564" i="12"/>
  <c r="N564" i="12"/>
  <c r="N563" i="12" s="1"/>
  <c r="N562" i="12" s="1"/>
  <c r="N560" i="12" s="1"/>
  <c r="O564" i="12"/>
  <c r="O563" i="12" s="1"/>
  <c r="O562" i="12" s="1"/>
  <c r="O560" i="12" s="1"/>
  <c r="Q564" i="12"/>
  <c r="Q563" i="12" s="1"/>
  <c r="Q562" i="12" s="1"/>
  <c r="Q560" i="12" s="1"/>
  <c r="R564" i="12"/>
  <c r="R563" i="12" s="1"/>
  <c r="R562" i="12" s="1"/>
  <c r="R560" i="12" s="1"/>
  <c r="S564" i="12"/>
  <c r="S563" i="12" s="1"/>
  <c r="S562" i="12" s="1"/>
  <c r="S560" i="12" s="1"/>
  <c r="T564" i="12"/>
  <c r="U564" i="12"/>
  <c r="V564" i="12"/>
  <c r="V563" i="12" s="1"/>
  <c r="V562" i="12" s="1"/>
  <c r="V561" i="12" s="1"/>
  <c r="W564" i="12"/>
  <c r="X564" i="12"/>
  <c r="X563" i="12" s="1"/>
  <c r="X562" i="12" s="1"/>
  <c r="Y564" i="12"/>
  <c r="Y563" i="12" s="1"/>
  <c r="Z563" i="12" s="1"/>
  <c r="AB564" i="12"/>
  <c r="AB563" i="12" s="1"/>
  <c r="AC564" i="12"/>
  <c r="AF564" i="12"/>
  <c r="AF563" i="12" s="1"/>
  <c r="AG564" i="12"/>
  <c r="AG563" i="12" s="1"/>
  <c r="AG562" i="12" s="1"/>
  <c r="AG560" i="12" s="1"/>
  <c r="AH564" i="12"/>
  <c r="AH563" i="12" s="1"/>
  <c r="AH562" i="12" s="1"/>
  <c r="AH561" i="12" s="1"/>
  <c r="AI564" i="12"/>
  <c r="AJ564" i="12"/>
  <c r="AK564" i="12" s="1"/>
  <c r="K565" i="12"/>
  <c r="L565" i="12"/>
  <c r="P565" i="12"/>
  <c r="Z565" i="12"/>
  <c r="AA565" i="12"/>
  <c r="AD565" i="12"/>
  <c r="AE565" i="12"/>
  <c r="AJ565" i="12"/>
  <c r="AK565" i="12"/>
  <c r="P566" i="12"/>
  <c r="Z566" i="12"/>
  <c r="AA566" i="12"/>
  <c r="AD566" i="12"/>
  <c r="AE566" i="12"/>
  <c r="AJ566" i="12"/>
  <c r="AK566" i="12" s="1"/>
  <c r="AJ567" i="12"/>
  <c r="AK567" i="12"/>
  <c r="AJ568" i="12"/>
  <c r="AK568" i="12" s="1"/>
  <c r="AJ569" i="12"/>
  <c r="AK569" i="12"/>
  <c r="AH570" i="12"/>
  <c r="AH569" i="12" s="1"/>
  <c r="AH568" i="12" s="1"/>
  <c r="AH567" i="12" s="1"/>
  <c r="AJ570" i="12"/>
  <c r="AK570" i="12" s="1"/>
  <c r="AF571" i="12"/>
  <c r="AG571" i="12"/>
  <c r="AG570" i="12" s="1"/>
  <c r="AG569" i="12" s="1"/>
  <c r="AG568" i="12" s="1"/>
  <c r="AG567" i="12" s="1"/>
  <c r="AH571" i="12"/>
  <c r="AI571" i="12"/>
  <c r="AI570" i="12" s="1"/>
  <c r="AI569" i="12" s="1"/>
  <c r="AI568" i="12" s="1"/>
  <c r="AI567" i="12" s="1"/>
  <c r="AJ571" i="12"/>
  <c r="AK571" i="12" s="1"/>
  <c r="AE572" i="12"/>
  <c r="AJ572" i="12"/>
  <c r="AK572" i="12" s="1"/>
  <c r="AJ573" i="12"/>
  <c r="AK573" i="12" s="1"/>
  <c r="AJ574" i="12"/>
  <c r="AK574" i="12" s="1"/>
  <c r="I575" i="12"/>
  <c r="I573" i="12" s="1"/>
  <c r="AJ575" i="12"/>
  <c r="AK575" i="12" s="1"/>
  <c r="K576" i="12"/>
  <c r="K575" i="12" s="1"/>
  <c r="K573" i="12" s="1"/>
  <c r="AJ576" i="12"/>
  <c r="AK576" i="12" s="1"/>
  <c r="I577" i="12"/>
  <c r="I576" i="12" s="1"/>
  <c r="J577" i="12"/>
  <c r="J576" i="12" s="1"/>
  <c r="J575" i="12" s="1"/>
  <c r="J573" i="12" s="1"/>
  <c r="K577" i="12"/>
  <c r="L577" i="12"/>
  <c r="L576" i="12" s="1"/>
  <c r="L575" i="12" s="1"/>
  <c r="L573" i="12" s="1"/>
  <c r="M577" i="12"/>
  <c r="M576" i="12" s="1"/>
  <c r="M575" i="12" s="1"/>
  <c r="M573" i="12" s="1"/>
  <c r="N577" i="12"/>
  <c r="N576" i="12" s="1"/>
  <c r="N575" i="12" s="1"/>
  <c r="N573" i="12" s="1"/>
  <c r="O577" i="12"/>
  <c r="O576" i="12" s="1"/>
  <c r="O575" i="12" s="1"/>
  <c r="O573" i="12" s="1"/>
  <c r="T577" i="12"/>
  <c r="U577" i="12"/>
  <c r="U576" i="12" s="1"/>
  <c r="U575" i="12" s="1"/>
  <c r="U573" i="12" s="1"/>
  <c r="V577" i="12"/>
  <c r="V576" i="12" s="1"/>
  <c r="W577" i="12"/>
  <c r="W576" i="12" s="1"/>
  <c r="W575" i="12" s="1"/>
  <c r="X577" i="12"/>
  <c r="X576" i="12" s="1"/>
  <c r="X575" i="12" s="1"/>
  <c r="Y577" i="12"/>
  <c r="Y576" i="12" s="1"/>
  <c r="Y575" i="12" s="1"/>
  <c r="Z577" i="12"/>
  <c r="AB577" i="12"/>
  <c r="AC577" i="12"/>
  <c r="AC576" i="12" s="1"/>
  <c r="AC575" i="12" s="1"/>
  <c r="AF577" i="12"/>
  <c r="AG577" i="12"/>
  <c r="AG576" i="12" s="1"/>
  <c r="AG575" i="12" s="1"/>
  <c r="AH577" i="12"/>
  <c r="AH576" i="12" s="1"/>
  <c r="AH575" i="12" s="1"/>
  <c r="AH573" i="12" s="1"/>
  <c r="AI577" i="12"/>
  <c r="AI576" i="12" s="1"/>
  <c r="AI575" i="12" s="1"/>
  <c r="AJ577" i="12"/>
  <c r="AK577" i="12" s="1"/>
  <c r="P578" i="12"/>
  <c r="Z578" i="12"/>
  <c r="AA578" i="12"/>
  <c r="AD578" i="12"/>
  <c r="AE578" i="12"/>
  <c r="AJ578" i="12"/>
  <c r="AK578" i="12" s="1"/>
  <c r="AJ579" i="12"/>
  <c r="AK579" i="12"/>
  <c r="AJ580" i="12"/>
  <c r="AK580" i="12" s="1"/>
  <c r="AJ581" i="12"/>
  <c r="AK581" i="12"/>
  <c r="V582" i="12"/>
  <c r="V581" i="12" s="1"/>
  <c r="V580" i="12" s="1"/>
  <c r="V579" i="12" s="1"/>
  <c r="W582" i="12"/>
  <c r="W581" i="12" s="1"/>
  <c r="W580" i="12" s="1"/>
  <c r="W579" i="12" s="1"/>
  <c r="X582" i="12"/>
  <c r="X581" i="12" s="1"/>
  <c r="X580" i="12" s="1"/>
  <c r="X579" i="12" s="1"/>
  <c r="Y582" i="12"/>
  <c r="AA582" i="12"/>
  <c r="AB582" i="12"/>
  <c r="AB581" i="12" s="1"/>
  <c r="AC582" i="12"/>
  <c r="AF582" i="12"/>
  <c r="AG582" i="12"/>
  <c r="AG581" i="12" s="1"/>
  <c r="AG580" i="12" s="1"/>
  <c r="AG579" i="12" s="1"/>
  <c r="AH582" i="12"/>
  <c r="AH581" i="12" s="1"/>
  <c r="AH580" i="12" s="1"/>
  <c r="AH579" i="12" s="1"/>
  <c r="AI582" i="12"/>
  <c r="AI581" i="12" s="1"/>
  <c r="AI580" i="12" s="1"/>
  <c r="AI579" i="12" s="1"/>
  <c r="AJ582" i="12"/>
  <c r="AK582" i="12" s="1"/>
  <c r="P583" i="12"/>
  <c r="Z583" i="12"/>
  <c r="AA583" i="12"/>
  <c r="AD583" i="12"/>
  <c r="AE583" i="12"/>
  <c r="AJ583" i="12"/>
  <c r="AK583" i="12" s="1"/>
  <c r="AJ584" i="12"/>
  <c r="AK584" i="12" s="1"/>
  <c r="AJ585" i="12"/>
  <c r="AK585" i="12"/>
  <c r="X586" i="12"/>
  <c r="AJ586" i="12"/>
  <c r="AK586" i="12" s="1"/>
  <c r="W587" i="12"/>
  <c r="W586" i="12" s="1"/>
  <c r="AG587" i="12"/>
  <c r="AG586" i="12" s="1"/>
  <c r="AI587" i="12"/>
  <c r="AI586" i="12" s="1"/>
  <c r="AJ587" i="12"/>
  <c r="AK587" i="12" s="1"/>
  <c r="U588" i="12"/>
  <c r="U587" i="12" s="1"/>
  <c r="U586" i="12" s="1"/>
  <c r="U584" i="12" s="1"/>
  <c r="V588" i="12"/>
  <c r="V587" i="12" s="1"/>
  <c r="V586" i="12" s="1"/>
  <c r="W588" i="12"/>
  <c r="X588" i="12"/>
  <c r="X587" i="12" s="1"/>
  <c r="Y588" i="12"/>
  <c r="Y587" i="12" s="1"/>
  <c r="Z588" i="12"/>
  <c r="AB588" i="12"/>
  <c r="AB587" i="12" s="1"/>
  <c r="AC588" i="12"/>
  <c r="AC587" i="12" s="1"/>
  <c r="AD587" i="12" s="1"/>
  <c r="AD588" i="12"/>
  <c r="AF588" i="12"/>
  <c r="AF587" i="12" s="1"/>
  <c r="AG588" i="12"/>
  <c r="AH588" i="12"/>
  <c r="AH587" i="12" s="1"/>
  <c r="AH586" i="12" s="1"/>
  <c r="AI588" i="12"/>
  <c r="AJ588" i="12"/>
  <c r="AK588" i="12" s="1"/>
  <c r="AJ589" i="12"/>
  <c r="AK589" i="12" s="1"/>
  <c r="AJ590" i="12"/>
  <c r="AK590" i="12" s="1"/>
  <c r="AJ591" i="12"/>
  <c r="AK591" i="12" s="1"/>
  <c r="AJ592" i="12"/>
  <c r="AK592" i="12" s="1"/>
  <c r="V593" i="12"/>
  <c r="V592" i="12" s="1"/>
  <c r="V591" i="12" s="1"/>
  <c r="V590" i="12" s="1"/>
  <c r="W593" i="12"/>
  <c r="W592" i="12" s="1"/>
  <c r="W591" i="12" s="1"/>
  <c r="W590" i="12" s="1"/>
  <c r="X593" i="12"/>
  <c r="X592" i="12" s="1"/>
  <c r="X591" i="12" s="1"/>
  <c r="X590" i="12" s="1"/>
  <c r="Y593" i="12"/>
  <c r="AB593" i="12"/>
  <c r="AC593" i="12"/>
  <c r="AC592" i="12" s="1"/>
  <c r="AF593" i="12"/>
  <c r="AG593" i="12"/>
  <c r="AG592" i="12" s="1"/>
  <c r="AG591" i="12" s="1"/>
  <c r="AG590" i="12" s="1"/>
  <c r="AH593" i="12"/>
  <c r="AH592" i="12" s="1"/>
  <c r="AH591" i="12" s="1"/>
  <c r="AH590" i="12" s="1"/>
  <c r="AI593" i="12"/>
  <c r="AI592" i="12" s="1"/>
  <c r="AI591" i="12" s="1"/>
  <c r="AI590" i="12" s="1"/>
  <c r="AJ593" i="12"/>
  <c r="AK593" i="12" s="1"/>
  <c r="AJ594" i="12"/>
  <c r="AK594" i="12" s="1"/>
  <c r="AJ595" i="12"/>
  <c r="AK595" i="12" s="1"/>
  <c r="AJ596" i="12"/>
  <c r="AK596" i="12" s="1"/>
  <c r="AJ597" i="12"/>
  <c r="AK597" i="12" s="1"/>
  <c r="I598" i="12"/>
  <c r="I597" i="12" s="1"/>
  <c r="I595" i="12" s="1"/>
  <c r="M598" i="12"/>
  <c r="M597" i="12" s="1"/>
  <c r="M595" i="12" s="1"/>
  <c r="AF598" i="12"/>
  <c r="AJ598" i="12"/>
  <c r="AK598" i="12" s="1"/>
  <c r="I599" i="12"/>
  <c r="J599" i="12"/>
  <c r="J598" i="12" s="1"/>
  <c r="J597" i="12" s="1"/>
  <c r="J595" i="12" s="1"/>
  <c r="K599" i="12"/>
  <c r="K598" i="12" s="1"/>
  <c r="K597" i="12" s="1"/>
  <c r="K595" i="12" s="1"/>
  <c r="L599" i="12"/>
  <c r="L598" i="12" s="1"/>
  <c r="L597" i="12" s="1"/>
  <c r="L595" i="12" s="1"/>
  <c r="M599" i="12"/>
  <c r="N599" i="12"/>
  <c r="N598" i="12" s="1"/>
  <c r="N597" i="12" s="1"/>
  <c r="N595" i="12" s="1"/>
  <c r="O599" i="12"/>
  <c r="O598" i="12" s="1"/>
  <c r="O597" i="12" s="1"/>
  <c r="O595" i="12" s="1"/>
  <c r="T599" i="12"/>
  <c r="U599" i="12"/>
  <c r="U598" i="12" s="1"/>
  <c r="U597" i="12" s="1"/>
  <c r="U595" i="12" s="1"/>
  <c r="V599" i="12"/>
  <c r="V598" i="12" s="1"/>
  <c r="V597" i="12" s="1"/>
  <c r="W599" i="12"/>
  <c r="W598" i="12" s="1"/>
  <c r="W597" i="12" s="1"/>
  <c r="X599" i="12"/>
  <c r="X598" i="12" s="1"/>
  <c r="X597" i="12" s="1"/>
  <c r="X595" i="12" s="1"/>
  <c r="Y599" i="12"/>
  <c r="Y598" i="12" s="1"/>
  <c r="Z599" i="12"/>
  <c r="AB599" i="12"/>
  <c r="AB598" i="12" s="1"/>
  <c r="AC599" i="12"/>
  <c r="AC598" i="12" s="1"/>
  <c r="AF599" i="12"/>
  <c r="AG599" i="12"/>
  <c r="AG598" i="12" s="1"/>
  <c r="AG597" i="12" s="1"/>
  <c r="AH599" i="12"/>
  <c r="AH598" i="12" s="1"/>
  <c r="AH597" i="12" s="1"/>
  <c r="AI599" i="12"/>
  <c r="AI598" i="12" s="1"/>
  <c r="AI597" i="12" s="1"/>
  <c r="AJ599" i="12"/>
  <c r="AK599" i="12" s="1"/>
  <c r="P600" i="12"/>
  <c r="Z600" i="12"/>
  <c r="AA600" i="12"/>
  <c r="AD600" i="12"/>
  <c r="AE600" i="12"/>
  <c r="AJ600" i="12"/>
  <c r="AK600" i="12" s="1"/>
  <c r="AJ601" i="12"/>
  <c r="AK601" i="12" s="1"/>
  <c r="AJ602" i="12"/>
  <c r="AK602" i="12"/>
  <c r="AJ603" i="12"/>
  <c r="AK603" i="12" s="1"/>
  <c r="AG604" i="12"/>
  <c r="AG603" i="12" s="1"/>
  <c r="AJ604" i="12"/>
  <c r="AK604" i="12" s="1"/>
  <c r="I605" i="12"/>
  <c r="I604" i="12" s="1"/>
  <c r="I603" i="12" s="1"/>
  <c r="I601" i="12" s="1"/>
  <c r="J605" i="12"/>
  <c r="J604" i="12" s="1"/>
  <c r="J603" i="12" s="1"/>
  <c r="J601" i="12" s="1"/>
  <c r="K605" i="12"/>
  <c r="K604" i="12" s="1"/>
  <c r="K603" i="12" s="1"/>
  <c r="K601" i="12" s="1"/>
  <c r="L605" i="12"/>
  <c r="L604" i="12" s="1"/>
  <c r="L603" i="12" s="1"/>
  <c r="L601" i="12" s="1"/>
  <c r="M605" i="12"/>
  <c r="M604" i="12" s="1"/>
  <c r="M603" i="12" s="1"/>
  <c r="M601" i="12" s="1"/>
  <c r="N605" i="12"/>
  <c r="N604" i="12" s="1"/>
  <c r="N603" i="12" s="1"/>
  <c r="N601" i="12" s="1"/>
  <c r="O605" i="12"/>
  <c r="O604" i="12" s="1"/>
  <c r="O603" i="12" s="1"/>
  <c r="O601" i="12" s="1"/>
  <c r="T605" i="12"/>
  <c r="T604" i="12" s="1"/>
  <c r="U605" i="12"/>
  <c r="U604" i="12" s="1"/>
  <c r="U603" i="12" s="1"/>
  <c r="U601" i="12" s="1"/>
  <c r="V605" i="12"/>
  <c r="V604" i="12" s="1"/>
  <c r="V603" i="12" s="1"/>
  <c r="W605" i="12"/>
  <c r="W604" i="12" s="1"/>
  <c r="W603" i="12" s="1"/>
  <c r="X605" i="12"/>
  <c r="X604" i="12" s="1"/>
  <c r="X603" i="12" s="1"/>
  <c r="Y605" i="12"/>
  <c r="AA605" i="12"/>
  <c r="AB605" i="12"/>
  <c r="AB604" i="12" s="1"/>
  <c r="AC605" i="12"/>
  <c r="AD605" i="12" s="1"/>
  <c r="AE605" i="12"/>
  <c r="AF605" i="12"/>
  <c r="AF604" i="12" s="1"/>
  <c r="AG605" i="12"/>
  <c r="AH605" i="12"/>
  <c r="AH604" i="12" s="1"/>
  <c r="AH603" i="12" s="1"/>
  <c r="AI605" i="12"/>
  <c r="AI604" i="12" s="1"/>
  <c r="AI603" i="12" s="1"/>
  <c r="AJ605" i="12"/>
  <c r="AK605" i="12" s="1"/>
  <c r="P606" i="12"/>
  <c r="Z606" i="12"/>
  <c r="AA606" i="12"/>
  <c r="AD606" i="12"/>
  <c r="AE606" i="12"/>
  <c r="AJ606" i="12"/>
  <c r="AK606" i="12" s="1"/>
  <c r="V607" i="12"/>
  <c r="AJ607" i="12"/>
  <c r="AK607" i="12"/>
  <c r="V608" i="12"/>
  <c r="AJ608" i="12"/>
  <c r="AK608" i="12" s="1"/>
  <c r="AJ609" i="12"/>
  <c r="AK609" i="12" s="1"/>
  <c r="Y610" i="12"/>
  <c r="Y609" i="12" s="1"/>
  <c r="Y608" i="12" s="1"/>
  <c r="Y607" i="12" s="1"/>
  <c r="AJ610" i="12"/>
  <c r="AK610" i="12" s="1"/>
  <c r="V611" i="12"/>
  <c r="Y611" i="12"/>
  <c r="AB611" i="12"/>
  <c r="AB610" i="12" s="1"/>
  <c r="AB609" i="12" s="1"/>
  <c r="AC611" i="12"/>
  <c r="AF611" i="12"/>
  <c r="AF610" i="12" s="1"/>
  <c r="AF609" i="12" s="1"/>
  <c r="AG611" i="12"/>
  <c r="AG610" i="12" s="1"/>
  <c r="AG609" i="12" s="1"/>
  <c r="AH611" i="12"/>
  <c r="AH610" i="12" s="1"/>
  <c r="AH609" i="12" s="1"/>
  <c r="AI611" i="12"/>
  <c r="AI610" i="12" s="1"/>
  <c r="AI609" i="12" s="1"/>
  <c r="AI608" i="12" s="1"/>
  <c r="AJ611" i="12"/>
  <c r="AK611" i="12"/>
  <c r="AA612" i="12"/>
  <c r="AD612" i="12"/>
  <c r="AE612" i="12"/>
  <c r="AJ612" i="12"/>
  <c r="AK612" i="12" s="1"/>
  <c r="AJ613" i="12"/>
  <c r="AK613" i="12" s="1"/>
  <c r="AJ614" i="12"/>
  <c r="AK614" i="12"/>
  <c r="AJ615" i="12"/>
  <c r="AK615" i="12" s="1"/>
  <c r="AC616" i="12"/>
  <c r="AJ616" i="12"/>
  <c r="AK616" i="12"/>
  <c r="I617" i="12"/>
  <c r="I616" i="12" s="1"/>
  <c r="I615" i="12" s="1"/>
  <c r="I613" i="12" s="1"/>
  <c r="J617" i="12"/>
  <c r="U617" i="12"/>
  <c r="U616" i="12" s="1"/>
  <c r="U615" i="12" s="1"/>
  <c r="U613" i="12" s="1"/>
  <c r="AB617" i="12"/>
  <c r="AC617" i="12"/>
  <c r="AE617" i="12"/>
  <c r="AF617" i="12"/>
  <c r="AF616" i="12" s="1"/>
  <c r="AG617" i="12"/>
  <c r="AG616" i="12" s="1"/>
  <c r="AG615" i="12" s="1"/>
  <c r="AH617" i="12"/>
  <c r="AH616" i="12" s="1"/>
  <c r="AH615" i="12" s="1"/>
  <c r="AI617" i="12"/>
  <c r="AI616" i="12" s="1"/>
  <c r="AI615" i="12" s="1"/>
  <c r="AJ617" i="12"/>
  <c r="AK617" i="12" s="1"/>
  <c r="K618" i="12"/>
  <c r="L618" i="12"/>
  <c r="P618" i="12"/>
  <c r="AJ618" i="12"/>
  <c r="AK618" i="12"/>
  <c r="AJ619" i="12"/>
  <c r="AK619" i="12" s="1"/>
  <c r="AJ620" i="12"/>
  <c r="AK620" i="12"/>
  <c r="AJ621" i="12"/>
  <c r="AK621" i="12" s="1"/>
  <c r="AE622" i="12"/>
  <c r="AJ622" i="12"/>
  <c r="AK622" i="12"/>
  <c r="AJ623" i="12"/>
  <c r="AK623" i="12" s="1"/>
  <c r="AJ624" i="12"/>
  <c r="AK624" i="12" s="1"/>
  <c r="M625" i="12"/>
  <c r="AJ625" i="12"/>
  <c r="AK625" i="12" s="1"/>
  <c r="J626" i="12"/>
  <c r="K626" i="12" s="1"/>
  <c r="N626" i="12"/>
  <c r="N625" i="12" s="1"/>
  <c r="N623" i="12" s="1"/>
  <c r="X626" i="12"/>
  <c r="X625" i="12" s="1"/>
  <c r="AH626" i="12"/>
  <c r="AH625" i="12" s="1"/>
  <c r="AH624" i="12" s="1"/>
  <c r="AJ626" i="12"/>
  <c r="AK626" i="12" s="1"/>
  <c r="I627" i="12"/>
  <c r="I626" i="12" s="1"/>
  <c r="I625" i="12" s="1"/>
  <c r="I623" i="12" s="1"/>
  <c r="J627" i="12"/>
  <c r="K627" i="12"/>
  <c r="M627" i="12"/>
  <c r="M626" i="12" s="1"/>
  <c r="N627" i="12"/>
  <c r="O627" i="12"/>
  <c r="O626" i="12" s="1"/>
  <c r="O625" i="12" s="1"/>
  <c r="O623" i="12" s="1"/>
  <c r="Q627" i="12"/>
  <c r="Q626" i="12" s="1"/>
  <c r="Q625" i="12" s="1"/>
  <c r="Q623" i="12" s="1"/>
  <c r="R627" i="12"/>
  <c r="R626" i="12" s="1"/>
  <c r="R625" i="12" s="1"/>
  <c r="R623" i="12" s="1"/>
  <c r="S627" i="12"/>
  <c r="S626" i="12" s="1"/>
  <c r="S625" i="12" s="1"/>
  <c r="S623" i="12" s="1"/>
  <c r="T627" i="12"/>
  <c r="U627" i="12"/>
  <c r="U626" i="12" s="1"/>
  <c r="U625" i="12" s="1"/>
  <c r="U623" i="12" s="1"/>
  <c r="V627" i="12"/>
  <c r="V626" i="12" s="1"/>
  <c r="V625" i="12" s="1"/>
  <c r="V623" i="12" s="1"/>
  <c r="W627" i="12"/>
  <c r="W626" i="12" s="1"/>
  <c r="W625" i="12" s="1"/>
  <c r="X627" i="12"/>
  <c r="Y627" i="12"/>
  <c r="AA627" i="12"/>
  <c r="AB627" i="12"/>
  <c r="AB626" i="12" s="1"/>
  <c r="AC627" i="12"/>
  <c r="AF627" i="12"/>
  <c r="AG627" i="12"/>
  <c r="AG626" i="12" s="1"/>
  <c r="AG625" i="12" s="1"/>
  <c r="AH627" i="12"/>
  <c r="AI627" i="12"/>
  <c r="AI626" i="12" s="1"/>
  <c r="AI625" i="12" s="1"/>
  <c r="AJ627" i="12"/>
  <c r="AK627" i="12" s="1"/>
  <c r="Z628" i="12"/>
  <c r="AA628" i="12"/>
  <c r="AD628" i="12"/>
  <c r="AE628" i="12"/>
  <c r="AJ628" i="12"/>
  <c r="AK628" i="12"/>
  <c r="K629" i="12"/>
  <c r="L629" i="12"/>
  <c r="P629" i="12"/>
  <c r="Z629" i="12"/>
  <c r="AA629" i="12"/>
  <c r="AD629" i="12"/>
  <c r="AE629" i="12"/>
  <c r="AJ629" i="12"/>
  <c r="AK629" i="12" s="1"/>
  <c r="AJ630" i="12"/>
  <c r="AK630" i="12" s="1"/>
  <c r="AJ631" i="12"/>
  <c r="AK631" i="12"/>
  <c r="R632" i="12"/>
  <c r="R630" i="12" s="1"/>
  <c r="AJ632" i="12"/>
  <c r="AK632" i="12" s="1"/>
  <c r="AJ633" i="12"/>
  <c r="AK633" i="12" s="1"/>
  <c r="U634" i="12"/>
  <c r="U633" i="12" s="1"/>
  <c r="AB634" i="12"/>
  <c r="AB633" i="12" s="1"/>
  <c r="AC634" i="12"/>
  <c r="AF634" i="12"/>
  <c r="AJ634" i="12"/>
  <c r="AK634" i="12" s="1"/>
  <c r="AD635" i="12"/>
  <c r="AE635" i="12"/>
  <c r="AJ635" i="12"/>
  <c r="AK635" i="12" s="1"/>
  <c r="I636" i="12"/>
  <c r="I632" i="12" s="1"/>
  <c r="I630" i="12" s="1"/>
  <c r="Q636" i="12"/>
  <c r="Q632" i="12" s="1"/>
  <c r="Q630" i="12" s="1"/>
  <c r="S636" i="12"/>
  <c r="S632" i="12" s="1"/>
  <c r="S630" i="12" s="1"/>
  <c r="W636" i="12"/>
  <c r="W632" i="12" s="1"/>
  <c r="W630" i="12" s="1"/>
  <c r="AJ636" i="12"/>
  <c r="AK636" i="12" s="1"/>
  <c r="I637" i="12"/>
  <c r="J637" i="12"/>
  <c r="K637" i="12" s="1"/>
  <c r="L637" i="12"/>
  <c r="M637" i="12"/>
  <c r="M636" i="12" s="1"/>
  <c r="N637" i="12"/>
  <c r="N636" i="12" s="1"/>
  <c r="N632" i="12" s="1"/>
  <c r="N630" i="12" s="1"/>
  <c r="O637" i="12"/>
  <c r="O636" i="12" s="1"/>
  <c r="O632" i="12" s="1"/>
  <c r="O630" i="12" s="1"/>
  <c r="Q637" i="12"/>
  <c r="R637" i="12"/>
  <c r="R636" i="12" s="1"/>
  <c r="S637" i="12"/>
  <c r="T637" i="12"/>
  <c r="T636" i="12" s="1"/>
  <c r="U637" i="12"/>
  <c r="U636" i="12" s="1"/>
  <c r="U632" i="12" s="1"/>
  <c r="U630" i="12" s="1"/>
  <c r="V637" i="12"/>
  <c r="V636" i="12" s="1"/>
  <c r="V632" i="12" s="1"/>
  <c r="W637" i="12"/>
  <c r="X637" i="12"/>
  <c r="X636" i="12" s="1"/>
  <c r="X632" i="12" s="1"/>
  <c r="Y637" i="12"/>
  <c r="Z637" i="12" s="1"/>
  <c r="AB637" i="12"/>
  <c r="AC637" i="12"/>
  <c r="AC636" i="12" s="1"/>
  <c r="AF637" i="12"/>
  <c r="AG637" i="12"/>
  <c r="AG636" i="12" s="1"/>
  <c r="AG632" i="12" s="1"/>
  <c r="AH637" i="12"/>
  <c r="AH636" i="12" s="1"/>
  <c r="AH632" i="12" s="1"/>
  <c r="AI637" i="12"/>
  <c r="AI636" i="12" s="1"/>
  <c r="AI632" i="12" s="1"/>
  <c r="AJ637" i="12"/>
  <c r="AK637" i="12" s="1"/>
  <c r="K638" i="12"/>
  <c r="L638" i="12"/>
  <c r="P638" i="12"/>
  <c r="Z638" i="12"/>
  <c r="AA638" i="12"/>
  <c r="AD638" i="12"/>
  <c r="AE638" i="12"/>
  <c r="AJ638" i="12"/>
  <c r="AK638" i="12" s="1"/>
  <c r="AJ639" i="12"/>
  <c r="AK639" i="12"/>
  <c r="AJ640" i="12"/>
  <c r="AK640" i="12" s="1"/>
  <c r="AF641" i="12"/>
  <c r="AF640" i="12" s="1"/>
  <c r="AF639" i="12" s="1"/>
  <c r="AJ641" i="12"/>
  <c r="AK641" i="12" s="1"/>
  <c r="AF642" i="12"/>
  <c r="AJ642" i="12"/>
  <c r="AK642" i="12"/>
  <c r="AE643" i="12"/>
  <c r="AE642" i="12" s="1"/>
  <c r="AE641" i="12" s="1"/>
  <c r="AE640" i="12" s="1"/>
  <c r="AE639" i="12" s="1"/>
  <c r="AJ643" i="12"/>
  <c r="AK643" i="12" s="1"/>
  <c r="AI644" i="12"/>
  <c r="AJ644" i="12"/>
  <c r="AK644" i="12" s="1"/>
  <c r="AJ645" i="12"/>
  <c r="AK645" i="12" s="1"/>
  <c r="AJ646" i="12"/>
  <c r="AK646" i="12" s="1"/>
  <c r="I647" i="12"/>
  <c r="I646" i="12" s="1"/>
  <c r="I644" i="12" s="1"/>
  <c r="S647" i="12"/>
  <c r="S646" i="12" s="1"/>
  <c r="S644" i="12" s="1"/>
  <c r="AC647" i="12"/>
  <c r="AJ647" i="12"/>
  <c r="AK647" i="12"/>
  <c r="I648" i="12"/>
  <c r="J648" i="12"/>
  <c r="M648" i="12"/>
  <c r="N648" i="12"/>
  <c r="N647" i="12" s="1"/>
  <c r="N646" i="12" s="1"/>
  <c r="N644" i="12" s="1"/>
  <c r="O648" i="12"/>
  <c r="O647" i="12" s="1"/>
  <c r="O646" i="12" s="1"/>
  <c r="O644" i="12" s="1"/>
  <c r="Q648" i="12"/>
  <c r="Q647" i="12" s="1"/>
  <c r="Q646" i="12" s="1"/>
  <c r="Q644" i="12" s="1"/>
  <c r="R648" i="12"/>
  <c r="R647" i="12" s="1"/>
  <c r="R646" i="12" s="1"/>
  <c r="R644" i="12" s="1"/>
  <c r="S648" i="12"/>
  <c r="T648" i="12"/>
  <c r="T647" i="12" s="1"/>
  <c r="U648" i="12"/>
  <c r="U647" i="12" s="1"/>
  <c r="U646" i="12" s="1"/>
  <c r="U644" i="12" s="1"/>
  <c r="V648" i="12"/>
  <c r="V647" i="12" s="1"/>
  <c r="V646" i="12" s="1"/>
  <c r="W648" i="12"/>
  <c r="W647" i="12" s="1"/>
  <c r="W646" i="12" s="1"/>
  <c r="W644" i="12" s="1"/>
  <c r="X648" i="12"/>
  <c r="X647" i="12" s="1"/>
  <c r="X646" i="12" s="1"/>
  <c r="Y648" i="12"/>
  <c r="Y647" i="12" s="1"/>
  <c r="Z648" i="12"/>
  <c r="AB648" i="12"/>
  <c r="AC648" i="12"/>
  <c r="AF648" i="12"/>
  <c r="AG648" i="12"/>
  <c r="AG647" i="12" s="1"/>
  <c r="AG646" i="12" s="1"/>
  <c r="AH648" i="12"/>
  <c r="AH647" i="12" s="1"/>
  <c r="AH646" i="12" s="1"/>
  <c r="AI648" i="12"/>
  <c r="AI647" i="12" s="1"/>
  <c r="AI646" i="12" s="1"/>
  <c r="AI645" i="12" s="1"/>
  <c r="AJ648" i="12"/>
  <c r="AK648" i="12" s="1"/>
  <c r="K649" i="12"/>
  <c r="L649" i="12"/>
  <c r="P649" i="12"/>
  <c r="Z649" i="12"/>
  <c r="AA649" i="12"/>
  <c r="AD649" i="12"/>
  <c r="AE649" i="12"/>
  <c r="AJ649" i="12"/>
  <c r="AK649" i="12"/>
  <c r="AJ650" i="12"/>
  <c r="AK650" i="12" s="1"/>
  <c r="AJ651" i="12"/>
  <c r="AK651" i="12" s="1"/>
  <c r="AJ652" i="12"/>
  <c r="AK652" i="12" s="1"/>
  <c r="AE653" i="12"/>
  <c r="AG653" i="12"/>
  <c r="AG652" i="12" s="1"/>
  <c r="AG651" i="12" s="1"/>
  <c r="AJ653" i="12"/>
  <c r="AK653" i="12"/>
  <c r="V654" i="12"/>
  <c r="V653" i="12" s="1"/>
  <c r="Y654" i="12"/>
  <c r="Y653" i="12" s="1"/>
  <c r="Y652" i="12" s="1"/>
  <c r="Y651" i="12" s="1"/>
  <c r="AB654" i="12"/>
  <c r="AB653" i="12" s="1"/>
  <c r="AB652" i="12" s="1"/>
  <c r="AC654" i="12"/>
  <c r="AC653" i="12" s="1"/>
  <c r="AD654" i="12"/>
  <c r="AF654" i="12"/>
  <c r="AF653" i="12" s="1"/>
  <c r="AF652" i="12" s="1"/>
  <c r="AG654" i="12"/>
  <c r="AH654" i="12"/>
  <c r="AH653" i="12" s="1"/>
  <c r="AH652" i="12" s="1"/>
  <c r="AH651" i="12" s="1"/>
  <c r="AI654" i="12"/>
  <c r="AI653" i="12" s="1"/>
  <c r="AI652" i="12" s="1"/>
  <c r="AI651" i="12" s="1"/>
  <c r="AJ654" i="12"/>
  <c r="AK654" i="12" s="1"/>
  <c r="K655" i="12"/>
  <c r="L655" i="12"/>
  <c r="P655" i="12"/>
  <c r="Z655" i="12"/>
  <c r="AA655" i="12"/>
  <c r="AD655" i="12"/>
  <c r="AE655" i="12"/>
  <c r="AJ655" i="12"/>
  <c r="AK655" i="12" s="1"/>
  <c r="AJ656" i="12"/>
  <c r="AK656" i="12"/>
  <c r="X657" i="12"/>
  <c r="AJ657" i="12"/>
  <c r="AK657" i="12" s="1"/>
  <c r="I658" i="12"/>
  <c r="I657" i="12" s="1"/>
  <c r="I650" i="12" s="1"/>
  <c r="S658" i="12"/>
  <c r="S657" i="12" s="1"/>
  <c r="S650" i="12" s="1"/>
  <c r="AC658" i="12"/>
  <c r="AD658" i="12" s="1"/>
  <c r="AJ658" i="12"/>
  <c r="AK658" i="12"/>
  <c r="I659" i="12"/>
  <c r="J659" i="12"/>
  <c r="M659" i="12"/>
  <c r="N659" i="12"/>
  <c r="N658" i="12" s="1"/>
  <c r="N657" i="12" s="1"/>
  <c r="N650" i="12" s="1"/>
  <c r="O659" i="12"/>
  <c r="O658" i="12" s="1"/>
  <c r="O657" i="12" s="1"/>
  <c r="O650" i="12" s="1"/>
  <c r="Q659" i="12"/>
  <c r="Q658" i="12" s="1"/>
  <c r="Q657" i="12" s="1"/>
  <c r="Q650" i="12" s="1"/>
  <c r="R659" i="12"/>
  <c r="R658" i="12" s="1"/>
  <c r="R657" i="12" s="1"/>
  <c r="R650" i="12" s="1"/>
  <c r="S659" i="12"/>
  <c r="T659" i="12"/>
  <c r="U659" i="12"/>
  <c r="U658" i="12" s="1"/>
  <c r="U657" i="12" s="1"/>
  <c r="U650" i="12" s="1"/>
  <c r="V659" i="12"/>
  <c r="V658" i="12" s="1"/>
  <c r="V657" i="12" s="1"/>
  <c r="W659" i="12"/>
  <c r="W658" i="12" s="1"/>
  <c r="W657" i="12" s="1"/>
  <c r="X659" i="12"/>
  <c r="X658" i="12" s="1"/>
  <c r="Y659" i="12"/>
  <c r="Y658" i="12" s="1"/>
  <c r="Z658" i="12" s="1"/>
  <c r="Z659" i="12"/>
  <c r="AB659" i="12"/>
  <c r="AB658" i="12" s="1"/>
  <c r="AC659" i="12"/>
  <c r="AD659" i="12"/>
  <c r="AF659" i="12"/>
  <c r="AF658" i="12" s="1"/>
  <c r="AG659" i="12"/>
  <c r="AG658" i="12" s="1"/>
  <c r="AG657" i="12" s="1"/>
  <c r="AH659" i="12"/>
  <c r="AH658" i="12" s="1"/>
  <c r="AH657" i="12" s="1"/>
  <c r="AH656" i="12" s="1"/>
  <c r="AI659" i="12"/>
  <c r="AI658" i="12" s="1"/>
  <c r="AI657" i="12" s="1"/>
  <c r="AJ659" i="12"/>
  <c r="AK659" i="12" s="1"/>
  <c r="Z660" i="12"/>
  <c r="AA660" i="12"/>
  <c r="AD660" i="12"/>
  <c r="AE660" i="12"/>
  <c r="AJ660" i="12"/>
  <c r="AK660" i="12" s="1"/>
  <c r="AJ661" i="12"/>
  <c r="AK661" i="12"/>
  <c r="W662" i="12"/>
  <c r="AJ662" i="12"/>
  <c r="AK662" i="12" s="1"/>
  <c r="V663" i="12"/>
  <c r="AJ663" i="12"/>
  <c r="AK663" i="12" s="1"/>
  <c r="M664" i="12"/>
  <c r="U664" i="12"/>
  <c r="U663" i="12" s="1"/>
  <c r="U661" i="12" s="1"/>
  <c r="AC664" i="12"/>
  <c r="AG664" i="12"/>
  <c r="AG663" i="12" s="1"/>
  <c r="AJ664" i="12"/>
  <c r="AK664" i="12"/>
  <c r="I665" i="12"/>
  <c r="I664" i="12" s="1"/>
  <c r="I663" i="12" s="1"/>
  <c r="I661" i="12" s="1"/>
  <c r="J665" i="12"/>
  <c r="M665" i="12"/>
  <c r="L665" i="12" s="1"/>
  <c r="N665" i="12"/>
  <c r="N664" i="12" s="1"/>
  <c r="N663" i="12" s="1"/>
  <c r="N661" i="12" s="1"/>
  <c r="O665" i="12"/>
  <c r="O664" i="12" s="1"/>
  <c r="O663" i="12" s="1"/>
  <c r="O661" i="12" s="1"/>
  <c r="Q665" i="12"/>
  <c r="Q664" i="12" s="1"/>
  <c r="Q663" i="12" s="1"/>
  <c r="Q661" i="12" s="1"/>
  <c r="R665" i="12"/>
  <c r="R664" i="12" s="1"/>
  <c r="R663" i="12" s="1"/>
  <c r="R661" i="12" s="1"/>
  <c r="S665" i="12"/>
  <c r="S664" i="12" s="1"/>
  <c r="S663" i="12" s="1"/>
  <c r="S661" i="12" s="1"/>
  <c r="T665" i="12"/>
  <c r="T664" i="12" s="1"/>
  <c r="U665" i="12"/>
  <c r="V665" i="12"/>
  <c r="V664" i="12" s="1"/>
  <c r="W665" i="12"/>
  <c r="W664" i="12" s="1"/>
  <c r="W663" i="12" s="1"/>
  <c r="W661" i="12" s="1"/>
  <c r="X665" i="12"/>
  <c r="X664" i="12" s="1"/>
  <c r="X663" i="12" s="1"/>
  <c r="Y665" i="12"/>
  <c r="Y664" i="12" s="1"/>
  <c r="Z665" i="12"/>
  <c r="AB665" i="12"/>
  <c r="AC665" i="12"/>
  <c r="AF665" i="12"/>
  <c r="AG665" i="12"/>
  <c r="AH665" i="12"/>
  <c r="AH664" i="12" s="1"/>
  <c r="AH663" i="12" s="1"/>
  <c r="AI665" i="12"/>
  <c r="AI664" i="12" s="1"/>
  <c r="AI663" i="12" s="1"/>
  <c r="AJ665" i="12"/>
  <c r="AK665" i="12" s="1"/>
  <c r="K666" i="12"/>
  <c r="L666" i="12"/>
  <c r="P666" i="12"/>
  <c r="Z666" i="12"/>
  <c r="AA666" i="12"/>
  <c r="AD666" i="12"/>
  <c r="AE666" i="12"/>
  <c r="AJ666" i="12"/>
  <c r="AK666" i="12"/>
  <c r="AJ667" i="12"/>
  <c r="AK667" i="12" s="1"/>
  <c r="AJ668" i="12"/>
  <c r="AK668" i="12"/>
  <c r="AJ669" i="12"/>
  <c r="AK669" i="12"/>
  <c r="O670" i="12"/>
  <c r="O669" i="12" s="1"/>
  <c r="O667" i="12" s="1"/>
  <c r="AJ670" i="12"/>
  <c r="AK670" i="12" s="1"/>
  <c r="N671" i="12"/>
  <c r="N670" i="12" s="1"/>
  <c r="N669" i="12" s="1"/>
  <c r="N667" i="12" s="1"/>
  <c r="O671" i="12"/>
  <c r="Q671" i="12"/>
  <c r="Q670" i="12" s="1"/>
  <c r="Q669" i="12" s="1"/>
  <c r="Q667" i="12" s="1"/>
  <c r="R671" i="12"/>
  <c r="R670" i="12" s="1"/>
  <c r="R669" i="12" s="1"/>
  <c r="R667" i="12" s="1"/>
  <c r="S671" i="12"/>
  <c r="S670" i="12" s="1"/>
  <c r="S669" i="12" s="1"/>
  <c r="S667" i="12" s="1"/>
  <c r="T671" i="12"/>
  <c r="T670" i="12" s="1"/>
  <c r="U671" i="12"/>
  <c r="U670" i="12" s="1"/>
  <c r="U669" i="12" s="1"/>
  <c r="U667" i="12" s="1"/>
  <c r="V671" i="12"/>
  <c r="V670" i="12" s="1"/>
  <c r="V669" i="12" s="1"/>
  <c r="W671" i="12"/>
  <c r="W670" i="12" s="1"/>
  <c r="W669" i="12" s="1"/>
  <c r="W667" i="12" s="1"/>
  <c r="X671" i="12"/>
  <c r="X670" i="12" s="1"/>
  <c r="X669" i="12" s="1"/>
  <c r="Y671" i="12"/>
  <c r="Z671" i="12" s="1"/>
  <c r="AB671" i="12"/>
  <c r="AB670" i="12" s="1"/>
  <c r="AC671" i="12"/>
  <c r="AD671" i="12" s="1"/>
  <c r="AF671" i="12"/>
  <c r="AF670" i="12" s="1"/>
  <c r="AF669" i="12" s="1"/>
  <c r="AG671" i="12"/>
  <c r="AG670" i="12" s="1"/>
  <c r="AG669" i="12" s="1"/>
  <c r="AH671" i="12"/>
  <c r="AH670" i="12" s="1"/>
  <c r="AH669" i="12" s="1"/>
  <c r="AI671" i="12"/>
  <c r="AI670" i="12" s="1"/>
  <c r="AI669" i="12" s="1"/>
  <c r="AJ671" i="12"/>
  <c r="AK671" i="12"/>
  <c r="P672" i="12"/>
  <c r="Z672" i="12"/>
  <c r="AA672" i="12"/>
  <c r="AD672" i="12"/>
  <c r="AE672" i="12"/>
  <c r="AJ672" i="12"/>
  <c r="AK672" i="12" s="1"/>
  <c r="AE673" i="12"/>
  <c r="AJ673" i="12"/>
  <c r="AK673" i="12"/>
  <c r="AJ674" i="12"/>
  <c r="AK674" i="12" s="1"/>
  <c r="AE675" i="12"/>
  <c r="AJ675" i="12"/>
  <c r="AK675" i="12"/>
  <c r="AJ676" i="12"/>
  <c r="AK676" i="12" s="1"/>
  <c r="AJ677" i="12"/>
  <c r="AK677" i="12" s="1"/>
  <c r="W678" i="12"/>
  <c r="W676" i="12" s="1"/>
  <c r="AJ678" i="12"/>
  <c r="AK678" i="12" s="1"/>
  <c r="N679" i="12"/>
  <c r="N678" i="12" s="1"/>
  <c r="N676" i="12" s="1"/>
  <c r="R679" i="12"/>
  <c r="R678" i="12" s="1"/>
  <c r="R676" i="12" s="1"/>
  <c r="AJ679" i="12"/>
  <c r="AK679" i="12" s="1"/>
  <c r="I680" i="12"/>
  <c r="J680" i="12"/>
  <c r="J679" i="12" s="1"/>
  <c r="M680" i="12"/>
  <c r="N680" i="12"/>
  <c r="O680" i="12"/>
  <c r="O679" i="12" s="1"/>
  <c r="O678" i="12" s="1"/>
  <c r="O676" i="12" s="1"/>
  <c r="Q680" i="12"/>
  <c r="Q679" i="12" s="1"/>
  <c r="Q678" i="12" s="1"/>
  <c r="Q676" i="12" s="1"/>
  <c r="R680" i="12"/>
  <c r="S680" i="12"/>
  <c r="S679" i="12" s="1"/>
  <c r="S678" i="12" s="1"/>
  <c r="S676" i="12" s="1"/>
  <c r="U680" i="12"/>
  <c r="U679" i="12" s="1"/>
  <c r="U678" i="12" s="1"/>
  <c r="U676" i="12" s="1"/>
  <c r="Y680" i="12"/>
  <c r="AC680" i="12"/>
  <c r="AG680" i="12"/>
  <c r="AG679" i="12" s="1"/>
  <c r="AI680" i="12"/>
  <c r="AI679" i="12" s="1"/>
  <c r="AJ680" i="12"/>
  <c r="AK680" i="12" s="1"/>
  <c r="K681" i="12"/>
  <c r="L681" i="12"/>
  <c r="T681" i="12"/>
  <c r="V681" i="12"/>
  <c r="V680" i="12" s="1"/>
  <c r="V679" i="12" s="1"/>
  <c r="W681" i="12"/>
  <c r="W680" i="12" s="1"/>
  <c r="W679" i="12" s="1"/>
  <c r="W677" i="12" s="1"/>
  <c r="X681" i="12"/>
  <c r="X680" i="12" s="1"/>
  <c r="X679" i="12" s="1"/>
  <c r="Z681" i="12"/>
  <c r="AB681" i="12"/>
  <c r="AB680" i="12" s="1"/>
  <c r="AF681" i="12"/>
  <c r="AF680" i="12" s="1"/>
  <c r="AH681" i="12"/>
  <c r="AH680" i="12" s="1"/>
  <c r="AH679" i="12" s="1"/>
  <c r="AI681" i="12"/>
  <c r="AJ681" i="12"/>
  <c r="AK681" i="12" s="1"/>
  <c r="S682" i="12"/>
  <c r="AJ682" i="12"/>
  <c r="AK682" i="12" s="1"/>
  <c r="AJ683" i="12"/>
  <c r="AK683" i="12" s="1"/>
  <c r="AG684" i="12"/>
  <c r="AJ684" i="12"/>
  <c r="AK684" i="12" s="1"/>
  <c r="L685" i="12"/>
  <c r="N685" i="12"/>
  <c r="N684" i="12" s="1"/>
  <c r="N682" i="12" s="1"/>
  <c r="V685" i="12"/>
  <c r="V684" i="12" s="1"/>
  <c r="AF685" i="12"/>
  <c r="AH685" i="12"/>
  <c r="AH684" i="12" s="1"/>
  <c r="AH683" i="12" s="1"/>
  <c r="AJ685" i="12"/>
  <c r="AK685" i="12" s="1"/>
  <c r="I686" i="12"/>
  <c r="I685" i="12" s="1"/>
  <c r="I684" i="12" s="1"/>
  <c r="I682" i="12" s="1"/>
  <c r="J686" i="12"/>
  <c r="J685" i="12" s="1"/>
  <c r="K686" i="12"/>
  <c r="M686" i="12"/>
  <c r="M685" i="12" s="1"/>
  <c r="M684" i="12" s="1"/>
  <c r="N686" i="12"/>
  <c r="O686" i="12"/>
  <c r="O685" i="12" s="1"/>
  <c r="O684" i="12" s="1"/>
  <c r="O682" i="12" s="1"/>
  <c r="Q686" i="12"/>
  <c r="Q685" i="12" s="1"/>
  <c r="Q684" i="12" s="1"/>
  <c r="Q682" i="12" s="1"/>
  <c r="R686" i="12"/>
  <c r="R685" i="12" s="1"/>
  <c r="R684" i="12" s="1"/>
  <c r="R682" i="12" s="1"/>
  <c r="S686" i="12"/>
  <c r="S685" i="12" s="1"/>
  <c r="S684" i="12" s="1"/>
  <c r="T686" i="12"/>
  <c r="P686" i="12" s="1"/>
  <c r="U686" i="12"/>
  <c r="U685" i="12" s="1"/>
  <c r="U684" i="12" s="1"/>
  <c r="V686" i="12"/>
  <c r="W686" i="12"/>
  <c r="W685" i="12" s="1"/>
  <c r="W684" i="12" s="1"/>
  <c r="W683" i="12" s="1"/>
  <c r="X686" i="12"/>
  <c r="X685" i="12" s="1"/>
  <c r="X684" i="12" s="1"/>
  <c r="Y686" i="12"/>
  <c r="Y685" i="12" s="1"/>
  <c r="AB686" i="12"/>
  <c r="AB685" i="12" s="1"/>
  <c r="AC686" i="12"/>
  <c r="AD686" i="12" s="1"/>
  <c r="AE686" i="12"/>
  <c r="AF686" i="12"/>
  <c r="AG686" i="12"/>
  <c r="AG685" i="12" s="1"/>
  <c r="AH686" i="12"/>
  <c r="AI686" i="12"/>
  <c r="AI685" i="12" s="1"/>
  <c r="AI684" i="12" s="1"/>
  <c r="AI683" i="12" s="1"/>
  <c r="AJ686" i="12"/>
  <c r="AK686" i="12" s="1"/>
  <c r="K687" i="12"/>
  <c r="L687" i="12"/>
  <c r="P687" i="12"/>
  <c r="Z687" i="12"/>
  <c r="Z686" i="12" s="1"/>
  <c r="AA687" i="12"/>
  <c r="AA686" i="12" s="1"/>
  <c r="AD687" i="12"/>
  <c r="AE687" i="12"/>
  <c r="AJ687" i="12"/>
  <c r="AK687" i="12" s="1"/>
  <c r="AJ688" i="12"/>
  <c r="AK688" i="12" s="1"/>
  <c r="AF689" i="12"/>
  <c r="AJ689" i="12"/>
  <c r="AK689" i="12" s="1"/>
  <c r="Y690" i="12"/>
  <c r="Y689" i="12" s="1"/>
  <c r="Y688" i="12" s="1"/>
  <c r="AC690" i="12"/>
  <c r="AJ690" i="12"/>
  <c r="AK690" i="12"/>
  <c r="U691" i="12"/>
  <c r="U690" i="12" s="1"/>
  <c r="U689" i="12" s="1"/>
  <c r="U688" i="12" s="1"/>
  <c r="V691" i="12"/>
  <c r="V690" i="12" s="1"/>
  <c r="V689" i="12" s="1"/>
  <c r="V688" i="12" s="1"/>
  <c r="W691" i="12"/>
  <c r="W690" i="12" s="1"/>
  <c r="W689" i="12" s="1"/>
  <c r="W688" i="12" s="1"/>
  <c r="X691" i="12"/>
  <c r="X690" i="12" s="1"/>
  <c r="X689" i="12" s="1"/>
  <c r="X688" i="12" s="1"/>
  <c r="Y691" i="12"/>
  <c r="AB691" i="12"/>
  <c r="AB690" i="12" s="1"/>
  <c r="AB689" i="12" s="1"/>
  <c r="AB688" i="12" s="1"/>
  <c r="AC691" i="12"/>
  <c r="AD691" i="12" s="1"/>
  <c r="AF691" i="12"/>
  <c r="AF690" i="12" s="1"/>
  <c r="AG691" i="12"/>
  <c r="AG690" i="12" s="1"/>
  <c r="AG689" i="12" s="1"/>
  <c r="AG688" i="12" s="1"/>
  <c r="AH691" i="12"/>
  <c r="AH690" i="12" s="1"/>
  <c r="AH689" i="12" s="1"/>
  <c r="AH688" i="12" s="1"/>
  <c r="AI691" i="12"/>
  <c r="AI690" i="12" s="1"/>
  <c r="AI689" i="12" s="1"/>
  <c r="AI688" i="12" s="1"/>
  <c r="AJ691" i="12"/>
  <c r="AK691" i="12" s="1"/>
  <c r="K692" i="12"/>
  <c r="L692" i="12"/>
  <c r="P692" i="12"/>
  <c r="Z692" i="12"/>
  <c r="Z691" i="12" s="1"/>
  <c r="Z690" i="12" s="1"/>
  <c r="Z689" i="12" s="1"/>
  <c r="Z688" i="12" s="1"/>
  <c r="AA692" i="12"/>
  <c r="AA691" i="12" s="1"/>
  <c r="AA690" i="12" s="1"/>
  <c r="AA689" i="12" s="1"/>
  <c r="AA688" i="12" s="1"/>
  <c r="AD692" i="12"/>
  <c r="AE692" i="12"/>
  <c r="AJ692" i="12"/>
  <c r="AK692" i="12"/>
  <c r="X693" i="12"/>
  <c r="AJ693" i="12"/>
  <c r="AK693" i="12" s="1"/>
  <c r="AJ694" i="12"/>
  <c r="AK694" i="12" s="1"/>
  <c r="AJ695" i="12"/>
  <c r="AK695" i="12" s="1"/>
  <c r="N696" i="12"/>
  <c r="N695" i="12" s="1"/>
  <c r="N693" i="12" s="1"/>
  <c r="R696" i="12"/>
  <c r="R695" i="12" s="1"/>
  <c r="R693" i="12" s="1"/>
  <c r="AB696" i="12"/>
  <c r="AB695" i="12" s="1"/>
  <c r="AB693" i="12" s="1"/>
  <c r="AF696" i="12"/>
  <c r="AF695" i="12" s="1"/>
  <c r="AF694" i="12" s="1"/>
  <c r="AJ696" i="12"/>
  <c r="AK696" i="12" s="1"/>
  <c r="I697" i="12"/>
  <c r="J697" i="12"/>
  <c r="J696" i="12" s="1"/>
  <c r="M697" i="12"/>
  <c r="N697" i="12"/>
  <c r="O697" i="12"/>
  <c r="O696" i="12" s="1"/>
  <c r="O695" i="12" s="1"/>
  <c r="O693" i="12" s="1"/>
  <c r="Q697" i="12"/>
  <c r="Q696" i="12" s="1"/>
  <c r="Q695" i="12" s="1"/>
  <c r="Q693" i="12" s="1"/>
  <c r="R697" i="12"/>
  <c r="S697" i="12"/>
  <c r="S696" i="12" s="1"/>
  <c r="S695" i="12" s="1"/>
  <c r="S693" i="12" s="1"/>
  <c r="U697" i="12"/>
  <c r="U696" i="12" s="1"/>
  <c r="U695" i="12" s="1"/>
  <c r="U693" i="12" s="1"/>
  <c r="V697" i="12"/>
  <c r="V696" i="12" s="1"/>
  <c r="V695" i="12" s="1"/>
  <c r="W697" i="12"/>
  <c r="W696" i="12" s="1"/>
  <c r="W695" i="12" s="1"/>
  <c r="X697" i="12"/>
  <c r="X696" i="12" s="1"/>
  <c r="X695" i="12" s="1"/>
  <c r="X694" i="12" s="1"/>
  <c r="Y697" i="12"/>
  <c r="AA697" i="12"/>
  <c r="AB697" i="12"/>
  <c r="AC697" i="12"/>
  <c r="AF697" i="12"/>
  <c r="AE697" i="12" s="1"/>
  <c r="AG697" i="12"/>
  <c r="AG696" i="12" s="1"/>
  <c r="AG695" i="12" s="1"/>
  <c r="AH697" i="12"/>
  <c r="AH696" i="12" s="1"/>
  <c r="AH695" i="12" s="1"/>
  <c r="AI697" i="12"/>
  <c r="AI696" i="12" s="1"/>
  <c r="AI695" i="12" s="1"/>
  <c r="AJ697" i="12"/>
  <c r="AK697" i="12" s="1"/>
  <c r="K698" i="12"/>
  <c r="L698" i="12"/>
  <c r="T698" i="12"/>
  <c r="Z698" i="12"/>
  <c r="AA698" i="12"/>
  <c r="AD698" i="12"/>
  <c r="AE698" i="12"/>
  <c r="AJ698" i="12"/>
  <c r="AK698" i="12" s="1"/>
  <c r="AJ699" i="12"/>
  <c r="AK699" i="12" s="1"/>
  <c r="AE700" i="12"/>
  <c r="AJ700" i="12"/>
  <c r="AK700" i="12" s="1"/>
  <c r="J701" i="12"/>
  <c r="AJ701" i="12"/>
  <c r="AK701" i="12" s="1"/>
  <c r="AJ702" i="12"/>
  <c r="AK702" i="12" s="1"/>
  <c r="U703" i="12"/>
  <c r="U701" i="12" s="1"/>
  <c r="AG703" i="12"/>
  <c r="AJ703" i="12"/>
  <c r="AK703" i="12" s="1"/>
  <c r="N704" i="12"/>
  <c r="X704" i="12"/>
  <c r="AH704" i="12"/>
  <c r="AJ704" i="12"/>
  <c r="AK704" i="12" s="1"/>
  <c r="I705" i="12"/>
  <c r="I704" i="12" s="1"/>
  <c r="J705" i="12"/>
  <c r="J703" i="12" s="1"/>
  <c r="K705" i="12"/>
  <c r="M705" i="12"/>
  <c r="N705" i="12"/>
  <c r="N703" i="12" s="1"/>
  <c r="N701" i="12" s="1"/>
  <c r="O705" i="12"/>
  <c r="Q705" i="12"/>
  <c r="Q704" i="12" s="1"/>
  <c r="R705" i="12"/>
  <c r="S705" i="12"/>
  <c r="T705" i="12"/>
  <c r="T703" i="12" s="1"/>
  <c r="U705" i="12"/>
  <c r="U704" i="12" s="1"/>
  <c r="V705" i="12"/>
  <c r="W705" i="12"/>
  <c r="X705" i="12"/>
  <c r="X703" i="12" s="1"/>
  <c r="Y705" i="12"/>
  <c r="AA705" i="12"/>
  <c r="AB705" i="12"/>
  <c r="AB703" i="12" s="1"/>
  <c r="AC705" i="12"/>
  <c r="AF705" i="12"/>
  <c r="AG705" i="12"/>
  <c r="AG704" i="12" s="1"/>
  <c r="AH705" i="12"/>
  <c r="AH703" i="12" s="1"/>
  <c r="AH702" i="12" s="1"/>
  <c r="AI705" i="12"/>
  <c r="AJ705" i="12"/>
  <c r="AK705" i="12" s="1"/>
  <c r="P706" i="12"/>
  <c r="Z706" i="12"/>
  <c r="AA706" i="12"/>
  <c r="AD706" i="12"/>
  <c r="AE706" i="12"/>
  <c r="AJ706" i="12"/>
  <c r="AK706" i="12" s="1"/>
  <c r="AJ707" i="12"/>
  <c r="AK707" i="12" s="1"/>
  <c r="AJ708" i="12"/>
  <c r="AK708" i="12" s="1"/>
  <c r="AJ709" i="12"/>
  <c r="AK709" i="12" s="1"/>
  <c r="I710" i="12"/>
  <c r="I709" i="12" s="1"/>
  <c r="I707" i="12" s="1"/>
  <c r="S710" i="12"/>
  <c r="S709" i="12" s="1"/>
  <c r="S707" i="12" s="1"/>
  <c r="AJ710" i="12"/>
  <c r="AK710" i="12"/>
  <c r="I711" i="12"/>
  <c r="J711" i="12"/>
  <c r="K711" i="12" s="1"/>
  <c r="M711" i="12"/>
  <c r="N711" i="12"/>
  <c r="N710" i="12" s="1"/>
  <c r="N709" i="12" s="1"/>
  <c r="N707" i="12" s="1"/>
  <c r="O711" i="12"/>
  <c r="O710" i="12" s="1"/>
  <c r="O709" i="12" s="1"/>
  <c r="O707" i="12" s="1"/>
  <c r="Q711" i="12"/>
  <c r="Q710" i="12" s="1"/>
  <c r="Q709" i="12" s="1"/>
  <c r="Q707" i="12" s="1"/>
  <c r="R711" i="12"/>
  <c r="R710" i="12" s="1"/>
  <c r="R709" i="12" s="1"/>
  <c r="R707" i="12" s="1"/>
  <c r="S711" i="12"/>
  <c r="T711" i="12"/>
  <c r="T710" i="12" s="1"/>
  <c r="AB711" i="12"/>
  <c r="AC711" i="12"/>
  <c r="AC710" i="12" s="1"/>
  <c r="AF711" i="12"/>
  <c r="AG711" i="12"/>
  <c r="AG710" i="12" s="1"/>
  <c r="AG709" i="12" s="1"/>
  <c r="AG708" i="12" s="1"/>
  <c r="AG707" i="12" s="1"/>
  <c r="AH711" i="12"/>
  <c r="AH710" i="12" s="1"/>
  <c r="AH709" i="12" s="1"/>
  <c r="AH708" i="12" s="1"/>
  <c r="AH707" i="12" s="1"/>
  <c r="AI711" i="12"/>
  <c r="AI710" i="12" s="1"/>
  <c r="AI709" i="12" s="1"/>
  <c r="AI708" i="12" s="1"/>
  <c r="AJ711" i="12"/>
  <c r="AK711" i="12" s="1"/>
  <c r="K712" i="12"/>
  <c r="L712" i="12"/>
  <c r="P712" i="12"/>
  <c r="Z712" i="12"/>
  <c r="AA712" i="12"/>
  <c r="AD712" i="12"/>
  <c r="AE712" i="12"/>
  <c r="AJ712" i="12"/>
  <c r="AK712" i="12" s="1"/>
  <c r="AJ713" i="12"/>
  <c r="AK713" i="12" s="1"/>
  <c r="AJ714" i="12"/>
  <c r="AK714" i="12"/>
  <c r="AJ715" i="12"/>
  <c r="AK715" i="12" s="1"/>
  <c r="U716" i="12"/>
  <c r="U715" i="12" s="1"/>
  <c r="U714" i="12" s="1"/>
  <c r="U713" i="12" s="1"/>
  <c r="U711" i="12" s="1"/>
  <c r="U710" i="12" s="1"/>
  <c r="U709" i="12" s="1"/>
  <c r="U707" i="12" s="1"/>
  <c r="V716" i="12"/>
  <c r="V715" i="12" s="1"/>
  <c r="V714" i="12" s="1"/>
  <c r="V713" i="12" s="1"/>
  <c r="V711" i="12" s="1"/>
  <c r="V710" i="12" s="1"/>
  <c r="V709" i="12" s="1"/>
  <c r="W716" i="12"/>
  <c r="W715" i="12" s="1"/>
  <c r="W714" i="12" s="1"/>
  <c r="W713" i="12" s="1"/>
  <c r="W711" i="12" s="1"/>
  <c r="W710" i="12" s="1"/>
  <c r="W709" i="12" s="1"/>
  <c r="W708" i="12" s="1"/>
  <c r="X716" i="12"/>
  <c r="X715" i="12" s="1"/>
  <c r="X714" i="12" s="1"/>
  <c r="X713" i="12" s="1"/>
  <c r="X711" i="12" s="1"/>
  <c r="X710" i="12" s="1"/>
  <c r="X709" i="12" s="1"/>
  <c r="Y716" i="12"/>
  <c r="Y715" i="12" s="1"/>
  <c r="Y714" i="12" s="1"/>
  <c r="Y713" i="12" s="1"/>
  <c r="Y711" i="12" s="1"/>
  <c r="Z716" i="12"/>
  <c r="Z715" i="12" s="1"/>
  <c r="Z714" i="12" s="1"/>
  <c r="Z713" i="12" s="1"/>
  <c r="AA716" i="12"/>
  <c r="AA715" i="12" s="1"/>
  <c r="AA714" i="12" s="1"/>
  <c r="AA713" i="12" s="1"/>
  <c r="AB716" i="12"/>
  <c r="AB715" i="12" s="1"/>
  <c r="AB714" i="12" s="1"/>
  <c r="AB713" i="12" s="1"/>
  <c r="AC716" i="12"/>
  <c r="AC715" i="12" s="1"/>
  <c r="AC714" i="12" s="1"/>
  <c r="AC713" i="12" s="1"/>
  <c r="AE716" i="12"/>
  <c r="AE715" i="12" s="1"/>
  <c r="AE714" i="12" s="1"/>
  <c r="AE713" i="12" s="1"/>
  <c r="AF716" i="12"/>
  <c r="AF715" i="12" s="1"/>
  <c r="AF714" i="12" s="1"/>
  <c r="AF713" i="12" s="1"/>
  <c r="AG716" i="12"/>
  <c r="AG715" i="12" s="1"/>
  <c r="AG714" i="12" s="1"/>
  <c r="AG713" i="12" s="1"/>
  <c r="AH716" i="12"/>
  <c r="AH715" i="12" s="1"/>
  <c r="AH714" i="12" s="1"/>
  <c r="AH713" i="12" s="1"/>
  <c r="AI716" i="12"/>
  <c r="AI715" i="12" s="1"/>
  <c r="AI714" i="12" s="1"/>
  <c r="AI713" i="12" s="1"/>
  <c r="AJ716" i="12"/>
  <c r="AK716" i="12" s="1"/>
  <c r="AJ717" i="12"/>
  <c r="AK717" i="12"/>
  <c r="AJ718" i="12"/>
  <c r="AK718" i="12" s="1"/>
  <c r="AJ719" i="12"/>
  <c r="AK719" i="12"/>
  <c r="Y720" i="12"/>
  <c r="Y719" i="12" s="1"/>
  <c r="Y718" i="12" s="1"/>
  <c r="AJ720" i="12"/>
  <c r="AK720" i="12" s="1"/>
  <c r="AG721" i="12"/>
  <c r="AG720" i="12" s="1"/>
  <c r="AJ721" i="12"/>
  <c r="AK721" i="12"/>
  <c r="V722" i="12"/>
  <c r="V721" i="12" s="1"/>
  <c r="V720" i="12" s="1"/>
  <c r="Y722" i="12"/>
  <c r="Y721" i="12" s="1"/>
  <c r="AB722" i="12"/>
  <c r="AC722" i="12"/>
  <c r="AC721" i="12" s="1"/>
  <c r="AF722" i="12"/>
  <c r="AG722" i="12"/>
  <c r="AH722" i="12"/>
  <c r="AH721" i="12" s="1"/>
  <c r="AH720" i="12" s="1"/>
  <c r="AI722" i="12"/>
  <c r="AI721" i="12" s="1"/>
  <c r="AI720" i="12" s="1"/>
  <c r="AJ722" i="12"/>
  <c r="AK722" i="12" s="1"/>
  <c r="AA723" i="12"/>
  <c r="AD723" i="12"/>
  <c r="AE723" i="12"/>
  <c r="AJ723" i="12"/>
  <c r="AK723" i="12" s="1"/>
  <c r="AJ724" i="12"/>
  <c r="AK724" i="12" s="1"/>
  <c r="AJ725" i="12"/>
  <c r="AK725" i="12"/>
  <c r="AJ726" i="12"/>
  <c r="AK726" i="12" s="1"/>
  <c r="AG727" i="12"/>
  <c r="AG726" i="12" s="1"/>
  <c r="AG725" i="12" s="1"/>
  <c r="AG724" i="12" s="1"/>
  <c r="AJ727" i="12"/>
  <c r="AK727" i="12" s="1"/>
  <c r="I728" i="12"/>
  <c r="I727" i="12" s="1"/>
  <c r="I726" i="12" s="1"/>
  <c r="I724" i="12" s="1"/>
  <c r="J728" i="12"/>
  <c r="J727" i="12" s="1"/>
  <c r="J726" i="12" s="1"/>
  <c r="J724" i="12" s="1"/>
  <c r="K728" i="12"/>
  <c r="K727" i="12" s="1"/>
  <c r="K726" i="12" s="1"/>
  <c r="K724" i="12" s="1"/>
  <c r="L728" i="12"/>
  <c r="L727" i="12" s="1"/>
  <c r="L726" i="12" s="1"/>
  <c r="L724" i="12" s="1"/>
  <c r="M728" i="12"/>
  <c r="M727" i="12" s="1"/>
  <c r="M726" i="12" s="1"/>
  <c r="M724" i="12" s="1"/>
  <c r="N728" i="12"/>
  <c r="N727" i="12" s="1"/>
  <c r="N726" i="12" s="1"/>
  <c r="N724" i="12" s="1"/>
  <c r="O728" i="12"/>
  <c r="O727" i="12" s="1"/>
  <c r="O726" i="12" s="1"/>
  <c r="O724" i="12" s="1"/>
  <c r="T728" i="12"/>
  <c r="T727" i="12" s="1"/>
  <c r="U728" i="12"/>
  <c r="U727" i="12" s="1"/>
  <c r="U726" i="12" s="1"/>
  <c r="U724" i="12" s="1"/>
  <c r="V728" i="12"/>
  <c r="V727" i="12" s="1"/>
  <c r="V726" i="12" s="1"/>
  <c r="W728" i="12"/>
  <c r="W727" i="12" s="1"/>
  <c r="W726" i="12" s="1"/>
  <c r="X728" i="12"/>
  <c r="X727" i="12" s="1"/>
  <c r="X726" i="12" s="1"/>
  <c r="Y728" i="12"/>
  <c r="AA728" i="12"/>
  <c r="AB728" i="12"/>
  <c r="AB727" i="12" s="1"/>
  <c r="AC728" i="12"/>
  <c r="AD728" i="12" s="1"/>
  <c r="AE728" i="12"/>
  <c r="AF728" i="12"/>
  <c r="AF727" i="12" s="1"/>
  <c r="AG728" i="12"/>
  <c r="AH728" i="12"/>
  <c r="AH727" i="12" s="1"/>
  <c r="AH726" i="12" s="1"/>
  <c r="AH725" i="12" s="1"/>
  <c r="AI728" i="12"/>
  <c r="AI727" i="12" s="1"/>
  <c r="AI726" i="12" s="1"/>
  <c r="AI725" i="12" s="1"/>
  <c r="AI724" i="12" s="1"/>
  <c r="AJ728" i="12"/>
  <c r="AK728" i="12" s="1"/>
  <c r="P729" i="12"/>
  <c r="Z729" i="12"/>
  <c r="AA729" i="12"/>
  <c r="AD729" i="12"/>
  <c r="AE729" i="12"/>
  <c r="AJ729" i="12"/>
  <c r="AK729" i="12" s="1"/>
  <c r="AJ730" i="12"/>
  <c r="AK730" i="12" s="1"/>
  <c r="AJ731" i="12"/>
  <c r="AK731" i="12" s="1"/>
  <c r="AH732" i="12"/>
  <c r="AH731" i="12" s="1"/>
  <c r="AH730" i="12" s="1"/>
  <c r="AJ732" i="12"/>
  <c r="AK732" i="12" s="1"/>
  <c r="AB733" i="12"/>
  <c r="AC733" i="12"/>
  <c r="AC732" i="12" s="1"/>
  <c r="AC731" i="12" s="1"/>
  <c r="AF733" i="12"/>
  <c r="AF732" i="12" s="1"/>
  <c r="AG733" i="12"/>
  <c r="AG732" i="12" s="1"/>
  <c r="AG731" i="12" s="1"/>
  <c r="AG730" i="12" s="1"/>
  <c r="AH733" i="12"/>
  <c r="AI733" i="12"/>
  <c r="AI732" i="12" s="1"/>
  <c r="AI731" i="12" s="1"/>
  <c r="AI730" i="12" s="1"/>
  <c r="AJ733" i="12"/>
  <c r="AK733" i="12" s="1"/>
  <c r="AA734" i="12"/>
  <c r="AD734" i="12"/>
  <c r="AE734" i="12"/>
  <c r="AE733" i="12" s="1"/>
  <c r="AJ734" i="12"/>
  <c r="AK734" i="12"/>
  <c r="AJ735" i="12"/>
  <c r="AK735" i="12" s="1"/>
  <c r="AG736" i="12"/>
  <c r="AG735" i="12" s="1"/>
  <c r="AJ736" i="12"/>
  <c r="AK736" i="12" s="1"/>
  <c r="N737" i="12"/>
  <c r="N736" i="12" s="1"/>
  <c r="N735" i="12" s="1"/>
  <c r="X737" i="12"/>
  <c r="X736" i="12" s="1"/>
  <c r="X735" i="12" s="1"/>
  <c r="AH737" i="12"/>
  <c r="AH736" i="12" s="1"/>
  <c r="AH735" i="12" s="1"/>
  <c r="AJ737" i="12"/>
  <c r="AK737" i="12" s="1"/>
  <c r="I738" i="12"/>
  <c r="I737" i="12" s="1"/>
  <c r="I736" i="12" s="1"/>
  <c r="I735" i="12" s="1"/>
  <c r="J738" i="12"/>
  <c r="J737" i="12" s="1"/>
  <c r="K738" i="12"/>
  <c r="M738" i="12"/>
  <c r="M737" i="12" s="1"/>
  <c r="M736" i="12" s="1"/>
  <c r="N738" i="12"/>
  <c r="O738" i="12"/>
  <c r="O737" i="12" s="1"/>
  <c r="O736" i="12" s="1"/>
  <c r="O735" i="12" s="1"/>
  <c r="Q738" i="12"/>
  <c r="Q737" i="12" s="1"/>
  <c r="Q736" i="12" s="1"/>
  <c r="Q735" i="12" s="1"/>
  <c r="R738" i="12"/>
  <c r="R737" i="12" s="1"/>
  <c r="R736" i="12" s="1"/>
  <c r="R735" i="12" s="1"/>
  <c r="S738" i="12"/>
  <c r="S737" i="12" s="1"/>
  <c r="S736" i="12" s="1"/>
  <c r="S735" i="12" s="1"/>
  <c r="T738" i="12"/>
  <c r="P738" i="12" s="1"/>
  <c r="U738" i="12"/>
  <c r="U737" i="12" s="1"/>
  <c r="U736" i="12" s="1"/>
  <c r="U735" i="12" s="1"/>
  <c r="V738" i="12"/>
  <c r="V737" i="12" s="1"/>
  <c r="V736" i="12" s="1"/>
  <c r="V735" i="12" s="1"/>
  <c r="W738" i="12"/>
  <c r="W737" i="12" s="1"/>
  <c r="W736" i="12" s="1"/>
  <c r="W735" i="12" s="1"/>
  <c r="X738" i="12"/>
  <c r="Y738" i="12"/>
  <c r="AA738" i="12"/>
  <c r="AB738" i="12"/>
  <c r="AB737" i="12" s="1"/>
  <c r="AC738" i="12"/>
  <c r="AF738" i="12"/>
  <c r="AG738" i="12"/>
  <c r="AG737" i="12" s="1"/>
  <c r="AH738" i="12"/>
  <c r="AI738" i="12"/>
  <c r="AI737" i="12" s="1"/>
  <c r="AI736" i="12" s="1"/>
  <c r="AI735" i="12" s="1"/>
  <c r="AJ738" i="12"/>
  <c r="AK738" i="12" s="1"/>
  <c r="K739" i="12"/>
  <c r="L739" i="12"/>
  <c r="P739" i="12"/>
  <c r="Z739" i="12"/>
  <c r="AA739" i="12"/>
  <c r="AD739" i="12"/>
  <c r="AE739" i="12"/>
  <c r="AJ739" i="12"/>
  <c r="AK739" i="12" s="1"/>
  <c r="AJ740" i="12"/>
  <c r="AK740" i="12"/>
  <c r="AJ741" i="12"/>
  <c r="AK741" i="12" s="1"/>
  <c r="K742" i="12"/>
  <c r="AJ742" i="12"/>
  <c r="AK742" i="12" s="1"/>
  <c r="Q743" i="12"/>
  <c r="Q740" i="12" s="1"/>
  <c r="R743" i="12"/>
  <c r="R740" i="12" s="1"/>
  <c r="S743" i="12"/>
  <c r="S740" i="12" s="1"/>
  <c r="AJ743" i="12"/>
  <c r="AK743" i="12" s="1"/>
  <c r="R744" i="12"/>
  <c r="AJ744" i="12"/>
  <c r="AK744" i="12" s="1"/>
  <c r="AJ745" i="12"/>
  <c r="AK745" i="12" s="1"/>
  <c r="I746" i="12"/>
  <c r="I744" i="12" s="1"/>
  <c r="I743" i="12" s="1"/>
  <c r="I740" i="12" s="1"/>
  <c r="J746" i="12"/>
  <c r="M746" i="12"/>
  <c r="N746" i="12"/>
  <c r="N744" i="12" s="1"/>
  <c r="N743" i="12" s="1"/>
  <c r="N740" i="12" s="1"/>
  <c r="O746" i="12"/>
  <c r="O744" i="12" s="1"/>
  <c r="O743" i="12" s="1"/>
  <c r="O740" i="12" s="1"/>
  <c r="Q746" i="12"/>
  <c r="Q744" i="12" s="1"/>
  <c r="R746" i="12"/>
  <c r="S746" i="12"/>
  <c r="S744" i="12" s="1"/>
  <c r="AJ746" i="12"/>
  <c r="AK746" i="12" s="1"/>
  <c r="U747" i="12"/>
  <c r="AJ747" i="12"/>
  <c r="AK747" i="12"/>
  <c r="I748" i="12"/>
  <c r="J748" i="12"/>
  <c r="J747" i="12" s="1"/>
  <c r="K748" i="12"/>
  <c r="L748" i="12"/>
  <c r="L747" i="12" s="1"/>
  <c r="M748" i="12"/>
  <c r="N748" i="12"/>
  <c r="O748" i="12"/>
  <c r="T748" i="12"/>
  <c r="U748" i="12"/>
  <c r="V748" i="12"/>
  <c r="Y748" i="12"/>
  <c r="Z748" i="12" s="1"/>
  <c r="AA748" i="12"/>
  <c r="AB748" i="12"/>
  <c r="AC748" i="12"/>
  <c r="AF748" i="12"/>
  <c r="AE748" i="12" s="1"/>
  <c r="AG748" i="12"/>
  <c r="AH748" i="12"/>
  <c r="AI748" i="12"/>
  <c r="AJ748" i="12"/>
  <c r="AK748" i="12" s="1"/>
  <c r="P749" i="12"/>
  <c r="W749" i="12"/>
  <c r="W748" i="12" s="1"/>
  <c r="X749" i="12"/>
  <c r="X748" i="12" s="1"/>
  <c r="Z749" i="12"/>
  <c r="AA749" i="12"/>
  <c r="AD749" i="12"/>
  <c r="AE749" i="12"/>
  <c r="AJ749" i="12"/>
  <c r="AK749" i="12" s="1"/>
  <c r="I750" i="12"/>
  <c r="J750" i="12"/>
  <c r="K750" i="12"/>
  <c r="L750" i="12"/>
  <c r="M750" i="12"/>
  <c r="N750" i="12"/>
  <c r="N747" i="12" s="1"/>
  <c r="O750" i="12"/>
  <c r="T750" i="12"/>
  <c r="U750" i="12"/>
  <c r="V750" i="12"/>
  <c r="W750" i="12"/>
  <c r="X750" i="12"/>
  <c r="Y750" i="12"/>
  <c r="Z750" i="12"/>
  <c r="AB750" i="12"/>
  <c r="AD750" i="12" s="1"/>
  <c r="AC750" i="12"/>
  <c r="AF750" i="12"/>
  <c r="AG750" i="12"/>
  <c r="AI750" i="12"/>
  <c r="AJ750" i="12"/>
  <c r="AK750" i="12" s="1"/>
  <c r="P751" i="12"/>
  <c r="Z751" i="12"/>
  <c r="AA751" i="12"/>
  <c r="AD751" i="12"/>
  <c r="AE751" i="12"/>
  <c r="AJ751" i="12"/>
  <c r="AK751" i="12" s="1"/>
  <c r="I752" i="12"/>
  <c r="J752" i="12"/>
  <c r="K752" i="12"/>
  <c r="L752" i="12"/>
  <c r="M752" i="12"/>
  <c r="N752" i="12"/>
  <c r="O752" i="12"/>
  <c r="T752" i="12"/>
  <c r="P752" i="12" s="1"/>
  <c r="U752" i="12"/>
  <c r="V752" i="12"/>
  <c r="Y752" i="12"/>
  <c r="AB752" i="12"/>
  <c r="AC752" i="12"/>
  <c r="AF752" i="12"/>
  <c r="AG752" i="12"/>
  <c r="AH752" i="12"/>
  <c r="AI752" i="12"/>
  <c r="AJ752" i="12"/>
  <c r="AK752" i="12" s="1"/>
  <c r="P753" i="12"/>
  <c r="W753" i="12"/>
  <c r="X753" i="12"/>
  <c r="X752" i="12" s="1"/>
  <c r="Z753" i="12"/>
  <c r="AA753" i="12"/>
  <c r="AD753" i="12"/>
  <c r="AE753" i="12"/>
  <c r="AJ753" i="12"/>
  <c r="AK753" i="12"/>
  <c r="P754" i="12"/>
  <c r="W754" i="12"/>
  <c r="X754" i="12"/>
  <c r="Z754" i="12"/>
  <c r="AA754" i="12"/>
  <c r="AD754" i="12"/>
  <c r="AE754" i="12"/>
  <c r="AJ754" i="12"/>
  <c r="AK754" i="12" s="1"/>
  <c r="AJ755" i="12"/>
  <c r="AK755" i="12" s="1"/>
  <c r="I756" i="12"/>
  <c r="J756" i="12"/>
  <c r="K756" i="12"/>
  <c r="L756" i="12"/>
  <c r="M756" i="12"/>
  <c r="N756" i="12"/>
  <c r="O756" i="12"/>
  <c r="T756" i="12"/>
  <c r="P756" i="12" s="1"/>
  <c r="U756" i="12"/>
  <c r="Y756" i="12"/>
  <c r="AC756" i="12"/>
  <c r="AF756" i="12"/>
  <c r="AG756" i="12"/>
  <c r="AH756" i="12"/>
  <c r="AI756" i="12"/>
  <c r="AJ756" i="12"/>
  <c r="AK756" i="12" s="1"/>
  <c r="P757" i="12"/>
  <c r="V757" i="12"/>
  <c r="W757" i="12"/>
  <c r="X757" i="12"/>
  <c r="AA757" i="12"/>
  <c r="AD757" i="12"/>
  <c r="AE757" i="12"/>
  <c r="AJ757" i="12"/>
  <c r="AK757" i="12" s="1"/>
  <c r="P758" i="12"/>
  <c r="V758" i="12"/>
  <c r="W758" i="12"/>
  <c r="X758" i="12"/>
  <c r="Z758" i="12"/>
  <c r="AB758" i="12"/>
  <c r="AB756" i="12" s="1"/>
  <c r="AJ758" i="12"/>
  <c r="AK758" i="12"/>
  <c r="P759" i="12"/>
  <c r="X759" i="12"/>
  <c r="Z759" i="12"/>
  <c r="AA759" i="12"/>
  <c r="AD759" i="12"/>
  <c r="AE759" i="12"/>
  <c r="AJ759" i="12"/>
  <c r="AK759" i="12"/>
  <c r="AA760" i="12"/>
  <c r="AD760" i="12"/>
  <c r="AE760" i="12"/>
  <c r="AJ760" i="12"/>
  <c r="AK760" i="12" s="1"/>
  <c r="I761" i="12"/>
  <c r="J761" i="12"/>
  <c r="K761" i="12"/>
  <c r="L761" i="12"/>
  <c r="M761" i="12"/>
  <c r="N761" i="12"/>
  <c r="O761" i="12"/>
  <c r="T761" i="12"/>
  <c r="P761" i="12" s="1"/>
  <c r="U761" i="12"/>
  <c r="Y761" i="12"/>
  <c r="AB761" i="12"/>
  <c r="AC761" i="12"/>
  <c r="AG761" i="12"/>
  <c r="AH761" i="12"/>
  <c r="AI761" i="12"/>
  <c r="AJ761" i="12"/>
  <c r="AK761" i="12" s="1"/>
  <c r="P762" i="12"/>
  <c r="V762" i="12"/>
  <c r="V761" i="12" s="1"/>
  <c r="Z761" i="12" s="1"/>
  <c r="W762" i="12"/>
  <c r="X762" i="12"/>
  <c r="Z762" i="12"/>
  <c r="AA762" i="12"/>
  <c r="AD762" i="12"/>
  <c r="AE762" i="12"/>
  <c r="AJ762" i="12"/>
  <c r="AK762" i="12" s="1"/>
  <c r="P763" i="12"/>
  <c r="V763" i="12"/>
  <c r="W763" i="12"/>
  <c r="X763" i="12"/>
  <c r="Z763" i="12"/>
  <c r="AA763" i="12"/>
  <c r="AD763" i="12"/>
  <c r="AE763" i="12"/>
  <c r="AJ763" i="12"/>
  <c r="AK763" i="12" s="1"/>
  <c r="P764" i="12"/>
  <c r="X764" i="12"/>
  <c r="Z764" i="12"/>
  <c r="AA764" i="12"/>
  <c r="AD764" i="12"/>
  <c r="AE764" i="12"/>
  <c r="AJ764" i="12"/>
  <c r="AK764" i="12" s="1"/>
  <c r="P765" i="12"/>
  <c r="V765" i="12"/>
  <c r="W765" i="12"/>
  <c r="X765" i="12"/>
  <c r="Z765" i="12"/>
  <c r="AB765" i="12"/>
  <c r="AF765" i="12"/>
  <c r="AF761" i="12" s="1"/>
  <c r="AJ765" i="12"/>
  <c r="AK765" i="12" s="1"/>
  <c r="I766" i="12"/>
  <c r="J766" i="12"/>
  <c r="K766" i="12"/>
  <c r="L766" i="12"/>
  <c r="M766" i="12"/>
  <c r="N766" i="12"/>
  <c r="O766" i="12"/>
  <c r="T766" i="12"/>
  <c r="P766" i="12" s="1"/>
  <c r="U766" i="12"/>
  <c r="Y766" i="12"/>
  <c r="AB766" i="12"/>
  <c r="AC766" i="12"/>
  <c r="AD766" i="12" s="1"/>
  <c r="AF766" i="12"/>
  <c r="AG766" i="12"/>
  <c r="AH766" i="12"/>
  <c r="AI766" i="12"/>
  <c r="AJ766" i="12"/>
  <c r="AK766" i="12" s="1"/>
  <c r="P767" i="12"/>
  <c r="Z767" i="12"/>
  <c r="AA767" i="12"/>
  <c r="AD767" i="12"/>
  <c r="AE767" i="12"/>
  <c r="AJ767" i="12"/>
  <c r="AK767" i="12" s="1"/>
  <c r="P768" i="12"/>
  <c r="Z768" i="12"/>
  <c r="AA768" i="12"/>
  <c r="AD768" i="12"/>
  <c r="AE768" i="12"/>
  <c r="AJ768" i="12"/>
  <c r="AK768" i="12" s="1"/>
  <c r="P769" i="12"/>
  <c r="V769" i="12"/>
  <c r="W769" i="12"/>
  <c r="X769" i="12"/>
  <c r="Z769" i="12"/>
  <c r="AA769" i="12"/>
  <c r="AD769" i="12"/>
  <c r="AE769" i="12"/>
  <c r="AJ769" i="12"/>
  <c r="AK769" i="12" s="1"/>
  <c r="P770" i="12"/>
  <c r="V770" i="12"/>
  <c r="W770" i="12"/>
  <c r="X770" i="12"/>
  <c r="Z770" i="12"/>
  <c r="AA770" i="12"/>
  <c r="AD770" i="12"/>
  <c r="AE770" i="12"/>
  <c r="AJ770" i="12"/>
  <c r="AK770" i="12" s="1"/>
  <c r="X771" i="12"/>
  <c r="Z771" i="12"/>
  <c r="AA771" i="12"/>
  <c r="AD771" i="12"/>
  <c r="AE771" i="12"/>
  <c r="AJ771" i="12"/>
  <c r="AK771" i="12"/>
  <c r="Z772" i="12"/>
  <c r="AA772" i="12"/>
  <c r="AD772" i="12"/>
  <c r="AE772" i="12"/>
  <c r="AJ772" i="12"/>
  <c r="AK772" i="12" s="1"/>
  <c r="P773" i="12"/>
  <c r="V773" i="12"/>
  <c r="W773" i="12"/>
  <c r="X773" i="12"/>
  <c r="AD773" i="12"/>
  <c r="AE773" i="12"/>
  <c r="AJ773" i="12"/>
  <c r="AK773" i="12" s="1"/>
  <c r="P774" i="12"/>
  <c r="Z774" i="12"/>
  <c r="AA774" i="12"/>
  <c r="AD774" i="12"/>
  <c r="AE774" i="12"/>
  <c r="AJ774" i="12"/>
  <c r="AK774" i="12" s="1"/>
  <c r="I775" i="12"/>
  <c r="J775" i="12"/>
  <c r="K775" i="12"/>
  <c r="L775" i="12"/>
  <c r="M775" i="12"/>
  <c r="N775" i="12"/>
  <c r="O775" i="12"/>
  <c r="T775" i="12"/>
  <c r="P775" i="12" s="1"/>
  <c r="U775" i="12"/>
  <c r="Y775" i="12"/>
  <c r="AB775" i="12"/>
  <c r="AC775" i="12"/>
  <c r="AD775" i="12"/>
  <c r="AF775" i="12"/>
  <c r="AE775" i="12" s="1"/>
  <c r="AG775" i="12"/>
  <c r="AH775" i="12"/>
  <c r="AI775" i="12"/>
  <c r="AJ775" i="12"/>
  <c r="AK775" i="12" s="1"/>
  <c r="P776" i="12"/>
  <c r="Z776" i="12"/>
  <c r="AA776" i="12"/>
  <c r="AD776" i="12"/>
  <c r="AE776" i="12"/>
  <c r="AJ776" i="12"/>
  <c r="AK776" i="12"/>
  <c r="P777" i="12"/>
  <c r="Z777" i="12"/>
  <c r="AA777" i="12"/>
  <c r="AD777" i="12"/>
  <c r="AE777" i="12"/>
  <c r="AJ777" i="12"/>
  <c r="AK777" i="12" s="1"/>
  <c r="P778" i="12"/>
  <c r="V778" i="12"/>
  <c r="W778" i="12"/>
  <c r="W775" i="12" s="1"/>
  <c r="X778" i="12"/>
  <c r="AA778" i="12"/>
  <c r="AD778" i="12"/>
  <c r="AE778" i="12"/>
  <c r="AJ778" i="12"/>
  <c r="AK778" i="12" s="1"/>
  <c r="X779" i="12"/>
  <c r="X775" i="12" s="1"/>
  <c r="Z779" i="12"/>
  <c r="AA779" i="12"/>
  <c r="AD779" i="12"/>
  <c r="AE779" i="12"/>
  <c r="AJ779" i="12"/>
  <c r="AK779" i="12" s="1"/>
  <c r="Z780" i="12"/>
  <c r="AA780" i="12"/>
  <c r="AD780" i="12"/>
  <c r="AE780" i="12"/>
  <c r="AJ780" i="12"/>
  <c r="AK780" i="12"/>
  <c r="P781" i="12"/>
  <c r="Z781" i="12"/>
  <c r="AA781" i="12"/>
  <c r="AD781" i="12"/>
  <c r="AE781" i="12"/>
  <c r="AJ781" i="12"/>
  <c r="AK781" i="12" s="1"/>
  <c r="I782" i="12"/>
  <c r="K782" i="12"/>
  <c r="T782" i="12"/>
  <c r="P782" i="12" s="1"/>
  <c r="X782" i="12"/>
  <c r="AJ782" i="12"/>
  <c r="AK782" i="12"/>
  <c r="I783" i="12"/>
  <c r="J783" i="12"/>
  <c r="J782" i="12" s="1"/>
  <c r="K783" i="12"/>
  <c r="L783" i="12"/>
  <c r="L782" i="12" s="1"/>
  <c r="M783" i="12"/>
  <c r="M782" i="12" s="1"/>
  <c r="N783" i="12"/>
  <c r="N782" i="12" s="1"/>
  <c r="O783" i="12"/>
  <c r="O782" i="12" s="1"/>
  <c r="P783" i="12"/>
  <c r="T783" i="12"/>
  <c r="U783" i="12"/>
  <c r="U782" i="12" s="1"/>
  <c r="Y783" i="12"/>
  <c r="AC783" i="12"/>
  <c r="AG783" i="12"/>
  <c r="AG782" i="12" s="1"/>
  <c r="AI783" i="12"/>
  <c r="AI782" i="12" s="1"/>
  <c r="AJ783" i="12"/>
  <c r="AK783" i="12" s="1"/>
  <c r="P784" i="12"/>
  <c r="V784" i="12"/>
  <c r="V783" i="12" s="1"/>
  <c r="V782" i="12" s="1"/>
  <c r="W784" i="12"/>
  <c r="W783" i="12" s="1"/>
  <c r="W782" i="12" s="1"/>
  <c r="X784" i="12"/>
  <c r="X783" i="12" s="1"/>
  <c r="Z784" i="12"/>
  <c r="AB784" i="12"/>
  <c r="AF784" i="12"/>
  <c r="AF783" i="12" s="1"/>
  <c r="AF782" i="12" s="1"/>
  <c r="AJ784" i="12"/>
  <c r="AK784" i="12" s="1"/>
  <c r="AJ785" i="12"/>
  <c r="AK785" i="12"/>
  <c r="U786" i="12"/>
  <c r="U785" i="12" s="1"/>
  <c r="AJ786" i="12"/>
  <c r="AK786" i="12" s="1"/>
  <c r="AJ787" i="12"/>
  <c r="AK787" i="12" s="1"/>
  <c r="AJ788" i="12"/>
  <c r="AK788" i="12"/>
  <c r="AJ789" i="12"/>
  <c r="AK789" i="12" s="1"/>
  <c r="AJ790" i="12"/>
  <c r="AK790" i="12"/>
  <c r="AJ791" i="12"/>
  <c r="AK791" i="12" s="1"/>
  <c r="I792" i="12"/>
  <c r="J792" i="12"/>
  <c r="K792" i="12"/>
  <c r="K791" i="12" s="1"/>
  <c r="L792" i="12"/>
  <c r="M792" i="12"/>
  <c r="N792" i="12"/>
  <c r="N791" i="12" s="1"/>
  <c r="O792" i="12"/>
  <c r="O791" i="12" s="1"/>
  <c r="T792" i="12"/>
  <c r="U792" i="12"/>
  <c r="U791" i="12" s="1"/>
  <c r="W792" i="12"/>
  <c r="W791" i="12" s="1"/>
  <c r="X792" i="12"/>
  <c r="Y792" i="12"/>
  <c r="AB792" i="12"/>
  <c r="AC792" i="12"/>
  <c r="AF792" i="12"/>
  <c r="AG792" i="12"/>
  <c r="AH792" i="12"/>
  <c r="AI792" i="12"/>
  <c r="AJ792" i="12"/>
  <c r="AK792" i="12"/>
  <c r="P793" i="12"/>
  <c r="V793" i="12"/>
  <c r="W793" i="12"/>
  <c r="Z793" i="12"/>
  <c r="AD793" i="12"/>
  <c r="AE793" i="12"/>
  <c r="AJ793" i="12"/>
  <c r="AK793" i="12" s="1"/>
  <c r="I794" i="12"/>
  <c r="J794" i="12"/>
  <c r="K794" i="12"/>
  <c r="L794" i="12"/>
  <c r="M794" i="12"/>
  <c r="N794" i="12"/>
  <c r="O794" i="12"/>
  <c r="T794" i="12"/>
  <c r="U794" i="12"/>
  <c r="V794" i="12"/>
  <c r="W794" i="12"/>
  <c r="X794" i="12"/>
  <c r="Y794" i="12"/>
  <c r="Z794" i="12"/>
  <c r="AB794" i="12"/>
  <c r="AC794" i="12"/>
  <c r="AD794" i="12"/>
  <c r="AF794" i="12"/>
  <c r="AG794" i="12"/>
  <c r="AH794" i="12"/>
  <c r="AI794" i="12"/>
  <c r="AJ794" i="12"/>
  <c r="AK794" i="12" s="1"/>
  <c r="P795" i="12"/>
  <c r="Z795" i="12"/>
  <c r="AA795" i="12"/>
  <c r="AD795" i="12"/>
  <c r="AE795" i="12"/>
  <c r="AJ795" i="12"/>
  <c r="AK795" i="12"/>
  <c r="I796" i="12"/>
  <c r="J796" i="12"/>
  <c r="K796" i="12"/>
  <c r="L796" i="12"/>
  <c r="M796" i="12"/>
  <c r="N796" i="12"/>
  <c r="O796" i="12"/>
  <c r="T796" i="12"/>
  <c r="P796" i="12" s="1"/>
  <c r="U796" i="12"/>
  <c r="V796" i="12"/>
  <c r="W796" i="12"/>
  <c r="X796" i="12"/>
  <c r="Y796" i="12"/>
  <c r="Z796" i="12" s="1"/>
  <c r="AB796" i="12"/>
  <c r="AE796" i="12" s="1"/>
  <c r="AC796" i="12"/>
  <c r="AD796" i="12" s="1"/>
  <c r="AF796" i="12"/>
  <c r="AG796" i="12"/>
  <c r="AH796" i="12"/>
  <c r="AI796" i="12"/>
  <c r="AJ796" i="12"/>
  <c r="AK796" i="12"/>
  <c r="P797" i="12"/>
  <c r="Z797" i="12"/>
  <c r="AA797" i="12"/>
  <c r="AD797" i="12"/>
  <c r="AE797" i="12"/>
  <c r="AJ797" i="12"/>
  <c r="AK797" i="12" s="1"/>
  <c r="P798" i="12"/>
  <c r="Z798" i="12"/>
  <c r="AA798" i="12"/>
  <c r="AD798" i="12"/>
  <c r="AE798" i="12"/>
  <c r="AJ798" i="12"/>
  <c r="AK798" i="12"/>
  <c r="AJ799" i="12"/>
  <c r="AK799" i="12" s="1"/>
  <c r="I800" i="12"/>
  <c r="J800" i="12"/>
  <c r="J799" i="12" s="1"/>
  <c r="K800" i="12"/>
  <c r="L800" i="12"/>
  <c r="M800" i="12"/>
  <c r="N800" i="12"/>
  <c r="O800" i="12"/>
  <c r="T800" i="12"/>
  <c r="U800" i="12"/>
  <c r="V800" i="12"/>
  <c r="W800" i="12"/>
  <c r="X800" i="12"/>
  <c r="Y800" i="12"/>
  <c r="AA800" i="12"/>
  <c r="AB800" i="12"/>
  <c r="AC800" i="12"/>
  <c r="AF800" i="12"/>
  <c r="AE800" i="12" s="1"/>
  <c r="AG800" i="12"/>
  <c r="AH800" i="12"/>
  <c r="AI800" i="12"/>
  <c r="AJ800" i="12"/>
  <c r="AK800" i="12" s="1"/>
  <c r="P801" i="12"/>
  <c r="Z801" i="12"/>
  <c r="AA801" i="12"/>
  <c r="AD801" i="12"/>
  <c r="AE801" i="12"/>
  <c r="AJ801" i="12"/>
  <c r="AK801" i="12" s="1"/>
  <c r="P802" i="12"/>
  <c r="Z802" i="12"/>
  <c r="AA802" i="12"/>
  <c r="AD802" i="12"/>
  <c r="AE802" i="12"/>
  <c r="AJ802" i="12"/>
  <c r="AK802" i="12" s="1"/>
  <c r="P803" i="12"/>
  <c r="Z803" i="12"/>
  <c r="AA803" i="12"/>
  <c r="AD803" i="12"/>
  <c r="AE803" i="12"/>
  <c r="AJ803" i="12"/>
  <c r="AK803" i="12" s="1"/>
  <c r="P804" i="12"/>
  <c r="Z804" i="12"/>
  <c r="AA804" i="12"/>
  <c r="AD804" i="12"/>
  <c r="AE804" i="12"/>
  <c r="AJ804" i="12"/>
  <c r="AK804" i="12"/>
  <c r="I805" i="12"/>
  <c r="J805" i="12"/>
  <c r="K805" i="12"/>
  <c r="L805" i="12"/>
  <c r="M805" i="12"/>
  <c r="N805" i="12"/>
  <c r="O805" i="12"/>
  <c r="T805" i="12"/>
  <c r="P805" i="12" s="1"/>
  <c r="U805" i="12"/>
  <c r="V805" i="12"/>
  <c r="W805" i="12"/>
  <c r="X805" i="12"/>
  <c r="Y805" i="12"/>
  <c r="Z805" i="12" s="1"/>
  <c r="AB805" i="12"/>
  <c r="AE805" i="12" s="1"/>
  <c r="AC805" i="12"/>
  <c r="AD805" i="12" s="1"/>
  <c r="AF805" i="12"/>
  <c r="AG805" i="12"/>
  <c r="AH805" i="12"/>
  <c r="AI805" i="12"/>
  <c r="AJ805" i="12"/>
  <c r="AK805" i="12"/>
  <c r="P806" i="12"/>
  <c r="Z806" i="12"/>
  <c r="AA806" i="12"/>
  <c r="AD806" i="12"/>
  <c r="AE806" i="12"/>
  <c r="AJ806" i="12"/>
  <c r="AK806" i="12" s="1"/>
  <c r="P807" i="12"/>
  <c r="Z807" i="12"/>
  <c r="AA807" i="12"/>
  <c r="AD807" i="12"/>
  <c r="AE807" i="12"/>
  <c r="AJ807" i="12"/>
  <c r="AK807" i="12"/>
  <c r="P808" i="12"/>
  <c r="Z808" i="12"/>
  <c r="AA808" i="12"/>
  <c r="AD808" i="12"/>
  <c r="AE808" i="12"/>
  <c r="AJ808" i="12"/>
  <c r="AK808" i="12" s="1"/>
  <c r="P809" i="12"/>
  <c r="Z809" i="12"/>
  <c r="AA809" i="12"/>
  <c r="AD809" i="12"/>
  <c r="AE809" i="12"/>
  <c r="AJ809" i="12"/>
  <c r="AK809" i="12" s="1"/>
  <c r="P810" i="12"/>
  <c r="Z810" i="12"/>
  <c r="AA810" i="12"/>
  <c r="AD810" i="12"/>
  <c r="AE810" i="12"/>
  <c r="AJ810" i="12"/>
  <c r="AK810" i="12" s="1"/>
  <c r="I811" i="12"/>
  <c r="J811" i="12"/>
  <c r="K811" i="12"/>
  <c r="L811" i="12"/>
  <c r="M811" i="12"/>
  <c r="N811" i="12"/>
  <c r="O811" i="12"/>
  <c r="T811" i="12"/>
  <c r="P811" i="12" s="1"/>
  <c r="U811" i="12"/>
  <c r="V811" i="12"/>
  <c r="W811" i="12"/>
  <c r="X811" i="12"/>
  <c r="Y811" i="12"/>
  <c r="Z811" i="12" s="1"/>
  <c r="AB811" i="12"/>
  <c r="AC811" i="12"/>
  <c r="AF811" i="12"/>
  <c r="AG811" i="12"/>
  <c r="AH811" i="12"/>
  <c r="AI811" i="12"/>
  <c r="AJ811" i="12"/>
  <c r="AK811" i="12" s="1"/>
  <c r="P812" i="12"/>
  <c r="Z812" i="12"/>
  <c r="AA812" i="12"/>
  <c r="AD812" i="12"/>
  <c r="AE812" i="12"/>
  <c r="AJ812" i="12"/>
  <c r="AK812" i="12"/>
  <c r="P813" i="12"/>
  <c r="Z813" i="12"/>
  <c r="AA813" i="12"/>
  <c r="AD813" i="12"/>
  <c r="AE813" i="12"/>
  <c r="AJ813" i="12"/>
  <c r="AK813" i="12" s="1"/>
  <c r="AA814" i="12"/>
  <c r="AD814" i="12"/>
  <c r="AE814" i="12"/>
  <c r="AJ814" i="12"/>
  <c r="AK814" i="12" s="1"/>
  <c r="P815" i="12"/>
  <c r="Z815" i="12"/>
  <c r="AA815" i="12"/>
  <c r="AD815" i="12"/>
  <c r="AE815" i="12"/>
  <c r="AJ815" i="12"/>
  <c r="AK815" i="12" s="1"/>
  <c r="P816" i="12"/>
  <c r="Z816" i="12"/>
  <c r="AA816" i="12"/>
  <c r="AD816" i="12"/>
  <c r="AE816" i="12"/>
  <c r="AJ816" i="12"/>
  <c r="AK816" i="12"/>
  <c r="Z817" i="12"/>
  <c r="AA817" i="12"/>
  <c r="AD817" i="12"/>
  <c r="AE817" i="12"/>
  <c r="AJ817" i="12"/>
  <c r="AK817" i="12" s="1"/>
  <c r="Z818" i="12"/>
  <c r="AA818" i="12"/>
  <c r="AD818" i="12"/>
  <c r="AE818" i="12"/>
  <c r="AJ818" i="12"/>
  <c r="AK818" i="12"/>
  <c r="P819" i="12"/>
  <c r="Z819" i="12"/>
  <c r="AA819" i="12"/>
  <c r="AD819" i="12"/>
  <c r="AE819" i="12"/>
  <c r="AJ819" i="12"/>
  <c r="AK819" i="12" s="1"/>
  <c r="P820" i="12"/>
  <c r="AA820" i="12"/>
  <c r="AD820" i="12"/>
  <c r="AE820" i="12"/>
  <c r="AJ820" i="12"/>
  <c r="AK820" i="12" s="1"/>
  <c r="V821" i="12"/>
  <c r="AB821" i="12"/>
  <c r="AC821" i="12"/>
  <c r="AF821" i="12"/>
  <c r="AE821" i="12" s="1"/>
  <c r="AG821" i="12"/>
  <c r="AG799" i="12" s="1"/>
  <c r="AH821" i="12"/>
  <c r="AI821" i="12"/>
  <c r="AJ821" i="12"/>
  <c r="AK821" i="12" s="1"/>
  <c r="AA822" i="12"/>
  <c r="AD822" i="12"/>
  <c r="AE822" i="12"/>
  <c r="AJ822" i="12"/>
  <c r="AK822" i="12"/>
  <c r="I823" i="12"/>
  <c r="J823" i="12"/>
  <c r="K823" i="12"/>
  <c r="L823" i="12"/>
  <c r="M823" i="12"/>
  <c r="N823" i="12"/>
  <c r="O823" i="12"/>
  <c r="T823" i="12"/>
  <c r="U823" i="12"/>
  <c r="V823" i="12"/>
  <c r="W823" i="12"/>
  <c r="X823" i="12"/>
  <c r="Y823" i="12"/>
  <c r="Z823" i="12" s="1"/>
  <c r="AB823" i="12"/>
  <c r="AC823" i="12"/>
  <c r="AD823" i="12" s="1"/>
  <c r="AF823" i="12"/>
  <c r="AG823" i="12"/>
  <c r="AH823" i="12"/>
  <c r="AI823" i="12"/>
  <c r="AJ823" i="12"/>
  <c r="AK823" i="12"/>
  <c r="P824" i="12"/>
  <c r="Z824" i="12"/>
  <c r="AA824" i="12"/>
  <c r="AD824" i="12"/>
  <c r="AE824" i="12"/>
  <c r="AJ824" i="12"/>
  <c r="AK824" i="12" s="1"/>
  <c r="P825" i="12"/>
  <c r="Z825" i="12"/>
  <c r="AA825" i="12"/>
  <c r="AD825" i="12"/>
  <c r="AE825" i="12"/>
  <c r="AJ825" i="12"/>
  <c r="AK825" i="12" s="1"/>
  <c r="Z826" i="12"/>
  <c r="AA826" i="12"/>
  <c r="AD826" i="12"/>
  <c r="AE826" i="12"/>
  <c r="AJ826" i="12"/>
  <c r="AK826" i="12" s="1"/>
  <c r="Z827" i="12"/>
  <c r="AA827" i="12"/>
  <c r="AD827" i="12"/>
  <c r="AE827" i="12"/>
  <c r="AJ827" i="12"/>
  <c r="AK827" i="12" s="1"/>
  <c r="P828" i="12"/>
  <c r="Z828" i="12"/>
  <c r="AA828" i="12"/>
  <c r="AD828" i="12"/>
  <c r="AE828" i="12"/>
  <c r="AJ828" i="12"/>
  <c r="AK828" i="12" s="1"/>
  <c r="V829" i="12"/>
  <c r="AG829" i="12"/>
  <c r="AJ829" i="12"/>
  <c r="AK829" i="12"/>
  <c r="V830" i="12"/>
  <c r="Y830" i="12"/>
  <c r="Y829" i="12" s="1"/>
  <c r="AB830" i="12"/>
  <c r="AC830" i="12"/>
  <c r="AC829" i="12" s="1"/>
  <c r="AF830" i="12"/>
  <c r="AG830" i="12"/>
  <c r="AH830" i="12"/>
  <c r="AH829" i="12" s="1"/>
  <c r="AI830" i="12"/>
  <c r="AI829" i="12" s="1"/>
  <c r="AJ830" i="12"/>
  <c r="AK830" i="12" s="1"/>
  <c r="AA831" i="12"/>
  <c r="AD831" i="12"/>
  <c r="AE831" i="12"/>
  <c r="AJ831" i="12"/>
  <c r="AK831" i="12" s="1"/>
  <c r="AE832" i="12"/>
  <c r="AJ832" i="12"/>
  <c r="AK832" i="12" s="1"/>
  <c r="AJ833" i="12"/>
  <c r="AK833" i="12" s="1"/>
  <c r="AJ834" i="12"/>
  <c r="AK834" i="12"/>
  <c r="Y835" i="12"/>
  <c r="AJ835" i="12"/>
  <c r="AK835" i="12" s="1"/>
  <c r="V836" i="12"/>
  <c r="V835" i="12" s="1"/>
  <c r="Y836" i="12"/>
  <c r="AB836" i="12"/>
  <c r="AC836" i="12"/>
  <c r="AF836" i="12"/>
  <c r="AF835" i="12" s="1"/>
  <c r="AG836" i="12"/>
  <c r="AG835" i="12" s="1"/>
  <c r="AH836" i="12"/>
  <c r="AH835" i="12" s="1"/>
  <c r="AI836" i="12"/>
  <c r="AI835" i="12" s="1"/>
  <c r="AJ836" i="12"/>
  <c r="AK836" i="12"/>
  <c r="P837" i="12"/>
  <c r="Z837" i="12"/>
  <c r="AA837" i="12"/>
  <c r="AD837" i="12"/>
  <c r="AE837" i="12"/>
  <c r="AJ837" i="12"/>
  <c r="AK837" i="12" s="1"/>
  <c r="AJ838" i="12"/>
  <c r="AK838" i="12" s="1"/>
  <c r="I839" i="12"/>
  <c r="I838" i="12" s="1"/>
  <c r="J839" i="12"/>
  <c r="J838" i="12" s="1"/>
  <c r="K839" i="12"/>
  <c r="K838" i="12" s="1"/>
  <c r="L839" i="12"/>
  <c r="L838" i="12" s="1"/>
  <c r="M839" i="12"/>
  <c r="M838" i="12" s="1"/>
  <c r="N839" i="12"/>
  <c r="N838" i="12" s="1"/>
  <c r="O839" i="12"/>
  <c r="O838" i="12" s="1"/>
  <c r="T839" i="12"/>
  <c r="P839" i="12" s="1"/>
  <c r="U839" i="12"/>
  <c r="U838" i="12" s="1"/>
  <c r="V839" i="12"/>
  <c r="V838" i="12" s="1"/>
  <c r="W839" i="12"/>
  <c r="W838" i="12" s="1"/>
  <c r="X839" i="12"/>
  <c r="X838" i="12" s="1"/>
  <c r="Y839" i="12"/>
  <c r="Y838" i="12" s="1"/>
  <c r="AB839" i="12"/>
  <c r="AC839" i="12"/>
  <c r="AF839" i="12"/>
  <c r="AG839" i="12"/>
  <c r="AG838" i="12" s="1"/>
  <c r="AH839" i="12"/>
  <c r="AH838" i="12" s="1"/>
  <c r="AH834" i="12" s="1"/>
  <c r="AH833" i="12" s="1"/>
  <c r="AI839" i="12"/>
  <c r="AI838" i="12" s="1"/>
  <c r="AJ839" i="12"/>
  <c r="AK839" i="12" s="1"/>
  <c r="P840" i="12"/>
  <c r="Z840" i="12"/>
  <c r="AA840" i="12"/>
  <c r="AD840" i="12"/>
  <c r="AE840" i="12"/>
  <c r="AJ840" i="12"/>
  <c r="AK840" i="12" s="1"/>
  <c r="AI841" i="12"/>
  <c r="AJ841" i="12"/>
  <c r="AK841" i="12" s="1"/>
  <c r="V842" i="12"/>
  <c r="V841" i="12" s="1"/>
  <c r="Y842" i="12"/>
  <c r="AB842" i="12"/>
  <c r="AC842" i="12"/>
  <c r="AC841" i="12" s="1"/>
  <c r="AF842" i="12"/>
  <c r="AG842" i="12"/>
  <c r="AG841" i="12" s="1"/>
  <c r="AH842" i="12"/>
  <c r="AH841" i="12" s="1"/>
  <c r="AI842" i="12"/>
  <c r="AJ842" i="12"/>
  <c r="AK842" i="12" s="1"/>
  <c r="AA843" i="12"/>
  <c r="AD843" i="12"/>
  <c r="AE843" i="12"/>
  <c r="AJ843" i="12"/>
  <c r="AK843" i="12" s="1"/>
  <c r="AA844" i="12"/>
  <c r="AD844" i="12"/>
  <c r="AE844" i="12"/>
  <c r="AJ844" i="12"/>
  <c r="AK844" i="12" s="1"/>
  <c r="I845" i="12"/>
  <c r="J845" i="12"/>
  <c r="K845" i="12"/>
  <c r="M845" i="12"/>
  <c r="L845" i="12" s="1"/>
  <c r="N845" i="12"/>
  <c r="O845" i="12"/>
  <c r="Q845" i="12"/>
  <c r="R845" i="12"/>
  <c r="S845" i="12"/>
  <c r="T845" i="12"/>
  <c r="AJ845" i="12"/>
  <c r="AK845" i="12" s="1"/>
  <c r="AJ846" i="12"/>
  <c r="AK846" i="12" s="1"/>
  <c r="AJ847" i="12"/>
  <c r="AK847" i="12" s="1"/>
  <c r="AJ848" i="12"/>
  <c r="AK848" i="12" s="1"/>
  <c r="U849" i="12"/>
  <c r="U848" i="12" s="1"/>
  <c r="U847" i="12" s="1"/>
  <c r="AJ849" i="12"/>
  <c r="AK849" i="12" s="1"/>
  <c r="AJ850" i="12"/>
  <c r="AK850" i="12" s="1"/>
  <c r="AJ851" i="12"/>
  <c r="AK851" i="12"/>
  <c r="AG852" i="12"/>
  <c r="AJ852" i="12"/>
  <c r="AK852" i="12" s="1"/>
  <c r="V853" i="12"/>
  <c r="V852" i="12" s="1"/>
  <c r="W853" i="12"/>
  <c r="W852" i="12" s="1"/>
  <c r="Y853" i="12"/>
  <c r="Z853" i="12" s="1"/>
  <c r="AA853" i="12"/>
  <c r="AB853" i="12"/>
  <c r="AB852" i="12" s="1"/>
  <c r="AC853" i="12"/>
  <c r="AE853" i="12"/>
  <c r="AF853" i="12"/>
  <c r="AF852" i="12" s="1"/>
  <c r="AG853" i="12"/>
  <c r="AH853" i="12"/>
  <c r="AH852" i="12" s="1"/>
  <c r="AI853" i="12"/>
  <c r="AI852" i="12" s="1"/>
  <c r="AI851" i="12" s="1"/>
  <c r="AJ853" i="12"/>
  <c r="AK853" i="12" s="1"/>
  <c r="X854" i="12"/>
  <c r="X853" i="12" s="1"/>
  <c r="X852" i="12" s="1"/>
  <c r="Z854" i="12"/>
  <c r="AA854" i="12"/>
  <c r="AD854" i="12"/>
  <c r="AE854" i="12"/>
  <c r="AJ854" i="12"/>
  <c r="AK854" i="12" s="1"/>
  <c r="AJ855" i="12"/>
  <c r="AK855" i="12" s="1"/>
  <c r="V856" i="12"/>
  <c r="V855" i="12" s="1"/>
  <c r="W856" i="12"/>
  <c r="W855" i="12" s="1"/>
  <c r="X856" i="12"/>
  <c r="X855" i="12" s="1"/>
  <c r="Y856" i="12"/>
  <c r="AA856" i="12"/>
  <c r="AB856" i="12"/>
  <c r="AB855" i="12" s="1"/>
  <c r="AC856" i="12"/>
  <c r="AD856" i="12" s="1"/>
  <c r="AE856" i="12"/>
  <c r="AF856" i="12"/>
  <c r="AF855" i="12" s="1"/>
  <c r="AE855" i="12" s="1"/>
  <c r="AG856" i="12"/>
  <c r="AG855" i="12" s="1"/>
  <c r="AH856" i="12"/>
  <c r="AH855" i="12" s="1"/>
  <c r="AI856" i="12"/>
  <c r="AI855" i="12" s="1"/>
  <c r="AJ856" i="12"/>
  <c r="AK856" i="12" s="1"/>
  <c r="Z857" i="12"/>
  <c r="AA857" i="12"/>
  <c r="AD857" i="12"/>
  <c r="AE857" i="12"/>
  <c r="AJ857" i="12"/>
  <c r="AK857" i="12" s="1"/>
  <c r="AJ858" i="12"/>
  <c r="AK858" i="12" s="1"/>
  <c r="AJ859" i="12"/>
  <c r="AK859" i="12" s="1"/>
  <c r="AJ860" i="12"/>
  <c r="AK860" i="12" s="1"/>
  <c r="K861" i="12"/>
  <c r="AE861" i="12"/>
  <c r="AJ861" i="12"/>
  <c r="AK861" i="12" s="1"/>
  <c r="AJ862" i="12"/>
  <c r="AK862" i="12" s="1"/>
  <c r="AJ863" i="12"/>
  <c r="AK863" i="12" s="1"/>
  <c r="AJ864" i="12"/>
  <c r="AK864" i="12" s="1"/>
  <c r="AJ865" i="12"/>
  <c r="AK865" i="12" s="1"/>
  <c r="U866" i="12"/>
  <c r="U865" i="12" s="1"/>
  <c r="U863" i="12" s="1"/>
  <c r="AC866" i="12"/>
  <c r="AJ866" i="12"/>
  <c r="AK866" i="12"/>
  <c r="I867" i="12"/>
  <c r="I866" i="12" s="1"/>
  <c r="J867" i="12"/>
  <c r="M867" i="12"/>
  <c r="N867" i="12"/>
  <c r="O867" i="12"/>
  <c r="O866" i="12" s="1"/>
  <c r="O865" i="12" s="1"/>
  <c r="O863" i="12" s="1"/>
  <c r="Q867" i="12"/>
  <c r="R867" i="12"/>
  <c r="S867" i="12"/>
  <c r="S866" i="12" s="1"/>
  <c r="T867" i="12"/>
  <c r="U867" i="12"/>
  <c r="V867" i="12"/>
  <c r="W867" i="12"/>
  <c r="W866" i="12" s="1"/>
  <c r="X867" i="12"/>
  <c r="Y867" i="12"/>
  <c r="Z867" i="12"/>
  <c r="AB867" i="12"/>
  <c r="AC867" i="12"/>
  <c r="AD867" i="12" s="1"/>
  <c r="AF867" i="12"/>
  <c r="AG867" i="12"/>
  <c r="AH867" i="12"/>
  <c r="AI867" i="12"/>
  <c r="AJ867" i="12"/>
  <c r="AK867" i="12" s="1"/>
  <c r="K868" i="12"/>
  <c r="L868" i="12"/>
  <c r="P868" i="12"/>
  <c r="Z868" i="12"/>
  <c r="AA868" i="12"/>
  <c r="AD868" i="12"/>
  <c r="AE868" i="12"/>
  <c r="AJ868" i="12"/>
  <c r="AK868" i="12" s="1"/>
  <c r="I869" i="12"/>
  <c r="J869" i="12"/>
  <c r="L869" i="12"/>
  <c r="M869" i="12"/>
  <c r="N869" i="12"/>
  <c r="O869" i="12"/>
  <c r="Q869" i="12"/>
  <c r="R869" i="12"/>
  <c r="S869" i="12"/>
  <c r="T869" i="12"/>
  <c r="U869" i="12"/>
  <c r="V869" i="12"/>
  <c r="W869" i="12"/>
  <c r="X869" i="12"/>
  <c r="Y869" i="12"/>
  <c r="Z869" i="12" s="1"/>
  <c r="AB869" i="12"/>
  <c r="AC869" i="12"/>
  <c r="AF869" i="12"/>
  <c r="AG869" i="12"/>
  <c r="AH869" i="12"/>
  <c r="AI869" i="12"/>
  <c r="AJ869" i="12"/>
  <c r="AK869" i="12" s="1"/>
  <c r="K870" i="12"/>
  <c r="L870" i="12"/>
  <c r="P870" i="12"/>
  <c r="Z870" i="12"/>
  <c r="AA870" i="12"/>
  <c r="AD870" i="12"/>
  <c r="AE870" i="12"/>
  <c r="AJ870" i="12"/>
  <c r="AK870" i="12" s="1"/>
  <c r="I871" i="12"/>
  <c r="J871" i="12"/>
  <c r="L871" i="12"/>
  <c r="M871" i="12"/>
  <c r="O871" i="12"/>
  <c r="R871" i="12"/>
  <c r="S871" i="12"/>
  <c r="T871" i="12"/>
  <c r="U871" i="12"/>
  <c r="V871" i="12"/>
  <c r="W871" i="12"/>
  <c r="X871" i="12"/>
  <c r="Y871" i="12"/>
  <c r="Z871" i="12" s="1"/>
  <c r="AB871" i="12"/>
  <c r="AC871" i="12"/>
  <c r="AF871" i="12"/>
  <c r="AG871" i="12"/>
  <c r="AG866" i="12" s="1"/>
  <c r="AH871" i="12"/>
  <c r="AI871" i="12"/>
  <c r="AI866" i="12" s="1"/>
  <c r="AJ871" i="12"/>
  <c r="AK871" i="12" s="1"/>
  <c r="K872" i="12"/>
  <c r="L872" i="12"/>
  <c r="N872" i="12"/>
  <c r="Q872" i="12"/>
  <c r="Q871" i="12" s="1"/>
  <c r="Z872" i="12"/>
  <c r="AA872" i="12"/>
  <c r="AD872" i="12"/>
  <c r="AE872" i="12"/>
  <c r="AJ872" i="12"/>
  <c r="AK872" i="12"/>
  <c r="K873" i="12"/>
  <c r="L873" i="12"/>
  <c r="P873" i="12"/>
  <c r="Z873" i="12"/>
  <c r="AA873" i="12"/>
  <c r="AD873" i="12"/>
  <c r="AE873" i="12"/>
  <c r="AJ873" i="12"/>
  <c r="AK873" i="12" s="1"/>
  <c r="Y874" i="12"/>
  <c r="AJ874" i="12"/>
  <c r="AK874" i="12" s="1"/>
  <c r="I875" i="12"/>
  <c r="J875" i="12"/>
  <c r="L875" i="12"/>
  <c r="M875" i="12"/>
  <c r="N875" i="12"/>
  <c r="O875" i="12"/>
  <c r="O874" i="12" s="1"/>
  <c r="Q875" i="12"/>
  <c r="Q874" i="12" s="1"/>
  <c r="R875" i="12"/>
  <c r="S875" i="12"/>
  <c r="T875" i="12"/>
  <c r="U875" i="12"/>
  <c r="U874" i="12" s="1"/>
  <c r="V875" i="12"/>
  <c r="W875" i="12"/>
  <c r="X875" i="12"/>
  <c r="Y875" i="12"/>
  <c r="Z875" i="12" s="1"/>
  <c r="AB875" i="12"/>
  <c r="AC875" i="12"/>
  <c r="AF875" i="12"/>
  <c r="AG875" i="12"/>
  <c r="AH875" i="12"/>
  <c r="AI875" i="12"/>
  <c r="AI874" i="12" s="1"/>
  <c r="AJ875" i="12"/>
  <c r="AK875" i="12" s="1"/>
  <c r="K876" i="12"/>
  <c r="L876" i="12"/>
  <c r="P876" i="12"/>
  <c r="Z876" i="12"/>
  <c r="AA876" i="12"/>
  <c r="AD876" i="12"/>
  <c r="AE876" i="12"/>
  <c r="AJ876" i="12"/>
  <c r="AK876" i="12" s="1"/>
  <c r="K877" i="12"/>
  <c r="L877" i="12"/>
  <c r="P877" i="12"/>
  <c r="Z877" i="12"/>
  <c r="AA877" i="12"/>
  <c r="AD877" i="12"/>
  <c r="AE877" i="12"/>
  <c r="AJ877" i="12"/>
  <c r="AK877" i="12" s="1"/>
  <c r="K878" i="12"/>
  <c r="L878" i="12"/>
  <c r="P878" i="12"/>
  <c r="Z878" i="12"/>
  <c r="AA878" i="12"/>
  <c r="AD878" i="12"/>
  <c r="AE878" i="12"/>
  <c r="AJ878" i="12"/>
  <c r="AK878" i="12" s="1"/>
  <c r="I879" i="12"/>
  <c r="J879" i="12"/>
  <c r="M879" i="12"/>
  <c r="N879" i="12"/>
  <c r="O879" i="12"/>
  <c r="Q879" i="12"/>
  <c r="R879" i="12"/>
  <c r="S879" i="12"/>
  <c r="S874" i="12" s="1"/>
  <c r="T879" i="12"/>
  <c r="U879" i="12"/>
  <c r="V879" i="12"/>
  <c r="W879" i="12"/>
  <c r="W874" i="12" s="1"/>
  <c r="X879" i="12"/>
  <c r="Y879" i="12"/>
  <c r="Z879" i="12" s="1"/>
  <c r="AB879" i="12"/>
  <c r="AC879" i="12"/>
  <c r="AF879" i="12"/>
  <c r="AG879" i="12"/>
  <c r="AH879" i="12"/>
  <c r="AI879" i="12"/>
  <c r="AJ879" i="12"/>
  <c r="AK879" i="12" s="1"/>
  <c r="K880" i="12"/>
  <c r="L880" i="12"/>
  <c r="P880" i="12"/>
  <c r="Z880" i="12"/>
  <c r="AA880" i="12"/>
  <c r="AD880" i="12"/>
  <c r="AE880" i="12"/>
  <c r="AJ880" i="12"/>
  <c r="AK880" i="12" s="1"/>
  <c r="I881" i="12"/>
  <c r="L881" i="12" s="1"/>
  <c r="J881" i="12"/>
  <c r="K881" i="12" s="1"/>
  <c r="M881" i="12"/>
  <c r="N881" i="12"/>
  <c r="O881" i="12"/>
  <c r="Q881" i="12"/>
  <c r="R881" i="12"/>
  <c r="S881" i="12"/>
  <c r="T881" i="12"/>
  <c r="U881" i="12"/>
  <c r="V881" i="12"/>
  <c r="W881" i="12"/>
  <c r="X881" i="12"/>
  <c r="Y881" i="12"/>
  <c r="Z881" i="12" s="1"/>
  <c r="AB881" i="12"/>
  <c r="AC881" i="12"/>
  <c r="AF881" i="12"/>
  <c r="AG881" i="12"/>
  <c r="AH881" i="12"/>
  <c r="AI881" i="12"/>
  <c r="AJ881" i="12"/>
  <c r="AK881" i="12" s="1"/>
  <c r="K882" i="12"/>
  <c r="L882" i="12"/>
  <c r="P882" i="12"/>
  <c r="Z882" i="12"/>
  <c r="AA882" i="12"/>
  <c r="AD882" i="12"/>
  <c r="AE882" i="12"/>
  <c r="AJ882" i="12"/>
  <c r="AK882" i="12"/>
  <c r="I883" i="12"/>
  <c r="J883" i="12"/>
  <c r="M883" i="12"/>
  <c r="N883" i="12"/>
  <c r="O883" i="12"/>
  <c r="Q883" i="12"/>
  <c r="R883" i="12"/>
  <c r="S883" i="12"/>
  <c r="T883" i="12"/>
  <c r="U883" i="12"/>
  <c r="V883" i="12"/>
  <c r="W883" i="12"/>
  <c r="X883" i="12"/>
  <c r="Y883" i="12"/>
  <c r="Z883" i="12"/>
  <c r="AB883" i="12"/>
  <c r="AC883" i="12"/>
  <c r="AF883" i="12"/>
  <c r="AG883" i="12"/>
  <c r="AH883" i="12"/>
  <c r="AI883" i="12"/>
  <c r="AJ883" i="12"/>
  <c r="AK883" i="12" s="1"/>
  <c r="K884" i="12"/>
  <c r="L884" i="12"/>
  <c r="P884" i="12"/>
  <c r="Z884" i="12"/>
  <c r="AA884" i="12"/>
  <c r="AD884" i="12"/>
  <c r="AE884" i="12"/>
  <c r="AJ884" i="12"/>
  <c r="AK884" i="12"/>
  <c r="R885" i="12"/>
  <c r="AJ885" i="12"/>
  <c r="AK885" i="12" s="1"/>
  <c r="AJ886" i="12"/>
  <c r="AK886" i="12" s="1"/>
  <c r="U887" i="12"/>
  <c r="U885" i="12" s="1"/>
  <c r="AI887" i="12"/>
  <c r="AJ887" i="12"/>
  <c r="AK887" i="12" s="1"/>
  <c r="J888" i="12"/>
  <c r="V888" i="12"/>
  <c r="V887" i="12" s="1"/>
  <c r="X888" i="12"/>
  <c r="X887" i="12" s="1"/>
  <c r="X885" i="12" s="1"/>
  <c r="AH888" i="12"/>
  <c r="AH887" i="12" s="1"/>
  <c r="AJ888" i="12"/>
  <c r="AK888" i="12" s="1"/>
  <c r="I889" i="12"/>
  <c r="J889" i="12"/>
  <c r="M889" i="12"/>
  <c r="N889" i="12"/>
  <c r="N888" i="12" s="1"/>
  <c r="N887" i="12" s="1"/>
  <c r="N885" i="12" s="1"/>
  <c r="O889" i="12"/>
  <c r="O888" i="12" s="1"/>
  <c r="O887" i="12" s="1"/>
  <c r="O885" i="12" s="1"/>
  <c r="Q889" i="12"/>
  <c r="Q888" i="12" s="1"/>
  <c r="Q887" i="12" s="1"/>
  <c r="Q885" i="12" s="1"/>
  <c r="R889" i="12"/>
  <c r="R888" i="12" s="1"/>
  <c r="R887" i="12" s="1"/>
  <c r="S889" i="12"/>
  <c r="S888" i="12" s="1"/>
  <c r="S887" i="12" s="1"/>
  <c r="S885" i="12" s="1"/>
  <c r="T889" i="12"/>
  <c r="T888" i="12" s="1"/>
  <c r="U889" i="12"/>
  <c r="U888" i="12" s="1"/>
  <c r="V889" i="12"/>
  <c r="W889" i="12"/>
  <c r="W888" i="12" s="1"/>
  <c r="W887" i="12" s="1"/>
  <c r="X889" i="12"/>
  <c r="Y889" i="12"/>
  <c r="AB889" i="12"/>
  <c r="AB888" i="12" s="1"/>
  <c r="AC889" i="12"/>
  <c r="AF889" i="12"/>
  <c r="AG889" i="12"/>
  <c r="AG888" i="12" s="1"/>
  <c r="AG887" i="12" s="1"/>
  <c r="AH889" i="12"/>
  <c r="AI889" i="12"/>
  <c r="AI888" i="12" s="1"/>
  <c r="AJ889" i="12"/>
  <c r="AK889" i="12"/>
  <c r="K890" i="12"/>
  <c r="L890" i="12"/>
  <c r="P890" i="12"/>
  <c r="Z890" i="12"/>
  <c r="AA890" i="12"/>
  <c r="AD890" i="12"/>
  <c r="AE890" i="12"/>
  <c r="AJ890" i="12"/>
  <c r="AK890" i="12" s="1"/>
  <c r="K891" i="12"/>
  <c r="L891" i="12"/>
  <c r="P891" i="12"/>
  <c r="Z891" i="12"/>
  <c r="AA891" i="12"/>
  <c r="AE891" i="12"/>
  <c r="AJ891" i="12"/>
  <c r="AK891" i="12" s="1"/>
  <c r="AJ892" i="12"/>
  <c r="AK892" i="12" s="1"/>
  <c r="K893" i="12"/>
  <c r="AA893" i="12"/>
  <c r="AJ893" i="12"/>
  <c r="AK893" i="12" s="1"/>
  <c r="AJ894" i="12"/>
  <c r="AK894" i="12" s="1"/>
  <c r="AE895" i="12"/>
  <c r="AJ895" i="12"/>
  <c r="AK895" i="12" s="1"/>
  <c r="AJ896" i="12"/>
  <c r="AK896" i="12"/>
  <c r="AJ897" i="12"/>
  <c r="AK897" i="12" s="1"/>
  <c r="I898" i="12"/>
  <c r="I897" i="12" s="1"/>
  <c r="I896" i="12" s="1"/>
  <c r="M898" i="12"/>
  <c r="M897" i="12" s="1"/>
  <c r="M896" i="12" s="1"/>
  <c r="O898" i="12"/>
  <c r="O897" i="12" s="1"/>
  <c r="O896" i="12" s="1"/>
  <c r="W898" i="12"/>
  <c r="W897" i="12" s="1"/>
  <c r="W896" i="12" s="1"/>
  <c r="Y898" i="12"/>
  <c r="AI898" i="12"/>
  <c r="AI897" i="12" s="1"/>
  <c r="AI896" i="12" s="1"/>
  <c r="AJ898" i="12"/>
  <c r="AK898" i="12" s="1"/>
  <c r="I899" i="12"/>
  <c r="J899" i="12"/>
  <c r="J898" i="12" s="1"/>
  <c r="J897" i="12" s="1"/>
  <c r="J896" i="12" s="1"/>
  <c r="K899" i="12"/>
  <c r="K898" i="12" s="1"/>
  <c r="K897" i="12" s="1"/>
  <c r="K896" i="12" s="1"/>
  <c r="L899" i="12"/>
  <c r="L898" i="12" s="1"/>
  <c r="L897" i="12" s="1"/>
  <c r="L896" i="12" s="1"/>
  <c r="M899" i="12"/>
  <c r="O899" i="12"/>
  <c r="U899" i="12"/>
  <c r="U898" i="12" s="1"/>
  <c r="U897" i="12" s="1"/>
  <c r="U896" i="12" s="1"/>
  <c r="V899" i="12"/>
  <c r="V898" i="12" s="1"/>
  <c r="V897" i="12" s="1"/>
  <c r="V896" i="12" s="1"/>
  <c r="W899" i="12"/>
  <c r="X899" i="12"/>
  <c r="X898" i="12" s="1"/>
  <c r="X897" i="12" s="1"/>
  <c r="X896" i="12" s="1"/>
  <c r="Y899" i="12"/>
  <c r="Z899" i="12"/>
  <c r="AB899" i="12"/>
  <c r="AC899" i="12"/>
  <c r="AC898" i="12" s="1"/>
  <c r="AF899" i="12"/>
  <c r="AG899" i="12"/>
  <c r="AG898" i="12" s="1"/>
  <c r="AG897" i="12" s="1"/>
  <c r="AG896" i="12" s="1"/>
  <c r="AH899" i="12"/>
  <c r="AH898" i="12" s="1"/>
  <c r="AH897" i="12" s="1"/>
  <c r="AH896" i="12" s="1"/>
  <c r="AI899" i="12"/>
  <c r="AJ899" i="12"/>
  <c r="AK899" i="12" s="1"/>
  <c r="P900" i="12"/>
  <c r="T900" i="12"/>
  <c r="Z900" i="12"/>
  <c r="AA900" i="12"/>
  <c r="AD900" i="12"/>
  <c r="AE900" i="12"/>
  <c r="AJ900" i="12"/>
  <c r="AK900" i="12" s="1"/>
  <c r="N901" i="12"/>
  <c r="N899" i="12" s="1"/>
  <c r="N898" i="12" s="1"/>
  <c r="N897" i="12" s="1"/>
  <c r="N896" i="12" s="1"/>
  <c r="Q901" i="12"/>
  <c r="Q899" i="12" s="1"/>
  <c r="Q898" i="12" s="1"/>
  <c r="Q897" i="12" s="1"/>
  <c r="Q896" i="12" s="1"/>
  <c r="T901" i="12"/>
  <c r="Z901" i="12"/>
  <c r="AA901" i="12"/>
  <c r="AD901" i="12"/>
  <c r="AE901" i="12"/>
  <c r="AJ901" i="12"/>
  <c r="AK901" i="12" s="1"/>
  <c r="U902" i="12"/>
  <c r="AJ902" i="12"/>
  <c r="AK902" i="12"/>
  <c r="AI903" i="12"/>
  <c r="AJ903" i="12"/>
  <c r="AK903" i="12" s="1"/>
  <c r="T904" i="12"/>
  <c r="AJ904" i="12"/>
  <c r="AK904" i="12" s="1"/>
  <c r="O905" i="12"/>
  <c r="O904" i="12" s="1"/>
  <c r="O902" i="12" s="1"/>
  <c r="S905" i="12"/>
  <c r="S904" i="12" s="1"/>
  <c r="S902" i="12" s="1"/>
  <c r="U905" i="12"/>
  <c r="U904" i="12" s="1"/>
  <c r="Y905" i="12"/>
  <c r="AC905" i="12"/>
  <c r="AJ905" i="12"/>
  <c r="AK905" i="12" s="1"/>
  <c r="I906" i="12"/>
  <c r="I905" i="12" s="1"/>
  <c r="I904" i="12" s="1"/>
  <c r="I902" i="12" s="1"/>
  <c r="J906" i="12"/>
  <c r="L906" i="12"/>
  <c r="M906" i="12"/>
  <c r="M905" i="12" s="1"/>
  <c r="O906" i="12"/>
  <c r="R906" i="12"/>
  <c r="R905" i="12" s="1"/>
  <c r="R904" i="12" s="1"/>
  <c r="R902" i="12" s="1"/>
  <c r="S906" i="12"/>
  <c r="T906" i="12"/>
  <c r="T905" i="12" s="1"/>
  <c r="U906" i="12"/>
  <c r="V906" i="12"/>
  <c r="V905" i="12" s="1"/>
  <c r="V904" i="12" s="1"/>
  <c r="W906" i="12"/>
  <c r="W905" i="12" s="1"/>
  <c r="W904" i="12" s="1"/>
  <c r="X906" i="12"/>
  <c r="X905" i="12" s="1"/>
  <c r="X904" i="12" s="1"/>
  <c r="Y906" i="12"/>
  <c r="Z906" i="12"/>
  <c r="AB906" i="12"/>
  <c r="AC906" i="12"/>
  <c r="AF906" i="12"/>
  <c r="AG906" i="12"/>
  <c r="AG905" i="12" s="1"/>
  <c r="AG904" i="12" s="1"/>
  <c r="AH906" i="12"/>
  <c r="AH905" i="12" s="1"/>
  <c r="AH904" i="12" s="1"/>
  <c r="AI906" i="12"/>
  <c r="AI905" i="12" s="1"/>
  <c r="AI904" i="12" s="1"/>
  <c r="AI902" i="12" s="1"/>
  <c r="AJ906" i="12"/>
  <c r="AK906" i="12" s="1"/>
  <c r="K907" i="12"/>
  <c r="L907" i="12"/>
  <c r="N907" i="12"/>
  <c r="P907" i="12" s="1"/>
  <c r="Q907" i="12"/>
  <c r="Q906" i="12" s="1"/>
  <c r="Q905" i="12" s="1"/>
  <c r="Q904" i="12" s="1"/>
  <c r="Q902" i="12" s="1"/>
  <c r="Z907" i="12"/>
  <c r="AA907" i="12"/>
  <c r="AD907" i="12"/>
  <c r="AE907" i="12"/>
  <c r="AJ907" i="12"/>
  <c r="AK907" i="12"/>
  <c r="P908" i="12"/>
  <c r="Z908" i="12"/>
  <c r="AA908" i="12"/>
  <c r="AD908" i="12"/>
  <c r="AE908" i="12"/>
  <c r="AJ908" i="12"/>
  <c r="AK908" i="12" s="1"/>
  <c r="K909" i="12"/>
  <c r="L909" i="12"/>
  <c r="P909" i="12"/>
  <c r="Z909" i="12"/>
  <c r="AA909" i="12"/>
  <c r="AD909" i="12"/>
  <c r="AE909" i="12"/>
  <c r="AJ909" i="12"/>
  <c r="AK909" i="12"/>
  <c r="K910" i="12"/>
  <c r="L910" i="12"/>
  <c r="P910" i="12"/>
  <c r="Z910" i="12"/>
  <c r="AA910" i="12"/>
  <c r="AD910" i="12"/>
  <c r="AE910" i="12"/>
  <c r="AJ910" i="12"/>
  <c r="AK910" i="12" s="1"/>
  <c r="K911" i="12"/>
  <c r="L911" i="12"/>
  <c r="P911" i="12"/>
  <c r="Z911" i="12"/>
  <c r="AA911" i="12"/>
  <c r="AD911" i="12"/>
  <c r="AE911" i="12"/>
  <c r="AJ911" i="12"/>
  <c r="AK911" i="12"/>
  <c r="Z912" i="12"/>
  <c r="AA912" i="12"/>
  <c r="AD912" i="12"/>
  <c r="AE912" i="12"/>
  <c r="AJ912" i="12"/>
  <c r="AK912" i="12" s="1"/>
  <c r="AA913" i="12"/>
  <c r="AD913" i="12"/>
  <c r="AE913" i="12"/>
  <c r="AJ913" i="12"/>
  <c r="AK913" i="12" s="1"/>
  <c r="AA914" i="12"/>
  <c r="AD914" i="12"/>
  <c r="AE914" i="12"/>
  <c r="AJ914" i="12"/>
  <c r="AK914" i="12"/>
  <c r="AJ915" i="12"/>
  <c r="AK915" i="12" s="1"/>
  <c r="AJ916" i="12"/>
  <c r="AK916" i="12"/>
  <c r="AJ917" i="12"/>
  <c r="AK917" i="12" s="1"/>
  <c r="AH918" i="12"/>
  <c r="AJ918" i="12"/>
  <c r="AK918" i="12" s="1"/>
  <c r="AJ919" i="12"/>
  <c r="AK919" i="12"/>
  <c r="AJ920" i="12"/>
  <c r="AK920" i="12" s="1"/>
  <c r="I921" i="12"/>
  <c r="I920" i="12" s="1"/>
  <c r="I918" i="12" s="1"/>
  <c r="U921" i="12"/>
  <c r="U920" i="12" s="1"/>
  <c r="AC921" i="12"/>
  <c r="AI921" i="12"/>
  <c r="AI920" i="12" s="1"/>
  <c r="AI918" i="12" s="1"/>
  <c r="AJ921" i="12"/>
  <c r="AK921" i="12"/>
  <c r="I922" i="12"/>
  <c r="J922" i="12"/>
  <c r="M922" i="12"/>
  <c r="L922" i="12" s="1"/>
  <c r="N922" i="12"/>
  <c r="N921" i="12" s="1"/>
  <c r="N920" i="12" s="1"/>
  <c r="N918" i="12" s="1"/>
  <c r="O922" i="12"/>
  <c r="O921" i="12" s="1"/>
  <c r="O920" i="12" s="1"/>
  <c r="O918" i="12" s="1"/>
  <c r="Q922" i="12"/>
  <c r="Q921" i="12" s="1"/>
  <c r="Q920" i="12" s="1"/>
  <c r="Q918" i="12" s="1"/>
  <c r="R922" i="12"/>
  <c r="R921" i="12" s="1"/>
  <c r="R920" i="12" s="1"/>
  <c r="R918" i="12" s="1"/>
  <c r="S922" i="12"/>
  <c r="S921" i="12" s="1"/>
  <c r="S920" i="12" s="1"/>
  <c r="S918" i="12" s="1"/>
  <c r="T922" i="12"/>
  <c r="T921" i="12" s="1"/>
  <c r="U922" i="12"/>
  <c r="V922" i="12"/>
  <c r="V921" i="12" s="1"/>
  <c r="V920" i="12" s="1"/>
  <c r="W922" i="12"/>
  <c r="W921" i="12" s="1"/>
  <c r="W920" i="12" s="1"/>
  <c r="X922" i="12"/>
  <c r="X921" i="12" s="1"/>
  <c r="X920" i="12" s="1"/>
  <c r="Y922" i="12"/>
  <c r="Y921" i="12" s="1"/>
  <c r="Z922" i="12"/>
  <c r="AB922" i="12"/>
  <c r="AC922" i="12"/>
  <c r="AF922" i="12"/>
  <c r="AG922" i="12"/>
  <c r="AG921" i="12" s="1"/>
  <c r="AG920" i="12" s="1"/>
  <c r="AH922" i="12"/>
  <c r="AH921" i="12" s="1"/>
  <c r="AH920" i="12" s="1"/>
  <c r="AH919" i="12" s="1"/>
  <c r="AI922" i="12"/>
  <c r="AJ922" i="12"/>
  <c r="AK922" i="12" s="1"/>
  <c r="K923" i="12"/>
  <c r="L923" i="12"/>
  <c r="P923" i="12"/>
  <c r="Z923" i="12"/>
  <c r="AA923" i="12"/>
  <c r="AD923" i="12"/>
  <c r="AE923" i="12"/>
  <c r="AJ923" i="12"/>
  <c r="AK923" i="12"/>
  <c r="AJ924" i="12"/>
  <c r="AK924" i="12" s="1"/>
  <c r="AH925" i="12"/>
  <c r="AJ925" i="12"/>
  <c r="AK925" i="12" s="1"/>
  <c r="W926" i="12"/>
  <c r="AJ926" i="12"/>
  <c r="AK926" i="12" s="1"/>
  <c r="N927" i="12"/>
  <c r="N926" i="12" s="1"/>
  <c r="N924" i="12" s="1"/>
  <c r="R927" i="12"/>
  <c r="R926" i="12" s="1"/>
  <c r="R924" i="12" s="1"/>
  <c r="AB927" i="12"/>
  <c r="AF927" i="12"/>
  <c r="AH927" i="12"/>
  <c r="AH926" i="12" s="1"/>
  <c r="AH924" i="12" s="1"/>
  <c r="AJ927" i="12"/>
  <c r="AK927" i="12" s="1"/>
  <c r="I928" i="12"/>
  <c r="J928" i="12"/>
  <c r="J927" i="12" s="1"/>
  <c r="M928" i="12"/>
  <c r="N928" i="12"/>
  <c r="O928" i="12"/>
  <c r="O927" i="12" s="1"/>
  <c r="O926" i="12" s="1"/>
  <c r="O924" i="12" s="1"/>
  <c r="Q928" i="12"/>
  <c r="Q927" i="12" s="1"/>
  <c r="Q926" i="12" s="1"/>
  <c r="Q924" i="12" s="1"/>
  <c r="R928" i="12"/>
  <c r="S928" i="12"/>
  <c r="S927" i="12" s="1"/>
  <c r="S926" i="12" s="1"/>
  <c r="S924" i="12" s="1"/>
  <c r="U928" i="12"/>
  <c r="U927" i="12" s="1"/>
  <c r="U926" i="12" s="1"/>
  <c r="U924" i="12" s="1"/>
  <c r="V928" i="12"/>
  <c r="V927" i="12" s="1"/>
  <c r="V926" i="12" s="1"/>
  <c r="W928" i="12"/>
  <c r="W927" i="12" s="1"/>
  <c r="X928" i="12"/>
  <c r="X927" i="12" s="1"/>
  <c r="X926" i="12" s="1"/>
  <c r="Y928" i="12"/>
  <c r="AA928" i="12"/>
  <c r="AB928" i="12"/>
  <c r="AC928" i="12"/>
  <c r="AF928" i="12"/>
  <c r="AE928" i="12" s="1"/>
  <c r="AG928" i="12"/>
  <c r="AG927" i="12" s="1"/>
  <c r="AG926" i="12" s="1"/>
  <c r="AH928" i="12"/>
  <c r="AI928" i="12"/>
  <c r="AI927" i="12" s="1"/>
  <c r="AI926" i="12" s="1"/>
  <c r="AJ928" i="12"/>
  <c r="AK928" i="12" s="1"/>
  <c r="K929" i="12"/>
  <c r="L929" i="12"/>
  <c r="T929" i="12"/>
  <c r="Z929" i="12"/>
  <c r="AA929" i="12"/>
  <c r="AD929" i="12"/>
  <c r="AE929" i="12"/>
  <c r="AJ929" i="12"/>
  <c r="AK929" i="12" s="1"/>
  <c r="K930" i="12"/>
  <c r="L930" i="12"/>
  <c r="T930" i="12"/>
  <c r="P930" i="12" s="1"/>
  <c r="Z930" i="12"/>
  <c r="AA930" i="12"/>
  <c r="AD930" i="12"/>
  <c r="AE930" i="12"/>
  <c r="AJ930" i="12"/>
  <c r="AK930" i="12"/>
  <c r="N931" i="12"/>
  <c r="AJ931" i="12"/>
  <c r="AK931" i="12" s="1"/>
  <c r="V932" i="12"/>
  <c r="AJ932" i="12"/>
  <c r="AK932" i="12" s="1"/>
  <c r="I933" i="12"/>
  <c r="I931" i="12" s="1"/>
  <c r="S933" i="12"/>
  <c r="S931" i="12" s="1"/>
  <c r="AG933" i="12"/>
  <c r="AJ933" i="12"/>
  <c r="AK933" i="12"/>
  <c r="N934" i="12"/>
  <c r="N933" i="12" s="1"/>
  <c r="V934" i="12"/>
  <c r="V933" i="12" s="1"/>
  <c r="V931" i="12" s="1"/>
  <c r="AF934" i="12"/>
  <c r="AH934" i="12"/>
  <c r="AH933" i="12" s="1"/>
  <c r="AJ934" i="12"/>
  <c r="AK934" i="12" s="1"/>
  <c r="I935" i="12"/>
  <c r="I934" i="12" s="1"/>
  <c r="J935" i="12"/>
  <c r="J934" i="12" s="1"/>
  <c r="K935" i="12"/>
  <c r="M935" i="12"/>
  <c r="N935" i="12"/>
  <c r="O935" i="12"/>
  <c r="O934" i="12" s="1"/>
  <c r="O933" i="12" s="1"/>
  <c r="O931" i="12" s="1"/>
  <c r="Q935" i="12"/>
  <c r="Q934" i="12" s="1"/>
  <c r="Q933" i="12" s="1"/>
  <c r="Q931" i="12" s="1"/>
  <c r="R935" i="12"/>
  <c r="R934" i="12" s="1"/>
  <c r="R933" i="12" s="1"/>
  <c r="R931" i="12" s="1"/>
  <c r="S935" i="12"/>
  <c r="S934" i="12" s="1"/>
  <c r="T935" i="12"/>
  <c r="P935" i="12" s="1"/>
  <c r="U935" i="12"/>
  <c r="U934" i="12" s="1"/>
  <c r="U933" i="12" s="1"/>
  <c r="U931" i="12" s="1"/>
  <c r="V935" i="12"/>
  <c r="W935" i="12"/>
  <c r="W934" i="12" s="1"/>
  <c r="W933" i="12" s="1"/>
  <c r="X935" i="12"/>
  <c r="X934" i="12" s="1"/>
  <c r="X933" i="12" s="1"/>
  <c r="Y935" i="12"/>
  <c r="AA935" i="12"/>
  <c r="AB935" i="12"/>
  <c r="AB934" i="12" s="1"/>
  <c r="AC935" i="12"/>
  <c r="AE935" i="12"/>
  <c r="AF935" i="12"/>
  <c r="AG935" i="12"/>
  <c r="AG934" i="12" s="1"/>
  <c r="AH935" i="12"/>
  <c r="AI935" i="12"/>
  <c r="AI934" i="12" s="1"/>
  <c r="AI933" i="12" s="1"/>
  <c r="AJ935" i="12"/>
  <c r="AK935" i="12" s="1"/>
  <c r="K936" i="12"/>
  <c r="L936" i="12"/>
  <c r="P936" i="12"/>
  <c r="Z936" i="12"/>
  <c r="AA936" i="12"/>
  <c r="AD936" i="12"/>
  <c r="AE936" i="12"/>
  <c r="AJ936" i="12"/>
  <c r="AK936" i="12" s="1"/>
  <c r="M937" i="12"/>
  <c r="S937" i="12"/>
  <c r="AI937" i="12"/>
  <c r="AJ937" i="12"/>
  <c r="AK937" i="12" s="1"/>
  <c r="AJ938" i="12"/>
  <c r="AK938" i="12" s="1"/>
  <c r="AH939" i="12"/>
  <c r="AH938" i="12" s="1"/>
  <c r="AJ939" i="12"/>
  <c r="AK939" i="12" s="1"/>
  <c r="I940" i="12"/>
  <c r="I939" i="12" s="1"/>
  <c r="S940" i="12"/>
  <c r="S939" i="12" s="1"/>
  <c r="W940" i="12"/>
  <c r="AI940" i="12"/>
  <c r="AI939" i="12" s="1"/>
  <c r="AI938" i="12" s="1"/>
  <c r="AJ940" i="12"/>
  <c r="AK940" i="12" s="1"/>
  <c r="I941" i="12"/>
  <c r="J941" i="12"/>
  <c r="L941" i="12"/>
  <c r="M941" i="12"/>
  <c r="M940" i="12" s="1"/>
  <c r="N941" i="12"/>
  <c r="N940" i="12" s="1"/>
  <c r="N937" i="12" s="1"/>
  <c r="O941" i="12"/>
  <c r="O940" i="12" s="1"/>
  <c r="Q941" i="12"/>
  <c r="Q940" i="12" s="1"/>
  <c r="Q939" i="12" s="1"/>
  <c r="R941" i="12"/>
  <c r="R940" i="12" s="1"/>
  <c r="R937" i="12" s="1"/>
  <c r="S941" i="12"/>
  <c r="T941" i="12"/>
  <c r="T940" i="12" s="1"/>
  <c r="T939" i="12" s="1"/>
  <c r="U941" i="12"/>
  <c r="U940" i="12" s="1"/>
  <c r="V941" i="12"/>
  <c r="V940" i="12" s="1"/>
  <c r="V937" i="12" s="1"/>
  <c r="W941" i="12"/>
  <c r="X941" i="12"/>
  <c r="X940" i="12" s="1"/>
  <c r="Y941" i="12"/>
  <c r="AB941" i="12"/>
  <c r="AC941" i="12"/>
  <c r="AC940" i="12" s="1"/>
  <c r="AC937" i="12" s="1"/>
  <c r="AD941" i="12"/>
  <c r="AF941" i="12"/>
  <c r="AG941" i="12"/>
  <c r="AG940" i="12" s="1"/>
  <c r="AG939" i="12" s="1"/>
  <c r="AG938" i="12" s="1"/>
  <c r="AH941" i="12"/>
  <c r="AH940" i="12" s="1"/>
  <c r="AH937" i="12" s="1"/>
  <c r="AI941" i="12"/>
  <c r="AJ941" i="12"/>
  <c r="AK941" i="12" s="1"/>
  <c r="K942" i="12"/>
  <c r="L942" i="12"/>
  <c r="P942" i="12"/>
  <c r="Z942" i="12"/>
  <c r="AA942" i="12"/>
  <c r="AD942" i="12"/>
  <c r="AE942" i="12"/>
  <c r="AJ942" i="12"/>
  <c r="AK942" i="12" s="1"/>
  <c r="AJ943" i="12"/>
  <c r="AK943" i="12" s="1"/>
  <c r="AH944" i="12"/>
  <c r="AJ944" i="12"/>
  <c r="AK944" i="12" s="1"/>
  <c r="AJ945" i="12"/>
  <c r="AK945" i="12"/>
  <c r="J946" i="12"/>
  <c r="N946" i="12"/>
  <c r="N945" i="12" s="1"/>
  <c r="N943" i="12" s="1"/>
  <c r="R946" i="12"/>
  <c r="R945" i="12" s="1"/>
  <c r="R943" i="12" s="1"/>
  <c r="AB946" i="12"/>
  <c r="AF946" i="12"/>
  <c r="AJ946" i="12"/>
  <c r="AK946" i="12" s="1"/>
  <c r="I947" i="12"/>
  <c r="J947" i="12"/>
  <c r="M947" i="12"/>
  <c r="N947" i="12"/>
  <c r="O947" i="12"/>
  <c r="O946" i="12" s="1"/>
  <c r="O945" i="12" s="1"/>
  <c r="O943" i="12" s="1"/>
  <c r="Q947" i="12"/>
  <c r="Q946" i="12" s="1"/>
  <c r="Q945" i="12" s="1"/>
  <c r="Q943" i="12" s="1"/>
  <c r="R947" i="12"/>
  <c r="S947" i="12"/>
  <c r="S946" i="12" s="1"/>
  <c r="S945" i="12" s="1"/>
  <c r="S943" i="12" s="1"/>
  <c r="T947" i="12"/>
  <c r="P947" i="12" s="1"/>
  <c r="U947" i="12"/>
  <c r="U946" i="12" s="1"/>
  <c r="U945" i="12" s="1"/>
  <c r="U943" i="12" s="1"/>
  <c r="V947" i="12"/>
  <c r="V946" i="12" s="1"/>
  <c r="V945" i="12" s="1"/>
  <c r="W947" i="12"/>
  <c r="W946" i="12" s="1"/>
  <c r="W945" i="12" s="1"/>
  <c r="X947" i="12"/>
  <c r="X946" i="12" s="1"/>
  <c r="X945" i="12" s="1"/>
  <c r="Y947" i="12"/>
  <c r="AA947" i="12"/>
  <c r="AB947" i="12"/>
  <c r="AC947" i="12"/>
  <c r="AE947" i="12"/>
  <c r="AF947" i="12"/>
  <c r="AG947" i="12"/>
  <c r="AG946" i="12" s="1"/>
  <c r="AG945" i="12" s="1"/>
  <c r="AH947" i="12"/>
  <c r="AH946" i="12" s="1"/>
  <c r="AH945" i="12" s="1"/>
  <c r="AH943" i="12" s="1"/>
  <c r="AI947" i="12"/>
  <c r="AI946" i="12" s="1"/>
  <c r="AI945" i="12" s="1"/>
  <c r="AJ947" i="12"/>
  <c r="AK947" i="12" s="1"/>
  <c r="K948" i="12"/>
  <c r="L948" i="12"/>
  <c r="P948" i="12"/>
  <c r="Z948" i="12"/>
  <c r="AA948" i="12"/>
  <c r="AD948" i="12"/>
  <c r="AE948" i="12"/>
  <c r="AJ948" i="12"/>
  <c r="AK948" i="12" s="1"/>
  <c r="I949" i="12"/>
  <c r="AG949" i="12"/>
  <c r="AJ949" i="12"/>
  <c r="AK949" i="12" s="1"/>
  <c r="AJ950" i="12"/>
  <c r="AK950" i="12"/>
  <c r="N951" i="12"/>
  <c r="N949" i="12" s="1"/>
  <c r="AJ951" i="12"/>
  <c r="AK951" i="12" s="1"/>
  <c r="I952" i="12"/>
  <c r="I951" i="12" s="1"/>
  <c r="O952" i="12"/>
  <c r="O951" i="12" s="1"/>
  <c r="O949" i="12" s="1"/>
  <c r="S952" i="12"/>
  <c r="S951" i="12" s="1"/>
  <c r="S949" i="12" s="1"/>
  <c r="W952" i="12"/>
  <c r="W951" i="12" s="1"/>
  <c r="Y952" i="12"/>
  <c r="AJ952" i="12"/>
  <c r="AK952" i="12" s="1"/>
  <c r="I953" i="12"/>
  <c r="J953" i="12"/>
  <c r="L953" i="12"/>
  <c r="M953" i="12"/>
  <c r="M952" i="12" s="1"/>
  <c r="N953" i="12"/>
  <c r="N952" i="12" s="1"/>
  <c r="O953" i="12"/>
  <c r="Q953" i="12"/>
  <c r="Q952" i="12" s="1"/>
  <c r="Q951" i="12" s="1"/>
  <c r="Q949" i="12" s="1"/>
  <c r="R953" i="12"/>
  <c r="R952" i="12" s="1"/>
  <c r="R951" i="12" s="1"/>
  <c r="R949" i="12" s="1"/>
  <c r="S953" i="12"/>
  <c r="T953" i="12"/>
  <c r="T952" i="12" s="1"/>
  <c r="U953" i="12"/>
  <c r="U952" i="12" s="1"/>
  <c r="U951" i="12" s="1"/>
  <c r="U949" i="12" s="1"/>
  <c r="V953" i="12"/>
  <c r="V952" i="12" s="1"/>
  <c r="V951" i="12" s="1"/>
  <c r="W953" i="12"/>
  <c r="X953" i="12"/>
  <c r="X952" i="12" s="1"/>
  <c r="X951" i="12" s="1"/>
  <c r="Y953" i="12"/>
  <c r="Z953" i="12" s="1"/>
  <c r="AB953" i="12"/>
  <c r="AC953" i="12"/>
  <c r="AC952" i="12" s="1"/>
  <c r="AF953" i="12"/>
  <c r="AG953" i="12"/>
  <c r="AG952" i="12" s="1"/>
  <c r="AG951" i="12" s="1"/>
  <c r="AG950" i="12" s="1"/>
  <c r="AH953" i="12"/>
  <c r="AH952" i="12" s="1"/>
  <c r="AH951" i="12" s="1"/>
  <c r="AI953" i="12"/>
  <c r="AI952" i="12" s="1"/>
  <c r="AI951" i="12" s="1"/>
  <c r="AJ953" i="12"/>
  <c r="AK953" i="12" s="1"/>
  <c r="K954" i="12"/>
  <c r="L954" i="12"/>
  <c r="P954" i="12"/>
  <c r="Z954" i="12"/>
  <c r="AA954" i="12"/>
  <c r="AD954" i="12"/>
  <c r="AE954" i="12"/>
  <c r="AJ954" i="12"/>
  <c r="AK954" i="12" s="1"/>
  <c r="K955" i="12"/>
  <c r="L955" i="12"/>
  <c r="P955" i="12"/>
  <c r="Z955" i="12"/>
  <c r="AA955" i="12"/>
  <c r="AD955" i="12"/>
  <c r="AE955" i="12"/>
  <c r="AJ955" i="12"/>
  <c r="AK955" i="12" s="1"/>
  <c r="AJ956" i="12"/>
  <c r="AK956" i="12" s="1"/>
  <c r="V957" i="12"/>
  <c r="V956" i="12" s="1"/>
  <c r="AJ957" i="12"/>
  <c r="AK957" i="12" s="1"/>
  <c r="M958" i="12"/>
  <c r="O958" i="12"/>
  <c r="O957" i="12" s="1"/>
  <c r="O956" i="12" s="1"/>
  <c r="U958" i="12"/>
  <c r="U957" i="12" s="1"/>
  <c r="U956" i="12" s="1"/>
  <c r="W958" i="12"/>
  <c r="W957" i="12" s="1"/>
  <c r="W956" i="12" s="1"/>
  <c r="AG958" i="12"/>
  <c r="AG957" i="12" s="1"/>
  <c r="AG956" i="12" s="1"/>
  <c r="AI958" i="12"/>
  <c r="AI957" i="12" s="1"/>
  <c r="AI956" i="12" s="1"/>
  <c r="AJ958" i="12"/>
  <c r="AK958" i="12" s="1"/>
  <c r="I959" i="12"/>
  <c r="J959" i="12"/>
  <c r="M959" i="12"/>
  <c r="N959" i="12"/>
  <c r="N958" i="12" s="1"/>
  <c r="N957" i="12" s="1"/>
  <c r="N956" i="12" s="1"/>
  <c r="O959" i="12"/>
  <c r="Q959" i="12"/>
  <c r="Q958" i="12" s="1"/>
  <c r="Q957" i="12" s="1"/>
  <c r="Q956" i="12" s="1"/>
  <c r="R959" i="12"/>
  <c r="R958" i="12" s="1"/>
  <c r="R957" i="12" s="1"/>
  <c r="R956" i="12" s="1"/>
  <c r="S959" i="12"/>
  <c r="S958" i="12" s="1"/>
  <c r="S957" i="12" s="1"/>
  <c r="S956" i="12" s="1"/>
  <c r="T959" i="12"/>
  <c r="T958" i="12" s="1"/>
  <c r="U959" i="12"/>
  <c r="V959" i="12"/>
  <c r="V958" i="12" s="1"/>
  <c r="W959" i="12"/>
  <c r="X959" i="12"/>
  <c r="X958" i="12" s="1"/>
  <c r="X957" i="12" s="1"/>
  <c r="X956" i="12" s="1"/>
  <c r="Y959" i="12"/>
  <c r="Y958" i="12" s="1"/>
  <c r="AB959" i="12"/>
  <c r="AC959" i="12"/>
  <c r="AC958" i="12" s="1"/>
  <c r="AF959" i="12"/>
  <c r="AG959" i="12"/>
  <c r="AH959" i="12"/>
  <c r="AH958" i="12" s="1"/>
  <c r="AH957" i="12" s="1"/>
  <c r="AH956" i="12" s="1"/>
  <c r="AI959" i="12"/>
  <c r="AJ959" i="12"/>
  <c r="AK959" i="12" s="1"/>
  <c r="P960" i="12"/>
  <c r="Z960" i="12"/>
  <c r="AA960" i="12"/>
  <c r="AD960" i="12"/>
  <c r="AE960" i="12"/>
  <c r="AJ960" i="12"/>
  <c r="AK960" i="12" s="1"/>
  <c r="K961" i="12"/>
  <c r="L961" i="12"/>
  <c r="P961" i="12"/>
  <c r="Z961" i="12"/>
  <c r="AA961" i="12"/>
  <c r="AD961" i="12"/>
  <c r="AE961" i="12"/>
  <c r="AJ961" i="12"/>
  <c r="AK961" i="12" s="1"/>
  <c r="AJ962" i="12"/>
  <c r="AK962" i="12"/>
  <c r="R963" i="12"/>
  <c r="R962" i="12" s="1"/>
  <c r="AJ963" i="12"/>
  <c r="AK963" i="12" s="1"/>
  <c r="M964" i="12"/>
  <c r="U964" i="12"/>
  <c r="U963" i="12" s="1"/>
  <c r="U962" i="12" s="1"/>
  <c r="W964" i="12"/>
  <c r="W963" i="12" s="1"/>
  <c r="W962" i="12" s="1"/>
  <c r="AI964" i="12"/>
  <c r="AI963" i="12" s="1"/>
  <c r="AI962" i="12" s="1"/>
  <c r="AJ964" i="12"/>
  <c r="AK964" i="12" s="1"/>
  <c r="I965" i="12"/>
  <c r="J965" i="12"/>
  <c r="M965" i="12"/>
  <c r="N965" i="12"/>
  <c r="N964" i="12" s="1"/>
  <c r="N963" i="12" s="1"/>
  <c r="N962" i="12" s="1"/>
  <c r="O965" i="12"/>
  <c r="O964" i="12" s="1"/>
  <c r="O963" i="12" s="1"/>
  <c r="O962" i="12" s="1"/>
  <c r="Q965" i="12"/>
  <c r="Q964" i="12" s="1"/>
  <c r="Q963" i="12" s="1"/>
  <c r="Q962" i="12" s="1"/>
  <c r="R965" i="12"/>
  <c r="R964" i="12" s="1"/>
  <c r="S965" i="12"/>
  <c r="S964" i="12" s="1"/>
  <c r="S963" i="12" s="1"/>
  <c r="S962" i="12" s="1"/>
  <c r="T965" i="12"/>
  <c r="T964" i="12" s="1"/>
  <c r="U965" i="12"/>
  <c r="V965" i="12"/>
  <c r="V964" i="12" s="1"/>
  <c r="V963" i="12" s="1"/>
  <c r="V962" i="12" s="1"/>
  <c r="W965" i="12"/>
  <c r="X965" i="12"/>
  <c r="X964" i="12" s="1"/>
  <c r="X963" i="12" s="1"/>
  <c r="X962" i="12" s="1"/>
  <c r="Y965" i="12"/>
  <c r="Y964" i="12" s="1"/>
  <c r="AB965" i="12"/>
  <c r="AC965" i="12"/>
  <c r="AF965" i="12"/>
  <c r="AG965" i="12"/>
  <c r="AG964" i="12" s="1"/>
  <c r="AG963" i="12" s="1"/>
  <c r="AG962" i="12" s="1"/>
  <c r="AH965" i="12"/>
  <c r="AH964" i="12" s="1"/>
  <c r="AH963" i="12" s="1"/>
  <c r="AH962" i="12" s="1"/>
  <c r="AI965" i="12"/>
  <c r="AJ965" i="12"/>
  <c r="AK965" i="12" s="1"/>
  <c r="AJ966" i="12"/>
  <c r="AK966" i="12" s="1"/>
  <c r="K967" i="12"/>
  <c r="L967" i="12"/>
  <c r="P967" i="12"/>
  <c r="Z967" i="12"/>
  <c r="AA967" i="12"/>
  <c r="AD967" i="12"/>
  <c r="AE967" i="12"/>
  <c r="AJ967" i="12"/>
  <c r="AK967" i="12" s="1"/>
  <c r="AJ968" i="12"/>
  <c r="AK968" i="12" s="1"/>
  <c r="AJ969" i="12"/>
  <c r="AK969" i="12" s="1"/>
  <c r="R970" i="12"/>
  <c r="R969" i="12" s="1"/>
  <c r="R968" i="12" s="1"/>
  <c r="AB970" i="12"/>
  <c r="AF970" i="12"/>
  <c r="AJ970" i="12"/>
  <c r="AK970" i="12" s="1"/>
  <c r="I971" i="12"/>
  <c r="J971" i="12"/>
  <c r="J970" i="12" s="1"/>
  <c r="M971" i="12"/>
  <c r="N971" i="12"/>
  <c r="N970" i="12" s="1"/>
  <c r="N969" i="12" s="1"/>
  <c r="N968" i="12" s="1"/>
  <c r="O971" i="12"/>
  <c r="O970" i="12" s="1"/>
  <c r="O969" i="12" s="1"/>
  <c r="O968" i="12" s="1"/>
  <c r="Q971" i="12"/>
  <c r="Q970" i="12" s="1"/>
  <c r="Q969" i="12" s="1"/>
  <c r="Q968" i="12" s="1"/>
  <c r="R971" i="12"/>
  <c r="S971" i="12"/>
  <c r="S970" i="12" s="1"/>
  <c r="S969" i="12" s="1"/>
  <c r="S968" i="12" s="1"/>
  <c r="T971" i="12"/>
  <c r="P971" i="12" s="1"/>
  <c r="U971" i="12"/>
  <c r="U970" i="12" s="1"/>
  <c r="U969" i="12" s="1"/>
  <c r="U968" i="12" s="1"/>
  <c r="V971" i="12"/>
  <c r="V970" i="12" s="1"/>
  <c r="V969" i="12" s="1"/>
  <c r="V968" i="12" s="1"/>
  <c r="W971" i="12"/>
  <c r="W970" i="12" s="1"/>
  <c r="W969" i="12" s="1"/>
  <c r="W968" i="12" s="1"/>
  <c r="X971" i="12"/>
  <c r="X970" i="12" s="1"/>
  <c r="X969" i="12" s="1"/>
  <c r="X968" i="12" s="1"/>
  <c r="Y971" i="12"/>
  <c r="AA971" i="12"/>
  <c r="AB971" i="12"/>
  <c r="AC971" i="12"/>
  <c r="AE971" i="12"/>
  <c r="AF971" i="12"/>
  <c r="AG971" i="12"/>
  <c r="AG970" i="12" s="1"/>
  <c r="AG969" i="12" s="1"/>
  <c r="AG968" i="12" s="1"/>
  <c r="AH971" i="12"/>
  <c r="AH970" i="12" s="1"/>
  <c r="AH969" i="12" s="1"/>
  <c r="AH968" i="12" s="1"/>
  <c r="AI971" i="12"/>
  <c r="AI970" i="12" s="1"/>
  <c r="AI969" i="12" s="1"/>
  <c r="AI968" i="12" s="1"/>
  <c r="AJ971" i="12"/>
  <c r="AK971" i="12" s="1"/>
  <c r="K972" i="12"/>
  <c r="L972" i="12"/>
  <c r="P972" i="12"/>
  <c r="Z972" i="12"/>
  <c r="AA972" i="12"/>
  <c r="AD972" i="12"/>
  <c r="AE972" i="12"/>
  <c r="AJ972" i="12"/>
  <c r="AK972" i="12" s="1"/>
  <c r="U973" i="12"/>
  <c r="AJ973" i="12"/>
  <c r="AK973" i="12"/>
  <c r="X974" i="12"/>
  <c r="X973" i="12" s="1"/>
  <c r="AJ974" i="12"/>
  <c r="AK974" i="12" s="1"/>
  <c r="O975" i="12"/>
  <c r="O974" i="12" s="1"/>
  <c r="O973" i="12" s="1"/>
  <c r="U975" i="12"/>
  <c r="U974" i="12" s="1"/>
  <c r="AC975" i="12"/>
  <c r="AJ975" i="12"/>
  <c r="AK975" i="12"/>
  <c r="I976" i="12"/>
  <c r="I975" i="12" s="1"/>
  <c r="I974" i="12" s="1"/>
  <c r="I973" i="12" s="1"/>
  <c r="J976" i="12"/>
  <c r="M976" i="12"/>
  <c r="L976" i="12" s="1"/>
  <c r="N976" i="12"/>
  <c r="N975" i="12" s="1"/>
  <c r="N974" i="12" s="1"/>
  <c r="N973" i="12" s="1"/>
  <c r="O976" i="12"/>
  <c r="Q976" i="12"/>
  <c r="Q975" i="12" s="1"/>
  <c r="Q974" i="12" s="1"/>
  <c r="Q973" i="12" s="1"/>
  <c r="R976" i="12"/>
  <c r="R975" i="12" s="1"/>
  <c r="R974" i="12" s="1"/>
  <c r="R973" i="12" s="1"/>
  <c r="S976" i="12"/>
  <c r="S975" i="12" s="1"/>
  <c r="S974" i="12" s="1"/>
  <c r="S973" i="12" s="1"/>
  <c r="T976" i="12"/>
  <c r="T975" i="12" s="1"/>
  <c r="U976" i="12"/>
  <c r="V976" i="12"/>
  <c r="V975" i="12" s="1"/>
  <c r="V974" i="12" s="1"/>
  <c r="V973" i="12" s="1"/>
  <c r="W976" i="12"/>
  <c r="W975" i="12" s="1"/>
  <c r="W974" i="12" s="1"/>
  <c r="W973" i="12" s="1"/>
  <c r="X976" i="12"/>
  <c r="X975" i="12" s="1"/>
  <c r="Y976" i="12"/>
  <c r="Y975" i="12" s="1"/>
  <c r="Z976" i="12"/>
  <c r="AB976" i="12"/>
  <c r="AC976" i="12"/>
  <c r="AF976" i="12"/>
  <c r="AG976" i="12"/>
  <c r="AG975" i="12" s="1"/>
  <c r="AG974" i="12" s="1"/>
  <c r="AG973" i="12" s="1"/>
  <c r="AH976" i="12"/>
  <c r="AH975" i="12" s="1"/>
  <c r="AH974" i="12" s="1"/>
  <c r="AH973" i="12" s="1"/>
  <c r="AI976" i="12"/>
  <c r="AI975" i="12" s="1"/>
  <c r="AI974" i="12" s="1"/>
  <c r="AI973" i="12" s="1"/>
  <c r="AJ976" i="12"/>
  <c r="AK976" i="12" s="1"/>
  <c r="K977" i="12"/>
  <c r="L977" i="12"/>
  <c r="P977" i="12"/>
  <c r="Z977" i="12"/>
  <c r="AA977" i="12"/>
  <c r="AD977" i="12"/>
  <c r="AE977" i="12"/>
  <c r="AJ977" i="12"/>
  <c r="AK977" i="12"/>
  <c r="AJ978" i="12"/>
  <c r="AK978" i="12" s="1"/>
  <c r="AJ979" i="12"/>
  <c r="AK979" i="12" s="1"/>
  <c r="I980" i="12"/>
  <c r="I978" i="12" s="1"/>
  <c r="S980" i="12"/>
  <c r="S978" i="12" s="1"/>
  <c r="AG980" i="12"/>
  <c r="AJ980" i="12"/>
  <c r="AK980" i="12"/>
  <c r="N981" i="12"/>
  <c r="N980" i="12" s="1"/>
  <c r="N978" i="12" s="1"/>
  <c r="AF981" i="12"/>
  <c r="AJ981" i="12"/>
  <c r="AK981" i="12" s="1"/>
  <c r="I982" i="12"/>
  <c r="I981" i="12" s="1"/>
  <c r="J982" i="12"/>
  <c r="M982" i="12"/>
  <c r="N982" i="12"/>
  <c r="O982" i="12"/>
  <c r="O981" i="12" s="1"/>
  <c r="O980" i="12" s="1"/>
  <c r="O978" i="12" s="1"/>
  <c r="Q982" i="12"/>
  <c r="Q981" i="12" s="1"/>
  <c r="Q980" i="12" s="1"/>
  <c r="Q978" i="12" s="1"/>
  <c r="R982" i="12"/>
  <c r="R981" i="12" s="1"/>
  <c r="R980" i="12" s="1"/>
  <c r="R978" i="12" s="1"/>
  <c r="S982" i="12"/>
  <c r="S981" i="12" s="1"/>
  <c r="T982" i="12"/>
  <c r="U982" i="12"/>
  <c r="U981" i="12" s="1"/>
  <c r="U980" i="12" s="1"/>
  <c r="U978" i="12" s="1"/>
  <c r="V982" i="12"/>
  <c r="V981" i="12" s="1"/>
  <c r="V980" i="12" s="1"/>
  <c r="W982" i="12"/>
  <c r="W981" i="12" s="1"/>
  <c r="W980" i="12" s="1"/>
  <c r="X982" i="12"/>
  <c r="X981" i="12" s="1"/>
  <c r="X980" i="12" s="1"/>
  <c r="X978" i="12" s="1"/>
  <c r="Y982" i="12"/>
  <c r="AA982" i="12"/>
  <c r="AB982" i="12"/>
  <c r="AB981" i="12" s="1"/>
  <c r="AC982" i="12"/>
  <c r="AE982" i="12"/>
  <c r="AF982" i="12"/>
  <c r="AG982" i="12"/>
  <c r="AG981" i="12" s="1"/>
  <c r="AH982" i="12"/>
  <c r="AH981" i="12" s="1"/>
  <c r="AH980" i="12" s="1"/>
  <c r="AI982" i="12"/>
  <c r="AI981" i="12" s="1"/>
  <c r="AI980" i="12" s="1"/>
  <c r="AJ982" i="12"/>
  <c r="AK982" i="12" s="1"/>
  <c r="K983" i="12"/>
  <c r="L983" i="12"/>
  <c r="P983" i="12"/>
  <c r="Z983" i="12"/>
  <c r="AA983" i="12"/>
  <c r="AD983" i="12"/>
  <c r="AE983" i="12"/>
  <c r="AJ983" i="12"/>
  <c r="AK983" i="12" s="1"/>
  <c r="S984" i="12"/>
  <c r="AJ984" i="12"/>
  <c r="AK984" i="12"/>
  <c r="T985" i="12"/>
  <c r="AJ985" i="12"/>
  <c r="AK985" i="12" s="1"/>
  <c r="Q986" i="12"/>
  <c r="Q985" i="12" s="1"/>
  <c r="Q984" i="12" s="1"/>
  <c r="S986" i="12"/>
  <c r="S985" i="12" s="1"/>
  <c r="W986" i="12"/>
  <c r="W985" i="12" s="1"/>
  <c r="W984" i="12" s="1"/>
  <c r="AJ986" i="12"/>
  <c r="AK986" i="12" s="1"/>
  <c r="I987" i="12"/>
  <c r="I986" i="12" s="1"/>
  <c r="I985" i="12" s="1"/>
  <c r="I984" i="12" s="1"/>
  <c r="J987" i="12"/>
  <c r="L987" i="12"/>
  <c r="M987" i="12"/>
  <c r="M986" i="12" s="1"/>
  <c r="N987" i="12"/>
  <c r="N986" i="12" s="1"/>
  <c r="N985" i="12" s="1"/>
  <c r="N984" i="12" s="1"/>
  <c r="O987" i="12"/>
  <c r="O986" i="12" s="1"/>
  <c r="O985" i="12" s="1"/>
  <c r="O984" i="12" s="1"/>
  <c r="Q987" i="12"/>
  <c r="R987" i="12"/>
  <c r="R986" i="12" s="1"/>
  <c r="R985" i="12" s="1"/>
  <c r="R984" i="12" s="1"/>
  <c r="S987" i="12"/>
  <c r="T987" i="12"/>
  <c r="T986" i="12" s="1"/>
  <c r="U987" i="12"/>
  <c r="U986" i="12" s="1"/>
  <c r="U985" i="12" s="1"/>
  <c r="U984" i="12" s="1"/>
  <c r="V987" i="12"/>
  <c r="V986" i="12" s="1"/>
  <c r="V985" i="12" s="1"/>
  <c r="V984" i="12" s="1"/>
  <c r="W987" i="12"/>
  <c r="X987" i="12"/>
  <c r="X986" i="12" s="1"/>
  <c r="X985" i="12" s="1"/>
  <c r="X984" i="12" s="1"/>
  <c r="Y987" i="12"/>
  <c r="Z987" i="12" s="1"/>
  <c r="AB987" i="12"/>
  <c r="AC987" i="12"/>
  <c r="AC986" i="12" s="1"/>
  <c r="AD987" i="12"/>
  <c r="AF987" i="12"/>
  <c r="AG987" i="12"/>
  <c r="AG986" i="12" s="1"/>
  <c r="AG985" i="12" s="1"/>
  <c r="AG984" i="12" s="1"/>
  <c r="AH987" i="12"/>
  <c r="AH986" i="12" s="1"/>
  <c r="AH985" i="12" s="1"/>
  <c r="AH984" i="12" s="1"/>
  <c r="AI987" i="12"/>
  <c r="AI986" i="12" s="1"/>
  <c r="AI985" i="12" s="1"/>
  <c r="AI984" i="12" s="1"/>
  <c r="AJ987" i="12"/>
  <c r="AK987" i="12" s="1"/>
  <c r="K988" i="12"/>
  <c r="L988" i="12"/>
  <c r="P988" i="12"/>
  <c r="Z988" i="12"/>
  <c r="AA988" i="12"/>
  <c r="AD988" i="12"/>
  <c r="AE988" i="12"/>
  <c r="AJ988" i="12"/>
  <c r="AK988" i="12" s="1"/>
  <c r="AJ989" i="12"/>
  <c r="AK989" i="12" s="1"/>
  <c r="AJ990" i="12"/>
  <c r="AK990" i="12" s="1"/>
  <c r="I991" i="12"/>
  <c r="I989" i="12" s="1"/>
  <c r="W991" i="12"/>
  <c r="AG991" i="12"/>
  <c r="AJ991" i="12"/>
  <c r="AK991" i="12" s="1"/>
  <c r="N992" i="12"/>
  <c r="N991" i="12" s="1"/>
  <c r="N989" i="12" s="1"/>
  <c r="V992" i="12"/>
  <c r="V991" i="12" s="1"/>
  <c r="AF992" i="12"/>
  <c r="AH992" i="12"/>
  <c r="AH991" i="12" s="1"/>
  <c r="AJ992" i="12"/>
  <c r="AK992" i="12" s="1"/>
  <c r="I993" i="12"/>
  <c r="I992" i="12" s="1"/>
  <c r="J993" i="12"/>
  <c r="J992" i="12" s="1"/>
  <c r="K993" i="12"/>
  <c r="M993" i="12"/>
  <c r="N993" i="12"/>
  <c r="O993" i="12"/>
  <c r="O992" i="12" s="1"/>
  <c r="O991" i="12" s="1"/>
  <c r="O989" i="12" s="1"/>
  <c r="Q993" i="12"/>
  <c r="Q992" i="12" s="1"/>
  <c r="Q991" i="12" s="1"/>
  <c r="Q989" i="12" s="1"/>
  <c r="R993" i="12"/>
  <c r="R992" i="12" s="1"/>
  <c r="R991" i="12" s="1"/>
  <c r="R989" i="12" s="1"/>
  <c r="S993" i="12"/>
  <c r="S992" i="12" s="1"/>
  <c r="S991" i="12" s="1"/>
  <c r="S989" i="12" s="1"/>
  <c r="T993" i="12"/>
  <c r="P993" i="12" s="1"/>
  <c r="U993" i="12"/>
  <c r="U992" i="12" s="1"/>
  <c r="U991" i="12" s="1"/>
  <c r="U989" i="12" s="1"/>
  <c r="V993" i="12"/>
  <c r="W993" i="12"/>
  <c r="W992" i="12" s="1"/>
  <c r="X993" i="12"/>
  <c r="X992" i="12" s="1"/>
  <c r="X991" i="12" s="1"/>
  <c r="Y993" i="12"/>
  <c r="AA993" i="12"/>
  <c r="AB993" i="12"/>
  <c r="AB992" i="12" s="1"/>
  <c r="AC993" i="12"/>
  <c r="AE993" i="12"/>
  <c r="AF993" i="12"/>
  <c r="AG993" i="12"/>
  <c r="AG992" i="12" s="1"/>
  <c r="AH993" i="12"/>
  <c r="AI993" i="12"/>
  <c r="AI992" i="12" s="1"/>
  <c r="AI991" i="12" s="1"/>
  <c r="AJ993" i="12"/>
  <c r="AK993" i="12" s="1"/>
  <c r="K994" i="12"/>
  <c r="L994" i="12"/>
  <c r="P994" i="12"/>
  <c r="Z994" i="12"/>
  <c r="AA994" i="12"/>
  <c r="AD994" i="12"/>
  <c r="AE994" i="12"/>
  <c r="AJ994" i="12"/>
  <c r="AK994" i="12" s="1"/>
  <c r="O995" i="12"/>
  <c r="AJ995" i="12"/>
  <c r="AK995" i="12"/>
  <c r="W996" i="12"/>
  <c r="AJ996" i="12"/>
  <c r="AK996" i="12"/>
  <c r="O997" i="12"/>
  <c r="AJ997" i="12"/>
  <c r="AK997" i="12" s="1"/>
  <c r="T998" i="12"/>
  <c r="AF998" i="12"/>
  <c r="AF997" i="12" s="1"/>
  <c r="AJ998" i="12"/>
  <c r="AK998" i="12" s="1"/>
  <c r="I999" i="12"/>
  <c r="I998" i="12" s="1"/>
  <c r="I997" i="12" s="1"/>
  <c r="I995" i="12" s="1"/>
  <c r="J999" i="12"/>
  <c r="J998" i="12" s="1"/>
  <c r="J997" i="12" s="1"/>
  <c r="J995" i="12" s="1"/>
  <c r="K999" i="12"/>
  <c r="K998" i="12" s="1"/>
  <c r="K997" i="12" s="1"/>
  <c r="K995" i="12" s="1"/>
  <c r="L999" i="12"/>
  <c r="L998" i="12" s="1"/>
  <c r="L997" i="12" s="1"/>
  <c r="L995" i="12" s="1"/>
  <c r="M999" i="12"/>
  <c r="M998" i="12" s="1"/>
  <c r="M997" i="12" s="1"/>
  <c r="M995" i="12" s="1"/>
  <c r="N999" i="12"/>
  <c r="N998" i="12" s="1"/>
  <c r="N997" i="12" s="1"/>
  <c r="N995" i="12" s="1"/>
  <c r="O999" i="12"/>
  <c r="Q999" i="12"/>
  <c r="Q998" i="12" s="1"/>
  <c r="Q997" i="12" s="1"/>
  <c r="Q995" i="12" s="1"/>
  <c r="R999" i="12"/>
  <c r="R998" i="12" s="1"/>
  <c r="R997" i="12" s="1"/>
  <c r="R995" i="12" s="1"/>
  <c r="S999" i="12"/>
  <c r="S998" i="12" s="1"/>
  <c r="S997" i="12" s="1"/>
  <c r="S995" i="12" s="1"/>
  <c r="T999" i="12"/>
  <c r="U999" i="12"/>
  <c r="U998" i="12" s="1"/>
  <c r="U997" i="12" s="1"/>
  <c r="U995" i="12" s="1"/>
  <c r="V999" i="12"/>
  <c r="V998" i="12" s="1"/>
  <c r="V997" i="12" s="1"/>
  <c r="W999" i="12"/>
  <c r="W998" i="12" s="1"/>
  <c r="W997" i="12" s="1"/>
  <c r="W995" i="12" s="1"/>
  <c r="X999" i="12"/>
  <c r="X998" i="12" s="1"/>
  <c r="X997" i="12" s="1"/>
  <c r="Y999" i="12"/>
  <c r="AB999" i="12"/>
  <c r="AC999" i="12"/>
  <c r="AF999" i="12"/>
  <c r="AE999" i="12" s="1"/>
  <c r="AG999" i="12"/>
  <c r="AG998" i="12" s="1"/>
  <c r="AG997" i="12" s="1"/>
  <c r="AH999" i="12"/>
  <c r="AH998" i="12" s="1"/>
  <c r="AH997" i="12" s="1"/>
  <c r="AI999" i="12"/>
  <c r="AI998" i="12" s="1"/>
  <c r="AI997" i="12" s="1"/>
  <c r="AI996" i="12" s="1"/>
  <c r="AJ999" i="12"/>
  <c r="AK999" i="12"/>
  <c r="P1000" i="12"/>
  <c r="Z1000" i="12"/>
  <c r="AA1000" i="12"/>
  <c r="AD1000" i="12"/>
  <c r="AE1000" i="12"/>
  <c r="AJ1000" i="12"/>
  <c r="AK1000" i="12" s="1"/>
  <c r="AJ1001" i="12"/>
  <c r="AK1001" i="12" s="1"/>
  <c r="AJ1002" i="12"/>
  <c r="AK1002" i="12" s="1"/>
  <c r="N1003" i="12"/>
  <c r="N1001" i="12" s="1"/>
  <c r="T1003" i="12"/>
  <c r="AJ1003" i="12"/>
  <c r="AK1003" i="12" s="1"/>
  <c r="I1004" i="12"/>
  <c r="K1004" i="12"/>
  <c r="S1004" i="12"/>
  <c r="S1003" i="12" s="1"/>
  <c r="S1001" i="12" s="1"/>
  <c r="AC1004" i="12"/>
  <c r="AG1004" i="12"/>
  <c r="AG1003" i="12" s="1"/>
  <c r="AJ1004" i="12"/>
  <c r="AK1004" i="12"/>
  <c r="I1005" i="12"/>
  <c r="J1005" i="12"/>
  <c r="J1004" i="12" s="1"/>
  <c r="K1005" i="12"/>
  <c r="L1005" i="12"/>
  <c r="L1004" i="12" s="1"/>
  <c r="M1005" i="12"/>
  <c r="M1004" i="12" s="1"/>
  <c r="M1003" i="12" s="1"/>
  <c r="M1001" i="12" s="1"/>
  <c r="N1005" i="12"/>
  <c r="N1004" i="12" s="1"/>
  <c r="I1003" i="12" s="1"/>
  <c r="I1001" i="12" s="1"/>
  <c r="O1005" i="12"/>
  <c r="O1004" i="12" s="1"/>
  <c r="Q1005" i="12"/>
  <c r="Q1004" i="12" s="1"/>
  <c r="R1005" i="12"/>
  <c r="R1004" i="12" s="1"/>
  <c r="R1003" i="12" s="1"/>
  <c r="R1001" i="12" s="1"/>
  <c r="S1005" i="12"/>
  <c r="T1005" i="12"/>
  <c r="T1004" i="12" s="1"/>
  <c r="P1004" i="12" s="1"/>
  <c r="K1003" i="12" s="1"/>
  <c r="K1001" i="12" s="1"/>
  <c r="U1005" i="12"/>
  <c r="U1004" i="12" s="1"/>
  <c r="U1003" i="12" s="1"/>
  <c r="U1001" i="12" s="1"/>
  <c r="V1005" i="12"/>
  <c r="V1004" i="12" s="1"/>
  <c r="V1003" i="12" s="1"/>
  <c r="W1005" i="12"/>
  <c r="W1004" i="12" s="1"/>
  <c r="W1003" i="12" s="1"/>
  <c r="W1002" i="12" s="1"/>
  <c r="X1005" i="12"/>
  <c r="X1004" i="12" s="1"/>
  <c r="X1003" i="12" s="1"/>
  <c r="Y1005" i="12"/>
  <c r="AB1005" i="12"/>
  <c r="AC1005" i="12"/>
  <c r="AD1005" i="12"/>
  <c r="AF1005" i="12"/>
  <c r="AG1005" i="12"/>
  <c r="AH1005" i="12"/>
  <c r="AH1004" i="12" s="1"/>
  <c r="AH1003" i="12" s="1"/>
  <c r="AI1005" i="12"/>
  <c r="AI1004" i="12" s="1"/>
  <c r="AI1003" i="12" s="1"/>
  <c r="AJ1005" i="12"/>
  <c r="AK1005" i="12" s="1"/>
  <c r="P1006" i="12"/>
  <c r="Z1006" i="12"/>
  <c r="AA1006" i="12"/>
  <c r="AD1006" i="12"/>
  <c r="AE1006" i="12"/>
  <c r="AJ1006" i="12"/>
  <c r="AK1006" i="12"/>
  <c r="AJ1007" i="12"/>
  <c r="AK1007" i="12" s="1"/>
  <c r="AJ1008" i="12"/>
  <c r="AK1008" i="12" s="1"/>
  <c r="V1009" i="12"/>
  <c r="V1008" i="12" s="1"/>
  <c r="V1007" i="12" s="1"/>
  <c r="AJ1009" i="12"/>
  <c r="AK1009" i="12" s="1"/>
  <c r="Y1010" i="12"/>
  <c r="Y1009" i="12" s="1"/>
  <c r="Y1008" i="12" s="1"/>
  <c r="Y1007" i="12" s="1"/>
  <c r="AC1010" i="12"/>
  <c r="AJ1010" i="12"/>
  <c r="AK1010" i="12"/>
  <c r="U1011" i="12"/>
  <c r="U1010" i="12" s="1"/>
  <c r="U1009" i="12" s="1"/>
  <c r="U1008" i="12" s="1"/>
  <c r="U1007" i="12" s="1"/>
  <c r="V1011" i="12"/>
  <c r="V1010" i="12" s="1"/>
  <c r="W1011" i="12"/>
  <c r="W1010" i="12" s="1"/>
  <c r="W1009" i="12" s="1"/>
  <c r="W1008" i="12" s="1"/>
  <c r="W1007" i="12" s="1"/>
  <c r="X1011" i="12"/>
  <c r="X1010" i="12" s="1"/>
  <c r="X1009" i="12" s="1"/>
  <c r="X1008" i="12" s="1"/>
  <c r="X1007" i="12" s="1"/>
  <c r="Y1011" i="12"/>
  <c r="AB1011" i="12"/>
  <c r="AC1011" i="12"/>
  <c r="AF1011" i="12"/>
  <c r="AG1011" i="12"/>
  <c r="AG1010" i="12" s="1"/>
  <c r="AG1009" i="12" s="1"/>
  <c r="AG1008" i="12" s="1"/>
  <c r="AG1007" i="12" s="1"/>
  <c r="AH1011" i="12"/>
  <c r="AH1010" i="12" s="1"/>
  <c r="AH1009" i="12" s="1"/>
  <c r="AH1008" i="12" s="1"/>
  <c r="AH1007" i="12" s="1"/>
  <c r="AI1011" i="12"/>
  <c r="AI1010" i="12" s="1"/>
  <c r="AI1009" i="12" s="1"/>
  <c r="AI1008" i="12" s="1"/>
  <c r="AI1007" i="12" s="1"/>
  <c r="AJ1011" i="12"/>
  <c r="AK1011" i="12" s="1"/>
  <c r="Z1012" i="12"/>
  <c r="Z1011" i="12" s="1"/>
  <c r="Z1010" i="12" s="1"/>
  <c r="Z1009" i="12" s="1"/>
  <c r="Z1008" i="12" s="1"/>
  <c r="Z1007" i="12" s="1"/>
  <c r="AA1012" i="12"/>
  <c r="AA1011" i="12" s="1"/>
  <c r="AA1010" i="12" s="1"/>
  <c r="AA1009" i="12" s="1"/>
  <c r="AA1008" i="12" s="1"/>
  <c r="AA1007" i="12" s="1"/>
  <c r="AD1012" i="12"/>
  <c r="AE1012" i="12"/>
  <c r="AJ1012" i="12"/>
  <c r="AK1012" i="12" s="1"/>
  <c r="AJ1013" i="12"/>
  <c r="AK1013" i="12"/>
  <c r="AE1014" i="12"/>
  <c r="AJ1014" i="12"/>
  <c r="AK1014" i="12" s="1"/>
  <c r="AJ1015" i="12"/>
  <c r="AK1015" i="12"/>
  <c r="AJ1016" i="12"/>
  <c r="AK1016" i="12" s="1"/>
  <c r="AJ1017" i="12"/>
  <c r="AK1017" i="12" s="1"/>
  <c r="AC1018" i="12"/>
  <c r="AJ1018" i="12"/>
  <c r="AK1018" i="12"/>
  <c r="M1019" i="12"/>
  <c r="N1019" i="12"/>
  <c r="O1019" i="12"/>
  <c r="Q1019" i="12"/>
  <c r="Q1018" i="12" s="1"/>
  <c r="R1019" i="12"/>
  <c r="S1019" i="12"/>
  <c r="T1019" i="12"/>
  <c r="P1019" i="12" s="1"/>
  <c r="U1019" i="12"/>
  <c r="U1018" i="12" s="1"/>
  <c r="V1019" i="12"/>
  <c r="W1019" i="12"/>
  <c r="X1019" i="12"/>
  <c r="Y1019" i="12"/>
  <c r="AB1019" i="12"/>
  <c r="AC1019" i="12"/>
  <c r="AF1019" i="12"/>
  <c r="AG1019" i="12"/>
  <c r="AH1019" i="12"/>
  <c r="AI1019" i="12"/>
  <c r="AJ1019" i="12"/>
  <c r="AK1019" i="12" s="1"/>
  <c r="P1020" i="12"/>
  <c r="Z1020" i="12"/>
  <c r="AA1020" i="12"/>
  <c r="AD1020" i="12"/>
  <c r="AE1020" i="12"/>
  <c r="AJ1020" i="12"/>
  <c r="AK1020" i="12"/>
  <c r="I1021" i="12"/>
  <c r="I1018" i="12" s="1"/>
  <c r="J1021" i="12"/>
  <c r="M1021" i="12"/>
  <c r="M1018" i="12" s="1"/>
  <c r="N1021" i="12"/>
  <c r="N1018" i="12" s="1"/>
  <c r="N1017" i="12" s="1"/>
  <c r="N1015" i="12" s="1"/>
  <c r="O1021" i="12"/>
  <c r="O1018" i="12" s="1"/>
  <c r="O1017" i="12" s="1"/>
  <c r="O1015" i="12" s="1"/>
  <c r="Q1021" i="12"/>
  <c r="R1021" i="12"/>
  <c r="R1018" i="12" s="1"/>
  <c r="R1017" i="12" s="1"/>
  <c r="R1015" i="12" s="1"/>
  <c r="S1021" i="12"/>
  <c r="S1018" i="12" s="1"/>
  <c r="T1021" i="12"/>
  <c r="U1021" i="12"/>
  <c r="V1021" i="12"/>
  <c r="V1018" i="12" s="1"/>
  <c r="W1021" i="12"/>
  <c r="W1018" i="12" s="1"/>
  <c r="W1017" i="12" s="1"/>
  <c r="X1021" i="12"/>
  <c r="Y1021" i="12"/>
  <c r="Z1021" i="12"/>
  <c r="AB1021" i="12"/>
  <c r="AC1021" i="12"/>
  <c r="AF1021" i="12"/>
  <c r="AG1021" i="12"/>
  <c r="AG1018" i="12" s="1"/>
  <c r="AH1021" i="12"/>
  <c r="AI1021" i="12"/>
  <c r="AI1018" i="12" s="1"/>
  <c r="AJ1021" i="12"/>
  <c r="AK1021" i="12" s="1"/>
  <c r="K1022" i="12"/>
  <c r="L1022" i="12"/>
  <c r="P1022" i="12"/>
  <c r="Z1022" i="12"/>
  <c r="AA1022" i="12"/>
  <c r="AD1022" i="12"/>
  <c r="AE1022" i="12"/>
  <c r="AJ1022" i="12"/>
  <c r="AK1022" i="12"/>
  <c r="J1023" i="12"/>
  <c r="K1023" i="12" s="1"/>
  <c r="N1023" i="12"/>
  <c r="R1023" i="12"/>
  <c r="T1023" i="12"/>
  <c r="P1023" i="12" s="1"/>
  <c r="AH1023" i="12"/>
  <c r="AJ1023" i="12"/>
  <c r="AK1023" i="12" s="1"/>
  <c r="I1024" i="12"/>
  <c r="I1023" i="12" s="1"/>
  <c r="J1024" i="12"/>
  <c r="K1024" i="12"/>
  <c r="M1024" i="12"/>
  <c r="N1024" i="12"/>
  <c r="O1024" i="12"/>
  <c r="O1023" i="12" s="1"/>
  <c r="Q1024" i="12"/>
  <c r="Q1023" i="12" s="1"/>
  <c r="R1024" i="12"/>
  <c r="S1024" i="12"/>
  <c r="S1023" i="12" s="1"/>
  <c r="T1024" i="12"/>
  <c r="P1024" i="12" s="1"/>
  <c r="U1024" i="12"/>
  <c r="U1023" i="12" s="1"/>
  <c r="V1024" i="12"/>
  <c r="V1023" i="12" s="1"/>
  <c r="W1024" i="12"/>
  <c r="W1023" i="12" s="1"/>
  <c r="X1024" i="12"/>
  <c r="X1023" i="12" s="1"/>
  <c r="Y1024" i="12"/>
  <c r="AB1024" i="12"/>
  <c r="AB1023" i="12" s="1"/>
  <c r="AC1024" i="12"/>
  <c r="AF1024" i="12"/>
  <c r="AG1024" i="12"/>
  <c r="AG1023" i="12" s="1"/>
  <c r="AH1024" i="12"/>
  <c r="AI1024" i="12"/>
  <c r="AI1023" i="12" s="1"/>
  <c r="AJ1024" i="12"/>
  <c r="AK1024" i="12" s="1"/>
  <c r="K1025" i="12"/>
  <c r="L1025" i="12"/>
  <c r="P1025" i="12"/>
  <c r="Z1025" i="12"/>
  <c r="AA1025" i="12"/>
  <c r="AD1025" i="12"/>
  <c r="AE1025" i="12"/>
  <c r="AJ1025" i="12"/>
  <c r="AK1025" i="12" s="1"/>
  <c r="AJ1026" i="12"/>
  <c r="AK1026" i="12"/>
  <c r="AJ1027" i="12"/>
  <c r="AK1027" i="12" s="1"/>
  <c r="AJ1028" i="12"/>
  <c r="AK1028" i="12" s="1"/>
  <c r="M1029" i="12"/>
  <c r="N1029" i="12"/>
  <c r="R1029" i="12"/>
  <c r="Y1029" i="12"/>
  <c r="AC1029" i="12"/>
  <c r="AJ1029" i="12"/>
  <c r="AK1029" i="12" s="1"/>
  <c r="I1030" i="12"/>
  <c r="L1030" i="12" s="1"/>
  <c r="J1030" i="12"/>
  <c r="J1029" i="12" s="1"/>
  <c r="M1030" i="12"/>
  <c r="N1030" i="12"/>
  <c r="O1030" i="12"/>
  <c r="O1029" i="12" s="1"/>
  <c r="Q1030" i="12"/>
  <c r="Q1029" i="12" s="1"/>
  <c r="R1030" i="12"/>
  <c r="S1030" i="12"/>
  <c r="S1029" i="12" s="1"/>
  <c r="T1030" i="12"/>
  <c r="P1030" i="12" s="1"/>
  <c r="U1030" i="12"/>
  <c r="U1029" i="12" s="1"/>
  <c r="V1030" i="12"/>
  <c r="V1029" i="12" s="1"/>
  <c r="W1030" i="12"/>
  <c r="W1029" i="12" s="1"/>
  <c r="X1030" i="12"/>
  <c r="X1029" i="12" s="1"/>
  <c r="Y1030" i="12"/>
  <c r="Z1030" i="12" s="1"/>
  <c r="AB1030" i="12"/>
  <c r="AC1030" i="12"/>
  <c r="AD1030" i="12" s="1"/>
  <c r="AF1030" i="12"/>
  <c r="AF1029" i="12" s="1"/>
  <c r="AF1028" i="12" s="1"/>
  <c r="AG1030" i="12"/>
  <c r="AG1029" i="12" s="1"/>
  <c r="AH1030" i="12"/>
  <c r="AH1029" i="12" s="1"/>
  <c r="AI1030" i="12"/>
  <c r="AI1029" i="12" s="1"/>
  <c r="AJ1030" i="12"/>
  <c r="AK1030" i="12" s="1"/>
  <c r="L1031" i="12"/>
  <c r="P1031" i="12"/>
  <c r="Z1031" i="12"/>
  <c r="AA1031" i="12"/>
  <c r="AD1031" i="12"/>
  <c r="AE1031" i="12"/>
  <c r="AJ1031" i="12"/>
  <c r="AK1031" i="12" s="1"/>
  <c r="Q1032" i="12"/>
  <c r="X1032" i="12"/>
  <c r="Y1032" i="12"/>
  <c r="AC1032" i="12"/>
  <c r="AJ1032" i="12"/>
  <c r="AK1032" i="12" s="1"/>
  <c r="I1033" i="12"/>
  <c r="I1032" i="12" s="1"/>
  <c r="J1033" i="12"/>
  <c r="M1033" i="12"/>
  <c r="N1033" i="12"/>
  <c r="N1032" i="12" s="1"/>
  <c r="O1033" i="12"/>
  <c r="O1032" i="12" s="1"/>
  <c r="Q1033" i="12"/>
  <c r="R1033" i="12"/>
  <c r="R1032" i="12" s="1"/>
  <c r="S1033" i="12"/>
  <c r="S1032" i="12" s="1"/>
  <c r="S1028" i="12" s="1"/>
  <c r="S1026" i="12" s="1"/>
  <c r="T1033" i="12"/>
  <c r="T1032" i="12" s="1"/>
  <c r="U1033" i="12"/>
  <c r="U1032" i="12" s="1"/>
  <c r="V1033" i="12"/>
  <c r="V1032" i="12" s="1"/>
  <c r="V1028" i="12" s="1"/>
  <c r="W1033" i="12"/>
  <c r="W1032" i="12" s="1"/>
  <c r="W1028" i="12" s="1"/>
  <c r="X1033" i="12"/>
  <c r="Y1033" i="12"/>
  <c r="Z1033" i="12"/>
  <c r="AA1033" i="12"/>
  <c r="AB1033" i="12"/>
  <c r="AB1032" i="12" s="1"/>
  <c r="AC1033" i="12"/>
  <c r="AD1033" i="12"/>
  <c r="AE1033" i="12"/>
  <c r="AF1033" i="12"/>
  <c r="AF1032" i="12" s="1"/>
  <c r="AE1032" i="12" s="1"/>
  <c r="AG1033" i="12"/>
  <c r="AG1032" i="12" s="1"/>
  <c r="AH1033" i="12"/>
  <c r="AH1032" i="12" s="1"/>
  <c r="AI1033" i="12"/>
  <c r="AI1032" i="12" s="1"/>
  <c r="AI1028" i="12" s="1"/>
  <c r="AJ1033" i="12"/>
  <c r="AK1033" i="12" s="1"/>
  <c r="K1034" i="12"/>
  <c r="L1034" i="12"/>
  <c r="P1034" i="12"/>
  <c r="Z1034" i="12"/>
  <c r="AA1034" i="12"/>
  <c r="AD1034" i="12"/>
  <c r="AE1034" i="12"/>
  <c r="AJ1034" i="12"/>
  <c r="AK1034" i="12" s="1"/>
  <c r="AJ1035" i="12"/>
  <c r="AK1035" i="12"/>
  <c r="AJ1036" i="12"/>
  <c r="AK1036" i="12" s="1"/>
  <c r="AJ1037" i="12"/>
  <c r="AK1037" i="12"/>
  <c r="AJ1038" i="12"/>
  <c r="AK1038" i="12"/>
  <c r="AB1039" i="12"/>
  <c r="AJ1039" i="12"/>
  <c r="AK1039" i="12" s="1"/>
  <c r="I1040" i="12"/>
  <c r="I1039" i="12" s="1"/>
  <c r="I1037" i="12" s="1"/>
  <c r="M1040" i="12"/>
  <c r="X1040" i="12"/>
  <c r="X1039" i="12" s="1"/>
  <c r="AJ1040" i="12"/>
  <c r="AK1040" i="12" s="1"/>
  <c r="I1041" i="12"/>
  <c r="J1041" i="12"/>
  <c r="J1040" i="12" s="1"/>
  <c r="M1041" i="12"/>
  <c r="L1041" i="12" s="1"/>
  <c r="N1041" i="12"/>
  <c r="N1040" i="12" s="1"/>
  <c r="N1039" i="12" s="1"/>
  <c r="N1037" i="12" s="1"/>
  <c r="O1041" i="12"/>
  <c r="O1040" i="12" s="1"/>
  <c r="O1039" i="12" s="1"/>
  <c r="O1037" i="12" s="1"/>
  <c r="Q1041" i="12"/>
  <c r="Q1040" i="12" s="1"/>
  <c r="Q1039" i="12" s="1"/>
  <c r="Q1037" i="12" s="1"/>
  <c r="R1041" i="12"/>
  <c r="R1040" i="12" s="1"/>
  <c r="R1039" i="12" s="1"/>
  <c r="R1037" i="12" s="1"/>
  <c r="S1041" i="12"/>
  <c r="S1040" i="12" s="1"/>
  <c r="S1039" i="12" s="1"/>
  <c r="S1037" i="12" s="1"/>
  <c r="T1041" i="12"/>
  <c r="T1040" i="12" s="1"/>
  <c r="U1041" i="12"/>
  <c r="U1040" i="12" s="1"/>
  <c r="U1039" i="12" s="1"/>
  <c r="U1037" i="12" s="1"/>
  <c r="V1041" i="12"/>
  <c r="W1041" i="12"/>
  <c r="W1040" i="12" s="1"/>
  <c r="W1039" i="12" s="1"/>
  <c r="X1041" i="12"/>
  <c r="Y1041" i="12"/>
  <c r="Y1040" i="12" s="1"/>
  <c r="Z1041" i="12"/>
  <c r="AB1041" i="12"/>
  <c r="AB1040" i="12" s="1"/>
  <c r="AC1041" i="12"/>
  <c r="AC1040" i="12" s="1"/>
  <c r="AD1041" i="12"/>
  <c r="AE1041" i="12"/>
  <c r="AF1041" i="12"/>
  <c r="AF1040" i="12" s="1"/>
  <c r="AF1039" i="12" s="1"/>
  <c r="AG1041" i="12"/>
  <c r="AG1040" i="12" s="1"/>
  <c r="AG1039" i="12" s="1"/>
  <c r="AH1041" i="12"/>
  <c r="AH1040" i="12" s="1"/>
  <c r="AH1039" i="12" s="1"/>
  <c r="AI1041" i="12"/>
  <c r="AI1040" i="12" s="1"/>
  <c r="AI1039" i="12" s="1"/>
  <c r="AI1037" i="12" s="1"/>
  <c r="AJ1041" i="12"/>
  <c r="AK1041" i="12" s="1"/>
  <c r="K1042" i="12"/>
  <c r="L1042" i="12"/>
  <c r="P1042" i="12"/>
  <c r="Z1042" i="12"/>
  <c r="AA1042" i="12"/>
  <c r="AD1042" i="12"/>
  <c r="AE1042" i="12"/>
  <c r="AJ1042" i="12"/>
  <c r="AK1042" i="12"/>
  <c r="AJ1043" i="12"/>
  <c r="AK1043" i="12" s="1"/>
  <c r="AI1044" i="12"/>
  <c r="AJ1044" i="12"/>
  <c r="AK1044" i="12" s="1"/>
  <c r="U1045" i="12"/>
  <c r="AJ1045" i="12"/>
  <c r="AK1045" i="12" s="1"/>
  <c r="N1046" i="12"/>
  <c r="N1045" i="12" s="1"/>
  <c r="N1043" i="12" s="1"/>
  <c r="X1046" i="12"/>
  <c r="X1045" i="12" s="1"/>
  <c r="AH1046" i="12"/>
  <c r="AH1045" i="12" s="1"/>
  <c r="AH1043" i="12" s="1"/>
  <c r="AJ1046" i="12"/>
  <c r="AK1046" i="12" s="1"/>
  <c r="I1047" i="12"/>
  <c r="J1047" i="12"/>
  <c r="J1046" i="12" s="1"/>
  <c r="J1045" i="12" s="1"/>
  <c r="M1047" i="12"/>
  <c r="N1047" i="12"/>
  <c r="O1047" i="12"/>
  <c r="O1046" i="12" s="1"/>
  <c r="O1045" i="12" s="1"/>
  <c r="O1043" i="12" s="1"/>
  <c r="Q1047" i="12"/>
  <c r="Q1046" i="12" s="1"/>
  <c r="Q1045" i="12" s="1"/>
  <c r="Q1043" i="12" s="1"/>
  <c r="R1047" i="12"/>
  <c r="R1046" i="12" s="1"/>
  <c r="R1045" i="12" s="1"/>
  <c r="R1043" i="12" s="1"/>
  <c r="S1047" i="12"/>
  <c r="S1046" i="12" s="1"/>
  <c r="S1045" i="12" s="1"/>
  <c r="S1043" i="12" s="1"/>
  <c r="U1047" i="12"/>
  <c r="U1046" i="12" s="1"/>
  <c r="V1047" i="12"/>
  <c r="V1046" i="12" s="1"/>
  <c r="V1045" i="12" s="1"/>
  <c r="W1047" i="12"/>
  <c r="W1046" i="12" s="1"/>
  <c r="W1045" i="12" s="1"/>
  <c r="W1043" i="12" s="1"/>
  <c r="X1047" i="12"/>
  <c r="Y1047" i="12"/>
  <c r="AB1047" i="12"/>
  <c r="AB1046" i="12" s="1"/>
  <c r="AC1047" i="12"/>
  <c r="AC1046" i="12" s="1"/>
  <c r="AF1047" i="12"/>
  <c r="AF1046" i="12" s="1"/>
  <c r="AG1047" i="12"/>
  <c r="AG1046" i="12" s="1"/>
  <c r="AG1045" i="12" s="1"/>
  <c r="AH1047" i="12"/>
  <c r="AI1047" i="12"/>
  <c r="AI1046" i="12" s="1"/>
  <c r="AI1045" i="12" s="1"/>
  <c r="AI1043" i="12" s="1"/>
  <c r="AJ1047" i="12"/>
  <c r="AK1047" i="12" s="1"/>
  <c r="K1048" i="12"/>
  <c r="L1048" i="12"/>
  <c r="P1048" i="12"/>
  <c r="T1048" i="12"/>
  <c r="T1047" i="12" s="1"/>
  <c r="Z1048" i="12"/>
  <c r="AA1048" i="12"/>
  <c r="AA1047" i="12" s="1"/>
  <c r="AD1048" i="12"/>
  <c r="AE1048" i="12"/>
  <c r="AJ1048" i="12"/>
  <c r="AK1048" i="12"/>
  <c r="K1049" i="12"/>
  <c r="L1049" i="12"/>
  <c r="P1049" i="12"/>
  <c r="Z1049" i="12"/>
  <c r="AA1049" i="12"/>
  <c r="AD1049" i="12"/>
  <c r="AE1049" i="12"/>
  <c r="AE1047" i="12" s="1"/>
  <c r="AJ1049" i="12"/>
  <c r="AK1049" i="12" s="1"/>
  <c r="AJ1050" i="12"/>
  <c r="AK1050" i="12" s="1"/>
  <c r="AJ1051" i="12"/>
  <c r="AK1051" i="12" s="1"/>
  <c r="AJ1052" i="12"/>
  <c r="AK1052" i="12" s="1"/>
  <c r="V1053" i="12"/>
  <c r="V1052" i="12" s="1"/>
  <c r="V1050" i="12" s="1"/>
  <c r="AJ1053" i="12"/>
  <c r="AK1053" i="12"/>
  <c r="I1054" i="12"/>
  <c r="I1053" i="12" s="1"/>
  <c r="I1052" i="12" s="1"/>
  <c r="I1050" i="12" s="1"/>
  <c r="J1054" i="12"/>
  <c r="K1054" i="12"/>
  <c r="L1054" i="12"/>
  <c r="L1053" i="12" s="1"/>
  <c r="L1052" i="12" s="1"/>
  <c r="L1050" i="12" s="1"/>
  <c r="M1054" i="12"/>
  <c r="M1053" i="12" s="1"/>
  <c r="M1052" i="12" s="1"/>
  <c r="M1050" i="12" s="1"/>
  <c r="N1054" i="12"/>
  <c r="O1054" i="12"/>
  <c r="Q1054" i="12"/>
  <c r="Q1053" i="12" s="1"/>
  <c r="Q1052" i="12" s="1"/>
  <c r="Q1050" i="12" s="1"/>
  <c r="R1054" i="12"/>
  <c r="S1054" i="12"/>
  <c r="T1054" i="12"/>
  <c r="U1054" i="12"/>
  <c r="U1053" i="12" s="1"/>
  <c r="U1052" i="12" s="1"/>
  <c r="V1054" i="12"/>
  <c r="W1054" i="12"/>
  <c r="X1054" i="12"/>
  <c r="Y1054" i="12"/>
  <c r="AA1054" i="12"/>
  <c r="AB1054" i="12"/>
  <c r="AB1053" i="12" s="1"/>
  <c r="AC1054" i="12"/>
  <c r="AF1054" i="12"/>
  <c r="AE1054" i="12" s="1"/>
  <c r="AG1054" i="12"/>
  <c r="AH1054" i="12"/>
  <c r="AI1054" i="12"/>
  <c r="AJ1054" i="12"/>
  <c r="AK1054" i="12" s="1"/>
  <c r="P1055" i="12"/>
  <c r="Z1055" i="12"/>
  <c r="AA1055" i="12"/>
  <c r="AD1055" i="12"/>
  <c r="AE1055" i="12"/>
  <c r="AJ1055" i="12"/>
  <c r="AK1055" i="12" s="1"/>
  <c r="I1056" i="12"/>
  <c r="J1056" i="12"/>
  <c r="K1056" i="12"/>
  <c r="L1056" i="12"/>
  <c r="M1056" i="12"/>
  <c r="N1056" i="12"/>
  <c r="O1056" i="12"/>
  <c r="Q1056" i="12"/>
  <c r="R1056" i="12"/>
  <c r="S1056" i="12"/>
  <c r="U1056" i="12"/>
  <c r="V1056" i="12"/>
  <c r="W1056" i="12"/>
  <c r="X1056" i="12"/>
  <c r="Y1056" i="12"/>
  <c r="Z1056" i="12" s="1"/>
  <c r="AB1056" i="12"/>
  <c r="AA1056" i="12" s="1"/>
  <c r="AC1056" i="12"/>
  <c r="AF1056" i="12"/>
  <c r="AG1056" i="12"/>
  <c r="AH1056" i="12"/>
  <c r="AI1056" i="12"/>
  <c r="AJ1056" i="12"/>
  <c r="AK1056" i="12" s="1"/>
  <c r="T1057" i="12"/>
  <c r="P1057" i="12" s="1"/>
  <c r="Z1057" i="12"/>
  <c r="AA1057" i="12"/>
  <c r="AD1057" i="12"/>
  <c r="AE1057" i="12"/>
  <c r="AJ1057" i="12"/>
  <c r="AK1057" i="12" s="1"/>
  <c r="P1058" i="12"/>
  <c r="Z1058" i="12"/>
  <c r="AA1058" i="12"/>
  <c r="AD1058" i="12"/>
  <c r="AE1058" i="12"/>
  <c r="AJ1058" i="12"/>
  <c r="AK1058" i="12" s="1"/>
  <c r="P1059" i="12"/>
  <c r="Z1059" i="12"/>
  <c r="AA1059" i="12"/>
  <c r="AD1059" i="12"/>
  <c r="AE1059" i="12"/>
  <c r="AJ1059" i="12"/>
  <c r="AK1059" i="12" s="1"/>
  <c r="P1060" i="12"/>
  <c r="Z1060" i="12"/>
  <c r="AA1060" i="12"/>
  <c r="AD1060" i="12"/>
  <c r="AE1060" i="12"/>
  <c r="AJ1060" i="12"/>
  <c r="AK1060" i="12" s="1"/>
  <c r="P1061" i="12"/>
  <c r="Z1061" i="12"/>
  <c r="AA1061" i="12"/>
  <c r="AD1061" i="12"/>
  <c r="AE1061" i="12"/>
  <c r="AJ1061" i="12"/>
  <c r="AK1061" i="12" s="1"/>
  <c r="I1062" i="12"/>
  <c r="J1062" i="12"/>
  <c r="J1053" i="12" s="1"/>
  <c r="J1052" i="12" s="1"/>
  <c r="J1050" i="12" s="1"/>
  <c r="K1062" i="12"/>
  <c r="L1062" i="12"/>
  <c r="M1062" i="12"/>
  <c r="N1062" i="12"/>
  <c r="N1053" i="12" s="1"/>
  <c r="N1052" i="12" s="1"/>
  <c r="N1050" i="12" s="1"/>
  <c r="O1062" i="12"/>
  <c r="Q1062" i="12"/>
  <c r="R1062" i="12"/>
  <c r="S1062" i="12"/>
  <c r="T1062" i="12"/>
  <c r="U1062" i="12"/>
  <c r="V1062" i="12"/>
  <c r="W1062" i="12"/>
  <c r="X1062" i="12"/>
  <c r="Y1062" i="12"/>
  <c r="Z1062" i="12"/>
  <c r="AB1062" i="12"/>
  <c r="AC1062" i="12"/>
  <c r="AF1062" i="12"/>
  <c r="AE1062" i="12" s="1"/>
  <c r="AG1062" i="12"/>
  <c r="AH1062" i="12"/>
  <c r="AI1062" i="12"/>
  <c r="AJ1062" i="12"/>
  <c r="AK1062" i="12" s="1"/>
  <c r="P1063" i="12"/>
  <c r="Z1063" i="12"/>
  <c r="Z2600" i="12" s="1"/>
  <c r="AA1063" i="12"/>
  <c r="AD1063" i="12"/>
  <c r="AE1063" i="12"/>
  <c r="AJ1063" i="12"/>
  <c r="AK1063" i="12" s="1"/>
  <c r="P1064" i="12"/>
  <c r="Z1064" i="12"/>
  <c r="AA1064" i="12"/>
  <c r="AD1064" i="12"/>
  <c r="AE1064" i="12"/>
  <c r="AJ1064" i="12"/>
  <c r="AK1064" i="12" s="1"/>
  <c r="P1065" i="12"/>
  <c r="Z1065" i="12"/>
  <c r="AA1065" i="12"/>
  <c r="AD1065" i="12"/>
  <c r="AE1065" i="12"/>
  <c r="AJ1065" i="12"/>
  <c r="AK1065" i="12" s="1"/>
  <c r="AJ1066" i="12"/>
  <c r="AK1066" i="12" s="1"/>
  <c r="Y1067" i="12"/>
  <c r="Y1066" i="12" s="1"/>
  <c r="AJ1067" i="12"/>
  <c r="AK1067" i="12" s="1"/>
  <c r="X1068" i="12"/>
  <c r="X1067" i="12" s="1"/>
  <c r="X1066" i="12" s="1"/>
  <c r="AF1068" i="12"/>
  <c r="AF1067" i="12" s="1"/>
  <c r="AF1066" i="12" s="1"/>
  <c r="AJ1068" i="12"/>
  <c r="AK1068" i="12" s="1"/>
  <c r="U1069" i="12"/>
  <c r="U1068" i="12" s="1"/>
  <c r="U1067" i="12" s="1"/>
  <c r="U1066" i="12" s="1"/>
  <c r="V1069" i="12"/>
  <c r="V1068" i="12" s="1"/>
  <c r="V1067" i="12" s="1"/>
  <c r="V1066" i="12" s="1"/>
  <c r="W1069" i="12"/>
  <c r="W1068" i="12" s="1"/>
  <c r="W1067" i="12" s="1"/>
  <c r="W1066" i="12" s="1"/>
  <c r="X1069" i="12"/>
  <c r="Y1069" i="12"/>
  <c r="Y1068" i="12" s="1"/>
  <c r="AB1069" i="12"/>
  <c r="AB1068" i="12" s="1"/>
  <c r="AC1069" i="12"/>
  <c r="AC1068" i="12" s="1"/>
  <c r="AC1067" i="12" s="1"/>
  <c r="AE1069" i="12"/>
  <c r="AF1069" i="12"/>
  <c r="AG1069" i="12"/>
  <c r="AG1068" i="12" s="1"/>
  <c r="AG1067" i="12" s="1"/>
  <c r="AG1066" i="12" s="1"/>
  <c r="AH1069" i="12"/>
  <c r="AH1068" i="12" s="1"/>
  <c r="AH1067" i="12" s="1"/>
  <c r="AH1066" i="12" s="1"/>
  <c r="AI1069" i="12"/>
  <c r="AI1068" i="12" s="1"/>
  <c r="AI1067" i="12" s="1"/>
  <c r="AI1066" i="12" s="1"/>
  <c r="AJ1069" i="12"/>
  <c r="AK1069" i="12"/>
  <c r="Z1070" i="12"/>
  <c r="Z1069" i="12" s="1"/>
  <c r="Z1068" i="12" s="1"/>
  <c r="Z1067" i="12" s="1"/>
  <c r="Z1066" i="12" s="1"/>
  <c r="AA1070" i="12"/>
  <c r="AA1069" i="12" s="1"/>
  <c r="AA1068" i="12" s="1"/>
  <c r="AA1067" i="12" s="1"/>
  <c r="AA1066" i="12" s="1"/>
  <c r="AD1070" i="12"/>
  <c r="AE1070" i="12"/>
  <c r="AJ1070" i="12"/>
  <c r="AK1070" i="12"/>
  <c r="AJ1071" i="12"/>
  <c r="AK1071" i="12" s="1"/>
  <c r="W1072" i="12"/>
  <c r="AJ1072" i="12"/>
  <c r="AK1072" i="12" s="1"/>
  <c r="K1073" i="12"/>
  <c r="K1071" i="12" s="1"/>
  <c r="AJ1073" i="12"/>
  <c r="AK1073" i="12" s="1"/>
  <c r="J1074" i="12"/>
  <c r="J1073" i="12" s="1"/>
  <c r="J1071" i="12" s="1"/>
  <c r="L1074" i="12"/>
  <c r="L1073" i="12" s="1"/>
  <c r="L1071" i="12" s="1"/>
  <c r="N1074" i="12"/>
  <c r="N1073" i="12" s="1"/>
  <c r="N1071" i="12" s="1"/>
  <c r="X1074" i="12"/>
  <c r="X1073" i="12" s="1"/>
  <c r="AJ1074" i="12"/>
  <c r="AK1074" i="12" s="1"/>
  <c r="I1075" i="12"/>
  <c r="I1074" i="12" s="1"/>
  <c r="I1073" i="12" s="1"/>
  <c r="I1071" i="12" s="1"/>
  <c r="J1075" i="12"/>
  <c r="K1075" i="12"/>
  <c r="K1074" i="12" s="1"/>
  <c r="L1075" i="12"/>
  <c r="M1075" i="12"/>
  <c r="M1074" i="12" s="1"/>
  <c r="M1073" i="12" s="1"/>
  <c r="M1071" i="12" s="1"/>
  <c r="N1075" i="12"/>
  <c r="O1075" i="12"/>
  <c r="O1074" i="12" s="1"/>
  <c r="O1073" i="12" s="1"/>
  <c r="O1071" i="12" s="1"/>
  <c r="Q1075" i="12"/>
  <c r="Q1074" i="12" s="1"/>
  <c r="Q1073" i="12" s="1"/>
  <c r="Q1071" i="12" s="1"/>
  <c r="R1075" i="12"/>
  <c r="R1074" i="12" s="1"/>
  <c r="R1073" i="12" s="1"/>
  <c r="R1071" i="12" s="1"/>
  <c r="S1075" i="12"/>
  <c r="S1074" i="12" s="1"/>
  <c r="S1073" i="12" s="1"/>
  <c r="S1071" i="12" s="1"/>
  <c r="T1075" i="12"/>
  <c r="U1075" i="12"/>
  <c r="U1074" i="12" s="1"/>
  <c r="U1073" i="12" s="1"/>
  <c r="U1071" i="12" s="1"/>
  <c r="V1075" i="12"/>
  <c r="V1074" i="12" s="1"/>
  <c r="V1073" i="12" s="1"/>
  <c r="W1075" i="12"/>
  <c r="W1074" i="12" s="1"/>
  <c r="W1073" i="12" s="1"/>
  <c r="W1071" i="12" s="1"/>
  <c r="X1075" i="12"/>
  <c r="Y1075" i="12"/>
  <c r="AA1075" i="12"/>
  <c r="AB1075" i="12"/>
  <c r="AB1074" i="12" s="1"/>
  <c r="AC1075" i="12"/>
  <c r="AC1074" i="12" s="1"/>
  <c r="AF1075" i="12"/>
  <c r="AF1074" i="12" s="1"/>
  <c r="AG1075" i="12"/>
  <c r="AG1074" i="12" s="1"/>
  <c r="AG1073" i="12" s="1"/>
  <c r="AH1075" i="12"/>
  <c r="AH1074" i="12" s="1"/>
  <c r="AH1073" i="12" s="1"/>
  <c r="AI1075" i="12"/>
  <c r="AI1074" i="12" s="1"/>
  <c r="AI1073" i="12" s="1"/>
  <c r="AJ1075" i="12"/>
  <c r="AK1075" i="12" s="1"/>
  <c r="P1076" i="12"/>
  <c r="Z1076" i="12"/>
  <c r="AA1076" i="12"/>
  <c r="AD1076" i="12"/>
  <c r="AE1076" i="12"/>
  <c r="AJ1076" i="12"/>
  <c r="AK1076" i="12" s="1"/>
  <c r="AJ1077" i="12"/>
  <c r="AK1077" i="12" s="1"/>
  <c r="AJ1078" i="12"/>
  <c r="AK1078" i="12" s="1"/>
  <c r="AJ1079" i="12"/>
  <c r="AK1079" i="12" s="1"/>
  <c r="K1080" i="12"/>
  <c r="K1079" i="12" s="1"/>
  <c r="K1077" i="12" s="1"/>
  <c r="O1080" i="12"/>
  <c r="O1079" i="12" s="1"/>
  <c r="O1077" i="12" s="1"/>
  <c r="AC1080" i="12"/>
  <c r="AJ1080" i="12"/>
  <c r="AK1080" i="12"/>
  <c r="I1081" i="12"/>
  <c r="I1080" i="12" s="1"/>
  <c r="I1079" i="12" s="1"/>
  <c r="I1077" i="12" s="1"/>
  <c r="J1081" i="12"/>
  <c r="J1080" i="12" s="1"/>
  <c r="J1079" i="12" s="1"/>
  <c r="J1077" i="12" s="1"/>
  <c r="K1081" i="12"/>
  <c r="L1081" i="12"/>
  <c r="L1080" i="12" s="1"/>
  <c r="L1079" i="12" s="1"/>
  <c r="L1077" i="12" s="1"/>
  <c r="M1081" i="12"/>
  <c r="M1080" i="12" s="1"/>
  <c r="M1079" i="12" s="1"/>
  <c r="M1077" i="12" s="1"/>
  <c r="N1081" i="12"/>
  <c r="N1080" i="12" s="1"/>
  <c r="N1079" i="12" s="1"/>
  <c r="N1077" i="12" s="1"/>
  <c r="O1081" i="12"/>
  <c r="Q1081" i="12"/>
  <c r="Q1080" i="12" s="1"/>
  <c r="Q1079" i="12" s="1"/>
  <c r="Q1077" i="12" s="1"/>
  <c r="R1081" i="12"/>
  <c r="R1080" i="12" s="1"/>
  <c r="R1079" i="12" s="1"/>
  <c r="R1077" i="12" s="1"/>
  <c r="S1081" i="12"/>
  <c r="S1080" i="12" s="1"/>
  <c r="S1079" i="12" s="1"/>
  <c r="S1077" i="12" s="1"/>
  <c r="U1081" i="12"/>
  <c r="U1080" i="12" s="1"/>
  <c r="U1079" i="12" s="1"/>
  <c r="U1077" i="12" s="1"/>
  <c r="V1081" i="12"/>
  <c r="V1080" i="12" s="1"/>
  <c r="V1079" i="12" s="1"/>
  <c r="W1081" i="12"/>
  <c r="W1080" i="12" s="1"/>
  <c r="W1079" i="12" s="1"/>
  <c r="X1081" i="12"/>
  <c r="X1080" i="12" s="1"/>
  <c r="X1079" i="12" s="1"/>
  <c r="Y1081" i="12"/>
  <c r="AB1081" i="12"/>
  <c r="AC1081" i="12"/>
  <c r="AD1081" i="12"/>
  <c r="AF1081" i="12"/>
  <c r="AG1081" i="12"/>
  <c r="AG1080" i="12" s="1"/>
  <c r="AG1079" i="12" s="1"/>
  <c r="AG1077" i="12" s="1"/>
  <c r="AH1081" i="12"/>
  <c r="AH1080" i="12" s="1"/>
  <c r="AH1079" i="12" s="1"/>
  <c r="AI1081" i="12"/>
  <c r="AI1080" i="12" s="1"/>
  <c r="AI1079" i="12" s="1"/>
  <c r="AI1078" i="12" s="1"/>
  <c r="AJ1081" i="12"/>
  <c r="AK1081" i="12" s="1"/>
  <c r="P1082" i="12"/>
  <c r="T1082" i="12"/>
  <c r="T1081" i="12" s="1"/>
  <c r="T1080" i="12" s="1"/>
  <c r="T1079" i="12" s="1"/>
  <c r="Z1082" i="12"/>
  <c r="AA1082" i="12"/>
  <c r="AD1082" i="12"/>
  <c r="AE1082" i="12"/>
  <c r="AJ1082" i="12"/>
  <c r="AK1082" i="12" s="1"/>
  <c r="AJ1083" i="12"/>
  <c r="AK1083" i="12"/>
  <c r="AJ1084" i="12"/>
  <c r="AK1084" i="12"/>
  <c r="AJ1085" i="12"/>
  <c r="AK1085" i="12" s="1"/>
  <c r="I1086" i="12"/>
  <c r="I1085" i="12" s="1"/>
  <c r="I1083" i="12" s="1"/>
  <c r="Q1086" i="12"/>
  <c r="Q1085" i="12" s="1"/>
  <c r="Q1083" i="12" s="1"/>
  <c r="U1086" i="12"/>
  <c r="U1085" i="12" s="1"/>
  <c r="U1083" i="12" s="1"/>
  <c r="Y1086" i="12"/>
  <c r="AC1086" i="12"/>
  <c r="AC1085" i="12" s="1"/>
  <c r="AC1083" i="12" s="1"/>
  <c r="AJ1086" i="12"/>
  <c r="AK1086" i="12" s="1"/>
  <c r="I1087" i="12"/>
  <c r="J1087" i="12"/>
  <c r="J1086" i="12" s="1"/>
  <c r="J1085" i="12" s="1"/>
  <c r="M1087" i="12"/>
  <c r="L1087" i="12" s="1"/>
  <c r="N1087" i="12"/>
  <c r="N1086" i="12" s="1"/>
  <c r="N1085" i="12" s="1"/>
  <c r="N1083" i="12" s="1"/>
  <c r="O1087" i="12"/>
  <c r="O1086" i="12" s="1"/>
  <c r="O1085" i="12" s="1"/>
  <c r="O1083" i="12" s="1"/>
  <c r="Q1087" i="12"/>
  <c r="R1087" i="12"/>
  <c r="R1086" i="12" s="1"/>
  <c r="R1085" i="12" s="1"/>
  <c r="R1083" i="12" s="1"/>
  <c r="S1087" i="12"/>
  <c r="S1086" i="12" s="1"/>
  <c r="S1085" i="12" s="1"/>
  <c r="S1083" i="12" s="1"/>
  <c r="T1087" i="12"/>
  <c r="T1086" i="12" s="1"/>
  <c r="U1087" i="12"/>
  <c r="V1087" i="12"/>
  <c r="V1086" i="12" s="1"/>
  <c r="V1085" i="12" s="1"/>
  <c r="W1087" i="12"/>
  <c r="W1086" i="12" s="1"/>
  <c r="W1085" i="12" s="1"/>
  <c r="X1087" i="12"/>
  <c r="X1086" i="12" s="1"/>
  <c r="X1085" i="12" s="1"/>
  <c r="Y1087" i="12"/>
  <c r="Z1087" i="12"/>
  <c r="AB1087" i="12"/>
  <c r="AC1087" i="12"/>
  <c r="AD1087" i="12"/>
  <c r="AF1087" i="12"/>
  <c r="AE1087" i="12" s="1"/>
  <c r="AG1087" i="12"/>
  <c r="AG1086" i="12" s="1"/>
  <c r="AG1085" i="12" s="1"/>
  <c r="AH1087" i="12"/>
  <c r="AH1086" i="12" s="1"/>
  <c r="AH1085" i="12" s="1"/>
  <c r="AH1083" i="12" s="1"/>
  <c r="AI1087" i="12"/>
  <c r="AI1086" i="12" s="1"/>
  <c r="AI1085" i="12" s="1"/>
  <c r="AJ1087" i="12"/>
  <c r="AK1087" i="12" s="1"/>
  <c r="K1088" i="12"/>
  <c r="L1088" i="12"/>
  <c r="P1088" i="12"/>
  <c r="Z1088" i="12"/>
  <c r="AA1088" i="12"/>
  <c r="AD1088" i="12"/>
  <c r="AE1088" i="12"/>
  <c r="AJ1088" i="12"/>
  <c r="AK1088" i="12" s="1"/>
  <c r="AB1089" i="12"/>
  <c r="AJ1089" i="12"/>
  <c r="AK1089" i="12" s="1"/>
  <c r="AJ1090" i="12"/>
  <c r="AK1090" i="12" s="1"/>
  <c r="AJ1091" i="12"/>
  <c r="AK1091" i="12" s="1"/>
  <c r="AH1092" i="12"/>
  <c r="AH1091" i="12" s="1"/>
  <c r="AJ1092" i="12"/>
  <c r="AK1092" i="12" s="1"/>
  <c r="U1093" i="12"/>
  <c r="U1092" i="12" s="1"/>
  <c r="U1091" i="12" s="1"/>
  <c r="V1093" i="12"/>
  <c r="V1092" i="12" s="1"/>
  <c r="V1091" i="12" s="1"/>
  <c r="W1093" i="12"/>
  <c r="W1092" i="12" s="1"/>
  <c r="W1091" i="12" s="1"/>
  <c r="X1093" i="12"/>
  <c r="X1092" i="12" s="1"/>
  <c r="X1091" i="12" s="1"/>
  <c r="X1090" i="12" s="1"/>
  <c r="Y1093" i="12"/>
  <c r="Y1092" i="12" s="1"/>
  <c r="Y1091" i="12" s="1"/>
  <c r="Y1090" i="12" s="1"/>
  <c r="AB1093" i="12"/>
  <c r="AB1092" i="12" s="1"/>
  <c r="AB1091" i="12" s="1"/>
  <c r="AB1090" i="12" s="1"/>
  <c r="AC1093" i="12"/>
  <c r="AC1092" i="12" s="1"/>
  <c r="AF1093" i="12"/>
  <c r="AG1093" i="12"/>
  <c r="AG1092" i="12" s="1"/>
  <c r="AG1091" i="12" s="1"/>
  <c r="AG1090" i="12" s="1"/>
  <c r="AH1093" i="12"/>
  <c r="AI1093" i="12"/>
  <c r="AI1092" i="12" s="1"/>
  <c r="AI1091" i="12" s="1"/>
  <c r="AJ1093" i="12"/>
  <c r="AK1093" i="12" s="1"/>
  <c r="Z1094" i="12"/>
  <c r="Z1093" i="12" s="1"/>
  <c r="Z1092" i="12" s="1"/>
  <c r="Z1091" i="12" s="1"/>
  <c r="AA1094" i="12"/>
  <c r="AA1093" i="12" s="1"/>
  <c r="AA1092" i="12" s="1"/>
  <c r="AA1091" i="12" s="1"/>
  <c r="AA1089" i="12" s="1"/>
  <c r="AD1094" i="12"/>
  <c r="AE1094" i="12"/>
  <c r="AJ1094" i="12"/>
  <c r="AK1094" i="12" s="1"/>
  <c r="AE1095" i="12"/>
  <c r="AJ1095" i="12"/>
  <c r="AK1095" i="12" s="1"/>
  <c r="AJ1096" i="12"/>
  <c r="AK1096" i="12" s="1"/>
  <c r="AJ1097" i="12"/>
  <c r="AK1097" i="12" s="1"/>
  <c r="AJ1098" i="12"/>
  <c r="AK1098" i="12" s="1"/>
  <c r="U1099" i="12"/>
  <c r="U1098" i="12" s="1"/>
  <c r="Y1099" i="12"/>
  <c r="Y1098" i="12" s="1"/>
  <c r="AB1099" i="12"/>
  <c r="AF1099" i="12"/>
  <c r="AF1098" i="12" s="1"/>
  <c r="AJ1099" i="12"/>
  <c r="AK1099" i="12" s="1"/>
  <c r="U1100" i="12"/>
  <c r="V1100" i="12"/>
  <c r="V1099" i="12" s="1"/>
  <c r="V1098" i="12" s="1"/>
  <c r="W1100" i="12"/>
  <c r="W1099" i="12" s="1"/>
  <c r="W1098" i="12" s="1"/>
  <c r="W1097" i="12" s="1"/>
  <c r="X1100" i="12"/>
  <c r="X1099" i="12" s="1"/>
  <c r="X1098" i="12" s="1"/>
  <c r="Y1100" i="12"/>
  <c r="AB1100" i="12"/>
  <c r="AC1100" i="12"/>
  <c r="AE1100" i="12"/>
  <c r="AF1100" i="12"/>
  <c r="AG1100" i="12"/>
  <c r="AG1099" i="12" s="1"/>
  <c r="AG1098" i="12" s="1"/>
  <c r="AH1100" i="12"/>
  <c r="AH1099" i="12" s="1"/>
  <c r="AH1098" i="12" s="1"/>
  <c r="AI1100" i="12"/>
  <c r="AI1099" i="12" s="1"/>
  <c r="AI1098" i="12" s="1"/>
  <c r="AJ1100" i="12"/>
  <c r="AK1100" i="12" s="1"/>
  <c r="Z1101" i="12"/>
  <c r="Z1100" i="12" s="1"/>
  <c r="Z1099" i="12" s="1"/>
  <c r="Z1098" i="12" s="1"/>
  <c r="AA1101" i="12"/>
  <c r="AD1101" i="12"/>
  <c r="AE1101" i="12"/>
  <c r="AJ1101" i="12"/>
  <c r="AK1101" i="12" s="1"/>
  <c r="Z1102" i="12"/>
  <c r="AA1102" i="12"/>
  <c r="AD1102" i="12"/>
  <c r="AE1102" i="12"/>
  <c r="AJ1102" i="12"/>
  <c r="AK1102" i="12" s="1"/>
  <c r="AJ1103" i="12"/>
  <c r="AK1103" i="12" s="1"/>
  <c r="AJ1104" i="12"/>
  <c r="AK1104" i="12" s="1"/>
  <c r="AH1105" i="12"/>
  <c r="AH1104" i="12" s="1"/>
  <c r="AH1103" i="12" s="1"/>
  <c r="AJ1105" i="12"/>
  <c r="AK1105" i="12" s="1"/>
  <c r="V1106" i="12"/>
  <c r="V1105" i="12" s="1"/>
  <c r="V1104" i="12" s="1"/>
  <c r="W1106" i="12"/>
  <c r="W1105" i="12" s="1"/>
  <c r="W1104" i="12" s="1"/>
  <c r="W1103" i="12" s="1"/>
  <c r="X1106" i="12"/>
  <c r="X1105" i="12" s="1"/>
  <c r="X1104" i="12" s="1"/>
  <c r="X1103" i="12" s="1"/>
  <c r="Y1106" i="12"/>
  <c r="Y1105" i="12" s="1"/>
  <c r="Z1106" i="12"/>
  <c r="AB1106" i="12"/>
  <c r="AC1106" i="12"/>
  <c r="AC1105" i="12" s="1"/>
  <c r="AC1104" i="12" s="1"/>
  <c r="AF1106" i="12"/>
  <c r="AG1106" i="12"/>
  <c r="AG1105" i="12" s="1"/>
  <c r="AG1104" i="12" s="1"/>
  <c r="AG1103" i="12" s="1"/>
  <c r="AH1106" i="12"/>
  <c r="AI1106" i="12"/>
  <c r="AI1105" i="12" s="1"/>
  <c r="AI1104" i="12" s="1"/>
  <c r="AI1103" i="12" s="1"/>
  <c r="AJ1106" i="12"/>
  <c r="AK1106" i="12" s="1"/>
  <c r="Z1107" i="12"/>
  <c r="AA1107" i="12"/>
  <c r="AD1107" i="12"/>
  <c r="AE1107" i="12"/>
  <c r="AJ1107" i="12"/>
  <c r="AK1107" i="12" s="1"/>
  <c r="AJ1108" i="12"/>
  <c r="AK1108" i="12" s="1"/>
  <c r="AE1109" i="12"/>
  <c r="AJ1109" i="12"/>
  <c r="AK1109" i="12" s="1"/>
  <c r="AJ1110" i="12"/>
  <c r="AK1110" i="12" s="1"/>
  <c r="AE1111" i="12"/>
  <c r="AJ1111" i="12"/>
  <c r="AK1111" i="12" s="1"/>
  <c r="AJ1112" i="12"/>
  <c r="AK1112" i="12" s="1"/>
  <c r="AJ1113" i="12"/>
  <c r="AK1113" i="12" s="1"/>
  <c r="AJ1114" i="12"/>
  <c r="AK1114" i="12" s="1"/>
  <c r="N1115" i="12"/>
  <c r="N1114" i="12" s="1"/>
  <c r="N1112" i="12" s="1"/>
  <c r="Q1115" i="12"/>
  <c r="Q1114" i="12" s="1"/>
  <c r="Q1112" i="12" s="1"/>
  <c r="S1115" i="12"/>
  <c r="S1114" i="12" s="1"/>
  <c r="S1112" i="12" s="1"/>
  <c r="W1115" i="12"/>
  <c r="W1114" i="12" s="1"/>
  <c r="AC1115" i="12"/>
  <c r="AC1114" i="12" s="1"/>
  <c r="AJ1115" i="12"/>
  <c r="AK1115" i="12" s="1"/>
  <c r="I1116" i="12"/>
  <c r="J1116" i="12"/>
  <c r="J1115" i="12" s="1"/>
  <c r="M1116" i="12"/>
  <c r="M1115" i="12" s="1"/>
  <c r="N1116" i="12"/>
  <c r="O1116" i="12"/>
  <c r="O1115" i="12" s="1"/>
  <c r="O1114" i="12" s="1"/>
  <c r="O1112" i="12" s="1"/>
  <c r="Q1116" i="12"/>
  <c r="R1116" i="12"/>
  <c r="R1115" i="12" s="1"/>
  <c r="R1114" i="12" s="1"/>
  <c r="R1112" i="12" s="1"/>
  <c r="S1116" i="12"/>
  <c r="T1116" i="12"/>
  <c r="T1115" i="12" s="1"/>
  <c r="U1116" i="12"/>
  <c r="U1115" i="12" s="1"/>
  <c r="U1114" i="12" s="1"/>
  <c r="U1112" i="12" s="1"/>
  <c r="V1116" i="12"/>
  <c r="V1115" i="12" s="1"/>
  <c r="V1114" i="12" s="1"/>
  <c r="W1116" i="12"/>
  <c r="X1116" i="12"/>
  <c r="X1115" i="12" s="1"/>
  <c r="X1114" i="12" s="1"/>
  <c r="X1112" i="12" s="1"/>
  <c r="Y1116" i="12"/>
  <c r="AB1116" i="12"/>
  <c r="AC1116" i="12"/>
  <c r="AG1116" i="12"/>
  <c r="AG1115" i="12" s="1"/>
  <c r="AG1114" i="12" s="1"/>
  <c r="AJ1116" i="12"/>
  <c r="AK1116" i="12" s="1"/>
  <c r="K1117" i="12"/>
  <c r="L1117" i="12"/>
  <c r="P1117" i="12"/>
  <c r="Z1117" i="12"/>
  <c r="AA1117" i="12"/>
  <c r="AD1117" i="12"/>
  <c r="AE1117" i="12"/>
  <c r="AJ1117" i="12"/>
  <c r="AK1117" i="12" s="1"/>
  <c r="K1118" i="12"/>
  <c r="L1118" i="12"/>
  <c r="P1118" i="12"/>
  <c r="Z1118" i="12"/>
  <c r="AA1118" i="12"/>
  <c r="AD1118" i="12"/>
  <c r="AE1118" i="12"/>
  <c r="AJ1118" i="12"/>
  <c r="AK1118" i="12" s="1"/>
  <c r="K1119" i="12"/>
  <c r="L1119" i="12"/>
  <c r="P1119" i="12"/>
  <c r="Z1119" i="12"/>
  <c r="AA1119" i="12"/>
  <c r="AD1119" i="12"/>
  <c r="AE1119" i="12"/>
  <c r="AJ1119" i="12"/>
  <c r="AK1119" i="12" s="1"/>
  <c r="K1120" i="12"/>
  <c r="L1120" i="12"/>
  <c r="P1120" i="12"/>
  <c r="Z1120" i="12"/>
  <c r="AA1120" i="12"/>
  <c r="AD1120" i="12"/>
  <c r="AE1120" i="12"/>
  <c r="AJ1120" i="12"/>
  <c r="AK1120" i="12" s="1"/>
  <c r="K1121" i="12"/>
  <c r="L1121" i="12"/>
  <c r="P1121" i="12"/>
  <c r="X1121" i="12"/>
  <c r="Z1121" i="12"/>
  <c r="AA1121" i="12"/>
  <c r="AD1121" i="12"/>
  <c r="AE1121" i="12"/>
  <c r="AJ1121" i="12"/>
  <c r="AK1121" i="12" s="1"/>
  <c r="P1122" i="12"/>
  <c r="Z1122" i="12"/>
  <c r="AA1122" i="12"/>
  <c r="AD1122" i="12"/>
  <c r="AE1122" i="12"/>
  <c r="AJ1122" i="12"/>
  <c r="AK1122" i="12" s="1"/>
  <c r="K1123" i="12"/>
  <c r="L1123" i="12"/>
  <c r="P1123" i="12"/>
  <c r="Z1123" i="12"/>
  <c r="AA1123" i="12"/>
  <c r="AD1123" i="12"/>
  <c r="AF1123" i="12"/>
  <c r="AG1123" i="12"/>
  <c r="AH1123" i="12"/>
  <c r="AH1116" i="12" s="1"/>
  <c r="AH1115" i="12" s="1"/>
  <c r="AH1114" i="12" s="1"/>
  <c r="AI1123" i="12"/>
  <c r="AI1116" i="12" s="1"/>
  <c r="AI1115" i="12" s="1"/>
  <c r="AI1114" i="12" s="1"/>
  <c r="AI1112" i="12" s="1"/>
  <c r="AJ1123" i="12"/>
  <c r="AK1123" i="12" s="1"/>
  <c r="AJ1124" i="12"/>
  <c r="AK1124" i="12"/>
  <c r="AJ1125" i="12"/>
  <c r="AK1125" i="12" s="1"/>
  <c r="R1126" i="12"/>
  <c r="R1124" i="12" s="1"/>
  <c r="W1126" i="12"/>
  <c r="AJ1126" i="12"/>
  <c r="AK1126" i="12" s="1"/>
  <c r="J1127" i="12"/>
  <c r="R1127" i="12"/>
  <c r="S1127" i="12"/>
  <c r="S1126" i="12" s="1"/>
  <c r="S1124" i="12" s="1"/>
  <c r="W1127" i="12"/>
  <c r="AC1127" i="12"/>
  <c r="AJ1127" i="12"/>
  <c r="AK1127" i="12" s="1"/>
  <c r="I1128" i="12"/>
  <c r="I1127" i="12" s="1"/>
  <c r="I1126" i="12" s="1"/>
  <c r="I1124" i="12" s="1"/>
  <c r="J1128" i="12"/>
  <c r="M1128" i="12"/>
  <c r="M1127" i="12" s="1"/>
  <c r="O1128" i="12"/>
  <c r="O1127" i="12" s="1"/>
  <c r="O1126" i="12" s="1"/>
  <c r="O1124" i="12" s="1"/>
  <c r="R1128" i="12"/>
  <c r="S1128" i="12"/>
  <c r="U1128" i="12"/>
  <c r="U1127" i="12" s="1"/>
  <c r="U1126" i="12" s="1"/>
  <c r="V1128" i="12"/>
  <c r="V1127" i="12" s="1"/>
  <c r="V1126" i="12" s="1"/>
  <c r="W1128" i="12"/>
  <c r="X1128" i="12"/>
  <c r="X1127" i="12" s="1"/>
  <c r="X1126" i="12" s="1"/>
  <c r="X1124" i="12" s="1"/>
  <c r="Y1128" i="12"/>
  <c r="AB1128" i="12"/>
  <c r="AC1128" i="12"/>
  <c r="AG1128" i="12"/>
  <c r="AG1127" i="12" s="1"/>
  <c r="AG1126" i="12" s="1"/>
  <c r="AH1128" i="12"/>
  <c r="AH1127" i="12" s="1"/>
  <c r="AH1126" i="12" s="1"/>
  <c r="AI1128" i="12"/>
  <c r="AI1127" i="12" s="1"/>
  <c r="AI1126" i="12" s="1"/>
  <c r="AJ1128" i="12"/>
  <c r="AK1128" i="12" s="1"/>
  <c r="K1129" i="12"/>
  <c r="L1129" i="12"/>
  <c r="T1129" i="12"/>
  <c r="T1128" i="12" s="1"/>
  <c r="Z1129" i="12"/>
  <c r="AA1129" i="12"/>
  <c r="AD1129" i="12"/>
  <c r="AE1129" i="12"/>
  <c r="AF1129" i="12"/>
  <c r="AJ1129" i="12"/>
  <c r="AK1129" i="12" s="1"/>
  <c r="K1130" i="12"/>
  <c r="L1130" i="12"/>
  <c r="N1130" i="12"/>
  <c r="N1128" i="12" s="1"/>
  <c r="N1127" i="12" s="1"/>
  <c r="N1126" i="12" s="1"/>
  <c r="N1124" i="12" s="1"/>
  <c r="Q1130" i="12"/>
  <c r="Q1128" i="12" s="1"/>
  <c r="Q1127" i="12" s="1"/>
  <c r="Q1126" i="12" s="1"/>
  <c r="Q1124" i="12" s="1"/>
  <c r="T1130" i="12"/>
  <c r="Z1130" i="12"/>
  <c r="AA1130" i="12"/>
  <c r="AD1130" i="12"/>
  <c r="AF1130" i="12"/>
  <c r="AJ1130" i="12"/>
  <c r="AK1130" i="12"/>
  <c r="AJ1131" i="12"/>
  <c r="AK1131" i="12" s="1"/>
  <c r="AJ1132" i="12"/>
  <c r="AK1132" i="12" s="1"/>
  <c r="K1133" i="12"/>
  <c r="AJ1133" i="12"/>
  <c r="AK1133" i="12" s="1"/>
  <c r="AJ1134" i="12"/>
  <c r="AK1134" i="12" s="1"/>
  <c r="AJ1135" i="12"/>
  <c r="AK1135" i="12" s="1"/>
  <c r="AJ1136" i="12"/>
  <c r="AK1136" i="12" s="1"/>
  <c r="AJ1137" i="12"/>
  <c r="AK1137" i="12" s="1"/>
  <c r="AJ1138" i="12"/>
  <c r="AK1138" i="12" s="1"/>
  <c r="I1139" i="12"/>
  <c r="I1138" i="12" s="1"/>
  <c r="J1139" i="12"/>
  <c r="M1139" i="12"/>
  <c r="N1139" i="12"/>
  <c r="O1139" i="12"/>
  <c r="Q1139" i="12"/>
  <c r="R1139" i="12"/>
  <c r="S1139" i="12"/>
  <c r="T1139" i="12"/>
  <c r="U1139" i="12"/>
  <c r="V1139" i="12"/>
  <c r="W1139" i="12"/>
  <c r="X1139" i="12"/>
  <c r="Y1139" i="12"/>
  <c r="AB1139" i="12"/>
  <c r="AC1139" i="12"/>
  <c r="AD1139" i="12"/>
  <c r="AJ1139" i="12"/>
  <c r="AK1139" i="12"/>
  <c r="K1140" i="12"/>
  <c r="L1140" i="12"/>
  <c r="P1140" i="12"/>
  <c r="Z1140" i="12"/>
  <c r="AA1140" i="12"/>
  <c r="AD1140" i="12"/>
  <c r="AF1140" i="12"/>
  <c r="AG1140" i="12"/>
  <c r="AG1139" i="12" s="1"/>
  <c r="AH1140" i="12"/>
  <c r="AH1139" i="12" s="1"/>
  <c r="AH1138" i="12" s="1"/>
  <c r="AI1140" i="12"/>
  <c r="AI1139" i="12" s="1"/>
  <c r="AJ1140" i="12"/>
  <c r="AK1140" i="12" s="1"/>
  <c r="I1141" i="12"/>
  <c r="K1141" i="12" s="1"/>
  <c r="J1141" i="12"/>
  <c r="M1141" i="12"/>
  <c r="N1141" i="12"/>
  <c r="O1141" i="12"/>
  <c r="O1138" i="12" s="1"/>
  <c r="Q1141" i="12"/>
  <c r="R1141" i="12"/>
  <c r="S1141" i="12"/>
  <c r="T1141" i="12"/>
  <c r="U1141" i="12"/>
  <c r="V1141" i="12"/>
  <c r="W1141" i="12"/>
  <c r="X1141" i="12"/>
  <c r="Y1141" i="12"/>
  <c r="AB1141" i="12"/>
  <c r="AC1141" i="12"/>
  <c r="AF1141" i="12"/>
  <c r="AG1141" i="12"/>
  <c r="AH1141" i="12"/>
  <c r="AI1141" i="12"/>
  <c r="AJ1141" i="12"/>
  <c r="AK1141" i="12" s="1"/>
  <c r="I1142" i="12"/>
  <c r="L1142" i="12" s="1"/>
  <c r="K1142" i="12"/>
  <c r="P1142" i="12"/>
  <c r="Z1142" i="12"/>
  <c r="AA1142" i="12"/>
  <c r="AD1142" i="12"/>
  <c r="AE1142" i="12"/>
  <c r="AF1142" i="12"/>
  <c r="AJ1142" i="12"/>
  <c r="AK1142" i="12" s="1"/>
  <c r="I1143" i="12"/>
  <c r="J1143" i="12"/>
  <c r="K1143" i="12"/>
  <c r="M1143" i="12"/>
  <c r="L1143" i="12" s="1"/>
  <c r="N1143" i="12"/>
  <c r="O1143" i="12"/>
  <c r="Q1143" i="12"/>
  <c r="R1143" i="12"/>
  <c r="R1138" i="12" s="1"/>
  <c r="S1143" i="12"/>
  <c r="T1143" i="12"/>
  <c r="P1143" i="12" s="1"/>
  <c r="U1143" i="12"/>
  <c r="V1143" i="12"/>
  <c r="W1143" i="12"/>
  <c r="X1143" i="12"/>
  <c r="Y1143" i="12"/>
  <c r="AA1143" i="12"/>
  <c r="AB1143" i="12"/>
  <c r="AC1143" i="12"/>
  <c r="AD1143" i="12" s="1"/>
  <c r="AG1143" i="12"/>
  <c r="AH1143" i="12"/>
  <c r="AI1143" i="12"/>
  <c r="AJ1143" i="12"/>
  <c r="AK1143" i="12" s="1"/>
  <c r="K1144" i="12"/>
  <c r="L1144" i="12"/>
  <c r="P1144" i="12"/>
  <c r="Z1144" i="12"/>
  <c r="AA1144" i="12"/>
  <c r="AD1144" i="12"/>
  <c r="AE1144" i="12"/>
  <c r="AF1144" i="12"/>
  <c r="AJ1144" i="12"/>
  <c r="AK1144" i="12" s="1"/>
  <c r="K1145" i="12"/>
  <c r="L1145" i="12"/>
  <c r="P1145" i="12"/>
  <c r="Z1145" i="12"/>
  <c r="AA1145" i="12"/>
  <c r="AD1145" i="12"/>
  <c r="AF1145" i="12"/>
  <c r="AE1145" i="12" s="1"/>
  <c r="AJ1145" i="12"/>
  <c r="AK1145" i="12" s="1"/>
  <c r="AI1146" i="12"/>
  <c r="AJ1146" i="12"/>
  <c r="AK1146" i="12" s="1"/>
  <c r="I1147" i="12"/>
  <c r="J1147" i="12"/>
  <c r="M1147" i="12"/>
  <c r="N1147" i="12"/>
  <c r="O1147" i="12"/>
  <c r="Q1147" i="12"/>
  <c r="R1147" i="12"/>
  <c r="S1147" i="12"/>
  <c r="T1147" i="12"/>
  <c r="P1147" i="12" s="1"/>
  <c r="U1147" i="12"/>
  <c r="V1147" i="12"/>
  <c r="W1147" i="12"/>
  <c r="X1147" i="12"/>
  <c r="Y1147" i="12"/>
  <c r="Z1147" i="12"/>
  <c r="AB1147" i="12"/>
  <c r="AC1147" i="12"/>
  <c r="AC1146" i="12" s="1"/>
  <c r="AG1147" i="12"/>
  <c r="AH1147" i="12"/>
  <c r="AI1147" i="12"/>
  <c r="AJ1147" i="12"/>
  <c r="AK1147" i="12" s="1"/>
  <c r="K1148" i="12"/>
  <c r="L1148" i="12"/>
  <c r="P1148" i="12"/>
  <c r="Z1148" i="12"/>
  <c r="AA1148" i="12"/>
  <c r="AD1148" i="12"/>
  <c r="AE1148" i="12"/>
  <c r="AJ1148" i="12"/>
  <c r="AK1148" i="12" s="1"/>
  <c r="K1149" i="12"/>
  <c r="L1149" i="12"/>
  <c r="P1149" i="12"/>
  <c r="Z1149" i="12"/>
  <c r="AA1149" i="12"/>
  <c r="AD1149" i="12"/>
  <c r="AE1149" i="12"/>
  <c r="AF1149" i="12"/>
  <c r="AF1147" i="12" s="1"/>
  <c r="AJ1149" i="12"/>
  <c r="AK1149" i="12" s="1"/>
  <c r="K1150" i="12"/>
  <c r="L1150" i="12"/>
  <c r="P1150" i="12"/>
  <c r="Z1150" i="12"/>
  <c r="AA1150" i="12"/>
  <c r="AD1150" i="12"/>
  <c r="AE1150" i="12"/>
  <c r="AJ1150" i="12"/>
  <c r="AK1150" i="12" s="1"/>
  <c r="I1151" i="12"/>
  <c r="J1151" i="12"/>
  <c r="M1151" i="12"/>
  <c r="N1151" i="12"/>
  <c r="O1151" i="12"/>
  <c r="Q1151" i="12"/>
  <c r="R1151" i="12"/>
  <c r="S1151" i="12"/>
  <c r="T1151" i="12"/>
  <c r="U1151" i="12"/>
  <c r="V1151" i="12"/>
  <c r="W1151" i="12"/>
  <c r="X1151" i="12"/>
  <c r="Y1151" i="12"/>
  <c r="AB1151" i="12"/>
  <c r="AC1151" i="12"/>
  <c r="AF1151" i="12"/>
  <c r="AG1151" i="12"/>
  <c r="AH1151" i="12"/>
  <c r="AI1151" i="12"/>
  <c r="AJ1151" i="12"/>
  <c r="AK1151" i="12" s="1"/>
  <c r="K1152" i="12"/>
  <c r="L1152" i="12"/>
  <c r="P1152" i="12"/>
  <c r="Z1152" i="12"/>
  <c r="AA1152" i="12"/>
  <c r="AD1152" i="12"/>
  <c r="AE1152" i="12"/>
  <c r="AJ1152" i="12"/>
  <c r="AK1152" i="12" s="1"/>
  <c r="I1153" i="12"/>
  <c r="J1153" i="12"/>
  <c r="K1153" i="12" s="1"/>
  <c r="L1153" i="12"/>
  <c r="M1153" i="12"/>
  <c r="N1153" i="12"/>
  <c r="O1153" i="12"/>
  <c r="Q1153" i="12"/>
  <c r="R1153" i="12"/>
  <c r="S1153" i="12"/>
  <c r="S1146" i="12" s="1"/>
  <c r="T1153" i="12"/>
  <c r="U1153" i="12"/>
  <c r="V1153" i="12"/>
  <c r="W1153" i="12"/>
  <c r="X1153" i="12"/>
  <c r="Y1153" i="12"/>
  <c r="Z1153" i="12" s="1"/>
  <c r="AB1153" i="12"/>
  <c r="AC1153" i="12"/>
  <c r="AD1153" i="12"/>
  <c r="AF1153" i="12"/>
  <c r="AE1153" i="12" s="1"/>
  <c r="AG1153" i="12"/>
  <c r="AH1153" i="12"/>
  <c r="AI1153" i="12"/>
  <c r="AJ1153" i="12"/>
  <c r="AK1153" i="12" s="1"/>
  <c r="K1154" i="12"/>
  <c r="L1154" i="12"/>
  <c r="P1154" i="12"/>
  <c r="Z1154" i="12"/>
  <c r="AA1154" i="12"/>
  <c r="AD1154" i="12"/>
  <c r="AE1154" i="12"/>
  <c r="AJ1154" i="12"/>
  <c r="AK1154" i="12" s="1"/>
  <c r="I1155" i="12"/>
  <c r="J1155" i="12"/>
  <c r="M1155" i="12"/>
  <c r="N1155" i="12"/>
  <c r="O1155" i="12"/>
  <c r="Q1155" i="12"/>
  <c r="R1155" i="12"/>
  <c r="S1155" i="12"/>
  <c r="T1155" i="12"/>
  <c r="P1155" i="12" s="1"/>
  <c r="U1155" i="12"/>
  <c r="V1155" i="12"/>
  <c r="W1155" i="12"/>
  <c r="X1155" i="12"/>
  <c r="Y1155" i="12"/>
  <c r="AB1155" i="12"/>
  <c r="AA1155" i="12" s="1"/>
  <c r="AC1155" i="12"/>
  <c r="AF1155" i="12"/>
  <c r="AG1155" i="12"/>
  <c r="AH1155" i="12"/>
  <c r="AI1155" i="12"/>
  <c r="AJ1155" i="12"/>
  <c r="AK1155" i="12" s="1"/>
  <c r="K1156" i="12"/>
  <c r="L1156" i="12"/>
  <c r="P1156" i="12"/>
  <c r="Z1156" i="12"/>
  <c r="AA1156" i="12"/>
  <c r="AD1156" i="12"/>
  <c r="AE1156" i="12"/>
  <c r="AJ1156" i="12"/>
  <c r="AK1156" i="12" s="1"/>
  <c r="AJ1157" i="12"/>
  <c r="AK1157" i="12" s="1"/>
  <c r="AH1158" i="12"/>
  <c r="AH1157" i="12" s="1"/>
  <c r="AJ1158" i="12"/>
  <c r="AK1158" i="12"/>
  <c r="V1159" i="12"/>
  <c r="V1158" i="12" s="1"/>
  <c r="V1157" i="12" s="1"/>
  <c r="AC1159" i="12"/>
  <c r="AJ1159" i="12"/>
  <c r="AK1159" i="12" s="1"/>
  <c r="U1160" i="12"/>
  <c r="U1159" i="12" s="1"/>
  <c r="U1158" i="12" s="1"/>
  <c r="U1157" i="12" s="1"/>
  <c r="V1160" i="12"/>
  <c r="W1160" i="12"/>
  <c r="W1159" i="12" s="1"/>
  <c r="W1158" i="12" s="1"/>
  <c r="W1157" i="12" s="1"/>
  <c r="X1160" i="12"/>
  <c r="X1159" i="12" s="1"/>
  <c r="X1158" i="12" s="1"/>
  <c r="X1157" i="12" s="1"/>
  <c r="Y1160" i="12"/>
  <c r="Y1159" i="12" s="1"/>
  <c r="Y1158" i="12" s="1"/>
  <c r="Y1157" i="12" s="1"/>
  <c r="AB1160" i="12"/>
  <c r="AC1160" i="12"/>
  <c r="AF1160" i="12"/>
  <c r="AF1159" i="12" s="1"/>
  <c r="AG1160" i="12"/>
  <c r="AG1159" i="12" s="1"/>
  <c r="AG1158" i="12" s="1"/>
  <c r="AG1157" i="12" s="1"/>
  <c r="AH1160" i="12"/>
  <c r="AH1159" i="12" s="1"/>
  <c r="AI1160" i="12"/>
  <c r="AI1159" i="12" s="1"/>
  <c r="AI1158" i="12" s="1"/>
  <c r="AI1157" i="12" s="1"/>
  <c r="AJ1160" i="12"/>
  <c r="AK1160" i="12" s="1"/>
  <c r="Z1161" i="12"/>
  <c r="Z1160" i="12" s="1"/>
  <c r="Z1159" i="12" s="1"/>
  <c r="Z1158" i="12" s="1"/>
  <c r="Z1157" i="12" s="1"/>
  <c r="AA1161" i="12"/>
  <c r="AA1160" i="12" s="1"/>
  <c r="AA1159" i="12" s="1"/>
  <c r="AA1158" i="12" s="1"/>
  <c r="AA1157" i="12" s="1"/>
  <c r="AD1161" i="12"/>
  <c r="AE1161" i="12"/>
  <c r="AJ1161" i="12"/>
  <c r="AK1161" i="12"/>
  <c r="AJ1162" i="12"/>
  <c r="AK1162" i="12"/>
  <c r="AJ1163" i="12"/>
  <c r="AK1163" i="12" s="1"/>
  <c r="AJ1164" i="12"/>
  <c r="AK1164" i="12" s="1"/>
  <c r="AG1165" i="12"/>
  <c r="AG1164" i="12" s="1"/>
  <c r="AG1163" i="12" s="1"/>
  <c r="AG1162" i="12" s="1"/>
  <c r="AH1165" i="12"/>
  <c r="AH1164" i="12" s="1"/>
  <c r="AH1163" i="12" s="1"/>
  <c r="AH1162" i="12" s="1"/>
  <c r="AI1165" i="12"/>
  <c r="AI1164" i="12" s="1"/>
  <c r="AI1163" i="12" s="1"/>
  <c r="AI1162" i="12" s="1"/>
  <c r="AJ1165" i="12"/>
  <c r="AK1165" i="12"/>
  <c r="AJ1166" i="12"/>
  <c r="AK1166" i="12" s="1"/>
  <c r="J1167" i="12"/>
  <c r="AJ1167" i="12"/>
  <c r="AK1167" i="12" s="1"/>
  <c r="W1168" i="12"/>
  <c r="AJ1168" i="12"/>
  <c r="AK1168" i="12" s="1"/>
  <c r="J1169" i="12"/>
  <c r="R1169" i="12"/>
  <c r="R1167" i="12" s="1"/>
  <c r="V1169" i="12"/>
  <c r="AJ1169" i="12"/>
  <c r="AK1169" i="12" s="1"/>
  <c r="J1170" i="12"/>
  <c r="Q1170" i="12"/>
  <c r="Q1169" i="12" s="1"/>
  <c r="Q1167" i="12" s="1"/>
  <c r="U1170" i="12"/>
  <c r="U1169" i="12" s="1"/>
  <c r="U1167" i="12" s="1"/>
  <c r="Y1170" i="12"/>
  <c r="Z1170" i="12" s="1"/>
  <c r="AJ1170" i="12"/>
  <c r="AK1170" i="12" s="1"/>
  <c r="I1171" i="12"/>
  <c r="J1171" i="12"/>
  <c r="M1171" i="12"/>
  <c r="N1171" i="12"/>
  <c r="N1170" i="12" s="1"/>
  <c r="N1169" i="12" s="1"/>
  <c r="N1167" i="12" s="1"/>
  <c r="O1171" i="12"/>
  <c r="O1170" i="12" s="1"/>
  <c r="O1169" i="12" s="1"/>
  <c r="O1167" i="12" s="1"/>
  <c r="Q1171" i="12"/>
  <c r="R1171" i="12"/>
  <c r="R1170" i="12" s="1"/>
  <c r="S1171" i="12"/>
  <c r="S1170" i="12" s="1"/>
  <c r="S1169" i="12" s="1"/>
  <c r="S1167" i="12" s="1"/>
  <c r="U1171" i="12"/>
  <c r="V1171" i="12"/>
  <c r="V1170" i="12" s="1"/>
  <c r="W1171" i="12"/>
  <c r="W1170" i="12" s="1"/>
  <c r="W1169" i="12" s="1"/>
  <c r="W1167" i="12" s="1"/>
  <c r="X1171" i="12"/>
  <c r="X1170" i="12" s="1"/>
  <c r="X1169" i="12" s="1"/>
  <c r="Y1171" i="12"/>
  <c r="Z1171" i="12" s="1"/>
  <c r="AB1171" i="12"/>
  <c r="AB1170" i="12" s="1"/>
  <c r="AC1171" i="12"/>
  <c r="AC1170" i="12" s="1"/>
  <c r="AF1171" i="12"/>
  <c r="AG1171" i="12"/>
  <c r="AG1170" i="12" s="1"/>
  <c r="AG1169" i="12" s="1"/>
  <c r="AH1171" i="12"/>
  <c r="AH1170" i="12" s="1"/>
  <c r="AH1169" i="12" s="1"/>
  <c r="AI1171" i="12"/>
  <c r="AI1170" i="12" s="1"/>
  <c r="AI1169" i="12" s="1"/>
  <c r="AJ1171" i="12"/>
  <c r="AK1171" i="12" s="1"/>
  <c r="K1172" i="12"/>
  <c r="L1172" i="12"/>
  <c r="T1172" i="12"/>
  <c r="P1172" i="12" s="1"/>
  <c r="Z1172" i="12"/>
  <c r="AA1172" i="12"/>
  <c r="AD1172" i="12"/>
  <c r="AE1172" i="12"/>
  <c r="AJ1172" i="12"/>
  <c r="AK1172" i="12"/>
  <c r="K1173" i="12"/>
  <c r="L1173" i="12"/>
  <c r="T1173" i="12"/>
  <c r="P1173" i="12" s="1"/>
  <c r="Z1173" i="12"/>
  <c r="AA1173" i="12"/>
  <c r="AD1173" i="12"/>
  <c r="AE1173" i="12"/>
  <c r="AJ1173" i="12"/>
  <c r="AK1173" i="12" s="1"/>
  <c r="AJ1174" i="12"/>
  <c r="AK1174" i="12" s="1"/>
  <c r="AJ1175" i="12"/>
  <c r="AK1175" i="12" s="1"/>
  <c r="AJ1176" i="12"/>
  <c r="AK1176" i="12" s="1"/>
  <c r="I1177" i="12"/>
  <c r="L1177" i="12" s="1"/>
  <c r="M1177" i="12"/>
  <c r="T1177" i="12"/>
  <c r="P1177" i="12" s="1"/>
  <c r="V1177" i="12"/>
  <c r="AG1177" i="12"/>
  <c r="AJ1177" i="12"/>
  <c r="AK1177" i="12" s="1"/>
  <c r="I1178" i="12"/>
  <c r="J1178" i="12"/>
  <c r="L1178" i="12"/>
  <c r="M1178" i="12"/>
  <c r="N1178" i="12"/>
  <c r="N1177" i="12" s="1"/>
  <c r="O1178" i="12"/>
  <c r="O1177" i="12" s="1"/>
  <c r="Q1178" i="12"/>
  <c r="Q1177" i="12" s="1"/>
  <c r="R1178" i="12"/>
  <c r="R1177" i="12" s="1"/>
  <c r="S1178" i="12"/>
  <c r="S1177" i="12" s="1"/>
  <c r="T1178" i="12"/>
  <c r="U1178" i="12"/>
  <c r="U1177" i="12" s="1"/>
  <c r="V1178" i="12"/>
  <c r="W1178" i="12"/>
  <c r="W1177" i="12" s="1"/>
  <c r="X1178" i="12"/>
  <c r="X1177" i="12" s="1"/>
  <c r="Y1178" i="12"/>
  <c r="AB1178" i="12"/>
  <c r="AB1177" i="12" s="1"/>
  <c r="AC1178" i="12"/>
  <c r="AC1177" i="12" s="1"/>
  <c r="AF1178" i="12"/>
  <c r="AG1178" i="12"/>
  <c r="AH1178" i="12"/>
  <c r="AH1177" i="12" s="1"/>
  <c r="AI1178" i="12"/>
  <c r="AI1177" i="12" s="1"/>
  <c r="AJ1178" i="12"/>
  <c r="AK1178" i="12" s="1"/>
  <c r="K1179" i="12"/>
  <c r="L1179" i="12"/>
  <c r="P1179" i="12"/>
  <c r="Z1179" i="12"/>
  <c r="AA1179" i="12"/>
  <c r="AD1179" i="12"/>
  <c r="AE1179" i="12"/>
  <c r="AJ1179" i="12"/>
  <c r="AK1179" i="12" s="1"/>
  <c r="M1180" i="12"/>
  <c r="R1180" i="12"/>
  <c r="R1176" i="12" s="1"/>
  <c r="R1174" i="12" s="1"/>
  <c r="S1180" i="12"/>
  <c r="AI1180" i="12"/>
  <c r="AJ1180" i="12"/>
  <c r="AK1180" i="12" s="1"/>
  <c r="J1181" i="12"/>
  <c r="J1180" i="12" s="1"/>
  <c r="M1181" i="12"/>
  <c r="O1181" i="12"/>
  <c r="O1180" i="12" s="1"/>
  <c r="O1176" i="12" s="1"/>
  <c r="O1174" i="12" s="1"/>
  <c r="R1181" i="12"/>
  <c r="S1181" i="12"/>
  <c r="T1181" i="12"/>
  <c r="T1180" i="12" s="1"/>
  <c r="U1181" i="12"/>
  <c r="U1180" i="12" s="1"/>
  <c r="V1181" i="12"/>
  <c r="V1180" i="12" s="1"/>
  <c r="V1176" i="12" s="1"/>
  <c r="W1181" i="12"/>
  <c r="W1180" i="12" s="1"/>
  <c r="W1176" i="12" s="1"/>
  <c r="X1181" i="12"/>
  <c r="X1180" i="12" s="1"/>
  <c r="Y1181" i="12"/>
  <c r="AB1181" i="12"/>
  <c r="AC1181" i="12"/>
  <c r="AF1181" i="12"/>
  <c r="AG1181" i="12"/>
  <c r="AG1180" i="12" s="1"/>
  <c r="AH1181" i="12"/>
  <c r="AH1180" i="12" s="1"/>
  <c r="AH1176" i="12" s="1"/>
  <c r="AH1175" i="12" s="1"/>
  <c r="AI1181" i="12"/>
  <c r="AJ1181" i="12"/>
  <c r="AK1181" i="12" s="1"/>
  <c r="I1182" i="12"/>
  <c r="N1182" i="12"/>
  <c r="Q1182" i="12"/>
  <c r="Q1181" i="12" s="1"/>
  <c r="Q1180" i="12" s="1"/>
  <c r="Q1176" i="12" s="1"/>
  <c r="Q1174" i="12" s="1"/>
  <c r="Z1182" i="12"/>
  <c r="AA1182" i="12"/>
  <c r="AD1182" i="12"/>
  <c r="AE1182" i="12"/>
  <c r="AJ1182" i="12"/>
  <c r="AK1182" i="12" s="1"/>
  <c r="AJ1183" i="12"/>
  <c r="AK1183" i="12" s="1"/>
  <c r="AE1184" i="12"/>
  <c r="AJ1184" i="12"/>
  <c r="AK1184" i="12" s="1"/>
  <c r="AJ1185" i="12"/>
  <c r="AK1185" i="12" s="1"/>
  <c r="AJ1186" i="12"/>
  <c r="AK1186" i="12" s="1"/>
  <c r="AJ1187" i="12"/>
  <c r="AK1187" i="12" s="1"/>
  <c r="AJ1188" i="12"/>
  <c r="AK1188" i="12" s="1"/>
  <c r="AG1189" i="12"/>
  <c r="AJ1189" i="12"/>
  <c r="AK1189" i="12"/>
  <c r="I1190" i="12"/>
  <c r="J1190" i="12"/>
  <c r="K1190" i="12" s="1"/>
  <c r="L1190" i="12"/>
  <c r="M1190" i="12"/>
  <c r="N1190" i="12"/>
  <c r="O1190" i="12"/>
  <c r="Q1190" i="12"/>
  <c r="Q1189" i="12" s="1"/>
  <c r="R1190" i="12"/>
  <c r="S1190" i="12"/>
  <c r="T1190" i="12"/>
  <c r="U1190" i="12"/>
  <c r="U1189" i="12" s="1"/>
  <c r="AA1190" i="12"/>
  <c r="AB1190" i="12"/>
  <c r="AC1190" i="12"/>
  <c r="AF1190" i="12"/>
  <c r="AG1190" i="12"/>
  <c r="AH1190" i="12"/>
  <c r="AI1190" i="12"/>
  <c r="AJ1190" i="12"/>
  <c r="AK1190" i="12" s="1"/>
  <c r="K1191" i="12"/>
  <c r="L1191" i="12"/>
  <c r="P1191" i="12"/>
  <c r="V1191" i="12"/>
  <c r="V1190" i="12" s="1"/>
  <c r="W1191" i="12"/>
  <c r="W1190" i="12" s="1"/>
  <c r="X1191" i="12"/>
  <c r="X1190" i="12" s="1"/>
  <c r="Y1191" i="12"/>
  <c r="AD1191" i="12"/>
  <c r="AE1191" i="12"/>
  <c r="AJ1191" i="12"/>
  <c r="AK1191" i="12" s="1"/>
  <c r="AA1192" i="12"/>
  <c r="AD1192" i="12"/>
  <c r="AE1192" i="12"/>
  <c r="AJ1192" i="12"/>
  <c r="AK1192" i="12"/>
  <c r="I1193" i="12"/>
  <c r="J1193" i="12"/>
  <c r="M1193" i="12"/>
  <c r="N1193" i="12"/>
  <c r="N1189" i="12" s="1"/>
  <c r="O1193" i="12"/>
  <c r="Q1193" i="12"/>
  <c r="R1193" i="12"/>
  <c r="S1193" i="12"/>
  <c r="T1193" i="12"/>
  <c r="U1193" i="12"/>
  <c r="V1193" i="12"/>
  <c r="W1193" i="12"/>
  <c r="X1193" i="12"/>
  <c r="Y1193" i="12"/>
  <c r="Z1193" i="12" s="1"/>
  <c r="AB1193" i="12"/>
  <c r="AA1193" i="12" s="1"/>
  <c r="AC1193" i="12"/>
  <c r="AF1193" i="12"/>
  <c r="AG1193" i="12"/>
  <c r="AH1193" i="12"/>
  <c r="AH1189" i="12" s="1"/>
  <c r="AI1193" i="12"/>
  <c r="AJ1193" i="12"/>
  <c r="AK1193" i="12" s="1"/>
  <c r="K1194" i="12"/>
  <c r="L1194" i="12"/>
  <c r="P1194" i="12"/>
  <c r="Z1194" i="12"/>
  <c r="AA1194" i="12"/>
  <c r="AD1194" i="12"/>
  <c r="AE1194" i="12"/>
  <c r="AJ1194" i="12"/>
  <c r="AK1194" i="12" s="1"/>
  <c r="I1195" i="12"/>
  <c r="J1195" i="12"/>
  <c r="K1195" i="12"/>
  <c r="M1195" i="12"/>
  <c r="N1195" i="12"/>
  <c r="O1195" i="12"/>
  <c r="Q1195" i="12"/>
  <c r="R1195" i="12"/>
  <c r="S1195" i="12"/>
  <c r="T1195" i="12"/>
  <c r="U1195" i="12"/>
  <c r="V1195" i="12"/>
  <c r="AA1195" i="12" s="1"/>
  <c r="W1195" i="12"/>
  <c r="X1195" i="12"/>
  <c r="Y1195" i="12"/>
  <c r="Z1195" i="12"/>
  <c r="AB1195" i="12"/>
  <c r="AC1195" i="12"/>
  <c r="AF1195" i="12"/>
  <c r="AE1195" i="12" s="1"/>
  <c r="AG1195" i="12"/>
  <c r="AH1195" i="12"/>
  <c r="AI1195" i="12"/>
  <c r="AJ1195" i="12"/>
  <c r="AK1195" i="12" s="1"/>
  <c r="K1196" i="12"/>
  <c r="L1196" i="12"/>
  <c r="P1196" i="12"/>
  <c r="Z1196" i="12"/>
  <c r="AA1196" i="12"/>
  <c r="AD1196" i="12"/>
  <c r="AE1196" i="12"/>
  <c r="AJ1196" i="12"/>
  <c r="AK1196" i="12" s="1"/>
  <c r="K1197" i="12"/>
  <c r="L1197" i="12"/>
  <c r="P1197" i="12"/>
  <c r="Z1197" i="12"/>
  <c r="AA1197" i="12"/>
  <c r="AD1197" i="12"/>
  <c r="AE1197" i="12"/>
  <c r="AJ1197" i="12"/>
  <c r="AK1197" i="12" s="1"/>
  <c r="X1198" i="12"/>
  <c r="AJ1198" i="12"/>
  <c r="AK1198" i="12" s="1"/>
  <c r="I1199" i="12"/>
  <c r="J1199" i="12"/>
  <c r="M1199" i="12"/>
  <c r="L1199" i="12" s="1"/>
  <c r="N1199" i="12"/>
  <c r="O1199" i="12"/>
  <c r="Q1199" i="12"/>
  <c r="R1199" i="12"/>
  <c r="S1199" i="12"/>
  <c r="T1199" i="12"/>
  <c r="U1199" i="12"/>
  <c r="V1199" i="12"/>
  <c r="W1199" i="12"/>
  <c r="X1199" i="12"/>
  <c r="Y1199" i="12"/>
  <c r="Z1199" i="12"/>
  <c r="AB1199" i="12"/>
  <c r="AC1199" i="12"/>
  <c r="AD1199" i="12"/>
  <c r="AE1199" i="12"/>
  <c r="AF1199" i="12"/>
  <c r="AG1199" i="12"/>
  <c r="AH1199" i="12"/>
  <c r="AH1198" i="12" s="1"/>
  <c r="AI1199" i="12"/>
  <c r="AI1198" i="12" s="1"/>
  <c r="AJ1199" i="12"/>
  <c r="AK1199" i="12" s="1"/>
  <c r="K1200" i="12"/>
  <c r="L1200" i="12"/>
  <c r="P1200" i="12"/>
  <c r="Z1200" i="12"/>
  <c r="AA1200" i="12"/>
  <c r="AD1200" i="12"/>
  <c r="AE1200" i="12"/>
  <c r="AJ1200" i="12"/>
  <c r="AK1200" i="12" s="1"/>
  <c r="K1201" i="12"/>
  <c r="L1201" i="12"/>
  <c r="P1201" i="12"/>
  <c r="Z1201" i="12"/>
  <c r="AA1201" i="12"/>
  <c r="AD1201" i="12"/>
  <c r="AE1201" i="12"/>
  <c r="AJ1201" i="12"/>
  <c r="AK1201" i="12" s="1"/>
  <c r="K1202" i="12"/>
  <c r="L1202" i="12"/>
  <c r="P1202" i="12"/>
  <c r="Z1202" i="12"/>
  <c r="AA1202" i="12"/>
  <c r="AD1202" i="12"/>
  <c r="AE1202" i="12"/>
  <c r="AJ1202" i="12"/>
  <c r="AK1202" i="12" s="1"/>
  <c r="I1203" i="12"/>
  <c r="J1203" i="12"/>
  <c r="K1203" i="12" s="1"/>
  <c r="M1203" i="12"/>
  <c r="N1203" i="12"/>
  <c r="P1203" i="12" s="1"/>
  <c r="O1203" i="12"/>
  <c r="Q1203" i="12"/>
  <c r="R1203" i="12"/>
  <c r="S1203" i="12"/>
  <c r="U1203" i="12"/>
  <c r="V1203" i="12"/>
  <c r="W1203" i="12"/>
  <c r="X1203" i="12"/>
  <c r="Y1203" i="12"/>
  <c r="AB1203" i="12"/>
  <c r="AC1203" i="12"/>
  <c r="AF1203" i="12"/>
  <c r="AG1203" i="12"/>
  <c r="AG1198" i="12" s="1"/>
  <c r="AH1203" i="12"/>
  <c r="AI1203" i="12"/>
  <c r="AJ1203" i="12"/>
  <c r="AK1203" i="12" s="1"/>
  <c r="K1204" i="12"/>
  <c r="L1204" i="12"/>
  <c r="P1204" i="12"/>
  <c r="Z1204" i="12"/>
  <c r="AA1204" i="12"/>
  <c r="AD1204" i="12"/>
  <c r="AE1204" i="12"/>
  <c r="AJ1204" i="12"/>
  <c r="AK1204" i="12" s="1"/>
  <c r="K1205" i="12"/>
  <c r="L1205" i="12"/>
  <c r="P1205" i="12"/>
  <c r="Z1205" i="12"/>
  <c r="AA1205" i="12"/>
  <c r="AA1203" i="12" s="1"/>
  <c r="AD1205" i="12"/>
  <c r="AE1205" i="12"/>
  <c r="AJ1205" i="12"/>
  <c r="AK1205" i="12"/>
  <c r="K1206" i="12"/>
  <c r="L1206" i="12"/>
  <c r="P1206" i="12"/>
  <c r="Z1206" i="12"/>
  <c r="AA1206" i="12"/>
  <c r="AD1206" i="12"/>
  <c r="AE1206" i="12"/>
  <c r="AJ1206" i="12"/>
  <c r="AK1206" i="12" s="1"/>
  <c r="I1207" i="12"/>
  <c r="J1207" i="12"/>
  <c r="K1207" i="12"/>
  <c r="L1207" i="12"/>
  <c r="M1207" i="12"/>
  <c r="N1207" i="12"/>
  <c r="O1207" i="12"/>
  <c r="Q1207" i="12"/>
  <c r="R1207" i="12"/>
  <c r="S1207" i="12"/>
  <c r="T1207" i="12"/>
  <c r="P1207" i="12" s="1"/>
  <c r="U1207" i="12"/>
  <c r="V1207" i="12"/>
  <c r="W1207" i="12"/>
  <c r="X1207" i="12"/>
  <c r="Y1207" i="12"/>
  <c r="Z1207" i="12" s="1"/>
  <c r="AB1207" i="12"/>
  <c r="AC1207" i="12"/>
  <c r="AG1207" i="12"/>
  <c r="AH1207" i="12"/>
  <c r="AI1207" i="12"/>
  <c r="AJ1207" i="12"/>
  <c r="AK1207" i="12" s="1"/>
  <c r="K1208" i="12"/>
  <c r="L1208" i="12"/>
  <c r="P1208" i="12"/>
  <c r="Z1208" i="12"/>
  <c r="AA1208" i="12"/>
  <c r="AD1208" i="12"/>
  <c r="AE1208" i="12"/>
  <c r="AJ1208" i="12"/>
  <c r="AK1208" i="12" s="1"/>
  <c r="K1209" i="12"/>
  <c r="L1209" i="12"/>
  <c r="P1209" i="12"/>
  <c r="Z1209" i="12"/>
  <c r="AA1209" i="12"/>
  <c r="AD1209" i="12"/>
  <c r="AE1209" i="12"/>
  <c r="AJ1209" i="12"/>
  <c r="AK1209" i="12"/>
  <c r="K1210" i="12"/>
  <c r="L1210" i="12"/>
  <c r="P1210" i="12"/>
  <c r="Z1210" i="12"/>
  <c r="AA1210" i="12"/>
  <c r="AD1210" i="12"/>
  <c r="AE1210" i="12"/>
  <c r="AJ1210" i="12"/>
  <c r="AK1210" i="12" s="1"/>
  <c r="K1211" i="12"/>
  <c r="L1211" i="12"/>
  <c r="P1211" i="12"/>
  <c r="Z1211" i="12"/>
  <c r="AA1211" i="12"/>
  <c r="AD1211" i="12"/>
  <c r="AE1211" i="12"/>
  <c r="AJ1211" i="12"/>
  <c r="AK1211" i="12" s="1"/>
  <c r="AE1212" i="12"/>
  <c r="AJ1212" i="12"/>
  <c r="AK1212" i="12"/>
  <c r="K1213" i="12"/>
  <c r="L1213" i="12"/>
  <c r="P1213" i="12"/>
  <c r="Z1213" i="12"/>
  <c r="AA1213" i="12"/>
  <c r="AD1213" i="12"/>
  <c r="AE1213" i="12"/>
  <c r="AJ1213" i="12"/>
  <c r="AK1213" i="12" s="1"/>
  <c r="K1214" i="12"/>
  <c r="L1214" i="12"/>
  <c r="P1214" i="12"/>
  <c r="Z1214" i="12"/>
  <c r="AA1214" i="12"/>
  <c r="AD1214" i="12"/>
  <c r="AF1214" i="12"/>
  <c r="AE1214" i="12" s="1"/>
  <c r="AJ1214" i="12"/>
  <c r="AK1214" i="12" s="1"/>
  <c r="I1215" i="12"/>
  <c r="J1215" i="12"/>
  <c r="M1215" i="12"/>
  <c r="L1215" i="12" s="1"/>
  <c r="N1215" i="12"/>
  <c r="O1215" i="12"/>
  <c r="Q1215" i="12"/>
  <c r="R1215" i="12"/>
  <c r="S1215" i="12"/>
  <c r="T1215" i="12"/>
  <c r="P1215" i="12" s="1"/>
  <c r="U1215" i="12"/>
  <c r="V1215" i="12"/>
  <c r="W1215" i="12"/>
  <c r="X1215" i="12"/>
  <c r="Y1215" i="12"/>
  <c r="AB1215" i="12"/>
  <c r="AA1215" i="12" s="1"/>
  <c r="AC1215" i="12"/>
  <c r="AF1215" i="12"/>
  <c r="AG1215" i="12"/>
  <c r="AH1215" i="12"/>
  <c r="AI1215" i="12"/>
  <c r="AJ1215" i="12"/>
  <c r="AK1215" i="12" s="1"/>
  <c r="K1216" i="12"/>
  <c r="L1216" i="12"/>
  <c r="P1216" i="12"/>
  <c r="Z1216" i="12"/>
  <c r="AA1216" i="12"/>
  <c r="AD1216" i="12"/>
  <c r="AE1216" i="12"/>
  <c r="AJ1216" i="12"/>
  <c r="AK1216" i="12" s="1"/>
  <c r="K1217" i="12"/>
  <c r="L1217" i="12"/>
  <c r="P1217" i="12"/>
  <c r="Z1217" i="12"/>
  <c r="AA1217" i="12"/>
  <c r="AD1217" i="12"/>
  <c r="AE1217" i="12"/>
  <c r="AJ1217" i="12"/>
  <c r="AK1217" i="12" s="1"/>
  <c r="K1218" i="12"/>
  <c r="L1218" i="12"/>
  <c r="P1218" i="12"/>
  <c r="Z1218" i="12"/>
  <c r="AA1218" i="12"/>
  <c r="AD1218" i="12"/>
  <c r="AE1218" i="12"/>
  <c r="AJ1218" i="12"/>
  <c r="AK1218" i="12"/>
  <c r="K1219" i="12"/>
  <c r="L1219" i="12"/>
  <c r="P1219" i="12"/>
  <c r="Z1219" i="12"/>
  <c r="AA1219" i="12"/>
  <c r="AD1219" i="12"/>
  <c r="AE1219" i="12"/>
  <c r="AJ1219" i="12"/>
  <c r="AK1219" i="12" s="1"/>
  <c r="I1220" i="12"/>
  <c r="Q1220" i="12"/>
  <c r="X1220" i="12"/>
  <c r="Y1220" i="12"/>
  <c r="AC1220" i="12"/>
  <c r="AG1220" i="12"/>
  <c r="AJ1220" i="12"/>
  <c r="AK1220" i="12" s="1"/>
  <c r="I1221" i="12"/>
  <c r="J1221" i="12"/>
  <c r="M1221" i="12"/>
  <c r="N1221" i="12"/>
  <c r="N1220" i="12" s="1"/>
  <c r="O1221" i="12"/>
  <c r="O1220" i="12" s="1"/>
  <c r="Q1221" i="12"/>
  <c r="R1221" i="12"/>
  <c r="R1220" i="12" s="1"/>
  <c r="S1221" i="12"/>
  <c r="S1220" i="12" s="1"/>
  <c r="T1221" i="12"/>
  <c r="U1221" i="12"/>
  <c r="U1220" i="12" s="1"/>
  <c r="V1221" i="12"/>
  <c r="V1220" i="12" s="1"/>
  <c r="AA1220" i="12" s="1"/>
  <c r="W1221" i="12"/>
  <c r="W1220" i="12" s="1"/>
  <c r="X1221" i="12"/>
  <c r="Y1221" i="12"/>
  <c r="Z1221" i="12"/>
  <c r="AB1221" i="12"/>
  <c r="AB1220" i="12" s="1"/>
  <c r="AC1221" i="12"/>
  <c r="AD1221" i="12"/>
  <c r="AE1221" i="12"/>
  <c r="AF1221" i="12"/>
  <c r="AF1220" i="12" s="1"/>
  <c r="AE1220" i="12" s="1"/>
  <c r="AG1221" i="12"/>
  <c r="AH1221" i="12"/>
  <c r="AH1220" i="12" s="1"/>
  <c r="AI1221" i="12"/>
  <c r="AI1220" i="12" s="1"/>
  <c r="AJ1221" i="12"/>
  <c r="AK1221" i="12" s="1"/>
  <c r="K1222" i="12"/>
  <c r="L1222" i="12"/>
  <c r="P1222" i="12"/>
  <c r="Z1222" i="12"/>
  <c r="AA1222" i="12"/>
  <c r="AD1222" i="12"/>
  <c r="AE1222" i="12"/>
  <c r="AJ1222" i="12"/>
  <c r="AK1222" i="12" s="1"/>
  <c r="AJ1223" i="12"/>
  <c r="AK1223" i="12" s="1"/>
  <c r="AG1224" i="12"/>
  <c r="AJ1224" i="12"/>
  <c r="AK1224" i="12"/>
  <c r="W1225" i="12"/>
  <c r="AJ1225" i="12"/>
  <c r="AK1225" i="12" s="1"/>
  <c r="U1226" i="12"/>
  <c r="U1225" i="12" s="1"/>
  <c r="U1223" i="12" s="1"/>
  <c r="Y1226" i="12"/>
  <c r="AJ1226" i="12"/>
  <c r="AK1226" i="12"/>
  <c r="T1227" i="12"/>
  <c r="T1226" i="12" s="1"/>
  <c r="T1225" i="12" s="1"/>
  <c r="T1223" i="12" s="1"/>
  <c r="U1227" i="12"/>
  <c r="V1227" i="12"/>
  <c r="V1226" i="12" s="1"/>
  <c r="V1225" i="12" s="1"/>
  <c r="W1227" i="12"/>
  <c r="W1226" i="12" s="1"/>
  <c r="X1227" i="12"/>
  <c r="X1226" i="12" s="1"/>
  <c r="X1225" i="12" s="1"/>
  <c r="X1224" i="12" s="1"/>
  <c r="Y1227" i="12"/>
  <c r="AB1227" i="12"/>
  <c r="AC1227" i="12"/>
  <c r="AC1226" i="12" s="1"/>
  <c r="AC1225" i="12" s="1"/>
  <c r="AF1227" i="12"/>
  <c r="AG1227" i="12"/>
  <c r="AG1226" i="12" s="1"/>
  <c r="AG1225" i="12" s="1"/>
  <c r="AH1227" i="12"/>
  <c r="AH1226" i="12" s="1"/>
  <c r="AH1225" i="12" s="1"/>
  <c r="AI1227" i="12"/>
  <c r="AI1226" i="12" s="1"/>
  <c r="AI1225" i="12" s="1"/>
  <c r="AI1224" i="12" s="1"/>
  <c r="AJ1227" i="12"/>
  <c r="AK1227" i="12"/>
  <c r="Z1228" i="12"/>
  <c r="AA1228" i="12"/>
  <c r="AE1228" i="12"/>
  <c r="AJ1228" i="12"/>
  <c r="AK1228" i="12" s="1"/>
  <c r="AJ1229" i="12"/>
  <c r="AK1229" i="12" s="1"/>
  <c r="AJ1230" i="12"/>
  <c r="AK1230" i="12" s="1"/>
  <c r="U1231" i="12"/>
  <c r="W1231" i="12"/>
  <c r="X1231" i="12"/>
  <c r="Z1231" i="12"/>
  <c r="AF1231" i="12"/>
  <c r="AJ1231" i="12"/>
  <c r="AK1231" i="12" s="1"/>
  <c r="V1232" i="12"/>
  <c r="AA1232" i="12" s="1"/>
  <c r="AA1231" i="12" s="1"/>
  <c r="Y1232" i="12"/>
  <c r="Y1231" i="12" s="1"/>
  <c r="AB1232" i="12"/>
  <c r="AB1231" i="12" s="1"/>
  <c r="AB1230" i="12" s="1"/>
  <c r="AB1229" i="12" s="1"/>
  <c r="AC1232" i="12"/>
  <c r="AC1231" i="12" s="1"/>
  <c r="AC1230" i="12" s="1"/>
  <c r="AE1232" i="12"/>
  <c r="AF1232" i="12"/>
  <c r="AG1232" i="12"/>
  <c r="AG1231" i="12" s="1"/>
  <c r="AG1230" i="12" s="1"/>
  <c r="AG1229" i="12" s="1"/>
  <c r="AH1232" i="12"/>
  <c r="AH1231" i="12" s="1"/>
  <c r="AH1230" i="12" s="1"/>
  <c r="AH1229" i="12" s="1"/>
  <c r="AI1232" i="12"/>
  <c r="AI1231" i="12" s="1"/>
  <c r="AI1230" i="12" s="1"/>
  <c r="AI1229" i="12" s="1"/>
  <c r="AJ1232" i="12"/>
  <c r="AK1232" i="12"/>
  <c r="AA1233" i="12"/>
  <c r="AD1233" i="12"/>
  <c r="AE1233" i="12"/>
  <c r="AJ1233" i="12"/>
  <c r="AK1233" i="12" s="1"/>
  <c r="AJ1234" i="12"/>
  <c r="AK1234" i="12" s="1"/>
  <c r="AE1235" i="12"/>
  <c r="AJ1235" i="12"/>
  <c r="AK1235" i="12" s="1"/>
  <c r="AJ1236" i="12"/>
  <c r="AK1236" i="12" s="1"/>
  <c r="AJ1237" i="12"/>
  <c r="AK1237" i="12"/>
  <c r="AJ1238" i="12"/>
  <c r="AK1238" i="12"/>
  <c r="AJ1239" i="12"/>
  <c r="AK1239" i="12" s="1"/>
  <c r="AJ1240" i="12"/>
  <c r="AK1240" i="12" s="1"/>
  <c r="I1241" i="12"/>
  <c r="J1241" i="12"/>
  <c r="N1241" i="12"/>
  <c r="N1240" i="12" s="1"/>
  <c r="O1241" i="12"/>
  <c r="Q1241" i="12"/>
  <c r="R1241" i="12"/>
  <c r="S1241" i="12"/>
  <c r="T1241" i="12"/>
  <c r="U1241" i="12"/>
  <c r="V1241" i="12"/>
  <c r="W1241" i="12"/>
  <c r="X1241" i="12"/>
  <c r="Y1241" i="12"/>
  <c r="Z1241" i="12" s="1"/>
  <c r="AB1241" i="12"/>
  <c r="AE1241" i="12" s="1"/>
  <c r="AC1241" i="12"/>
  <c r="AF1241" i="12"/>
  <c r="AG1241" i="12"/>
  <c r="AH1241" i="12"/>
  <c r="AI1241" i="12"/>
  <c r="AJ1241" i="12"/>
  <c r="AK1241" i="12"/>
  <c r="K1242" i="12"/>
  <c r="L1242" i="12"/>
  <c r="M1242" i="12"/>
  <c r="M1241" i="12" s="1"/>
  <c r="P1242" i="12"/>
  <c r="Z1242" i="12"/>
  <c r="AA1242" i="12"/>
  <c r="AD1242" i="12"/>
  <c r="AE1242" i="12"/>
  <c r="AJ1242" i="12"/>
  <c r="AK1242" i="12" s="1"/>
  <c r="I1243" i="12"/>
  <c r="J1243" i="12"/>
  <c r="K1243" i="12"/>
  <c r="M1243" i="12"/>
  <c r="L1243" i="12" s="1"/>
  <c r="N1243" i="12"/>
  <c r="O1243" i="12"/>
  <c r="Q1243" i="12"/>
  <c r="R1243" i="12"/>
  <c r="S1243" i="12"/>
  <c r="T1243" i="12"/>
  <c r="U1243" i="12"/>
  <c r="V1243" i="12"/>
  <c r="AA1243" i="12" s="1"/>
  <c r="W1243" i="12"/>
  <c r="X1243" i="12"/>
  <c r="Y1243" i="12"/>
  <c r="Z1243" i="12"/>
  <c r="AB1243" i="12"/>
  <c r="AC1243" i="12"/>
  <c r="AF1243" i="12"/>
  <c r="AH1243" i="12"/>
  <c r="AI1243" i="12"/>
  <c r="AJ1243" i="12"/>
  <c r="AK1243" i="12" s="1"/>
  <c r="K1244" i="12"/>
  <c r="L1244" i="12"/>
  <c r="P1244" i="12"/>
  <c r="Z1244" i="12"/>
  <c r="AA1244" i="12"/>
  <c r="AD1244" i="12"/>
  <c r="AE1244" i="12"/>
  <c r="AG1244" i="12"/>
  <c r="AG1243" i="12" s="1"/>
  <c r="AJ1244" i="12"/>
  <c r="AK1244" i="12" s="1"/>
  <c r="I1245" i="12"/>
  <c r="J1245" i="12"/>
  <c r="K1245" i="12"/>
  <c r="L1245" i="12"/>
  <c r="M1245" i="12"/>
  <c r="N1245" i="12"/>
  <c r="O1245" i="12"/>
  <c r="Q1245" i="12"/>
  <c r="R1245" i="12"/>
  <c r="S1245" i="12"/>
  <c r="T1245" i="12"/>
  <c r="P1245" i="12" s="1"/>
  <c r="U1245" i="12"/>
  <c r="V1245" i="12"/>
  <c r="W1245" i="12"/>
  <c r="X1245" i="12"/>
  <c r="Y1245" i="12"/>
  <c r="Z1245" i="12" s="1"/>
  <c r="AB1245" i="12"/>
  <c r="AC1245" i="12"/>
  <c r="AF1245" i="12"/>
  <c r="AG1245" i="12"/>
  <c r="AH1245" i="12"/>
  <c r="AI1245" i="12"/>
  <c r="AJ1245" i="12"/>
  <c r="AK1245" i="12" s="1"/>
  <c r="K1246" i="12"/>
  <c r="L1246" i="12"/>
  <c r="P1246" i="12"/>
  <c r="Z1246" i="12"/>
  <c r="AA1246" i="12"/>
  <c r="AD1246" i="12"/>
  <c r="AE1246" i="12"/>
  <c r="AJ1246" i="12"/>
  <c r="AK1246" i="12" s="1"/>
  <c r="K1247" i="12"/>
  <c r="L1247" i="12"/>
  <c r="P1247" i="12"/>
  <c r="Z1247" i="12"/>
  <c r="AA1247" i="12"/>
  <c r="AD1247" i="12"/>
  <c r="AE1247" i="12"/>
  <c r="AJ1247" i="12"/>
  <c r="AK1247" i="12"/>
  <c r="AJ1248" i="12"/>
  <c r="AK1248" i="12" s="1"/>
  <c r="I1249" i="12"/>
  <c r="J1249" i="12"/>
  <c r="K1249" i="12" s="1"/>
  <c r="N1249" i="12"/>
  <c r="O1249" i="12"/>
  <c r="Q1249" i="12"/>
  <c r="R1249" i="12"/>
  <c r="S1249" i="12"/>
  <c r="T1249" i="12"/>
  <c r="U1249" i="12"/>
  <c r="V1249" i="12"/>
  <c r="W1249" i="12"/>
  <c r="X1249" i="12"/>
  <c r="Y1249" i="12"/>
  <c r="Z1249" i="12" s="1"/>
  <c r="AB1249" i="12"/>
  <c r="AC1249" i="12"/>
  <c r="AF1249" i="12"/>
  <c r="AG1249" i="12"/>
  <c r="AH1249" i="12"/>
  <c r="AI1249" i="12"/>
  <c r="AJ1249" i="12"/>
  <c r="AK1249" i="12" s="1"/>
  <c r="K1250" i="12"/>
  <c r="L1250" i="12"/>
  <c r="P1250" i="12"/>
  <c r="Z1250" i="12"/>
  <c r="AA1250" i="12"/>
  <c r="AD1250" i="12"/>
  <c r="AE1250" i="12"/>
  <c r="AJ1250" i="12"/>
  <c r="AK1250" i="12" s="1"/>
  <c r="K1251" i="12"/>
  <c r="L1251" i="12"/>
  <c r="M1251" i="12"/>
  <c r="M1249" i="12" s="1"/>
  <c r="P1251" i="12"/>
  <c r="Z1251" i="12"/>
  <c r="AA1251" i="12"/>
  <c r="AD1251" i="12"/>
  <c r="AE1251" i="12"/>
  <c r="AJ1251" i="12"/>
  <c r="AK1251" i="12" s="1"/>
  <c r="K1252" i="12"/>
  <c r="L1252" i="12"/>
  <c r="P1252" i="12"/>
  <c r="Z1252" i="12"/>
  <c r="AA1252" i="12"/>
  <c r="AD1252" i="12"/>
  <c r="AE1252" i="12"/>
  <c r="AJ1252" i="12"/>
  <c r="AK1252" i="12" s="1"/>
  <c r="K1253" i="12"/>
  <c r="L1253" i="12"/>
  <c r="P1253" i="12"/>
  <c r="Z1253" i="12"/>
  <c r="AA1253" i="12"/>
  <c r="AD1253" i="12"/>
  <c r="AE1253" i="12"/>
  <c r="AJ1253" i="12"/>
  <c r="AK1253" i="12"/>
  <c r="I1254" i="12"/>
  <c r="J1254" i="12"/>
  <c r="N1254" i="12"/>
  <c r="O1254" i="12"/>
  <c r="Q1254" i="12"/>
  <c r="R1254" i="12"/>
  <c r="S1254" i="12"/>
  <c r="T1254" i="12"/>
  <c r="U1254" i="12"/>
  <c r="V1254" i="12"/>
  <c r="W1254" i="12"/>
  <c r="X1254" i="12"/>
  <c r="Y1254" i="12"/>
  <c r="Z1254" i="12" s="1"/>
  <c r="AB1254" i="12"/>
  <c r="AA1254" i="12" s="1"/>
  <c r="AC1254" i="12"/>
  <c r="AD1254" i="12"/>
  <c r="AF1254" i="12"/>
  <c r="AE1254" i="12" s="1"/>
  <c r="AG1254" i="12"/>
  <c r="AH1254" i="12"/>
  <c r="AI1254" i="12"/>
  <c r="AJ1254" i="12"/>
  <c r="AK1254" i="12" s="1"/>
  <c r="K1255" i="12"/>
  <c r="M1255" i="12"/>
  <c r="L1255" i="12" s="1"/>
  <c r="P1255" i="12"/>
  <c r="Z1255" i="12"/>
  <c r="AA1255" i="12"/>
  <c r="AD1255" i="12"/>
  <c r="AE1255" i="12"/>
  <c r="AJ1255" i="12"/>
  <c r="AK1255" i="12" s="1"/>
  <c r="K1256" i="12"/>
  <c r="L1256" i="12"/>
  <c r="M1256" i="12"/>
  <c r="P1256" i="12"/>
  <c r="Z1256" i="12"/>
  <c r="AA1256" i="12"/>
  <c r="AD1256" i="12"/>
  <c r="AE1256" i="12"/>
  <c r="AJ1256" i="12"/>
  <c r="AK1256" i="12"/>
  <c r="K1257" i="12"/>
  <c r="L1257" i="12"/>
  <c r="P1257" i="12"/>
  <c r="Z1257" i="12"/>
  <c r="AA1257" i="12"/>
  <c r="AD1257" i="12"/>
  <c r="AE1257" i="12"/>
  <c r="AJ1257" i="12"/>
  <c r="AK1257" i="12" s="1"/>
  <c r="K1258" i="12"/>
  <c r="L1258" i="12"/>
  <c r="P1258" i="12"/>
  <c r="Z1258" i="12"/>
  <c r="AA1258" i="12"/>
  <c r="AD1258" i="12"/>
  <c r="AE1258" i="12"/>
  <c r="AJ1258" i="12"/>
  <c r="AK1258" i="12" s="1"/>
  <c r="K1259" i="12"/>
  <c r="L1259" i="12"/>
  <c r="P1259" i="12"/>
  <c r="Z1259" i="12"/>
  <c r="AA1259" i="12"/>
  <c r="AD1259" i="12"/>
  <c r="AE1259" i="12"/>
  <c r="AJ1259" i="12"/>
  <c r="AK1259" i="12" s="1"/>
  <c r="I1260" i="12"/>
  <c r="J1260" i="12"/>
  <c r="K1260" i="12" s="1"/>
  <c r="N1260" i="12"/>
  <c r="O1260" i="12"/>
  <c r="Q1260" i="12"/>
  <c r="R1260" i="12"/>
  <c r="S1260" i="12"/>
  <c r="T1260" i="12"/>
  <c r="U1260" i="12"/>
  <c r="V1260" i="12"/>
  <c r="W1260" i="12"/>
  <c r="X1260" i="12"/>
  <c r="Y1260" i="12"/>
  <c r="AB1260" i="12"/>
  <c r="AA1260" i="12" s="1"/>
  <c r="AC1260" i="12"/>
  <c r="AD1260" i="12" s="1"/>
  <c r="AF1260" i="12"/>
  <c r="AG1260" i="12"/>
  <c r="AH1260" i="12"/>
  <c r="AI1260" i="12"/>
  <c r="AJ1260" i="12"/>
  <c r="AK1260" i="12"/>
  <c r="K1261" i="12"/>
  <c r="L1261" i="12"/>
  <c r="P1261" i="12"/>
  <c r="Z1261" i="12"/>
  <c r="AA1261" i="12"/>
  <c r="AD1261" i="12"/>
  <c r="AE1261" i="12"/>
  <c r="AJ1261" i="12"/>
  <c r="AK1261" i="12" s="1"/>
  <c r="K1262" i="12"/>
  <c r="M1262" i="12"/>
  <c r="L1262" i="12" s="1"/>
  <c r="P1262" i="12"/>
  <c r="Z1262" i="12"/>
  <c r="AA1262" i="12"/>
  <c r="AD1262" i="12"/>
  <c r="AE1262" i="12"/>
  <c r="AJ1262" i="12"/>
  <c r="AK1262" i="12" s="1"/>
  <c r="K1263" i="12"/>
  <c r="L1263" i="12"/>
  <c r="M1263" i="12"/>
  <c r="P1263" i="12"/>
  <c r="Z1263" i="12"/>
  <c r="AA1263" i="12"/>
  <c r="AD1263" i="12"/>
  <c r="AE1263" i="12"/>
  <c r="AJ1263" i="12"/>
  <c r="AK1263" i="12" s="1"/>
  <c r="K1264" i="12"/>
  <c r="M1264" i="12"/>
  <c r="L1264" i="12" s="1"/>
  <c r="P1264" i="12"/>
  <c r="Z1264" i="12"/>
  <c r="AA1264" i="12"/>
  <c r="AD1264" i="12"/>
  <c r="AE1264" i="12"/>
  <c r="AJ1264" i="12"/>
  <c r="AK1264" i="12" s="1"/>
  <c r="P1265" i="12"/>
  <c r="Z1265" i="12"/>
  <c r="AA1265" i="12"/>
  <c r="AD1265" i="12"/>
  <c r="AE1265" i="12"/>
  <c r="AJ1265" i="12"/>
  <c r="AK1265" i="12" s="1"/>
  <c r="K1266" i="12"/>
  <c r="L1266" i="12"/>
  <c r="P1266" i="12"/>
  <c r="Z1266" i="12"/>
  <c r="AA1266" i="12"/>
  <c r="AD1266" i="12"/>
  <c r="AE1266" i="12"/>
  <c r="AJ1266" i="12"/>
  <c r="AK1266" i="12" s="1"/>
  <c r="K1267" i="12"/>
  <c r="L1267" i="12"/>
  <c r="M1267" i="12"/>
  <c r="P1267" i="12"/>
  <c r="Z1267" i="12"/>
  <c r="AA1267" i="12"/>
  <c r="AD1267" i="12"/>
  <c r="AE1267" i="12"/>
  <c r="AJ1267" i="12"/>
  <c r="AK1267" i="12" s="1"/>
  <c r="I1268" i="12"/>
  <c r="J1268" i="12"/>
  <c r="N1268" i="12"/>
  <c r="O1268" i="12"/>
  <c r="Q1268" i="12"/>
  <c r="R1268" i="12"/>
  <c r="S1268" i="12"/>
  <c r="T1268" i="12"/>
  <c r="P1268" i="12" s="1"/>
  <c r="U1268" i="12"/>
  <c r="V1268" i="12"/>
  <c r="W1268" i="12"/>
  <c r="X1268" i="12"/>
  <c r="Y1268" i="12"/>
  <c r="Z1268" i="12" s="1"/>
  <c r="AB1268" i="12"/>
  <c r="AA1268" i="12" s="1"/>
  <c r="AC1268" i="12"/>
  <c r="AD1268" i="12" s="1"/>
  <c r="AF1268" i="12"/>
  <c r="AG1268" i="12"/>
  <c r="AH1268" i="12"/>
  <c r="AI1268" i="12"/>
  <c r="AJ1268" i="12"/>
  <c r="AK1268" i="12" s="1"/>
  <c r="K1269" i="12"/>
  <c r="M1269" i="12"/>
  <c r="P1269" i="12"/>
  <c r="Z1269" i="12"/>
  <c r="AA1269" i="12"/>
  <c r="AD1269" i="12"/>
  <c r="AE1269" i="12"/>
  <c r="AJ1269" i="12"/>
  <c r="AK1269" i="12"/>
  <c r="K1270" i="12"/>
  <c r="L1270" i="12"/>
  <c r="P1270" i="12"/>
  <c r="Z1270" i="12"/>
  <c r="AA1270" i="12"/>
  <c r="AD1270" i="12"/>
  <c r="AE1270" i="12"/>
  <c r="AJ1270" i="12"/>
  <c r="AK1270" i="12" s="1"/>
  <c r="K1271" i="12"/>
  <c r="L1271" i="12"/>
  <c r="P1271" i="12"/>
  <c r="Z1271" i="12"/>
  <c r="AA1271" i="12"/>
  <c r="AD1271" i="12"/>
  <c r="AE1271" i="12"/>
  <c r="AJ1271" i="12"/>
  <c r="AK1271" i="12" s="1"/>
  <c r="K1272" i="12"/>
  <c r="L1272" i="12"/>
  <c r="P1272" i="12"/>
  <c r="Z1272" i="12"/>
  <c r="AA1272" i="12"/>
  <c r="AD1272" i="12"/>
  <c r="AE1272" i="12"/>
  <c r="AJ1272" i="12"/>
  <c r="AK1272" i="12" s="1"/>
  <c r="I1273" i="12"/>
  <c r="N1273" i="12"/>
  <c r="Q1273" i="12"/>
  <c r="Y1273" i="12"/>
  <c r="AJ1273" i="12"/>
  <c r="AK1273" i="12" s="1"/>
  <c r="I1274" i="12"/>
  <c r="J1274" i="12"/>
  <c r="J1273" i="12" s="1"/>
  <c r="N1274" i="12"/>
  <c r="O1274" i="12"/>
  <c r="O1273" i="12" s="1"/>
  <c r="Q1274" i="12"/>
  <c r="R1274" i="12"/>
  <c r="R1273" i="12" s="1"/>
  <c r="S1274" i="12"/>
  <c r="S1273" i="12" s="1"/>
  <c r="T1274" i="12"/>
  <c r="T1273" i="12" s="1"/>
  <c r="U1274" i="12"/>
  <c r="U1273" i="12" s="1"/>
  <c r="V1274" i="12"/>
  <c r="V1273" i="12" s="1"/>
  <c r="W1274" i="12"/>
  <c r="W1273" i="12" s="1"/>
  <c r="X1274" i="12"/>
  <c r="X1273" i="12" s="1"/>
  <c r="Y1274" i="12"/>
  <c r="AB1274" i="12"/>
  <c r="AC1274" i="12"/>
  <c r="AC1273" i="12" s="1"/>
  <c r="AF1274" i="12"/>
  <c r="AG1274" i="12"/>
  <c r="AG1273" i="12" s="1"/>
  <c r="AH1274" i="12"/>
  <c r="AH1273" i="12" s="1"/>
  <c r="AI1274" i="12"/>
  <c r="AI1273" i="12" s="1"/>
  <c r="AJ1274" i="12"/>
  <c r="AK1274" i="12" s="1"/>
  <c r="K1275" i="12"/>
  <c r="M1275" i="12"/>
  <c r="L1275" i="12" s="1"/>
  <c r="P1275" i="12"/>
  <c r="Z1275" i="12"/>
  <c r="AA1275" i="12"/>
  <c r="AD1275" i="12"/>
  <c r="AE1275" i="12"/>
  <c r="AJ1275" i="12"/>
  <c r="AK1275" i="12" s="1"/>
  <c r="AJ1276" i="12"/>
  <c r="AK1276" i="12" s="1"/>
  <c r="AJ1277" i="12"/>
  <c r="AK1277" i="12" s="1"/>
  <c r="N1278" i="12"/>
  <c r="N1276" i="12" s="1"/>
  <c r="AG1278" i="12"/>
  <c r="AJ1278" i="12"/>
  <c r="AK1278" i="12" s="1"/>
  <c r="M1279" i="12"/>
  <c r="M1278" i="12" s="1"/>
  <c r="M1276" i="12" s="1"/>
  <c r="AB1279" i="12"/>
  <c r="AJ1279" i="12"/>
  <c r="AK1279" i="12" s="1"/>
  <c r="I1280" i="12"/>
  <c r="I1279" i="12" s="1"/>
  <c r="I1278" i="12" s="1"/>
  <c r="I1276" i="12" s="1"/>
  <c r="J1280" i="12"/>
  <c r="J1279" i="12" s="1"/>
  <c r="J1278" i="12" s="1"/>
  <c r="J1276" i="12" s="1"/>
  <c r="K1280" i="12"/>
  <c r="K1279" i="12" s="1"/>
  <c r="K1278" i="12" s="1"/>
  <c r="K1276" i="12" s="1"/>
  <c r="L1280" i="12"/>
  <c r="L1279" i="12" s="1"/>
  <c r="L1278" i="12" s="1"/>
  <c r="L1276" i="12" s="1"/>
  <c r="M1280" i="12"/>
  <c r="N1280" i="12"/>
  <c r="N1279" i="12" s="1"/>
  <c r="O1280" i="12"/>
  <c r="O1279" i="12" s="1"/>
  <c r="O1278" i="12" s="1"/>
  <c r="O1276" i="12" s="1"/>
  <c r="T1280" i="12"/>
  <c r="P1280" i="12" s="1"/>
  <c r="U1280" i="12"/>
  <c r="U1279" i="12" s="1"/>
  <c r="U1278" i="12" s="1"/>
  <c r="U1277" i="12" s="1"/>
  <c r="V1280" i="12"/>
  <c r="V1279" i="12" s="1"/>
  <c r="V1278" i="12" s="1"/>
  <c r="W1280" i="12"/>
  <c r="W1279" i="12" s="1"/>
  <c r="W1278" i="12" s="1"/>
  <c r="X1280" i="12"/>
  <c r="X1279" i="12" s="1"/>
  <c r="X1278" i="12" s="1"/>
  <c r="X1277" i="12" s="1"/>
  <c r="Y1280" i="12"/>
  <c r="AB1280" i="12"/>
  <c r="AC1280" i="12"/>
  <c r="AF1280" i="12"/>
  <c r="AG1280" i="12"/>
  <c r="AG1279" i="12" s="1"/>
  <c r="AH1280" i="12"/>
  <c r="AH1279" i="12" s="1"/>
  <c r="AH1278" i="12" s="1"/>
  <c r="AI1280" i="12"/>
  <c r="AI1279" i="12" s="1"/>
  <c r="AI1278" i="12" s="1"/>
  <c r="AJ1280" i="12"/>
  <c r="AK1280" i="12" s="1"/>
  <c r="P1281" i="12"/>
  <c r="Z1281" i="12"/>
  <c r="AA1281" i="12"/>
  <c r="AD1281" i="12"/>
  <c r="AE1281" i="12"/>
  <c r="AJ1281" i="12"/>
  <c r="AK1281" i="12" s="1"/>
  <c r="AJ1282" i="12"/>
  <c r="AK1282" i="12" s="1"/>
  <c r="AJ1283" i="12"/>
  <c r="AK1283" i="12"/>
  <c r="K1284" i="12"/>
  <c r="AE1284" i="12"/>
  <c r="AJ1284" i="12"/>
  <c r="AK1284" i="12"/>
  <c r="AJ1285" i="12"/>
  <c r="AK1285" i="12" s="1"/>
  <c r="AJ1286" i="12"/>
  <c r="AK1286" i="12" s="1"/>
  <c r="AJ1287" i="12"/>
  <c r="AK1287" i="12" s="1"/>
  <c r="AJ1288" i="12"/>
  <c r="AK1288" i="12"/>
  <c r="AJ1289" i="12"/>
  <c r="AK1289" i="12" s="1"/>
  <c r="I1290" i="12"/>
  <c r="J1290" i="12"/>
  <c r="K1290" i="12"/>
  <c r="L1290" i="12"/>
  <c r="M1290" i="12"/>
  <c r="O1290" i="12"/>
  <c r="R1290" i="12"/>
  <c r="S1290" i="12"/>
  <c r="T1290" i="12"/>
  <c r="U1290" i="12"/>
  <c r="V1290" i="12"/>
  <c r="W1290" i="12"/>
  <c r="X1290" i="12"/>
  <c r="X1289" i="12" s="1"/>
  <c r="Y1290" i="12"/>
  <c r="AB1290" i="12"/>
  <c r="AC1290" i="12"/>
  <c r="AF1290" i="12"/>
  <c r="AJ1290" i="12"/>
  <c r="AK1290" i="12" s="1"/>
  <c r="K1291" i="12"/>
  <c r="L1291" i="12"/>
  <c r="N1291" i="12"/>
  <c r="Q1291" i="12"/>
  <c r="Q1290" i="12" s="1"/>
  <c r="Z1291" i="12"/>
  <c r="AA1291" i="12"/>
  <c r="AD1291" i="12"/>
  <c r="AE1291" i="12"/>
  <c r="AG1291" i="12"/>
  <c r="AG1290" i="12" s="1"/>
  <c r="AH1291" i="12"/>
  <c r="AH1290" i="12" s="1"/>
  <c r="AI1291" i="12"/>
  <c r="AI1290" i="12" s="1"/>
  <c r="AI1289" i="12" s="1"/>
  <c r="AJ1291" i="12"/>
  <c r="AK1291" i="12" s="1"/>
  <c r="I1292" i="12"/>
  <c r="J1292" i="12"/>
  <c r="M1292" i="12"/>
  <c r="N1292" i="12"/>
  <c r="O1292" i="12"/>
  <c r="Q1292" i="12"/>
  <c r="R1292" i="12"/>
  <c r="S1292" i="12"/>
  <c r="T1292" i="12"/>
  <c r="P1292" i="12" s="1"/>
  <c r="U1292" i="12"/>
  <c r="U1289" i="12" s="1"/>
  <c r="V1292" i="12"/>
  <c r="W1292" i="12"/>
  <c r="X1292" i="12"/>
  <c r="Y1292" i="12"/>
  <c r="AB1292" i="12"/>
  <c r="AA1292" i="12" s="1"/>
  <c r="AC1292" i="12"/>
  <c r="AF1292" i="12"/>
  <c r="AE1292" i="12" s="1"/>
  <c r="AG1292" i="12"/>
  <c r="AH1292" i="12"/>
  <c r="AI1292" i="12"/>
  <c r="AJ1292" i="12"/>
  <c r="AK1292" i="12"/>
  <c r="K1293" i="12"/>
  <c r="L1293" i="12"/>
  <c r="P1293" i="12"/>
  <c r="Z1293" i="12"/>
  <c r="AA1293" i="12"/>
  <c r="AD1293" i="12"/>
  <c r="AE1293" i="12"/>
  <c r="AJ1293" i="12"/>
  <c r="AK1293" i="12" s="1"/>
  <c r="I1294" i="12"/>
  <c r="J1294" i="12"/>
  <c r="M1294" i="12"/>
  <c r="L1294" i="12" s="1"/>
  <c r="N1294" i="12"/>
  <c r="O1294" i="12"/>
  <c r="Q1294" i="12"/>
  <c r="R1294" i="12"/>
  <c r="S1294" i="12"/>
  <c r="T1294" i="12"/>
  <c r="U1294" i="12"/>
  <c r="V1294" i="12"/>
  <c r="W1294" i="12"/>
  <c r="X1294" i="12"/>
  <c r="Y1294" i="12"/>
  <c r="Z1294" i="12"/>
  <c r="AB1294" i="12"/>
  <c r="AC1294" i="12"/>
  <c r="AD1294" i="12" s="1"/>
  <c r="AF1294" i="12"/>
  <c r="AE1294" i="12" s="1"/>
  <c r="AG1294" i="12"/>
  <c r="AH1294" i="12"/>
  <c r="AI1294" i="12"/>
  <c r="AJ1294" i="12"/>
  <c r="AK1294" i="12" s="1"/>
  <c r="K1295" i="12"/>
  <c r="L1295" i="12"/>
  <c r="P1295" i="12"/>
  <c r="Z1295" i="12"/>
  <c r="AA1295" i="12"/>
  <c r="AD1295" i="12"/>
  <c r="AE1295" i="12"/>
  <c r="AJ1295" i="12"/>
  <c r="AK1295" i="12" s="1"/>
  <c r="K1296" i="12"/>
  <c r="L1296" i="12"/>
  <c r="P1296" i="12"/>
  <c r="Z1296" i="12"/>
  <c r="AA1296" i="12"/>
  <c r="AD1296" i="12"/>
  <c r="AE1296" i="12"/>
  <c r="AJ1296" i="12"/>
  <c r="AK1296" i="12" s="1"/>
  <c r="AF1297" i="12"/>
  <c r="AJ1297" i="12"/>
  <c r="AK1297" i="12" s="1"/>
  <c r="I1298" i="12"/>
  <c r="J1298" i="12"/>
  <c r="M1298" i="12"/>
  <c r="M1297" i="12" s="1"/>
  <c r="N1298" i="12"/>
  <c r="O1298" i="12"/>
  <c r="Q1298" i="12"/>
  <c r="R1298" i="12"/>
  <c r="R1297" i="12" s="1"/>
  <c r="S1298" i="12"/>
  <c r="T1298" i="12"/>
  <c r="U1298" i="12"/>
  <c r="V1298" i="12"/>
  <c r="V1297" i="12" s="1"/>
  <c r="W1298" i="12"/>
  <c r="X1298" i="12"/>
  <c r="Y1298" i="12"/>
  <c r="Z1298" i="12"/>
  <c r="AB1298" i="12"/>
  <c r="AC1298" i="12"/>
  <c r="AD1298" i="12"/>
  <c r="AE1298" i="12"/>
  <c r="AF1298" i="12"/>
  <c r="AG1298" i="12"/>
  <c r="AH1298" i="12"/>
  <c r="AI1298" i="12"/>
  <c r="AJ1298" i="12"/>
  <c r="AK1298" i="12" s="1"/>
  <c r="K1299" i="12"/>
  <c r="L1299" i="12"/>
  <c r="P1299" i="12"/>
  <c r="Z1299" i="12"/>
  <c r="AA1299" i="12"/>
  <c r="AD1299" i="12"/>
  <c r="AE1299" i="12"/>
  <c r="AJ1299" i="12"/>
  <c r="AK1299" i="12"/>
  <c r="K1300" i="12"/>
  <c r="L1300" i="12"/>
  <c r="P1300" i="12"/>
  <c r="Z1300" i="12"/>
  <c r="AA1300" i="12"/>
  <c r="AD1300" i="12"/>
  <c r="AE1300" i="12"/>
  <c r="AJ1300" i="12"/>
  <c r="AK1300" i="12" s="1"/>
  <c r="K1301" i="12"/>
  <c r="L1301" i="12"/>
  <c r="P1301" i="12"/>
  <c r="Z1301" i="12"/>
  <c r="AA1301" i="12"/>
  <c r="AD1301" i="12"/>
  <c r="AE1301" i="12"/>
  <c r="AJ1301" i="12"/>
  <c r="AK1301" i="12" s="1"/>
  <c r="I1302" i="12"/>
  <c r="J1302" i="12"/>
  <c r="K1302" i="12" s="1"/>
  <c r="M1302" i="12"/>
  <c r="N1302" i="12"/>
  <c r="O1302" i="12"/>
  <c r="Q1302" i="12"/>
  <c r="R1302" i="12"/>
  <c r="S1302" i="12"/>
  <c r="T1302" i="12"/>
  <c r="U1302" i="12"/>
  <c r="V1302" i="12"/>
  <c r="W1302" i="12"/>
  <c r="X1302" i="12"/>
  <c r="Y1302" i="12"/>
  <c r="Z1302" i="12"/>
  <c r="AA1302" i="12"/>
  <c r="AB1302" i="12"/>
  <c r="AC1302" i="12"/>
  <c r="AD1302" i="12"/>
  <c r="AE1302" i="12"/>
  <c r="AF1302" i="12"/>
  <c r="AG1302" i="12"/>
  <c r="AH1302" i="12"/>
  <c r="AI1302" i="12"/>
  <c r="AJ1302" i="12"/>
  <c r="AK1302" i="12" s="1"/>
  <c r="K1303" i="12"/>
  <c r="L1303" i="12"/>
  <c r="P1303" i="12"/>
  <c r="Z1303" i="12"/>
  <c r="AA1303" i="12"/>
  <c r="AD1303" i="12"/>
  <c r="AE1303" i="12"/>
  <c r="AJ1303" i="12"/>
  <c r="AK1303" i="12"/>
  <c r="I1304" i="12"/>
  <c r="J1304" i="12"/>
  <c r="M1304" i="12"/>
  <c r="N1304" i="12"/>
  <c r="O1304" i="12"/>
  <c r="Q1304" i="12"/>
  <c r="R1304" i="12"/>
  <c r="S1304" i="12"/>
  <c r="T1304" i="12"/>
  <c r="T1297" i="12" s="1"/>
  <c r="U1304" i="12"/>
  <c r="V1304" i="12"/>
  <c r="W1304" i="12"/>
  <c r="X1304" i="12"/>
  <c r="X1297" i="12" s="1"/>
  <c r="Y1304" i="12"/>
  <c r="Z1304" i="12" s="1"/>
  <c r="AB1304" i="12"/>
  <c r="AC1304" i="12"/>
  <c r="AF1304" i="12"/>
  <c r="AG1304" i="12"/>
  <c r="AH1304" i="12"/>
  <c r="AI1304" i="12"/>
  <c r="AJ1304" i="12"/>
  <c r="AK1304" i="12" s="1"/>
  <c r="K1305" i="12"/>
  <c r="L1305" i="12"/>
  <c r="P1305" i="12"/>
  <c r="Z1305" i="12"/>
  <c r="AA1305" i="12"/>
  <c r="AD1305" i="12"/>
  <c r="AE1305" i="12"/>
  <c r="AJ1305" i="12"/>
  <c r="AK1305" i="12" s="1"/>
  <c r="I1306" i="12"/>
  <c r="J1306" i="12"/>
  <c r="K1306" i="12"/>
  <c r="M1306" i="12"/>
  <c r="L1306" i="12" s="1"/>
  <c r="N1306" i="12"/>
  <c r="O1306" i="12"/>
  <c r="Q1306" i="12"/>
  <c r="R1306" i="12"/>
  <c r="S1306" i="12"/>
  <c r="T1306" i="12"/>
  <c r="U1306" i="12"/>
  <c r="V1306" i="12"/>
  <c r="AA1306" i="12" s="1"/>
  <c r="W1306" i="12"/>
  <c r="X1306" i="12"/>
  <c r="Y1306" i="12"/>
  <c r="Z1306" i="12"/>
  <c r="AB1306" i="12"/>
  <c r="AC1306" i="12"/>
  <c r="AD1306" i="12"/>
  <c r="AE1306" i="12"/>
  <c r="AF1306" i="12"/>
  <c r="AG1306" i="12"/>
  <c r="AH1306" i="12"/>
  <c r="AI1306" i="12"/>
  <c r="AJ1306" i="12"/>
  <c r="AK1306" i="12"/>
  <c r="K1307" i="12"/>
  <c r="L1307" i="12"/>
  <c r="P1307" i="12"/>
  <c r="Z1307" i="12"/>
  <c r="AA1307" i="12"/>
  <c r="AD1307" i="12"/>
  <c r="AE1307" i="12"/>
  <c r="AJ1307" i="12"/>
  <c r="AK1307" i="12"/>
  <c r="AC1308" i="12"/>
  <c r="AJ1308" i="12"/>
  <c r="AK1308" i="12"/>
  <c r="Y1309" i="12"/>
  <c r="AC1309" i="12"/>
  <c r="AJ1309" i="12"/>
  <c r="AK1309" i="12"/>
  <c r="AJ1310" i="12"/>
  <c r="AK1310" i="12" s="1"/>
  <c r="O1311" i="12"/>
  <c r="O1310" i="12" s="1"/>
  <c r="O1308" i="12" s="1"/>
  <c r="S1311" i="12"/>
  <c r="S1310" i="12" s="1"/>
  <c r="S1308" i="12" s="1"/>
  <c r="AI1311" i="12"/>
  <c r="AI1310" i="12" s="1"/>
  <c r="AJ1311" i="12"/>
  <c r="AK1311" i="12" s="1"/>
  <c r="I1312" i="12"/>
  <c r="I1311" i="12" s="1"/>
  <c r="I1310" i="12" s="1"/>
  <c r="I1308" i="12" s="1"/>
  <c r="J1312" i="12"/>
  <c r="K1312" i="12" s="1"/>
  <c r="M1312" i="12"/>
  <c r="N1312" i="12"/>
  <c r="N1311" i="12" s="1"/>
  <c r="N1310" i="12" s="1"/>
  <c r="N1308" i="12" s="1"/>
  <c r="O1312" i="12"/>
  <c r="Q1312" i="12"/>
  <c r="Q1311" i="12" s="1"/>
  <c r="Q1310" i="12" s="1"/>
  <c r="Q1308" i="12" s="1"/>
  <c r="R1312" i="12"/>
  <c r="R1311" i="12" s="1"/>
  <c r="R1310" i="12" s="1"/>
  <c r="R1308" i="12" s="1"/>
  <c r="S1312" i="12"/>
  <c r="T1312" i="12"/>
  <c r="U1312" i="12"/>
  <c r="U1311" i="12" s="1"/>
  <c r="U1310" i="12" s="1"/>
  <c r="U1308" i="12" s="1"/>
  <c r="V1312" i="12"/>
  <c r="V1311" i="12" s="1"/>
  <c r="V1310" i="12" s="1"/>
  <c r="W1312" i="12"/>
  <c r="W1311" i="12" s="1"/>
  <c r="W1310" i="12" s="1"/>
  <c r="X1312" i="12"/>
  <c r="X1311" i="12" s="1"/>
  <c r="X1310" i="12" s="1"/>
  <c r="X1308" i="12" s="1"/>
  <c r="Y1312" i="12"/>
  <c r="Y1311" i="12" s="1"/>
  <c r="Y1310" i="12" s="1"/>
  <c r="Y1308" i="12" s="1"/>
  <c r="AB1312" i="12"/>
  <c r="AB1311" i="12" s="1"/>
  <c r="AC1312" i="12"/>
  <c r="AC1311" i="12" s="1"/>
  <c r="AC1310" i="12" s="1"/>
  <c r="AD1312" i="12"/>
  <c r="AF1312" i="12"/>
  <c r="AF1311" i="12" s="1"/>
  <c r="AG1312" i="12"/>
  <c r="AG1311" i="12" s="1"/>
  <c r="AG1310" i="12" s="1"/>
  <c r="AG1308" i="12" s="1"/>
  <c r="AH1312" i="12"/>
  <c r="AH1311" i="12" s="1"/>
  <c r="AH1310" i="12" s="1"/>
  <c r="AI1312" i="12"/>
  <c r="AJ1312" i="12"/>
  <c r="AK1312" i="12" s="1"/>
  <c r="K1313" i="12"/>
  <c r="L1313" i="12"/>
  <c r="P1313" i="12"/>
  <c r="Z1313" i="12"/>
  <c r="AA1313" i="12"/>
  <c r="AD1313" i="12"/>
  <c r="AE1313" i="12"/>
  <c r="AJ1313" i="12"/>
  <c r="AK1313" i="12" s="1"/>
  <c r="K1314" i="12"/>
  <c r="L1314" i="12"/>
  <c r="P1314" i="12"/>
  <c r="Z1314" i="12"/>
  <c r="AA1314" i="12"/>
  <c r="AD1314" i="12"/>
  <c r="AE1314" i="12"/>
  <c r="AJ1314" i="12"/>
  <c r="AK1314" i="12" s="1"/>
  <c r="AJ1315" i="12"/>
  <c r="AK1315" i="12" s="1"/>
  <c r="K1316" i="12"/>
  <c r="AE1316" i="12"/>
  <c r="AJ1316" i="12"/>
  <c r="AK1316" i="12" s="1"/>
  <c r="AJ1317" i="12"/>
  <c r="AK1317" i="12"/>
  <c r="AE1318" i="12"/>
  <c r="AJ1318" i="12"/>
  <c r="AK1318" i="12" s="1"/>
  <c r="AJ1319" i="12"/>
  <c r="AK1319" i="12"/>
  <c r="AJ1320" i="12"/>
  <c r="AK1320" i="12" s="1"/>
  <c r="AJ1321" i="12"/>
  <c r="AK1321" i="12"/>
  <c r="AJ1322" i="12"/>
  <c r="AK1322" i="12"/>
  <c r="I1323" i="12"/>
  <c r="I1322" i="12" s="1"/>
  <c r="I1320" i="12" s="1"/>
  <c r="N1323" i="12"/>
  <c r="N1322" i="12" s="1"/>
  <c r="N1320" i="12" s="1"/>
  <c r="V1323" i="12"/>
  <c r="V1322" i="12" s="1"/>
  <c r="AJ1323" i="12"/>
  <c r="AK1323" i="12" s="1"/>
  <c r="I1324" i="12"/>
  <c r="J1324" i="12"/>
  <c r="J1323" i="12" s="1"/>
  <c r="J1322" i="12" s="1"/>
  <c r="J1320" i="12" s="1"/>
  <c r="M1324" i="12"/>
  <c r="N1324" i="12"/>
  <c r="O1324" i="12"/>
  <c r="O1323" i="12" s="1"/>
  <c r="O1322" i="12" s="1"/>
  <c r="O1320" i="12" s="1"/>
  <c r="Q1324" i="12"/>
  <c r="Q1323" i="12" s="1"/>
  <c r="Q1322" i="12" s="1"/>
  <c r="Q1320" i="12" s="1"/>
  <c r="R1324" i="12"/>
  <c r="R1323" i="12" s="1"/>
  <c r="R1322" i="12" s="1"/>
  <c r="R1320" i="12" s="1"/>
  <c r="S1324" i="12"/>
  <c r="S1323" i="12" s="1"/>
  <c r="S1322" i="12" s="1"/>
  <c r="S1320" i="12" s="1"/>
  <c r="U1324" i="12"/>
  <c r="U1323" i="12" s="1"/>
  <c r="U1322" i="12" s="1"/>
  <c r="U1320" i="12" s="1"/>
  <c r="V1324" i="12"/>
  <c r="W1324" i="12"/>
  <c r="W1323" i="12" s="1"/>
  <c r="W1322" i="12" s="1"/>
  <c r="X1324" i="12"/>
  <c r="X1323" i="12" s="1"/>
  <c r="X1322" i="12" s="1"/>
  <c r="Y1324" i="12"/>
  <c r="Y1323" i="12" s="1"/>
  <c r="Z1324" i="12"/>
  <c r="AB1324" i="12"/>
  <c r="AB1323" i="12" s="1"/>
  <c r="AC1324" i="12"/>
  <c r="AF1324" i="12"/>
  <c r="AF1323" i="12" s="1"/>
  <c r="AG1324" i="12"/>
  <c r="AG1323" i="12" s="1"/>
  <c r="AG1322" i="12" s="1"/>
  <c r="AH1324" i="12"/>
  <c r="AH1323" i="12" s="1"/>
  <c r="AH1322" i="12" s="1"/>
  <c r="AH1320" i="12" s="1"/>
  <c r="AI1324" i="12"/>
  <c r="AI1323" i="12" s="1"/>
  <c r="AI1322" i="12" s="1"/>
  <c r="AJ1324" i="12"/>
  <c r="AK1324" i="12"/>
  <c r="L1325" i="12"/>
  <c r="T1325" i="12"/>
  <c r="T1324" i="12" s="1"/>
  <c r="Z1325" i="12"/>
  <c r="AA1325" i="12"/>
  <c r="AD1325" i="12"/>
  <c r="AE1325" i="12"/>
  <c r="AJ1325" i="12"/>
  <c r="AK1325" i="12" s="1"/>
  <c r="AJ1326" i="12"/>
  <c r="AK1326" i="12" s="1"/>
  <c r="AJ1327" i="12"/>
  <c r="AK1327" i="12"/>
  <c r="AJ1328" i="12"/>
  <c r="AK1328" i="12" s="1"/>
  <c r="AI1329" i="12"/>
  <c r="AJ1329" i="12"/>
  <c r="AK1329" i="12" s="1"/>
  <c r="S1330" i="12"/>
  <c r="S1329" i="12" s="1"/>
  <c r="V1330" i="12"/>
  <c r="V1329" i="12" s="1"/>
  <c r="AI1330" i="12"/>
  <c r="AJ1330" i="12"/>
  <c r="AK1330" i="12" s="1"/>
  <c r="I1331" i="12"/>
  <c r="I1330" i="12" s="1"/>
  <c r="I1329" i="12" s="1"/>
  <c r="J1331" i="12"/>
  <c r="M1331" i="12"/>
  <c r="N1331" i="12"/>
  <c r="N1330" i="12" s="1"/>
  <c r="N1329" i="12" s="1"/>
  <c r="N1327" i="12" s="1"/>
  <c r="O1331" i="12"/>
  <c r="O1330" i="12" s="1"/>
  <c r="O1329" i="12" s="1"/>
  <c r="O1327" i="12" s="1"/>
  <c r="S1331" i="12"/>
  <c r="T1331" i="12"/>
  <c r="U1331" i="12"/>
  <c r="U1330" i="12" s="1"/>
  <c r="U1329" i="12" s="1"/>
  <c r="V1331" i="12"/>
  <c r="W1331" i="12"/>
  <c r="W1330" i="12" s="1"/>
  <c r="W1329" i="12" s="1"/>
  <c r="X1331" i="12"/>
  <c r="X1330" i="12" s="1"/>
  <c r="X1329" i="12" s="1"/>
  <c r="Y1331" i="12"/>
  <c r="AB1331" i="12"/>
  <c r="AB1330" i="12" s="1"/>
  <c r="AB1329" i="12" s="1"/>
  <c r="AC1331" i="12"/>
  <c r="AC1330" i="12" s="1"/>
  <c r="AC1329" i="12" s="1"/>
  <c r="AD1331" i="12"/>
  <c r="AE1331" i="12"/>
  <c r="AF1331" i="12"/>
  <c r="AF1330" i="12" s="1"/>
  <c r="AE1330" i="12" s="1"/>
  <c r="AG1331" i="12"/>
  <c r="AG1330" i="12" s="1"/>
  <c r="AG1329" i="12" s="1"/>
  <c r="AH1331" i="12"/>
  <c r="AH1330" i="12" s="1"/>
  <c r="AH1329" i="12" s="1"/>
  <c r="AI1331" i="12"/>
  <c r="AJ1331" i="12"/>
  <c r="AK1331" i="12"/>
  <c r="K1332" i="12"/>
  <c r="L1332" i="12"/>
  <c r="N1332" i="12"/>
  <c r="P1332" i="12"/>
  <c r="Q1332" i="12"/>
  <c r="Q1331" i="12" s="1"/>
  <c r="Q1330" i="12" s="1"/>
  <c r="Q1329" i="12" s="1"/>
  <c r="Q1327" i="12" s="1"/>
  <c r="R1332" i="12"/>
  <c r="R1331" i="12" s="1"/>
  <c r="R1330" i="12" s="1"/>
  <c r="R1329" i="12" s="1"/>
  <c r="Z1332" i="12"/>
  <c r="AA1332" i="12"/>
  <c r="AD1332" i="12"/>
  <c r="AE1332" i="12"/>
  <c r="AJ1332" i="12"/>
  <c r="AK1332" i="12"/>
  <c r="I1333" i="12"/>
  <c r="Q1333" i="12"/>
  <c r="Y1333" i="12"/>
  <c r="AC1333" i="12"/>
  <c r="AJ1333" i="12"/>
  <c r="AK1333" i="12"/>
  <c r="AJ1334" i="12"/>
  <c r="AK1334" i="12" s="1"/>
  <c r="I1335" i="12"/>
  <c r="I1334" i="12" s="1"/>
  <c r="J1335" i="12"/>
  <c r="J1334" i="12" s="1"/>
  <c r="J1333" i="12" s="1"/>
  <c r="M1335" i="12"/>
  <c r="M1334" i="12" s="1"/>
  <c r="M1333" i="12" s="1"/>
  <c r="N1335" i="12"/>
  <c r="N1334" i="12" s="1"/>
  <c r="N1333" i="12" s="1"/>
  <c r="O1335" i="12"/>
  <c r="O1334" i="12" s="1"/>
  <c r="O1333" i="12" s="1"/>
  <c r="Q1335" i="12"/>
  <c r="Q1334" i="12" s="1"/>
  <c r="R1335" i="12"/>
  <c r="R1334" i="12" s="1"/>
  <c r="R1333" i="12" s="1"/>
  <c r="S1335" i="12"/>
  <c r="S1334" i="12" s="1"/>
  <c r="S1333" i="12" s="1"/>
  <c r="T1335" i="12"/>
  <c r="U1335" i="12"/>
  <c r="U1334" i="12" s="1"/>
  <c r="U1333" i="12" s="1"/>
  <c r="V1335" i="12"/>
  <c r="W1335" i="12"/>
  <c r="W1334" i="12" s="1"/>
  <c r="W1333" i="12" s="1"/>
  <c r="X1335" i="12"/>
  <c r="X1334" i="12" s="1"/>
  <c r="X1333" i="12" s="1"/>
  <c r="Y1335" i="12"/>
  <c r="Y1334" i="12" s="1"/>
  <c r="Z1335" i="12"/>
  <c r="AB1335" i="12"/>
  <c r="AB1334" i="12" s="1"/>
  <c r="AC1335" i="12"/>
  <c r="AC1334" i="12" s="1"/>
  <c r="AG1335" i="12"/>
  <c r="AG1334" i="12" s="1"/>
  <c r="AG1333" i="12" s="1"/>
  <c r="AH1335" i="12"/>
  <c r="AH1334" i="12" s="1"/>
  <c r="AH1333" i="12" s="1"/>
  <c r="AI1335" i="12"/>
  <c r="AI1334" i="12" s="1"/>
  <c r="AI1333" i="12" s="1"/>
  <c r="AJ1335" i="12"/>
  <c r="AK1335" i="12"/>
  <c r="K1336" i="12"/>
  <c r="L1336" i="12"/>
  <c r="P1336" i="12"/>
  <c r="Z1336" i="12"/>
  <c r="AA1336" i="12"/>
  <c r="AD1336" i="12"/>
  <c r="AE1336" i="12"/>
  <c r="AJ1336" i="12"/>
  <c r="AK1336" i="12"/>
  <c r="K1337" i="12"/>
  <c r="L1337" i="12"/>
  <c r="P1337" i="12"/>
  <c r="Z1337" i="12"/>
  <c r="AA1337" i="12"/>
  <c r="AD1337" i="12"/>
  <c r="AF1337" i="12"/>
  <c r="AJ1337" i="12"/>
  <c r="AK1337" i="12" s="1"/>
  <c r="AJ1338" i="12"/>
  <c r="AK1338" i="12"/>
  <c r="V1339" i="12"/>
  <c r="AJ1339" i="12"/>
  <c r="AK1339" i="12"/>
  <c r="U1340" i="12"/>
  <c r="U1338" i="12" s="1"/>
  <c r="AJ1340" i="12"/>
  <c r="AK1340" i="12"/>
  <c r="I1341" i="12"/>
  <c r="I1340" i="12" s="1"/>
  <c r="I1338" i="12" s="1"/>
  <c r="M1341" i="12"/>
  <c r="T1341" i="12"/>
  <c r="T1340" i="12" s="1"/>
  <c r="U1341" i="12"/>
  <c r="Y1341" i="12"/>
  <c r="AG1341" i="12"/>
  <c r="AG1340" i="12" s="1"/>
  <c r="AJ1341" i="12"/>
  <c r="AK1341" i="12" s="1"/>
  <c r="I1342" i="12"/>
  <c r="J1342" i="12"/>
  <c r="J1341" i="12" s="1"/>
  <c r="K1342" i="12"/>
  <c r="L1342" i="12"/>
  <c r="M1342" i="12"/>
  <c r="O1342" i="12"/>
  <c r="O1341" i="12" s="1"/>
  <c r="O1340" i="12" s="1"/>
  <c r="O1338" i="12" s="1"/>
  <c r="S1342" i="12"/>
  <c r="S1341" i="12" s="1"/>
  <c r="S1340" i="12" s="1"/>
  <c r="S1338" i="12" s="1"/>
  <c r="T1342" i="12"/>
  <c r="U1342" i="12"/>
  <c r="V1342" i="12"/>
  <c r="V1341" i="12" s="1"/>
  <c r="V1340" i="12" s="1"/>
  <c r="V1338" i="12" s="1"/>
  <c r="W1342" i="12"/>
  <c r="W1341" i="12" s="1"/>
  <c r="W1340" i="12" s="1"/>
  <c r="X1342" i="12"/>
  <c r="X1341" i="12" s="1"/>
  <c r="X1340" i="12" s="1"/>
  <c r="Y1342" i="12"/>
  <c r="AB1342" i="12"/>
  <c r="AC1342" i="12"/>
  <c r="AC1341" i="12" s="1"/>
  <c r="AG1342" i="12"/>
  <c r="AH1342" i="12"/>
  <c r="AH1341" i="12" s="1"/>
  <c r="AH1340" i="12" s="1"/>
  <c r="AI1342" i="12"/>
  <c r="AI1341" i="12" s="1"/>
  <c r="AI1340" i="12" s="1"/>
  <c r="AI1339" i="12" s="1"/>
  <c r="AJ1342" i="12"/>
  <c r="AK1342" i="12" s="1"/>
  <c r="K1343" i="12"/>
  <c r="L1343" i="12"/>
  <c r="N1343" i="12"/>
  <c r="Q1343" i="12"/>
  <c r="Q1342" i="12" s="1"/>
  <c r="Q1341" i="12" s="1"/>
  <c r="Q1340" i="12" s="1"/>
  <c r="Q1338" i="12" s="1"/>
  <c r="R1343" i="12"/>
  <c r="R1342" i="12" s="1"/>
  <c r="R1341" i="12" s="1"/>
  <c r="R1340" i="12" s="1"/>
  <c r="R1338" i="12" s="1"/>
  <c r="S1343" i="12"/>
  <c r="Z1343" i="12"/>
  <c r="AA1343" i="12"/>
  <c r="AD1343" i="12"/>
  <c r="AF1343" i="12"/>
  <c r="AJ1343" i="12"/>
  <c r="AK1343" i="12" s="1"/>
  <c r="AJ1344" i="12"/>
  <c r="AK1344" i="12" s="1"/>
  <c r="AJ1345" i="12"/>
  <c r="AK1345" i="12" s="1"/>
  <c r="AJ1346" i="12"/>
  <c r="AK1346" i="12" s="1"/>
  <c r="S1347" i="12"/>
  <c r="AJ1347" i="12"/>
  <c r="AK1347" i="12" s="1"/>
  <c r="N1348" i="12"/>
  <c r="N1347" i="12" s="1"/>
  <c r="O1348" i="12"/>
  <c r="O1347" i="12" s="1"/>
  <c r="Q1348" i="12"/>
  <c r="Q1347" i="12" s="1"/>
  <c r="R1348" i="12"/>
  <c r="R1347" i="12" s="1"/>
  <c r="S1348" i="12"/>
  <c r="T1348" i="12"/>
  <c r="T1347" i="12" s="1"/>
  <c r="P1347" i="12" s="1"/>
  <c r="U1348" i="12"/>
  <c r="U1347" i="12" s="1"/>
  <c r="W1348" i="12"/>
  <c r="W1347" i="12" s="1"/>
  <c r="X1348" i="12"/>
  <c r="X1347" i="12" s="1"/>
  <c r="Y1348" i="12"/>
  <c r="AB1348" i="12"/>
  <c r="AB1347" i="12" s="1"/>
  <c r="AF1348" i="12"/>
  <c r="AG1348" i="12"/>
  <c r="AG1347" i="12" s="1"/>
  <c r="AH1348" i="12"/>
  <c r="AH1347" i="12" s="1"/>
  <c r="AI1348" i="12"/>
  <c r="AI1347" i="12" s="1"/>
  <c r="AJ1348" i="12"/>
  <c r="AK1348" i="12" s="1"/>
  <c r="P1349" i="12"/>
  <c r="V1349" i="12"/>
  <c r="AC1349" i="12"/>
  <c r="AC1348" i="12" s="1"/>
  <c r="AE1349" i="12"/>
  <c r="AJ1349" i="12"/>
  <c r="AK1349" i="12" s="1"/>
  <c r="AJ1350" i="12"/>
  <c r="AK1350" i="12" s="1"/>
  <c r="M1351" i="12"/>
  <c r="N1351" i="12"/>
  <c r="O1351" i="12"/>
  <c r="Q1351" i="12"/>
  <c r="R1351" i="12"/>
  <c r="S1351" i="12"/>
  <c r="U1351" i="12"/>
  <c r="V1351" i="12"/>
  <c r="W1351" i="12"/>
  <c r="W1350" i="12" s="1"/>
  <c r="X1351" i="12"/>
  <c r="AC1351" i="12"/>
  <c r="AG1351" i="12"/>
  <c r="AH1351" i="12"/>
  <c r="AI1351" i="12"/>
  <c r="AJ1351" i="12"/>
  <c r="AK1351" i="12"/>
  <c r="K1352" i="12"/>
  <c r="L1352" i="12"/>
  <c r="T1352" i="12"/>
  <c r="Z1352" i="12"/>
  <c r="AA1352" i="12"/>
  <c r="AC1352" i="12"/>
  <c r="AD1352" i="12"/>
  <c r="AE1352" i="12"/>
  <c r="AJ1352" i="12"/>
  <c r="AK1352" i="12" s="1"/>
  <c r="P1353" i="12"/>
  <c r="Z1353" i="12"/>
  <c r="AA1353" i="12"/>
  <c r="AE1353" i="12"/>
  <c r="AJ1353" i="12"/>
  <c r="AK1353" i="12" s="1"/>
  <c r="K1354" i="12"/>
  <c r="L1354" i="12"/>
  <c r="P1354" i="12"/>
  <c r="Z1354" i="12"/>
  <c r="AA1354" i="12"/>
  <c r="AE1354" i="12"/>
  <c r="AJ1354" i="12"/>
  <c r="AK1354" i="12" s="1"/>
  <c r="I1355" i="12"/>
  <c r="L1355" i="12" s="1"/>
  <c r="J1355" i="12"/>
  <c r="T1355" i="12"/>
  <c r="P1355" i="12" s="1"/>
  <c r="Y1355" i="12"/>
  <c r="AB1355" i="12"/>
  <c r="AC1355" i="12"/>
  <c r="AF1355" i="12"/>
  <c r="AF1351" i="12" s="1"/>
  <c r="AJ1355" i="12"/>
  <c r="AK1355" i="12" s="1"/>
  <c r="K1356" i="12"/>
  <c r="L1356" i="12"/>
  <c r="P1356" i="12"/>
  <c r="Z1356" i="12"/>
  <c r="AA1356" i="12"/>
  <c r="AE1356" i="12"/>
  <c r="AJ1356" i="12"/>
  <c r="AK1356" i="12" s="1"/>
  <c r="K1357" i="12"/>
  <c r="L1357" i="12"/>
  <c r="T1357" i="12"/>
  <c r="P1357" i="12" s="1"/>
  <c r="Z1357" i="12"/>
  <c r="AA1357" i="12"/>
  <c r="AD1357" i="12"/>
  <c r="AE1357" i="12"/>
  <c r="AJ1357" i="12"/>
  <c r="AK1357" i="12" s="1"/>
  <c r="I1358" i="12"/>
  <c r="J1358" i="12"/>
  <c r="M1358" i="12"/>
  <c r="L1358" i="12" s="1"/>
  <c r="N1358" i="12"/>
  <c r="O1358" i="12"/>
  <c r="Q1358" i="12"/>
  <c r="R1358" i="12"/>
  <c r="S1358" i="12"/>
  <c r="T1358" i="12"/>
  <c r="U1358" i="12"/>
  <c r="V1358" i="12"/>
  <c r="W1358" i="12"/>
  <c r="X1358" i="12"/>
  <c r="Y1358" i="12"/>
  <c r="AB1358" i="12"/>
  <c r="AA1358" i="12" s="1"/>
  <c r="AF1358" i="12"/>
  <c r="AG1358" i="12"/>
  <c r="AH1358" i="12"/>
  <c r="AI1358" i="12"/>
  <c r="AJ1358" i="12"/>
  <c r="AK1358" i="12"/>
  <c r="K1359" i="12"/>
  <c r="L1359" i="12"/>
  <c r="P1359" i="12"/>
  <c r="Z1359" i="12"/>
  <c r="AA1359" i="12"/>
  <c r="AC1359" i="12"/>
  <c r="AC1358" i="12" s="1"/>
  <c r="AD1358" i="12" s="1"/>
  <c r="AE1359" i="12"/>
  <c r="AJ1359" i="12"/>
  <c r="AK1359" i="12" s="1"/>
  <c r="I1360" i="12"/>
  <c r="J1360" i="12"/>
  <c r="K1360" i="12" s="1"/>
  <c r="M1360" i="12"/>
  <c r="N1360" i="12"/>
  <c r="N1350" i="12" s="1"/>
  <c r="O1360" i="12"/>
  <c r="Q1360" i="12"/>
  <c r="R1360" i="12"/>
  <c r="S1360" i="12"/>
  <c r="U1360" i="12"/>
  <c r="V1360" i="12"/>
  <c r="W1360" i="12"/>
  <c r="X1360" i="12"/>
  <c r="Y1360" i="12"/>
  <c r="Z1360" i="12"/>
  <c r="AB1360" i="12"/>
  <c r="AC1360" i="12"/>
  <c r="AF1360" i="12"/>
  <c r="AG1360" i="12"/>
  <c r="AH1360" i="12"/>
  <c r="AI1360" i="12"/>
  <c r="AJ1360" i="12"/>
  <c r="AK1360" i="12"/>
  <c r="K1361" i="12"/>
  <c r="L1361" i="12"/>
  <c r="T1361" i="12"/>
  <c r="Z1361" i="12"/>
  <c r="AA1361" i="12"/>
  <c r="AD1361" i="12"/>
  <c r="AE1361" i="12"/>
  <c r="AJ1361" i="12"/>
  <c r="AK1361" i="12" s="1"/>
  <c r="J1362" i="12"/>
  <c r="K1362" i="12" s="1"/>
  <c r="W1362" i="12"/>
  <c r="AJ1362" i="12"/>
  <c r="AK1362" i="12"/>
  <c r="I1363" i="12"/>
  <c r="I1362" i="12" s="1"/>
  <c r="J1363" i="12"/>
  <c r="M1363" i="12"/>
  <c r="N1363" i="12"/>
  <c r="N1362" i="12" s="1"/>
  <c r="O1363" i="12"/>
  <c r="O1362" i="12" s="1"/>
  <c r="Q1363" i="12"/>
  <c r="Q1362" i="12" s="1"/>
  <c r="R1363" i="12"/>
  <c r="R1362" i="12" s="1"/>
  <c r="S1363" i="12"/>
  <c r="S1362" i="12" s="1"/>
  <c r="T1363" i="12"/>
  <c r="U1363" i="12"/>
  <c r="U1362" i="12" s="1"/>
  <c r="W1363" i="12"/>
  <c r="X1363" i="12"/>
  <c r="X1362" i="12" s="1"/>
  <c r="Y1363" i="12"/>
  <c r="Y1362" i="12" s="1"/>
  <c r="AB1363" i="12"/>
  <c r="AB1362" i="12" s="1"/>
  <c r="AC1363" i="12"/>
  <c r="AC1362" i="12" s="1"/>
  <c r="AF1363" i="12"/>
  <c r="AF1362" i="12" s="1"/>
  <c r="AG1363" i="12"/>
  <c r="AG1362" i="12" s="1"/>
  <c r="AH1363" i="12"/>
  <c r="AH1362" i="12" s="1"/>
  <c r="AI1363" i="12"/>
  <c r="AI1362" i="12" s="1"/>
  <c r="AJ1363" i="12"/>
  <c r="AK1363" i="12"/>
  <c r="K1364" i="12"/>
  <c r="L1364" i="12"/>
  <c r="P1364" i="12"/>
  <c r="V1364" i="12"/>
  <c r="AA1364" i="12" s="1"/>
  <c r="Z1364" i="12"/>
  <c r="AD1364" i="12"/>
  <c r="AE1364" i="12"/>
  <c r="AJ1364" i="12"/>
  <c r="AK1364" i="12" s="1"/>
  <c r="AJ1365" i="12"/>
  <c r="AK1365" i="12" s="1"/>
  <c r="AJ1366" i="12"/>
  <c r="AK1366" i="12"/>
  <c r="AJ1367" i="12"/>
  <c r="AK1367" i="12"/>
  <c r="Q1368" i="12"/>
  <c r="Q1366" i="12" s="1"/>
  <c r="AJ1368" i="12"/>
  <c r="AK1368" i="12" s="1"/>
  <c r="N1369" i="12"/>
  <c r="N1368" i="12" s="1"/>
  <c r="N1366" i="12" s="1"/>
  <c r="X1369" i="12"/>
  <c r="X1368" i="12" s="1"/>
  <c r="Y1369" i="12"/>
  <c r="AG1369" i="12"/>
  <c r="AG1368" i="12" s="1"/>
  <c r="AJ1369" i="12"/>
  <c r="AK1369" i="12" s="1"/>
  <c r="N1370" i="12"/>
  <c r="O1370" i="12"/>
  <c r="O1369" i="12" s="1"/>
  <c r="O1368" i="12" s="1"/>
  <c r="O1366" i="12" s="1"/>
  <c r="P1370" i="12"/>
  <c r="Q1370" i="12"/>
  <c r="Q1369" i="12" s="1"/>
  <c r="U1370" i="12"/>
  <c r="V1370" i="12"/>
  <c r="V1369" i="12" s="1"/>
  <c r="W1370" i="12"/>
  <c r="W1369" i="12" s="1"/>
  <c r="W1368" i="12" s="1"/>
  <c r="Y1370" i="12"/>
  <c r="Z1370" i="12" s="1"/>
  <c r="AB1370" i="12"/>
  <c r="AC1370" i="12"/>
  <c r="AC1369" i="12" s="1"/>
  <c r="AF1370" i="12"/>
  <c r="AG1370" i="12"/>
  <c r="AH1370" i="12"/>
  <c r="AH1369" i="12" s="1"/>
  <c r="AH1368" i="12" s="1"/>
  <c r="AI1370" i="12"/>
  <c r="AI1369" i="12" s="1"/>
  <c r="AI1368" i="12" s="1"/>
  <c r="AJ1370" i="12"/>
  <c r="AK1370" i="12" s="1"/>
  <c r="P1371" i="12"/>
  <c r="Z1371" i="12"/>
  <c r="AA1371" i="12"/>
  <c r="AE1371" i="12"/>
  <c r="AJ1371" i="12"/>
  <c r="AK1371" i="12" s="1"/>
  <c r="AE1372" i="12"/>
  <c r="AJ1372" i="12"/>
  <c r="AK1372" i="12" s="1"/>
  <c r="T1373" i="12"/>
  <c r="T1370" i="12" s="1"/>
  <c r="T1369" i="12" s="1"/>
  <c r="W1373" i="12"/>
  <c r="X1373" i="12"/>
  <c r="X1370" i="12" s="1"/>
  <c r="Z1373" i="12"/>
  <c r="AA1373" i="12"/>
  <c r="AD1373" i="12"/>
  <c r="AE1373" i="12"/>
  <c r="AJ1373" i="12"/>
  <c r="AK1373" i="12" s="1"/>
  <c r="AE1374" i="12"/>
  <c r="AJ1374" i="12"/>
  <c r="AK1374" i="12" s="1"/>
  <c r="P1375" i="12"/>
  <c r="Z1375" i="12"/>
  <c r="AA1375" i="12"/>
  <c r="AE1375" i="12"/>
  <c r="AJ1375" i="12"/>
  <c r="AK1375" i="12" s="1"/>
  <c r="U1376" i="12"/>
  <c r="U1369" i="12" s="1"/>
  <c r="U1368" i="12" s="1"/>
  <c r="U1366" i="12" s="1"/>
  <c r="V1376" i="12"/>
  <c r="V1368" i="12" s="1"/>
  <c r="AE1376" i="12"/>
  <c r="AJ1376" i="12"/>
  <c r="AK1376" i="12"/>
  <c r="AE1377" i="12"/>
  <c r="AJ1377" i="12"/>
  <c r="AK1377" i="12" s="1"/>
  <c r="AJ1378" i="12"/>
  <c r="AK1378" i="12"/>
  <c r="AJ1379" i="12"/>
  <c r="AK1379" i="12" s="1"/>
  <c r="AJ1380" i="12"/>
  <c r="AK1380" i="12" s="1"/>
  <c r="AJ1381" i="12"/>
  <c r="AK1381" i="12" s="1"/>
  <c r="V1382" i="12"/>
  <c r="W1382" i="12"/>
  <c r="W1381" i="12" s="1"/>
  <c r="W1380" i="12" s="1"/>
  <c r="X1382" i="12"/>
  <c r="X1381" i="12" s="1"/>
  <c r="X1380" i="12" s="1"/>
  <c r="Y1382" i="12"/>
  <c r="Y1381" i="12" s="1"/>
  <c r="Y1380" i="12" s="1"/>
  <c r="Z1382" i="12"/>
  <c r="AB1382" i="12"/>
  <c r="AB1381" i="12" s="1"/>
  <c r="AD1381" i="12" s="1"/>
  <c r="AC1382" i="12"/>
  <c r="AC1381" i="12" s="1"/>
  <c r="AC1380" i="12" s="1"/>
  <c r="AG1382" i="12"/>
  <c r="AG1381" i="12" s="1"/>
  <c r="AG1380" i="12" s="1"/>
  <c r="AH1382" i="12"/>
  <c r="AH1381" i="12" s="1"/>
  <c r="AH1380" i="12" s="1"/>
  <c r="AH1379" i="12" s="1"/>
  <c r="AI1382" i="12"/>
  <c r="AI1381" i="12" s="1"/>
  <c r="AI1380" i="12" s="1"/>
  <c r="AJ1382" i="12"/>
  <c r="AK1382" i="12"/>
  <c r="AJ1383" i="12"/>
  <c r="AK1383" i="12" s="1"/>
  <c r="Z1384" i="12"/>
  <c r="AA1384" i="12"/>
  <c r="AD1384" i="12"/>
  <c r="AE1384" i="12"/>
  <c r="AF1384" i="12"/>
  <c r="AF1382" i="12" s="1"/>
  <c r="AF1381" i="12" s="1"/>
  <c r="AF1380" i="12" s="1"/>
  <c r="AJ1384" i="12"/>
  <c r="AK1384" i="12"/>
  <c r="AJ1385" i="12"/>
  <c r="AK1385" i="12" s="1"/>
  <c r="AJ1386" i="12"/>
  <c r="AK1386" i="12"/>
  <c r="AJ1387" i="12"/>
  <c r="AK1387" i="12" s="1"/>
  <c r="AJ1388" i="12"/>
  <c r="AK1388" i="12"/>
  <c r="I1389" i="12"/>
  <c r="J1389" i="12"/>
  <c r="M1389" i="12"/>
  <c r="N1389" i="12"/>
  <c r="O1389" i="12"/>
  <c r="Q1389" i="12"/>
  <c r="R1389" i="12"/>
  <c r="S1389" i="12"/>
  <c r="T1389" i="12"/>
  <c r="U1389" i="12"/>
  <c r="V1389" i="12"/>
  <c r="W1389" i="12"/>
  <c r="X1389" i="12"/>
  <c r="Y1389" i="12"/>
  <c r="Z1389" i="12" s="1"/>
  <c r="AB1389" i="12"/>
  <c r="AA1389" i="12" s="1"/>
  <c r="AC1389" i="12"/>
  <c r="AD1389" i="12"/>
  <c r="AF1389" i="12"/>
  <c r="AE1389" i="12" s="1"/>
  <c r="AG1389" i="12"/>
  <c r="AH1389" i="12"/>
  <c r="AI1389" i="12"/>
  <c r="AJ1389" i="12"/>
  <c r="AK1389" i="12" s="1"/>
  <c r="AJ1390" i="12"/>
  <c r="AK1390" i="12" s="1"/>
  <c r="K1391" i="12"/>
  <c r="L1391" i="12"/>
  <c r="P1391" i="12"/>
  <c r="Z1391" i="12"/>
  <c r="AA1391" i="12"/>
  <c r="AD1391" i="12"/>
  <c r="AE1391" i="12"/>
  <c r="AJ1391" i="12"/>
  <c r="AK1391" i="12"/>
  <c r="I1392" i="12"/>
  <c r="J1392" i="12"/>
  <c r="M1392" i="12"/>
  <c r="N1392" i="12"/>
  <c r="O1392" i="12"/>
  <c r="Q1392" i="12"/>
  <c r="R1392" i="12"/>
  <c r="S1392" i="12"/>
  <c r="U1392" i="12"/>
  <c r="V1392" i="12"/>
  <c r="W1392" i="12"/>
  <c r="X1392" i="12"/>
  <c r="Y1392" i="12"/>
  <c r="Z1392" i="12" s="1"/>
  <c r="AB1392" i="12"/>
  <c r="AC1392" i="12"/>
  <c r="AF1392" i="12"/>
  <c r="AG1392" i="12"/>
  <c r="AH1392" i="12"/>
  <c r="AI1392" i="12"/>
  <c r="AJ1392" i="12"/>
  <c r="AK1392" i="12" s="1"/>
  <c r="T1393" i="12"/>
  <c r="Z1393" i="12"/>
  <c r="AA1393" i="12"/>
  <c r="AD1393" i="12"/>
  <c r="AE1393" i="12"/>
  <c r="AJ1393" i="12"/>
  <c r="AK1393" i="12" s="1"/>
  <c r="AJ1394" i="12"/>
  <c r="AK1394" i="12" s="1"/>
  <c r="AJ1395" i="12"/>
  <c r="AK1395" i="12" s="1"/>
  <c r="K1396" i="12"/>
  <c r="L1396" i="12"/>
  <c r="P1396" i="12"/>
  <c r="Z1396" i="12"/>
  <c r="AA1396" i="12"/>
  <c r="AD1396" i="12"/>
  <c r="AE1396" i="12"/>
  <c r="AJ1396" i="12"/>
  <c r="AK1396" i="12" s="1"/>
  <c r="AJ1397" i="12"/>
  <c r="AK1397" i="12" s="1"/>
  <c r="K1398" i="12"/>
  <c r="L1398" i="12"/>
  <c r="P1398" i="12"/>
  <c r="Z1398" i="12"/>
  <c r="AA1398" i="12"/>
  <c r="AD1398" i="12"/>
  <c r="AE1398" i="12"/>
  <c r="AJ1398" i="12"/>
  <c r="AK1398" i="12"/>
  <c r="I1399" i="12"/>
  <c r="K1399" i="12" s="1"/>
  <c r="J1399" i="12"/>
  <c r="M1399" i="12"/>
  <c r="L1399" i="12" s="1"/>
  <c r="N1399" i="12"/>
  <c r="O1399" i="12"/>
  <c r="Q1399" i="12"/>
  <c r="R1399" i="12"/>
  <c r="S1399" i="12"/>
  <c r="T1399" i="12"/>
  <c r="U1399" i="12"/>
  <c r="V1399" i="12"/>
  <c r="W1399" i="12"/>
  <c r="W1388" i="12" s="1"/>
  <c r="W1387" i="12" s="1"/>
  <c r="X1399" i="12"/>
  <c r="Y1399" i="12"/>
  <c r="AB1399" i="12"/>
  <c r="AA1399" i="12" s="1"/>
  <c r="AC1399" i="12"/>
  <c r="AF1399" i="12"/>
  <c r="AG1399" i="12"/>
  <c r="AH1399" i="12"/>
  <c r="AI1399" i="12"/>
  <c r="AJ1399" i="12"/>
  <c r="AK1399" i="12" s="1"/>
  <c r="AJ1400" i="12"/>
  <c r="AK1400" i="12" s="1"/>
  <c r="K1401" i="12"/>
  <c r="L1401" i="12"/>
  <c r="P1401" i="12"/>
  <c r="Z1401" i="12"/>
  <c r="AA1401" i="12"/>
  <c r="AD1401" i="12"/>
  <c r="AE1401" i="12"/>
  <c r="AJ1401" i="12"/>
  <c r="AK1401" i="12"/>
  <c r="I1402" i="12"/>
  <c r="J1402" i="12"/>
  <c r="M1402" i="12"/>
  <c r="N1402" i="12"/>
  <c r="O1402" i="12"/>
  <c r="Q1402" i="12"/>
  <c r="R1402" i="12"/>
  <c r="S1402" i="12"/>
  <c r="T1402" i="12"/>
  <c r="P1402" i="12" s="1"/>
  <c r="U1402" i="12"/>
  <c r="V1402" i="12"/>
  <c r="W1402" i="12"/>
  <c r="X1402" i="12"/>
  <c r="Y1402" i="12"/>
  <c r="Z1402" i="12" s="1"/>
  <c r="AB1402" i="12"/>
  <c r="AA1402" i="12" s="1"/>
  <c r="AC1402" i="12"/>
  <c r="AF1402" i="12"/>
  <c r="AG1402" i="12"/>
  <c r="AH1402" i="12"/>
  <c r="AI1402" i="12"/>
  <c r="AJ1402" i="12"/>
  <c r="AK1402" i="12" s="1"/>
  <c r="AJ1403" i="12"/>
  <c r="AK1403" i="12" s="1"/>
  <c r="K1404" i="12"/>
  <c r="L1404" i="12"/>
  <c r="P1404" i="12"/>
  <c r="Z1404" i="12"/>
  <c r="AA1404" i="12"/>
  <c r="AD1404" i="12"/>
  <c r="AE1404" i="12"/>
  <c r="AJ1404" i="12"/>
  <c r="AK1404" i="12"/>
  <c r="K1405" i="12"/>
  <c r="L1405" i="12"/>
  <c r="P1405" i="12"/>
  <c r="AA1405" i="12"/>
  <c r="AE1405" i="12"/>
  <c r="AJ1405" i="12"/>
  <c r="AK1405" i="12" s="1"/>
  <c r="AJ1406" i="12"/>
  <c r="AK1406" i="12"/>
  <c r="AJ1407" i="12"/>
  <c r="AK1407" i="12" s="1"/>
  <c r="AJ1408" i="12"/>
  <c r="AK1408" i="12" s="1"/>
  <c r="AI1409" i="12"/>
  <c r="AJ1409" i="12"/>
  <c r="AK1409" i="12" s="1"/>
  <c r="AG1410" i="12"/>
  <c r="AH1410" i="12"/>
  <c r="AH1409" i="12" s="1"/>
  <c r="AH1408" i="12" s="1"/>
  <c r="AH1407" i="12" s="1"/>
  <c r="AH1406" i="12" s="1"/>
  <c r="AI1410" i="12"/>
  <c r="AJ1410" i="12"/>
  <c r="AK1410" i="12"/>
  <c r="AJ1411" i="12"/>
  <c r="AK1411" i="12" s="1"/>
  <c r="AJ1412" i="12"/>
  <c r="AK1412" i="12" s="1"/>
  <c r="AJ1413" i="12"/>
  <c r="AK1413" i="12" s="1"/>
  <c r="AG1414" i="12"/>
  <c r="AH1414" i="12"/>
  <c r="AI1414" i="12"/>
  <c r="AJ1414" i="12"/>
  <c r="AK1414" i="12"/>
  <c r="AJ1415" i="12"/>
  <c r="AK1415" i="12" s="1"/>
  <c r="AG1416" i="12"/>
  <c r="AH1416" i="12"/>
  <c r="AI1416" i="12"/>
  <c r="AJ1416" i="12"/>
  <c r="AK1416" i="12" s="1"/>
  <c r="AJ1417" i="12"/>
  <c r="AK1417" i="12"/>
  <c r="AJ1418" i="12"/>
  <c r="AK1418" i="12" s="1"/>
  <c r="AJ1419" i="12"/>
  <c r="AK1419" i="12"/>
  <c r="AG1420" i="12"/>
  <c r="AG1419" i="12" s="1"/>
  <c r="AH1420" i="12"/>
  <c r="AI1420" i="12"/>
  <c r="AJ1420" i="12"/>
  <c r="AK1420" i="12" s="1"/>
  <c r="AJ1421" i="12"/>
  <c r="AK1421" i="12" s="1"/>
  <c r="AJ1422" i="12"/>
  <c r="AK1422" i="12"/>
  <c r="AJ1423" i="12"/>
  <c r="AK1423" i="12" s="1"/>
  <c r="AG1424" i="12"/>
  <c r="AH1424" i="12"/>
  <c r="AH1419" i="12" s="1"/>
  <c r="AI1424" i="12"/>
  <c r="AJ1424" i="12"/>
  <c r="AK1424" i="12" s="1"/>
  <c r="AJ1425" i="12"/>
  <c r="AK1425" i="12" s="1"/>
  <c r="AJ1426" i="12"/>
  <c r="AK1426" i="12" s="1"/>
  <c r="AJ1427" i="12"/>
  <c r="AK1427" i="12"/>
  <c r="AJ1428" i="12"/>
  <c r="AK1428" i="12" s="1"/>
  <c r="AJ1429" i="12"/>
  <c r="AK1429" i="12" s="1"/>
  <c r="AG1430" i="12"/>
  <c r="AH1430" i="12"/>
  <c r="AH1429" i="12" s="1"/>
  <c r="AH1428" i="12" s="1"/>
  <c r="AH1427" i="12" s="1"/>
  <c r="AH1426" i="12" s="1"/>
  <c r="AI1430" i="12"/>
  <c r="AI1429" i="12" s="1"/>
  <c r="AI1428" i="12" s="1"/>
  <c r="AI1427" i="12" s="1"/>
  <c r="AI1426" i="12" s="1"/>
  <c r="AJ1430" i="12"/>
  <c r="AK1430" i="12" s="1"/>
  <c r="AJ1431" i="12"/>
  <c r="AK1431" i="12"/>
  <c r="AG1432" i="12"/>
  <c r="AG1429" i="12" s="1"/>
  <c r="AG1428" i="12" s="1"/>
  <c r="AG1427" i="12" s="1"/>
  <c r="AG1426" i="12" s="1"/>
  <c r="AH1432" i="12"/>
  <c r="AI1432" i="12"/>
  <c r="AJ1432" i="12"/>
  <c r="AK1432" i="12" s="1"/>
  <c r="AJ1433" i="12"/>
  <c r="AK1433" i="12" s="1"/>
  <c r="AJ1434" i="12"/>
  <c r="AK1434" i="12"/>
  <c r="AJ1435" i="12"/>
  <c r="AK1435" i="12" s="1"/>
  <c r="AJ1436" i="12"/>
  <c r="AK1436" i="12" s="1"/>
  <c r="O1437" i="12"/>
  <c r="AI1437" i="12"/>
  <c r="AJ1437" i="12"/>
  <c r="AK1437" i="12" s="1"/>
  <c r="I1438" i="12"/>
  <c r="J1438" i="12"/>
  <c r="K1438" i="12"/>
  <c r="M1438" i="12"/>
  <c r="O1438" i="12"/>
  <c r="R1438" i="12"/>
  <c r="S1438" i="12"/>
  <c r="S1437" i="12" s="1"/>
  <c r="T1438" i="12"/>
  <c r="U1438" i="12"/>
  <c r="V1438" i="12"/>
  <c r="W1438" i="12"/>
  <c r="W1437" i="12" s="1"/>
  <c r="X1438" i="12"/>
  <c r="Y1438" i="12"/>
  <c r="Z1438" i="12" s="1"/>
  <c r="AB1438" i="12"/>
  <c r="AC1438" i="12"/>
  <c r="AF1438" i="12"/>
  <c r="AE1438" i="12" s="1"/>
  <c r="AG1438" i="12"/>
  <c r="AH1438" i="12"/>
  <c r="AI1438" i="12"/>
  <c r="AJ1438" i="12"/>
  <c r="AK1438" i="12"/>
  <c r="AJ1439" i="12"/>
  <c r="AK1439" i="12" s="1"/>
  <c r="K1440" i="12"/>
  <c r="L1440" i="12"/>
  <c r="N1440" i="12"/>
  <c r="Q1440" i="12"/>
  <c r="Q1438" i="12" s="1"/>
  <c r="Z1440" i="12"/>
  <c r="AA1440" i="12"/>
  <c r="AD1440" i="12"/>
  <c r="AE1440" i="12"/>
  <c r="AJ1440" i="12"/>
  <c r="AK1440" i="12"/>
  <c r="I1441" i="12"/>
  <c r="K1441" i="12" s="1"/>
  <c r="J1441" i="12"/>
  <c r="M1441" i="12"/>
  <c r="O1441" i="12"/>
  <c r="Q1441" i="12"/>
  <c r="R1441" i="12"/>
  <c r="S1441" i="12"/>
  <c r="T1441" i="12"/>
  <c r="U1441" i="12"/>
  <c r="V1441" i="12"/>
  <c r="W1441" i="12"/>
  <c r="X1441" i="12"/>
  <c r="Y1441" i="12"/>
  <c r="Z1441" i="12" s="1"/>
  <c r="AB1441" i="12"/>
  <c r="AC1441" i="12"/>
  <c r="AF1441" i="12"/>
  <c r="AG1441" i="12"/>
  <c r="AH1441" i="12"/>
  <c r="AI1441" i="12"/>
  <c r="AJ1441" i="12"/>
  <c r="AK1441" i="12" s="1"/>
  <c r="K1442" i="12"/>
  <c r="L1442" i="12"/>
  <c r="P1442" i="12"/>
  <c r="Z1442" i="12"/>
  <c r="AA1442" i="12"/>
  <c r="AD1442" i="12"/>
  <c r="AE1442" i="12"/>
  <c r="AJ1442" i="12"/>
  <c r="AK1442" i="12" s="1"/>
  <c r="AJ1443" i="12"/>
  <c r="AK1443" i="12" s="1"/>
  <c r="AJ1444" i="12"/>
  <c r="AK1444" i="12" s="1"/>
  <c r="K1445" i="12"/>
  <c r="L1445" i="12"/>
  <c r="N1445" i="12"/>
  <c r="Q1445" i="12"/>
  <c r="Z1445" i="12"/>
  <c r="AA1445" i="12"/>
  <c r="AD1445" i="12"/>
  <c r="AE1445" i="12"/>
  <c r="AJ1445" i="12"/>
  <c r="AK1445" i="12"/>
  <c r="T1446" i="12"/>
  <c r="AF1446" i="12"/>
  <c r="AJ1446" i="12"/>
  <c r="AK1446" i="12" s="1"/>
  <c r="I1447" i="12"/>
  <c r="J1447" i="12"/>
  <c r="M1447" i="12"/>
  <c r="M1446" i="12" s="1"/>
  <c r="N1447" i="12"/>
  <c r="O1447" i="12"/>
  <c r="Q1447" i="12"/>
  <c r="R1447" i="12"/>
  <c r="R1446" i="12" s="1"/>
  <c r="S1447" i="12"/>
  <c r="T1447" i="12"/>
  <c r="U1447" i="12"/>
  <c r="V1447" i="12"/>
  <c r="V1446" i="12" s="1"/>
  <c r="W1447" i="12"/>
  <c r="X1447" i="12"/>
  <c r="X1446" i="12" s="1"/>
  <c r="Y1447" i="12"/>
  <c r="Z1447" i="12"/>
  <c r="AB1447" i="12"/>
  <c r="AC1447" i="12"/>
  <c r="AD1447" i="12"/>
  <c r="AE1447" i="12"/>
  <c r="AF1447" i="12"/>
  <c r="AG1447" i="12"/>
  <c r="AH1447" i="12"/>
  <c r="AH1446" i="12" s="1"/>
  <c r="AI1447" i="12"/>
  <c r="AI1446" i="12" s="1"/>
  <c r="AJ1447" i="12"/>
  <c r="AK1447" i="12" s="1"/>
  <c r="L1448" i="12"/>
  <c r="P1448" i="12"/>
  <c r="Z1448" i="12"/>
  <c r="AA1448" i="12"/>
  <c r="AE1448" i="12"/>
  <c r="AJ1448" i="12"/>
  <c r="AK1448" i="12" s="1"/>
  <c r="AJ1449" i="12"/>
  <c r="AK1449" i="12" s="1"/>
  <c r="K1450" i="12"/>
  <c r="L1450" i="12"/>
  <c r="P1450" i="12"/>
  <c r="Z1450" i="12"/>
  <c r="AA1450" i="12"/>
  <c r="AD1450" i="12"/>
  <c r="AE1450" i="12"/>
  <c r="AJ1450" i="12"/>
  <c r="AK1450" i="12"/>
  <c r="AJ1451" i="12"/>
  <c r="AK1451" i="12" s="1"/>
  <c r="I1452" i="12"/>
  <c r="J1452" i="12"/>
  <c r="K1452" i="12" s="1"/>
  <c r="M1452" i="12"/>
  <c r="L1452" i="12" s="1"/>
  <c r="N1452" i="12"/>
  <c r="O1452" i="12"/>
  <c r="Q1452" i="12"/>
  <c r="R1452" i="12"/>
  <c r="S1452" i="12"/>
  <c r="T1452" i="12"/>
  <c r="U1452" i="12"/>
  <c r="V1452" i="12"/>
  <c r="W1452" i="12"/>
  <c r="X1452" i="12"/>
  <c r="Y1452" i="12"/>
  <c r="AB1452" i="12"/>
  <c r="AC1452" i="12"/>
  <c r="AD1452" i="12" s="1"/>
  <c r="AF1452" i="12"/>
  <c r="AG1452" i="12"/>
  <c r="AH1452" i="12"/>
  <c r="AI1452" i="12"/>
  <c r="AJ1452" i="12"/>
  <c r="AK1452" i="12"/>
  <c r="K1453" i="12"/>
  <c r="L1453" i="12"/>
  <c r="P1453" i="12"/>
  <c r="Z1453" i="12"/>
  <c r="AA1453" i="12"/>
  <c r="AD1453" i="12"/>
  <c r="AE1453" i="12"/>
  <c r="AJ1453" i="12"/>
  <c r="AK1453" i="12" s="1"/>
  <c r="AJ1454" i="12"/>
  <c r="AK1454" i="12" s="1"/>
  <c r="AJ1455" i="12"/>
  <c r="AK1455" i="12"/>
  <c r="AJ1456" i="12"/>
  <c r="AK1456" i="12" s="1"/>
  <c r="S1457" i="12"/>
  <c r="S1456" i="12" s="1"/>
  <c r="S1454" i="12" s="1"/>
  <c r="T1457" i="12"/>
  <c r="AJ1457" i="12"/>
  <c r="AK1457" i="12" s="1"/>
  <c r="M1458" i="12"/>
  <c r="O1458" i="12"/>
  <c r="R1458" i="12"/>
  <c r="R1457" i="12" s="1"/>
  <c r="R1456" i="12" s="1"/>
  <c r="R1454" i="12" s="1"/>
  <c r="S1458" i="12"/>
  <c r="U1458" i="12"/>
  <c r="V1458" i="12"/>
  <c r="V1457" i="12" s="1"/>
  <c r="W1458" i="12"/>
  <c r="W1457" i="12" s="1"/>
  <c r="W1456" i="12" s="1"/>
  <c r="X1458" i="12"/>
  <c r="X1457" i="12" s="1"/>
  <c r="X1456" i="12" s="1"/>
  <c r="Y1458" i="12"/>
  <c r="Z1458" i="12"/>
  <c r="AA1458" i="12"/>
  <c r="AB1458" i="12"/>
  <c r="AB1457" i="12" s="1"/>
  <c r="AC1458" i="12"/>
  <c r="AD1458" i="12"/>
  <c r="AE1458" i="12"/>
  <c r="AF1458" i="12"/>
  <c r="AG1458" i="12"/>
  <c r="AH1458" i="12"/>
  <c r="AI1458" i="12"/>
  <c r="AI1457" i="12" s="1"/>
  <c r="AJ1458" i="12"/>
  <c r="AK1458" i="12" s="1"/>
  <c r="N1459" i="12"/>
  <c r="N1458" i="12" s="1"/>
  <c r="P1459" i="12"/>
  <c r="Q1459" i="12"/>
  <c r="Q1458" i="12" s="1"/>
  <c r="T1459" i="12"/>
  <c r="T1458" i="12" s="1"/>
  <c r="Z1459" i="12"/>
  <c r="AA1459" i="12"/>
  <c r="AD1459" i="12"/>
  <c r="AE1459" i="12"/>
  <c r="AJ1459" i="12"/>
  <c r="AK1459" i="12"/>
  <c r="AA1460" i="12"/>
  <c r="AD1460" i="12"/>
  <c r="AE1460" i="12"/>
  <c r="AJ1460" i="12"/>
  <c r="AK1460" i="12" s="1"/>
  <c r="AA1461" i="12"/>
  <c r="AD1461" i="12"/>
  <c r="AE1461" i="12"/>
  <c r="AJ1461" i="12"/>
  <c r="AK1461" i="12" s="1"/>
  <c r="V1462" i="12"/>
  <c r="AB1462" i="12"/>
  <c r="AC1462" i="12"/>
  <c r="AD1462" i="12" s="1"/>
  <c r="AF1462" i="12"/>
  <c r="AE1462" i="12" s="1"/>
  <c r="AG1462" i="12"/>
  <c r="AH1462" i="12"/>
  <c r="AI1462" i="12"/>
  <c r="AJ1462" i="12"/>
  <c r="AK1462" i="12"/>
  <c r="AA1463" i="12"/>
  <c r="AD1463" i="12"/>
  <c r="AE1463" i="12"/>
  <c r="AJ1463" i="12"/>
  <c r="AK1463" i="12" s="1"/>
  <c r="M1464" i="12"/>
  <c r="O1464" i="12"/>
  <c r="Q1464" i="12"/>
  <c r="R1464" i="12"/>
  <c r="S1464" i="12"/>
  <c r="T1464" i="12"/>
  <c r="U1464" i="12"/>
  <c r="V1464" i="12"/>
  <c r="W1464" i="12"/>
  <c r="X1464" i="12"/>
  <c r="Y1464" i="12"/>
  <c r="Z1464" i="12" s="1"/>
  <c r="AB1464" i="12"/>
  <c r="AA1464" i="12" s="1"/>
  <c r="AC1464" i="12"/>
  <c r="AF1464" i="12"/>
  <c r="AF1457" i="12" s="1"/>
  <c r="AG1464" i="12"/>
  <c r="AH1464" i="12"/>
  <c r="AI1464" i="12"/>
  <c r="AJ1464" i="12"/>
  <c r="AK1464" i="12"/>
  <c r="N1465" i="12"/>
  <c r="P1465" i="12" s="1"/>
  <c r="Q1465" i="12"/>
  <c r="Z1465" i="12"/>
  <c r="AA1465" i="12"/>
  <c r="AD1465" i="12"/>
  <c r="AE1465" i="12"/>
  <c r="AJ1465" i="12"/>
  <c r="AK1465" i="12" s="1"/>
  <c r="N1466" i="12"/>
  <c r="P1466" i="12" s="1"/>
  <c r="Q1466" i="12"/>
  <c r="Z1466" i="12"/>
  <c r="AA1466" i="12"/>
  <c r="AD1466" i="12"/>
  <c r="AE1466" i="12"/>
  <c r="AJ1466" i="12"/>
  <c r="AK1466" i="12" s="1"/>
  <c r="AG1467" i="12"/>
  <c r="AJ1467" i="12"/>
  <c r="AK1467" i="12" s="1"/>
  <c r="U1468" i="12"/>
  <c r="V1468" i="12"/>
  <c r="W1468" i="12"/>
  <c r="X1468" i="12"/>
  <c r="Y1468" i="12"/>
  <c r="Z1468" i="12"/>
  <c r="AB1468" i="12"/>
  <c r="AC1468" i="12"/>
  <c r="AF1468" i="12"/>
  <c r="AG1468" i="12"/>
  <c r="AH1468" i="12"/>
  <c r="AI1468" i="12"/>
  <c r="AJ1468" i="12"/>
  <c r="AK1468" i="12" s="1"/>
  <c r="AA1469" i="12"/>
  <c r="AD1469" i="12"/>
  <c r="AE1469" i="12"/>
  <c r="AJ1469" i="12"/>
  <c r="AK1469" i="12" s="1"/>
  <c r="AA1470" i="12"/>
  <c r="AD1470" i="12"/>
  <c r="AE1470" i="12"/>
  <c r="AJ1470" i="12"/>
  <c r="AK1470" i="12"/>
  <c r="AA1471" i="12"/>
  <c r="AD1471" i="12"/>
  <c r="AE1471" i="12"/>
  <c r="AJ1471" i="12"/>
  <c r="AK1471" i="12" s="1"/>
  <c r="U1472" i="12"/>
  <c r="V1472" i="12"/>
  <c r="Y1472" i="12"/>
  <c r="AB1472" i="12"/>
  <c r="AD1472" i="12" s="1"/>
  <c r="AC1472" i="12"/>
  <c r="AF1472" i="12"/>
  <c r="AE1472" i="12" s="1"/>
  <c r="AG1472" i="12"/>
  <c r="AH1472" i="12"/>
  <c r="AI1472" i="12"/>
  <c r="AJ1472" i="12"/>
  <c r="AK1472" i="12" s="1"/>
  <c r="AJ1473" i="12"/>
  <c r="AK1473" i="12" s="1"/>
  <c r="AA1474" i="12"/>
  <c r="AD1474" i="12"/>
  <c r="AE1474" i="12"/>
  <c r="AJ1474" i="12"/>
  <c r="AK1474" i="12"/>
  <c r="AJ1475" i="12"/>
  <c r="AK1475" i="12" s="1"/>
  <c r="U1476" i="12"/>
  <c r="V1476" i="12"/>
  <c r="W1476" i="12"/>
  <c r="X1476" i="12"/>
  <c r="Y1476" i="12"/>
  <c r="Z1476" i="12"/>
  <c r="AB1476" i="12"/>
  <c r="AC1476" i="12"/>
  <c r="AF1476" i="12"/>
  <c r="AE1476" i="12" s="1"/>
  <c r="AG1476" i="12"/>
  <c r="AH1476" i="12"/>
  <c r="AH1467" i="12" s="1"/>
  <c r="AI1476" i="12"/>
  <c r="AJ1476" i="12"/>
  <c r="AK1476" i="12"/>
  <c r="AJ1477" i="12"/>
  <c r="AK1477" i="12" s="1"/>
  <c r="AA1478" i="12"/>
  <c r="AA1476" i="12" s="1"/>
  <c r="AD1478" i="12"/>
  <c r="AE1478" i="12"/>
  <c r="AJ1478" i="12"/>
  <c r="AK1478" i="12" s="1"/>
  <c r="AJ1479" i="12"/>
  <c r="AK1479" i="12"/>
  <c r="U1480" i="12"/>
  <c r="AJ1480" i="12"/>
  <c r="AK1480" i="12" s="1"/>
  <c r="AJ1481" i="12"/>
  <c r="AK1481" i="12" s="1"/>
  <c r="AJ1482" i="12"/>
  <c r="AK1482" i="12" s="1"/>
  <c r="AJ1483" i="12"/>
  <c r="AK1483" i="12" s="1"/>
  <c r="AJ1484" i="12"/>
  <c r="AK1484" i="12" s="1"/>
  <c r="AJ1485" i="12"/>
  <c r="AK1485" i="12" s="1"/>
  <c r="AJ1486" i="12"/>
  <c r="AK1486" i="12" s="1"/>
  <c r="I1487" i="12"/>
  <c r="J1487" i="12"/>
  <c r="M1487" i="12"/>
  <c r="N1487" i="12"/>
  <c r="O1487" i="12"/>
  <c r="Q1487" i="12"/>
  <c r="R1487" i="12"/>
  <c r="S1487" i="12"/>
  <c r="T1487" i="12"/>
  <c r="U1487" i="12"/>
  <c r="V1487" i="12"/>
  <c r="W1487" i="12"/>
  <c r="X1487" i="12"/>
  <c r="Y1487" i="12"/>
  <c r="Z1487" i="12"/>
  <c r="AA1487" i="12"/>
  <c r="AB1487" i="12"/>
  <c r="AC1487" i="12"/>
  <c r="AD1487" i="12"/>
  <c r="AE1487" i="12"/>
  <c r="AF1487" i="12"/>
  <c r="AG1487" i="12"/>
  <c r="AH1487" i="12"/>
  <c r="AI1487" i="12"/>
  <c r="AJ1487" i="12"/>
  <c r="AK1487" i="12" s="1"/>
  <c r="L1488" i="12"/>
  <c r="P1488" i="12"/>
  <c r="Z1488" i="12"/>
  <c r="AA1488" i="12"/>
  <c r="AD1488" i="12"/>
  <c r="AE1488" i="12"/>
  <c r="AJ1488" i="12"/>
  <c r="AK1488" i="12" s="1"/>
  <c r="I1489" i="12"/>
  <c r="J1489" i="12"/>
  <c r="M1489" i="12"/>
  <c r="N1489" i="12"/>
  <c r="O1489" i="12"/>
  <c r="Q1489" i="12"/>
  <c r="R1489" i="12"/>
  <c r="R1486" i="12" s="1"/>
  <c r="R1485" i="12" s="1"/>
  <c r="R1483" i="12" s="1"/>
  <c r="S1489" i="12"/>
  <c r="T1489" i="12"/>
  <c r="U1489" i="12"/>
  <c r="V1489" i="12"/>
  <c r="W1489" i="12"/>
  <c r="X1489" i="12"/>
  <c r="Y1489" i="12"/>
  <c r="AB1489" i="12"/>
  <c r="AC1489" i="12"/>
  <c r="AF1489" i="12"/>
  <c r="AG1489" i="12"/>
  <c r="AG1486" i="12" s="1"/>
  <c r="AG1485" i="12" s="1"/>
  <c r="AG1483" i="12" s="1"/>
  <c r="AH1489" i="12"/>
  <c r="AH1486" i="12" s="1"/>
  <c r="AH1485" i="12" s="1"/>
  <c r="AI1489" i="12"/>
  <c r="AJ1489" i="12"/>
  <c r="AK1489" i="12"/>
  <c r="K1490" i="12"/>
  <c r="L1490" i="12"/>
  <c r="P1490" i="12"/>
  <c r="Z1490" i="12"/>
  <c r="AA1490" i="12"/>
  <c r="AD1490" i="12"/>
  <c r="AE1490" i="12"/>
  <c r="AJ1490" i="12"/>
  <c r="AK1490" i="12" s="1"/>
  <c r="I1491" i="12"/>
  <c r="J1491" i="12"/>
  <c r="M1491" i="12"/>
  <c r="N1491" i="12"/>
  <c r="O1491" i="12"/>
  <c r="Q1491" i="12"/>
  <c r="R1491" i="12"/>
  <c r="S1491" i="12"/>
  <c r="T1491" i="12"/>
  <c r="U1491" i="12"/>
  <c r="V1491" i="12"/>
  <c r="W1491" i="12"/>
  <c r="X1491" i="12"/>
  <c r="Y1491" i="12"/>
  <c r="AB1491" i="12"/>
  <c r="AA1491" i="12" s="1"/>
  <c r="AC1491" i="12"/>
  <c r="AF1491" i="12"/>
  <c r="AG1491" i="12"/>
  <c r="AH1491" i="12"/>
  <c r="AI1491" i="12"/>
  <c r="AJ1491" i="12"/>
  <c r="AK1491" i="12" s="1"/>
  <c r="L1492" i="12"/>
  <c r="P1492" i="12"/>
  <c r="Z1492" i="12"/>
  <c r="AA1492" i="12"/>
  <c r="AD1492" i="12"/>
  <c r="AE1492" i="12"/>
  <c r="AJ1492" i="12"/>
  <c r="AK1492" i="12" s="1"/>
  <c r="AJ1493" i="12"/>
  <c r="AK1493" i="12" s="1"/>
  <c r="AJ1494" i="12"/>
  <c r="AK1494" i="12" s="1"/>
  <c r="AJ1495" i="12"/>
  <c r="AK1495" i="12"/>
  <c r="U1496" i="12"/>
  <c r="U1495" i="12" s="1"/>
  <c r="U1494" i="12" s="1"/>
  <c r="U1493" i="12" s="1"/>
  <c r="X1496" i="12"/>
  <c r="X1495" i="12" s="1"/>
  <c r="X1494" i="12" s="1"/>
  <c r="X1493" i="12" s="1"/>
  <c r="AC1496" i="12"/>
  <c r="AC1495" i="12" s="1"/>
  <c r="AF1496" i="12"/>
  <c r="AJ1496" i="12"/>
  <c r="AK1496" i="12" s="1"/>
  <c r="U1497" i="12"/>
  <c r="V1497" i="12"/>
  <c r="V1496" i="12" s="1"/>
  <c r="V1495" i="12" s="1"/>
  <c r="V1494" i="12" s="1"/>
  <c r="V1493" i="12" s="1"/>
  <c r="W1497" i="12"/>
  <c r="W1496" i="12" s="1"/>
  <c r="W1495" i="12" s="1"/>
  <c r="W1494" i="12" s="1"/>
  <c r="W1493" i="12" s="1"/>
  <c r="X1497" i="12"/>
  <c r="Y1497" i="12"/>
  <c r="Y1496" i="12" s="1"/>
  <c r="Y1495" i="12" s="1"/>
  <c r="Y1494" i="12" s="1"/>
  <c r="Y1493" i="12" s="1"/>
  <c r="AB1497" i="12"/>
  <c r="AD1497" i="12" s="1"/>
  <c r="AC1497" i="12"/>
  <c r="AF1497" i="12"/>
  <c r="AG1497" i="12"/>
  <c r="AG1496" i="12" s="1"/>
  <c r="AG1495" i="12" s="1"/>
  <c r="AG1494" i="12" s="1"/>
  <c r="AG1493" i="12" s="1"/>
  <c r="AH1497" i="12"/>
  <c r="AH1496" i="12" s="1"/>
  <c r="AH1495" i="12" s="1"/>
  <c r="AH1494" i="12" s="1"/>
  <c r="AH1493" i="12" s="1"/>
  <c r="AI1497" i="12"/>
  <c r="AI1496" i="12" s="1"/>
  <c r="AI1495" i="12" s="1"/>
  <c r="AI1494" i="12" s="1"/>
  <c r="AI1493" i="12" s="1"/>
  <c r="AJ1497" i="12"/>
  <c r="AK1497" i="12" s="1"/>
  <c r="Z1498" i="12"/>
  <c r="Z1497" i="12" s="1"/>
  <c r="Z1496" i="12" s="1"/>
  <c r="Z1495" i="12" s="1"/>
  <c r="Z1494" i="12" s="1"/>
  <c r="Z1493" i="12" s="1"/>
  <c r="AA1498" i="12"/>
  <c r="AA1497" i="12" s="1"/>
  <c r="AA1496" i="12" s="1"/>
  <c r="AA1495" i="12" s="1"/>
  <c r="AA1494" i="12" s="1"/>
  <c r="AA1493" i="12" s="1"/>
  <c r="AD1498" i="12"/>
  <c r="AE1498" i="12"/>
  <c r="AJ1498" i="12"/>
  <c r="AK1498" i="12" s="1"/>
  <c r="AJ1499" i="12"/>
  <c r="AK1499" i="12"/>
  <c r="K1500" i="12"/>
  <c r="AJ1500" i="12"/>
  <c r="AK1500" i="12" s="1"/>
  <c r="AJ1501" i="12"/>
  <c r="AK1501" i="12"/>
  <c r="AE1502" i="12"/>
  <c r="AJ1502" i="12"/>
  <c r="AK1502" i="12"/>
  <c r="AJ1503" i="12"/>
  <c r="AK1503" i="12"/>
  <c r="AJ1504" i="12"/>
  <c r="AK1504" i="12" s="1"/>
  <c r="AJ1505" i="12"/>
  <c r="AK1505" i="12" s="1"/>
  <c r="AJ1506" i="12"/>
  <c r="AK1506" i="12"/>
  <c r="AJ1507" i="12"/>
  <c r="AK1507" i="12"/>
  <c r="I1508" i="12"/>
  <c r="M1508" i="12"/>
  <c r="N1508" i="12"/>
  <c r="O1508" i="12"/>
  <c r="Q1508" i="12"/>
  <c r="R1508" i="12"/>
  <c r="S1508" i="12"/>
  <c r="T1508" i="12"/>
  <c r="U1508" i="12"/>
  <c r="V1508" i="12"/>
  <c r="W1508" i="12"/>
  <c r="X1508" i="12"/>
  <c r="AB1508" i="12"/>
  <c r="AF1508" i="12"/>
  <c r="AG1508" i="12"/>
  <c r="AG1507" i="12" s="1"/>
  <c r="AH1508" i="12"/>
  <c r="AI1508" i="12"/>
  <c r="AJ1508" i="12"/>
  <c r="AK1508" i="12" s="1"/>
  <c r="J1509" i="12"/>
  <c r="K1509" i="12" s="1"/>
  <c r="L1509" i="12"/>
  <c r="P1509" i="12"/>
  <c r="Y1509" i="12"/>
  <c r="Z1509" i="12" s="1"/>
  <c r="AA1509" i="12"/>
  <c r="AC1509" i="12"/>
  <c r="AD1509" i="12" s="1"/>
  <c r="AE1509" i="12"/>
  <c r="AJ1509" i="12"/>
  <c r="AK1509" i="12"/>
  <c r="J1510" i="12"/>
  <c r="K1510" i="12" s="1"/>
  <c r="L1510" i="12"/>
  <c r="P1510" i="12"/>
  <c r="Y1510" i="12"/>
  <c r="Z1510" i="12" s="1"/>
  <c r="AA1510" i="12"/>
  <c r="AC1510" i="12"/>
  <c r="AD1510" i="12" s="1"/>
  <c r="AE1510" i="12"/>
  <c r="AJ1510" i="12"/>
  <c r="AK1510" i="12" s="1"/>
  <c r="I1511" i="12"/>
  <c r="M1511" i="12"/>
  <c r="L1511" i="12" s="1"/>
  <c r="N1511" i="12"/>
  <c r="O1511" i="12"/>
  <c r="Q1511" i="12"/>
  <c r="R1511" i="12"/>
  <c r="S1511" i="12"/>
  <c r="U1511" i="12"/>
  <c r="V1511" i="12"/>
  <c r="W1511" i="12"/>
  <c r="X1511" i="12"/>
  <c r="AB1511" i="12"/>
  <c r="AF1511" i="12"/>
  <c r="AE1511" i="12" s="1"/>
  <c r="AG1511" i="12"/>
  <c r="AH1511" i="12"/>
  <c r="AI1511" i="12"/>
  <c r="AJ1511" i="12"/>
  <c r="AK1511" i="12" s="1"/>
  <c r="J1512" i="12"/>
  <c r="K1512" i="12" s="1"/>
  <c r="L1512" i="12"/>
  <c r="T1512" i="12"/>
  <c r="Y1512" i="12"/>
  <c r="AA1512" i="12"/>
  <c r="AC1512" i="12"/>
  <c r="AD1512" i="12"/>
  <c r="AE1512" i="12"/>
  <c r="AJ1512" i="12"/>
  <c r="AK1512" i="12" s="1"/>
  <c r="T1513" i="12"/>
  <c r="P1513" i="12" s="1"/>
  <c r="Z1513" i="12"/>
  <c r="AA1513" i="12"/>
  <c r="AD1513" i="12"/>
  <c r="AE1513" i="12"/>
  <c r="AJ1513" i="12"/>
  <c r="AK1513" i="12" s="1"/>
  <c r="J1514" i="12"/>
  <c r="K1514" i="12" s="1"/>
  <c r="L1514" i="12"/>
  <c r="P1514" i="12"/>
  <c r="Y1514" i="12"/>
  <c r="Z1514" i="12" s="1"/>
  <c r="AA1514" i="12"/>
  <c r="AC1514" i="12"/>
  <c r="AD1514" i="12"/>
  <c r="AE1514" i="12"/>
  <c r="AJ1514" i="12"/>
  <c r="AK1514" i="12" s="1"/>
  <c r="K1515" i="12"/>
  <c r="L1515" i="12"/>
  <c r="P1515" i="12"/>
  <c r="Z1515" i="12"/>
  <c r="AA1515" i="12"/>
  <c r="AD1515" i="12"/>
  <c r="AE1515" i="12"/>
  <c r="AJ1515" i="12"/>
  <c r="AK1515" i="12" s="1"/>
  <c r="K1516" i="12"/>
  <c r="L1516" i="12"/>
  <c r="P1516" i="12"/>
  <c r="Z1516" i="12"/>
  <c r="AA1516" i="12"/>
  <c r="AC1516" i="12"/>
  <c r="AD1516" i="12" s="1"/>
  <c r="AE1516" i="12"/>
  <c r="AJ1516" i="12"/>
  <c r="AK1516" i="12" s="1"/>
  <c r="I1517" i="12"/>
  <c r="M1517" i="12"/>
  <c r="L1517" i="12" s="1"/>
  <c r="N1517" i="12"/>
  <c r="O1517" i="12"/>
  <c r="Q1517" i="12"/>
  <c r="R1517" i="12"/>
  <c r="S1517" i="12"/>
  <c r="T1517" i="12"/>
  <c r="U1517" i="12"/>
  <c r="V1517" i="12"/>
  <c r="W1517" i="12"/>
  <c r="X1517" i="12"/>
  <c r="AB1517" i="12"/>
  <c r="AF1517" i="12"/>
  <c r="AG1517" i="12"/>
  <c r="AH1517" i="12"/>
  <c r="AI1517" i="12"/>
  <c r="AJ1517" i="12"/>
  <c r="AK1517" i="12" s="1"/>
  <c r="J1518" i="12"/>
  <c r="L1518" i="12"/>
  <c r="P1518" i="12"/>
  <c r="Y1518" i="12"/>
  <c r="AA1518" i="12"/>
  <c r="AC1518" i="12"/>
  <c r="AD1518" i="12" s="1"/>
  <c r="AE1518" i="12"/>
  <c r="AJ1518" i="12"/>
  <c r="AK1518" i="12" s="1"/>
  <c r="J1519" i="12"/>
  <c r="K1519" i="12" s="1"/>
  <c r="L1519" i="12"/>
  <c r="P1519" i="12"/>
  <c r="Y1519" i="12"/>
  <c r="Z1519" i="12" s="1"/>
  <c r="AA1519" i="12"/>
  <c r="AC1519" i="12"/>
  <c r="AD1519" i="12"/>
  <c r="AE1519" i="12"/>
  <c r="AJ1519" i="12"/>
  <c r="AK1519" i="12" s="1"/>
  <c r="J1520" i="12"/>
  <c r="K1520" i="12" s="1"/>
  <c r="L1520" i="12"/>
  <c r="P1520" i="12"/>
  <c r="Y1520" i="12"/>
  <c r="Z1520" i="12" s="1"/>
  <c r="AA1520" i="12"/>
  <c r="AC1520" i="12"/>
  <c r="AD1520" i="12" s="1"/>
  <c r="AE1520" i="12"/>
  <c r="AJ1520" i="12"/>
  <c r="AK1520" i="12" s="1"/>
  <c r="AE1521" i="12"/>
  <c r="AJ1521" i="12"/>
  <c r="AK1521" i="12" s="1"/>
  <c r="J1522" i="12"/>
  <c r="K1522" i="12"/>
  <c r="L1522" i="12"/>
  <c r="P1522" i="12"/>
  <c r="Y1522" i="12"/>
  <c r="Z1522" i="12"/>
  <c r="AA1522" i="12"/>
  <c r="AA2599" i="12" s="1"/>
  <c r="AC1522" i="12"/>
  <c r="AD1522" i="12" s="1"/>
  <c r="AE1522" i="12"/>
  <c r="AJ1522" i="12"/>
  <c r="AK1522" i="12" s="1"/>
  <c r="K1523" i="12"/>
  <c r="L1523" i="12"/>
  <c r="P1523" i="12"/>
  <c r="Z1523" i="12"/>
  <c r="AA1523" i="12"/>
  <c r="AD1523" i="12"/>
  <c r="AE1523" i="12"/>
  <c r="AJ1523" i="12"/>
  <c r="AK1523" i="12" s="1"/>
  <c r="J1524" i="12"/>
  <c r="K1524" i="12" s="1"/>
  <c r="L1524" i="12"/>
  <c r="P1524" i="12"/>
  <c r="Y1524" i="12"/>
  <c r="Z1524" i="12" s="1"/>
  <c r="AA1524" i="12"/>
  <c r="AC1524" i="12"/>
  <c r="AD1524" i="12"/>
  <c r="AE1524" i="12"/>
  <c r="AJ1524" i="12"/>
  <c r="AK1524" i="12"/>
  <c r="K1525" i="12"/>
  <c r="L1525" i="12"/>
  <c r="P1525" i="12"/>
  <c r="Z1525" i="12"/>
  <c r="AA1525" i="12"/>
  <c r="AD1525" i="12"/>
  <c r="AE1525" i="12"/>
  <c r="AJ1525" i="12"/>
  <c r="AK1525" i="12"/>
  <c r="J1526" i="12"/>
  <c r="K1526" i="12" s="1"/>
  <c r="L1526" i="12"/>
  <c r="P1526" i="12"/>
  <c r="Y1526" i="12"/>
  <c r="Z1526" i="12" s="1"/>
  <c r="AA1526" i="12"/>
  <c r="AC1526" i="12"/>
  <c r="AD1526" i="12"/>
  <c r="AE1526" i="12"/>
  <c r="AJ1526" i="12"/>
  <c r="AK1526" i="12" s="1"/>
  <c r="AA1527" i="12"/>
  <c r="AC1527" i="12"/>
  <c r="AD1527" i="12" s="1"/>
  <c r="AE1527" i="12"/>
  <c r="AJ1527" i="12"/>
  <c r="AK1527" i="12" s="1"/>
  <c r="I1528" i="12"/>
  <c r="M1528" i="12"/>
  <c r="N1528" i="12"/>
  <c r="O1528" i="12"/>
  <c r="Q1528" i="12"/>
  <c r="R1528" i="12"/>
  <c r="S1528" i="12"/>
  <c r="T1528" i="12"/>
  <c r="P1528" i="12" s="1"/>
  <c r="U1528" i="12"/>
  <c r="V1528" i="12"/>
  <c r="W1528" i="12"/>
  <c r="X1528" i="12"/>
  <c r="AB1528" i="12"/>
  <c r="AE1528" i="12"/>
  <c r="AF1528" i="12"/>
  <c r="AG1528" i="12"/>
  <c r="AH1528" i="12"/>
  <c r="AI1528" i="12"/>
  <c r="AJ1528" i="12"/>
  <c r="AK1528" i="12" s="1"/>
  <c r="AJ1529" i="12"/>
  <c r="AK1529" i="12"/>
  <c r="J1530" i="12"/>
  <c r="J1528" i="12" s="1"/>
  <c r="L1530" i="12"/>
  <c r="P1530" i="12"/>
  <c r="Y1530" i="12"/>
  <c r="Y1528" i="12" s="1"/>
  <c r="Z1528" i="12" s="1"/>
  <c r="AA1530" i="12"/>
  <c r="AC1530" i="12"/>
  <c r="AE1530" i="12"/>
  <c r="AJ1530" i="12"/>
  <c r="AK1530" i="12" s="1"/>
  <c r="J1531" i="12"/>
  <c r="K1531" i="12"/>
  <c r="L1531" i="12"/>
  <c r="P1531" i="12"/>
  <c r="Y1531" i="12"/>
  <c r="Z1531" i="12"/>
  <c r="AA1531" i="12"/>
  <c r="AC1531" i="12"/>
  <c r="AD1531" i="12" s="1"/>
  <c r="AE1531" i="12"/>
  <c r="AJ1531" i="12"/>
  <c r="AK1531" i="12" s="1"/>
  <c r="X1532" i="12"/>
  <c r="AJ1532" i="12"/>
  <c r="AK1532" i="12" s="1"/>
  <c r="I1533" i="12"/>
  <c r="I1532" i="12" s="1"/>
  <c r="M1533" i="12"/>
  <c r="M1532" i="12" s="1"/>
  <c r="N1533" i="12"/>
  <c r="N1532" i="12" s="1"/>
  <c r="O1533" i="12"/>
  <c r="O1532" i="12" s="1"/>
  <c r="Q1533" i="12"/>
  <c r="Q1532" i="12" s="1"/>
  <c r="R1533" i="12"/>
  <c r="R1532" i="12" s="1"/>
  <c r="S1533" i="12"/>
  <c r="S1532" i="12" s="1"/>
  <c r="T1533" i="12"/>
  <c r="P1533" i="12" s="1"/>
  <c r="U1533" i="12"/>
  <c r="U1532" i="12" s="1"/>
  <c r="V1533" i="12"/>
  <c r="V1532" i="12" s="1"/>
  <c r="W1533" i="12"/>
  <c r="W1532" i="12" s="1"/>
  <c r="X1533" i="12"/>
  <c r="AB1533" i="12"/>
  <c r="AF1533" i="12"/>
  <c r="AF1532" i="12" s="1"/>
  <c r="AG1533" i="12"/>
  <c r="AG1532" i="12" s="1"/>
  <c r="AH1533" i="12"/>
  <c r="AH1532" i="12" s="1"/>
  <c r="AI1533" i="12"/>
  <c r="AI1532" i="12" s="1"/>
  <c r="AJ1533" i="12"/>
  <c r="AK1533" i="12"/>
  <c r="J1534" i="12"/>
  <c r="K1534" i="12" s="1"/>
  <c r="L1534" i="12"/>
  <c r="P1534" i="12"/>
  <c r="Y1534" i="12"/>
  <c r="Y1533" i="12" s="1"/>
  <c r="Y1532" i="12" s="1"/>
  <c r="AA1534" i="12"/>
  <c r="AC1534" i="12"/>
  <c r="AC1533" i="12" s="1"/>
  <c r="AC1532" i="12" s="1"/>
  <c r="AD1534" i="12"/>
  <c r="AE1534" i="12"/>
  <c r="AJ1534" i="12"/>
  <c r="AK1534" i="12" s="1"/>
  <c r="K1535" i="12"/>
  <c r="L1535" i="12"/>
  <c r="P1535" i="12"/>
  <c r="Z1535" i="12"/>
  <c r="AA1535" i="12"/>
  <c r="AD1535" i="12"/>
  <c r="AE1535" i="12"/>
  <c r="AJ1535" i="12"/>
  <c r="AK1535" i="12"/>
  <c r="Q1536" i="12"/>
  <c r="AJ1536" i="12"/>
  <c r="AK1536" i="12" s="1"/>
  <c r="Y1537" i="12"/>
  <c r="AJ1537" i="12"/>
  <c r="AK1537" i="12" s="1"/>
  <c r="AJ1538" i="12"/>
  <c r="AK1538" i="12" s="1"/>
  <c r="J1539" i="12"/>
  <c r="N1539" i="12"/>
  <c r="N1538" i="12" s="1"/>
  <c r="N1536" i="12" s="1"/>
  <c r="W1539" i="12"/>
  <c r="W1538" i="12" s="1"/>
  <c r="AJ1539" i="12"/>
  <c r="AK1539" i="12"/>
  <c r="I1540" i="12"/>
  <c r="I1539" i="12" s="1"/>
  <c r="I1538" i="12" s="1"/>
  <c r="I1536" i="12" s="1"/>
  <c r="J1540" i="12"/>
  <c r="M1540" i="12"/>
  <c r="N1540" i="12"/>
  <c r="O1540" i="12"/>
  <c r="O1539" i="12" s="1"/>
  <c r="O1538" i="12" s="1"/>
  <c r="O1536" i="12" s="1"/>
  <c r="Q1540" i="12"/>
  <c r="Q1539" i="12" s="1"/>
  <c r="Q1538" i="12" s="1"/>
  <c r="R1540" i="12"/>
  <c r="R1539" i="12" s="1"/>
  <c r="R1538" i="12" s="1"/>
  <c r="R1536" i="12" s="1"/>
  <c r="S1540" i="12"/>
  <c r="S1539" i="12" s="1"/>
  <c r="S1538" i="12" s="1"/>
  <c r="S1536" i="12" s="1"/>
  <c r="T1540" i="12"/>
  <c r="P1540" i="12" s="1"/>
  <c r="U1540" i="12"/>
  <c r="U1539" i="12" s="1"/>
  <c r="U1538" i="12" s="1"/>
  <c r="U1536" i="12" s="1"/>
  <c r="V1540" i="12"/>
  <c r="V1539" i="12" s="1"/>
  <c r="V1538" i="12" s="1"/>
  <c r="W1540" i="12"/>
  <c r="X1540" i="12"/>
  <c r="X1539" i="12" s="1"/>
  <c r="X1538" i="12" s="1"/>
  <c r="Y1540" i="12"/>
  <c r="Y1539" i="12" s="1"/>
  <c r="Y1538" i="12" s="1"/>
  <c r="Y1536" i="12" s="1"/>
  <c r="AB1540" i="12"/>
  <c r="AB1539" i="12" s="1"/>
  <c r="AB1538" i="12" s="1"/>
  <c r="AB1536" i="12" s="1"/>
  <c r="AC1540" i="12"/>
  <c r="AF1540" i="12"/>
  <c r="AF1539" i="12" s="1"/>
  <c r="AG1540" i="12"/>
  <c r="AG1539" i="12" s="1"/>
  <c r="AG1538" i="12" s="1"/>
  <c r="AG1536" i="12" s="1"/>
  <c r="AH1540" i="12"/>
  <c r="AH1539" i="12" s="1"/>
  <c r="AH1538" i="12" s="1"/>
  <c r="AI1540" i="12"/>
  <c r="AI1539" i="12" s="1"/>
  <c r="AI1538" i="12" s="1"/>
  <c r="AJ1540" i="12"/>
  <c r="AK1540" i="12" s="1"/>
  <c r="K1541" i="12"/>
  <c r="L1541" i="12"/>
  <c r="P1541" i="12"/>
  <c r="Z1541" i="12"/>
  <c r="AA1541" i="12"/>
  <c r="AD1541" i="12"/>
  <c r="AE1541" i="12"/>
  <c r="AJ1541" i="12"/>
  <c r="AK1541" i="12"/>
  <c r="AJ1542" i="12"/>
  <c r="AK1542" i="12" s="1"/>
  <c r="AJ1543" i="12"/>
  <c r="AK1543" i="12" s="1"/>
  <c r="AJ1544" i="12"/>
  <c r="AK1544" i="12"/>
  <c r="AJ1545" i="12"/>
  <c r="AK1545" i="12" s="1"/>
  <c r="AF1546" i="12"/>
  <c r="AJ1546" i="12"/>
  <c r="AK1546" i="12" s="1"/>
  <c r="I1547" i="12"/>
  <c r="J1547" i="12"/>
  <c r="K1547" i="12" s="1"/>
  <c r="M1547" i="12"/>
  <c r="N1547" i="12"/>
  <c r="O1547" i="12"/>
  <c r="O1546" i="12" s="1"/>
  <c r="Q1547" i="12"/>
  <c r="R1547" i="12"/>
  <c r="S1547" i="12"/>
  <c r="S1546" i="12" s="1"/>
  <c r="T1547" i="12"/>
  <c r="U1547" i="12"/>
  <c r="V1547" i="12"/>
  <c r="W1547" i="12"/>
  <c r="W1546" i="12" s="1"/>
  <c r="X1547" i="12"/>
  <c r="Y1547" i="12"/>
  <c r="Z1547" i="12" s="1"/>
  <c r="AB1547" i="12"/>
  <c r="AA1547" i="12" s="1"/>
  <c r="AC1547" i="12"/>
  <c r="AF1547" i="12"/>
  <c r="AG1547" i="12"/>
  <c r="AH1547" i="12"/>
  <c r="AI1547" i="12"/>
  <c r="AI1546" i="12" s="1"/>
  <c r="AJ1547" i="12"/>
  <c r="AK1547" i="12" s="1"/>
  <c r="K1548" i="12"/>
  <c r="L1548" i="12"/>
  <c r="P1548" i="12"/>
  <c r="Z1548" i="12"/>
  <c r="AA1548" i="12"/>
  <c r="AD1548" i="12"/>
  <c r="AE1548" i="12"/>
  <c r="AJ1548" i="12"/>
  <c r="AK1548" i="12" s="1"/>
  <c r="K1549" i="12"/>
  <c r="L1549" i="12"/>
  <c r="P1549" i="12"/>
  <c r="Z1549" i="12"/>
  <c r="AA1549" i="12"/>
  <c r="AD1549" i="12"/>
  <c r="AE1549" i="12"/>
  <c r="AJ1549" i="12"/>
  <c r="AK1549" i="12"/>
  <c r="I1550" i="12"/>
  <c r="J1550" i="12"/>
  <c r="M1550" i="12"/>
  <c r="N1550" i="12"/>
  <c r="O1550" i="12"/>
  <c r="Q1550" i="12"/>
  <c r="R1550" i="12"/>
  <c r="S1550" i="12"/>
  <c r="T1550" i="12"/>
  <c r="U1550" i="12"/>
  <c r="V1550" i="12"/>
  <c r="W1550" i="12"/>
  <c r="X1550" i="12"/>
  <c r="Y1550" i="12"/>
  <c r="Z1550" i="12"/>
  <c r="AB1550" i="12"/>
  <c r="AD1550" i="12" s="1"/>
  <c r="AC1550" i="12"/>
  <c r="AF1550" i="12"/>
  <c r="AE1550" i="12" s="1"/>
  <c r="AG1550" i="12"/>
  <c r="AH1550" i="12"/>
  <c r="AI1550" i="12"/>
  <c r="AJ1550" i="12"/>
  <c r="AK1550" i="12" s="1"/>
  <c r="K1551" i="12"/>
  <c r="L1551" i="12"/>
  <c r="P1551" i="12"/>
  <c r="Z1551" i="12"/>
  <c r="AA1551" i="12"/>
  <c r="AD1551" i="12"/>
  <c r="AE1551" i="12"/>
  <c r="AJ1551" i="12"/>
  <c r="AK1551" i="12" s="1"/>
  <c r="I1552" i="12"/>
  <c r="J1552" i="12"/>
  <c r="K1552" i="12" s="1"/>
  <c r="M1552" i="12"/>
  <c r="N1552" i="12"/>
  <c r="O1552" i="12"/>
  <c r="Q1552" i="12"/>
  <c r="R1552" i="12"/>
  <c r="S1552" i="12"/>
  <c r="T1552" i="12"/>
  <c r="U1552" i="12"/>
  <c r="V1552" i="12"/>
  <c r="W1552" i="12"/>
  <c r="X1552" i="12"/>
  <c r="Y1552" i="12"/>
  <c r="AB1552" i="12"/>
  <c r="AA1552" i="12" s="1"/>
  <c r="AC1552" i="12"/>
  <c r="AF1552" i="12"/>
  <c r="AG1552" i="12"/>
  <c r="AH1552" i="12"/>
  <c r="AI1552" i="12"/>
  <c r="AJ1552" i="12"/>
  <c r="AK1552" i="12"/>
  <c r="K1553" i="12"/>
  <c r="L1553" i="12"/>
  <c r="P1553" i="12"/>
  <c r="Z1553" i="12"/>
  <c r="AA1553" i="12"/>
  <c r="AD1553" i="12"/>
  <c r="AE1553" i="12"/>
  <c r="AJ1553" i="12"/>
  <c r="AK1553" i="12" s="1"/>
  <c r="K1554" i="12"/>
  <c r="L1554" i="12"/>
  <c r="P1554" i="12"/>
  <c r="Z1554" i="12"/>
  <c r="AA1554" i="12"/>
  <c r="AD1554" i="12"/>
  <c r="AE1554" i="12"/>
  <c r="AJ1554" i="12"/>
  <c r="AK1554" i="12" s="1"/>
  <c r="AJ1555" i="12"/>
  <c r="AK1555" i="12"/>
  <c r="I1556" i="12"/>
  <c r="J1556" i="12"/>
  <c r="M1556" i="12"/>
  <c r="N1556" i="12"/>
  <c r="O1556" i="12"/>
  <c r="Q1556" i="12"/>
  <c r="R1556" i="12"/>
  <c r="S1556" i="12"/>
  <c r="T1556" i="12"/>
  <c r="U1556" i="12"/>
  <c r="V1556" i="12"/>
  <c r="W1556" i="12"/>
  <c r="X1556" i="12"/>
  <c r="Y1556" i="12"/>
  <c r="Z1556" i="12"/>
  <c r="AB1556" i="12"/>
  <c r="AC1556" i="12"/>
  <c r="AF1556" i="12"/>
  <c r="AG1556" i="12"/>
  <c r="AH1556" i="12"/>
  <c r="AI1556" i="12"/>
  <c r="AJ1556" i="12"/>
  <c r="AK1556" i="12"/>
  <c r="K1557" i="12"/>
  <c r="L1557" i="12"/>
  <c r="P1557" i="12"/>
  <c r="Z1557" i="12"/>
  <c r="AA1557" i="12"/>
  <c r="AD1557" i="12"/>
  <c r="AE1557" i="12"/>
  <c r="AJ1557" i="12"/>
  <c r="AK1557" i="12"/>
  <c r="K1558" i="12"/>
  <c r="L1558" i="12"/>
  <c r="P1558" i="12"/>
  <c r="Z1558" i="12"/>
  <c r="AA1558" i="12"/>
  <c r="AD1558" i="12"/>
  <c r="AE1558" i="12"/>
  <c r="AJ1558" i="12"/>
  <c r="AK1558" i="12" s="1"/>
  <c r="K1559" i="12"/>
  <c r="L1559" i="12"/>
  <c r="P1559" i="12"/>
  <c r="Z1559" i="12"/>
  <c r="AA1559" i="12"/>
  <c r="AD1559" i="12"/>
  <c r="AE1559" i="12"/>
  <c r="AJ1559" i="12"/>
  <c r="AK1559" i="12" s="1"/>
  <c r="I1560" i="12"/>
  <c r="J1560" i="12"/>
  <c r="M1560" i="12"/>
  <c r="N1560" i="12"/>
  <c r="O1560" i="12"/>
  <c r="Q1560" i="12"/>
  <c r="R1560" i="12"/>
  <c r="R1555" i="12" s="1"/>
  <c r="S1560" i="12"/>
  <c r="T1560" i="12"/>
  <c r="U1560" i="12"/>
  <c r="V1560" i="12"/>
  <c r="W1560" i="12"/>
  <c r="X1560" i="12"/>
  <c r="Y1560" i="12"/>
  <c r="Z1560" i="12"/>
  <c r="AB1560" i="12"/>
  <c r="AC1560" i="12"/>
  <c r="AF1560" i="12"/>
  <c r="AG1560" i="12"/>
  <c r="AH1560" i="12"/>
  <c r="AI1560" i="12"/>
  <c r="AJ1560" i="12"/>
  <c r="AK1560" i="12"/>
  <c r="K1561" i="12"/>
  <c r="L1561" i="12"/>
  <c r="P1561" i="12"/>
  <c r="Z1561" i="12"/>
  <c r="AA1561" i="12"/>
  <c r="AD1561" i="12"/>
  <c r="AE1561" i="12"/>
  <c r="AJ1561" i="12"/>
  <c r="AK1561" i="12" s="1"/>
  <c r="K1562" i="12"/>
  <c r="L1562" i="12"/>
  <c r="P1562" i="12"/>
  <c r="Z1562" i="12"/>
  <c r="AA1562" i="12"/>
  <c r="AD1562" i="12"/>
  <c r="AE1562" i="12"/>
  <c r="AJ1562" i="12"/>
  <c r="AK1562" i="12" s="1"/>
  <c r="K1563" i="12"/>
  <c r="L1563" i="12"/>
  <c r="P1563" i="12"/>
  <c r="Z1563" i="12"/>
  <c r="AA1563" i="12"/>
  <c r="AD1563" i="12"/>
  <c r="AE1563" i="12"/>
  <c r="AJ1563" i="12"/>
  <c r="AK1563" i="12" s="1"/>
  <c r="K1564" i="12"/>
  <c r="L1564" i="12"/>
  <c r="P1564" i="12"/>
  <c r="Z1564" i="12"/>
  <c r="AA1564" i="12"/>
  <c r="AD1564" i="12"/>
  <c r="AE1564" i="12"/>
  <c r="AJ1564" i="12"/>
  <c r="AK1564" i="12" s="1"/>
  <c r="K1565" i="12"/>
  <c r="L1565" i="12"/>
  <c r="P1565" i="12"/>
  <c r="Z1565" i="12"/>
  <c r="AA1565" i="12"/>
  <c r="AD1565" i="12"/>
  <c r="AE1565" i="12"/>
  <c r="AJ1565" i="12"/>
  <c r="AK1565" i="12"/>
  <c r="K1566" i="12"/>
  <c r="L1566" i="12"/>
  <c r="P1566" i="12"/>
  <c r="Z1566" i="12"/>
  <c r="AA1566" i="12"/>
  <c r="AD1566" i="12"/>
  <c r="AE1566" i="12"/>
  <c r="AJ1566" i="12"/>
  <c r="AK1566" i="12" s="1"/>
  <c r="I1567" i="12"/>
  <c r="J1567" i="12"/>
  <c r="M1567" i="12"/>
  <c r="N1567" i="12"/>
  <c r="O1567" i="12"/>
  <c r="O1555" i="12" s="1"/>
  <c r="Q1567" i="12"/>
  <c r="R1567" i="12"/>
  <c r="S1567" i="12"/>
  <c r="T1567" i="12"/>
  <c r="P1567" i="12" s="1"/>
  <c r="U1567" i="12"/>
  <c r="V1567" i="12"/>
  <c r="W1567" i="12"/>
  <c r="X1567" i="12"/>
  <c r="Y1567" i="12"/>
  <c r="Z1567" i="12" s="1"/>
  <c r="AB1567" i="12"/>
  <c r="AC1567" i="12"/>
  <c r="AD1567" i="12" s="1"/>
  <c r="AF1567" i="12"/>
  <c r="AE1567" i="12" s="1"/>
  <c r="AG1567" i="12"/>
  <c r="AH1567" i="12"/>
  <c r="AI1567" i="12"/>
  <c r="AJ1567" i="12"/>
  <c r="AK1567" i="12"/>
  <c r="K1568" i="12"/>
  <c r="L1568" i="12"/>
  <c r="P1568" i="12"/>
  <c r="Z1568" i="12"/>
  <c r="AA1568" i="12"/>
  <c r="AD1568" i="12"/>
  <c r="AE1568" i="12"/>
  <c r="AJ1568" i="12"/>
  <c r="AK1568" i="12" s="1"/>
  <c r="K1569" i="12"/>
  <c r="L1569" i="12"/>
  <c r="P1569" i="12"/>
  <c r="Z1569" i="12"/>
  <c r="AA1569" i="12"/>
  <c r="AD1569" i="12"/>
  <c r="AE1569" i="12"/>
  <c r="AJ1569" i="12"/>
  <c r="AK1569" i="12" s="1"/>
  <c r="K1570" i="12"/>
  <c r="L1570" i="12"/>
  <c r="P1570" i="12"/>
  <c r="Z1570" i="12"/>
  <c r="AA1570" i="12"/>
  <c r="AD1570" i="12"/>
  <c r="AE1570" i="12"/>
  <c r="AJ1570" i="12"/>
  <c r="AK1570" i="12" s="1"/>
  <c r="K1571" i="12"/>
  <c r="L1571" i="12"/>
  <c r="P1571" i="12"/>
  <c r="Z1571" i="12"/>
  <c r="AA1571" i="12"/>
  <c r="AD1571" i="12"/>
  <c r="AE1571" i="12"/>
  <c r="AJ1571" i="12"/>
  <c r="AK1571" i="12" s="1"/>
  <c r="AJ1572" i="12"/>
  <c r="AK1572" i="12"/>
  <c r="K1573" i="12"/>
  <c r="L1573" i="12"/>
  <c r="P1573" i="12"/>
  <c r="Z1573" i="12"/>
  <c r="AA1573" i="12"/>
  <c r="AD1573" i="12"/>
  <c r="AE1573" i="12"/>
  <c r="AJ1573" i="12"/>
  <c r="AK1573" i="12" s="1"/>
  <c r="K1574" i="12"/>
  <c r="L1574" i="12"/>
  <c r="P1574" i="12"/>
  <c r="Z1574" i="12"/>
  <c r="AA1574" i="12"/>
  <c r="AD1574" i="12"/>
  <c r="AE1574" i="12"/>
  <c r="AJ1574" i="12"/>
  <c r="AK1574" i="12" s="1"/>
  <c r="K1575" i="12"/>
  <c r="L1575" i="12"/>
  <c r="P1575" i="12"/>
  <c r="Z1575" i="12"/>
  <c r="AA1575" i="12"/>
  <c r="AD1575" i="12"/>
  <c r="AE1575" i="12"/>
  <c r="AE2608" i="12" s="1"/>
  <c r="AJ1575" i="12"/>
  <c r="AK1575" i="12" s="1"/>
  <c r="K1576" i="12"/>
  <c r="L1576" i="12"/>
  <c r="P1576" i="12"/>
  <c r="Z1576" i="12"/>
  <c r="AA1576" i="12"/>
  <c r="AD1576" i="12"/>
  <c r="AE1576" i="12"/>
  <c r="AJ1576" i="12"/>
  <c r="AK1576" i="12" s="1"/>
  <c r="I1577" i="12"/>
  <c r="J1577" i="12"/>
  <c r="K1577" i="12" s="1"/>
  <c r="M1577" i="12"/>
  <c r="L1577" i="12" s="1"/>
  <c r="N1577" i="12"/>
  <c r="O1577" i="12"/>
  <c r="Q1577" i="12"/>
  <c r="R1577" i="12"/>
  <c r="S1577" i="12"/>
  <c r="T1577" i="12"/>
  <c r="U1577" i="12"/>
  <c r="V1577" i="12"/>
  <c r="W1577" i="12"/>
  <c r="X1577" i="12"/>
  <c r="Y1577" i="12"/>
  <c r="Z1577" i="12"/>
  <c r="AA1577" i="12"/>
  <c r="AB1577" i="12"/>
  <c r="AC1577" i="12"/>
  <c r="AF1577" i="12"/>
  <c r="AG1577" i="12"/>
  <c r="AH1577" i="12"/>
  <c r="AI1577" i="12"/>
  <c r="AJ1577" i="12"/>
  <c r="AK1577" i="12"/>
  <c r="K1578" i="12"/>
  <c r="L1578" i="12"/>
  <c r="P1578" i="12"/>
  <c r="Z1578" i="12"/>
  <c r="AA1578" i="12"/>
  <c r="AE1578" i="12"/>
  <c r="AJ1578" i="12"/>
  <c r="AK1578" i="12"/>
  <c r="I1579" i="12"/>
  <c r="K1579" i="12" s="1"/>
  <c r="J1579" i="12"/>
  <c r="L1579" i="12"/>
  <c r="M1579" i="12"/>
  <c r="N1579" i="12"/>
  <c r="O1579" i="12"/>
  <c r="Q1579" i="12"/>
  <c r="R1579" i="12"/>
  <c r="S1579" i="12"/>
  <c r="T1579" i="12"/>
  <c r="P1579" i="12" s="1"/>
  <c r="U1579" i="12"/>
  <c r="V1579" i="12"/>
  <c r="W1579" i="12"/>
  <c r="X1579" i="12"/>
  <c r="Y1579" i="12"/>
  <c r="Z1579" i="12" s="1"/>
  <c r="AB1579" i="12"/>
  <c r="AC1579" i="12"/>
  <c r="AE1579" i="12"/>
  <c r="AF1579" i="12"/>
  <c r="AG1579" i="12"/>
  <c r="AH1579" i="12"/>
  <c r="AI1579" i="12"/>
  <c r="AJ1579" i="12"/>
  <c r="AK1579" i="12" s="1"/>
  <c r="K1580" i="12"/>
  <c r="L1580" i="12"/>
  <c r="P1580" i="12"/>
  <c r="Z1580" i="12"/>
  <c r="AA1580" i="12"/>
  <c r="AD1580" i="12"/>
  <c r="AE1580" i="12"/>
  <c r="AJ1580" i="12"/>
  <c r="AK1580" i="12" s="1"/>
  <c r="K1581" i="12"/>
  <c r="L1581" i="12"/>
  <c r="P1581" i="12"/>
  <c r="Z1581" i="12"/>
  <c r="AA1581" i="12"/>
  <c r="AD1581" i="12"/>
  <c r="AE1581" i="12"/>
  <c r="AJ1581" i="12"/>
  <c r="AK1581" i="12"/>
  <c r="K1582" i="12"/>
  <c r="L1582" i="12"/>
  <c r="P1582" i="12"/>
  <c r="Z1582" i="12"/>
  <c r="AA1582" i="12"/>
  <c r="AD1582" i="12"/>
  <c r="AE1582" i="12"/>
  <c r="AJ1582" i="12"/>
  <c r="AK1582" i="12"/>
  <c r="K1583" i="12"/>
  <c r="L1583" i="12"/>
  <c r="P1583" i="12"/>
  <c r="Z1583" i="12"/>
  <c r="AA1583" i="12"/>
  <c r="AD1583" i="12"/>
  <c r="AE1583" i="12"/>
  <c r="AJ1583" i="12"/>
  <c r="AK1583" i="12" s="1"/>
  <c r="K1584" i="12"/>
  <c r="L1584" i="12"/>
  <c r="P1584" i="12"/>
  <c r="Z1584" i="12"/>
  <c r="AA1584" i="12"/>
  <c r="AD1584" i="12"/>
  <c r="AE1584" i="12"/>
  <c r="AJ1584" i="12"/>
  <c r="AK1584" i="12" s="1"/>
  <c r="M1585" i="12"/>
  <c r="N1585" i="12"/>
  <c r="V1585" i="12"/>
  <c r="AH1585" i="12"/>
  <c r="AJ1585" i="12"/>
  <c r="AK1585" i="12" s="1"/>
  <c r="I1586" i="12"/>
  <c r="J1586" i="12"/>
  <c r="J1585" i="12" s="1"/>
  <c r="L1586" i="12"/>
  <c r="M1586" i="12"/>
  <c r="N1586" i="12"/>
  <c r="O1586" i="12"/>
  <c r="O1585" i="12" s="1"/>
  <c r="Q1586" i="12"/>
  <c r="Q1585" i="12" s="1"/>
  <c r="R1586" i="12"/>
  <c r="R1585" i="12" s="1"/>
  <c r="S1586" i="12"/>
  <c r="S1585" i="12" s="1"/>
  <c r="T1586" i="12"/>
  <c r="T1585" i="12" s="1"/>
  <c r="U1586" i="12"/>
  <c r="U1585" i="12" s="1"/>
  <c r="V1586" i="12"/>
  <c r="W1586" i="12"/>
  <c r="W1585" i="12" s="1"/>
  <c r="X1586" i="12"/>
  <c r="X1585" i="12" s="1"/>
  <c r="Y1586" i="12"/>
  <c r="Z1586" i="12" s="1"/>
  <c r="AB1586" i="12"/>
  <c r="AC1586" i="12"/>
  <c r="AC1585" i="12" s="1"/>
  <c r="AF1586" i="12"/>
  <c r="AG1586" i="12"/>
  <c r="AG1585" i="12" s="1"/>
  <c r="AH1586" i="12"/>
  <c r="AI1586" i="12"/>
  <c r="AI1585" i="12" s="1"/>
  <c r="AJ1586" i="12"/>
  <c r="AK1586" i="12" s="1"/>
  <c r="K1587" i="12"/>
  <c r="L1587" i="12"/>
  <c r="P1587" i="12"/>
  <c r="Z1587" i="12"/>
  <c r="AA1587" i="12"/>
  <c r="AD1587" i="12"/>
  <c r="AE1587" i="12"/>
  <c r="AJ1587" i="12"/>
  <c r="AK1587" i="12" s="1"/>
  <c r="K1588" i="12"/>
  <c r="L1588" i="12"/>
  <c r="P1588" i="12"/>
  <c r="Z1588" i="12"/>
  <c r="AA1588" i="12"/>
  <c r="AD1588" i="12"/>
  <c r="AE1588" i="12"/>
  <c r="AJ1588" i="12"/>
  <c r="AK1588" i="12" s="1"/>
  <c r="AJ1589" i="12"/>
  <c r="AK1589" i="12"/>
  <c r="AJ1590" i="12"/>
  <c r="AK1590" i="12" s="1"/>
  <c r="AJ1591" i="12"/>
  <c r="AK1591" i="12" s="1"/>
  <c r="U1592" i="12"/>
  <c r="U1591" i="12" s="1"/>
  <c r="V1592" i="12"/>
  <c r="V1591" i="12" s="1"/>
  <c r="W1592" i="12"/>
  <c r="X1592" i="12"/>
  <c r="Y1592" i="12"/>
  <c r="Y1591" i="12" s="1"/>
  <c r="AB1592" i="12"/>
  <c r="AC1592" i="12"/>
  <c r="AD1592" i="12" s="1"/>
  <c r="AF1592" i="12"/>
  <c r="AG1592" i="12"/>
  <c r="AG1591" i="12" s="1"/>
  <c r="AH1592" i="12"/>
  <c r="AI1592" i="12"/>
  <c r="AJ1592" i="12"/>
  <c r="AK1592" i="12" s="1"/>
  <c r="Z1593" i="12"/>
  <c r="AA1593" i="12"/>
  <c r="AD1593" i="12"/>
  <c r="AE1593" i="12"/>
  <c r="AJ1593" i="12"/>
  <c r="AK1593" i="12"/>
  <c r="Z1594" i="12"/>
  <c r="AA1594" i="12"/>
  <c r="AD1594" i="12"/>
  <c r="AE1594" i="12"/>
  <c r="AJ1594" i="12"/>
  <c r="AK1594" i="12" s="1"/>
  <c r="Z1595" i="12"/>
  <c r="AA1595" i="12"/>
  <c r="AD1595" i="12"/>
  <c r="AE1595" i="12"/>
  <c r="AJ1595" i="12"/>
  <c r="AK1595" i="12" s="1"/>
  <c r="U1596" i="12"/>
  <c r="V1596" i="12"/>
  <c r="W1596" i="12"/>
  <c r="X1596" i="12"/>
  <c r="X1591" i="12" s="1"/>
  <c r="Y1596" i="12"/>
  <c r="AB1596" i="12"/>
  <c r="AC1596" i="12"/>
  <c r="AE1596" i="12"/>
  <c r="AG1596" i="12"/>
  <c r="AH1596" i="12"/>
  <c r="AI1596" i="12"/>
  <c r="AJ1596" i="12"/>
  <c r="AK1596" i="12" s="1"/>
  <c r="Z1597" i="12"/>
  <c r="AA1597" i="12"/>
  <c r="AD1597" i="12"/>
  <c r="AE1597" i="12"/>
  <c r="AJ1597" i="12"/>
  <c r="AK1597" i="12" s="1"/>
  <c r="Z1598" i="12"/>
  <c r="AA1598" i="12"/>
  <c r="AA1596" i="12" s="1"/>
  <c r="AD1598" i="12"/>
  <c r="AE1598" i="12"/>
  <c r="AJ1598" i="12"/>
  <c r="AK1598" i="12"/>
  <c r="AJ1599" i="12"/>
  <c r="AK1599" i="12" s="1"/>
  <c r="U1600" i="12"/>
  <c r="V1600" i="12"/>
  <c r="W1600" i="12"/>
  <c r="X1600" i="12"/>
  <c r="Y1600" i="12"/>
  <c r="AB1600" i="12"/>
  <c r="AB1599" i="12" s="1"/>
  <c r="AC1600" i="12"/>
  <c r="AD1600" i="12"/>
  <c r="AE1600" i="12"/>
  <c r="AF1600" i="12"/>
  <c r="AG1600" i="12"/>
  <c r="AG1599" i="12" s="1"/>
  <c r="AH1600" i="12"/>
  <c r="AH1599" i="12" s="1"/>
  <c r="AI1600" i="12"/>
  <c r="AJ1600" i="12"/>
  <c r="AK1600" i="12"/>
  <c r="Z1601" i="12"/>
  <c r="Z1600" i="12" s="1"/>
  <c r="Z1599" i="12" s="1"/>
  <c r="AA1601" i="12"/>
  <c r="AA1600" i="12" s="1"/>
  <c r="AD1601" i="12"/>
  <c r="AE1601" i="12"/>
  <c r="AJ1601" i="12"/>
  <c r="AK1601" i="12" s="1"/>
  <c r="U1602" i="12"/>
  <c r="V1602" i="12"/>
  <c r="W1602" i="12"/>
  <c r="X1602" i="12"/>
  <c r="Y1602" i="12"/>
  <c r="AB1602" i="12"/>
  <c r="AC1602" i="12"/>
  <c r="AE1602" i="12"/>
  <c r="AF1602" i="12"/>
  <c r="AF1599" i="12" s="1"/>
  <c r="AG1602" i="12"/>
  <c r="AH1602" i="12"/>
  <c r="AI1602" i="12"/>
  <c r="AJ1602" i="12"/>
  <c r="AK1602" i="12" s="1"/>
  <c r="Z1603" i="12"/>
  <c r="Z1602" i="12" s="1"/>
  <c r="AA1603" i="12"/>
  <c r="AA1602" i="12" s="1"/>
  <c r="AD1603" i="12"/>
  <c r="AE1603" i="12"/>
  <c r="AJ1603" i="12"/>
  <c r="AK1603" i="12"/>
  <c r="AJ1604" i="12"/>
  <c r="AK1604" i="12"/>
  <c r="AJ1605" i="12"/>
  <c r="AK1605" i="12" s="1"/>
  <c r="W1606" i="12"/>
  <c r="W1604" i="12" s="1"/>
  <c r="AJ1606" i="12"/>
  <c r="AK1606" i="12"/>
  <c r="U1607" i="12"/>
  <c r="AJ1607" i="12"/>
  <c r="AK1607" i="12" s="1"/>
  <c r="U1608" i="12"/>
  <c r="AJ1608" i="12"/>
  <c r="AK1608" i="12" s="1"/>
  <c r="AJ1609" i="12"/>
  <c r="AK1609" i="12" s="1"/>
  <c r="M1610" i="12"/>
  <c r="N1610" i="12"/>
  <c r="N1606" i="12" s="1"/>
  <c r="N1604" i="12" s="1"/>
  <c r="V1610" i="12"/>
  <c r="V1606" i="12" s="1"/>
  <c r="AH1610" i="12"/>
  <c r="AH1606" i="12" s="1"/>
  <c r="AJ1610" i="12"/>
  <c r="AK1610" i="12" s="1"/>
  <c r="I1611" i="12"/>
  <c r="J1611" i="12"/>
  <c r="J1610" i="12" s="1"/>
  <c r="M1611" i="12"/>
  <c r="N1611" i="12"/>
  <c r="O1611" i="12"/>
  <c r="O1610" i="12" s="1"/>
  <c r="O1606" i="12" s="1"/>
  <c r="O1604" i="12" s="1"/>
  <c r="Q1611" i="12"/>
  <c r="Q1610" i="12" s="1"/>
  <c r="Q1606" i="12" s="1"/>
  <c r="Q1604" i="12" s="1"/>
  <c r="R1611" i="12"/>
  <c r="R1610" i="12" s="1"/>
  <c r="R1606" i="12" s="1"/>
  <c r="R1604" i="12" s="1"/>
  <c r="S1611" i="12"/>
  <c r="S1610" i="12" s="1"/>
  <c r="S1606" i="12" s="1"/>
  <c r="S1604" i="12" s="1"/>
  <c r="T1611" i="12"/>
  <c r="T1610" i="12" s="1"/>
  <c r="U1611" i="12"/>
  <c r="U1610" i="12" s="1"/>
  <c r="V1611" i="12"/>
  <c r="W1611" i="12"/>
  <c r="W1610" i="12" s="1"/>
  <c r="X1611" i="12"/>
  <c r="X1610" i="12" s="1"/>
  <c r="X1606" i="12" s="1"/>
  <c r="X1604" i="12" s="1"/>
  <c r="Y1611" i="12"/>
  <c r="Z1611" i="12" s="1"/>
  <c r="AB1611" i="12"/>
  <c r="AC1611" i="12"/>
  <c r="AC1610" i="12" s="1"/>
  <c r="AF1611" i="12"/>
  <c r="AG1611" i="12"/>
  <c r="AG1610" i="12" s="1"/>
  <c r="AG1606" i="12" s="1"/>
  <c r="AH1611" i="12"/>
  <c r="AI1611" i="12"/>
  <c r="AI1610" i="12" s="1"/>
  <c r="AI1606" i="12" s="1"/>
  <c r="AJ1611" i="12"/>
  <c r="AK1611" i="12" s="1"/>
  <c r="K1612" i="12"/>
  <c r="L1612" i="12"/>
  <c r="P1612" i="12"/>
  <c r="Z1612" i="12"/>
  <c r="AA1612" i="12"/>
  <c r="AD1612" i="12"/>
  <c r="AE1612" i="12"/>
  <c r="AJ1612" i="12"/>
  <c r="AK1612" i="12" s="1"/>
  <c r="K1613" i="12"/>
  <c r="L1613" i="12"/>
  <c r="P1613" i="12"/>
  <c r="Z1613" i="12"/>
  <c r="AA1613" i="12"/>
  <c r="AD1613" i="12"/>
  <c r="AE1613" i="12"/>
  <c r="AJ1613" i="12"/>
  <c r="AK1613" i="12" s="1"/>
  <c r="K1614" i="12"/>
  <c r="L1614" i="12"/>
  <c r="P1614" i="12"/>
  <c r="Z1614" i="12"/>
  <c r="AA1614" i="12"/>
  <c r="AD1614" i="12"/>
  <c r="AE1614" i="12"/>
  <c r="AJ1614" i="12"/>
  <c r="AK1614" i="12" s="1"/>
  <c r="K1615" i="12"/>
  <c r="L1615" i="12"/>
  <c r="P1615" i="12"/>
  <c r="Z1615" i="12"/>
  <c r="AA1615" i="12"/>
  <c r="AD1615" i="12"/>
  <c r="AE1615" i="12"/>
  <c r="AJ1615" i="12"/>
  <c r="AK1615" i="12" s="1"/>
  <c r="K1616" i="12"/>
  <c r="L1616" i="12"/>
  <c r="P1616" i="12"/>
  <c r="Z1616" i="12"/>
  <c r="AA1616" i="12"/>
  <c r="AD1616" i="12"/>
  <c r="AE1616" i="12"/>
  <c r="AJ1616" i="12"/>
  <c r="AK1616" i="12" s="1"/>
  <c r="AJ1617" i="12"/>
  <c r="AK1617" i="12" s="1"/>
  <c r="AJ1618" i="12"/>
  <c r="AK1618" i="12" s="1"/>
  <c r="AE1619" i="12"/>
  <c r="AJ1619" i="12"/>
  <c r="AK1619" i="12" s="1"/>
  <c r="AJ1620" i="12"/>
  <c r="AK1620" i="12" s="1"/>
  <c r="AJ1621" i="12"/>
  <c r="AK1621" i="12" s="1"/>
  <c r="V1622" i="12"/>
  <c r="W1622" i="12"/>
  <c r="X1622" i="12"/>
  <c r="Y1622" i="12"/>
  <c r="Z1622" i="12"/>
  <c r="AB1622" i="12"/>
  <c r="AC1622" i="12"/>
  <c r="AF1622" i="12"/>
  <c r="AE1622" i="12" s="1"/>
  <c r="AG1622" i="12"/>
  <c r="AG1621" i="12" s="1"/>
  <c r="AG1620" i="12" s="1"/>
  <c r="AH1622" i="12"/>
  <c r="AI1622" i="12"/>
  <c r="AJ1622" i="12"/>
  <c r="AK1622" i="12" s="1"/>
  <c r="Z1623" i="12"/>
  <c r="AA1623" i="12"/>
  <c r="AE1623" i="12"/>
  <c r="AJ1623" i="12"/>
  <c r="AK1623" i="12"/>
  <c r="Z1624" i="12"/>
  <c r="AA1624" i="12"/>
  <c r="AE1624" i="12"/>
  <c r="AJ1624" i="12"/>
  <c r="AK1624" i="12" s="1"/>
  <c r="I1625" i="12"/>
  <c r="J1625" i="12"/>
  <c r="M1625" i="12"/>
  <c r="N1625" i="12"/>
  <c r="O1625" i="12"/>
  <c r="Q1625" i="12"/>
  <c r="R1625" i="12"/>
  <c r="S1625" i="12"/>
  <c r="T1625" i="12"/>
  <c r="U1625" i="12"/>
  <c r="V1625" i="12"/>
  <c r="W1625" i="12"/>
  <c r="X1625" i="12"/>
  <c r="Y1625" i="12"/>
  <c r="AB1625" i="12"/>
  <c r="AA1625" i="12" s="1"/>
  <c r="AC1625" i="12"/>
  <c r="AF1625" i="12"/>
  <c r="AG1625" i="12"/>
  <c r="AH1625" i="12"/>
  <c r="AH1621" i="12" s="1"/>
  <c r="AH1620" i="12" s="1"/>
  <c r="AH1618" i="12" s="1"/>
  <c r="AI1625" i="12"/>
  <c r="AJ1625" i="12"/>
  <c r="AK1625" i="12"/>
  <c r="K1626" i="12"/>
  <c r="L1626" i="12"/>
  <c r="P1626" i="12"/>
  <c r="Z1626" i="12"/>
  <c r="AA1626" i="12"/>
  <c r="AE1626" i="12"/>
  <c r="AJ1626" i="12"/>
  <c r="AK1626" i="12"/>
  <c r="I1627" i="12"/>
  <c r="J1627" i="12"/>
  <c r="M1627" i="12"/>
  <c r="N1627" i="12"/>
  <c r="O1627" i="12"/>
  <c r="Q1627" i="12"/>
  <c r="R1627" i="12"/>
  <c r="S1627" i="12"/>
  <c r="T1627" i="12"/>
  <c r="P1627" i="12" s="1"/>
  <c r="U1627" i="12"/>
  <c r="V1627" i="12"/>
  <c r="W1627" i="12"/>
  <c r="X1627" i="12"/>
  <c r="Y1627" i="12"/>
  <c r="Z1627" i="12" s="1"/>
  <c r="AB1627" i="12"/>
  <c r="AA1627" i="12" s="1"/>
  <c r="AC1627" i="12"/>
  <c r="AF1627" i="12"/>
  <c r="AG1627" i="12"/>
  <c r="AH1627" i="12"/>
  <c r="AI1627" i="12"/>
  <c r="AJ1627" i="12"/>
  <c r="AK1627" i="12" s="1"/>
  <c r="K1628" i="12"/>
  <c r="L1628" i="12"/>
  <c r="P1628" i="12"/>
  <c r="Z1628" i="12"/>
  <c r="AA1628" i="12"/>
  <c r="AE1628" i="12"/>
  <c r="AJ1628" i="12"/>
  <c r="AK1628" i="12" s="1"/>
  <c r="K1629" i="12"/>
  <c r="L1629" i="12"/>
  <c r="P1629" i="12"/>
  <c r="Z1629" i="12"/>
  <c r="AA1629" i="12"/>
  <c r="AE1629" i="12"/>
  <c r="AJ1629" i="12"/>
  <c r="AK1629" i="12" s="1"/>
  <c r="AJ1630" i="12"/>
  <c r="AK1630" i="12" s="1"/>
  <c r="I1631" i="12"/>
  <c r="J1631" i="12"/>
  <c r="K1631" i="12" s="1"/>
  <c r="M1631" i="12"/>
  <c r="L1631" i="12" s="1"/>
  <c r="N1631" i="12"/>
  <c r="O1631" i="12"/>
  <c r="Q1631" i="12"/>
  <c r="R1631" i="12"/>
  <c r="S1631" i="12"/>
  <c r="T1631" i="12"/>
  <c r="U1631" i="12"/>
  <c r="V1631" i="12"/>
  <c r="V1630" i="12" s="1"/>
  <c r="W1631" i="12"/>
  <c r="X1631" i="12"/>
  <c r="Y1631" i="12"/>
  <c r="AB1631" i="12"/>
  <c r="AA1631" i="12" s="1"/>
  <c r="AA1630" i="12" s="1"/>
  <c r="AC1631" i="12"/>
  <c r="AC1630" i="12" s="1"/>
  <c r="AC1621" i="12" s="1"/>
  <c r="AC1620" i="12" s="1"/>
  <c r="AF1631" i="12"/>
  <c r="AF1630" i="12" s="1"/>
  <c r="AG1631" i="12"/>
  <c r="AG1630" i="12" s="1"/>
  <c r="AH1631" i="12"/>
  <c r="AH1630" i="12" s="1"/>
  <c r="AI1631" i="12"/>
  <c r="AI1630" i="12" s="1"/>
  <c r="AJ1631" i="12"/>
  <c r="AK1631" i="12"/>
  <c r="K1632" i="12"/>
  <c r="L1632" i="12"/>
  <c r="P1632" i="12"/>
  <c r="Z1632" i="12"/>
  <c r="AA1632" i="12"/>
  <c r="AE1632" i="12"/>
  <c r="AJ1632" i="12"/>
  <c r="AK1632" i="12"/>
  <c r="K1633" i="12"/>
  <c r="L1633" i="12"/>
  <c r="P1633" i="12"/>
  <c r="Z1633" i="12"/>
  <c r="AA1633" i="12"/>
  <c r="AE1633" i="12"/>
  <c r="AJ1633" i="12"/>
  <c r="AK1633" i="12"/>
  <c r="K1634" i="12"/>
  <c r="L1634" i="12"/>
  <c r="P1634" i="12"/>
  <c r="Z1634" i="12"/>
  <c r="AA1634" i="12"/>
  <c r="AE1634" i="12"/>
  <c r="AJ1634" i="12"/>
  <c r="AK1634" i="12"/>
  <c r="AJ1635" i="12"/>
  <c r="AK1635" i="12" s="1"/>
  <c r="AJ1636" i="12"/>
  <c r="AK1636" i="12" s="1"/>
  <c r="AJ1637" i="12"/>
  <c r="AK1637" i="12"/>
  <c r="U1638" i="12"/>
  <c r="U1637" i="12" s="1"/>
  <c r="U1636" i="12" s="1"/>
  <c r="U1635" i="12" s="1"/>
  <c r="AJ1638" i="12"/>
  <c r="AK1638" i="12" s="1"/>
  <c r="AJ1639" i="12"/>
  <c r="AK1639" i="12" s="1"/>
  <c r="AJ1640" i="12"/>
  <c r="AK1640" i="12" s="1"/>
  <c r="U1641" i="12"/>
  <c r="U1640" i="12" s="1"/>
  <c r="AJ1641" i="12"/>
  <c r="AK1641" i="12"/>
  <c r="AJ1642" i="12"/>
  <c r="AK1642" i="12" s="1"/>
  <c r="AJ1643" i="12"/>
  <c r="AK1643" i="12"/>
  <c r="AJ1644" i="12"/>
  <c r="AK1644" i="12" s="1"/>
  <c r="AJ1645" i="12"/>
  <c r="AK1645" i="12" s="1"/>
  <c r="R1646" i="12"/>
  <c r="S1646" i="12"/>
  <c r="W1646" i="12"/>
  <c r="AH1646" i="12"/>
  <c r="AH1645" i="12" s="1"/>
  <c r="AH1644" i="12" s="1"/>
  <c r="AJ1646" i="12"/>
  <c r="AK1646" i="12" s="1"/>
  <c r="I1647" i="12"/>
  <c r="I1646" i="12" s="1"/>
  <c r="J1647" i="12"/>
  <c r="K1647" i="12" s="1"/>
  <c r="M1647" i="12"/>
  <c r="N1647" i="12"/>
  <c r="N1646" i="12" s="1"/>
  <c r="O1647" i="12"/>
  <c r="O1646" i="12" s="1"/>
  <c r="O1645" i="12" s="1"/>
  <c r="Q1647" i="12"/>
  <c r="Q1646" i="12" s="1"/>
  <c r="Q1645" i="12" s="1"/>
  <c r="Q1618" i="12" s="1"/>
  <c r="R1647" i="12"/>
  <c r="S1647" i="12"/>
  <c r="T1647" i="12"/>
  <c r="U1647" i="12"/>
  <c r="U1646" i="12" s="1"/>
  <c r="U1645" i="12" s="1"/>
  <c r="V1647" i="12"/>
  <c r="V1646" i="12" s="1"/>
  <c r="W1647" i="12"/>
  <c r="X1647" i="12"/>
  <c r="X1646" i="12" s="1"/>
  <c r="Y1647" i="12"/>
  <c r="AB1647" i="12"/>
  <c r="AB1646" i="12" s="1"/>
  <c r="AC1647" i="12"/>
  <c r="AC1646" i="12" s="1"/>
  <c r="AD1647" i="12"/>
  <c r="AE1647" i="12"/>
  <c r="AF1647" i="12"/>
  <c r="AF1646" i="12" s="1"/>
  <c r="AE1646" i="12" s="1"/>
  <c r="AG1647" i="12"/>
  <c r="AG1646" i="12" s="1"/>
  <c r="AH1647" i="12"/>
  <c r="AI1647" i="12"/>
  <c r="AI1646" i="12" s="1"/>
  <c r="AJ1647" i="12"/>
  <c r="AK1647" i="12" s="1"/>
  <c r="K1648" i="12"/>
  <c r="L1648" i="12"/>
  <c r="P1648" i="12"/>
  <c r="Z1648" i="12"/>
  <c r="AA1648" i="12"/>
  <c r="AD1648" i="12"/>
  <c r="AE1648" i="12"/>
  <c r="AJ1648" i="12"/>
  <c r="AK1648" i="12"/>
  <c r="P1649" i="12"/>
  <c r="T1649" i="12"/>
  <c r="AB1649" i="12"/>
  <c r="AF1649" i="12"/>
  <c r="AE1649" i="12" s="1"/>
  <c r="AJ1649" i="12"/>
  <c r="AK1649" i="12" s="1"/>
  <c r="I1650" i="12"/>
  <c r="I1649" i="12" s="1"/>
  <c r="J1650" i="12"/>
  <c r="M1650" i="12"/>
  <c r="M1649" i="12" s="1"/>
  <c r="L1649" i="12" s="1"/>
  <c r="N1650" i="12"/>
  <c r="N1649" i="12" s="1"/>
  <c r="O1650" i="12"/>
  <c r="O1649" i="12" s="1"/>
  <c r="Q1650" i="12"/>
  <c r="Q1649" i="12" s="1"/>
  <c r="R1650" i="12"/>
  <c r="R1649" i="12" s="1"/>
  <c r="S1650" i="12"/>
  <c r="S1649" i="12" s="1"/>
  <c r="S1645" i="12" s="1"/>
  <c r="T1650" i="12"/>
  <c r="U1650" i="12"/>
  <c r="U1649" i="12" s="1"/>
  <c r="V1650" i="12"/>
  <c r="V1649" i="12" s="1"/>
  <c r="W1650" i="12"/>
  <c r="W1649" i="12" s="1"/>
  <c r="W1645" i="12" s="1"/>
  <c r="X1650" i="12"/>
  <c r="X1649" i="12" s="1"/>
  <c r="Y1650" i="12"/>
  <c r="Y1649" i="12" s="1"/>
  <c r="Z1650" i="12"/>
  <c r="AB1650" i="12"/>
  <c r="AC1650" i="12"/>
  <c r="AC1649" i="12" s="1"/>
  <c r="AD1650" i="12"/>
  <c r="AE1650" i="12"/>
  <c r="AF1650" i="12"/>
  <c r="AG1650" i="12"/>
  <c r="AG1649" i="12" s="1"/>
  <c r="AH1650" i="12"/>
  <c r="AH1649" i="12" s="1"/>
  <c r="AI1650" i="12"/>
  <c r="AI1649" i="12" s="1"/>
  <c r="AJ1650" i="12"/>
  <c r="AK1650" i="12" s="1"/>
  <c r="K1651" i="12"/>
  <c r="L1651" i="12"/>
  <c r="P1651" i="12"/>
  <c r="Z1651" i="12"/>
  <c r="AA1651" i="12"/>
  <c r="AD1651" i="12"/>
  <c r="AE1651" i="12"/>
  <c r="AJ1651" i="12"/>
  <c r="AK1651" i="12" s="1"/>
  <c r="K1652" i="12"/>
  <c r="L1652" i="12"/>
  <c r="P1652" i="12"/>
  <c r="Z1652" i="12"/>
  <c r="AA1652" i="12"/>
  <c r="AD1652" i="12"/>
  <c r="AE1652" i="12"/>
  <c r="AJ1652" i="12"/>
  <c r="AK1652" i="12"/>
  <c r="S1653" i="12"/>
  <c r="AJ1653" i="12"/>
  <c r="AK1653" i="12" s="1"/>
  <c r="AJ1654" i="12"/>
  <c r="AK1654" i="12" s="1"/>
  <c r="I1655" i="12"/>
  <c r="I1653" i="12" s="1"/>
  <c r="AJ1655" i="12"/>
  <c r="AK1655" i="12" s="1"/>
  <c r="AC1656" i="12"/>
  <c r="AJ1656" i="12"/>
  <c r="AK1656" i="12"/>
  <c r="I1657" i="12"/>
  <c r="I1656" i="12" s="1"/>
  <c r="J1657" i="12"/>
  <c r="J1656" i="12" s="1"/>
  <c r="M1657" i="12"/>
  <c r="N1657" i="12"/>
  <c r="N1656" i="12" s="1"/>
  <c r="N1655" i="12" s="1"/>
  <c r="N1653" i="12" s="1"/>
  <c r="O1657" i="12"/>
  <c r="O1656" i="12" s="1"/>
  <c r="O1655" i="12" s="1"/>
  <c r="O1653" i="12" s="1"/>
  <c r="Q1657" i="12"/>
  <c r="Q1656" i="12" s="1"/>
  <c r="Q1655" i="12" s="1"/>
  <c r="Q1653" i="12" s="1"/>
  <c r="R1657" i="12"/>
  <c r="R1656" i="12" s="1"/>
  <c r="R1655" i="12" s="1"/>
  <c r="R1653" i="12" s="1"/>
  <c r="S1657" i="12"/>
  <c r="S1656" i="12" s="1"/>
  <c r="S1655" i="12" s="1"/>
  <c r="T1657" i="12"/>
  <c r="U1657" i="12"/>
  <c r="U1656" i="12" s="1"/>
  <c r="U1655" i="12" s="1"/>
  <c r="V1657" i="12"/>
  <c r="V1656" i="12" s="1"/>
  <c r="V1655" i="12" s="1"/>
  <c r="W1657" i="12"/>
  <c r="W1656" i="12" s="1"/>
  <c r="W1655" i="12" s="1"/>
  <c r="W1653" i="12" s="1"/>
  <c r="X1657" i="12"/>
  <c r="X1656" i="12" s="1"/>
  <c r="X1655" i="12" s="1"/>
  <c r="X1653" i="12" s="1"/>
  <c r="Y1657" i="12"/>
  <c r="AA1657" i="12"/>
  <c r="AB1657" i="12"/>
  <c r="AB1656" i="12" s="1"/>
  <c r="AC1657" i="12"/>
  <c r="AF1657" i="12"/>
  <c r="AG1657" i="12"/>
  <c r="AG1656" i="12" s="1"/>
  <c r="AG1655" i="12" s="1"/>
  <c r="AH1657" i="12"/>
  <c r="AH1656" i="12" s="1"/>
  <c r="AH1655" i="12" s="1"/>
  <c r="AI1657" i="12"/>
  <c r="AI1656" i="12" s="1"/>
  <c r="AI1655" i="12" s="1"/>
  <c r="AJ1657" i="12"/>
  <c r="AK1657" i="12" s="1"/>
  <c r="AA1658" i="12"/>
  <c r="AD1658" i="12"/>
  <c r="AE1658" i="12"/>
  <c r="AJ1658" i="12"/>
  <c r="AK1658" i="12" s="1"/>
  <c r="AJ1659" i="12"/>
  <c r="AK1659" i="12" s="1"/>
  <c r="AJ1660" i="12"/>
  <c r="AK1660" i="12" s="1"/>
  <c r="AJ1661" i="12"/>
  <c r="AK1661" i="12"/>
  <c r="U1662" i="12"/>
  <c r="U1661" i="12" s="1"/>
  <c r="AJ1662" i="12"/>
  <c r="AK1662" i="12"/>
  <c r="AJ1663" i="12"/>
  <c r="AK1663" i="12" s="1"/>
  <c r="U1664" i="12"/>
  <c r="AJ1664" i="12"/>
  <c r="AK1664" i="12"/>
  <c r="AJ1665" i="12"/>
  <c r="AK1665" i="12" s="1"/>
  <c r="AJ1666" i="12"/>
  <c r="AK1666" i="12" s="1"/>
  <c r="AJ1667" i="12"/>
  <c r="AK1667" i="12" s="1"/>
  <c r="AE1668" i="12"/>
  <c r="AJ1668" i="12"/>
  <c r="AK1668" i="12" s="1"/>
  <c r="AJ1669" i="12"/>
  <c r="AK1669" i="12" s="1"/>
  <c r="AF1670" i="12"/>
  <c r="AF1669" i="12" s="1"/>
  <c r="AJ1670" i="12"/>
  <c r="AK1670" i="12" s="1"/>
  <c r="I1671" i="12"/>
  <c r="I1670" i="12" s="1"/>
  <c r="I1669" i="12" s="1"/>
  <c r="J1671" i="12"/>
  <c r="M1671" i="12"/>
  <c r="M1670" i="12" s="1"/>
  <c r="M1669" i="12" s="1"/>
  <c r="L1669" i="12" s="1"/>
  <c r="N1671" i="12"/>
  <c r="N1670" i="12" s="1"/>
  <c r="N1669" i="12" s="1"/>
  <c r="O1671" i="12"/>
  <c r="O1670" i="12" s="1"/>
  <c r="O1669" i="12" s="1"/>
  <c r="Q1671" i="12"/>
  <c r="Q1670" i="12" s="1"/>
  <c r="Q1669" i="12" s="1"/>
  <c r="R1671" i="12"/>
  <c r="R1670" i="12" s="1"/>
  <c r="R1669" i="12" s="1"/>
  <c r="S1671" i="12"/>
  <c r="S1670" i="12" s="1"/>
  <c r="S1669" i="12" s="1"/>
  <c r="T1671" i="12"/>
  <c r="T1670" i="12" s="1"/>
  <c r="U1671" i="12"/>
  <c r="V1671" i="12"/>
  <c r="V1670" i="12" s="1"/>
  <c r="V1669" i="12" s="1"/>
  <c r="W1671" i="12"/>
  <c r="W1670" i="12" s="1"/>
  <c r="W1669" i="12" s="1"/>
  <c r="AG1671" i="12"/>
  <c r="AG1670" i="12" s="1"/>
  <c r="AG1669" i="12" s="1"/>
  <c r="AH1671" i="12"/>
  <c r="AH1670" i="12" s="1"/>
  <c r="AH1669" i="12" s="1"/>
  <c r="AI1671" i="12"/>
  <c r="AI1670" i="12" s="1"/>
  <c r="AI1669" i="12" s="1"/>
  <c r="AJ1671" i="12"/>
  <c r="AK1671" i="12" s="1"/>
  <c r="AA1672" i="12"/>
  <c r="AE1672" i="12"/>
  <c r="AJ1672" i="12"/>
  <c r="AK1672" i="12" s="1"/>
  <c r="AJ1673" i="12"/>
  <c r="AK1673" i="12"/>
  <c r="AJ1674" i="12"/>
  <c r="AK1674" i="12" s="1"/>
  <c r="AJ1675" i="12"/>
  <c r="AK1675" i="12"/>
  <c r="AC1676" i="12"/>
  <c r="AC1675" i="12" s="1"/>
  <c r="AC1674" i="12" s="1"/>
  <c r="AC1673" i="12" s="1"/>
  <c r="AC1671" i="12" s="1"/>
  <c r="AC1670" i="12" s="1"/>
  <c r="AC1669" i="12" s="1"/>
  <c r="AJ1676" i="12"/>
  <c r="AK1676" i="12" s="1"/>
  <c r="X1677" i="12"/>
  <c r="X1676" i="12" s="1"/>
  <c r="X1675" i="12" s="1"/>
  <c r="X1674" i="12" s="1"/>
  <c r="X1673" i="12" s="1"/>
  <c r="X1671" i="12" s="1"/>
  <c r="X1670" i="12" s="1"/>
  <c r="X1669" i="12" s="1"/>
  <c r="AJ1677" i="12"/>
  <c r="AK1677" i="12" s="1"/>
  <c r="U1678" i="12"/>
  <c r="U1677" i="12" s="1"/>
  <c r="U1676" i="12" s="1"/>
  <c r="U1675" i="12" s="1"/>
  <c r="U1674" i="12" s="1"/>
  <c r="U1673" i="12" s="1"/>
  <c r="V1678" i="12"/>
  <c r="V1677" i="12" s="1"/>
  <c r="V1676" i="12" s="1"/>
  <c r="V1675" i="12" s="1"/>
  <c r="V1674" i="12" s="1"/>
  <c r="V1673" i="12" s="1"/>
  <c r="W1678" i="12"/>
  <c r="W1677" i="12" s="1"/>
  <c r="W1676" i="12" s="1"/>
  <c r="W1675" i="12" s="1"/>
  <c r="W1674" i="12" s="1"/>
  <c r="W1673" i="12" s="1"/>
  <c r="X1678" i="12"/>
  <c r="Y1678" i="12"/>
  <c r="Y1677" i="12" s="1"/>
  <c r="Y1676" i="12" s="1"/>
  <c r="Y1675" i="12" s="1"/>
  <c r="Y1674" i="12" s="1"/>
  <c r="Y1673" i="12" s="1"/>
  <c r="Y1671" i="12" s="1"/>
  <c r="AB1678" i="12"/>
  <c r="AB1677" i="12" s="1"/>
  <c r="AB1676" i="12" s="1"/>
  <c r="AB1675" i="12" s="1"/>
  <c r="AB1674" i="12" s="1"/>
  <c r="AB1673" i="12" s="1"/>
  <c r="AB1671" i="12" s="1"/>
  <c r="AC1678" i="12"/>
  <c r="AC1677" i="12" s="1"/>
  <c r="AF1678" i="12"/>
  <c r="AF1677" i="12" s="1"/>
  <c r="AG1678" i="12"/>
  <c r="AG1677" i="12" s="1"/>
  <c r="AG1676" i="12" s="1"/>
  <c r="AG1675" i="12" s="1"/>
  <c r="AG1674" i="12" s="1"/>
  <c r="AG1673" i="12" s="1"/>
  <c r="AH1678" i="12"/>
  <c r="AH1677" i="12" s="1"/>
  <c r="AH1676" i="12" s="1"/>
  <c r="AH1675" i="12" s="1"/>
  <c r="AH1674" i="12" s="1"/>
  <c r="AH1673" i="12" s="1"/>
  <c r="AI1678" i="12"/>
  <c r="AI1677" i="12" s="1"/>
  <c r="AI1676" i="12" s="1"/>
  <c r="AI1675" i="12" s="1"/>
  <c r="AI1674" i="12" s="1"/>
  <c r="AI1673" i="12" s="1"/>
  <c r="AJ1678" i="12"/>
  <c r="AK1678" i="12"/>
  <c r="Z1679" i="12"/>
  <c r="Z1678" i="12" s="1"/>
  <c r="Z1677" i="12" s="1"/>
  <c r="Z1676" i="12" s="1"/>
  <c r="Z1675" i="12" s="1"/>
  <c r="Z1674" i="12" s="1"/>
  <c r="Z1673" i="12" s="1"/>
  <c r="AA1679" i="12"/>
  <c r="AA1678" i="12" s="1"/>
  <c r="AA1677" i="12" s="1"/>
  <c r="AA1676" i="12" s="1"/>
  <c r="AA1675" i="12" s="1"/>
  <c r="AA1674" i="12" s="1"/>
  <c r="AA1673" i="12" s="1"/>
  <c r="AE1679" i="12"/>
  <c r="AJ1679" i="12"/>
  <c r="AK1679" i="12" s="1"/>
  <c r="AJ1680" i="12"/>
  <c r="AK1680" i="12" s="1"/>
  <c r="K1681" i="12"/>
  <c r="AE1681" i="12"/>
  <c r="AJ1681" i="12"/>
  <c r="AK1681" i="12" s="1"/>
  <c r="AJ1682" i="12"/>
  <c r="AK1682" i="12" s="1"/>
  <c r="V1683" i="12"/>
  <c r="AJ1683" i="12"/>
  <c r="AK1683" i="12" s="1"/>
  <c r="AJ1684" i="12"/>
  <c r="AK1684" i="12"/>
  <c r="I1685" i="12"/>
  <c r="I1683" i="12" s="1"/>
  <c r="AJ1685" i="12"/>
  <c r="AK1685" i="12"/>
  <c r="AB1686" i="12"/>
  <c r="AB1685" i="12" s="1"/>
  <c r="AF1686" i="12"/>
  <c r="AJ1686" i="12"/>
  <c r="AK1686" i="12" s="1"/>
  <c r="I1687" i="12"/>
  <c r="I1686" i="12" s="1"/>
  <c r="J1687" i="12"/>
  <c r="M1687" i="12"/>
  <c r="M1686" i="12" s="1"/>
  <c r="N1687" i="12"/>
  <c r="N1686" i="12" s="1"/>
  <c r="N1685" i="12" s="1"/>
  <c r="N1683" i="12" s="1"/>
  <c r="O1687" i="12"/>
  <c r="O1686" i="12" s="1"/>
  <c r="O1685" i="12" s="1"/>
  <c r="O1683" i="12" s="1"/>
  <c r="Q1687" i="12"/>
  <c r="Q1686" i="12" s="1"/>
  <c r="Q1685" i="12" s="1"/>
  <c r="Q1683" i="12" s="1"/>
  <c r="R1687" i="12"/>
  <c r="R1686" i="12" s="1"/>
  <c r="R1685" i="12" s="1"/>
  <c r="R1683" i="12" s="1"/>
  <c r="S1687" i="12"/>
  <c r="S1686" i="12" s="1"/>
  <c r="S1685" i="12" s="1"/>
  <c r="S1683" i="12" s="1"/>
  <c r="T1687" i="12"/>
  <c r="P1687" i="12" s="1"/>
  <c r="U1687" i="12"/>
  <c r="U1686" i="12" s="1"/>
  <c r="U1685" i="12" s="1"/>
  <c r="U1683" i="12" s="1"/>
  <c r="V1687" i="12"/>
  <c r="V1686" i="12" s="1"/>
  <c r="V1685" i="12" s="1"/>
  <c r="V1684" i="12" s="1"/>
  <c r="W1687" i="12"/>
  <c r="W1686" i="12" s="1"/>
  <c r="W1685" i="12" s="1"/>
  <c r="X1687" i="12"/>
  <c r="X1686" i="12" s="1"/>
  <c r="X1685" i="12" s="1"/>
  <c r="Y1687" i="12"/>
  <c r="AB1687" i="12"/>
  <c r="AC1687" i="12"/>
  <c r="AC1686" i="12" s="1"/>
  <c r="AC1685" i="12" s="1"/>
  <c r="AD1687" i="12"/>
  <c r="AE1687" i="12"/>
  <c r="AF1687" i="12"/>
  <c r="AG1687" i="12"/>
  <c r="AG1686" i="12" s="1"/>
  <c r="AG1685" i="12" s="1"/>
  <c r="AG1684" i="12" s="1"/>
  <c r="AH1687" i="12"/>
  <c r="AH1686" i="12" s="1"/>
  <c r="AH1685" i="12" s="1"/>
  <c r="AH1684" i="12" s="1"/>
  <c r="AI1687" i="12"/>
  <c r="AI1686" i="12" s="1"/>
  <c r="AI1685" i="12" s="1"/>
  <c r="AJ1687" i="12"/>
  <c r="AK1687" i="12"/>
  <c r="K1688" i="12"/>
  <c r="L1688" i="12"/>
  <c r="P1688" i="12"/>
  <c r="Z1688" i="12"/>
  <c r="AA1688" i="12"/>
  <c r="AD1688" i="12"/>
  <c r="AE1688" i="12"/>
  <c r="AJ1688" i="12"/>
  <c r="AK1688" i="12"/>
  <c r="K1689" i="12"/>
  <c r="L1689" i="12"/>
  <c r="P1689" i="12"/>
  <c r="Z1689" i="12"/>
  <c r="AA1689" i="12"/>
  <c r="AD1689" i="12"/>
  <c r="AE1689" i="12"/>
  <c r="AJ1689" i="12"/>
  <c r="AK1689" i="12" s="1"/>
  <c r="AJ1690" i="12"/>
  <c r="AK1690" i="12" s="1"/>
  <c r="W1691" i="12"/>
  <c r="AJ1691" i="12"/>
  <c r="AK1691" i="12"/>
  <c r="AJ1692" i="12"/>
  <c r="AK1692" i="12"/>
  <c r="I1693" i="12"/>
  <c r="I1692" i="12" s="1"/>
  <c r="I1690" i="12" s="1"/>
  <c r="AC1693" i="12"/>
  <c r="AJ1693" i="12"/>
  <c r="AK1693" i="12"/>
  <c r="I1694" i="12"/>
  <c r="J1694" i="12"/>
  <c r="J1693" i="12" s="1"/>
  <c r="K1694" i="12"/>
  <c r="L1694" i="12"/>
  <c r="M1694" i="12"/>
  <c r="M1693" i="12" s="1"/>
  <c r="M1692" i="12" s="1"/>
  <c r="N1694" i="12"/>
  <c r="N1693" i="12" s="1"/>
  <c r="N1692" i="12" s="1"/>
  <c r="N1690" i="12" s="1"/>
  <c r="O1694" i="12"/>
  <c r="O1693" i="12" s="1"/>
  <c r="O1692" i="12" s="1"/>
  <c r="O1690" i="12" s="1"/>
  <c r="Q1694" i="12"/>
  <c r="Q1693" i="12" s="1"/>
  <c r="Q1692" i="12" s="1"/>
  <c r="Q1690" i="12" s="1"/>
  <c r="R1694" i="12"/>
  <c r="R1693" i="12" s="1"/>
  <c r="R1692" i="12" s="1"/>
  <c r="R1690" i="12" s="1"/>
  <c r="S1694" i="12"/>
  <c r="S1693" i="12" s="1"/>
  <c r="S1692" i="12" s="1"/>
  <c r="S1690" i="12" s="1"/>
  <c r="T1694" i="12"/>
  <c r="P1694" i="12" s="1"/>
  <c r="U1694" i="12"/>
  <c r="U1693" i="12" s="1"/>
  <c r="U1692" i="12" s="1"/>
  <c r="V1694" i="12"/>
  <c r="V1693" i="12" s="1"/>
  <c r="V1692" i="12" s="1"/>
  <c r="W1694" i="12"/>
  <c r="W1693" i="12" s="1"/>
  <c r="W1692" i="12" s="1"/>
  <c r="X1694" i="12"/>
  <c r="X1693" i="12" s="1"/>
  <c r="X1692" i="12" s="1"/>
  <c r="Y1694" i="12"/>
  <c r="Z1694" i="12" s="1"/>
  <c r="AC1694" i="12"/>
  <c r="AG1694" i="12"/>
  <c r="AG1693" i="12" s="1"/>
  <c r="AG1692" i="12" s="1"/>
  <c r="AH1694" i="12"/>
  <c r="AH1693" i="12" s="1"/>
  <c r="AH1692" i="12" s="1"/>
  <c r="AI1694" i="12"/>
  <c r="AI1693" i="12" s="1"/>
  <c r="AI1692" i="12" s="1"/>
  <c r="AI1691" i="12" s="1"/>
  <c r="AJ1694" i="12"/>
  <c r="AK1694" i="12" s="1"/>
  <c r="K1695" i="12"/>
  <c r="L1695" i="12"/>
  <c r="P1695" i="12"/>
  <c r="Z1695" i="12"/>
  <c r="AB1695" i="12"/>
  <c r="AA1695" i="12" s="1"/>
  <c r="AF1695" i="12"/>
  <c r="AE1695" i="12" s="1"/>
  <c r="AJ1695" i="12"/>
  <c r="AK1695" i="12" s="1"/>
  <c r="P1696" i="12"/>
  <c r="Z1696" i="12"/>
  <c r="AB1696" i="12"/>
  <c r="AD1696" i="12" s="1"/>
  <c r="AF1696" i="12"/>
  <c r="AJ1696" i="12"/>
  <c r="AK1696" i="12" s="1"/>
  <c r="AI1697" i="12"/>
  <c r="AJ1697" i="12"/>
  <c r="AK1697" i="12" s="1"/>
  <c r="V1698" i="12"/>
  <c r="V1697" i="12" s="1"/>
  <c r="AJ1698" i="12"/>
  <c r="AK1698" i="12"/>
  <c r="AC1699" i="12"/>
  <c r="AC1698" i="12" s="1"/>
  <c r="AC1697" i="12" s="1"/>
  <c r="AG1699" i="12"/>
  <c r="AG1698" i="12" s="1"/>
  <c r="AG1697" i="12" s="1"/>
  <c r="AJ1699" i="12"/>
  <c r="AK1699" i="12" s="1"/>
  <c r="U1700" i="12"/>
  <c r="U1699" i="12" s="1"/>
  <c r="U1698" i="12" s="1"/>
  <c r="U1697" i="12" s="1"/>
  <c r="V1700" i="12"/>
  <c r="V1699" i="12" s="1"/>
  <c r="W1700" i="12"/>
  <c r="W1699" i="12" s="1"/>
  <c r="W1698" i="12" s="1"/>
  <c r="X1700" i="12"/>
  <c r="X1699" i="12" s="1"/>
  <c r="X1698" i="12" s="1"/>
  <c r="X1697" i="12" s="1"/>
  <c r="Y1700" i="12"/>
  <c r="Y1699" i="12" s="1"/>
  <c r="Y1698" i="12" s="1"/>
  <c r="Y1697" i="12" s="1"/>
  <c r="AC1700" i="12"/>
  <c r="AG1700" i="12"/>
  <c r="AH1700" i="12"/>
  <c r="AH1699" i="12" s="1"/>
  <c r="AH1698" i="12" s="1"/>
  <c r="AH1697" i="12" s="1"/>
  <c r="AI1700" i="12"/>
  <c r="AI1699" i="12" s="1"/>
  <c r="AI1698" i="12" s="1"/>
  <c r="AI1690" i="12" s="1"/>
  <c r="AJ1700" i="12"/>
  <c r="AK1700" i="12" s="1"/>
  <c r="Z1701" i="12"/>
  <c r="AB1701" i="12"/>
  <c r="AD1701" i="12" s="1"/>
  <c r="AF1701" i="12"/>
  <c r="AJ1701" i="12"/>
  <c r="AK1701" i="12" s="1"/>
  <c r="Z1702" i="12"/>
  <c r="AB1702" i="12"/>
  <c r="AF1702" i="12"/>
  <c r="AJ1702" i="12"/>
  <c r="AK1702" i="12" s="1"/>
  <c r="AJ1703" i="12"/>
  <c r="AK1703" i="12" s="1"/>
  <c r="AJ1704" i="12"/>
  <c r="AK1704" i="12"/>
  <c r="AJ1705" i="12"/>
  <c r="AK1705" i="12"/>
  <c r="Q1706" i="12"/>
  <c r="Q1705" i="12" s="1"/>
  <c r="U1706" i="12"/>
  <c r="U1705" i="12" s="1"/>
  <c r="Y1706" i="12"/>
  <c r="AJ1706" i="12"/>
  <c r="AK1706" i="12" s="1"/>
  <c r="I1707" i="12"/>
  <c r="I1706" i="12" s="1"/>
  <c r="I1705" i="12" s="1"/>
  <c r="J1707" i="12"/>
  <c r="M1707" i="12"/>
  <c r="M1706" i="12" s="1"/>
  <c r="M1705" i="12" s="1"/>
  <c r="L1705" i="12" s="1"/>
  <c r="N1707" i="12"/>
  <c r="N1706" i="12" s="1"/>
  <c r="N1705" i="12" s="1"/>
  <c r="O1707" i="12"/>
  <c r="O1706" i="12" s="1"/>
  <c r="O1705" i="12" s="1"/>
  <c r="Q1707" i="12"/>
  <c r="R1707" i="12"/>
  <c r="R1706" i="12" s="1"/>
  <c r="R1705" i="12" s="1"/>
  <c r="S1707" i="12"/>
  <c r="S1706" i="12" s="1"/>
  <c r="S1705" i="12" s="1"/>
  <c r="T1707" i="12"/>
  <c r="U1707" i="12"/>
  <c r="V1707" i="12"/>
  <c r="V1706" i="12" s="1"/>
  <c r="V1705" i="12" s="1"/>
  <c r="V1704" i="12" s="1"/>
  <c r="W1707" i="12"/>
  <c r="W1706" i="12" s="1"/>
  <c r="W1705" i="12" s="1"/>
  <c r="W1704" i="12" s="1"/>
  <c r="X1707" i="12"/>
  <c r="X1706" i="12" s="1"/>
  <c r="X1705" i="12" s="1"/>
  <c r="X1704" i="12" s="1"/>
  <c r="Y1707" i="12"/>
  <c r="Z1707" i="12"/>
  <c r="AB1707" i="12"/>
  <c r="AD1707" i="12" s="1"/>
  <c r="AC1707" i="12"/>
  <c r="AC1706" i="12" s="1"/>
  <c r="AF1707" i="12"/>
  <c r="AG1707" i="12"/>
  <c r="AG1706" i="12" s="1"/>
  <c r="AG1705" i="12" s="1"/>
  <c r="AG1704" i="12" s="1"/>
  <c r="AH1707" i="12"/>
  <c r="AH1706" i="12" s="1"/>
  <c r="AH1705" i="12" s="1"/>
  <c r="AH1704" i="12" s="1"/>
  <c r="AI1707" i="12"/>
  <c r="AI1706" i="12" s="1"/>
  <c r="AI1705" i="12" s="1"/>
  <c r="AI1704" i="12" s="1"/>
  <c r="AJ1707" i="12"/>
  <c r="AK1707" i="12" s="1"/>
  <c r="K1708" i="12"/>
  <c r="L1708" i="12"/>
  <c r="P1708" i="12"/>
  <c r="Z1708" i="12"/>
  <c r="AA1708" i="12"/>
  <c r="AD1708" i="12"/>
  <c r="AE1708" i="12"/>
  <c r="AJ1708" i="12"/>
  <c r="AK1708" i="12"/>
  <c r="AJ1709" i="12"/>
  <c r="AK1709" i="12"/>
  <c r="R1710" i="12"/>
  <c r="R1709" i="12" s="1"/>
  <c r="R1703" i="12" s="1"/>
  <c r="V1710" i="12"/>
  <c r="V1709" i="12" s="1"/>
  <c r="AJ1710" i="12"/>
  <c r="AK1710" i="12"/>
  <c r="I1711" i="12"/>
  <c r="I1710" i="12" s="1"/>
  <c r="I1709" i="12" s="1"/>
  <c r="I1703" i="12" s="1"/>
  <c r="J1711" i="12"/>
  <c r="M1711" i="12"/>
  <c r="N1711" i="12"/>
  <c r="N1710" i="12" s="1"/>
  <c r="N1709" i="12" s="1"/>
  <c r="O1711" i="12"/>
  <c r="O1710" i="12" s="1"/>
  <c r="O1709" i="12" s="1"/>
  <c r="O1703" i="12" s="1"/>
  <c r="Q1711" i="12"/>
  <c r="Q1710" i="12" s="1"/>
  <c r="Q1709" i="12" s="1"/>
  <c r="R1711" i="12"/>
  <c r="S1711" i="12"/>
  <c r="S1710" i="12" s="1"/>
  <c r="S1709" i="12" s="1"/>
  <c r="T1711" i="12"/>
  <c r="T1710" i="12" s="1"/>
  <c r="U1711" i="12"/>
  <c r="U1710" i="12" s="1"/>
  <c r="U1709" i="12" s="1"/>
  <c r="V1711" i="12"/>
  <c r="W1711" i="12"/>
  <c r="W1710" i="12" s="1"/>
  <c r="W1709" i="12" s="1"/>
  <c r="X1711" i="12"/>
  <c r="X1710" i="12" s="1"/>
  <c r="X1709" i="12" s="1"/>
  <c r="Y1711" i="12"/>
  <c r="AB1711" i="12"/>
  <c r="AB1710" i="12" s="1"/>
  <c r="AC1711" i="12"/>
  <c r="AC1710" i="12" s="1"/>
  <c r="AC1709" i="12" s="1"/>
  <c r="AE1711" i="12"/>
  <c r="AF1711" i="12"/>
  <c r="AF1710" i="12" s="1"/>
  <c r="AF1709" i="12" s="1"/>
  <c r="AG1711" i="12"/>
  <c r="AG1710" i="12" s="1"/>
  <c r="AG1709" i="12" s="1"/>
  <c r="AH1711" i="12"/>
  <c r="AH1710" i="12" s="1"/>
  <c r="AH1709" i="12" s="1"/>
  <c r="AH1703" i="12" s="1"/>
  <c r="AI1711" i="12"/>
  <c r="AI1710" i="12" s="1"/>
  <c r="AI1709" i="12" s="1"/>
  <c r="AI1703" i="12" s="1"/>
  <c r="AJ1711" i="12"/>
  <c r="AK1711" i="12" s="1"/>
  <c r="K1712" i="12"/>
  <c r="L1712" i="12"/>
  <c r="P1712" i="12"/>
  <c r="Z1712" i="12"/>
  <c r="AA1712" i="12"/>
  <c r="AE1712" i="12"/>
  <c r="AJ1712" i="12"/>
  <c r="AK1712" i="12" s="1"/>
  <c r="AJ1713" i="12"/>
  <c r="AK1713" i="12"/>
  <c r="AJ1714" i="12"/>
  <c r="AK1714" i="12" s="1"/>
  <c r="K1715" i="12"/>
  <c r="AE1715" i="12"/>
  <c r="AJ1715" i="12"/>
  <c r="AK1715" i="12" s="1"/>
  <c r="AJ1716" i="12"/>
  <c r="AK1716" i="12" s="1"/>
  <c r="AJ1717" i="12"/>
  <c r="AK1717" i="12" s="1"/>
  <c r="AJ1718" i="12"/>
  <c r="AK1718" i="12"/>
  <c r="AJ1719" i="12"/>
  <c r="AK1719" i="12" s="1"/>
  <c r="AJ1720" i="12"/>
  <c r="AK1720" i="12" s="1"/>
  <c r="I1721" i="12"/>
  <c r="J1721" i="12"/>
  <c r="K1721" i="12" s="1"/>
  <c r="M1721" i="12"/>
  <c r="N1721" i="12"/>
  <c r="O1721" i="12"/>
  <c r="T1721" i="12"/>
  <c r="P1721" i="12" s="1"/>
  <c r="U1721" i="12"/>
  <c r="V1721" i="12"/>
  <c r="W1721" i="12"/>
  <c r="X1721" i="12"/>
  <c r="Y1721" i="12"/>
  <c r="Z1721" i="12" s="1"/>
  <c r="AB1721" i="12"/>
  <c r="AC1721" i="12"/>
  <c r="AD1721" i="12"/>
  <c r="AE1721" i="12"/>
  <c r="AF1721" i="12"/>
  <c r="AG1721" i="12"/>
  <c r="AH1721" i="12"/>
  <c r="AH1720" i="12" s="1"/>
  <c r="AI1721" i="12"/>
  <c r="AJ1721" i="12"/>
  <c r="AK1721" i="12"/>
  <c r="K1722" i="12"/>
  <c r="L1722" i="12"/>
  <c r="N1722" i="12"/>
  <c r="P1722" i="12"/>
  <c r="Q1722" i="12"/>
  <c r="Q1721" i="12" s="1"/>
  <c r="R1722" i="12"/>
  <c r="R1721" i="12" s="1"/>
  <c r="S1722" i="12"/>
  <c r="S1721" i="12" s="1"/>
  <c r="Z1722" i="12"/>
  <c r="AA1722" i="12"/>
  <c r="AD1722" i="12"/>
  <c r="AE1722" i="12"/>
  <c r="AJ1722" i="12"/>
  <c r="AK1722" i="12"/>
  <c r="I1723" i="12"/>
  <c r="K1723" i="12" s="1"/>
  <c r="J1723" i="12"/>
  <c r="M1723" i="12"/>
  <c r="L1723" i="12" s="1"/>
  <c r="N1723" i="12"/>
  <c r="O1723" i="12"/>
  <c r="Q1723" i="12"/>
  <c r="R1723" i="12"/>
  <c r="S1723" i="12"/>
  <c r="T1723" i="12"/>
  <c r="U1723" i="12"/>
  <c r="V1723" i="12"/>
  <c r="W1723" i="12"/>
  <c r="X1723" i="12"/>
  <c r="Y1723" i="12"/>
  <c r="AB1723" i="12"/>
  <c r="AA1723" i="12" s="1"/>
  <c r="AC1723" i="12"/>
  <c r="AD1723" i="12" s="1"/>
  <c r="AF1723" i="12"/>
  <c r="AG1723" i="12"/>
  <c r="AH1723" i="12"/>
  <c r="AI1723" i="12"/>
  <c r="AJ1723" i="12"/>
  <c r="AK1723" i="12" s="1"/>
  <c r="K1724" i="12"/>
  <c r="L1724" i="12"/>
  <c r="P1724" i="12"/>
  <c r="Z1724" i="12"/>
  <c r="AA1724" i="12"/>
  <c r="AD1724" i="12"/>
  <c r="AE1724" i="12"/>
  <c r="AJ1724" i="12"/>
  <c r="AK1724" i="12" s="1"/>
  <c r="I1725" i="12"/>
  <c r="J1725" i="12"/>
  <c r="K1725" i="12" s="1"/>
  <c r="M1725" i="12"/>
  <c r="O1725" i="12"/>
  <c r="R1725" i="12"/>
  <c r="S1725" i="12"/>
  <c r="T1725" i="12"/>
  <c r="U1725" i="12"/>
  <c r="V1725" i="12"/>
  <c r="AA1725" i="12" s="1"/>
  <c r="W1725" i="12"/>
  <c r="X1725" i="12"/>
  <c r="Y1725" i="12"/>
  <c r="Z1725" i="12"/>
  <c r="AB1725" i="12"/>
  <c r="AC1725" i="12"/>
  <c r="AD1725" i="12"/>
  <c r="AE1725" i="12"/>
  <c r="AF1725" i="12"/>
  <c r="AG1725" i="12"/>
  <c r="AH1725" i="12"/>
  <c r="AI1725" i="12"/>
  <c r="AJ1725" i="12"/>
  <c r="AK1725" i="12"/>
  <c r="K1726" i="12"/>
  <c r="L1726" i="12"/>
  <c r="N1726" i="12"/>
  <c r="N1725" i="12" s="1"/>
  <c r="P1726" i="12"/>
  <c r="Q1726" i="12"/>
  <c r="Q1725" i="12" s="1"/>
  <c r="Z1726" i="12"/>
  <c r="AA1726" i="12"/>
  <c r="AD1726" i="12"/>
  <c r="AE1726" i="12"/>
  <c r="AJ1726" i="12"/>
  <c r="AK1726" i="12" s="1"/>
  <c r="K1727" i="12"/>
  <c r="L1727" i="12"/>
  <c r="P1727" i="12"/>
  <c r="Z1727" i="12"/>
  <c r="AA1727" i="12"/>
  <c r="AD1727" i="12"/>
  <c r="AE1727" i="12"/>
  <c r="AJ1727" i="12"/>
  <c r="AK1727" i="12" s="1"/>
  <c r="AJ1728" i="12"/>
  <c r="AK1728" i="12"/>
  <c r="I1729" i="12"/>
  <c r="J1729" i="12"/>
  <c r="M1729" i="12"/>
  <c r="L1729" i="12" s="1"/>
  <c r="N1729" i="12"/>
  <c r="O1729" i="12"/>
  <c r="Q1729" i="12"/>
  <c r="R1729" i="12"/>
  <c r="S1729" i="12"/>
  <c r="T1729" i="12"/>
  <c r="U1729" i="12"/>
  <c r="V1729" i="12"/>
  <c r="W1729" i="12"/>
  <c r="X1729" i="12"/>
  <c r="Y1729" i="12"/>
  <c r="AB1729" i="12"/>
  <c r="AC1729" i="12"/>
  <c r="AF1729" i="12"/>
  <c r="AG1729" i="12"/>
  <c r="AH1729" i="12"/>
  <c r="AI1729" i="12"/>
  <c r="AJ1729" i="12"/>
  <c r="AK1729" i="12" s="1"/>
  <c r="K1730" i="12"/>
  <c r="L1730" i="12"/>
  <c r="P1730" i="12"/>
  <c r="Z1730" i="12"/>
  <c r="AA1730" i="12"/>
  <c r="AD1730" i="12"/>
  <c r="AE1730" i="12"/>
  <c r="AJ1730" i="12"/>
  <c r="AK1730" i="12" s="1"/>
  <c r="K1731" i="12"/>
  <c r="L1731" i="12"/>
  <c r="P1731" i="12"/>
  <c r="Z1731" i="12"/>
  <c r="AA1731" i="12"/>
  <c r="AD1731" i="12"/>
  <c r="AE1731" i="12"/>
  <c r="AJ1731" i="12"/>
  <c r="AK1731" i="12" s="1"/>
  <c r="K1732" i="12"/>
  <c r="L1732" i="12"/>
  <c r="P1732" i="12"/>
  <c r="Z1732" i="12"/>
  <c r="AA1732" i="12"/>
  <c r="AD1732" i="12"/>
  <c r="AE1732" i="12"/>
  <c r="AJ1732" i="12"/>
  <c r="AK1732" i="12" s="1"/>
  <c r="I1733" i="12"/>
  <c r="J1733" i="12"/>
  <c r="M1733" i="12"/>
  <c r="N1733" i="12"/>
  <c r="O1733" i="12"/>
  <c r="Q1733" i="12"/>
  <c r="Q1728" i="12" s="1"/>
  <c r="R1733" i="12"/>
  <c r="S1733" i="12"/>
  <c r="T1733" i="12"/>
  <c r="P1733" i="12" s="1"/>
  <c r="U1733" i="12"/>
  <c r="U1728" i="12" s="1"/>
  <c r="V1733" i="12"/>
  <c r="W1733" i="12"/>
  <c r="X1733" i="12"/>
  <c r="Y1733" i="12"/>
  <c r="Z1733" i="12" s="1"/>
  <c r="AB1733" i="12"/>
  <c r="AA1733" i="12" s="1"/>
  <c r="AC1733" i="12"/>
  <c r="AF1733" i="12"/>
  <c r="AG1733" i="12"/>
  <c r="AG1728" i="12" s="1"/>
  <c r="AH1733" i="12"/>
  <c r="AI1733" i="12"/>
  <c r="AJ1733" i="12"/>
  <c r="AK1733" i="12"/>
  <c r="K1734" i="12"/>
  <c r="L1734" i="12"/>
  <c r="P1734" i="12"/>
  <c r="Z1734" i="12"/>
  <c r="AA1734" i="12"/>
  <c r="AD1734" i="12"/>
  <c r="AE1734" i="12"/>
  <c r="AJ1734" i="12"/>
  <c r="AK1734" i="12" s="1"/>
  <c r="I1735" i="12"/>
  <c r="J1735" i="12"/>
  <c r="M1735" i="12"/>
  <c r="L1735" i="12" s="1"/>
  <c r="N1735" i="12"/>
  <c r="O1735" i="12"/>
  <c r="Q1735" i="12"/>
  <c r="R1735" i="12"/>
  <c r="R1728" i="12" s="1"/>
  <c r="S1735" i="12"/>
  <c r="T1735" i="12"/>
  <c r="U1735" i="12"/>
  <c r="V1735" i="12"/>
  <c r="W1735" i="12"/>
  <c r="X1735" i="12"/>
  <c r="Y1735" i="12"/>
  <c r="Z1735" i="12"/>
  <c r="AB1735" i="12"/>
  <c r="AC1735" i="12"/>
  <c r="AD1735" i="12"/>
  <c r="AE1735" i="12"/>
  <c r="AF1735" i="12"/>
  <c r="AG1735" i="12"/>
  <c r="AH1735" i="12"/>
  <c r="AH1728" i="12" s="1"/>
  <c r="AI1735" i="12"/>
  <c r="AJ1735" i="12"/>
  <c r="AK1735" i="12"/>
  <c r="K1736" i="12"/>
  <c r="L1736" i="12"/>
  <c r="P1736" i="12"/>
  <c r="Z1736" i="12"/>
  <c r="AA1736" i="12"/>
  <c r="AD1736" i="12"/>
  <c r="AE1736" i="12"/>
  <c r="AJ1736" i="12"/>
  <c r="AK1736" i="12"/>
  <c r="I1737" i="12"/>
  <c r="J1737" i="12"/>
  <c r="M1737" i="12"/>
  <c r="N1737" i="12"/>
  <c r="O1737" i="12"/>
  <c r="Q1737" i="12"/>
  <c r="R1737" i="12"/>
  <c r="S1737" i="12"/>
  <c r="T1737" i="12"/>
  <c r="U1737" i="12"/>
  <c r="V1737" i="12"/>
  <c r="W1737" i="12"/>
  <c r="X1737" i="12"/>
  <c r="Y1737" i="12"/>
  <c r="AB1737" i="12"/>
  <c r="AA1737" i="12" s="1"/>
  <c r="AC1737" i="12"/>
  <c r="AF1737" i="12"/>
  <c r="AG1737" i="12"/>
  <c r="AH1737" i="12"/>
  <c r="AI1737" i="12"/>
  <c r="AJ1737" i="12"/>
  <c r="AK1737" i="12" s="1"/>
  <c r="K1738" i="12"/>
  <c r="L1738" i="12"/>
  <c r="P1738" i="12"/>
  <c r="Z1738" i="12"/>
  <c r="AA1738" i="12"/>
  <c r="AD1738" i="12"/>
  <c r="AE1738" i="12"/>
  <c r="AJ1738" i="12"/>
  <c r="AK1738" i="12" s="1"/>
  <c r="AJ1739" i="12"/>
  <c r="AK1739" i="12"/>
  <c r="AJ1740" i="12"/>
  <c r="AK1740" i="12" s="1"/>
  <c r="AJ1741" i="12"/>
  <c r="AK1741" i="12" s="1"/>
  <c r="Q1742" i="12"/>
  <c r="Q1741" i="12" s="1"/>
  <c r="Q1739" i="12" s="1"/>
  <c r="AG1742" i="12"/>
  <c r="AG1741" i="12" s="1"/>
  <c r="AJ1742" i="12"/>
  <c r="AK1742" i="12" s="1"/>
  <c r="I1743" i="12"/>
  <c r="I1742" i="12" s="1"/>
  <c r="I1741" i="12" s="1"/>
  <c r="I1739" i="12" s="1"/>
  <c r="J1743" i="12"/>
  <c r="M1743" i="12"/>
  <c r="L1743" i="12" s="1"/>
  <c r="O1743" i="12"/>
  <c r="O1742" i="12" s="1"/>
  <c r="O1741" i="12" s="1"/>
  <c r="O1739" i="12" s="1"/>
  <c r="R1743" i="12"/>
  <c r="R1742" i="12" s="1"/>
  <c r="R1741" i="12" s="1"/>
  <c r="R1739" i="12" s="1"/>
  <c r="S1743" i="12"/>
  <c r="S1742" i="12" s="1"/>
  <c r="S1741" i="12" s="1"/>
  <c r="S1739" i="12" s="1"/>
  <c r="T1743" i="12"/>
  <c r="T1742" i="12" s="1"/>
  <c r="U1743" i="12"/>
  <c r="U1742" i="12" s="1"/>
  <c r="U1741" i="12" s="1"/>
  <c r="U1739" i="12" s="1"/>
  <c r="V1743" i="12"/>
  <c r="V1742" i="12" s="1"/>
  <c r="V1741" i="12" s="1"/>
  <c r="V1739" i="12" s="1"/>
  <c r="W1743" i="12"/>
  <c r="W1742" i="12" s="1"/>
  <c r="W1741" i="12" s="1"/>
  <c r="W1740" i="12" s="1"/>
  <c r="X1743" i="12"/>
  <c r="X1742" i="12" s="1"/>
  <c r="X1741" i="12" s="1"/>
  <c r="Y1743" i="12"/>
  <c r="AB1743" i="12"/>
  <c r="AC1743" i="12"/>
  <c r="AC1742" i="12" s="1"/>
  <c r="AE1743" i="12"/>
  <c r="AF1743" i="12"/>
  <c r="AF1742" i="12" s="1"/>
  <c r="AG1743" i="12"/>
  <c r="AH1743" i="12"/>
  <c r="AH1742" i="12" s="1"/>
  <c r="AH1741" i="12" s="1"/>
  <c r="AH1740" i="12" s="1"/>
  <c r="AI1743" i="12"/>
  <c r="AI1742" i="12" s="1"/>
  <c r="AI1741" i="12" s="1"/>
  <c r="AJ1743" i="12"/>
  <c r="AK1743" i="12" s="1"/>
  <c r="K1744" i="12"/>
  <c r="L1744" i="12"/>
  <c r="N1744" i="12"/>
  <c r="Q1744" i="12"/>
  <c r="Q1743" i="12" s="1"/>
  <c r="Z1744" i="12"/>
  <c r="AA1744" i="12"/>
  <c r="AD1744" i="12"/>
  <c r="AE1744" i="12"/>
  <c r="AJ1744" i="12"/>
  <c r="AK1744" i="12" s="1"/>
  <c r="AJ1745" i="12"/>
  <c r="AK1745" i="12"/>
  <c r="AJ1746" i="12"/>
  <c r="AK1746" i="12" s="1"/>
  <c r="K1747" i="12"/>
  <c r="AE1747" i="12"/>
  <c r="AJ1747" i="12"/>
  <c r="AK1747" i="12" s="1"/>
  <c r="AJ1748" i="12"/>
  <c r="AK1748" i="12"/>
  <c r="AE1749" i="12"/>
  <c r="AJ1749" i="12"/>
  <c r="AK1749" i="12"/>
  <c r="AJ1750" i="12"/>
  <c r="AK1750" i="12" s="1"/>
  <c r="AJ1751" i="12"/>
  <c r="AK1751" i="12" s="1"/>
  <c r="AJ1752" i="12"/>
  <c r="AK1752" i="12" s="1"/>
  <c r="AJ1753" i="12"/>
  <c r="AK1753" i="12" s="1"/>
  <c r="S1754" i="12"/>
  <c r="AI1754" i="12"/>
  <c r="AJ1754" i="12"/>
  <c r="AK1754" i="12" s="1"/>
  <c r="I1755" i="12"/>
  <c r="I1754" i="12" s="1"/>
  <c r="J1755" i="12"/>
  <c r="K1755" i="12" s="1"/>
  <c r="M1755" i="12"/>
  <c r="M1754" i="12" s="1"/>
  <c r="N1755" i="12"/>
  <c r="O1755" i="12"/>
  <c r="Q1755" i="12"/>
  <c r="R1755" i="12"/>
  <c r="S1755" i="12"/>
  <c r="T1755" i="12"/>
  <c r="U1755" i="12"/>
  <c r="U1754" i="12" s="1"/>
  <c r="V1755" i="12"/>
  <c r="W1755" i="12"/>
  <c r="X1755" i="12"/>
  <c r="Y1755" i="12"/>
  <c r="Z1755" i="12" s="1"/>
  <c r="AB1755" i="12"/>
  <c r="AC1755" i="12"/>
  <c r="AF1755" i="12"/>
  <c r="AG1755" i="12"/>
  <c r="AH1755" i="12"/>
  <c r="AI1755" i="12"/>
  <c r="AJ1755" i="12"/>
  <c r="AK1755" i="12" s="1"/>
  <c r="K1756" i="12"/>
  <c r="L1756" i="12"/>
  <c r="P1756" i="12"/>
  <c r="Z1756" i="12"/>
  <c r="AA1756" i="12"/>
  <c r="AD1756" i="12"/>
  <c r="AE1756" i="12"/>
  <c r="AJ1756" i="12"/>
  <c r="AK1756" i="12" s="1"/>
  <c r="K1757" i="12"/>
  <c r="L1757" i="12"/>
  <c r="P1757" i="12"/>
  <c r="Z1757" i="12"/>
  <c r="AA1757" i="12"/>
  <c r="AD1757" i="12"/>
  <c r="AE1757" i="12"/>
  <c r="AJ1757" i="12"/>
  <c r="AK1757" i="12" s="1"/>
  <c r="P1758" i="12"/>
  <c r="Z1758" i="12"/>
  <c r="AA1758" i="12"/>
  <c r="AD1758" i="12"/>
  <c r="AE1758" i="12"/>
  <c r="AJ1758" i="12"/>
  <c r="AK1758" i="12" s="1"/>
  <c r="M1759" i="12"/>
  <c r="N1759" i="12"/>
  <c r="O1759" i="12"/>
  <c r="Q1759" i="12"/>
  <c r="R1759" i="12"/>
  <c r="S1759" i="12"/>
  <c r="T1759" i="12"/>
  <c r="P1759" i="12" s="1"/>
  <c r="U1759" i="12"/>
  <c r="V1759" i="12"/>
  <c r="Y1759" i="12"/>
  <c r="Z1759" i="12" s="1"/>
  <c r="AB1759" i="12"/>
  <c r="AA1759" i="12" s="1"/>
  <c r="AC1759" i="12"/>
  <c r="AD1759" i="12"/>
  <c r="AF1759" i="12"/>
  <c r="AE1759" i="12" s="1"/>
  <c r="AG1759" i="12"/>
  <c r="AH1759" i="12"/>
  <c r="AI1759" i="12"/>
  <c r="AJ1759" i="12"/>
  <c r="AK1759" i="12" s="1"/>
  <c r="K1760" i="12"/>
  <c r="L1760" i="12"/>
  <c r="P1760" i="12"/>
  <c r="W1760" i="12"/>
  <c r="Z1760" i="12"/>
  <c r="AA1760" i="12"/>
  <c r="AD1760" i="12"/>
  <c r="AE1760" i="12"/>
  <c r="AJ1760" i="12"/>
  <c r="AK1760" i="12" s="1"/>
  <c r="K1761" i="12"/>
  <c r="L1761" i="12"/>
  <c r="P1761" i="12"/>
  <c r="T1761" i="12"/>
  <c r="W1761" i="12"/>
  <c r="X1761" i="12"/>
  <c r="X1759" i="12" s="1"/>
  <c r="Z1761" i="12"/>
  <c r="AA1761" i="12"/>
  <c r="AD1761" i="12"/>
  <c r="AE1761" i="12"/>
  <c r="AJ1761" i="12"/>
  <c r="AK1761" i="12" s="1"/>
  <c r="AJ1762" i="12"/>
  <c r="AK1762" i="12" s="1"/>
  <c r="K1763" i="12"/>
  <c r="L1763" i="12"/>
  <c r="P1763" i="12"/>
  <c r="Z1763" i="12"/>
  <c r="AA1763" i="12"/>
  <c r="AD1763" i="12"/>
  <c r="AE1763" i="12"/>
  <c r="AJ1763" i="12"/>
  <c r="AK1763" i="12"/>
  <c r="K1764" i="12"/>
  <c r="L1764" i="12"/>
  <c r="P1764" i="12"/>
  <c r="Z1764" i="12"/>
  <c r="AA1764" i="12"/>
  <c r="AD1764" i="12"/>
  <c r="AE1764" i="12"/>
  <c r="AJ1764" i="12"/>
  <c r="AK1764" i="12" s="1"/>
  <c r="AJ1765" i="12"/>
  <c r="AK1765" i="12" s="1"/>
  <c r="K1766" i="12"/>
  <c r="L1766" i="12"/>
  <c r="P1766" i="12"/>
  <c r="Z1766" i="12"/>
  <c r="AA1766" i="12"/>
  <c r="AD1766" i="12"/>
  <c r="AE1766" i="12"/>
  <c r="AJ1766" i="12"/>
  <c r="AK1766" i="12" s="1"/>
  <c r="I1767" i="12"/>
  <c r="J1767" i="12"/>
  <c r="K1767" i="12" s="1"/>
  <c r="L1767" i="12"/>
  <c r="M1767" i="12"/>
  <c r="N1767" i="12"/>
  <c r="Q1767" i="12"/>
  <c r="Q1754" i="12" s="1"/>
  <c r="R1767" i="12"/>
  <c r="S1767" i="12"/>
  <c r="T1767" i="12"/>
  <c r="P1767" i="12" s="1"/>
  <c r="U1767" i="12"/>
  <c r="V1767" i="12"/>
  <c r="AB1767" i="12"/>
  <c r="AC1767" i="12"/>
  <c r="AG1767" i="12"/>
  <c r="AG1754" i="12" s="1"/>
  <c r="AH1767" i="12"/>
  <c r="AI1767" i="12"/>
  <c r="AJ1767" i="12"/>
  <c r="AK1767" i="12" s="1"/>
  <c r="K1768" i="12"/>
  <c r="L1768" i="12"/>
  <c r="O1768" i="12"/>
  <c r="O1767" i="12" s="1"/>
  <c r="P1768" i="12"/>
  <c r="Z1768" i="12"/>
  <c r="AA1768" i="12"/>
  <c r="AD1768" i="12"/>
  <c r="AF1768" i="12"/>
  <c r="AE1768" i="12" s="1"/>
  <c r="AJ1768" i="12"/>
  <c r="AK1768" i="12" s="1"/>
  <c r="AJ1769" i="12"/>
  <c r="AK1769" i="12"/>
  <c r="P1770" i="12"/>
  <c r="Z1770" i="12"/>
  <c r="AA1770" i="12"/>
  <c r="AD1770" i="12"/>
  <c r="AF1770" i="12"/>
  <c r="AE1770" i="12" s="1"/>
  <c r="AJ1770" i="12"/>
  <c r="AK1770" i="12"/>
  <c r="K1771" i="12"/>
  <c r="L1771" i="12"/>
  <c r="P1771" i="12"/>
  <c r="Y1771" i="12"/>
  <c r="Z1771" i="12" s="1"/>
  <c r="AA1771" i="12"/>
  <c r="AD1771" i="12"/>
  <c r="AE1771" i="12"/>
  <c r="AJ1771" i="12"/>
  <c r="AK1771" i="12"/>
  <c r="K1772" i="12"/>
  <c r="L1772" i="12"/>
  <c r="P1772" i="12"/>
  <c r="W1772" i="12"/>
  <c r="X1772" i="12"/>
  <c r="X1767" i="12" s="1"/>
  <c r="Z1772" i="12"/>
  <c r="AA1772" i="12"/>
  <c r="AD1772" i="12"/>
  <c r="AE1772" i="12"/>
  <c r="AJ1772" i="12"/>
  <c r="AK1772" i="12" s="1"/>
  <c r="P1773" i="12"/>
  <c r="Z1773" i="12"/>
  <c r="AA1773" i="12"/>
  <c r="AD1773" i="12"/>
  <c r="AE1773" i="12"/>
  <c r="AJ1773" i="12"/>
  <c r="AK1773" i="12" s="1"/>
  <c r="K1774" i="12"/>
  <c r="L1774" i="12"/>
  <c r="P1774" i="12"/>
  <c r="Z1774" i="12"/>
  <c r="AA1774" i="12"/>
  <c r="AD1774" i="12"/>
  <c r="AE1774" i="12"/>
  <c r="AJ1774" i="12"/>
  <c r="AK1774" i="12" s="1"/>
  <c r="AJ1775" i="12"/>
  <c r="AK1775" i="12" s="1"/>
  <c r="K1776" i="12"/>
  <c r="L1776" i="12"/>
  <c r="P1776" i="12"/>
  <c r="W1776" i="12"/>
  <c r="X1776" i="12"/>
  <c r="Z1776" i="12"/>
  <c r="AA1776" i="12"/>
  <c r="AD1776" i="12"/>
  <c r="AE1776" i="12"/>
  <c r="AJ1776" i="12"/>
  <c r="AK1776" i="12" s="1"/>
  <c r="K1777" i="12"/>
  <c r="L1777" i="12"/>
  <c r="P1777" i="12"/>
  <c r="Z1777" i="12"/>
  <c r="AA1777" i="12"/>
  <c r="AD1777" i="12"/>
  <c r="AE1777" i="12"/>
  <c r="AJ1777" i="12"/>
  <c r="AK1777" i="12" s="1"/>
  <c r="K1778" i="12"/>
  <c r="L1778" i="12"/>
  <c r="P1778" i="12"/>
  <c r="W1778" i="12"/>
  <c r="X1778" i="12"/>
  <c r="Z1778" i="12"/>
  <c r="AA1778" i="12"/>
  <c r="AD1778" i="12"/>
  <c r="AE1778" i="12"/>
  <c r="AJ1778" i="12"/>
  <c r="AK1778" i="12"/>
  <c r="K1779" i="12"/>
  <c r="L1779" i="12"/>
  <c r="P1779" i="12"/>
  <c r="W1779" i="12"/>
  <c r="X1779" i="12"/>
  <c r="Z1779" i="12"/>
  <c r="AA1779" i="12"/>
  <c r="AD1779" i="12"/>
  <c r="AE1779" i="12"/>
  <c r="AJ1779" i="12"/>
  <c r="AK1779" i="12" s="1"/>
  <c r="K1780" i="12"/>
  <c r="L1780" i="12"/>
  <c r="P1780" i="12"/>
  <c r="Z1780" i="12"/>
  <c r="AA1780" i="12"/>
  <c r="AD1780" i="12"/>
  <c r="AE1780" i="12"/>
  <c r="AJ1780" i="12"/>
  <c r="AK1780" i="12"/>
  <c r="P1781" i="12"/>
  <c r="Z1781" i="12"/>
  <c r="AA1781" i="12"/>
  <c r="AD1781" i="12"/>
  <c r="AE1781" i="12"/>
  <c r="AJ1781" i="12"/>
  <c r="AK1781" i="12" s="1"/>
  <c r="K1782" i="12"/>
  <c r="L1782" i="12"/>
  <c r="P1782" i="12"/>
  <c r="Z1782" i="12"/>
  <c r="AA1782" i="12"/>
  <c r="AD1782" i="12"/>
  <c r="AE1782" i="12"/>
  <c r="AJ1782" i="12"/>
  <c r="AK1782" i="12" s="1"/>
  <c r="I1783" i="12"/>
  <c r="L1783" i="12" s="1"/>
  <c r="J1783" i="12"/>
  <c r="K1783" i="12" s="1"/>
  <c r="M1783" i="12"/>
  <c r="N1783" i="12"/>
  <c r="O1783" i="12"/>
  <c r="Q1783" i="12"/>
  <c r="R1783" i="12"/>
  <c r="S1783" i="12"/>
  <c r="T1783" i="12"/>
  <c r="P1783" i="12" s="1"/>
  <c r="U1783" i="12"/>
  <c r="V1783" i="12"/>
  <c r="W1783" i="12"/>
  <c r="X1783" i="12"/>
  <c r="Y1783" i="12"/>
  <c r="Z1783" i="12" s="1"/>
  <c r="AB1783" i="12"/>
  <c r="AC1783" i="12"/>
  <c r="AF1783" i="12"/>
  <c r="AG1783" i="12"/>
  <c r="AH1783" i="12"/>
  <c r="AI1783" i="12"/>
  <c r="AJ1783" i="12"/>
  <c r="AK1783" i="12" s="1"/>
  <c r="K1784" i="12"/>
  <c r="L1784" i="12"/>
  <c r="P1784" i="12"/>
  <c r="Z1784" i="12"/>
  <c r="AA1784" i="12"/>
  <c r="AD1784" i="12"/>
  <c r="AE1784" i="12"/>
  <c r="AJ1784" i="12"/>
  <c r="AK1784" i="12" s="1"/>
  <c r="K1785" i="12"/>
  <c r="L1785" i="12"/>
  <c r="P1785" i="12"/>
  <c r="Z1785" i="12"/>
  <c r="AA1785" i="12"/>
  <c r="AD1785" i="12"/>
  <c r="AE1785" i="12"/>
  <c r="AJ1785" i="12"/>
  <c r="AK1785" i="12" s="1"/>
  <c r="K1786" i="12"/>
  <c r="L1786" i="12"/>
  <c r="P1786" i="12"/>
  <c r="Z1786" i="12"/>
  <c r="AA1786" i="12"/>
  <c r="AD1786" i="12"/>
  <c r="AE1786" i="12"/>
  <c r="AJ1786" i="12"/>
  <c r="AK1786" i="12"/>
  <c r="K1787" i="12"/>
  <c r="L1787" i="12"/>
  <c r="P1787" i="12"/>
  <c r="Z1787" i="12"/>
  <c r="AA1787" i="12"/>
  <c r="AD1787" i="12"/>
  <c r="AE1787" i="12"/>
  <c r="AJ1787" i="12"/>
  <c r="AK1787" i="12" s="1"/>
  <c r="K1788" i="12"/>
  <c r="L1788" i="12"/>
  <c r="P1788" i="12"/>
  <c r="Z1788" i="12"/>
  <c r="AA1788" i="12"/>
  <c r="AD1788" i="12"/>
  <c r="AE1788" i="12"/>
  <c r="AJ1788" i="12"/>
  <c r="AK1788" i="12"/>
  <c r="R1789" i="12"/>
  <c r="T1789" i="12"/>
  <c r="AB1789" i="12"/>
  <c r="AF1789" i="12"/>
  <c r="AE1789" i="12" s="1"/>
  <c r="AH1789" i="12"/>
  <c r="AJ1789" i="12"/>
  <c r="AK1789" i="12" s="1"/>
  <c r="I1790" i="12"/>
  <c r="J1790" i="12"/>
  <c r="J1789" i="12" s="1"/>
  <c r="M1790" i="12"/>
  <c r="N1790" i="12"/>
  <c r="N1789" i="12" s="1"/>
  <c r="O1790" i="12"/>
  <c r="O1789" i="12" s="1"/>
  <c r="Q1790" i="12"/>
  <c r="Q1789" i="12" s="1"/>
  <c r="R1790" i="12"/>
  <c r="S1790" i="12"/>
  <c r="S1789" i="12" s="1"/>
  <c r="T1790" i="12"/>
  <c r="P1790" i="12" s="1"/>
  <c r="U1790" i="12"/>
  <c r="U1789" i="12" s="1"/>
  <c r="V1790" i="12"/>
  <c r="V1789" i="12" s="1"/>
  <c r="Y1790" i="12"/>
  <c r="AA1790" i="12"/>
  <c r="AB1790" i="12"/>
  <c r="AC1790" i="12"/>
  <c r="AF1790" i="12"/>
  <c r="AE1790" i="12" s="1"/>
  <c r="AG1790" i="12"/>
  <c r="AG1789" i="12" s="1"/>
  <c r="AH1790" i="12"/>
  <c r="AI1790" i="12"/>
  <c r="AI1789" i="12" s="1"/>
  <c r="AJ1790" i="12"/>
  <c r="AK1790" i="12" s="1"/>
  <c r="K1791" i="12"/>
  <c r="L1791" i="12"/>
  <c r="P1791" i="12"/>
  <c r="W1791" i="12"/>
  <c r="W1790" i="12" s="1"/>
  <c r="W1789" i="12" s="1"/>
  <c r="X1791" i="12"/>
  <c r="X1790" i="12" s="1"/>
  <c r="X1789" i="12" s="1"/>
  <c r="Z1791" i="12"/>
  <c r="AA1791" i="12"/>
  <c r="AD1791" i="12"/>
  <c r="AE1791" i="12"/>
  <c r="AJ1791" i="12"/>
  <c r="AK1791" i="12" s="1"/>
  <c r="K1792" i="12"/>
  <c r="L1792" i="12"/>
  <c r="P1792" i="12"/>
  <c r="Z1792" i="12"/>
  <c r="AA1792" i="12"/>
  <c r="AD1792" i="12"/>
  <c r="AE1792" i="12"/>
  <c r="AJ1792" i="12"/>
  <c r="AK1792" i="12"/>
  <c r="K1793" i="12"/>
  <c r="L1793" i="12"/>
  <c r="P1793" i="12"/>
  <c r="Z1793" i="12"/>
  <c r="AA1793" i="12"/>
  <c r="AD1793" i="12"/>
  <c r="AE1793" i="12"/>
  <c r="AJ1793" i="12"/>
  <c r="AK1793" i="12" s="1"/>
  <c r="AJ1794" i="12"/>
  <c r="AK1794" i="12" s="1"/>
  <c r="AJ1795" i="12"/>
  <c r="AK1795" i="12" s="1"/>
  <c r="AJ1796" i="12"/>
  <c r="AK1796" i="12" s="1"/>
  <c r="I1797" i="12"/>
  <c r="I1796" i="12" s="1"/>
  <c r="I1794" i="12" s="1"/>
  <c r="S1797" i="12"/>
  <c r="S1796" i="12" s="1"/>
  <c r="S1794" i="12" s="1"/>
  <c r="AC1797" i="12"/>
  <c r="AD1797" i="12" s="1"/>
  <c r="AJ1797" i="12"/>
  <c r="AK1797" i="12"/>
  <c r="I1798" i="12"/>
  <c r="J1798" i="12"/>
  <c r="M1798" i="12"/>
  <c r="N1798" i="12"/>
  <c r="N1797" i="12" s="1"/>
  <c r="N1796" i="12" s="1"/>
  <c r="N1794" i="12" s="1"/>
  <c r="O1798" i="12"/>
  <c r="O1797" i="12" s="1"/>
  <c r="O1796" i="12" s="1"/>
  <c r="O1794" i="12" s="1"/>
  <c r="Q1798" i="12"/>
  <c r="Q1797" i="12" s="1"/>
  <c r="Q1796" i="12" s="1"/>
  <c r="Q1794" i="12" s="1"/>
  <c r="R1798" i="12"/>
  <c r="R1797" i="12" s="1"/>
  <c r="R1796" i="12" s="1"/>
  <c r="R1794" i="12" s="1"/>
  <c r="S1798" i="12"/>
  <c r="T1798" i="12"/>
  <c r="U1798" i="12"/>
  <c r="U1797" i="12" s="1"/>
  <c r="U1796" i="12" s="1"/>
  <c r="U1794" i="12" s="1"/>
  <c r="V1798" i="12"/>
  <c r="V1797" i="12" s="1"/>
  <c r="V1796" i="12" s="1"/>
  <c r="W1798" i="12"/>
  <c r="W1797" i="12" s="1"/>
  <c r="W1796" i="12" s="1"/>
  <c r="W1795" i="12" s="1"/>
  <c r="X1798" i="12"/>
  <c r="X1797" i="12" s="1"/>
  <c r="X1796" i="12" s="1"/>
  <c r="Y1798" i="12"/>
  <c r="Y1797" i="12" s="1"/>
  <c r="Z1798" i="12"/>
  <c r="AB1798" i="12"/>
  <c r="AB1797" i="12" s="1"/>
  <c r="AB1796" i="12" s="1"/>
  <c r="AC1798" i="12"/>
  <c r="AD1798" i="12"/>
  <c r="AF1798" i="12"/>
  <c r="AF1797" i="12" s="1"/>
  <c r="AG1798" i="12"/>
  <c r="AG1797" i="12" s="1"/>
  <c r="AG1796" i="12" s="1"/>
  <c r="AH1798" i="12"/>
  <c r="AI1798" i="12"/>
  <c r="AJ1798" i="12"/>
  <c r="AK1798" i="12" s="1"/>
  <c r="K1799" i="12"/>
  <c r="L1799" i="12"/>
  <c r="P1799" i="12"/>
  <c r="Z1799" i="12"/>
  <c r="AA1799" i="12"/>
  <c r="AD1799" i="12"/>
  <c r="AE1799" i="12"/>
  <c r="AJ1799" i="12"/>
  <c r="AK1799" i="12" s="1"/>
  <c r="AB1800" i="12"/>
  <c r="AA1800" i="12" s="1"/>
  <c r="AC1800" i="12"/>
  <c r="AD1800" i="12"/>
  <c r="AF1800" i="12"/>
  <c r="AE1800" i="12" s="1"/>
  <c r="AG1800" i="12"/>
  <c r="AH1800" i="12"/>
  <c r="AI1800" i="12"/>
  <c r="AJ1800" i="12"/>
  <c r="AK1800" i="12" s="1"/>
  <c r="AA1801" i="12"/>
  <c r="AD1801" i="12"/>
  <c r="AE1801" i="12"/>
  <c r="AJ1801" i="12"/>
  <c r="AK1801" i="12" s="1"/>
  <c r="AJ1802" i="12"/>
  <c r="AK1802" i="12" s="1"/>
  <c r="AJ1803" i="12"/>
  <c r="AK1803" i="12" s="1"/>
  <c r="AJ1804" i="12"/>
  <c r="AK1804" i="12"/>
  <c r="AH1805" i="12"/>
  <c r="AH1804" i="12" s="1"/>
  <c r="AJ1805" i="12"/>
  <c r="AK1805" i="12" s="1"/>
  <c r="I1806" i="12"/>
  <c r="J1806" i="12"/>
  <c r="M1806" i="12"/>
  <c r="N1806" i="12"/>
  <c r="N1805" i="12" s="1"/>
  <c r="N1804" i="12" s="1"/>
  <c r="N1802" i="12" s="1"/>
  <c r="O1806" i="12"/>
  <c r="Q1806" i="12"/>
  <c r="R1806" i="12"/>
  <c r="S1806" i="12"/>
  <c r="T1806" i="12"/>
  <c r="U1806" i="12"/>
  <c r="V1806" i="12"/>
  <c r="W1806" i="12"/>
  <c r="X1806" i="12"/>
  <c r="X1805" i="12" s="1"/>
  <c r="X1804" i="12" s="1"/>
  <c r="X1802" i="12" s="1"/>
  <c r="Y1806" i="12"/>
  <c r="AA1806" i="12"/>
  <c r="AB1806" i="12"/>
  <c r="AC1806" i="12"/>
  <c r="AF1806" i="12"/>
  <c r="AE1806" i="12" s="1"/>
  <c r="AG1806" i="12"/>
  <c r="AH1806" i="12"/>
  <c r="AI1806" i="12"/>
  <c r="AJ1806" i="12"/>
  <c r="AK1806" i="12" s="1"/>
  <c r="K1807" i="12"/>
  <c r="L1807" i="12"/>
  <c r="P1807" i="12"/>
  <c r="Z1807" i="12"/>
  <c r="AA1807" i="12"/>
  <c r="AD1807" i="12"/>
  <c r="AE1807" i="12"/>
  <c r="AJ1807" i="12"/>
  <c r="AK1807" i="12" s="1"/>
  <c r="K1808" i="12"/>
  <c r="L1808" i="12"/>
  <c r="P1808" i="12"/>
  <c r="Z1808" i="12"/>
  <c r="AA1808" i="12"/>
  <c r="AE1808" i="12"/>
  <c r="AJ1808" i="12"/>
  <c r="AK1808" i="12" s="1"/>
  <c r="P1809" i="12"/>
  <c r="Z1809" i="12"/>
  <c r="AA1809" i="12"/>
  <c r="AE1809" i="12"/>
  <c r="AJ1809" i="12"/>
  <c r="AK1809" i="12" s="1"/>
  <c r="K1810" i="12"/>
  <c r="L1810" i="12"/>
  <c r="P1810" i="12"/>
  <c r="Z1810" i="12"/>
  <c r="AA1810" i="12"/>
  <c r="AD1810" i="12"/>
  <c r="AE1810" i="12"/>
  <c r="AJ1810" i="12"/>
  <c r="AK1810" i="12" s="1"/>
  <c r="K1811" i="12"/>
  <c r="L1811" i="12"/>
  <c r="P1811" i="12"/>
  <c r="Z1811" i="12"/>
  <c r="AA1811" i="12"/>
  <c r="AE1811" i="12"/>
  <c r="AJ1811" i="12"/>
  <c r="AK1811" i="12" s="1"/>
  <c r="K1812" i="12"/>
  <c r="L1812" i="12"/>
  <c r="P1812" i="12"/>
  <c r="Z1812" i="12"/>
  <c r="AA1812" i="12"/>
  <c r="AE1812" i="12"/>
  <c r="AJ1812" i="12"/>
  <c r="AK1812" i="12" s="1"/>
  <c r="K1813" i="12"/>
  <c r="L1813" i="12"/>
  <c r="P1813" i="12"/>
  <c r="Z1813" i="12"/>
  <c r="AA1813" i="12"/>
  <c r="AE1813" i="12"/>
  <c r="AJ1813" i="12"/>
  <c r="AK1813" i="12" s="1"/>
  <c r="K1814" i="12"/>
  <c r="L1814" i="12"/>
  <c r="P1814" i="12"/>
  <c r="Z1814" i="12"/>
  <c r="AA1814" i="12"/>
  <c r="AD1814" i="12"/>
  <c r="AE1814" i="12"/>
  <c r="AJ1814" i="12"/>
  <c r="AK1814" i="12" s="1"/>
  <c r="I1815" i="12"/>
  <c r="J1815" i="12"/>
  <c r="K1815" i="12" s="1"/>
  <c r="M1815" i="12"/>
  <c r="N1815" i="12"/>
  <c r="O1815" i="12"/>
  <c r="Q1815" i="12"/>
  <c r="R1815" i="12"/>
  <c r="S1815" i="12"/>
  <c r="T1815" i="12"/>
  <c r="P1815" i="12" s="1"/>
  <c r="U1815" i="12"/>
  <c r="V1815" i="12"/>
  <c r="W1815" i="12"/>
  <c r="X1815" i="12"/>
  <c r="Y1815" i="12"/>
  <c r="Z1815" i="12" s="1"/>
  <c r="AB1815" i="12"/>
  <c r="AA1815" i="12" s="1"/>
  <c r="AC1815" i="12"/>
  <c r="AF1815" i="12"/>
  <c r="AG1815" i="12"/>
  <c r="AH1815" i="12"/>
  <c r="AI1815" i="12"/>
  <c r="AJ1815" i="12"/>
  <c r="AK1815" i="12" s="1"/>
  <c r="K1816" i="12"/>
  <c r="L1816" i="12"/>
  <c r="P1816" i="12"/>
  <c r="Z1816" i="12"/>
  <c r="AA1816" i="12"/>
  <c r="AE1816" i="12"/>
  <c r="AJ1816" i="12"/>
  <c r="AK1816" i="12" s="1"/>
  <c r="I1817" i="12"/>
  <c r="J1817" i="12"/>
  <c r="K1817" i="12"/>
  <c r="M1817" i="12"/>
  <c r="L1817" i="12" s="1"/>
  <c r="N1817" i="12"/>
  <c r="O1817" i="12"/>
  <c r="Q1817" i="12"/>
  <c r="R1817" i="12"/>
  <c r="S1817" i="12"/>
  <c r="T1817" i="12"/>
  <c r="U1817" i="12"/>
  <c r="V1817" i="12"/>
  <c r="W1817" i="12"/>
  <c r="X1817" i="12"/>
  <c r="Y1817" i="12"/>
  <c r="AA1817" i="12"/>
  <c r="AB1817" i="12"/>
  <c r="AB1805" i="12" s="1"/>
  <c r="AB1804" i="12" s="1"/>
  <c r="AC1817" i="12"/>
  <c r="AF1817" i="12"/>
  <c r="AE1817" i="12" s="1"/>
  <c r="AG1817" i="12"/>
  <c r="AH1817" i="12"/>
  <c r="AI1817" i="12"/>
  <c r="AJ1817" i="12"/>
  <c r="AK1817" i="12" s="1"/>
  <c r="K1818" i="12"/>
  <c r="L1818" i="12"/>
  <c r="P1818" i="12"/>
  <c r="Z1818" i="12"/>
  <c r="AA1818" i="12"/>
  <c r="AD1818" i="12"/>
  <c r="AE1818" i="12"/>
  <c r="AJ1818" i="12"/>
  <c r="AK1818" i="12" s="1"/>
  <c r="AJ1819" i="12"/>
  <c r="AK1819" i="12"/>
  <c r="AJ1820" i="12"/>
  <c r="AK1820" i="12"/>
  <c r="AJ1821" i="12"/>
  <c r="AK1821" i="12" s="1"/>
  <c r="Y1822" i="12"/>
  <c r="AI1822" i="12"/>
  <c r="AI1821" i="12" s="1"/>
  <c r="AJ1822" i="12"/>
  <c r="AK1822" i="12" s="1"/>
  <c r="N1823" i="12"/>
  <c r="N1822" i="12" s="1"/>
  <c r="N1821" i="12" s="1"/>
  <c r="N1819" i="12" s="1"/>
  <c r="O1823" i="12"/>
  <c r="O1822" i="12" s="1"/>
  <c r="O1821" i="12" s="1"/>
  <c r="O1819" i="12" s="1"/>
  <c r="T1823" i="12"/>
  <c r="U1823" i="12"/>
  <c r="U1822" i="12" s="1"/>
  <c r="U1821" i="12" s="1"/>
  <c r="U1819" i="12" s="1"/>
  <c r="V1823" i="12"/>
  <c r="V1822" i="12" s="1"/>
  <c r="V1821" i="12" s="1"/>
  <c r="W1823" i="12"/>
  <c r="W1822" i="12" s="1"/>
  <c r="W1821" i="12" s="1"/>
  <c r="X1823" i="12"/>
  <c r="X1822" i="12" s="1"/>
  <c r="X1821" i="12" s="1"/>
  <c r="Y1823" i="12"/>
  <c r="Z1823" i="12" s="1"/>
  <c r="AB1823" i="12"/>
  <c r="AB1822" i="12" s="1"/>
  <c r="AB1821" i="12" s="1"/>
  <c r="AC1823" i="12"/>
  <c r="AF1823" i="12"/>
  <c r="AF1822" i="12" s="1"/>
  <c r="AG1823" i="12"/>
  <c r="AG1822" i="12" s="1"/>
  <c r="AG1821" i="12" s="1"/>
  <c r="AH1823" i="12"/>
  <c r="AH1822" i="12" s="1"/>
  <c r="AH1821" i="12" s="1"/>
  <c r="AI1823" i="12"/>
  <c r="AJ1823" i="12"/>
  <c r="AK1823" i="12" s="1"/>
  <c r="P1824" i="12"/>
  <c r="Z1824" i="12"/>
  <c r="AA1824" i="12"/>
  <c r="AE1824" i="12"/>
  <c r="AJ1824" i="12"/>
  <c r="AK1824" i="12" s="1"/>
  <c r="P1825" i="12"/>
  <c r="Z1825" i="12"/>
  <c r="AA1825" i="12"/>
  <c r="AE1825" i="12"/>
  <c r="AJ1825" i="12"/>
  <c r="AK1825" i="12" s="1"/>
  <c r="P1826" i="12"/>
  <c r="T1826" i="12"/>
  <c r="Z1826" i="12"/>
  <c r="AA1826" i="12"/>
  <c r="AD1826" i="12"/>
  <c r="AE1826" i="12"/>
  <c r="AJ1826" i="12"/>
  <c r="AK1826" i="12" s="1"/>
  <c r="AJ1827" i="12"/>
  <c r="AK1827" i="12" s="1"/>
  <c r="AJ1828" i="12"/>
  <c r="AK1828" i="12" s="1"/>
  <c r="AJ1829" i="12"/>
  <c r="AK1829" i="12"/>
  <c r="AC1830" i="12"/>
  <c r="AC1829" i="12" s="1"/>
  <c r="AH1830" i="12"/>
  <c r="AH1829" i="12" s="1"/>
  <c r="AJ1830" i="12"/>
  <c r="AK1830" i="12" s="1"/>
  <c r="AB1831" i="12"/>
  <c r="AC1831" i="12"/>
  <c r="AF1831" i="12"/>
  <c r="AF1830" i="12" s="1"/>
  <c r="AF1829" i="12" s="1"/>
  <c r="AF1827" i="12" s="1"/>
  <c r="AG1831" i="12"/>
  <c r="AG1830" i="12" s="1"/>
  <c r="AG1829" i="12" s="1"/>
  <c r="AG1828" i="12" s="1"/>
  <c r="AH1831" i="12"/>
  <c r="AI1831" i="12"/>
  <c r="AI1830" i="12" s="1"/>
  <c r="AI1829" i="12" s="1"/>
  <c r="AJ1831" i="12"/>
  <c r="AK1831" i="12"/>
  <c r="AE1832" i="12"/>
  <c r="AJ1832" i="12"/>
  <c r="AK1832" i="12" s="1"/>
  <c r="AJ1833" i="12"/>
  <c r="AK1833" i="12"/>
  <c r="AJ1834" i="12"/>
  <c r="AK1834" i="12" s="1"/>
  <c r="AJ1835" i="12"/>
  <c r="AK1835" i="12"/>
  <c r="AJ1836" i="12"/>
  <c r="AK1836" i="12" s="1"/>
  <c r="U1837" i="12"/>
  <c r="U1836" i="12" s="1"/>
  <c r="U1835" i="12" s="1"/>
  <c r="U1834" i="12" s="1"/>
  <c r="U1833" i="12" s="1"/>
  <c r="AJ1837" i="12"/>
  <c r="AK1837" i="12"/>
  <c r="AJ1838" i="12"/>
  <c r="AK1838" i="12" s="1"/>
  <c r="AJ1839" i="12"/>
  <c r="AK1839" i="12" s="1"/>
  <c r="AJ1840" i="12"/>
  <c r="AK1840" i="12"/>
  <c r="AJ1841" i="12"/>
  <c r="AK1841" i="12" s="1"/>
  <c r="AJ1842" i="12"/>
  <c r="AK1842" i="12"/>
  <c r="U1843" i="12"/>
  <c r="U1842" i="12" s="1"/>
  <c r="U1841" i="12" s="1"/>
  <c r="U1840" i="12" s="1"/>
  <c r="U1839" i="12" s="1"/>
  <c r="AJ1843" i="12"/>
  <c r="AK1843" i="12" s="1"/>
  <c r="AJ1844" i="12"/>
  <c r="AK1844" i="12" s="1"/>
  <c r="W1845" i="12"/>
  <c r="AJ1845" i="12"/>
  <c r="AK1845" i="12" s="1"/>
  <c r="AJ1846" i="12"/>
  <c r="AK1846" i="12" s="1"/>
  <c r="U1847" i="12"/>
  <c r="U1845" i="12" s="1"/>
  <c r="V1847" i="12"/>
  <c r="V1845" i="12" s="1"/>
  <c r="W1847" i="12"/>
  <c r="W1846" i="12" s="1"/>
  <c r="X1847" i="12"/>
  <c r="X1845" i="12" s="1"/>
  <c r="Y1847" i="12"/>
  <c r="Y1845" i="12" s="1"/>
  <c r="Z1847" i="12"/>
  <c r="Z1845" i="12" s="1"/>
  <c r="AA1847" i="12"/>
  <c r="AA1845" i="12" s="1"/>
  <c r="AF1847" i="12"/>
  <c r="AJ1847" i="12"/>
  <c r="AK1847" i="12" s="1"/>
  <c r="AG1848" i="12"/>
  <c r="AG1847" i="12" s="1"/>
  <c r="AJ1848" i="12"/>
  <c r="AK1848" i="12" s="1"/>
  <c r="AB1849" i="12"/>
  <c r="AB1848" i="12" s="1"/>
  <c r="AB1847" i="12" s="1"/>
  <c r="AC1849" i="12"/>
  <c r="AC1848" i="12" s="1"/>
  <c r="AC1847" i="12" s="1"/>
  <c r="AF1849" i="12"/>
  <c r="AF1848" i="12" s="1"/>
  <c r="AE1848" i="12" s="1"/>
  <c r="AG1849" i="12"/>
  <c r="AH1849" i="12"/>
  <c r="AH1848" i="12" s="1"/>
  <c r="AH1847" i="12" s="1"/>
  <c r="AI1849" i="12"/>
  <c r="AI1848" i="12" s="1"/>
  <c r="AI1847" i="12" s="1"/>
  <c r="AJ1849" i="12"/>
  <c r="AK1849" i="12" s="1"/>
  <c r="AE1850" i="12"/>
  <c r="AJ1850" i="12"/>
  <c r="AK1850" i="12"/>
  <c r="AJ1851" i="12"/>
  <c r="AK1851" i="12" s="1"/>
  <c r="Z1852" i="12"/>
  <c r="AJ1852" i="12"/>
  <c r="AK1852" i="12" s="1"/>
  <c r="U1853" i="12"/>
  <c r="U1851" i="12" s="1"/>
  <c r="V1853" i="12"/>
  <c r="W1853" i="12"/>
  <c r="W1851" i="12" s="1"/>
  <c r="X1853" i="12"/>
  <c r="X1851" i="12" s="1"/>
  <c r="Y1853" i="12"/>
  <c r="Y1851" i="12" s="1"/>
  <c r="Z1853" i="12"/>
  <c r="Z1851" i="12" s="1"/>
  <c r="AA1853" i="12"/>
  <c r="AA1851" i="12" s="1"/>
  <c r="AJ1853" i="12"/>
  <c r="AK1853" i="12"/>
  <c r="AC1854" i="12"/>
  <c r="AC1853" i="12" s="1"/>
  <c r="AF1854" i="12"/>
  <c r="AF1853" i="12" s="1"/>
  <c r="AJ1854" i="12"/>
  <c r="AK1854" i="12" s="1"/>
  <c r="AB1855" i="12"/>
  <c r="AC1855" i="12"/>
  <c r="AF1855" i="12"/>
  <c r="AG1855" i="12"/>
  <c r="AG1854" i="12" s="1"/>
  <c r="AG1853" i="12" s="1"/>
  <c r="AH1855" i="12"/>
  <c r="AH1854" i="12" s="1"/>
  <c r="AH1853" i="12" s="1"/>
  <c r="AI1855" i="12"/>
  <c r="AI1854" i="12" s="1"/>
  <c r="AI1853" i="12" s="1"/>
  <c r="AJ1855" i="12"/>
  <c r="AK1855" i="12"/>
  <c r="AE1856" i="12"/>
  <c r="AJ1856" i="12"/>
  <c r="AK1856" i="12" s="1"/>
  <c r="AJ1857" i="12"/>
  <c r="AK1857" i="12"/>
  <c r="AJ1858" i="12"/>
  <c r="AK1858" i="12" s="1"/>
  <c r="AJ1859" i="12"/>
  <c r="AK1859" i="12" s="1"/>
  <c r="AF1860" i="12"/>
  <c r="AF1859" i="12" s="1"/>
  <c r="AF1857" i="12" s="1"/>
  <c r="AJ1860" i="12"/>
  <c r="AK1860" i="12" s="1"/>
  <c r="AB1861" i="12"/>
  <c r="AC1861" i="12"/>
  <c r="AC1860" i="12" s="1"/>
  <c r="AC1859" i="12" s="1"/>
  <c r="AF1861" i="12"/>
  <c r="AG1861" i="12"/>
  <c r="AG1860" i="12" s="1"/>
  <c r="AG1859" i="12" s="1"/>
  <c r="AG1858" i="12" s="1"/>
  <c r="AH1861" i="12"/>
  <c r="AH1860" i="12" s="1"/>
  <c r="AH1859" i="12" s="1"/>
  <c r="AI1861" i="12"/>
  <c r="AI1860" i="12" s="1"/>
  <c r="AI1859" i="12" s="1"/>
  <c r="AJ1861" i="12"/>
  <c r="AK1861" i="12" s="1"/>
  <c r="AE1862" i="12"/>
  <c r="AJ1862" i="12"/>
  <c r="AK1862" i="12" s="1"/>
  <c r="AJ1863" i="12"/>
  <c r="AK1863" i="12" s="1"/>
  <c r="AJ1864" i="12"/>
  <c r="AK1864" i="12" s="1"/>
  <c r="AJ1865" i="12"/>
  <c r="AK1865" i="12" s="1"/>
  <c r="AJ1866" i="12"/>
  <c r="AK1866" i="12" s="1"/>
  <c r="AJ1867" i="12"/>
  <c r="AK1867" i="12"/>
  <c r="U1868" i="12"/>
  <c r="AJ1868" i="12"/>
  <c r="AK1868" i="12" s="1"/>
  <c r="AJ1869" i="12"/>
  <c r="AK1869" i="12" s="1"/>
  <c r="AJ1870" i="12"/>
  <c r="AK1870" i="12" s="1"/>
  <c r="U1871" i="12"/>
  <c r="V1871" i="12"/>
  <c r="Y1871" i="12"/>
  <c r="AC1871" i="12"/>
  <c r="AJ1871" i="12"/>
  <c r="AK1871" i="12"/>
  <c r="AA1872" i="12"/>
  <c r="AD1872" i="12"/>
  <c r="AE1872" i="12"/>
  <c r="AJ1872" i="12"/>
  <c r="AK1872" i="12" s="1"/>
  <c r="AJ1873" i="12"/>
  <c r="AK1873" i="12" s="1"/>
  <c r="Z1874" i="12"/>
  <c r="AB1874" i="12"/>
  <c r="AB1871" i="12" s="1"/>
  <c r="AE1874" i="12"/>
  <c r="AF1874" i="12"/>
  <c r="AF1871" i="12" s="1"/>
  <c r="AG1874" i="12"/>
  <c r="AG1871" i="12" s="1"/>
  <c r="AG1867" i="12" s="1"/>
  <c r="AG1866" i="12" s="1"/>
  <c r="AG1865" i="12" s="1"/>
  <c r="AH1874" i="12"/>
  <c r="AH1871" i="12" s="1"/>
  <c r="AI1874" i="12"/>
  <c r="AI1871" i="12" s="1"/>
  <c r="AI1867" i="12" s="1"/>
  <c r="AJ1874" i="12"/>
  <c r="AK1874" i="12" s="1"/>
  <c r="W1875" i="12"/>
  <c r="W1871" i="12" s="1"/>
  <c r="X1875" i="12"/>
  <c r="X1871" i="12" s="1"/>
  <c r="Z1875" i="12"/>
  <c r="AA1875" i="12"/>
  <c r="AD1875" i="12"/>
  <c r="AE1875" i="12"/>
  <c r="AJ1875" i="12"/>
  <c r="AK1875" i="12" s="1"/>
  <c r="AJ1876" i="12"/>
  <c r="AK1876" i="12"/>
  <c r="AJ1877" i="12"/>
  <c r="AK1877" i="12" s="1"/>
  <c r="Z1878" i="12"/>
  <c r="AA1878" i="12"/>
  <c r="AD1878" i="12"/>
  <c r="AE1878" i="12"/>
  <c r="AJ1878" i="12"/>
  <c r="AK1878" i="12"/>
  <c r="AJ1879" i="12"/>
  <c r="AK1879" i="12" s="1"/>
  <c r="Z1880" i="12"/>
  <c r="AA1880" i="12"/>
  <c r="AD1880" i="12"/>
  <c r="AE1880" i="12"/>
  <c r="AJ1880" i="12"/>
  <c r="AK1880" i="12"/>
  <c r="AJ1881" i="12"/>
  <c r="AK1881" i="12" s="1"/>
  <c r="U1882" i="12"/>
  <c r="V1882" i="12"/>
  <c r="Y1882" i="12"/>
  <c r="AB1882" i="12"/>
  <c r="AF1882" i="12"/>
  <c r="AE1882" i="12" s="1"/>
  <c r="AG1882" i="12"/>
  <c r="AH1882" i="12"/>
  <c r="AI1882" i="12"/>
  <c r="AJ1882" i="12"/>
  <c r="AK1882" i="12" s="1"/>
  <c r="Z1883" i="12"/>
  <c r="AA1883" i="12"/>
  <c r="AC1883" i="12"/>
  <c r="AC1882" i="12" s="1"/>
  <c r="AD1882" i="12" s="1"/>
  <c r="AE1883" i="12"/>
  <c r="AJ1883" i="12"/>
  <c r="AK1883" i="12" s="1"/>
  <c r="W1884" i="12"/>
  <c r="X1884" i="12"/>
  <c r="X1882" i="12" s="1"/>
  <c r="Z1884" i="12"/>
  <c r="AA1884" i="12"/>
  <c r="AD1884" i="12"/>
  <c r="AE1884" i="12"/>
  <c r="AJ1884" i="12"/>
  <c r="AK1884" i="12" s="1"/>
  <c r="AJ1885" i="12"/>
  <c r="AK1885" i="12"/>
  <c r="Z1886" i="12"/>
  <c r="AA1886" i="12"/>
  <c r="AD1886" i="12"/>
  <c r="AE1886" i="12"/>
  <c r="AJ1886" i="12"/>
  <c r="AK1886" i="12" s="1"/>
  <c r="AJ1887" i="12"/>
  <c r="AK1887" i="12"/>
  <c r="AA1888" i="12"/>
  <c r="AD1888" i="12"/>
  <c r="AE1888" i="12"/>
  <c r="AJ1888" i="12"/>
  <c r="AK1888" i="12" s="1"/>
  <c r="W1889" i="12"/>
  <c r="X1889" i="12"/>
  <c r="Z1889" i="12"/>
  <c r="AA1889" i="12"/>
  <c r="AD1889" i="12"/>
  <c r="AE1889" i="12"/>
  <c r="AJ1889" i="12"/>
  <c r="AK1889" i="12" s="1"/>
  <c r="Z1890" i="12"/>
  <c r="AA1890" i="12"/>
  <c r="AD1890" i="12"/>
  <c r="AE1890" i="12"/>
  <c r="AJ1890" i="12"/>
  <c r="AK1890" i="12" s="1"/>
  <c r="Z1891" i="12"/>
  <c r="AA1891" i="12"/>
  <c r="AD1891" i="12"/>
  <c r="AE1891" i="12"/>
  <c r="AJ1891" i="12"/>
  <c r="AK1891" i="12" s="1"/>
  <c r="AJ1892" i="12"/>
  <c r="AK1892" i="12" s="1"/>
  <c r="AJ1893" i="12"/>
  <c r="AK1893" i="12" s="1"/>
  <c r="Z1894" i="12"/>
  <c r="AA1894" i="12"/>
  <c r="AD1894" i="12"/>
  <c r="AE1894" i="12"/>
  <c r="AJ1894" i="12"/>
  <c r="AK1894" i="12" s="1"/>
  <c r="U1895" i="12"/>
  <c r="V1895" i="12"/>
  <c r="W1895" i="12"/>
  <c r="X1895" i="12"/>
  <c r="Y1895" i="12"/>
  <c r="Z1895" i="12"/>
  <c r="AB1895" i="12"/>
  <c r="AC1895" i="12"/>
  <c r="AF1895" i="12"/>
  <c r="AJ1895" i="12"/>
  <c r="AK1895" i="12"/>
  <c r="AJ1896" i="12"/>
  <c r="AK1896" i="12" s="1"/>
  <c r="AJ1897" i="12"/>
  <c r="AK1897" i="12"/>
  <c r="AA1898" i="12"/>
  <c r="AA1895" i="12" s="1"/>
  <c r="AD1898" i="12"/>
  <c r="AE1898" i="12"/>
  <c r="AJ1898" i="12"/>
  <c r="AK1898" i="12" s="1"/>
  <c r="U1899" i="12"/>
  <c r="AC1899" i="12"/>
  <c r="AJ1899" i="12"/>
  <c r="AK1899" i="12"/>
  <c r="U1900" i="12"/>
  <c r="V1900" i="12"/>
  <c r="V1899" i="12" s="1"/>
  <c r="W1900" i="12"/>
  <c r="W1899" i="12" s="1"/>
  <c r="X1900" i="12"/>
  <c r="X1899" i="12" s="1"/>
  <c r="Y1900" i="12"/>
  <c r="Y1899" i="12" s="1"/>
  <c r="AB1900" i="12"/>
  <c r="AB1899" i="12" s="1"/>
  <c r="AC1900" i="12"/>
  <c r="AF1900" i="12"/>
  <c r="AF1899" i="12" s="1"/>
  <c r="AG1900" i="12"/>
  <c r="AG1899" i="12" s="1"/>
  <c r="AH1900" i="12"/>
  <c r="AH1899" i="12" s="1"/>
  <c r="AI1900" i="12"/>
  <c r="AI1899" i="12" s="1"/>
  <c r="AJ1900" i="12"/>
  <c r="AK1900" i="12" s="1"/>
  <c r="Z1901" i="12"/>
  <c r="Z1900" i="12" s="1"/>
  <c r="Z1899" i="12" s="1"/>
  <c r="AA1901" i="12"/>
  <c r="AA1900" i="12" s="1"/>
  <c r="AA1899" i="12" s="1"/>
  <c r="AD1901" i="12"/>
  <c r="AE1901" i="12"/>
  <c r="AJ1901" i="12"/>
  <c r="AK1901" i="12" s="1"/>
  <c r="I1902" i="12"/>
  <c r="Q1902" i="12"/>
  <c r="AC1902" i="12"/>
  <c r="AJ1902" i="12"/>
  <c r="AK1902" i="12"/>
  <c r="I1903" i="12"/>
  <c r="J1903" i="12"/>
  <c r="J1902" i="12" s="1"/>
  <c r="K1903" i="12"/>
  <c r="K1902" i="12" s="1"/>
  <c r="L1903" i="12"/>
  <c r="L1902" i="12" s="1"/>
  <c r="M1903" i="12"/>
  <c r="M1902" i="12" s="1"/>
  <c r="N1903" i="12"/>
  <c r="N1902" i="12" s="1"/>
  <c r="O1903" i="12"/>
  <c r="O1902" i="12" s="1"/>
  <c r="P1903" i="12"/>
  <c r="Q1903" i="12"/>
  <c r="T1903" i="12"/>
  <c r="T1902" i="12" s="1"/>
  <c r="P1902" i="12" s="1"/>
  <c r="U1903" i="12"/>
  <c r="U1902" i="12" s="1"/>
  <c r="V1903" i="12"/>
  <c r="V1902" i="12" s="1"/>
  <c r="W1903" i="12"/>
  <c r="W1902" i="12" s="1"/>
  <c r="X1903" i="12"/>
  <c r="X1902" i="12" s="1"/>
  <c r="Y1903" i="12"/>
  <c r="Y1902" i="12" s="1"/>
  <c r="Z1903" i="12"/>
  <c r="AB1903" i="12"/>
  <c r="AB1902" i="12" s="1"/>
  <c r="AC1903" i="12"/>
  <c r="AD1903" i="12"/>
  <c r="AF1903" i="12"/>
  <c r="AF1902" i="12" s="1"/>
  <c r="AG1903" i="12"/>
  <c r="AG1902" i="12" s="1"/>
  <c r="AH1903" i="12"/>
  <c r="AH1902" i="12" s="1"/>
  <c r="AI1903" i="12"/>
  <c r="AI1902" i="12" s="1"/>
  <c r="AJ1903" i="12"/>
  <c r="AK1903" i="12" s="1"/>
  <c r="P1904" i="12"/>
  <c r="Z1904" i="12"/>
  <c r="AA1904" i="12"/>
  <c r="AD1904" i="12"/>
  <c r="AE1904" i="12"/>
  <c r="AJ1904" i="12"/>
  <c r="AK1904" i="12"/>
  <c r="P1905" i="12"/>
  <c r="Z1905" i="12"/>
  <c r="AA1905" i="12"/>
  <c r="AD1905" i="12"/>
  <c r="AE1905" i="12"/>
  <c r="AJ1905" i="12"/>
  <c r="AK1905" i="12" s="1"/>
  <c r="AJ1906" i="12"/>
  <c r="AK1906" i="12" s="1"/>
  <c r="AJ1907" i="12"/>
  <c r="AK1907" i="12" s="1"/>
  <c r="AJ1908" i="12"/>
  <c r="AK1908" i="12" s="1"/>
  <c r="AJ1909" i="12"/>
  <c r="AK1909" i="12" s="1"/>
  <c r="I1910" i="12"/>
  <c r="J1910" i="12"/>
  <c r="K1910" i="12" s="1"/>
  <c r="M1910" i="12"/>
  <c r="L1910" i="12" s="1"/>
  <c r="N1910" i="12"/>
  <c r="O1910" i="12"/>
  <c r="Q1910" i="12"/>
  <c r="R1910" i="12"/>
  <c r="S1910" i="12"/>
  <c r="T1910" i="12"/>
  <c r="U1910" i="12"/>
  <c r="V1910" i="12"/>
  <c r="W1910" i="12"/>
  <c r="X1910" i="12"/>
  <c r="Y1910" i="12"/>
  <c r="AB1910" i="12"/>
  <c r="AA1910" i="12" s="1"/>
  <c r="AC1910" i="12"/>
  <c r="AF1910" i="12"/>
  <c r="AI1910" i="12"/>
  <c r="AJ1910" i="12"/>
  <c r="AK1910" i="12" s="1"/>
  <c r="P1911" i="12"/>
  <c r="Z1911" i="12"/>
  <c r="AA1911" i="12"/>
  <c r="AD1911" i="12"/>
  <c r="AE1911" i="12"/>
  <c r="AG1911" i="12"/>
  <c r="AG1910" i="12" s="1"/>
  <c r="AH1911" i="12"/>
  <c r="AH1910" i="12" s="1"/>
  <c r="AI1911" i="12"/>
  <c r="AJ1911" i="12"/>
  <c r="AK1911" i="12"/>
  <c r="P1912" i="12"/>
  <c r="Z1912" i="12"/>
  <c r="AA1912" i="12"/>
  <c r="AD1912" i="12"/>
  <c r="AJ1912" i="12"/>
  <c r="AK1912" i="12" s="1"/>
  <c r="I1913" i="12"/>
  <c r="L1913" i="12" s="1"/>
  <c r="J1913" i="12"/>
  <c r="M1913" i="12"/>
  <c r="N1913" i="12"/>
  <c r="O1913" i="12"/>
  <c r="Q1913" i="12"/>
  <c r="R1913" i="12"/>
  <c r="S1913" i="12"/>
  <c r="T1913" i="12"/>
  <c r="T1909" i="12" s="1"/>
  <c r="U1913" i="12"/>
  <c r="V1913" i="12"/>
  <c r="W1913" i="12"/>
  <c r="X1913" i="12"/>
  <c r="X1909" i="12" s="1"/>
  <c r="X1908" i="12" s="1"/>
  <c r="X1907" i="12" s="1"/>
  <c r="Y1913" i="12"/>
  <c r="Z1913" i="12" s="1"/>
  <c r="AB1913" i="12"/>
  <c r="AJ1913" i="12"/>
  <c r="AK1913" i="12"/>
  <c r="K1914" i="12"/>
  <c r="L1914" i="12"/>
  <c r="P1914" i="12"/>
  <c r="Z1914" i="12"/>
  <c r="AA1914" i="12"/>
  <c r="AD1914" i="12"/>
  <c r="AE1914" i="12"/>
  <c r="AG1914" i="12"/>
  <c r="AH1914" i="12"/>
  <c r="AH1913" i="12" s="1"/>
  <c r="AI1914" i="12"/>
  <c r="AI1913" i="12" s="1"/>
  <c r="AI1909" i="12" s="1"/>
  <c r="AI1908" i="12" s="1"/>
  <c r="AJ1914" i="12"/>
  <c r="AK1914" i="12"/>
  <c r="K1915" i="12"/>
  <c r="L1915" i="12"/>
  <c r="P1915" i="12"/>
  <c r="Z1915" i="12"/>
  <c r="AA1915" i="12"/>
  <c r="AD1915" i="12"/>
  <c r="AE1915" i="12"/>
  <c r="AG1915" i="12"/>
  <c r="AJ1915" i="12"/>
  <c r="AK1915" i="12"/>
  <c r="K1916" i="12"/>
  <c r="L1916" i="12"/>
  <c r="P1916" i="12"/>
  <c r="Z1916" i="12"/>
  <c r="AA1916" i="12"/>
  <c r="AD1916" i="12"/>
  <c r="AE1916" i="12"/>
  <c r="AG1916" i="12"/>
  <c r="AJ1916" i="12"/>
  <c r="AK1916" i="12"/>
  <c r="P1917" i="12"/>
  <c r="Z1917" i="12"/>
  <c r="AA1917" i="12"/>
  <c r="AD1917" i="12"/>
  <c r="AF1917" i="12"/>
  <c r="AG1917" i="12"/>
  <c r="AJ1917" i="12"/>
  <c r="AK1917" i="12" s="1"/>
  <c r="P1918" i="12"/>
  <c r="Z1918" i="12"/>
  <c r="AA1918" i="12"/>
  <c r="AD1918" i="12"/>
  <c r="AE1918" i="12"/>
  <c r="AG1918" i="12"/>
  <c r="AJ1918" i="12"/>
  <c r="AK1918" i="12" s="1"/>
  <c r="I1919" i="12"/>
  <c r="J1919" i="12"/>
  <c r="M1919" i="12"/>
  <c r="N1919" i="12"/>
  <c r="O1919" i="12"/>
  <c r="Q1919" i="12"/>
  <c r="R1919" i="12"/>
  <c r="S1919" i="12"/>
  <c r="T1919" i="12"/>
  <c r="U1919" i="12"/>
  <c r="V1919" i="12"/>
  <c r="W1919" i="12"/>
  <c r="X1919" i="12"/>
  <c r="Y1919" i="12"/>
  <c r="Z1919" i="12" s="1"/>
  <c r="AB1919" i="12"/>
  <c r="AA1919" i="12" s="1"/>
  <c r="AC1919" i="12"/>
  <c r="AE1919" i="12"/>
  <c r="AF1919" i="12"/>
  <c r="AH1919" i="12"/>
  <c r="AJ1919" i="12"/>
  <c r="AK1919" i="12" s="1"/>
  <c r="P1920" i="12"/>
  <c r="Z1920" i="12"/>
  <c r="AA1920" i="12"/>
  <c r="AD1920" i="12"/>
  <c r="AE1920" i="12"/>
  <c r="AI1920" i="12"/>
  <c r="AI1919" i="12" s="1"/>
  <c r="AJ1920" i="12"/>
  <c r="AK1920" i="12" s="1"/>
  <c r="K1921" i="12"/>
  <c r="L1921" i="12"/>
  <c r="P1921" i="12"/>
  <c r="Z1921" i="12"/>
  <c r="AA1921" i="12"/>
  <c r="AD1921" i="12"/>
  <c r="AE1921" i="12"/>
  <c r="AG1921" i="12"/>
  <c r="AG1919" i="12" s="1"/>
  <c r="AJ1921" i="12"/>
  <c r="AK1921" i="12"/>
  <c r="P1922" i="12"/>
  <c r="Z1922" i="12"/>
  <c r="AA1922" i="12"/>
  <c r="AD1922" i="12"/>
  <c r="AE1922" i="12"/>
  <c r="AJ1922" i="12"/>
  <c r="AK1922" i="12" s="1"/>
  <c r="P1923" i="12"/>
  <c r="Z1923" i="12"/>
  <c r="AA1923" i="12"/>
  <c r="AD1923" i="12"/>
  <c r="AE1923" i="12"/>
  <c r="AJ1923" i="12"/>
  <c r="AK1923" i="12"/>
  <c r="P1924" i="12"/>
  <c r="Z1924" i="12"/>
  <c r="AA1924" i="12"/>
  <c r="AD1924" i="12"/>
  <c r="AE1924" i="12"/>
  <c r="AJ1924" i="12"/>
  <c r="AK1924" i="12" s="1"/>
  <c r="Z1925" i="12"/>
  <c r="AA1925" i="12"/>
  <c r="AD1925" i="12"/>
  <c r="AE1925" i="12"/>
  <c r="AJ1925" i="12"/>
  <c r="AK1925" i="12" s="1"/>
  <c r="I1926" i="12"/>
  <c r="J1926" i="12"/>
  <c r="M1926" i="12"/>
  <c r="L1926" i="12" s="1"/>
  <c r="N1926" i="12"/>
  <c r="O1926" i="12"/>
  <c r="Q1926" i="12"/>
  <c r="R1926" i="12"/>
  <c r="S1926" i="12"/>
  <c r="T1926" i="12"/>
  <c r="P1926" i="12" s="1"/>
  <c r="U1926" i="12"/>
  <c r="V1926" i="12"/>
  <c r="W1926" i="12"/>
  <c r="X1926" i="12"/>
  <c r="Y1926" i="12"/>
  <c r="AA1926" i="12"/>
  <c r="AB1926" i="12"/>
  <c r="AC1926" i="12"/>
  <c r="AD1926" i="12" s="1"/>
  <c r="AF1926" i="12"/>
  <c r="AE1926" i="12" s="1"/>
  <c r="AG1926" i="12"/>
  <c r="AH1926" i="12"/>
  <c r="AI1926" i="12"/>
  <c r="AJ1926" i="12"/>
  <c r="AK1926" i="12"/>
  <c r="P1927" i="12"/>
  <c r="Z1927" i="12"/>
  <c r="AA1927" i="12"/>
  <c r="AD1927" i="12"/>
  <c r="AE1927" i="12"/>
  <c r="AJ1927" i="12"/>
  <c r="AK1927" i="12" s="1"/>
  <c r="K1928" i="12"/>
  <c r="L1928" i="12"/>
  <c r="P1928" i="12"/>
  <c r="Z1928" i="12"/>
  <c r="AA1928" i="12"/>
  <c r="AD1928" i="12"/>
  <c r="AE1928" i="12"/>
  <c r="AJ1928" i="12"/>
  <c r="AK1928" i="12"/>
  <c r="AJ1929" i="12"/>
  <c r="AK1929" i="12" s="1"/>
  <c r="AJ1930" i="12"/>
  <c r="AK1930" i="12" s="1"/>
  <c r="X1931" i="12"/>
  <c r="AF1931" i="12"/>
  <c r="AJ1931" i="12"/>
  <c r="AK1931" i="12" s="1"/>
  <c r="U1932" i="12"/>
  <c r="V1932" i="12"/>
  <c r="W1932" i="12"/>
  <c r="X1932" i="12"/>
  <c r="Y1932" i="12"/>
  <c r="AB1932" i="12"/>
  <c r="AC1932" i="12"/>
  <c r="AD1932" i="12" s="1"/>
  <c r="AF1932" i="12"/>
  <c r="AG1932" i="12"/>
  <c r="AH1932" i="12"/>
  <c r="AI1932" i="12"/>
  <c r="AJ1932" i="12"/>
  <c r="AK1932" i="12"/>
  <c r="Z1933" i="12"/>
  <c r="Z1932" i="12" s="1"/>
  <c r="AA1933" i="12"/>
  <c r="AA1932" i="12" s="1"/>
  <c r="AD1933" i="12"/>
  <c r="AE1933" i="12"/>
  <c r="AJ1933" i="12"/>
  <c r="AK1933" i="12" s="1"/>
  <c r="AJ1934" i="12"/>
  <c r="AK1934" i="12" s="1"/>
  <c r="U1935" i="12"/>
  <c r="V1935" i="12"/>
  <c r="V1931" i="12" s="1"/>
  <c r="W1935" i="12"/>
  <c r="W1931" i="12" s="1"/>
  <c r="X1935" i="12"/>
  <c r="Y1935" i="12"/>
  <c r="AB1935" i="12"/>
  <c r="AB1931" i="12" s="1"/>
  <c r="AC1935" i="12"/>
  <c r="AF1935" i="12"/>
  <c r="AG1935" i="12"/>
  <c r="AG1931" i="12" s="1"/>
  <c r="AH1935" i="12"/>
  <c r="AH1931" i="12" s="1"/>
  <c r="AI1935" i="12"/>
  <c r="AI1931" i="12" s="1"/>
  <c r="AJ1935" i="12"/>
  <c r="AK1935" i="12" s="1"/>
  <c r="Z1936" i="12"/>
  <c r="AA1936" i="12"/>
  <c r="AD1936" i="12"/>
  <c r="AE1936" i="12"/>
  <c r="AJ1936" i="12"/>
  <c r="AK1936" i="12" s="1"/>
  <c r="AJ1937" i="12"/>
  <c r="AK1937" i="12" s="1"/>
  <c r="Z1938" i="12"/>
  <c r="AA1938" i="12"/>
  <c r="AD1938" i="12"/>
  <c r="AE1938" i="12"/>
  <c r="AJ1938" i="12"/>
  <c r="AK1938" i="12" s="1"/>
  <c r="AJ1939" i="12"/>
  <c r="AK1939" i="12" s="1"/>
  <c r="AJ1940" i="12"/>
  <c r="AK1940" i="12"/>
  <c r="U1941" i="12"/>
  <c r="U1940" i="12" s="1"/>
  <c r="V1941" i="12"/>
  <c r="W1941" i="12"/>
  <c r="X1941" i="12"/>
  <c r="Y1941" i="12"/>
  <c r="Y1940" i="12" s="1"/>
  <c r="AB1941" i="12"/>
  <c r="AC1941" i="12"/>
  <c r="AF1941" i="12"/>
  <c r="AI1941" i="12"/>
  <c r="AJ1941" i="12"/>
  <c r="AK1941" i="12" s="1"/>
  <c r="Z1942" i="12"/>
  <c r="AA1942" i="12"/>
  <c r="AD1942" i="12"/>
  <c r="AE1942" i="12"/>
  <c r="AG1942" i="12"/>
  <c r="AH1942" i="12"/>
  <c r="AH1941" i="12" s="1"/>
  <c r="AJ1942" i="12"/>
  <c r="AK1942" i="12" s="1"/>
  <c r="AJ1943" i="12"/>
  <c r="AK1943" i="12" s="1"/>
  <c r="Z1944" i="12"/>
  <c r="AA1944" i="12"/>
  <c r="AD1944" i="12"/>
  <c r="AE1944" i="12"/>
  <c r="AG1944" i="12"/>
  <c r="AJ1944" i="12"/>
  <c r="AK1944" i="12" s="1"/>
  <c r="AJ1945" i="12"/>
  <c r="AK1945" i="12"/>
  <c r="Z1946" i="12"/>
  <c r="AA1946" i="12"/>
  <c r="AD1946" i="12"/>
  <c r="AE1946" i="12"/>
  <c r="AJ1946" i="12"/>
  <c r="AK1946" i="12" s="1"/>
  <c r="J1947" i="12"/>
  <c r="K1947" i="12"/>
  <c r="L1947" i="12"/>
  <c r="M1947" i="12"/>
  <c r="N1947" i="12"/>
  <c r="O1947" i="12"/>
  <c r="P1947" i="12"/>
  <c r="Q1947" i="12"/>
  <c r="R1947" i="12"/>
  <c r="S1947" i="12"/>
  <c r="T1947" i="12"/>
  <c r="U1947" i="12"/>
  <c r="V1947" i="12"/>
  <c r="W1947" i="12"/>
  <c r="X1947" i="12"/>
  <c r="Y1947" i="12"/>
  <c r="AB1947" i="12"/>
  <c r="AC1947" i="12"/>
  <c r="AE1947" i="12"/>
  <c r="AF1947" i="12"/>
  <c r="AJ1947" i="12"/>
  <c r="AK1947" i="12" s="1"/>
  <c r="Z1948" i="12"/>
  <c r="AA1948" i="12"/>
  <c r="AD1948" i="12"/>
  <c r="AE1948" i="12"/>
  <c r="AG1948" i="12"/>
  <c r="AH1948" i="12"/>
  <c r="AI1948" i="12"/>
  <c r="AJ1948" i="12"/>
  <c r="AK1948" i="12" s="1"/>
  <c r="AJ1949" i="12"/>
  <c r="AK1949" i="12" s="1"/>
  <c r="Z1950" i="12"/>
  <c r="AA1950" i="12"/>
  <c r="AD1950" i="12"/>
  <c r="AE1950" i="12"/>
  <c r="AG1950" i="12"/>
  <c r="AH1950" i="12"/>
  <c r="AI1950" i="12"/>
  <c r="AJ1950" i="12"/>
  <c r="AK1950" i="12" s="1"/>
  <c r="AJ1951" i="12"/>
  <c r="AK1951" i="12"/>
  <c r="Z1952" i="12"/>
  <c r="AA1952" i="12"/>
  <c r="AD1952" i="12"/>
  <c r="AE1952" i="12"/>
  <c r="AG1952" i="12"/>
  <c r="AH1952" i="12"/>
  <c r="AI1952" i="12"/>
  <c r="AJ1952" i="12"/>
  <c r="AK1952" i="12" s="1"/>
  <c r="AJ1953" i="12"/>
  <c r="AK1953" i="12" s="1"/>
  <c r="Z1954" i="12"/>
  <c r="AA1954" i="12"/>
  <c r="AD1954" i="12"/>
  <c r="AE1954" i="12"/>
  <c r="AG1954" i="12"/>
  <c r="AH1954" i="12"/>
  <c r="AI1954" i="12"/>
  <c r="AJ1954" i="12"/>
  <c r="AK1954" i="12" s="1"/>
  <c r="AJ1955" i="12"/>
  <c r="AK1955" i="12" s="1"/>
  <c r="Z1956" i="12"/>
  <c r="AA1956" i="12"/>
  <c r="AD1956" i="12"/>
  <c r="AE1956" i="12"/>
  <c r="AG1956" i="12"/>
  <c r="AH1956" i="12"/>
  <c r="AI1956" i="12"/>
  <c r="AJ1956" i="12"/>
  <c r="AK1956" i="12" s="1"/>
  <c r="AJ1957" i="12"/>
  <c r="AK1957" i="12" s="1"/>
  <c r="AJ1958" i="12"/>
  <c r="AK1958" i="12" s="1"/>
  <c r="Z1959" i="12"/>
  <c r="AA1959" i="12"/>
  <c r="AD1959" i="12"/>
  <c r="AE1959" i="12"/>
  <c r="AJ1959" i="12"/>
  <c r="AK1959" i="12" s="1"/>
  <c r="U1960" i="12"/>
  <c r="V1960" i="12"/>
  <c r="W1960" i="12"/>
  <c r="X1960" i="12"/>
  <c r="Y1960" i="12"/>
  <c r="AB1960" i="12"/>
  <c r="AC1960" i="12"/>
  <c r="AD1960" i="12" s="1"/>
  <c r="AF1960" i="12"/>
  <c r="AE1960" i="12" s="1"/>
  <c r="AJ1960" i="12"/>
  <c r="AK1960" i="12"/>
  <c r="Z1961" i="12"/>
  <c r="AA1961" i="12"/>
  <c r="AA1960" i="12" s="1"/>
  <c r="AD1961" i="12"/>
  <c r="AE1961" i="12"/>
  <c r="AG1961" i="12"/>
  <c r="AH1961" i="12"/>
  <c r="AI1961" i="12"/>
  <c r="AJ1961" i="12"/>
  <c r="AK1961" i="12" s="1"/>
  <c r="AJ1962" i="12"/>
  <c r="AK1962" i="12" s="1"/>
  <c r="Z1963" i="12"/>
  <c r="AA1963" i="12"/>
  <c r="AD1963" i="12"/>
  <c r="AE1963" i="12"/>
  <c r="AG1963" i="12"/>
  <c r="AH1963" i="12"/>
  <c r="AI1963" i="12"/>
  <c r="AI1960" i="12" s="1"/>
  <c r="AJ1963" i="12"/>
  <c r="AK1963" i="12"/>
  <c r="AJ1964" i="12"/>
  <c r="AK1964" i="12"/>
  <c r="AA1965" i="12"/>
  <c r="AD1965" i="12"/>
  <c r="AE1965" i="12"/>
  <c r="AJ1965" i="12"/>
  <c r="AK1965" i="12" s="1"/>
  <c r="Z1966" i="12"/>
  <c r="AA1966" i="12"/>
  <c r="AD1966" i="12"/>
  <c r="AE1966" i="12"/>
  <c r="AG1966" i="12"/>
  <c r="AH1966" i="12"/>
  <c r="AI1966" i="12"/>
  <c r="AJ1966" i="12"/>
  <c r="AK1966" i="12" s="1"/>
  <c r="AJ1967" i="12"/>
  <c r="AK1967" i="12" s="1"/>
  <c r="Z1968" i="12"/>
  <c r="AA1968" i="12"/>
  <c r="AD1968" i="12"/>
  <c r="AE1968" i="12"/>
  <c r="AJ1968" i="12"/>
  <c r="AK1968" i="12"/>
  <c r="Z1969" i="12"/>
  <c r="AA1969" i="12"/>
  <c r="AD1969" i="12"/>
  <c r="AE1969" i="12"/>
  <c r="AG1969" i="12"/>
  <c r="AH1969" i="12"/>
  <c r="AI1969" i="12"/>
  <c r="AJ1969" i="12"/>
  <c r="AK1969" i="12" s="1"/>
  <c r="AJ1970" i="12"/>
  <c r="AK1970" i="12" s="1"/>
  <c r="Z1971" i="12"/>
  <c r="AA1971" i="12"/>
  <c r="AD1971" i="12"/>
  <c r="AE1971" i="12"/>
  <c r="AG1971" i="12"/>
  <c r="AH1971" i="12"/>
  <c r="AI1971" i="12"/>
  <c r="AJ1971" i="12"/>
  <c r="AK1971" i="12" s="1"/>
  <c r="AJ1972" i="12"/>
  <c r="AK1972" i="12" s="1"/>
  <c r="Z1973" i="12"/>
  <c r="AA1973" i="12"/>
  <c r="AD1973" i="12"/>
  <c r="AE1973" i="12"/>
  <c r="AG1973" i="12"/>
  <c r="AH1973" i="12"/>
  <c r="AI1973" i="12"/>
  <c r="AJ1973" i="12"/>
  <c r="AK1973" i="12" s="1"/>
  <c r="AJ1974" i="12"/>
  <c r="AK1974" i="12" s="1"/>
  <c r="AJ1975" i="12"/>
  <c r="AK1975" i="12" s="1"/>
  <c r="Z1976" i="12"/>
  <c r="AA1976" i="12"/>
  <c r="AD1976" i="12"/>
  <c r="AE1976" i="12"/>
  <c r="AG1976" i="12"/>
  <c r="AH1976" i="12"/>
  <c r="AI1976" i="12"/>
  <c r="AJ1976" i="12"/>
  <c r="AK1976" i="12"/>
  <c r="I1977" i="12"/>
  <c r="J1977" i="12"/>
  <c r="K1977" i="12"/>
  <c r="L1977" i="12"/>
  <c r="M1977" i="12"/>
  <c r="N1977" i="12"/>
  <c r="O1977" i="12"/>
  <c r="P1977" i="12"/>
  <c r="Q1977" i="12"/>
  <c r="R1977" i="12"/>
  <c r="S1977" i="12"/>
  <c r="T1977" i="12"/>
  <c r="U1977" i="12"/>
  <c r="V1977" i="12"/>
  <c r="W1977" i="12"/>
  <c r="X1977" i="12"/>
  <c r="Y1977" i="12"/>
  <c r="AB1977" i="12"/>
  <c r="AD1977" i="12" s="1"/>
  <c r="AC1977" i="12"/>
  <c r="AF1977" i="12"/>
  <c r="AH1977" i="12"/>
  <c r="AJ1977" i="12"/>
  <c r="AK1977" i="12" s="1"/>
  <c r="Z1978" i="12"/>
  <c r="AA1978" i="12"/>
  <c r="AD1978" i="12"/>
  <c r="AE1978" i="12"/>
  <c r="AG1978" i="12"/>
  <c r="AH1978" i="12"/>
  <c r="AI1978" i="12"/>
  <c r="AJ1978" i="12"/>
  <c r="AK1978" i="12"/>
  <c r="AJ1979" i="12"/>
  <c r="AK1979" i="12"/>
  <c r="AJ1980" i="12"/>
  <c r="AK1980" i="12"/>
  <c r="Z1981" i="12"/>
  <c r="AA1981" i="12"/>
  <c r="AD1981" i="12"/>
  <c r="AE1981" i="12"/>
  <c r="AG1981" i="12"/>
  <c r="AJ1981" i="12"/>
  <c r="AK1981" i="12" s="1"/>
  <c r="AJ1982" i="12"/>
  <c r="AK1982" i="12" s="1"/>
  <c r="Z1983" i="12"/>
  <c r="AA1983" i="12"/>
  <c r="AD1983" i="12"/>
  <c r="AE1983" i="12"/>
  <c r="AG1983" i="12"/>
  <c r="AH1983" i="12"/>
  <c r="AI1983" i="12"/>
  <c r="AJ1983" i="12"/>
  <c r="AK1983" i="12"/>
  <c r="V1984" i="12"/>
  <c r="X1984" i="12"/>
  <c r="AF1984" i="12"/>
  <c r="AJ1984" i="12"/>
  <c r="AK1984" i="12" s="1"/>
  <c r="U1985" i="12"/>
  <c r="U1984" i="12" s="1"/>
  <c r="V1985" i="12"/>
  <c r="W1985" i="12"/>
  <c r="W1984" i="12" s="1"/>
  <c r="X1985" i="12"/>
  <c r="Y1985" i="12"/>
  <c r="Y1984" i="12" s="1"/>
  <c r="AB1985" i="12"/>
  <c r="AB1984" i="12" s="1"/>
  <c r="AC1985" i="12"/>
  <c r="AE1985" i="12"/>
  <c r="AF1985" i="12"/>
  <c r="AG1985" i="12"/>
  <c r="AG1984" i="12" s="1"/>
  <c r="AH1985" i="12"/>
  <c r="AH1984" i="12" s="1"/>
  <c r="AI1985" i="12"/>
  <c r="AI1984" i="12" s="1"/>
  <c r="AJ1985" i="12"/>
  <c r="AK1985" i="12"/>
  <c r="Z1986" i="12"/>
  <c r="AA1986" i="12"/>
  <c r="AD1986" i="12"/>
  <c r="AE1986" i="12"/>
  <c r="AJ1986" i="12"/>
  <c r="AK1986" i="12" s="1"/>
  <c r="AJ1987" i="12"/>
  <c r="AK1987" i="12"/>
  <c r="Z1988" i="12"/>
  <c r="AA1988" i="12"/>
  <c r="AD1988" i="12"/>
  <c r="AE1988" i="12"/>
  <c r="AJ1988" i="12"/>
  <c r="AK1988" i="12" s="1"/>
  <c r="AJ1989" i="12"/>
  <c r="AK1989" i="12" s="1"/>
  <c r="AJ1990" i="12"/>
  <c r="AK1990" i="12" s="1"/>
  <c r="AJ1991" i="12"/>
  <c r="AK1991" i="12" s="1"/>
  <c r="R1992" i="12"/>
  <c r="R1991" i="12" s="1"/>
  <c r="R1989" i="12" s="1"/>
  <c r="V1992" i="12"/>
  <c r="V1991" i="12" s="1"/>
  <c r="AJ1992" i="12"/>
  <c r="AK1992" i="12" s="1"/>
  <c r="M1993" i="12"/>
  <c r="M1992" i="12" s="1"/>
  <c r="M1991" i="12" s="1"/>
  <c r="M1989" i="12" s="1"/>
  <c r="N1993" i="12"/>
  <c r="N1992" i="12" s="1"/>
  <c r="N1991" i="12" s="1"/>
  <c r="N1989" i="12" s="1"/>
  <c r="O1993" i="12"/>
  <c r="O1992" i="12" s="1"/>
  <c r="O1991" i="12" s="1"/>
  <c r="O1989" i="12" s="1"/>
  <c r="Q1993" i="12"/>
  <c r="Q1992" i="12" s="1"/>
  <c r="Q1991" i="12" s="1"/>
  <c r="Q1989" i="12" s="1"/>
  <c r="R1993" i="12"/>
  <c r="S1993" i="12"/>
  <c r="S1992" i="12" s="1"/>
  <c r="S1991" i="12" s="1"/>
  <c r="S1989" i="12" s="1"/>
  <c r="T1993" i="12"/>
  <c r="U1993" i="12"/>
  <c r="U1992" i="12" s="1"/>
  <c r="U1991" i="12" s="1"/>
  <c r="V1993" i="12"/>
  <c r="W1993" i="12"/>
  <c r="W1992" i="12" s="1"/>
  <c r="W1991" i="12" s="1"/>
  <c r="X1993" i="12"/>
  <c r="X1992" i="12" s="1"/>
  <c r="X1991" i="12" s="1"/>
  <c r="X1989" i="12" s="1"/>
  <c r="Y1993" i="12"/>
  <c r="AB1993" i="12"/>
  <c r="AB1992" i="12" s="1"/>
  <c r="AB1991" i="12" s="1"/>
  <c r="AB1989" i="12" s="1"/>
  <c r="AC1993" i="12"/>
  <c r="AF1993" i="12"/>
  <c r="AG1993" i="12"/>
  <c r="AG1992" i="12" s="1"/>
  <c r="AG1991" i="12" s="1"/>
  <c r="AH1993" i="12"/>
  <c r="AH1992" i="12" s="1"/>
  <c r="AH1991" i="12" s="1"/>
  <c r="AH1990" i="12" s="1"/>
  <c r="AI1993" i="12"/>
  <c r="AI1992" i="12" s="1"/>
  <c r="AI1991" i="12" s="1"/>
  <c r="AJ1993" i="12"/>
  <c r="AK1993" i="12" s="1"/>
  <c r="P1994" i="12"/>
  <c r="Z1994" i="12"/>
  <c r="AA1994" i="12"/>
  <c r="AD1994" i="12"/>
  <c r="AE1994" i="12"/>
  <c r="AJ1994" i="12"/>
  <c r="AK1994" i="12" s="1"/>
  <c r="P1995" i="12"/>
  <c r="Z1995" i="12"/>
  <c r="AA1995" i="12"/>
  <c r="AE1995" i="12"/>
  <c r="AJ1995" i="12"/>
  <c r="AK1995" i="12" s="1"/>
  <c r="W1996" i="12"/>
  <c r="AJ1996" i="12"/>
  <c r="AK1996" i="12" s="1"/>
  <c r="AJ1997" i="12"/>
  <c r="AK1997" i="12"/>
  <c r="AJ1998" i="12"/>
  <c r="AK1998" i="12"/>
  <c r="AJ1999" i="12"/>
  <c r="AK1999" i="12"/>
  <c r="M2000" i="12"/>
  <c r="M1999" i="12" s="1"/>
  <c r="M1998" i="12" s="1"/>
  <c r="M1996" i="12" s="1"/>
  <c r="N2000" i="12"/>
  <c r="N1999" i="12" s="1"/>
  <c r="N1998" i="12" s="1"/>
  <c r="N1996" i="12" s="1"/>
  <c r="O2000" i="12"/>
  <c r="O1999" i="12" s="1"/>
  <c r="O1998" i="12" s="1"/>
  <c r="O1996" i="12" s="1"/>
  <c r="Q2000" i="12"/>
  <c r="Q1999" i="12" s="1"/>
  <c r="Q1998" i="12" s="1"/>
  <c r="Q1996" i="12" s="1"/>
  <c r="R2000" i="12"/>
  <c r="R1999" i="12" s="1"/>
  <c r="R1998" i="12" s="1"/>
  <c r="R1996" i="12" s="1"/>
  <c r="S2000" i="12"/>
  <c r="S1999" i="12" s="1"/>
  <c r="S1998" i="12" s="1"/>
  <c r="S1996" i="12" s="1"/>
  <c r="T2000" i="12"/>
  <c r="U2000" i="12"/>
  <c r="U1999" i="12" s="1"/>
  <c r="U1998" i="12" s="1"/>
  <c r="U1996" i="12" s="1"/>
  <c r="V2000" i="12"/>
  <c r="V1999" i="12" s="1"/>
  <c r="V1998" i="12" s="1"/>
  <c r="W2000" i="12"/>
  <c r="W1999" i="12" s="1"/>
  <c r="W1998" i="12" s="1"/>
  <c r="W1997" i="12" s="1"/>
  <c r="X2000" i="12"/>
  <c r="X1999" i="12" s="1"/>
  <c r="X1998" i="12" s="1"/>
  <c r="Y2000" i="12"/>
  <c r="AB2000" i="12"/>
  <c r="AC2000" i="12"/>
  <c r="AC1999" i="12" s="1"/>
  <c r="AC1998" i="12" s="1"/>
  <c r="AF2000" i="12"/>
  <c r="AF1999" i="12" s="1"/>
  <c r="AG2000" i="12"/>
  <c r="AG1999" i="12" s="1"/>
  <c r="AG1998" i="12" s="1"/>
  <c r="AH2000" i="12"/>
  <c r="AH1999" i="12" s="1"/>
  <c r="AH1998" i="12" s="1"/>
  <c r="AI2000" i="12"/>
  <c r="AI1999" i="12" s="1"/>
  <c r="AI1998" i="12" s="1"/>
  <c r="AJ2000" i="12"/>
  <c r="AK2000" i="12" s="1"/>
  <c r="P2001" i="12"/>
  <c r="Z2001" i="12"/>
  <c r="AA2001" i="12"/>
  <c r="AE2001" i="12"/>
  <c r="AJ2001" i="12"/>
  <c r="AK2001" i="12"/>
  <c r="Z2002" i="12"/>
  <c r="AA2002" i="12"/>
  <c r="AE2002" i="12"/>
  <c r="AJ2002" i="12"/>
  <c r="AK2002" i="12" s="1"/>
  <c r="AJ2003" i="12"/>
  <c r="AK2003" i="12" s="1"/>
  <c r="AJ2004" i="12"/>
  <c r="AK2004" i="12" s="1"/>
  <c r="AB2005" i="12"/>
  <c r="AJ2005" i="12"/>
  <c r="AK2005" i="12" s="1"/>
  <c r="I2006" i="12"/>
  <c r="I2005" i="12" s="1"/>
  <c r="I2003" i="12" s="1"/>
  <c r="O2006" i="12"/>
  <c r="O2005" i="12" s="1"/>
  <c r="O2003" i="12" s="1"/>
  <c r="W2006" i="12"/>
  <c r="W2005" i="12" s="1"/>
  <c r="Y2006" i="12"/>
  <c r="Z2006" i="12" s="1"/>
  <c r="AC2006" i="12"/>
  <c r="AJ2006" i="12"/>
  <c r="AK2006" i="12"/>
  <c r="I2007" i="12"/>
  <c r="J2007" i="12"/>
  <c r="M2007" i="12"/>
  <c r="L2007" i="12" s="1"/>
  <c r="N2007" i="12"/>
  <c r="N2006" i="12" s="1"/>
  <c r="N2005" i="12" s="1"/>
  <c r="N2003" i="12" s="1"/>
  <c r="O2007" i="12"/>
  <c r="Q2007" i="12"/>
  <c r="Q2006" i="12" s="1"/>
  <c r="Q2005" i="12" s="1"/>
  <c r="Q2003" i="12" s="1"/>
  <c r="R2007" i="12"/>
  <c r="R2006" i="12" s="1"/>
  <c r="R2005" i="12" s="1"/>
  <c r="R2003" i="12" s="1"/>
  <c r="T2007" i="12"/>
  <c r="P2007" i="12" s="1"/>
  <c r="U2007" i="12"/>
  <c r="U2006" i="12" s="1"/>
  <c r="U2005" i="12" s="1"/>
  <c r="U2003" i="12" s="1"/>
  <c r="V2007" i="12"/>
  <c r="V2006" i="12" s="1"/>
  <c r="V2005" i="12" s="1"/>
  <c r="W2007" i="12"/>
  <c r="X2007" i="12"/>
  <c r="X2006" i="12" s="1"/>
  <c r="X2005" i="12" s="1"/>
  <c r="Y2007" i="12"/>
  <c r="Z2007" i="12" s="1"/>
  <c r="AB2007" i="12"/>
  <c r="AB2006" i="12" s="1"/>
  <c r="AA2006" i="12" s="1"/>
  <c r="AC2007" i="12"/>
  <c r="AD2007" i="12"/>
  <c r="AF2007" i="12"/>
  <c r="AF2006" i="12" s="1"/>
  <c r="AG2007" i="12"/>
  <c r="AG2006" i="12" s="1"/>
  <c r="AG2005" i="12" s="1"/>
  <c r="AG2004" i="12" s="1"/>
  <c r="AH2007" i="12"/>
  <c r="AH2006" i="12" s="1"/>
  <c r="AH2005" i="12" s="1"/>
  <c r="AI2007" i="12"/>
  <c r="AI2006" i="12" s="1"/>
  <c r="AI2005" i="12" s="1"/>
  <c r="AJ2007" i="12"/>
  <c r="AK2007" i="12" s="1"/>
  <c r="P2008" i="12"/>
  <c r="S2008" i="12"/>
  <c r="S2007" i="12" s="1"/>
  <c r="S2006" i="12" s="1"/>
  <c r="S2005" i="12" s="1"/>
  <c r="S2003" i="12" s="1"/>
  <c r="Z2008" i="12"/>
  <c r="AA2008" i="12"/>
  <c r="AD2008" i="12"/>
  <c r="AE2008" i="12"/>
  <c r="AJ2008" i="12"/>
  <c r="AK2008" i="12" s="1"/>
  <c r="K2009" i="12"/>
  <c r="L2009" i="12"/>
  <c r="P2009" i="12"/>
  <c r="Z2009" i="12"/>
  <c r="AA2009" i="12"/>
  <c r="AE2009" i="12"/>
  <c r="AJ2009" i="12"/>
  <c r="AK2009" i="12" s="1"/>
  <c r="AJ2010" i="12"/>
  <c r="AK2010" i="12" s="1"/>
  <c r="AJ2011" i="12"/>
  <c r="AK2011" i="12"/>
  <c r="AJ2012" i="12"/>
  <c r="AK2012" i="12"/>
  <c r="AJ2013" i="12"/>
  <c r="AK2013" i="12" s="1"/>
  <c r="V2014" i="12"/>
  <c r="V2013" i="12" s="1"/>
  <c r="V2012" i="12" s="1"/>
  <c r="V2011" i="12" s="1"/>
  <c r="W2014" i="12"/>
  <c r="W2013" i="12" s="1"/>
  <c r="W2012" i="12" s="1"/>
  <c r="W2011" i="12" s="1"/>
  <c r="X2014" i="12"/>
  <c r="X2013" i="12" s="1"/>
  <c r="X2012" i="12" s="1"/>
  <c r="X2011" i="12" s="1"/>
  <c r="Y2014" i="12"/>
  <c r="AA2014" i="12"/>
  <c r="AB2014" i="12"/>
  <c r="AB2013" i="12" s="1"/>
  <c r="AC2014" i="12"/>
  <c r="AD2014" i="12" s="1"/>
  <c r="AF2014" i="12"/>
  <c r="AI2014" i="12"/>
  <c r="AI2013" i="12" s="1"/>
  <c r="AI2012" i="12" s="1"/>
  <c r="AI2011" i="12" s="1"/>
  <c r="AJ2014" i="12"/>
  <c r="AK2014" i="12"/>
  <c r="Z2015" i="12"/>
  <c r="AA2015" i="12"/>
  <c r="AD2015" i="12"/>
  <c r="AE2015" i="12"/>
  <c r="AG2015" i="12"/>
  <c r="AG2014" i="12" s="1"/>
  <c r="AG2013" i="12" s="1"/>
  <c r="AG2012" i="12" s="1"/>
  <c r="AG2011" i="12" s="1"/>
  <c r="AH2015" i="12"/>
  <c r="AH2014" i="12" s="1"/>
  <c r="AH2013" i="12" s="1"/>
  <c r="AH2012" i="12" s="1"/>
  <c r="AH2011" i="12" s="1"/>
  <c r="AJ2015" i="12"/>
  <c r="AK2015" i="12"/>
  <c r="Z2016" i="12"/>
  <c r="AA2016" i="12"/>
  <c r="AD2016" i="12"/>
  <c r="AE2016" i="12"/>
  <c r="AJ2016" i="12"/>
  <c r="AK2016" i="12" s="1"/>
  <c r="Z2017" i="12"/>
  <c r="AA2017" i="12"/>
  <c r="AD2017" i="12"/>
  <c r="AE2017" i="12"/>
  <c r="AJ2017" i="12"/>
  <c r="AK2017" i="12"/>
  <c r="AJ2018" i="12"/>
  <c r="AK2018" i="12" s="1"/>
  <c r="AJ2019" i="12"/>
  <c r="AK2019" i="12" s="1"/>
  <c r="AJ2020" i="12"/>
  <c r="AK2020" i="12" s="1"/>
  <c r="U2021" i="12"/>
  <c r="U2020" i="12" s="1"/>
  <c r="U2019" i="12" s="1"/>
  <c r="U2018" i="12" s="1"/>
  <c r="AJ2021" i="12"/>
  <c r="AK2021" i="12" s="1"/>
  <c r="AJ2022" i="12"/>
  <c r="AK2022" i="12"/>
  <c r="AJ2023" i="12"/>
  <c r="AK2023" i="12" s="1"/>
  <c r="AJ2024" i="12"/>
  <c r="AK2024" i="12" s="1"/>
  <c r="AJ2025" i="12"/>
  <c r="AK2025" i="12" s="1"/>
  <c r="AJ2026" i="12"/>
  <c r="AK2026" i="12"/>
  <c r="AJ2027" i="12"/>
  <c r="AK2027" i="12" s="1"/>
  <c r="U2028" i="12"/>
  <c r="U2027" i="12" s="1"/>
  <c r="U2026" i="12" s="1"/>
  <c r="U2025" i="12" s="1"/>
  <c r="AJ2028" i="12"/>
  <c r="AK2028" i="12"/>
  <c r="AJ2029" i="12"/>
  <c r="AK2029" i="12"/>
  <c r="AJ2030" i="12"/>
  <c r="AK2030" i="12"/>
  <c r="AJ2031" i="12"/>
  <c r="AK2031" i="12"/>
  <c r="AJ2032" i="12"/>
  <c r="AK2032" i="12"/>
  <c r="U2033" i="12"/>
  <c r="AJ2033" i="12"/>
  <c r="AK2033" i="12" s="1"/>
  <c r="AJ2034" i="12"/>
  <c r="AK2034" i="12" s="1"/>
  <c r="U2035" i="12"/>
  <c r="AJ2035" i="12"/>
  <c r="AK2035" i="12"/>
  <c r="AJ2036" i="12"/>
  <c r="AK2036" i="12"/>
  <c r="AJ2037" i="12"/>
  <c r="AK2037" i="12"/>
  <c r="AJ2038" i="12"/>
  <c r="AK2038" i="12" s="1"/>
  <c r="AJ2039" i="12"/>
  <c r="AK2039" i="12"/>
  <c r="V2040" i="12"/>
  <c r="AJ2040" i="12"/>
  <c r="AK2040" i="12" s="1"/>
  <c r="AJ2041" i="12"/>
  <c r="AK2041" i="12" s="1"/>
  <c r="I2042" i="12"/>
  <c r="J2042" i="12"/>
  <c r="M2042" i="12"/>
  <c r="N2042" i="12"/>
  <c r="N2039" i="12" s="1"/>
  <c r="N2038" i="12" s="1"/>
  <c r="N2010" i="12" s="1"/>
  <c r="O2042" i="12"/>
  <c r="Q2042" i="12"/>
  <c r="Q2039" i="12" s="1"/>
  <c r="Q2038" i="12" s="1"/>
  <c r="Q2010" i="12" s="1"/>
  <c r="R2042" i="12"/>
  <c r="S2042" i="12"/>
  <c r="S2039" i="12" s="1"/>
  <c r="S2038" i="12" s="1"/>
  <c r="S2010" i="12" s="1"/>
  <c r="T2042" i="12"/>
  <c r="U2042" i="12"/>
  <c r="U2039" i="12" s="1"/>
  <c r="U2038" i="12" s="1"/>
  <c r="V2042" i="12"/>
  <c r="W2042" i="12"/>
  <c r="W2039" i="12" s="1"/>
  <c r="W2038" i="12" s="1"/>
  <c r="X2042" i="12"/>
  <c r="Y2042" i="12"/>
  <c r="Z2042" i="12" s="1"/>
  <c r="AB2042" i="12"/>
  <c r="AC2042" i="12"/>
  <c r="AF2042" i="12"/>
  <c r="AJ2042" i="12"/>
  <c r="AK2042" i="12" s="1"/>
  <c r="K2043" i="12"/>
  <c r="L2043" i="12"/>
  <c r="P2043" i="12"/>
  <c r="Z2043" i="12"/>
  <c r="AA2043" i="12"/>
  <c r="AD2043" i="12"/>
  <c r="AE2043" i="12"/>
  <c r="AG2043" i="12"/>
  <c r="AH2043" i="12"/>
  <c r="AI2043" i="12"/>
  <c r="AI2042" i="12" s="1"/>
  <c r="AJ2043" i="12"/>
  <c r="AK2043" i="12" s="1"/>
  <c r="K2044" i="12"/>
  <c r="L2044" i="12"/>
  <c r="P2044" i="12"/>
  <c r="Z2044" i="12"/>
  <c r="AA2044" i="12"/>
  <c r="AE2044" i="12"/>
  <c r="AJ2044" i="12"/>
  <c r="AK2044" i="12" s="1"/>
  <c r="K2045" i="12"/>
  <c r="L2045" i="12"/>
  <c r="P2045" i="12"/>
  <c r="Z2045" i="12"/>
  <c r="AA2045" i="12"/>
  <c r="AD2045" i="12"/>
  <c r="AE2045" i="12"/>
  <c r="AJ2045" i="12"/>
  <c r="AK2045" i="12" s="1"/>
  <c r="K2046" i="12"/>
  <c r="L2046" i="12"/>
  <c r="P2046" i="12"/>
  <c r="Z2046" i="12"/>
  <c r="AA2046" i="12"/>
  <c r="AE2046" i="12"/>
  <c r="AJ2046" i="12"/>
  <c r="AK2046" i="12" s="1"/>
  <c r="K2047" i="12"/>
  <c r="L2047" i="12"/>
  <c r="P2047" i="12"/>
  <c r="Z2047" i="12"/>
  <c r="AA2047" i="12"/>
  <c r="AE2047" i="12"/>
  <c r="AJ2047" i="12"/>
  <c r="AK2047" i="12" s="1"/>
  <c r="K2048" i="12"/>
  <c r="L2048" i="12"/>
  <c r="P2048" i="12"/>
  <c r="Z2048" i="12"/>
  <c r="AA2048" i="12"/>
  <c r="AD2048" i="12"/>
  <c r="AE2048" i="12"/>
  <c r="AG2048" i="12"/>
  <c r="AH2048" i="12"/>
  <c r="AI2048" i="12"/>
  <c r="AJ2048" i="12"/>
  <c r="AK2048" i="12" s="1"/>
  <c r="I2049" i="12"/>
  <c r="J2049" i="12"/>
  <c r="M2049" i="12"/>
  <c r="N2049" i="12"/>
  <c r="O2049" i="12"/>
  <c r="Q2049" i="12"/>
  <c r="R2049" i="12"/>
  <c r="S2049" i="12"/>
  <c r="T2049" i="12"/>
  <c r="P2049" i="12" s="1"/>
  <c r="U2049" i="12"/>
  <c r="V2049" i="12"/>
  <c r="W2049" i="12"/>
  <c r="X2049" i="12"/>
  <c r="Y2049" i="12"/>
  <c r="AA2049" i="12"/>
  <c r="AB2049" i="12"/>
  <c r="AC2049" i="12"/>
  <c r="AD2049" i="12" s="1"/>
  <c r="AF2049" i="12"/>
  <c r="AJ2049" i="12"/>
  <c r="AK2049" i="12" s="1"/>
  <c r="K2050" i="12"/>
  <c r="L2050" i="12"/>
  <c r="P2050" i="12"/>
  <c r="Z2050" i="12"/>
  <c r="AA2050" i="12"/>
  <c r="AD2050" i="12"/>
  <c r="AE2050" i="12"/>
  <c r="AE2049" i="12" s="1"/>
  <c r="AG2050" i="12"/>
  <c r="AG2049" i="12" s="1"/>
  <c r="AH2050" i="12"/>
  <c r="AH2049" i="12" s="1"/>
  <c r="AI2050" i="12"/>
  <c r="AI2049" i="12" s="1"/>
  <c r="AJ2050" i="12"/>
  <c r="AK2050" i="12" s="1"/>
  <c r="AJ2051" i="12"/>
  <c r="AK2051" i="12" s="1"/>
  <c r="AJ2052" i="12"/>
  <c r="AK2052" i="12" s="1"/>
  <c r="AJ2053" i="12"/>
  <c r="AK2053" i="12" s="1"/>
  <c r="M2054" i="12"/>
  <c r="S2054" i="12"/>
  <c r="S2053" i="12" s="1"/>
  <c r="S2051" i="12" s="1"/>
  <c r="U2054" i="12"/>
  <c r="U2053" i="12" s="1"/>
  <c r="U2051" i="12" s="1"/>
  <c r="Y2054" i="12"/>
  <c r="AJ2054" i="12"/>
  <c r="AK2054" i="12" s="1"/>
  <c r="I2055" i="12"/>
  <c r="I2054" i="12" s="1"/>
  <c r="I2053" i="12" s="1"/>
  <c r="I2051" i="12" s="1"/>
  <c r="J2055" i="12"/>
  <c r="M2055" i="12"/>
  <c r="N2055" i="12"/>
  <c r="N2054" i="12" s="1"/>
  <c r="N2053" i="12" s="1"/>
  <c r="N2051" i="12" s="1"/>
  <c r="O2055" i="12"/>
  <c r="O2054" i="12" s="1"/>
  <c r="O2053" i="12" s="1"/>
  <c r="O2051" i="12" s="1"/>
  <c r="Q2055" i="12"/>
  <c r="Q2054" i="12" s="1"/>
  <c r="Q2053" i="12" s="1"/>
  <c r="Q2051" i="12" s="1"/>
  <c r="R2055" i="12"/>
  <c r="R2054" i="12" s="1"/>
  <c r="R2053" i="12" s="1"/>
  <c r="R2051" i="12" s="1"/>
  <c r="S2055" i="12"/>
  <c r="T2055" i="12"/>
  <c r="T2054" i="12" s="1"/>
  <c r="T2053" i="12" s="1"/>
  <c r="U2055" i="12"/>
  <c r="V2055" i="12"/>
  <c r="V2054" i="12" s="1"/>
  <c r="V2053" i="12" s="1"/>
  <c r="W2055" i="12"/>
  <c r="W2054" i="12" s="1"/>
  <c r="W2053" i="12" s="1"/>
  <c r="W2051" i="12" s="1"/>
  <c r="X2055" i="12"/>
  <c r="X2054" i="12" s="1"/>
  <c r="X2053" i="12" s="1"/>
  <c r="Y2055" i="12"/>
  <c r="Z2055" i="12" s="1"/>
  <c r="AB2055" i="12"/>
  <c r="AC2055" i="12"/>
  <c r="AF2055" i="12"/>
  <c r="AH2055" i="12"/>
  <c r="AH2054" i="12" s="1"/>
  <c r="AH2053" i="12" s="1"/>
  <c r="AJ2055" i="12"/>
  <c r="AK2055" i="12" s="1"/>
  <c r="K2056" i="12"/>
  <c r="L2056" i="12"/>
  <c r="P2056" i="12"/>
  <c r="Z2056" i="12"/>
  <c r="AA2056" i="12"/>
  <c r="AB2056" i="12"/>
  <c r="AD2056" i="12"/>
  <c r="AE2056" i="12"/>
  <c r="AG2056" i="12"/>
  <c r="AG2055" i="12" s="1"/>
  <c r="AG2054" i="12" s="1"/>
  <c r="AG2053" i="12" s="1"/>
  <c r="AH2056" i="12"/>
  <c r="AI2056" i="12"/>
  <c r="AI2055" i="12" s="1"/>
  <c r="AI2054" i="12" s="1"/>
  <c r="AI2053" i="12" s="1"/>
  <c r="AJ2056" i="12"/>
  <c r="AK2056" i="12" s="1"/>
  <c r="AJ2057" i="12"/>
  <c r="AK2057" i="12" s="1"/>
  <c r="W2058" i="12"/>
  <c r="AJ2058" i="12"/>
  <c r="AK2058" i="12" s="1"/>
  <c r="R2059" i="12"/>
  <c r="R2057" i="12" s="1"/>
  <c r="X2059" i="12"/>
  <c r="X2058" i="12" s="1"/>
  <c r="AJ2059" i="12"/>
  <c r="AK2059" i="12" s="1"/>
  <c r="M2060" i="12"/>
  <c r="Q2060" i="12"/>
  <c r="Q2059" i="12" s="1"/>
  <c r="Q2057" i="12" s="1"/>
  <c r="W2060" i="12"/>
  <c r="W2059" i="12" s="1"/>
  <c r="W2057" i="12" s="1"/>
  <c r="AG2060" i="12"/>
  <c r="AG2059" i="12" s="1"/>
  <c r="AI2060" i="12"/>
  <c r="AI2059" i="12" s="1"/>
  <c r="AI2057" i="12" s="1"/>
  <c r="AJ2060" i="12"/>
  <c r="AK2060" i="12" s="1"/>
  <c r="I2061" i="12"/>
  <c r="I2060" i="12" s="1"/>
  <c r="I2059" i="12" s="1"/>
  <c r="I2057" i="12" s="1"/>
  <c r="J2061" i="12"/>
  <c r="L2061" i="12"/>
  <c r="M2061" i="12"/>
  <c r="N2061" i="12"/>
  <c r="N2060" i="12" s="1"/>
  <c r="N2059" i="12" s="1"/>
  <c r="N2057" i="12" s="1"/>
  <c r="O2061" i="12"/>
  <c r="O2060" i="12" s="1"/>
  <c r="O2059" i="12" s="1"/>
  <c r="O2057" i="12" s="1"/>
  <c r="Q2061" i="12"/>
  <c r="R2061" i="12"/>
  <c r="R2060" i="12" s="1"/>
  <c r="S2061" i="12"/>
  <c r="S2060" i="12" s="1"/>
  <c r="S2059" i="12" s="1"/>
  <c r="S2057" i="12" s="1"/>
  <c r="T2061" i="12"/>
  <c r="T2060" i="12" s="1"/>
  <c r="P2060" i="12" s="1"/>
  <c r="U2061" i="12"/>
  <c r="U2060" i="12" s="1"/>
  <c r="U2059" i="12" s="1"/>
  <c r="U2057" i="12" s="1"/>
  <c r="V2061" i="12"/>
  <c r="V2060" i="12" s="1"/>
  <c r="V2059" i="12" s="1"/>
  <c r="W2061" i="12"/>
  <c r="X2061" i="12"/>
  <c r="X2060" i="12" s="1"/>
  <c r="Y2061" i="12"/>
  <c r="Z2061" i="12" s="1"/>
  <c r="AB2061" i="12"/>
  <c r="AC2061" i="12"/>
  <c r="AC2060" i="12" s="1"/>
  <c r="AF2061" i="12"/>
  <c r="AG2061" i="12"/>
  <c r="AH2061" i="12"/>
  <c r="AH2060" i="12" s="1"/>
  <c r="AH2059" i="12" s="1"/>
  <c r="AI2061" i="12"/>
  <c r="AJ2061" i="12"/>
  <c r="AK2061" i="12" s="1"/>
  <c r="K2062" i="12"/>
  <c r="L2062" i="12"/>
  <c r="P2062" i="12"/>
  <c r="Z2062" i="12"/>
  <c r="AA2062" i="12"/>
  <c r="AD2062" i="12"/>
  <c r="AE2062" i="12"/>
  <c r="AJ2062" i="12"/>
  <c r="AK2062" i="12" s="1"/>
  <c r="K2063" i="12"/>
  <c r="L2063" i="12"/>
  <c r="P2063" i="12"/>
  <c r="Z2063" i="12"/>
  <c r="AA2063" i="12"/>
  <c r="AE2063" i="12"/>
  <c r="AJ2063" i="12"/>
  <c r="AK2063" i="12" s="1"/>
  <c r="AJ2064" i="12"/>
  <c r="AK2064" i="12" s="1"/>
  <c r="AJ2065" i="12"/>
  <c r="AK2065" i="12" s="1"/>
  <c r="N2066" i="12"/>
  <c r="N2065" i="12" s="1"/>
  <c r="N2064" i="12" s="1"/>
  <c r="V2066" i="12"/>
  <c r="V2065" i="12" s="1"/>
  <c r="AJ2066" i="12"/>
  <c r="AK2066" i="12" s="1"/>
  <c r="I2067" i="12"/>
  <c r="J2067" i="12"/>
  <c r="M2067" i="12"/>
  <c r="M2066" i="12" s="1"/>
  <c r="M2065" i="12" s="1"/>
  <c r="M2064" i="12" s="1"/>
  <c r="N2067" i="12"/>
  <c r="O2067" i="12"/>
  <c r="O2066" i="12" s="1"/>
  <c r="O2065" i="12" s="1"/>
  <c r="O2064" i="12" s="1"/>
  <c r="Q2067" i="12"/>
  <c r="Q2066" i="12" s="1"/>
  <c r="Q2065" i="12" s="1"/>
  <c r="Q2064" i="12" s="1"/>
  <c r="R2067" i="12"/>
  <c r="R2066" i="12" s="1"/>
  <c r="R2065" i="12" s="1"/>
  <c r="R2064" i="12" s="1"/>
  <c r="S2067" i="12"/>
  <c r="S2066" i="12" s="1"/>
  <c r="S2065" i="12" s="1"/>
  <c r="S2064" i="12" s="1"/>
  <c r="T2067" i="12"/>
  <c r="T2066" i="12" s="1"/>
  <c r="U2067" i="12"/>
  <c r="U2066" i="12" s="1"/>
  <c r="U2065" i="12" s="1"/>
  <c r="U2064" i="12" s="1"/>
  <c r="V2067" i="12"/>
  <c r="W2067" i="12"/>
  <c r="W2066" i="12" s="1"/>
  <c r="W2065" i="12" s="1"/>
  <c r="W2064" i="12" s="1"/>
  <c r="X2067" i="12"/>
  <c r="X2066" i="12" s="1"/>
  <c r="X2065" i="12" s="1"/>
  <c r="X2064" i="12" s="1"/>
  <c r="Y2067" i="12"/>
  <c r="Y2066" i="12" s="1"/>
  <c r="Y2065" i="12" s="1"/>
  <c r="Y2064" i="12" s="1"/>
  <c r="AB2067" i="12"/>
  <c r="AC2067" i="12"/>
  <c r="AC2066" i="12" s="1"/>
  <c r="AC2065" i="12" s="1"/>
  <c r="AC2064" i="12" s="1"/>
  <c r="AF2067" i="12"/>
  <c r="AF2066" i="12" s="1"/>
  <c r="AF2065" i="12" s="1"/>
  <c r="AF2064" i="12" s="1"/>
  <c r="AG2067" i="12"/>
  <c r="AG2066" i="12" s="1"/>
  <c r="AG2065" i="12" s="1"/>
  <c r="AG2064" i="12" s="1"/>
  <c r="AH2067" i="12"/>
  <c r="AH2066" i="12" s="1"/>
  <c r="AH2065" i="12" s="1"/>
  <c r="AH2064" i="12" s="1"/>
  <c r="AI2067" i="12"/>
  <c r="AI2066" i="12" s="1"/>
  <c r="AI2065" i="12" s="1"/>
  <c r="AI2064" i="12" s="1"/>
  <c r="AJ2067" i="12"/>
  <c r="AK2067" i="12"/>
  <c r="K2068" i="12"/>
  <c r="L2068" i="12"/>
  <c r="P2068" i="12"/>
  <c r="Z2068" i="12"/>
  <c r="AA2068" i="12"/>
  <c r="AE2068" i="12"/>
  <c r="AJ2068" i="12"/>
  <c r="AK2068" i="12"/>
  <c r="AJ2069" i="12"/>
  <c r="AK2069" i="12" s="1"/>
  <c r="X2070" i="12"/>
  <c r="AJ2070" i="12"/>
  <c r="AK2070" i="12" s="1"/>
  <c r="M2071" i="12"/>
  <c r="M2069" i="12" s="1"/>
  <c r="AI2071" i="12"/>
  <c r="AJ2071" i="12"/>
  <c r="AK2071" i="12" s="1"/>
  <c r="R2072" i="12"/>
  <c r="R2071" i="12" s="1"/>
  <c r="R2069" i="12" s="1"/>
  <c r="T2072" i="12"/>
  <c r="T2071" i="12" s="1"/>
  <c r="X2072" i="12"/>
  <c r="X2071" i="12" s="1"/>
  <c r="X2069" i="12" s="1"/>
  <c r="AJ2072" i="12"/>
  <c r="AK2072" i="12" s="1"/>
  <c r="M2073" i="12"/>
  <c r="M2072" i="12" s="1"/>
  <c r="N2073" i="12"/>
  <c r="N2072" i="12" s="1"/>
  <c r="N2071" i="12" s="1"/>
  <c r="N2069" i="12" s="1"/>
  <c r="O2073" i="12"/>
  <c r="O2072" i="12" s="1"/>
  <c r="O2071" i="12" s="1"/>
  <c r="O2069" i="12" s="1"/>
  <c r="Q2073" i="12"/>
  <c r="Q2072" i="12" s="1"/>
  <c r="Q2071" i="12" s="1"/>
  <c r="Q2069" i="12" s="1"/>
  <c r="R2073" i="12"/>
  <c r="S2073" i="12"/>
  <c r="S2072" i="12" s="1"/>
  <c r="S2071" i="12" s="1"/>
  <c r="S2069" i="12" s="1"/>
  <c r="T2073" i="12"/>
  <c r="U2073" i="12"/>
  <c r="U2072" i="12" s="1"/>
  <c r="U2071" i="12" s="1"/>
  <c r="U2069" i="12" s="1"/>
  <c r="V2073" i="12"/>
  <c r="V2072" i="12" s="1"/>
  <c r="V2071" i="12" s="1"/>
  <c r="W2073" i="12"/>
  <c r="W2072" i="12" s="1"/>
  <c r="W2071" i="12" s="1"/>
  <c r="X2073" i="12"/>
  <c r="Y2073" i="12"/>
  <c r="AC2073" i="12"/>
  <c r="AG2073" i="12"/>
  <c r="AG2072" i="12" s="1"/>
  <c r="AG2071" i="12" s="1"/>
  <c r="AI2073" i="12"/>
  <c r="AI2072" i="12" s="1"/>
  <c r="AJ2073" i="12"/>
  <c r="AK2073" i="12" s="1"/>
  <c r="P2074" i="12"/>
  <c r="Z2074" i="12"/>
  <c r="AB2074" i="12"/>
  <c r="AF2074" i="12"/>
  <c r="AH2074" i="12"/>
  <c r="AJ2074" i="12"/>
  <c r="AK2074" i="12" s="1"/>
  <c r="Z2075" i="12"/>
  <c r="AJ2075" i="12"/>
  <c r="AK2075" i="12"/>
  <c r="AJ2076" i="12"/>
  <c r="AK2076" i="12" s="1"/>
  <c r="AI2077" i="12"/>
  <c r="AI2076" i="12" s="1"/>
  <c r="AI2075" i="12" s="1"/>
  <c r="AJ2077" i="12"/>
  <c r="AK2077" i="12" s="1"/>
  <c r="V2078" i="12"/>
  <c r="V2077" i="12" s="1"/>
  <c r="V2076" i="12" s="1"/>
  <c r="V2075" i="12" s="1"/>
  <c r="Z2078" i="12"/>
  <c r="AB2078" i="12"/>
  <c r="AA2078" i="12" s="1"/>
  <c r="AC2078" i="12"/>
  <c r="AC2077" i="12" s="1"/>
  <c r="AC2076" i="12" s="1"/>
  <c r="AC2075" i="12" s="1"/>
  <c r="AF2078" i="12"/>
  <c r="AF2077" i="12" s="1"/>
  <c r="AF2076" i="12" s="1"/>
  <c r="AF2075" i="12" s="1"/>
  <c r="AG2078" i="12"/>
  <c r="AG2077" i="12" s="1"/>
  <c r="AG2076" i="12" s="1"/>
  <c r="AG2075" i="12" s="1"/>
  <c r="AH2078" i="12"/>
  <c r="AH2077" i="12" s="1"/>
  <c r="AH2076" i="12" s="1"/>
  <c r="AH2075" i="12" s="1"/>
  <c r="AI2078" i="12"/>
  <c r="AJ2078" i="12"/>
  <c r="AK2078" i="12"/>
  <c r="Z2079" i="12"/>
  <c r="AA2079" i="12"/>
  <c r="AE2079" i="12"/>
  <c r="AJ2079" i="12"/>
  <c r="AK2079" i="12" s="1"/>
  <c r="AJ2080" i="12"/>
  <c r="AK2080" i="12" s="1"/>
  <c r="AJ2081" i="12"/>
  <c r="AK2081" i="12" s="1"/>
  <c r="AJ2082" i="12"/>
  <c r="AK2082" i="12" s="1"/>
  <c r="M2083" i="12"/>
  <c r="M2082" i="12" s="1"/>
  <c r="M2080" i="12" s="1"/>
  <c r="AG2083" i="12"/>
  <c r="AG2082" i="12" s="1"/>
  <c r="AG2080" i="12" s="1"/>
  <c r="AJ2083" i="12"/>
  <c r="AK2083" i="12"/>
  <c r="M2084" i="12"/>
  <c r="N2084" i="12"/>
  <c r="N2083" i="12" s="1"/>
  <c r="N2082" i="12" s="1"/>
  <c r="N2080" i="12" s="1"/>
  <c r="O2084" i="12"/>
  <c r="O2083" i="12" s="1"/>
  <c r="O2082" i="12" s="1"/>
  <c r="O2080" i="12" s="1"/>
  <c r="Q2084" i="12"/>
  <c r="Q2083" i="12" s="1"/>
  <c r="Q2082" i="12" s="1"/>
  <c r="Q2080" i="12" s="1"/>
  <c r="S2084" i="12"/>
  <c r="S2083" i="12" s="1"/>
  <c r="S2082" i="12" s="1"/>
  <c r="S2080" i="12" s="1"/>
  <c r="T2084" i="12"/>
  <c r="T2083" i="12" s="1"/>
  <c r="U2084" i="12"/>
  <c r="U2083" i="12" s="1"/>
  <c r="U2082" i="12" s="1"/>
  <c r="U2080" i="12" s="1"/>
  <c r="W2084" i="12"/>
  <c r="W2083" i="12" s="1"/>
  <c r="W2082" i="12" s="1"/>
  <c r="W2081" i="12" s="1"/>
  <c r="X2084" i="12"/>
  <c r="X2083" i="12" s="1"/>
  <c r="X2082" i="12" s="1"/>
  <c r="AB2084" i="12"/>
  <c r="AC2084" i="12"/>
  <c r="AF2084" i="12"/>
  <c r="AG2084" i="12"/>
  <c r="AH2084" i="12"/>
  <c r="AH2083" i="12" s="1"/>
  <c r="AH2082" i="12" s="1"/>
  <c r="AI2084" i="12"/>
  <c r="AI2083" i="12" s="1"/>
  <c r="AI2082" i="12" s="1"/>
  <c r="AI2081" i="12" s="1"/>
  <c r="AJ2084" i="12"/>
  <c r="AK2084" i="12" s="1"/>
  <c r="P2085" i="12"/>
  <c r="R2085" i="12"/>
  <c r="R2084" i="12" s="1"/>
  <c r="R2083" i="12" s="1"/>
  <c r="R2082" i="12" s="1"/>
  <c r="R2080" i="12" s="1"/>
  <c r="V2085" i="12"/>
  <c r="AA2085" i="12" s="1"/>
  <c r="Y2085" i="12"/>
  <c r="Y2084" i="12" s="1"/>
  <c r="Y2083" i="12" s="1"/>
  <c r="AD2085" i="12"/>
  <c r="AE2085" i="12"/>
  <c r="AJ2085" i="12"/>
  <c r="AK2085" i="12" s="1"/>
  <c r="AE2086" i="12"/>
  <c r="AF2086" i="12"/>
  <c r="AJ2086" i="12"/>
  <c r="AK2086" i="12" s="1"/>
  <c r="AE2087" i="12"/>
  <c r="AJ2087" i="12"/>
  <c r="AK2087" i="12" s="1"/>
  <c r="AJ2088" i="12"/>
  <c r="AK2088" i="12" s="1"/>
  <c r="AJ2089" i="12"/>
  <c r="AK2089" i="12" s="1"/>
  <c r="AJ2090" i="12"/>
  <c r="AK2090" i="12" s="1"/>
  <c r="U2091" i="12"/>
  <c r="U2090" i="12" s="1"/>
  <c r="U2089" i="12" s="1"/>
  <c r="U2088" i="12" s="1"/>
  <c r="AJ2091" i="12"/>
  <c r="AK2091" i="12" s="1"/>
  <c r="AJ2092" i="12"/>
  <c r="AK2092" i="12"/>
  <c r="AJ2093" i="12"/>
  <c r="AK2093" i="12" s="1"/>
  <c r="AJ2094" i="12"/>
  <c r="AK2094" i="12" s="1"/>
  <c r="AJ2095" i="12"/>
  <c r="AK2095" i="12" s="1"/>
  <c r="V2096" i="12"/>
  <c r="V2095" i="12" s="1"/>
  <c r="V2094" i="12" s="1"/>
  <c r="V2093" i="12" s="1"/>
  <c r="W2096" i="12"/>
  <c r="W2095" i="12" s="1"/>
  <c r="W2094" i="12" s="1"/>
  <c r="W2093" i="12" s="1"/>
  <c r="X2096" i="12"/>
  <c r="X2095" i="12" s="1"/>
  <c r="X2094" i="12" s="1"/>
  <c r="X2093" i="12" s="1"/>
  <c r="AB2096" i="12"/>
  <c r="AC2096" i="12"/>
  <c r="AD2096" i="12" s="1"/>
  <c r="AE2096" i="12"/>
  <c r="AF2096" i="12"/>
  <c r="AF2095" i="12" s="1"/>
  <c r="AF2094" i="12" s="1"/>
  <c r="AF2093" i="12" s="1"/>
  <c r="AG2096" i="12"/>
  <c r="AG2095" i="12" s="1"/>
  <c r="AG2094" i="12" s="1"/>
  <c r="AG2093" i="12" s="1"/>
  <c r="AH2096" i="12"/>
  <c r="AH2095" i="12" s="1"/>
  <c r="AH2094" i="12" s="1"/>
  <c r="AH2093" i="12" s="1"/>
  <c r="AI2096" i="12"/>
  <c r="AI2095" i="12" s="1"/>
  <c r="AI2094" i="12" s="1"/>
  <c r="AJ2096" i="12"/>
  <c r="AK2096" i="12"/>
  <c r="P2097" i="12"/>
  <c r="Y2097" i="12"/>
  <c r="Z2097" i="12" s="1"/>
  <c r="AA2097" i="12"/>
  <c r="AD2097" i="12"/>
  <c r="AE2097" i="12"/>
  <c r="AJ2097" i="12"/>
  <c r="AK2097" i="12" s="1"/>
  <c r="AH2098" i="12"/>
  <c r="AJ2098" i="12"/>
  <c r="AK2098" i="12" s="1"/>
  <c r="AJ2099" i="12"/>
  <c r="AK2099" i="12" s="1"/>
  <c r="W2100" i="12"/>
  <c r="AJ2100" i="12"/>
  <c r="AK2100" i="12" s="1"/>
  <c r="R2101" i="12"/>
  <c r="R2100" i="12" s="1"/>
  <c r="R2098" i="12" s="1"/>
  <c r="X2101" i="12"/>
  <c r="X2100" i="12" s="1"/>
  <c r="X2099" i="12" s="1"/>
  <c r="AH2101" i="12"/>
  <c r="AH2100" i="12" s="1"/>
  <c r="AH2099" i="12" s="1"/>
  <c r="AJ2101" i="12"/>
  <c r="AK2101" i="12" s="1"/>
  <c r="I2102" i="12"/>
  <c r="J2102" i="12"/>
  <c r="K2102" i="12"/>
  <c r="L2102" i="12"/>
  <c r="M2102" i="12"/>
  <c r="M2101" i="12" s="1"/>
  <c r="M2100" i="12" s="1"/>
  <c r="M2098" i="12" s="1"/>
  <c r="N2102" i="12"/>
  <c r="N2101" i="12" s="1"/>
  <c r="N2100" i="12" s="1"/>
  <c r="N2098" i="12" s="1"/>
  <c r="O2102" i="12"/>
  <c r="O2101" i="12" s="1"/>
  <c r="O2100" i="12" s="1"/>
  <c r="O2098" i="12" s="1"/>
  <c r="Q2102" i="12"/>
  <c r="Q2101" i="12" s="1"/>
  <c r="Q2100" i="12" s="1"/>
  <c r="Q2098" i="12" s="1"/>
  <c r="R2102" i="12"/>
  <c r="S2102" i="12"/>
  <c r="S2101" i="12" s="1"/>
  <c r="S2100" i="12" s="1"/>
  <c r="S2098" i="12" s="1"/>
  <c r="U2102" i="12"/>
  <c r="U2101" i="12" s="1"/>
  <c r="U2100" i="12" s="1"/>
  <c r="U2098" i="12" s="1"/>
  <c r="V2102" i="12"/>
  <c r="V2101" i="12" s="1"/>
  <c r="V2100" i="12" s="1"/>
  <c r="V2098" i="12" s="1"/>
  <c r="W2102" i="12"/>
  <c r="W2101" i="12" s="1"/>
  <c r="X2102" i="12"/>
  <c r="Y2102" i="12"/>
  <c r="AA2102" i="12"/>
  <c r="AB2102" i="12"/>
  <c r="AB2101" i="12" s="1"/>
  <c r="AC2102" i="12"/>
  <c r="AE2102" i="12"/>
  <c r="AF2102" i="12"/>
  <c r="AF2101" i="12" s="1"/>
  <c r="AG2102" i="12"/>
  <c r="AG2101" i="12" s="1"/>
  <c r="AG2100" i="12" s="1"/>
  <c r="AH2102" i="12"/>
  <c r="AI2102" i="12"/>
  <c r="AI2101" i="12" s="1"/>
  <c r="AI2100" i="12" s="1"/>
  <c r="AJ2102" i="12"/>
  <c r="AK2102" i="12" s="1"/>
  <c r="T2103" i="12"/>
  <c r="Z2103" i="12"/>
  <c r="AA2103" i="12"/>
  <c r="AD2103" i="12"/>
  <c r="AE2103" i="12"/>
  <c r="AJ2103" i="12"/>
  <c r="AK2103" i="12"/>
  <c r="X2104" i="12"/>
  <c r="AJ2104" i="12"/>
  <c r="AK2104" i="12" s="1"/>
  <c r="W2105" i="12"/>
  <c r="AJ2105" i="12"/>
  <c r="AK2105" i="12" s="1"/>
  <c r="S2106" i="12"/>
  <c r="S2104" i="12" s="1"/>
  <c r="AJ2106" i="12"/>
  <c r="AK2106" i="12" s="1"/>
  <c r="I2107" i="12"/>
  <c r="I2106" i="12" s="1"/>
  <c r="I2104" i="12" s="1"/>
  <c r="O2107" i="12"/>
  <c r="O2106" i="12" s="1"/>
  <c r="O2104" i="12" s="1"/>
  <c r="AH2107" i="12"/>
  <c r="AH2106" i="12" s="1"/>
  <c r="AJ2107" i="12"/>
  <c r="AK2107" i="12" s="1"/>
  <c r="I2108" i="12"/>
  <c r="J2108" i="12"/>
  <c r="J2107" i="12" s="1"/>
  <c r="K2108" i="12"/>
  <c r="M2108" i="12"/>
  <c r="L2108" i="12" s="1"/>
  <c r="N2108" i="12"/>
  <c r="N2107" i="12" s="1"/>
  <c r="N2106" i="12" s="1"/>
  <c r="N2104" i="12" s="1"/>
  <c r="O2108" i="12"/>
  <c r="Q2108" i="12"/>
  <c r="Q2107" i="12" s="1"/>
  <c r="Q2106" i="12" s="1"/>
  <c r="Q2104" i="12" s="1"/>
  <c r="R2108" i="12"/>
  <c r="R2107" i="12" s="1"/>
  <c r="R2106" i="12" s="1"/>
  <c r="R2104" i="12" s="1"/>
  <c r="S2108" i="12"/>
  <c r="S2107" i="12" s="1"/>
  <c r="T2108" i="12"/>
  <c r="T2107" i="12" s="1"/>
  <c r="U2108" i="12"/>
  <c r="U2107" i="12" s="1"/>
  <c r="U2106" i="12" s="1"/>
  <c r="U2104" i="12" s="1"/>
  <c r="V2108" i="12"/>
  <c r="V2107" i="12" s="1"/>
  <c r="V2106" i="12" s="1"/>
  <c r="V2105" i="12" s="1"/>
  <c r="W2108" i="12"/>
  <c r="W2107" i="12" s="1"/>
  <c r="W2106" i="12" s="1"/>
  <c r="W2104" i="12" s="1"/>
  <c r="X2108" i="12"/>
  <c r="X2107" i="12" s="1"/>
  <c r="X2106" i="12" s="1"/>
  <c r="X2105" i="12" s="1"/>
  <c r="Y2108" i="12"/>
  <c r="AA2108" i="12"/>
  <c r="AB2108" i="12"/>
  <c r="AB2107" i="12" s="1"/>
  <c r="AB2106" i="12" s="1"/>
  <c r="AB2105" i="12" s="1"/>
  <c r="AC2108" i="12"/>
  <c r="AC2107" i="12" s="1"/>
  <c r="AC2106" i="12" s="1"/>
  <c r="AF2108" i="12"/>
  <c r="AE2108" i="12" s="1"/>
  <c r="AG2108" i="12"/>
  <c r="AG2107" i="12" s="1"/>
  <c r="AG2106" i="12" s="1"/>
  <c r="AH2108" i="12"/>
  <c r="AI2108" i="12"/>
  <c r="AI2107" i="12" s="1"/>
  <c r="AI2106" i="12" s="1"/>
  <c r="AJ2108" i="12"/>
  <c r="AK2108" i="12" s="1"/>
  <c r="K2109" i="12"/>
  <c r="L2109" i="12"/>
  <c r="P2109" i="12"/>
  <c r="Z2109" i="12"/>
  <c r="AA2109" i="12"/>
  <c r="AE2109" i="12"/>
  <c r="AJ2109" i="12"/>
  <c r="AK2109" i="12" s="1"/>
  <c r="AH2110" i="12"/>
  <c r="AJ2110" i="12"/>
  <c r="AK2110" i="12" s="1"/>
  <c r="AH2111" i="12"/>
  <c r="AJ2111" i="12"/>
  <c r="AK2111" i="12" s="1"/>
  <c r="T2112" i="12"/>
  <c r="T2111" i="12" s="1"/>
  <c r="U2112" i="12"/>
  <c r="U2111" i="12" s="1"/>
  <c r="U2110" i="12" s="1"/>
  <c r="V2112" i="12"/>
  <c r="V2111" i="12" s="1"/>
  <c r="V2110" i="12" s="1"/>
  <c r="W2112" i="12"/>
  <c r="W2111" i="12" s="1"/>
  <c r="W2110" i="12" s="1"/>
  <c r="X2112" i="12"/>
  <c r="X2111" i="12" s="1"/>
  <c r="X2110" i="12" s="1"/>
  <c r="Y2112" i="12"/>
  <c r="Z2112" i="12" s="1"/>
  <c r="AB2112" i="12"/>
  <c r="AC2112" i="12"/>
  <c r="AC2111" i="12" s="1"/>
  <c r="AC2110" i="12" s="1"/>
  <c r="AF2112" i="12"/>
  <c r="AG2112" i="12"/>
  <c r="AG2111" i="12" s="1"/>
  <c r="AG2110" i="12" s="1"/>
  <c r="AH2112" i="12"/>
  <c r="AI2112" i="12"/>
  <c r="AI2111" i="12" s="1"/>
  <c r="AI2110" i="12" s="1"/>
  <c r="AJ2112" i="12"/>
  <c r="AK2112" i="12" s="1"/>
  <c r="Z2113" i="12"/>
  <c r="AA2113" i="12"/>
  <c r="AE2113" i="12"/>
  <c r="AJ2113" i="12"/>
  <c r="AK2113" i="12" s="1"/>
  <c r="AG2114" i="12"/>
  <c r="AJ2114" i="12"/>
  <c r="AK2114" i="12" s="1"/>
  <c r="AJ2115" i="12"/>
  <c r="AK2115" i="12"/>
  <c r="AJ2116" i="12"/>
  <c r="AK2116" i="12" s="1"/>
  <c r="AJ2117" i="12"/>
  <c r="AK2117" i="12"/>
  <c r="V2118" i="12"/>
  <c r="V2117" i="12" s="1"/>
  <c r="V2116" i="12" s="1"/>
  <c r="W2118" i="12"/>
  <c r="W2117" i="12" s="1"/>
  <c r="W2116" i="12" s="1"/>
  <c r="W2114" i="12" s="1"/>
  <c r="X2118" i="12"/>
  <c r="X2117" i="12" s="1"/>
  <c r="X2116" i="12" s="1"/>
  <c r="Y2118" i="12"/>
  <c r="Z2118" i="12" s="1"/>
  <c r="AA2118" i="12"/>
  <c r="AB2118" i="12"/>
  <c r="AB2117" i="12" s="1"/>
  <c r="AC2118" i="12"/>
  <c r="AD2118" i="12" s="1"/>
  <c r="AE2118" i="12"/>
  <c r="AF2118" i="12"/>
  <c r="AF2117" i="12" s="1"/>
  <c r="AF2116" i="12" s="1"/>
  <c r="AG2118" i="12"/>
  <c r="AG2117" i="12" s="1"/>
  <c r="AG2116" i="12" s="1"/>
  <c r="AG2115" i="12" s="1"/>
  <c r="AH2118" i="12"/>
  <c r="AH2117" i="12" s="1"/>
  <c r="AH2116" i="12" s="1"/>
  <c r="AI2118" i="12"/>
  <c r="AI2117" i="12" s="1"/>
  <c r="AI2116" i="12" s="1"/>
  <c r="AJ2118" i="12"/>
  <c r="AK2118" i="12" s="1"/>
  <c r="Z2119" i="12"/>
  <c r="AA2119" i="12"/>
  <c r="AD2119" i="12"/>
  <c r="AE2119" i="12"/>
  <c r="AJ2119" i="12"/>
  <c r="AK2119" i="12"/>
  <c r="AJ2120" i="12"/>
  <c r="AK2120" i="12" s="1"/>
  <c r="AJ2121" i="12"/>
  <c r="AK2121" i="12"/>
  <c r="AJ2122" i="12"/>
  <c r="AK2122" i="12" s="1"/>
  <c r="V2123" i="12"/>
  <c r="V2122" i="12" s="1"/>
  <c r="V2120" i="12" s="1"/>
  <c r="AB2123" i="12"/>
  <c r="AI2123" i="12"/>
  <c r="AI2122" i="12" s="1"/>
  <c r="AI2120" i="12" s="1"/>
  <c r="AJ2123" i="12"/>
  <c r="AK2123" i="12"/>
  <c r="V2124" i="12"/>
  <c r="W2124" i="12"/>
  <c r="W2123" i="12" s="1"/>
  <c r="W2122" i="12" s="1"/>
  <c r="X2124" i="12"/>
  <c r="X2123" i="12" s="1"/>
  <c r="X2122" i="12" s="1"/>
  <c r="X2120" i="12" s="1"/>
  <c r="Y2124" i="12"/>
  <c r="AB2124" i="12"/>
  <c r="AA2124" i="12" s="1"/>
  <c r="AC2124" i="12"/>
  <c r="AC2123" i="12" s="1"/>
  <c r="AC2122" i="12" s="1"/>
  <c r="AF2124" i="12"/>
  <c r="AG2124" i="12"/>
  <c r="AG2123" i="12" s="1"/>
  <c r="AG2122" i="12" s="1"/>
  <c r="AG2120" i="12" s="1"/>
  <c r="AH2124" i="12"/>
  <c r="AH2123" i="12" s="1"/>
  <c r="AH2122" i="12" s="1"/>
  <c r="AI2124" i="12"/>
  <c r="AJ2124" i="12"/>
  <c r="AK2124" i="12" s="1"/>
  <c r="Z2125" i="12"/>
  <c r="AA2125" i="12"/>
  <c r="AE2125" i="12"/>
  <c r="AJ2125" i="12"/>
  <c r="AK2125" i="12" s="1"/>
  <c r="AJ2126" i="12"/>
  <c r="AK2126" i="12" s="1"/>
  <c r="AJ2127" i="12"/>
  <c r="AK2127" i="12" s="1"/>
  <c r="AJ2128" i="12"/>
  <c r="AK2128" i="12" s="1"/>
  <c r="V2129" i="12"/>
  <c r="V2128" i="12" s="1"/>
  <c r="V2126" i="12" s="1"/>
  <c r="AJ2129" i="12"/>
  <c r="AK2129" i="12" s="1"/>
  <c r="V2130" i="12"/>
  <c r="W2130" i="12"/>
  <c r="W2129" i="12" s="1"/>
  <c r="W2128" i="12" s="1"/>
  <c r="W2127" i="12" s="1"/>
  <c r="X2130" i="12"/>
  <c r="X2129" i="12" s="1"/>
  <c r="X2128" i="12" s="1"/>
  <c r="X2126" i="12" s="1"/>
  <c r="Y2130" i="12"/>
  <c r="AB2130" i="12"/>
  <c r="AA2130" i="12" s="1"/>
  <c r="AC2130" i="12"/>
  <c r="AC2129" i="12" s="1"/>
  <c r="AC2128" i="12" s="1"/>
  <c r="AF2130" i="12"/>
  <c r="AG2130" i="12"/>
  <c r="AG2129" i="12" s="1"/>
  <c r="AG2128" i="12" s="1"/>
  <c r="AH2130" i="12"/>
  <c r="AH2129" i="12" s="1"/>
  <c r="AH2128" i="12" s="1"/>
  <c r="AI2130" i="12"/>
  <c r="AI2129" i="12" s="1"/>
  <c r="AI2128" i="12" s="1"/>
  <c r="AI2126" i="12" s="1"/>
  <c r="AJ2130" i="12"/>
  <c r="AK2130" i="12" s="1"/>
  <c r="Z2131" i="12"/>
  <c r="AA2131" i="12"/>
  <c r="AE2131" i="12"/>
  <c r="AJ2131" i="12"/>
  <c r="AK2131" i="12" s="1"/>
  <c r="AJ2132" i="12"/>
  <c r="AK2132" i="12" s="1"/>
  <c r="AJ2133" i="12"/>
  <c r="AK2133" i="12"/>
  <c r="AJ2134" i="12"/>
  <c r="AK2134" i="12" s="1"/>
  <c r="W2135" i="12"/>
  <c r="W2134" i="12" s="1"/>
  <c r="AJ2135" i="12"/>
  <c r="AK2135" i="12"/>
  <c r="V2136" i="12"/>
  <c r="V2135" i="12" s="1"/>
  <c r="V2134" i="12" s="1"/>
  <c r="W2136" i="12"/>
  <c r="X2136" i="12"/>
  <c r="X2135" i="12" s="1"/>
  <c r="X2134" i="12" s="1"/>
  <c r="Y2136" i="12"/>
  <c r="AA2136" i="12"/>
  <c r="AB2136" i="12"/>
  <c r="AB2135" i="12" s="1"/>
  <c r="AB2134" i="12" s="1"/>
  <c r="AC2136" i="12"/>
  <c r="AE2136" i="12"/>
  <c r="AF2136" i="12"/>
  <c r="AF2135" i="12" s="1"/>
  <c r="AF2134" i="12" s="1"/>
  <c r="AG2136" i="12"/>
  <c r="AG2135" i="12" s="1"/>
  <c r="AG2134" i="12" s="1"/>
  <c r="AH2136" i="12"/>
  <c r="AH2135" i="12" s="1"/>
  <c r="AH2134" i="12" s="1"/>
  <c r="AI2136" i="12"/>
  <c r="AI2135" i="12" s="1"/>
  <c r="AI2134" i="12" s="1"/>
  <c r="AJ2136" i="12"/>
  <c r="AK2136" i="12" s="1"/>
  <c r="Z2137" i="12"/>
  <c r="AA2137" i="12"/>
  <c r="AD2137" i="12"/>
  <c r="AE2137" i="12"/>
  <c r="AJ2137" i="12"/>
  <c r="AK2137" i="12"/>
  <c r="AJ2138" i="12"/>
  <c r="AK2138" i="12" s="1"/>
  <c r="AJ2139" i="12"/>
  <c r="AK2139" i="12"/>
  <c r="AJ2140" i="12"/>
  <c r="AK2140" i="12" s="1"/>
  <c r="AJ2141" i="12"/>
  <c r="AK2141" i="12"/>
  <c r="AB2142" i="12"/>
  <c r="AB2141" i="12" s="1"/>
  <c r="AB2140" i="12" s="1"/>
  <c r="AB2138" i="12" s="1"/>
  <c r="AC2142" i="12"/>
  <c r="AC2141" i="12" s="1"/>
  <c r="AC2140" i="12" s="1"/>
  <c r="AF2142" i="12"/>
  <c r="AG2142" i="12"/>
  <c r="AG2141" i="12" s="1"/>
  <c r="AG2140" i="12" s="1"/>
  <c r="AG2138" i="12" s="1"/>
  <c r="AH2142" i="12"/>
  <c r="AH2141" i="12" s="1"/>
  <c r="AH2140" i="12" s="1"/>
  <c r="AJ2142" i="12"/>
  <c r="AK2142" i="12" s="1"/>
  <c r="AE2143" i="12"/>
  <c r="AI2143" i="12"/>
  <c r="AI2142" i="12" s="1"/>
  <c r="AI2141" i="12" s="1"/>
  <c r="AI2140" i="12" s="1"/>
  <c r="AJ2143" i="12"/>
  <c r="AK2143" i="12" s="1"/>
  <c r="AJ2144" i="12"/>
  <c r="AK2144" i="12"/>
  <c r="AJ2145" i="12"/>
  <c r="AK2145" i="12" s="1"/>
  <c r="U2146" i="12"/>
  <c r="AJ2146" i="12"/>
  <c r="AK2146" i="12" s="1"/>
  <c r="V2147" i="12"/>
  <c r="V2146" i="12" s="1"/>
  <c r="X2147" i="12"/>
  <c r="X2146" i="12" s="1"/>
  <c r="X2144" i="12" s="1"/>
  <c r="AF2147" i="12"/>
  <c r="AF2146" i="12" s="1"/>
  <c r="AJ2147" i="12"/>
  <c r="AK2147" i="12" s="1"/>
  <c r="U2148" i="12"/>
  <c r="U2147" i="12" s="1"/>
  <c r="V2148" i="12"/>
  <c r="W2148" i="12"/>
  <c r="W2147" i="12" s="1"/>
  <c r="W2146" i="12" s="1"/>
  <c r="X2148" i="12"/>
  <c r="Y2148" i="12"/>
  <c r="Y2147" i="12" s="1"/>
  <c r="Y2146" i="12" s="1"/>
  <c r="Y2145" i="12" s="1"/>
  <c r="Z2148" i="12"/>
  <c r="Z2147" i="12" s="1"/>
  <c r="Z2146" i="12" s="1"/>
  <c r="AA2148" i="12"/>
  <c r="AA2147" i="12" s="1"/>
  <c r="AA2146" i="12" s="1"/>
  <c r="AB2148" i="12"/>
  <c r="AB2147" i="12" s="1"/>
  <c r="AB2146" i="12" s="1"/>
  <c r="AB2144" i="12" s="1"/>
  <c r="AC2148" i="12"/>
  <c r="AC2147" i="12" s="1"/>
  <c r="AC2146" i="12" s="1"/>
  <c r="AD2148" i="12"/>
  <c r="AD2147" i="12" s="1"/>
  <c r="AD2146" i="12" s="1"/>
  <c r="AF2148" i="12"/>
  <c r="AG2148" i="12"/>
  <c r="AG2147" i="12" s="1"/>
  <c r="AG2146" i="12" s="1"/>
  <c r="AG2145" i="12" s="1"/>
  <c r="AH2148" i="12"/>
  <c r="AH2147" i="12" s="1"/>
  <c r="AH2146" i="12" s="1"/>
  <c r="AI2148" i="12"/>
  <c r="AI2147" i="12" s="1"/>
  <c r="AI2146" i="12" s="1"/>
  <c r="AJ2148" i="12"/>
  <c r="AK2148" i="12"/>
  <c r="AE2149" i="12"/>
  <c r="AE2148" i="12" s="1"/>
  <c r="AE2147" i="12" s="1"/>
  <c r="AE2146" i="12" s="1"/>
  <c r="AJ2149" i="12"/>
  <c r="AK2149" i="12" s="1"/>
  <c r="AJ2150" i="12"/>
  <c r="AK2150" i="12"/>
  <c r="K2151" i="12"/>
  <c r="AE2151" i="12"/>
  <c r="AJ2151" i="12"/>
  <c r="AK2151" i="12"/>
  <c r="AJ2152" i="12"/>
  <c r="AK2152" i="12" s="1"/>
  <c r="AE2153" i="12"/>
  <c r="AJ2153" i="12"/>
  <c r="AK2153" i="12"/>
  <c r="AJ2154" i="12"/>
  <c r="AK2154" i="12" s="1"/>
  <c r="AJ2155" i="12"/>
  <c r="AK2155" i="12" s="1"/>
  <c r="AJ2156" i="12"/>
  <c r="AK2156" i="12"/>
  <c r="AJ2157" i="12"/>
  <c r="AK2157" i="12" s="1"/>
  <c r="AJ2158" i="12"/>
  <c r="AK2158" i="12" s="1"/>
  <c r="I2159" i="12"/>
  <c r="J2159" i="12"/>
  <c r="L2159" i="12"/>
  <c r="M2159" i="12"/>
  <c r="N2159" i="12"/>
  <c r="O2159" i="12"/>
  <c r="Q2159" i="12"/>
  <c r="R2159" i="12"/>
  <c r="S2159" i="12"/>
  <c r="T2159" i="12"/>
  <c r="U2159" i="12"/>
  <c r="V2159" i="12"/>
  <c r="W2159" i="12"/>
  <c r="X2159" i="12"/>
  <c r="Y2159" i="12"/>
  <c r="Z2159" i="12" s="1"/>
  <c r="AB2159" i="12"/>
  <c r="AC2159" i="12"/>
  <c r="AF2159" i="12"/>
  <c r="AG2159" i="12"/>
  <c r="AH2159" i="12"/>
  <c r="AI2159" i="12"/>
  <c r="AJ2159" i="12"/>
  <c r="AK2159" i="12" s="1"/>
  <c r="K2160" i="12"/>
  <c r="L2160" i="12"/>
  <c r="P2160" i="12"/>
  <c r="Z2160" i="12"/>
  <c r="AA2160" i="12"/>
  <c r="AD2160" i="12"/>
  <c r="AE2160" i="12"/>
  <c r="AJ2160" i="12"/>
  <c r="AK2160" i="12" s="1"/>
  <c r="K2161" i="12"/>
  <c r="L2161" i="12"/>
  <c r="P2161" i="12"/>
  <c r="Z2161" i="12"/>
  <c r="AA2161" i="12"/>
  <c r="AD2161" i="12"/>
  <c r="AE2161" i="12"/>
  <c r="AJ2161" i="12"/>
  <c r="AK2161" i="12" s="1"/>
  <c r="K2162" i="12"/>
  <c r="L2162" i="12"/>
  <c r="P2162" i="12"/>
  <c r="Z2162" i="12"/>
  <c r="AA2162" i="12"/>
  <c r="AD2162" i="12"/>
  <c r="AE2162" i="12"/>
  <c r="AJ2162" i="12"/>
  <c r="AK2162" i="12"/>
  <c r="L2163" i="12"/>
  <c r="P2163" i="12"/>
  <c r="Z2163" i="12"/>
  <c r="AA2163" i="12"/>
  <c r="AD2163" i="12"/>
  <c r="AE2163" i="12"/>
  <c r="AJ2163" i="12"/>
  <c r="AK2163" i="12"/>
  <c r="I2164" i="12"/>
  <c r="J2164" i="12"/>
  <c r="K2164" i="12" s="1"/>
  <c r="M2164" i="12"/>
  <c r="L2164" i="12" s="1"/>
  <c r="N2164" i="12"/>
  <c r="O2164" i="12"/>
  <c r="Q2164" i="12"/>
  <c r="R2164" i="12"/>
  <c r="S2164" i="12"/>
  <c r="T2164" i="12"/>
  <c r="P2164" i="12" s="1"/>
  <c r="U2164" i="12"/>
  <c r="V2164" i="12"/>
  <c r="Y2164" i="12"/>
  <c r="Z2164" i="12" s="1"/>
  <c r="AC2164" i="12"/>
  <c r="AF2164" i="12"/>
  <c r="AJ2164" i="12"/>
  <c r="AK2164" i="12" s="1"/>
  <c r="K2165" i="12"/>
  <c r="L2165" i="12"/>
  <c r="P2165" i="12"/>
  <c r="Z2165" i="12"/>
  <c r="AA2165" i="12"/>
  <c r="AD2165" i="12"/>
  <c r="AE2165" i="12"/>
  <c r="AJ2165" i="12"/>
  <c r="AK2165" i="12"/>
  <c r="AJ2166" i="12"/>
  <c r="AK2166" i="12" s="1"/>
  <c r="P2167" i="12"/>
  <c r="Z2167" i="12"/>
  <c r="AA2167" i="12"/>
  <c r="AD2167" i="12"/>
  <c r="AE2167" i="12"/>
  <c r="AJ2167" i="12"/>
  <c r="AK2167" i="12" s="1"/>
  <c r="K2168" i="12"/>
  <c r="L2168" i="12"/>
  <c r="P2168" i="12"/>
  <c r="W2168" i="12"/>
  <c r="W2164" i="12" s="1"/>
  <c r="X2168" i="12"/>
  <c r="X2164" i="12" s="1"/>
  <c r="Z2168" i="12"/>
  <c r="AB2168" i="12"/>
  <c r="AA2168" i="12" s="1"/>
  <c r="AD2168" i="12"/>
  <c r="AE2168" i="12"/>
  <c r="AG2168" i="12"/>
  <c r="AG2164" i="12" s="1"/>
  <c r="AH2168" i="12"/>
  <c r="AH2164" i="12" s="1"/>
  <c r="AI2168" i="12"/>
  <c r="AJ2168" i="12"/>
  <c r="AK2168" i="12" s="1"/>
  <c r="AJ2169" i="12"/>
  <c r="AK2169" i="12"/>
  <c r="AJ2170" i="12"/>
  <c r="AK2170" i="12" s="1"/>
  <c r="K2171" i="12"/>
  <c r="L2171" i="12"/>
  <c r="P2171" i="12"/>
  <c r="Z2171" i="12"/>
  <c r="AA2171" i="12"/>
  <c r="AD2171" i="12"/>
  <c r="AE2171" i="12"/>
  <c r="AJ2171" i="12"/>
  <c r="AK2171" i="12" s="1"/>
  <c r="K2172" i="12"/>
  <c r="L2172" i="12"/>
  <c r="P2172" i="12"/>
  <c r="Z2172" i="12"/>
  <c r="AA2172" i="12"/>
  <c r="AD2172" i="12"/>
  <c r="AE2172" i="12"/>
  <c r="AJ2172" i="12"/>
  <c r="AK2172" i="12"/>
  <c r="Z2173" i="12"/>
  <c r="AA2173" i="12"/>
  <c r="AD2173" i="12"/>
  <c r="AE2173" i="12"/>
  <c r="AJ2173" i="12"/>
  <c r="AK2173" i="12"/>
  <c r="K2174" i="12"/>
  <c r="L2174" i="12"/>
  <c r="P2174" i="12"/>
  <c r="Z2174" i="12"/>
  <c r="AA2174" i="12"/>
  <c r="AD2174" i="12"/>
  <c r="AE2174" i="12"/>
  <c r="AJ2174" i="12"/>
  <c r="AK2174" i="12" s="1"/>
  <c r="I2175" i="12"/>
  <c r="J2175" i="12"/>
  <c r="M2175" i="12"/>
  <c r="N2175" i="12"/>
  <c r="O2175" i="12"/>
  <c r="Q2175" i="12"/>
  <c r="R2175" i="12"/>
  <c r="S2175" i="12"/>
  <c r="T2175" i="12"/>
  <c r="U2175" i="12"/>
  <c r="U2158" i="12" s="1"/>
  <c r="Y2175" i="12"/>
  <c r="AB2175" i="12"/>
  <c r="AC2175" i="12"/>
  <c r="AD2175" i="12" s="1"/>
  <c r="AF2175" i="12"/>
  <c r="AE2175" i="12" s="1"/>
  <c r="AG2175" i="12"/>
  <c r="AH2175" i="12"/>
  <c r="AI2175" i="12"/>
  <c r="AJ2175" i="12"/>
  <c r="AK2175" i="12" s="1"/>
  <c r="K2176" i="12"/>
  <c r="L2176" i="12"/>
  <c r="P2176" i="12"/>
  <c r="Z2176" i="12"/>
  <c r="AA2176" i="12"/>
  <c r="AD2176" i="12"/>
  <c r="AE2176" i="12"/>
  <c r="AJ2176" i="12"/>
  <c r="AK2176" i="12" s="1"/>
  <c r="K2177" i="12"/>
  <c r="L2177" i="12"/>
  <c r="P2177" i="12"/>
  <c r="Z2177" i="12"/>
  <c r="AA2177" i="12"/>
  <c r="AD2177" i="12"/>
  <c r="AE2177" i="12"/>
  <c r="AJ2177" i="12"/>
  <c r="AK2177" i="12"/>
  <c r="K2178" i="12"/>
  <c r="L2178" i="12"/>
  <c r="P2178" i="12"/>
  <c r="Z2178" i="12"/>
  <c r="AA2178" i="12"/>
  <c r="AD2178" i="12"/>
  <c r="AE2178" i="12"/>
  <c r="AJ2178" i="12"/>
  <c r="AK2178" i="12" s="1"/>
  <c r="AJ2179" i="12"/>
  <c r="AK2179" i="12" s="1"/>
  <c r="K2180" i="12"/>
  <c r="L2180" i="12"/>
  <c r="P2180" i="12"/>
  <c r="W2180" i="12"/>
  <c r="X2180" i="12"/>
  <c r="X2175" i="12" s="1"/>
  <c r="Z2180" i="12"/>
  <c r="AA2180" i="12"/>
  <c r="AD2180" i="12"/>
  <c r="AE2180" i="12"/>
  <c r="AJ2180" i="12"/>
  <c r="AK2180" i="12"/>
  <c r="AJ2181" i="12"/>
  <c r="AK2181" i="12" s="1"/>
  <c r="AJ2182" i="12"/>
  <c r="AK2182" i="12"/>
  <c r="P2183" i="12"/>
  <c r="Z2183" i="12"/>
  <c r="AA2183" i="12"/>
  <c r="AE2183" i="12"/>
  <c r="AJ2183" i="12"/>
  <c r="AK2183" i="12" s="1"/>
  <c r="AA2184" i="12"/>
  <c r="AD2184" i="12"/>
  <c r="AE2184" i="12"/>
  <c r="AJ2184" i="12"/>
  <c r="AK2184" i="12" s="1"/>
  <c r="K2185" i="12"/>
  <c r="L2185" i="12"/>
  <c r="P2185" i="12"/>
  <c r="Z2185" i="12"/>
  <c r="AA2185" i="12"/>
  <c r="AD2185" i="12"/>
  <c r="AE2185" i="12"/>
  <c r="AJ2185" i="12"/>
  <c r="AK2185" i="12" s="1"/>
  <c r="K2186" i="12"/>
  <c r="L2186" i="12"/>
  <c r="P2186" i="12"/>
  <c r="Z2186" i="12"/>
  <c r="AA2186" i="12"/>
  <c r="AD2186" i="12"/>
  <c r="AE2186" i="12"/>
  <c r="AJ2186" i="12"/>
  <c r="AK2186" i="12" s="1"/>
  <c r="K2187" i="12"/>
  <c r="L2187" i="12"/>
  <c r="P2187" i="12"/>
  <c r="Z2187" i="12"/>
  <c r="AA2187" i="12"/>
  <c r="AD2187" i="12"/>
  <c r="AE2187" i="12"/>
  <c r="AJ2187" i="12"/>
  <c r="AK2187" i="12"/>
  <c r="K2188" i="12"/>
  <c r="L2188" i="12"/>
  <c r="P2188" i="12"/>
  <c r="V2188" i="12"/>
  <c r="W2188" i="12"/>
  <c r="Z2188" i="12"/>
  <c r="AD2188" i="12"/>
  <c r="AE2188" i="12"/>
  <c r="AJ2188" i="12"/>
  <c r="AK2188" i="12" s="1"/>
  <c r="I2189" i="12"/>
  <c r="K2189" i="12" s="1"/>
  <c r="J2189" i="12"/>
  <c r="M2189" i="12"/>
  <c r="N2189" i="12"/>
  <c r="O2189" i="12"/>
  <c r="Q2189" i="12"/>
  <c r="R2189" i="12"/>
  <c r="S2189" i="12"/>
  <c r="T2189" i="12"/>
  <c r="U2189" i="12"/>
  <c r="V2189" i="12"/>
  <c r="W2189" i="12"/>
  <c r="X2189" i="12"/>
  <c r="Y2189" i="12"/>
  <c r="AB2189" i="12"/>
  <c r="AA2189" i="12" s="1"/>
  <c r="AC2189" i="12"/>
  <c r="AF2189" i="12"/>
  <c r="AG2189" i="12"/>
  <c r="AH2189" i="12"/>
  <c r="AI2189" i="12"/>
  <c r="AJ2189" i="12"/>
  <c r="AK2189" i="12" s="1"/>
  <c r="K2190" i="12"/>
  <c r="L2190" i="12"/>
  <c r="P2190" i="12"/>
  <c r="Z2190" i="12"/>
  <c r="AA2190" i="12"/>
  <c r="AD2190" i="12"/>
  <c r="AE2190" i="12"/>
  <c r="AJ2190" i="12"/>
  <c r="AK2190" i="12" s="1"/>
  <c r="K2191" i="12"/>
  <c r="L2191" i="12"/>
  <c r="P2191" i="12"/>
  <c r="Z2191" i="12"/>
  <c r="AA2191" i="12"/>
  <c r="AD2191" i="12"/>
  <c r="AE2191" i="12"/>
  <c r="AJ2191" i="12"/>
  <c r="AK2191" i="12"/>
  <c r="P2192" i="12"/>
  <c r="Z2192" i="12"/>
  <c r="AA2192" i="12"/>
  <c r="AE2192" i="12"/>
  <c r="AJ2192" i="12"/>
  <c r="AK2192" i="12"/>
  <c r="P2193" i="12"/>
  <c r="Z2193" i="12"/>
  <c r="AA2193" i="12"/>
  <c r="AE2193" i="12"/>
  <c r="AJ2193" i="12"/>
  <c r="AK2193" i="12"/>
  <c r="K2194" i="12"/>
  <c r="L2194" i="12"/>
  <c r="P2194" i="12"/>
  <c r="Z2194" i="12"/>
  <c r="AA2194" i="12"/>
  <c r="AD2194" i="12"/>
  <c r="AE2194" i="12"/>
  <c r="AJ2194" i="12"/>
  <c r="AK2194" i="12" s="1"/>
  <c r="K2195" i="12"/>
  <c r="L2195" i="12"/>
  <c r="P2195" i="12"/>
  <c r="Z2195" i="12"/>
  <c r="AA2195" i="12"/>
  <c r="AD2195" i="12"/>
  <c r="AE2195" i="12"/>
  <c r="AJ2195" i="12"/>
  <c r="AK2195" i="12" s="1"/>
  <c r="K2196" i="12"/>
  <c r="L2196" i="12"/>
  <c r="P2196" i="12"/>
  <c r="Z2196" i="12"/>
  <c r="AA2196" i="12"/>
  <c r="AD2196" i="12"/>
  <c r="AE2196" i="12"/>
  <c r="AJ2196" i="12"/>
  <c r="AK2196" i="12" s="1"/>
  <c r="S2197" i="12"/>
  <c r="U2197" i="12"/>
  <c r="AG2197" i="12"/>
  <c r="AJ2197" i="12"/>
  <c r="AK2197" i="12"/>
  <c r="I2198" i="12"/>
  <c r="I2197" i="12" s="1"/>
  <c r="J2198" i="12"/>
  <c r="M2198" i="12"/>
  <c r="N2198" i="12"/>
  <c r="N2197" i="12" s="1"/>
  <c r="O2198" i="12"/>
  <c r="O2197" i="12" s="1"/>
  <c r="Q2198" i="12"/>
  <c r="Q2197" i="12" s="1"/>
  <c r="R2198" i="12"/>
  <c r="R2197" i="12" s="1"/>
  <c r="S2198" i="12"/>
  <c r="T2198" i="12"/>
  <c r="T2197" i="12" s="1"/>
  <c r="U2198" i="12"/>
  <c r="V2198" i="12"/>
  <c r="V2197" i="12" s="1"/>
  <c r="W2198" i="12"/>
  <c r="W2197" i="12" s="1"/>
  <c r="X2198" i="12"/>
  <c r="X2197" i="12" s="1"/>
  <c r="Y2198" i="12"/>
  <c r="Y2197" i="12" s="1"/>
  <c r="Z2198" i="12"/>
  <c r="AB2198" i="12"/>
  <c r="AC2198" i="12"/>
  <c r="AC2197" i="12" s="1"/>
  <c r="AF2198" i="12"/>
  <c r="AG2198" i="12"/>
  <c r="AH2198" i="12"/>
  <c r="AH2197" i="12" s="1"/>
  <c r="AI2198" i="12"/>
  <c r="AI2197" i="12" s="1"/>
  <c r="AJ2198" i="12"/>
  <c r="AK2198" i="12" s="1"/>
  <c r="K2199" i="12"/>
  <c r="L2199" i="12"/>
  <c r="P2199" i="12"/>
  <c r="Z2199" i="12"/>
  <c r="AA2199" i="12"/>
  <c r="AD2199" i="12"/>
  <c r="AE2199" i="12"/>
  <c r="AJ2199" i="12"/>
  <c r="AK2199" i="12"/>
  <c r="K2200" i="12"/>
  <c r="L2200" i="12"/>
  <c r="P2200" i="12"/>
  <c r="Z2200" i="12"/>
  <c r="AA2200" i="12"/>
  <c r="AD2200" i="12"/>
  <c r="AE2200" i="12"/>
  <c r="AJ2200" i="12"/>
  <c r="AK2200" i="12" s="1"/>
  <c r="K2201" i="12"/>
  <c r="L2201" i="12"/>
  <c r="P2201" i="12"/>
  <c r="Z2201" i="12"/>
  <c r="AA2201" i="12"/>
  <c r="AD2201" i="12"/>
  <c r="AE2201" i="12"/>
  <c r="AJ2201" i="12"/>
  <c r="AK2201" i="12" s="1"/>
  <c r="AJ2202" i="12"/>
  <c r="AK2202" i="12" s="1"/>
  <c r="AJ2203" i="12"/>
  <c r="AK2203" i="12" s="1"/>
  <c r="AJ2204" i="12"/>
  <c r="AK2204" i="12"/>
  <c r="R2205" i="12"/>
  <c r="R2204" i="12" s="1"/>
  <c r="R2202" i="12" s="1"/>
  <c r="V2205" i="12"/>
  <c r="V2204" i="12" s="1"/>
  <c r="V2202" i="12" s="1"/>
  <c r="AF2205" i="12"/>
  <c r="AJ2205" i="12"/>
  <c r="AK2205" i="12" s="1"/>
  <c r="I2206" i="12"/>
  <c r="I2205" i="12" s="1"/>
  <c r="I2204" i="12" s="1"/>
  <c r="I2202" i="12" s="1"/>
  <c r="J2206" i="12"/>
  <c r="M2206" i="12"/>
  <c r="N2206" i="12"/>
  <c r="N2205" i="12" s="1"/>
  <c r="N2204" i="12" s="1"/>
  <c r="N2202" i="12" s="1"/>
  <c r="O2206" i="12"/>
  <c r="O2205" i="12" s="1"/>
  <c r="O2204" i="12" s="1"/>
  <c r="O2202" i="12" s="1"/>
  <c r="Q2206" i="12"/>
  <c r="Q2205" i="12" s="1"/>
  <c r="Q2204" i="12" s="1"/>
  <c r="Q2202" i="12" s="1"/>
  <c r="R2206" i="12"/>
  <c r="S2206" i="12"/>
  <c r="S2205" i="12" s="1"/>
  <c r="S2204" i="12" s="1"/>
  <c r="S2202" i="12" s="1"/>
  <c r="T2206" i="12"/>
  <c r="U2206" i="12"/>
  <c r="U2205" i="12" s="1"/>
  <c r="U2204" i="12" s="1"/>
  <c r="U2202" i="12" s="1"/>
  <c r="V2206" i="12"/>
  <c r="W2206" i="12"/>
  <c r="W2205" i="12" s="1"/>
  <c r="W2204" i="12" s="1"/>
  <c r="X2206" i="12"/>
  <c r="X2205" i="12" s="1"/>
  <c r="X2204" i="12" s="1"/>
  <c r="Y2206" i="12"/>
  <c r="AB2206" i="12"/>
  <c r="AA2206" i="12" s="1"/>
  <c r="AC2206" i="12"/>
  <c r="AE2206" i="12"/>
  <c r="AF2206" i="12"/>
  <c r="AG2206" i="12"/>
  <c r="AG2205" i="12" s="1"/>
  <c r="AG2204" i="12" s="1"/>
  <c r="AH2206" i="12"/>
  <c r="AH2205" i="12" s="1"/>
  <c r="AH2204" i="12" s="1"/>
  <c r="AH2202" i="12" s="1"/>
  <c r="AI2206" i="12"/>
  <c r="AI2205" i="12" s="1"/>
  <c r="AI2204" i="12" s="1"/>
  <c r="AJ2206" i="12"/>
  <c r="AK2206" i="12"/>
  <c r="K2207" i="12"/>
  <c r="L2207" i="12"/>
  <c r="P2207" i="12"/>
  <c r="Z2207" i="12"/>
  <c r="AA2207" i="12"/>
  <c r="AD2207" i="12"/>
  <c r="AE2207" i="12"/>
  <c r="AJ2207" i="12"/>
  <c r="AK2207" i="12" s="1"/>
  <c r="AJ2208" i="12"/>
  <c r="AK2208" i="12"/>
  <c r="AJ2209" i="12"/>
  <c r="AK2209" i="12" s="1"/>
  <c r="R2210" i="12"/>
  <c r="R2208" i="12" s="1"/>
  <c r="AJ2210" i="12"/>
  <c r="AK2210" i="12" s="1"/>
  <c r="I2211" i="12"/>
  <c r="I2210" i="12" s="1"/>
  <c r="I2208" i="12" s="1"/>
  <c r="AC2211" i="12"/>
  <c r="AG2211" i="12"/>
  <c r="AG2210" i="12" s="1"/>
  <c r="AJ2211" i="12"/>
  <c r="AK2211" i="12" s="1"/>
  <c r="I2212" i="12"/>
  <c r="J2212" i="12"/>
  <c r="L2212" i="12"/>
  <c r="M2212" i="12"/>
  <c r="M2211" i="12" s="1"/>
  <c r="N2212" i="12"/>
  <c r="N2211" i="12" s="1"/>
  <c r="N2210" i="12" s="1"/>
  <c r="N2208" i="12" s="1"/>
  <c r="O2212" i="12"/>
  <c r="O2211" i="12" s="1"/>
  <c r="O2210" i="12" s="1"/>
  <c r="O2208" i="12" s="1"/>
  <c r="Q2212" i="12"/>
  <c r="Q2211" i="12" s="1"/>
  <c r="Q2210" i="12" s="1"/>
  <c r="Q2208" i="12" s="1"/>
  <c r="R2212" i="12"/>
  <c r="R2211" i="12" s="1"/>
  <c r="S2212" i="12"/>
  <c r="S2211" i="12" s="1"/>
  <c r="S2210" i="12" s="1"/>
  <c r="S2208" i="12" s="1"/>
  <c r="T2212" i="12"/>
  <c r="T2211" i="12" s="1"/>
  <c r="U2212" i="12"/>
  <c r="U2211" i="12" s="1"/>
  <c r="U2210" i="12" s="1"/>
  <c r="U2208" i="12" s="1"/>
  <c r="V2212" i="12"/>
  <c r="V2211" i="12" s="1"/>
  <c r="V2210" i="12" s="1"/>
  <c r="W2212" i="12"/>
  <c r="W2211" i="12" s="1"/>
  <c r="W2210" i="12" s="1"/>
  <c r="W2208" i="12" s="1"/>
  <c r="X2212" i="12"/>
  <c r="X2211" i="12" s="1"/>
  <c r="X2210" i="12" s="1"/>
  <c r="Y2212" i="12"/>
  <c r="AB2212" i="12"/>
  <c r="AC2212" i="12"/>
  <c r="AF2212" i="12"/>
  <c r="AG2212" i="12"/>
  <c r="AH2212" i="12"/>
  <c r="AH2211" i="12" s="1"/>
  <c r="AH2210" i="12" s="1"/>
  <c r="AI2212" i="12"/>
  <c r="AI2211" i="12" s="1"/>
  <c r="AI2210" i="12" s="1"/>
  <c r="AJ2212" i="12"/>
  <c r="AK2212" i="12" s="1"/>
  <c r="K2213" i="12"/>
  <c r="L2213" i="12"/>
  <c r="P2213" i="12"/>
  <c r="Z2213" i="12"/>
  <c r="AA2213" i="12"/>
  <c r="AD2213" i="12"/>
  <c r="AE2213" i="12"/>
  <c r="AJ2213" i="12"/>
  <c r="AK2213" i="12" s="1"/>
  <c r="AJ2214" i="12"/>
  <c r="AK2214" i="12"/>
  <c r="AJ2215" i="12"/>
  <c r="AK2215" i="12" s="1"/>
  <c r="AJ2216" i="12"/>
  <c r="AK2216" i="12" s="1"/>
  <c r="I2217" i="12"/>
  <c r="I2216" i="12" s="1"/>
  <c r="I2214" i="12" s="1"/>
  <c r="AJ2217" i="12"/>
  <c r="AK2217" i="12" s="1"/>
  <c r="I2218" i="12"/>
  <c r="J2218" i="12"/>
  <c r="J2217" i="12" s="1"/>
  <c r="M2218" i="12"/>
  <c r="N2218" i="12"/>
  <c r="O2218" i="12"/>
  <c r="Q2218" i="12"/>
  <c r="Q2217" i="12" s="1"/>
  <c r="Q2216" i="12" s="1"/>
  <c r="Q2214" i="12" s="1"/>
  <c r="R2218" i="12"/>
  <c r="S2218" i="12"/>
  <c r="T2218" i="12"/>
  <c r="U2218" i="12"/>
  <c r="U2217" i="12" s="1"/>
  <c r="U2216" i="12" s="1"/>
  <c r="U2214" i="12" s="1"/>
  <c r="V2218" i="12"/>
  <c r="W2218" i="12"/>
  <c r="X2218" i="12"/>
  <c r="Y2218" i="12"/>
  <c r="AA2218" i="12"/>
  <c r="AB2218" i="12"/>
  <c r="AC2218" i="12"/>
  <c r="AF2218" i="12"/>
  <c r="AE2218" i="12" s="1"/>
  <c r="AG2218" i="12"/>
  <c r="AH2218" i="12"/>
  <c r="AI2218" i="12"/>
  <c r="AJ2218" i="12"/>
  <c r="AK2218" i="12" s="1"/>
  <c r="K2219" i="12"/>
  <c r="L2219" i="12"/>
  <c r="P2219" i="12"/>
  <c r="Z2219" i="12"/>
  <c r="AA2219" i="12"/>
  <c r="AE2219" i="12"/>
  <c r="AJ2219" i="12"/>
  <c r="AK2219" i="12" s="1"/>
  <c r="N2220" i="12"/>
  <c r="O2220" i="12"/>
  <c r="Q2220" i="12"/>
  <c r="R2220" i="12"/>
  <c r="S2220" i="12"/>
  <c r="T2220" i="12"/>
  <c r="P2220" i="12" s="1"/>
  <c r="U2220" i="12"/>
  <c r="V2220" i="12"/>
  <c r="W2220" i="12"/>
  <c r="X2220" i="12"/>
  <c r="Y2220" i="12"/>
  <c r="Z2220" i="12"/>
  <c r="AB2220" i="12"/>
  <c r="AC2220" i="12"/>
  <c r="AF2220" i="12"/>
  <c r="AG2220" i="12"/>
  <c r="AH2220" i="12"/>
  <c r="AH2217" i="12" s="1"/>
  <c r="AH2216" i="12" s="1"/>
  <c r="AI2220" i="12"/>
  <c r="AJ2220" i="12"/>
  <c r="AK2220" i="12"/>
  <c r="P2221" i="12"/>
  <c r="Z2221" i="12"/>
  <c r="AA2221" i="12"/>
  <c r="AE2221" i="12"/>
  <c r="AJ2221" i="12"/>
  <c r="AK2221" i="12" s="1"/>
  <c r="AJ2222" i="12"/>
  <c r="AK2222" i="12" s="1"/>
  <c r="AJ2223" i="12"/>
  <c r="AK2223" i="12" s="1"/>
  <c r="Q2224" i="12"/>
  <c r="Q2222" i="12" s="1"/>
  <c r="S2224" i="12"/>
  <c r="S2222" i="12" s="1"/>
  <c r="AG2224" i="12"/>
  <c r="AJ2224" i="12"/>
  <c r="AK2224" i="12"/>
  <c r="N2225" i="12"/>
  <c r="N2224" i="12" s="1"/>
  <c r="N2222" i="12" s="1"/>
  <c r="AF2225" i="12"/>
  <c r="AF2224" i="12" s="1"/>
  <c r="AF2222" i="12" s="1"/>
  <c r="AJ2225" i="12"/>
  <c r="AK2225" i="12" s="1"/>
  <c r="I2226" i="12"/>
  <c r="I2225" i="12" s="1"/>
  <c r="I2224" i="12" s="1"/>
  <c r="I2222" i="12" s="1"/>
  <c r="J2226" i="12"/>
  <c r="M2226" i="12"/>
  <c r="N2226" i="12"/>
  <c r="O2226" i="12"/>
  <c r="O2225" i="12" s="1"/>
  <c r="O2224" i="12" s="1"/>
  <c r="O2222" i="12" s="1"/>
  <c r="Q2226" i="12"/>
  <c r="Q2225" i="12" s="1"/>
  <c r="R2226" i="12"/>
  <c r="R2225" i="12" s="1"/>
  <c r="R2224" i="12" s="1"/>
  <c r="R2222" i="12" s="1"/>
  <c r="S2226" i="12"/>
  <c r="S2225" i="12" s="1"/>
  <c r="T2226" i="12"/>
  <c r="U2226" i="12"/>
  <c r="V2226" i="12"/>
  <c r="V2225" i="12" s="1"/>
  <c r="V2224" i="12" s="1"/>
  <c r="W2226" i="12"/>
  <c r="W2225" i="12" s="1"/>
  <c r="W2224" i="12" s="1"/>
  <c r="X2226" i="12"/>
  <c r="X2225" i="12" s="1"/>
  <c r="X2224" i="12" s="1"/>
  <c r="X2223" i="12" s="1"/>
  <c r="Y2226" i="12"/>
  <c r="AA2226" i="12"/>
  <c r="AB2226" i="12"/>
  <c r="AB2225" i="12" s="1"/>
  <c r="AC2226" i="12"/>
  <c r="AF2226" i="12"/>
  <c r="AE2226" i="12" s="1"/>
  <c r="AE2225" i="12" s="1"/>
  <c r="AG2226" i="12"/>
  <c r="AG2225" i="12" s="1"/>
  <c r="AH2226" i="12"/>
  <c r="AH2225" i="12" s="1"/>
  <c r="AH2224" i="12" s="1"/>
  <c r="AI2226" i="12"/>
  <c r="AI2225" i="12" s="1"/>
  <c r="AI2224" i="12" s="1"/>
  <c r="AJ2226" i="12"/>
  <c r="AK2226" i="12" s="1"/>
  <c r="K2227" i="12"/>
  <c r="L2227" i="12"/>
  <c r="P2227" i="12"/>
  <c r="Z2227" i="12"/>
  <c r="AA2227" i="12"/>
  <c r="AD2227" i="12"/>
  <c r="AE2227" i="12"/>
  <c r="AJ2227" i="12"/>
  <c r="AK2227" i="12" s="1"/>
  <c r="K2228" i="12"/>
  <c r="L2228" i="12"/>
  <c r="P2228" i="12"/>
  <c r="Z2228" i="12"/>
  <c r="AA2228" i="12"/>
  <c r="AE2228" i="12"/>
  <c r="AJ2228" i="12"/>
  <c r="AK2228" i="12" s="1"/>
  <c r="K2229" i="12"/>
  <c r="L2229" i="12"/>
  <c r="P2229" i="12"/>
  <c r="Z2229" i="12"/>
  <c r="AA2229" i="12"/>
  <c r="AD2229" i="12"/>
  <c r="AE2229" i="12"/>
  <c r="AJ2229" i="12"/>
  <c r="AK2229" i="12" s="1"/>
  <c r="K2230" i="12"/>
  <c r="L2230" i="12"/>
  <c r="P2230" i="12"/>
  <c r="Z2230" i="12"/>
  <c r="AA2230" i="12"/>
  <c r="AE2230" i="12"/>
  <c r="AJ2230" i="12"/>
  <c r="AK2230" i="12" s="1"/>
  <c r="U2231" i="12"/>
  <c r="AJ2231" i="12"/>
  <c r="AK2231" i="12" s="1"/>
  <c r="AJ2232" i="12"/>
  <c r="AK2232" i="12" s="1"/>
  <c r="AJ2233" i="12"/>
  <c r="AK2233" i="12"/>
  <c r="AJ2234" i="12"/>
  <c r="AK2234" i="12" s="1"/>
  <c r="AJ2235" i="12"/>
  <c r="AK2235" i="12" s="1"/>
  <c r="AJ2236" i="12"/>
  <c r="AK2236" i="12" s="1"/>
  <c r="AJ2237" i="12"/>
  <c r="AK2237" i="12"/>
  <c r="U2238" i="12"/>
  <c r="AJ2238" i="12"/>
  <c r="AK2238" i="12" s="1"/>
  <c r="AJ2239" i="12"/>
  <c r="AK2239" i="12" s="1"/>
  <c r="AJ2240" i="12"/>
  <c r="AK2240" i="12" s="1"/>
  <c r="U2241" i="12"/>
  <c r="U2237" i="12" s="1"/>
  <c r="AJ2241" i="12"/>
  <c r="AK2241" i="12" s="1"/>
  <c r="AJ2242" i="12"/>
  <c r="AK2242" i="12" s="1"/>
  <c r="AJ2243" i="12"/>
  <c r="AK2243" i="12"/>
  <c r="AJ2244" i="12"/>
  <c r="AK2244" i="12" s="1"/>
  <c r="U2245" i="12"/>
  <c r="V2245" i="12"/>
  <c r="W2245" i="12"/>
  <c r="X2245" i="12"/>
  <c r="Y2245" i="12"/>
  <c r="Y2244" i="12" s="1"/>
  <c r="AA2245" i="12"/>
  <c r="AB2245" i="12"/>
  <c r="AC2245" i="12"/>
  <c r="AF2245" i="12"/>
  <c r="AE2245" i="12" s="1"/>
  <c r="AG2245" i="12"/>
  <c r="AH2245" i="12"/>
  <c r="AI2245" i="12"/>
  <c r="AJ2245" i="12"/>
  <c r="AK2245" i="12" s="1"/>
  <c r="AA2246" i="12"/>
  <c r="AD2246" i="12"/>
  <c r="AE2246" i="12"/>
  <c r="AJ2246" i="12"/>
  <c r="AK2246" i="12" s="1"/>
  <c r="AJ2247" i="12"/>
  <c r="AK2247" i="12" s="1"/>
  <c r="AJ2248" i="12"/>
  <c r="AK2248" i="12" s="1"/>
  <c r="Z2249" i="12"/>
  <c r="Z2245" i="12" s="1"/>
  <c r="AA2249" i="12"/>
  <c r="AD2249" i="12"/>
  <c r="AE2249" i="12"/>
  <c r="AJ2249" i="12"/>
  <c r="AK2249" i="12" s="1"/>
  <c r="AJ2250" i="12"/>
  <c r="AK2250" i="12" s="1"/>
  <c r="U2251" i="12"/>
  <c r="V2251" i="12"/>
  <c r="W2251" i="12"/>
  <c r="Y2251" i="12"/>
  <c r="AB2251" i="12"/>
  <c r="AF2251" i="12"/>
  <c r="AE2251" i="12" s="1"/>
  <c r="AG2251" i="12"/>
  <c r="AH2251" i="12"/>
  <c r="AI2251" i="12"/>
  <c r="AJ2251" i="12"/>
  <c r="AK2251" i="12" s="1"/>
  <c r="Z2252" i="12"/>
  <c r="AA2252" i="12"/>
  <c r="AD2252" i="12"/>
  <c r="AE2252" i="12"/>
  <c r="AJ2252" i="12"/>
  <c r="AK2252" i="12"/>
  <c r="AJ2253" i="12"/>
  <c r="AK2253" i="12" s="1"/>
  <c r="Y2254" i="12"/>
  <c r="Z2254" i="12"/>
  <c r="AA2254" i="12"/>
  <c r="AC2254" i="12"/>
  <c r="AE2254" i="12"/>
  <c r="AJ2254" i="12"/>
  <c r="AK2254" i="12"/>
  <c r="Z2255" i="12"/>
  <c r="AA2255" i="12"/>
  <c r="AD2255" i="12"/>
  <c r="AE2255" i="12"/>
  <c r="AJ2255" i="12"/>
  <c r="AK2255" i="12" s="1"/>
  <c r="W2256" i="12"/>
  <c r="X2256" i="12"/>
  <c r="X2251" i="12" s="1"/>
  <c r="Z2256" i="12"/>
  <c r="AA2256" i="12"/>
  <c r="AD2256" i="12"/>
  <c r="AE2256" i="12"/>
  <c r="AJ2256" i="12"/>
  <c r="AK2256" i="12" s="1"/>
  <c r="AJ2257" i="12"/>
  <c r="AK2257" i="12"/>
  <c r="AJ2258" i="12"/>
  <c r="AK2258" i="12" s="1"/>
  <c r="Z2259" i="12"/>
  <c r="AA2259" i="12"/>
  <c r="AD2259" i="12"/>
  <c r="AE2259" i="12"/>
  <c r="AJ2259" i="12"/>
  <c r="AK2259" i="12" s="1"/>
  <c r="AJ2260" i="12"/>
  <c r="AK2260" i="12" s="1"/>
  <c r="U2261" i="12"/>
  <c r="V2261" i="12"/>
  <c r="Z2261" i="12" s="1"/>
  <c r="Y2261" i="12"/>
  <c r="AB2261" i="12"/>
  <c r="AF2261" i="12"/>
  <c r="AE2261" i="12" s="1"/>
  <c r="AG2261" i="12"/>
  <c r="AJ2261" i="12"/>
  <c r="AK2261" i="12" s="1"/>
  <c r="Z2262" i="12"/>
  <c r="AA2262" i="12"/>
  <c r="AC2262" i="12"/>
  <c r="AE2262" i="12"/>
  <c r="AJ2262" i="12"/>
  <c r="AK2262" i="12"/>
  <c r="Z2263" i="12"/>
  <c r="AA2263" i="12"/>
  <c r="AE2263" i="12"/>
  <c r="AJ2263" i="12"/>
  <c r="AK2263" i="12" s="1"/>
  <c r="AJ2264" i="12"/>
  <c r="AK2264" i="12" s="1"/>
  <c r="AA2265" i="12"/>
  <c r="AD2265" i="12"/>
  <c r="AE2265" i="12"/>
  <c r="AJ2265" i="12"/>
  <c r="AK2265" i="12"/>
  <c r="AJ2266" i="12"/>
  <c r="AK2266" i="12"/>
  <c r="AJ2267" i="12"/>
  <c r="AK2267" i="12"/>
  <c r="Z2268" i="12"/>
  <c r="AA2268" i="12"/>
  <c r="AD2268" i="12"/>
  <c r="AE2268" i="12"/>
  <c r="AH2268" i="12"/>
  <c r="AH2261" i="12" s="1"/>
  <c r="AH2244" i="12" s="1"/>
  <c r="AI2268" i="12"/>
  <c r="AJ2268" i="12"/>
  <c r="AK2268" i="12"/>
  <c r="AJ2269" i="12"/>
  <c r="AK2269" i="12"/>
  <c r="W2270" i="12"/>
  <c r="W2261" i="12" s="1"/>
  <c r="X2270" i="12"/>
  <c r="X2601" i="12" s="1"/>
  <c r="Z2270" i="12"/>
  <c r="AA2270" i="12"/>
  <c r="AD2270" i="12"/>
  <c r="AE2270" i="12"/>
  <c r="AJ2270" i="12"/>
  <c r="AK2270" i="12"/>
  <c r="Z2271" i="12"/>
  <c r="AA2271" i="12"/>
  <c r="AC2271" i="12"/>
  <c r="AD2271" i="12"/>
  <c r="AE2271" i="12"/>
  <c r="AJ2271" i="12"/>
  <c r="AK2271" i="12" s="1"/>
  <c r="AJ2272" i="12"/>
  <c r="AK2272" i="12" s="1"/>
  <c r="Z2273" i="12"/>
  <c r="AA2273" i="12"/>
  <c r="AD2273" i="12"/>
  <c r="AE2273" i="12"/>
  <c r="AJ2273" i="12"/>
  <c r="AK2273" i="12" s="1"/>
  <c r="AJ2274" i="12"/>
  <c r="AK2274" i="12" s="1"/>
  <c r="U2275" i="12"/>
  <c r="AJ2275" i="12"/>
  <c r="AK2275" i="12"/>
  <c r="AJ2276" i="12"/>
  <c r="AK2276" i="12"/>
  <c r="AJ2277" i="12"/>
  <c r="AK2277" i="12"/>
  <c r="AJ2278" i="12"/>
  <c r="AK2278" i="12"/>
  <c r="V2279" i="12"/>
  <c r="X2279" i="12"/>
  <c r="AJ2279" i="12"/>
  <c r="AK2279" i="12" s="1"/>
  <c r="U2280" i="12"/>
  <c r="U2279" i="12" s="1"/>
  <c r="V2280" i="12"/>
  <c r="W2280" i="12"/>
  <c r="W2279" i="12" s="1"/>
  <c r="X2280" i="12"/>
  <c r="Y2280" i="12"/>
  <c r="AB2280" i="12"/>
  <c r="AB2279" i="12" s="1"/>
  <c r="AA2279" i="12" s="1"/>
  <c r="AC2280" i="12"/>
  <c r="AF2280" i="12"/>
  <c r="AG2280" i="12"/>
  <c r="AG2279" i="12" s="1"/>
  <c r="AH2280" i="12"/>
  <c r="AH2279" i="12" s="1"/>
  <c r="AI2280" i="12"/>
  <c r="AI2279" i="12" s="1"/>
  <c r="AJ2280" i="12"/>
  <c r="AK2280" i="12" s="1"/>
  <c r="Z2281" i="12"/>
  <c r="AA2281" i="12"/>
  <c r="AD2281" i="12"/>
  <c r="AE2281" i="12"/>
  <c r="AJ2281" i="12"/>
  <c r="AK2281" i="12" s="1"/>
  <c r="AB2282" i="12"/>
  <c r="AJ2282" i="12"/>
  <c r="AK2282" i="12" s="1"/>
  <c r="V2283" i="12"/>
  <c r="Y2283" i="12"/>
  <c r="Y2282" i="12" s="1"/>
  <c r="AB2283" i="12"/>
  <c r="AC2283" i="12"/>
  <c r="AF2283" i="12"/>
  <c r="AG2283" i="12"/>
  <c r="AG2282" i="12" s="1"/>
  <c r="AH2283" i="12"/>
  <c r="AH2282" i="12" s="1"/>
  <c r="AI2283" i="12"/>
  <c r="AI2282" i="12" s="1"/>
  <c r="AJ2283" i="12"/>
  <c r="AK2283" i="12" s="1"/>
  <c r="AA2284" i="12"/>
  <c r="AD2284" i="12"/>
  <c r="AE2284" i="12"/>
  <c r="AJ2284" i="12"/>
  <c r="AK2284" i="12" s="1"/>
  <c r="AJ2285" i="12"/>
  <c r="AK2285" i="12" s="1"/>
  <c r="AJ2286" i="12"/>
  <c r="AK2286" i="12" s="1"/>
  <c r="T2287" i="12"/>
  <c r="AJ2287" i="12"/>
  <c r="AK2287" i="12" s="1"/>
  <c r="I2288" i="12"/>
  <c r="J2288" i="12"/>
  <c r="M2288" i="12"/>
  <c r="N2288" i="12"/>
  <c r="O2288" i="12"/>
  <c r="O2287" i="12" s="1"/>
  <c r="Q2288" i="12"/>
  <c r="S2288" i="12"/>
  <c r="T2288" i="12"/>
  <c r="P2288" i="12" s="1"/>
  <c r="U2288" i="12"/>
  <c r="U2287" i="12" s="1"/>
  <c r="V2288" i="12"/>
  <c r="W2288" i="12"/>
  <c r="X2288" i="12"/>
  <c r="Y2288" i="12"/>
  <c r="AB2288" i="12"/>
  <c r="AA2288" i="12" s="1"/>
  <c r="AC2288" i="12"/>
  <c r="AE2288" i="12"/>
  <c r="AF2288" i="12"/>
  <c r="AG2288" i="12"/>
  <c r="AH2288" i="12"/>
  <c r="AI2288" i="12"/>
  <c r="AI2287" i="12" s="1"/>
  <c r="AJ2288" i="12"/>
  <c r="AK2288" i="12"/>
  <c r="K2289" i="12"/>
  <c r="L2289" i="12"/>
  <c r="P2289" i="12"/>
  <c r="R2289" i="12"/>
  <c r="R2288" i="12" s="1"/>
  <c r="S2289" i="12"/>
  <c r="Z2289" i="12"/>
  <c r="AA2289" i="12"/>
  <c r="AD2289" i="12"/>
  <c r="AE2289" i="12"/>
  <c r="AJ2289" i="12"/>
  <c r="AK2289" i="12" s="1"/>
  <c r="K2290" i="12"/>
  <c r="L2290" i="12"/>
  <c r="P2290" i="12"/>
  <c r="Z2290" i="12"/>
  <c r="AA2290" i="12"/>
  <c r="AD2290" i="12"/>
  <c r="AE2290" i="12"/>
  <c r="AJ2290" i="12"/>
  <c r="AK2290" i="12" s="1"/>
  <c r="I2291" i="12"/>
  <c r="J2291" i="12"/>
  <c r="L2291" i="12"/>
  <c r="M2291" i="12"/>
  <c r="N2291" i="12"/>
  <c r="P2291" i="12" s="1"/>
  <c r="O2291" i="12"/>
  <c r="Q2291" i="12"/>
  <c r="T2291" i="12"/>
  <c r="U2291" i="12"/>
  <c r="V2291" i="12"/>
  <c r="W2291" i="12"/>
  <c r="X2291" i="12"/>
  <c r="X2287" i="12" s="1"/>
  <c r="Y2291" i="12"/>
  <c r="Z2291" i="12" s="1"/>
  <c r="AB2291" i="12"/>
  <c r="AC2291" i="12"/>
  <c r="AF2291" i="12"/>
  <c r="AI2291" i="12"/>
  <c r="AJ2291" i="12"/>
  <c r="AK2291" i="12" s="1"/>
  <c r="K2292" i="12"/>
  <c r="L2292" i="12"/>
  <c r="P2292" i="12"/>
  <c r="R2292" i="12"/>
  <c r="S2292" i="12"/>
  <c r="S2291" i="12" s="1"/>
  <c r="T2292" i="12"/>
  <c r="Z2292" i="12"/>
  <c r="AA2292" i="12"/>
  <c r="AD2292" i="12"/>
  <c r="AE2292" i="12"/>
  <c r="AH2292" i="12"/>
  <c r="AH2291" i="12" s="1"/>
  <c r="AH2287" i="12" s="1"/>
  <c r="AJ2292" i="12"/>
  <c r="AK2292" i="12"/>
  <c r="K2293" i="12"/>
  <c r="L2293" i="12"/>
  <c r="P2293" i="12"/>
  <c r="R2293" i="12"/>
  <c r="R2291" i="12" s="1"/>
  <c r="R2287" i="12" s="1"/>
  <c r="S2293" i="12"/>
  <c r="Z2293" i="12"/>
  <c r="AA2293" i="12"/>
  <c r="AD2293" i="12"/>
  <c r="AE2293" i="12"/>
  <c r="AG2293" i="12"/>
  <c r="AG2291" i="12" s="1"/>
  <c r="AJ2293" i="12"/>
  <c r="AK2293" i="12"/>
  <c r="AJ2294" i="12"/>
  <c r="AK2294" i="12" s="1"/>
  <c r="I2295" i="12"/>
  <c r="K2295" i="12" s="1"/>
  <c r="J2295" i="12"/>
  <c r="M2295" i="12"/>
  <c r="L2295" i="12" s="1"/>
  <c r="N2295" i="12"/>
  <c r="O2295" i="12"/>
  <c r="Q2295" i="12"/>
  <c r="S2295" i="12"/>
  <c r="T2295" i="12"/>
  <c r="P2295" i="12" s="1"/>
  <c r="U2295" i="12"/>
  <c r="V2295" i="12"/>
  <c r="W2295" i="12"/>
  <c r="X2295" i="12"/>
  <c r="Y2295" i="12"/>
  <c r="AC2295" i="12"/>
  <c r="AF2295" i="12"/>
  <c r="AG2295" i="12"/>
  <c r="AH2295" i="12"/>
  <c r="AJ2295" i="12"/>
  <c r="AK2295" i="12" s="1"/>
  <c r="K2296" i="12"/>
  <c r="L2296" i="12"/>
  <c r="P2296" i="12"/>
  <c r="R2296" i="12"/>
  <c r="R2295" i="12" s="1"/>
  <c r="S2296" i="12"/>
  <c r="Z2296" i="12"/>
  <c r="AA2296" i="12"/>
  <c r="AD2296" i="12"/>
  <c r="AE2296" i="12"/>
  <c r="AG2296" i="12"/>
  <c r="AI2296" i="12"/>
  <c r="AI2295" i="12" s="1"/>
  <c r="AJ2296" i="12"/>
  <c r="AK2296" i="12" s="1"/>
  <c r="AE2297" i="12"/>
  <c r="AJ2297" i="12"/>
  <c r="AK2297" i="12"/>
  <c r="K2298" i="12"/>
  <c r="L2298" i="12"/>
  <c r="P2298" i="12"/>
  <c r="Z2298" i="12"/>
  <c r="AB2298" i="12"/>
  <c r="AG2298" i="12"/>
  <c r="AJ2298" i="12"/>
  <c r="AK2298" i="12" s="1"/>
  <c r="AA2299" i="12"/>
  <c r="AD2299" i="12"/>
  <c r="AE2299" i="12"/>
  <c r="AJ2299" i="12"/>
  <c r="AK2299" i="12"/>
  <c r="I2300" i="12"/>
  <c r="J2300" i="12"/>
  <c r="M2300" i="12"/>
  <c r="L2300" i="12" s="1"/>
  <c r="N2300" i="12"/>
  <c r="P2300" i="12" s="1"/>
  <c r="O2300" i="12"/>
  <c r="Q2300" i="12"/>
  <c r="T2300" i="12"/>
  <c r="U2300" i="12"/>
  <c r="V2300" i="12"/>
  <c r="W2300" i="12"/>
  <c r="X2300" i="12"/>
  <c r="X2294" i="12" s="1"/>
  <c r="Y2300" i="12"/>
  <c r="Z2300" i="12"/>
  <c r="AB2300" i="12"/>
  <c r="AD2300" i="12" s="1"/>
  <c r="AC2300" i="12"/>
  <c r="AF2300" i="12"/>
  <c r="AE2300" i="12" s="1"/>
  <c r="AJ2300" i="12"/>
  <c r="AK2300" i="12" s="1"/>
  <c r="P2301" i="12"/>
  <c r="R2301" i="12"/>
  <c r="S2301" i="12"/>
  <c r="Z2301" i="12"/>
  <c r="AA2301" i="12"/>
  <c r="AD2301" i="12"/>
  <c r="AE2301" i="12"/>
  <c r="AG2301" i="12"/>
  <c r="AG2300" i="12" s="1"/>
  <c r="AH2301" i="12"/>
  <c r="AI2301" i="12"/>
  <c r="AI2300" i="12" s="1"/>
  <c r="AJ2301" i="12"/>
  <c r="AK2301" i="12" s="1"/>
  <c r="Z2302" i="12"/>
  <c r="AA2302" i="12"/>
  <c r="AD2302" i="12"/>
  <c r="AE2302" i="12"/>
  <c r="AJ2302" i="12"/>
  <c r="AK2302" i="12" s="1"/>
  <c r="K2303" i="12"/>
  <c r="L2303" i="12"/>
  <c r="P2303" i="12"/>
  <c r="R2303" i="12"/>
  <c r="R2300" i="12" s="1"/>
  <c r="S2303" i="12"/>
  <c r="Z2303" i="12"/>
  <c r="AA2303" i="12"/>
  <c r="AD2303" i="12"/>
  <c r="AE2303" i="12"/>
  <c r="AG2303" i="12"/>
  <c r="AJ2303" i="12"/>
  <c r="AK2303" i="12" s="1"/>
  <c r="K2304" i="12"/>
  <c r="L2304" i="12"/>
  <c r="P2304" i="12"/>
  <c r="R2304" i="12"/>
  <c r="S2304" i="12"/>
  <c r="Z2304" i="12"/>
  <c r="AA2304" i="12"/>
  <c r="AD2304" i="12"/>
  <c r="AE2304" i="12"/>
  <c r="AG2304" i="12"/>
  <c r="AJ2304" i="12"/>
  <c r="AK2304" i="12" s="1"/>
  <c r="P2305" i="12"/>
  <c r="R2305" i="12"/>
  <c r="S2305" i="12"/>
  <c r="Z2305" i="12"/>
  <c r="AA2305" i="12"/>
  <c r="AD2305" i="12"/>
  <c r="AE2305" i="12"/>
  <c r="AG2305" i="12"/>
  <c r="AJ2305" i="12"/>
  <c r="AK2305" i="12" s="1"/>
  <c r="P2306" i="12"/>
  <c r="R2306" i="12"/>
  <c r="Z2306" i="12"/>
  <c r="AA2306" i="12"/>
  <c r="AD2306" i="12"/>
  <c r="AE2306" i="12"/>
  <c r="AJ2306" i="12"/>
  <c r="AK2306" i="12" s="1"/>
  <c r="I2307" i="12"/>
  <c r="J2307" i="12"/>
  <c r="M2307" i="12"/>
  <c r="L2307" i="12" s="1"/>
  <c r="O2307" i="12"/>
  <c r="T2307" i="12"/>
  <c r="U2307" i="12"/>
  <c r="V2307" i="12"/>
  <c r="W2307" i="12"/>
  <c r="X2307" i="12"/>
  <c r="Y2307" i="12"/>
  <c r="AA2307" i="12"/>
  <c r="AB2307" i="12"/>
  <c r="AC2307" i="12"/>
  <c r="AD2307" i="12" s="1"/>
  <c r="AF2307" i="12"/>
  <c r="AE2307" i="12" s="1"/>
  <c r="AI2307" i="12"/>
  <c r="AJ2307" i="12"/>
  <c r="AK2307" i="12" s="1"/>
  <c r="K2308" i="12"/>
  <c r="L2308" i="12"/>
  <c r="P2308" i="12"/>
  <c r="R2308" i="12"/>
  <c r="S2308" i="12"/>
  <c r="Z2308" i="12"/>
  <c r="AA2308" i="12"/>
  <c r="AD2308" i="12"/>
  <c r="AE2308" i="12"/>
  <c r="AG2308" i="12"/>
  <c r="AH2308" i="12"/>
  <c r="AH2307" i="12" s="1"/>
  <c r="AJ2308" i="12"/>
  <c r="AK2308" i="12" s="1"/>
  <c r="K2309" i="12"/>
  <c r="L2309" i="12"/>
  <c r="P2309" i="12"/>
  <c r="R2309" i="12"/>
  <c r="S2309" i="12"/>
  <c r="Z2309" i="12"/>
  <c r="AA2309" i="12"/>
  <c r="AD2309" i="12"/>
  <c r="AE2309" i="12"/>
  <c r="AG2309" i="12"/>
  <c r="AJ2309" i="12"/>
  <c r="AK2309" i="12" s="1"/>
  <c r="K2310" i="12"/>
  <c r="L2310" i="12"/>
  <c r="N2310" i="12"/>
  <c r="Q2310" i="12"/>
  <c r="Q2307" i="12" s="1"/>
  <c r="R2310" i="12"/>
  <c r="S2310" i="12"/>
  <c r="Z2310" i="12"/>
  <c r="AA2310" i="12"/>
  <c r="AD2310" i="12"/>
  <c r="AE2310" i="12"/>
  <c r="AJ2310" i="12"/>
  <c r="AK2310" i="12"/>
  <c r="K2311" i="12"/>
  <c r="L2311" i="12"/>
  <c r="P2311" i="12"/>
  <c r="R2311" i="12"/>
  <c r="S2311" i="12"/>
  <c r="Z2311" i="12"/>
  <c r="AA2311" i="12"/>
  <c r="AD2311" i="12"/>
  <c r="AE2311" i="12"/>
  <c r="AG2311" i="12"/>
  <c r="AJ2311" i="12"/>
  <c r="AK2311" i="12"/>
  <c r="P2312" i="12"/>
  <c r="R2312" i="12"/>
  <c r="S2312" i="12"/>
  <c r="Z2312" i="12"/>
  <c r="AA2312" i="12"/>
  <c r="AD2312" i="12"/>
  <c r="AE2312" i="12"/>
  <c r="AJ2312" i="12"/>
  <c r="AK2312" i="12" s="1"/>
  <c r="K2313" i="12"/>
  <c r="L2313" i="12"/>
  <c r="P2313" i="12"/>
  <c r="Z2313" i="12"/>
  <c r="AA2313" i="12"/>
  <c r="AD2313" i="12"/>
  <c r="AE2313" i="12"/>
  <c r="AG2313" i="12"/>
  <c r="AJ2313" i="12"/>
  <c r="AK2313" i="12" s="1"/>
  <c r="P2314" i="12"/>
  <c r="R2314" i="12"/>
  <c r="S2314" i="12"/>
  <c r="Z2314" i="12"/>
  <c r="AA2314" i="12"/>
  <c r="AD2314" i="12"/>
  <c r="AE2314" i="12"/>
  <c r="AG2314" i="12"/>
  <c r="AJ2314" i="12"/>
  <c r="AK2314" i="12" s="1"/>
  <c r="P2315" i="12"/>
  <c r="Z2315" i="12"/>
  <c r="AA2315" i="12"/>
  <c r="AD2315" i="12"/>
  <c r="AE2315" i="12"/>
  <c r="AJ2315" i="12"/>
  <c r="AK2315" i="12" s="1"/>
  <c r="K2316" i="12"/>
  <c r="L2316" i="12"/>
  <c r="P2316" i="12"/>
  <c r="R2316" i="12"/>
  <c r="S2316" i="12"/>
  <c r="Z2316" i="12"/>
  <c r="AA2316" i="12"/>
  <c r="AD2316" i="12"/>
  <c r="AE2316" i="12"/>
  <c r="AG2316" i="12"/>
  <c r="AJ2316" i="12"/>
  <c r="AK2316" i="12" s="1"/>
  <c r="I2317" i="12"/>
  <c r="L2317" i="12" s="1"/>
  <c r="J2317" i="12"/>
  <c r="M2317" i="12"/>
  <c r="N2317" i="12"/>
  <c r="O2317" i="12"/>
  <c r="Q2317" i="12"/>
  <c r="T2317" i="12"/>
  <c r="U2317" i="12"/>
  <c r="V2317" i="12"/>
  <c r="W2317" i="12"/>
  <c r="X2317" i="12"/>
  <c r="Y2317" i="12"/>
  <c r="Z2317" i="12" s="1"/>
  <c r="AB2317" i="12"/>
  <c r="AC2317" i="12"/>
  <c r="AF2317" i="12"/>
  <c r="AH2317" i="12"/>
  <c r="AI2317" i="12"/>
  <c r="AJ2317" i="12"/>
  <c r="AK2317" i="12" s="1"/>
  <c r="P2318" i="12"/>
  <c r="R2318" i="12"/>
  <c r="S2318" i="12"/>
  <c r="Z2318" i="12"/>
  <c r="AA2318" i="12"/>
  <c r="AD2318" i="12"/>
  <c r="AE2318" i="12"/>
  <c r="AJ2318" i="12"/>
  <c r="AK2318" i="12"/>
  <c r="K2319" i="12"/>
  <c r="L2319" i="12"/>
  <c r="P2319" i="12"/>
  <c r="R2319" i="12"/>
  <c r="S2319" i="12"/>
  <c r="Z2319" i="12"/>
  <c r="AB2319" i="12"/>
  <c r="AE2319" i="12"/>
  <c r="AF2319" i="12"/>
  <c r="AJ2319" i="12"/>
  <c r="AK2319" i="12" s="1"/>
  <c r="K2320" i="12"/>
  <c r="L2320" i="12"/>
  <c r="P2320" i="12"/>
  <c r="Z2320" i="12"/>
  <c r="AA2320" i="12"/>
  <c r="AD2320" i="12"/>
  <c r="AE2320" i="12"/>
  <c r="AJ2320" i="12"/>
  <c r="AK2320" i="12" s="1"/>
  <c r="P2321" i="12"/>
  <c r="Z2321" i="12"/>
  <c r="AA2321" i="12"/>
  <c r="AD2321" i="12"/>
  <c r="AE2321" i="12"/>
  <c r="AG2321" i="12"/>
  <c r="AG2317" i="12" s="1"/>
  <c r="AJ2321" i="12"/>
  <c r="AK2321" i="12" s="1"/>
  <c r="P2322" i="12"/>
  <c r="R2322" i="12"/>
  <c r="S2322" i="12"/>
  <c r="Z2322" i="12"/>
  <c r="AA2322" i="12"/>
  <c r="AD2322" i="12"/>
  <c r="AE2322" i="12"/>
  <c r="AJ2322" i="12"/>
  <c r="AK2322" i="12" s="1"/>
  <c r="I2323" i="12"/>
  <c r="O2323" i="12"/>
  <c r="U2323" i="12"/>
  <c r="AC2323" i="12"/>
  <c r="AI2323" i="12"/>
  <c r="AJ2323" i="12"/>
  <c r="AK2323" i="12"/>
  <c r="I2324" i="12"/>
  <c r="J2324" i="12"/>
  <c r="M2324" i="12"/>
  <c r="L2324" i="12" s="1"/>
  <c r="N2324" i="12"/>
  <c r="N2323" i="12" s="1"/>
  <c r="O2324" i="12"/>
  <c r="Q2324" i="12"/>
  <c r="Q2323" i="12" s="1"/>
  <c r="R2324" i="12"/>
  <c r="R2323" i="12" s="1"/>
  <c r="S2324" i="12"/>
  <c r="S2323" i="12" s="1"/>
  <c r="T2324" i="12"/>
  <c r="T2323" i="12" s="1"/>
  <c r="U2324" i="12"/>
  <c r="V2324" i="12"/>
  <c r="V2323" i="12" s="1"/>
  <c r="W2324" i="12"/>
  <c r="W2323" i="12" s="1"/>
  <c r="X2324" i="12"/>
  <c r="X2323" i="12" s="1"/>
  <c r="Y2324" i="12"/>
  <c r="Y2323" i="12" s="1"/>
  <c r="Z2324" i="12"/>
  <c r="AB2324" i="12"/>
  <c r="AC2324" i="12"/>
  <c r="AF2324" i="12"/>
  <c r="AG2324" i="12"/>
  <c r="AG2323" i="12" s="1"/>
  <c r="AH2324" i="12"/>
  <c r="AH2323" i="12" s="1"/>
  <c r="AI2324" i="12"/>
  <c r="AJ2324" i="12"/>
  <c r="AK2324" i="12" s="1"/>
  <c r="K2325" i="12"/>
  <c r="L2325" i="12"/>
  <c r="P2325" i="12"/>
  <c r="Z2325" i="12"/>
  <c r="AA2325" i="12"/>
  <c r="AD2325" i="12"/>
  <c r="AE2325" i="12"/>
  <c r="AJ2325" i="12"/>
  <c r="AK2325" i="12"/>
  <c r="AJ2326" i="12"/>
  <c r="AK2326" i="12" s="1"/>
  <c r="AA2327" i="12"/>
  <c r="AD2327" i="12"/>
  <c r="AE2327" i="12"/>
  <c r="AJ2327" i="12"/>
  <c r="AK2327" i="12" s="1"/>
  <c r="AJ2328" i="12"/>
  <c r="AK2328" i="12"/>
  <c r="AJ2329" i="12"/>
  <c r="AK2329" i="12" s="1"/>
  <c r="AJ2330" i="12"/>
  <c r="AK2330" i="12"/>
  <c r="U2331" i="12"/>
  <c r="V2331" i="12"/>
  <c r="V2330" i="12" s="1"/>
  <c r="W2331" i="12"/>
  <c r="X2331" i="12"/>
  <c r="X2330" i="12" s="1"/>
  <c r="Y2331" i="12"/>
  <c r="Z2331" i="12"/>
  <c r="AB2331" i="12"/>
  <c r="AC2331" i="12"/>
  <c r="AC2330" i="12" s="1"/>
  <c r="AF2331" i="12"/>
  <c r="AG2331" i="12"/>
  <c r="AH2331" i="12"/>
  <c r="AI2331" i="12"/>
  <c r="AI2330" i="12" s="1"/>
  <c r="AJ2331" i="12"/>
  <c r="AK2331" i="12" s="1"/>
  <c r="AJ2332" i="12"/>
  <c r="AK2332" i="12" s="1"/>
  <c r="Z2333" i="12"/>
  <c r="AA2333" i="12"/>
  <c r="AD2333" i="12"/>
  <c r="AE2333" i="12"/>
  <c r="AJ2333" i="12"/>
  <c r="AK2333" i="12" s="1"/>
  <c r="U2334" i="12"/>
  <c r="U2330" i="12" s="1"/>
  <c r="V2334" i="12"/>
  <c r="W2334" i="12"/>
  <c r="W2330" i="12" s="1"/>
  <c r="X2334" i="12"/>
  <c r="Y2334" i="12"/>
  <c r="Z2334" i="12" s="1"/>
  <c r="AB2334" i="12"/>
  <c r="AA2334" i="12" s="1"/>
  <c r="AC2334" i="12"/>
  <c r="AD2334" i="12" s="1"/>
  <c r="AE2334" i="12"/>
  <c r="AF2334" i="12"/>
  <c r="AH2334" i="12"/>
  <c r="AI2334" i="12"/>
  <c r="AJ2334" i="12"/>
  <c r="AK2334" i="12"/>
  <c r="Z2335" i="12"/>
  <c r="AA2335" i="12"/>
  <c r="AD2335" i="12"/>
  <c r="AE2335" i="12"/>
  <c r="AG2335" i="12"/>
  <c r="AG2334" i="12" s="1"/>
  <c r="AG2330" i="12" s="1"/>
  <c r="AJ2335" i="12"/>
  <c r="AK2335" i="12" s="1"/>
  <c r="AJ2336" i="12"/>
  <c r="AK2336" i="12" s="1"/>
  <c r="AJ2337" i="12"/>
  <c r="AK2337" i="12" s="1"/>
  <c r="Z2338" i="12"/>
  <c r="AA2338" i="12"/>
  <c r="AD2338" i="12"/>
  <c r="AE2338" i="12"/>
  <c r="AG2338" i="12"/>
  <c r="AJ2338" i="12"/>
  <c r="AK2338" i="12" s="1"/>
  <c r="V2339" i="12"/>
  <c r="AJ2339" i="12"/>
  <c r="AK2339" i="12" s="1"/>
  <c r="U2340" i="12"/>
  <c r="V2340" i="12"/>
  <c r="W2340" i="12"/>
  <c r="X2340" i="12"/>
  <c r="Y2340" i="12"/>
  <c r="AB2340" i="12"/>
  <c r="AA2340" i="12" s="1"/>
  <c r="AC2340" i="12"/>
  <c r="AF2340" i="12"/>
  <c r="AG2340" i="12"/>
  <c r="AH2340" i="12"/>
  <c r="AI2340" i="12"/>
  <c r="AJ2340" i="12"/>
  <c r="AK2340" i="12"/>
  <c r="AJ2341" i="12"/>
  <c r="AK2341" i="12" s="1"/>
  <c r="Z2342" i="12"/>
  <c r="AA2342" i="12"/>
  <c r="AD2342" i="12"/>
  <c r="AE2342" i="12"/>
  <c r="AG2342" i="12"/>
  <c r="AJ2342" i="12"/>
  <c r="AK2342" i="12" s="1"/>
  <c r="U2343" i="12"/>
  <c r="V2343" i="12"/>
  <c r="W2343" i="12"/>
  <c r="X2343" i="12"/>
  <c r="Y2343" i="12"/>
  <c r="AB2343" i="12"/>
  <c r="AC2343" i="12"/>
  <c r="AF2343" i="12"/>
  <c r="AE2343" i="12" s="1"/>
  <c r="AG2343" i="12"/>
  <c r="AH2343" i="12"/>
  <c r="AI2343" i="12"/>
  <c r="AJ2343" i="12"/>
  <c r="AK2343" i="12" s="1"/>
  <c r="Z2344" i="12"/>
  <c r="AA2344" i="12"/>
  <c r="AD2344" i="12"/>
  <c r="AE2344" i="12"/>
  <c r="AG2344" i="12"/>
  <c r="AJ2344" i="12"/>
  <c r="AK2344" i="12" s="1"/>
  <c r="AJ2345" i="12"/>
  <c r="AK2345" i="12" s="1"/>
  <c r="Z2346" i="12"/>
  <c r="AA2346" i="12"/>
  <c r="AD2346" i="12"/>
  <c r="AE2346" i="12"/>
  <c r="AJ2346" i="12"/>
  <c r="AK2346" i="12" s="1"/>
  <c r="AJ2347" i="12"/>
  <c r="AK2347" i="12" s="1"/>
  <c r="AJ2348" i="12"/>
  <c r="AK2348" i="12" s="1"/>
  <c r="AA2349" i="12"/>
  <c r="AD2349" i="12"/>
  <c r="AE2349" i="12"/>
  <c r="AJ2349" i="12"/>
  <c r="AK2349" i="12"/>
  <c r="U2350" i="12"/>
  <c r="V2350" i="12"/>
  <c r="W2350" i="12"/>
  <c r="X2350" i="12"/>
  <c r="Y2350" i="12"/>
  <c r="Z2350" i="12" s="1"/>
  <c r="AB2350" i="12"/>
  <c r="AC2350" i="12"/>
  <c r="AF2350" i="12"/>
  <c r="AF2339" i="12" s="1"/>
  <c r="AG2350" i="12"/>
  <c r="AH2350" i="12"/>
  <c r="AI2350" i="12"/>
  <c r="AJ2350" i="12"/>
  <c r="AK2350" i="12" s="1"/>
  <c r="Z2351" i="12"/>
  <c r="AA2351" i="12"/>
  <c r="AE2351" i="12"/>
  <c r="AJ2351" i="12"/>
  <c r="AK2351" i="12" s="1"/>
  <c r="AJ2352" i="12"/>
  <c r="AK2352" i="12"/>
  <c r="Z2353" i="12"/>
  <c r="AA2353" i="12"/>
  <c r="AD2353" i="12"/>
  <c r="AE2353" i="12"/>
  <c r="AJ2353" i="12"/>
  <c r="AK2353" i="12" s="1"/>
  <c r="Z2354" i="12"/>
  <c r="AA2354" i="12"/>
  <c r="AD2354" i="12"/>
  <c r="AE2354" i="12"/>
  <c r="AJ2354" i="12"/>
  <c r="AK2354" i="12" s="1"/>
  <c r="Z2355" i="12"/>
  <c r="AA2355" i="12"/>
  <c r="AD2355" i="12"/>
  <c r="AE2355" i="12"/>
  <c r="AJ2355" i="12"/>
  <c r="AK2355" i="12" s="1"/>
  <c r="AJ2356" i="12"/>
  <c r="AK2356" i="12"/>
  <c r="Z2357" i="12"/>
  <c r="AA2357" i="12"/>
  <c r="AD2357" i="12"/>
  <c r="AE2357" i="12"/>
  <c r="AJ2357" i="12"/>
  <c r="AK2357" i="12" s="1"/>
  <c r="U2358" i="12"/>
  <c r="V2358" i="12"/>
  <c r="W2358" i="12"/>
  <c r="X2358" i="12"/>
  <c r="Y2358" i="12"/>
  <c r="Z2358" i="12" s="1"/>
  <c r="AB2358" i="12"/>
  <c r="AC2358" i="12"/>
  <c r="AF2358" i="12"/>
  <c r="AG2358" i="12"/>
  <c r="AH2358" i="12"/>
  <c r="AI2358" i="12"/>
  <c r="AJ2358" i="12"/>
  <c r="AK2358" i="12" s="1"/>
  <c r="AJ2359" i="12"/>
  <c r="AK2359" i="12" s="1"/>
  <c r="Z2360" i="12"/>
  <c r="AA2360" i="12"/>
  <c r="AD2360" i="12"/>
  <c r="AE2360" i="12"/>
  <c r="AJ2360" i="12"/>
  <c r="AK2360" i="12" s="1"/>
  <c r="U2361" i="12"/>
  <c r="V2361" i="12"/>
  <c r="W2361" i="12"/>
  <c r="X2361" i="12"/>
  <c r="Y2361" i="12"/>
  <c r="Z2361" i="12" s="1"/>
  <c r="AB2361" i="12"/>
  <c r="AC2361" i="12"/>
  <c r="AF2361" i="12"/>
  <c r="AG2361" i="12"/>
  <c r="AH2361" i="12"/>
  <c r="AI2361" i="12"/>
  <c r="AJ2361" i="12"/>
  <c r="AK2361" i="12"/>
  <c r="AJ2362" i="12"/>
  <c r="AK2362" i="12"/>
  <c r="Z2363" i="12"/>
  <c r="AA2363" i="12"/>
  <c r="AD2363" i="12"/>
  <c r="AE2363" i="12"/>
  <c r="AJ2363" i="12"/>
  <c r="AK2363" i="12"/>
  <c r="AJ2364" i="12"/>
  <c r="AK2364" i="12" s="1"/>
  <c r="AJ2365" i="12"/>
  <c r="AK2365" i="12" s="1"/>
  <c r="AJ2366" i="12"/>
  <c r="AK2366" i="12" s="1"/>
  <c r="AH2367" i="12"/>
  <c r="AH2366" i="12" s="1"/>
  <c r="AH2365" i="12" s="1"/>
  <c r="AJ2367" i="12"/>
  <c r="AK2367" i="12" s="1"/>
  <c r="V2368" i="12"/>
  <c r="Y2368" i="12"/>
  <c r="Y2367" i="12" s="1"/>
  <c r="Y2366" i="12" s="1"/>
  <c r="Y2364" i="12" s="1"/>
  <c r="AB2368" i="12"/>
  <c r="AB2367" i="12" s="1"/>
  <c r="AC2368" i="12"/>
  <c r="AE2368" i="12"/>
  <c r="AF2368" i="12"/>
  <c r="AF2367" i="12" s="1"/>
  <c r="AG2368" i="12"/>
  <c r="AG2367" i="12" s="1"/>
  <c r="AG2366" i="12" s="1"/>
  <c r="AH2368" i="12"/>
  <c r="AI2368" i="12"/>
  <c r="AI2367" i="12" s="1"/>
  <c r="AI2366" i="12" s="1"/>
  <c r="AJ2368" i="12"/>
  <c r="AK2368" i="12" s="1"/>
  <c r="AA2369" i="12"/>
  <c r="AD2369" i="12"/>
  <c r="AE2369" i="12"/>
  <c r="AJ2369" i="12"/>
  <c r="AK2369" i="12" s="1"/>
  <c r="AI2370" i="12"/>
  <c r="AJ2370" i="12"/>
  <c r="AK2370" i="12" s="1"/>
  <c r="AH2371" i="12"/>
  <c r="AJ2371" i="12"/>
  <c r="AK2371" i="12" s="1"/>
  <c r="V2372" i="12"/>
  <c r="AG2372" i="12"/>
  <c r="AJ2372" i="12"/>
  <c r="AK2372" i="12"/>
  <c r="V2373" i="12"/>
  <c r="AB2373" i="12"/>
  <c r="AG2373" i="12"/>
  <c r="AJ2373" i="12"/>
  <c r="AK2373" i="12" s="1"/>
  <c r="V2374" i="12"/>
  <c r="Y2374" i="12"/>
  <c r="Y2373" i="12" s="1"/>
  <c r="Y2372" i="12" s="1"/>
  <c r="Y2370" i="12" s="1"/>
  <c r="AA2374" i="12"/>
  <c r="AB2374" i="12"/>
  <c r="AC2374" i="12"/>
  <c r="AF2374" i="12"/>
  <c r="AF2373" i="12" s="1"/>
  <c r="AG2374" i="12"/>
  <c r="AH2374" i="12"/>
  <c r="AH2373" i="12" s="1"/>
  <c r="AH2372" i="12" s="1"/>
  <c r="AH2370" i="12" s="1"/>
  <c r="AI2374" i="12"/>
  <c r="AI2373" i="12" s="1"/>
  <c r="AI2372" i="12" s="1"/>
  <c r="AI2371" i="12" s="1"/>
  <c r="AJ2374" i="12"/>
  <c r="AK2374" i="12" s="1"/>
  <c r="AA2375" i="12"/>
  <c r="AD2375" i="12"/>
  <c r="AE2375" i="12"/>
  <c r="AJ2375" i="12"/>
  <c r="AK2375" i="12" s="1"/>
  <c r="AJ2376" i="12"/>
  <c r="AK2376" i="12" s="1"/>
  <c r="AJ2377" i="12"/>
  <c r="AK2377" i="12" s="1"/>
  <c r="J2378" i="12"/>
  <c r="J2376" i="12" s="1"/>
  <c r="N2378" i="12"/>
  <c r="N2376" i="12" s="1"/>
  <c r="AG2378" i="12"/>
  <c r="AJ2378" i="12"/>
  <c r="AK2378" i="12"/>
  <c r="T2379" i="12"/>
  <c r="T2378" i="12" s="1"/>
  <c r="P2378" i="12" s="1"/>
  <c r="AB2379" i="12"/>
  <c r="AC2379" i="12"/>
  <c r="AC2378" i="12" s="1"/>
  <c r="AG2379" i="12"/>
  <c r="AJ2379" i="12"/>
  <c r="AK2379" i="12" s="1"/>
  <c r="I2380" i="12"/>
  <c r="I2379" i="12" s="1"/>
  <c r="J2380" i="12"/>
  <c r="J2379" i="12" s="1"/>
  <c r="L2380" i="12"/>
  <c r="M2380" i="12"/>
  <c r="M2379" i="12" s="1"/>
  <c r="M2378" i="12" s="1"/>
  <c r="M2376" i="12" s="1"/>
  <c r="N2380" i="12"/>
  <c r="N2379" i="12" s="1"/>
  <c r="O2380" i="12"/>
  <c r="O2379" i="12" s="1"/>
  <c r="O2378" i="12" s="1"/>
  <c r="O2376" i="12" s="1"/>
  <c r="Q2380" i="12"/>
  <c r="Q2379" i="12" s="1"/>
  <c r="R2380" i="12"/>
  <c r="R2379" i="12" s="1"/>
  <c r="S2380" i="12"/>
  <c r="S2379" i="12" s="1"/>
  <c r="T2380" i="12"/>
  <c r="P2380" i="12" s="1"/>
  <c r="U2380" i="12"/>
  <c r="U2379" i="12" s="1"/>
  <c r="U2378" i="12" s="1"/>
  <c r="V2380" i="12"/>
  <c r="V2379" i="12" s="1"/>
  <c r="V2378" i="12" s="1"/>
  <c r="W2380" i="12"/>
  <c r="W2379" i="12" s="1"/>
  <c r="W2378" i="12" s="1"/>
  <c r="X2380" i="12"/>
  <c r="X2379" i="12" s="1"/>
  <c r="X2378" i="12" s="1"/>
  <c r="X2377" i="12" s="1"/>
  <c r="Y2380" i="12"/>
  <c r="Z2380" i="12" s="1"/>
  <c r="AA2380" i="12"/>
  <c r="AB2380" i="12"/>
  <c r="AC2380" i="12"/>
  <c r="AD2380" i="12" s="1"/>
  <c r="AE2380" i="12"/>
  <c r="AF2380" i="12"/>
  <c r="AF2379" i="12" s="1"/>
  <c r="AG2380" i="12"/>
  <c r="AH2380" i="12"/>
  <c r="AH2379" i="12" s="1"/>
  <c r="AH2378" i="12" s="1"/>
  <c r="AI2380" i="12"/>
  <c r="AI2379" i="12" s="1"/>
  <c r="AI2378" i="12" s="1"/>
  <c r="AJ2380" i="12"/>
  <c r="AK2380" i="12" s="1"/>
  <c r="K2381" i="12"/>
  <c r="L2381" i="12"/>
  <c r="P2381" i="12"/>
  <c r="Z2381" i="12"/>
  <c r="AA2381" i="12"/>
  <c r="AD2381" i="12"/>
  <c r="AE2381" i="12"/>
  <c r="AJ2381" i="12"/>
  <c r="AK2381" i="12" s="1"/>
  <c r="AJ2382" i="12"/>
  <c r="AK2382" i="12"/>
  <c r="Y2383" i="12"/>
  <c r="Y2382" i="12" s="1"/>
  <c r="AC2383" i="12"/>
  <c r="AC2382" i="12" s="1"/>
  <c r="AJ2383" i="12"/>
  <c r="AK2383" i="12" s="1"/>
  <c r="U2384" i="12"/>
  <c r="U2383" i="12" s="1"/>
  <c r="U2382" i="12" s="1"/>
  <c r="V2384" i="12"/>
  <c r="V2383" i="12" s="1"/>
  <c r="V2382" i="12" s="1"/>
  <c r="W2384" i="12"/>
  <c r="W2383" i="12" s="1"/>
  <c r="W2382" i="12" s="1"/>
  <c r="X2384" i="12"/>
  <c r="X2383" i="12" s="1"/>
  <c r="X2382" i="12" s="1"/>
  <c r="Y2384" i="12"/>
  <c r="AB2384" i="12"/>
  <c r="AC2384" i="12"/>
  <c r="AF2384" i="12"/>
  <c r="AF2383" i="12" s="1"/>
  <c r="AG2384" i="12"/>
  <c r="AG2383" i="12" s="1"/>
  <c r="AG2382" i="12" s="1"/>
  <c r="AH2384" i="12"/>
  <c r="AH2383" i="12" s="1"/>
  <c r="AH2382" i="12" s="1"/>
  <c r="AI2384" i="12"/>
  <c r="AI2383" i="12" s="1"/>
  <c r="AI2382" i="12" s="1"/>
  <c r="AJ2384" i="12"/>
  <c r="AK2384" i="12" s="1"/>
  <c r="U2385" i="12"/>
  <c r="V2385" i="12"/>
  <c r="W2385" i="12"/>
  <c r="X2385" i="12"/>
  <c r="Y2385" i="12"/>
  <c r="AA2385" i="12"/>
  <c r="AB2385" i="12"/>
  <c r="AC2385" i="12"/>
  <c r="AD2385" i="12" s="1"/>
  <c r="AE2385" i="12"/>
  <c r="AF2385" i="12"/>
  <c r="AG2385" i="12"/>
  <c r="AH2385" i="12"/>
  <c r="AI2385" i="12"/>
  <c r="AJ2385" i="12"/>
  <c r="AK2385" i="12"/>
  <c r="P2386" i="12"/>
  <c r="Z2386" i="12"/>
  <c r="Z2384" i="12" s="1"/>
  <c r="Z2383" i="12" s="1"/>
  <c r="Z2382" i="12" s="1"/>
  <c r="AA2386" i="12"/>
  <c r="AA2384" i="12" s="1"/>
  <c r="AA2383" i="12" s="1"/>
  <c r="AA2382" i="12" s="1"/>
  <c r="AD2386" i="12"/>
  <c r="AE2386" i="12"/>
  <c r="AJ2386" i="12"/>
  <c r="AK2386" i="12" s="1"/>
  <c r="AH2387" i="12"/>
  <c r="AJ2387" i="12"/>
  <c r="AK2387" i="12" s="1"/>
  <c r="AJ2388" i="12"/>
  <c r="AK2388" i="12" s="1"/>
  <c r="I2389" i="12"/>
  <c r="I2387" i="12" s="1"/>
  <c r="AG2389" i="12"/>
  <c r="AJ2389" i="12"/>
  <c r="AK2389" i="12"/>
  <c r="M2390" i="12"/>
  <c r="U2390" i="12"/>
  <c r="U2389" i="12" s="1"/>
  <c r="U2387" i="12" s="1"/>
  <c r="Y2390" i="12"/>
  <c r="Y2389" i="12" s="1"/>
  <c r="AB2390" i="12"/>
  <c r="AG2390" i="12"/>
  <c r="AJ2390" i="12"/>
  <c r="AK2390" i="12" s="1"/>
  <c r="I2391" i="12"/>
  <c r="I2390" i="12" s="1"/>
  <c r="J2391" i="12"/>
  <c r="J2390" i="12" s="1"/>
  <c r="K2391" i="12"/>
  <c r="L2391" i="12"/>
  <c r="M2391" i="12"/>
  <c r="N2391" i="12"/>
  <c r="N2390" i="12" s="1"/>
  <c r="N2389" i="12" s="1"/>
  <c r="N2387" i="12" s="1"/>
  <c r="O2391" i="12"/>
  <c r="O2390" i="12" s="1"/>
  <c r="O2389" i="12" s="1"/>
  <c r="O2387" i="12" s="1"/>
  <c r="Q2391" i="12"/>
  <c r="Q2390" i="12" s="1"/>
  <c r="Q2389" i="12" s="1"/>
  <c r="Q2387" i="12" s="1"/>
  <c r="R2391" i="12"/>
  <c r="R2390" i="12" s="1"/>
  <c r="R2389" i="12" s="1"/>
  <c r="R2387" i="12" s="1"/>
  <c r="T2391" i="12"/>
  <c r="U2391" i="12"/>
  <c r="V2391" i="12"/>
  <c r="V2390" i="12" s="1"/>
  <c r="V2389" i="12" s="1"/>
  <c r="Y2391" i="12"/>
  <c r="Z2391" i="12"/>
  <c r="AA2391" i="12"/>
  <c r="AB2391" i="12"/>
  <c r="AC2391" i="12"/>
  <c r="AC2390" i="12" s="1"/>
  <c r="AC2389" i="12" s="1"/>
  <c r="AE2391" i="12"/>
  <c r="AF2391" i="12"/>
  <c r="AF2390" i="12" s="1"/>
  <c r="AG2391" i="12"/>
  <c r="AH2391" i="12"/>
  <c r="AH2390" i="12" s="1"/>
  <c r="AH2389" i="12" s="1"/>
  <c r="AH2388" i="12" s="1"/>
  <c r="AI2391" i="12"/>
  <c r="AI2390" i="12" s="1"/>
  <c r="AI2389" i="12" s="1"/>
  <c r="AJ2391" i="12"/>
  <c r="AK2391" i="12" s="1"/>
  <c r="K2392" i="12"/>
  <c r="L2392" i="12"/>
  <c r="P2392" i="12"/>
  <c r="S2392" i="12"/>
  <c r="S2391" i="12" s="1"/>
  <c r="S2390" i="12" s="1"/>
  <c r="S2389" i="12" s="1"/>
  <c r="S2387" i="12" s="1"/>
  <c r="Z2392" i="12"/>
  <c r="AA2392" i="12"/>
  <c r="AD2392" i="12"/>
  <c r="AE2392" i="12"/>
  <c r="AJ2392" i="12"/>
  <c r="AK2392" i="12"/>
  <c r="AJ2393" i="12"/>
  <c r="AK2393" i="12" s="1"/>
  <c r="AJ2394" i="12"/>
  <c r="AK2394" i="12"/>
  <c r="AJ2395" i="12"/>
  <c r="AK2395" i="12" s="1"/>
  <c r="V2396" i="12"/>
  <c r="V2395" i="12" s="1"/>
  <c r="V2394" i="12" s="1"/>
  <c r="V2393" i="12" s="1"/>
  <c r="W2396" i="12"/>
  <c r="W2395" i="12" s="1"/>
  <c r="W2394" i="12" s="1"/>
  <c r="W2393" i="12" s="1"/>
  <c r="W2391" i="12" s="1"/>
  <c r="W2390" i="12" s="1"/>
  <c r="W2389" i="12" s="1"/>
  <c r="X2396" i="12"/>
  <c r="X2395" i="12" s="1"/>
  <c r="X2394" i="12" s="1"/>
  <c r="X2393" i="12" s="1"/>
  <c r="X2391" i="12" s="1"/>
  <c r="X2390" i="12" s="1"/>
  <c r="X2389" i="12" s="1"/>
  <c r="Y2396" i="12"/>
  <c r="AB2396" i="12"/>
  <c r="AB2395" i="12" s="1"/>
  <c r="AC2396" i="12"/>
  <c r="AG2396" i="12"/>
  <c r="AG2395" i="12" s="1"/>
  <c r="AG2394" i="12" s="1"/>
  <c r="AG2393" i="12" s="1"/>
  <c r="AH2396" i="12"/>
  <c r="AH2395" i="12" s="1"/>
  <c r="AH2394" i="12" s="1"/>
  <c r="AH2393" i="12" s="1"/>
  <c r="AI2396" i="12"/>
  <c r="AI2395" i="12" s="1"/>
  <c r="AI2394" i="12" s="1"/>
  <c r="AI2393" i="12" s="1"/>
  <c r="AJ2396" i="12"/>
  <c r="AK2396" i="12"/>
  <c r="K2397" i="12"/>
  <c r="L2397" i="12"/>
  <c r="P2397" i="12"/>
  <c r="Z2397" i="12"/>
  <c r="AA2397" i="12"/>
  <c r="AD2397" i="12"/>
  <c r="AF2397" i="12"/>
  <c r="AJ2397" i="12"/>
  <c r="AK2397" i="12" s="1"/>
  <c r="AJ2398" i="12"/>
  <c r="AK2398" i="12"/>
  <c r="AJ2399" i="12"/>
  <c r="AK2399" i="12"/>
  <c r="O2400" i="12"/>
  <c r="O2398" i="12" s="1"/>
  <c r="S2400" i="12"/>
  <c r="S2398" i="12" s="1"/>
  <c r="AJ2400" i="12"/>
  <c r="AK2400" i="12" s="1"/>
  <c r="O2401" i="12"/>
  <c r="V2401" i="12"/>
  <c r="V2400" i="12" s="1"/>
  <c r="AJ2401" i="12"/>
  <c r="AK2401" i="12"/>
  <c r="I2402" i="12"/>
  <c r="I2401" i="12" s="1"/>
  <c r="I2400" i="12" s="1"/>
  <c r="I2398" i="12" s="1"/>
  <c r="J2402" i="12"/>
  <c r="J2401" i="12" s="1"/>
  <c r="M2402" i="12"/>
  <c r="N2402" i="12"/>
  <c r="N2401" i="12" s="1"/>
  <c r="N2400" i="12" s="1"/>
  <c r="N2398" i="12" s="1"/>
  <c r="O2402" i="12"/>
  <c r="Q2402" i="12"/>
  <c r="Q2401" i="12" s="1"/>
  <c r="Q2400" i="12" s="1"/>
  <c r="Q2398" i="12" s="1"/>
  <c r="T2402" i="12"/>
  <c r="U2402" i="12"/>
  <c r="U2401" i="12" s="1"/>
  <c r="U2400" i="12" s="1"/>
  <c r="U2398" i="12" s="1"/>
  <c r="V2402" i="12"/>
  <c r="W2402" i="12"/>
  <c r="W2401" i="12" s="1"/>
  <c r="W2400" i="12" s="1"/>
  <c r="X2402" i="12"/>
  <c r="X2401" i="12" s="1"/>
  <c r="X2400" i="12" s="1"/>
  <c r="Y2402" i="12"/>
  <c r="AB2402" i="12"/>
  <c r="AB2401" i="12" s="1"/>
  <c r="AC2402" i="12"/>
  <c r="AF2402" i="12"/>
  <c r="AF2401" i="12" s="1"/>
  <c r="AG2402" i="12"/>
  <c r="AG2401" i="12" s="1"/>
  <c r="AG2400" i="12" s="1"/>
  <c r="AG2398" i="12" s="1"/>
  <c r="AH2402" i="12"/>
  <c r="AH2401" i="12" s="1"/>
  <c r="AH2400" i="12" s="1"/>
  <c r="AI2402" i="12"/>
  <c r="AI2401" i="12" s="1"/>
  <c r="AI2400" i="12" s="1"/>
  <c r="AJ2402" i="12"/>
  <c r="AK2402" i="12"/>
  <c r="K2403" i="12"/>
  <c r="L2403" i="12"/>
  <c r="P2403" i="12"/>
  <c r="R2403" i="12"/>
  <c r="R2402" i="12" s="1"/>
  <c r="R2401" i="12" s="1"/>
  <c r="R2400" i="12" s="1"/>
  <c r="R2398" i="12" s="1"/>
  <c r="S2403" i="12"/>
  <c r="S2402" i="12" s="1"/>
  <c r="S2401" i="12" s="1"/>
  <c r="Z2403" i="12"/>
  <c r="AA2403" i="12"/>
  <c r="AD2403" i="12"/>
  <c r="AE2403" i="12"/>
  <c r="AJ2403" i="12"/>
  <c r="AK2403" i="12" s="1"/>
  <c r="AJ2404" i="12"/>
  <c r="AK2404" i="12" s="1"/>
  <c r="AJ2405" i="12"/>
  <c r="AK2405" i="12" s="1"/>
  <c r="N2406" i="12"/>
  <c r="N2404" i="12" s="1"/>
  <c r="AJ2406" i="12"/>
  <c r="AK2406" i="12" s="1"/>
  <c r="W2407" i="12"/>
  <c r="W2406" i="12" s="1"/>
  <c r="AJ2407" i="12"/>
  <c r="AK2407" i="12" s="1"/>
  <c r="N2408" i="12"/>
  <c r="N2407" i="12" s="1"/>
  <c r="O2408" i="12"/>
  <c r="O2407" i="12" s="1"/>
  <c r="O2406" i="12" s="1"/>
  <c r="O2404" i="12" s="1"/>
  <c r="Q2408" i="12"/>
  <c r="Q2407" i="12" s="1"/>
  <c r="Q2406" i="12" s="1"/>
  <c r="Q2404" i="12" s="1"/>
  <c r="T2408" i="12"/>
  <c r="U2408" i="12"/>
  <c r="U2407" i="12" s="1"/>
  <c r="U2406" i="12" s="1"/>
  <c r="V2408" i="12"/>
  <c r="V2407" i="12" s="1"/>
  <c r="V2406" i="12" s="1"/>
  <c r="V2404" i="12" s="1"/>
  <c r="W2408" i="12"/>
  <c r="X2408" i="12"/>
  <c r="X2407" i="12" s="1"/>
  <c r="X2406" i="12" s="1"/>
  <c r="Y2408" i="12"/>
  <c r="Y2407" i="12" s="1"/>
  <c r="Y2406" i="12" s="1"/>
  <c r="AB2408" i="12"/>
  <c r="AC2408" i="12"/>
  <c r="AC2407" i="12" s="1"/>
  <c r="AC2406" i="12" s="1"/>
  <c r="AF2408" i="12"/>
  <c r="AF2407" i="12" s="1"/>
  <c r="AF2406" i="12" s="1"/>
  <c r="AF2404" i="12" s="1"/>
  <c r="AG2408" i="12"/>
  <c r="AG2407" i="12" s="1"/>
  <c r="AG2406" i="12" s="1"/>
  <c r="AH2408" i="12"/>
  <c r="AH2407" i="12" s="1"/>
  <c r="AH2406" i="12" s="1"/>
  <c r="AH2404" i="12" s="1"/>
  <c r="AI2408" i="12"/>
  <c r="AI2407" i="12" s="1"/>
  <c r="AI2406" i="12" s="1"/>
  <c r="AJ2408" i="12"/>
  <c r="AK2408" i="12" s="1"/>
  <c r="P2409" i="12"/>
  <c r="Z2409" i="12"/>
  <c r="AA2409" i="12"/>
  <c r="AD2409" i="12"/>
  <c r="AE2409" i="12"/>
  <c r="AE2408" i="12" s="1"/>
  <c r="AJ2409" i="12"/>
  <c r="AK2409" i="12" s="1"/>
  <c r="AJ2410" i="12"/>
  <c r="AK2410" i="12" s="1"/>
  <c r="AJ2411" i="12"/>
  <c r="AK2411" i="12" s="1"/>
  <c r="W2412" i="12"/>
  <c r="W2411" i="12" s="1"/>
  <c r="AJ2412" i="12"/>
  <c r="AK2412" i="12" s="1"/>
  <c r="V2413" i="12"/>
  <c r="V2412" i="12" s="1"/>
  <c r="V2411" i="12" s="1"/>
  <c r="W2413" i="12"/>
  <c r="AJ2413" i="12"/>
  <c r="AK2413" i="12" s="1"/>
  <c r="U2414" i="12"/>
  <c r="V2414" i="12"/>
  <c r="W2414" i="12"/>
  <c r="X2414" i="12"/>
  <c r="X2413" i="12" s="1"/>
  <c r="X2412" i="12" s="1"/>
  <c r="Y2414" i="12"/>
  <c r="AB2414" i="12"/>
  <c r="AB2413" i="12" s="1"/>
  <c r="AC2414" i="12"/>
  <c r="AF2414" i="12"/>
  <c r="AF2413" i="12" s="1"/>
  <c r="AG2414" i="12"/>
  <c r="AG2413" i="12" s="1"/>
  <c r="AG2412" i="12" s="1"/>
  <c r="AG2411" i="12" s="1"/>
  <c r="AH2414" i="12"/>
  <c r="AH2413" i="12" s="1"/>
  <c r="AH2412" i="12" s="1"/>
  <c r="AH2411" i="12" s="1"/>
  <c r="AI2414" i="12"/>
  <c r="AI2413" i="12" s="1"/>
  <c r="AI2412" i="12" s="1"/>
  <c r="AI2411" i="12" s="1"/>
  <c r="AJ2414" i="12"/>
  <c r="AK2414" i="12"/>
  <c r="P2415" i="12"/>
  <c r="Z2415" i="12"/>
  <c r="AA2415" i="12"/>
  <c r="AD2415" i="12"/>
  <c r="AE2415" i="12"/>
  <c r="AJ2415" i="12"/>
  <c r="AK2415" i="12" s="1"/>
  <c r="AJ2416" i="12"/>
  <c r="AK2416" i="12" s="1"/>
  <c r="AJ2417" i="12"/>
  <c r="AK2417" i="12" s="1"/>
  <c r="AJ2418" i="12"/>
  <c r="AK2418" i="12" s="1"/>
  <c r="AJ2419" i="12"/>
  <c r="AK2419" i="12" s="1"/>
  <c r="U2420" i="12"/>
  <c r="AJ2420" i="12"/>
  <c r="AK2420" i="12" s="1"/>
  <c r="AJ2421" i="12"/>
  <c r="AK2421" i="12"/>
  <c r="AJ2422" i="12"/>
  <c r="AK2422" i="12" s="1"/>
  <c r="AJ2423" i="12"/>
  <c r="AK2423" i="12" s="1"/>
  <c r="O2424" i="12"/>
  <c r="O2423" i="12" s="1"/>
  <c r="O2410" i="12" s="1"/>
  <c r="AJ2424" i="12"/>
  <c r="AK2424" i="12" s="1"/>
  <c r="J2425" i="12"/>
  <c r="J2424" i="12" s="1"/>
  <c r="M2425" i="12"/>
  <c r="N2425" i="12"/>
  <c r="O2425" i="12"/>
  <c r="Q2425" i="12"/>
  <c r="T2425" i="12"/>
  <c r="U2425" i="12"/>
  <c r="V2425" i="12"/>
  <c r="W2425" i="12"/>
  <c r="X2425" i="12"/>
  <c r="Y2425" i="12"/>
  <c r="AB2425" i="12"/>
  <c r="AC2425" i="12"/>
  <c r="AF2425" i="12"/>
  <c r="AH2425" i="12"/>
  <c r="AJ2425" i="12"/>
  <c r="AK2425" i="12"/>
  <c r="I2426" i="12"/>
  <c r="L2426" i="12" s="1"/>
  <c r="P2426" i="12"/>
  <c r="R2426" i="12"/>
  <c r="R2425" i="12" s="1"/>
  <c r="S2426" i="12"/>
  <c r="S2425" i="12" s="1"/>
  <c r="Z2426" i="12"/>
  <c r="AA2426" i="12"/>
  <c r="AD2426" i="12"/>
  <c r="AE2426" i="12"/>
  <c r="AG2426" i="12"/>
  <c r="AG2425" i="12" s="1"/>
  <c r="AG2424" i="12" s="1"/>
  <c r="AG2423" i="12" s="1"/>
  <c r="AI2426" i="12"/>
  <c r="AJ2426" i="12"/>
  <c r="AK2426" i="12" s="1"/>
  <c r="P2427" i="12"/>
  <c r="Z2427" i="12"/>
  <c r="AA2427" i="12"/>
  <c r="AD2427" i="12"/>
  <c r="AE2427" i="12"/>
  <c r="AJ2427" i="12"/>
  <c r="AK2427" i="12" s="1"/>
  <c r="AA2428" i="12"/>
  <c r="AD2428" i="12"/>
  <c r="AE2428" i="12"/>
  <c r="AJ2428" i="12"/>
  <c r="AK2428" i="12" s="1"/>
  <c r="AA2429" i="12"/>
  <c r="AD2429" i="12"/>
  <c r="AE2429" i="12"/>
  <c r="AJ2429" i="12"/>
  <c r="AK2429" i="12"/>
  <c r="K2430" i="12"/>
  <c r="L2430" i="12"/>
  <c r="P2430" i="12"/>
  <c r="Z2430" i="12"/>
  <c r="AA2430" i="12"/>
  <c r="AD2430" i="12"/>
  <c r="AE2430" i="12"/>
  <c r="AG2430" i="12"/>
  <c r="AJ2430" i="12"/>
  <c r="AK2430" i="12" s="1"/>
  <c r="V2431" i="12"/>
  <c r="Y2431" i="12"/>
  <c r="AA2431" i="12"/>
  <c r="AB2431" i="12"/>
  <c r="AC2431" i="12"/>
  <c r="AF2431" i="12"/>
  <c r="AE2431" i="12" s="1"/>
  <c r="AG2431" i="12"/>
  <c r="AH2431" i="12"/>
  <c r="AI2431" i="12"/>
  <c r="AJ2431" i="12"/>
  <c r="AK2431" i="12" s="1"/>
  <c r="AA2432" i="12"/>
  <c r="AD2432" i="12"/>
  <c r="AE2432" i="12"/>
  <c r="AJ2432" i="12"/>
  <c r="AK2432" i="12" s="1"/>
  <c r="N2433" i="12"/>
  <c r="O2433" i="12"/>
  <c r="Q2433" i="12"/>
  <c r="R2433" i="12"/>
  <c r="S2433" i="12"/>
  <c r="T2433" i="12"/>
  <c r="U2433" i="12"/>
  <c r="V2433" i="12"/>
  <c r="W2433" i="12"/>
  <c r="X2433" i="12"/>
  <c r="Y2433" i="12"/>
  <c r="Z2433" i="12" s="1"/>
  <c r="AB2433" i="12"/>
  <c r="AC2433" i="12"/>
  <c r="AD2433" i="12"/>
  <c r="AF2433" i="12"/>
  <c r="AE2433" i="12" s="1"/>
  <c r="AG2433" i="12"/>
  <c r="AH2433" i="12"/>
  <c r="AH2424" i="12" s="1"/>
  <c r="AH2423" i="12" s="1"/>
  <c r="AI2433" i="12"/>
  <c r="AJ2433" i="12"/>
  <c r="AK2433" i="12" s="1"/>
  <c r="P2434" i="12"/>
  <c r="Z2434" i="12"/>
  <c r="AA2434" i="12"/>
  <c r="AD2434" i="12"/>
  <c r="AE2434" i="12"/>
  <c r="AJ2434" i="12"/>
  <c r="AK2434" i="12" s="1"/>
  <c r="N2435" i="12"/>
  <c r="P2435" i="12" s="1"/>
  <c r="Q2435" i="12"/>
  <c r="T2435" i="12"/>
  <c r="U2435" i="12"/>
  <c r="V2435" i="12"/>
  <c r="W2435" i="12"/>
  <c r="X2435" i="12"/>
  <c r="Y2435" i="12"/>
  <c r="Z2435" i="12" s="1"/>
  <c r="AB2435" i="12"/>
  <c r="AD2435" i="12" s="1"/>
  <c r="AC2435" i="12"/>
  <c r="AF2435" i="12"/>
  <c r="AG2435" i="12"/>
  <c r="AH2435" i="12"/>
  <c r="AI2435" i="12"/>
  <c r="AJ2435" i="12"/>
  <c r="AK2435" i="12"/>
  <c r="P2436" i="12"/>
  <c r="Z2436" i="12"/>
  <c r="AA2436" i="12"/>
  <c r="AD2436" i="12"/>
  <c r="AE2436" i="12"/>
  <c r="AE2435" i="12" s="1"/>
  <c r="AJ2436" i="12"/>
  <c r="AK2436" i="12" s="1"/>
  <c r="AJ2437" i="12"/>
  <c r="AK2437" i="12" s="1"/>
  <c r="AJ2438" i="12"/>
  <c r="AK2438" i="12" s="1"/>
  <c r="AJ2439" i="12"/>
  <c r="AK2439" i="12" s="1"/>
  <c r="V2440" i="12"/>
  <c r="V2439" i="12" s="1"/>
  <c r="W2440" i="12"/>
  <c r="W2439" i="12" s="1"/>
  <c r="W2438" i="12" s="1"/>
  <c r="W2437" i="12" s="1"/>
  <c r="X2440" i="12"/>
  <c r="X2439" i="12" s="1"/>
  <c r="Y2440" i="12"/>
  <c r="AA2440" i="12"/>
  <c r="AB2440" i="12"/>
  <c r="AC2440" i="12"/>
  <c r="AC2439" i="12" s="1"/>
  <c r="AF2440" i="12"/>
  <c r="AF2439" i="12" s="1"/>
  <c r="AH2440" i="12"/>
  <c r="AH2439" i="12" s="1"/>
  <c r="AI2440" i="12"/>
  <c r="AI2439" i="12" s="1"/>
  <c r="AI2438" i="12" s="1"/>
  <c r="AI2437" i="12" s="1"/>
  <c r="AJ2440" i="12"/>
  <c r="AK2440" i="12" s="1"/>
  <c r="Z2441" i="12"/>
  <c r="AA2441" i="12"/>
  <c r="AD2441" i="12"/>
  <c r="AE2441" i="12"/>
  <c r="AG2441" i="12"/>
  <c r="AG2440" i="12" s="1"/>
  <c r="AG2439" i="12" s="1"/>
  <c r="AJ2441" i="12"/>
  <c r="AK2441" i="12" s="1"/>
  <c r="AJ2442" i="12"/>
  <c r="AK2442" i="12" s="1"/>
  <c r="AH2443" i="12"/>
  <c r="AJ2443" i="12"/>
  <c r="AK2443" i="12" s="1"/>
  <c r="V2444" i="12"/>
  <c r="AA2444" i="12" s="1"/>
  <c r="W2444" i="12"/>
  <c r="W2443" i="12" s="1"/>
  <c r="X2444" i="12"/>
  <c r="X2443" i="12" s="1"/>
  <c r="Y2444" i="12"/>
  <c r="Y2443" i="12" s="1"/>
  <c r="Z2444" i="12"/>
  <c r="AB2444" i="12"/>
  <c r="AB2443" i="12" s="1"/>
  <c r="AC2444" i="12"/>
  <c r="AE2444" i="12"/>
  <c r="AF2444" i="12"/>
  <c r="AF2443" i="12" s="1"/>
  <c r="AE2443" i="12" s="1"/>
  <c r="AG2444" i="12"/>
  <c r="AG2443" i="12" s="1"/>
  <c r="AH2444" i="12"/>
  <c r="AI2444" i="12"/>
  <c r="AI2443" i="12" s="1"/>
  <c r="AJ2444" i="12"/>
  <c r="AK2444" i="12"/>
  <c r="Z2445" i="12"/>
  <c r="AA2445" i="12"/>
  <c r="AD2445" i="12"/>
  <c r="AE2445" i="12"/>
  <c r="AJ2445" i="12"/>
  <c r="AK2445" i="12" s="1"/>
  <c r="O2446" i="12"/>
  <c r="AJ2446" i="12"/>
  <c r="AK2446" i="12"/>
  <c r="AJ2447" i="12"/>
  <c r="AK2447" i="12" s="1"/>
  <c r="U2448" i="12"/>
  <c r="U2447" i="12" s="1"/>
  <c r="AJ2448" i="12"/>
  <c r="AK2448" i="12" s="1"/>
  <c r="I2449" i="12"/>
  <c r="I2446" i="12" s="1"/>
  <c r="M2449" i="12"/>
  <c r="M2446" i="12" s="1"/>
  <c r="W2449" i="12"/>
  <c r="AB2449" i="12"/>
  <c r="AB2448" i="12" s="1"/>
  <c r="AB2447" i="12" s="1"/>
  <c r="AJ2449" i="12"/>
  <c r="AK2449" i="12" s="1"/>
  <c r="I2450" i="12"/>
  <c r="J2450" i="12"/>
  <c r="J2449" i="12" s="1"/>
  <c r="J2446" i="12" s="1"/>
  <c r="K2450" i="12"/>
  <c r="K2449" i="12" s="1"/>
  <c r="K2446" i="12" s="1"/>
  <c r="L2450" i="12"/>
  <c r="L2449" i="12" s="1"/>
  <c r="L2446" i="12" s="1"/>
  <c r="M2450" i="12"/>
  <c r="N2450" i="12"/>
  <c r="N2449" i="12" s="1"/>
  <c r="N2446" i="12" s="1"/>
  <c r="O2450" i="12"/>
  <c r="O2449" i="12" s="1"/>
  <c r="T2450" i="12"/>
  <c r="T2449" i="12" s="1"/>
  <c r="T2448" i="12" s="1"/>
  <c r="P2448" i="12" s="1"/>
  <c r="U2450" i="12"/>
  <c r="U2449" i="12" s="1"/>
  <c r="U2446" i="12" s="1"/>
  <c r="V2450" i="12"/>
  <c r="V2449" i="12" s="1"/>
  <c r="V2448" i="12" s="1"/>
  <c r="V2447" i="12" s="1"/>
  <c r="W2450" i="12"/>
  <c r="X2450" i="12"/>
  <c r="X2449" i="12" s="1"/>
  <c r="X2448" i="12" s="1"/>
  <c r="X2447" i="12" s="1"/>
  <c r="Y2450" i="12"/>
  <c r="AB2450" i="12"/>
  <c r="AA2450" i="12" s="1"/>
  <c r="AC2450" i="12"/>
  <c r="AF2450" i="12"/>
  <c r="AG2450" i="12"/>
  <c r="AG2449" i="12" s="1"/>
  <c r="AH2450" i="12"/>
  <c r="AH2449" i="12" s="1"/>
  <c r="AH2448" i="12" s="1"/>
  <c r="AH2447" i="12" s="1"/>
  <c r="AI2450" i="12"/>
  <c r="AI2449" i="12" s="1"/>
  <c r="AJ2450" i="12"/>
  <c r="AK2450" i="12" s="1"/>
  <c r="P2451" i="12"/>
  <c r="Z2451" i="12"/>
  <c r="AA2451" i="12"/>
  <c r="AD2451" i="12"/>
  <c r="AE2451" i="12"/>
  <c r="AJ2451" i="12"/>
  <c r="AK2451" i="12"/>
  <c r="AJ2452" i="12"/>
  <c r="AK2452" i="12"/>
  <c r="AJ2453" i="12"/>
  <c r="AK2453" i="12" s="1"/>
  <c r="AF2454" i="12"/>
  <c r="AJ2454" i="12"/>
  <c r="AK2454" i="12" s="1"/>
  <c r="V2455" i="12"/>
  <c r="V2454" i="12" s="1"/>
  <c r="V2453" i="12" s="1"/>
  <c r="V2452" i="12" s="1"/>
  <c r="Y2455" i="12"/>
  <c r="Y2454" i="12" s="1"/>
  <c r="Y2453" i="12" s="1"/>
  <c r="Y2452" i="12" s="1"/>
  <c r="AB2455" i="12"/>
  <c r="AA2455" i="12" s="1"/>
  <c r="AC2455" i="12"/>
  <c r="AC2454" i="12" s="1"/>
  <c r="AD2455" i="12"/>
  <c r="AF2455" i="12"/>
  <c r="AE2455" i="12" s="1"/>
  <c r="AG2455" i="12"/>
  <c r="AG2454" i="12" s="1"/>
  <c r="AG2453" i="12" s="1"/>
  <c r="AG2452" i="12" s="1"/>
  <c r="AH2455" i="12"/>
  <c r="AH2454" i="12" s="1"/>
  <c r="AH2453" i="12" s="1"/>
  <c r="AH2452" i="12" s="1"/>
  <c r="AI2455" i="12"/>
  <c r="AI2454" i="12" s="1"/>
  <c r="AI2453" i="12" s="1"/>
  <c r="AI2452" i="12" s="1"/>
  <c r="AJ2455" i="12"/>
  <c r="AK2455" i="12" s="1"/>
  <c r="AA2456" i="12"/>
  <c r="AD2456" i="12"/>
  <c r="AE2456" i="12"/>
  <c r="AJ2456" i="12"/>
  <c r="AK2456" i="12"/>
  <c r="AJ2457" i="12"/>
  <c r="AK2457" i="12" s="1"/>
  <c r="AJ2458" i="12"/>
  <c r="AK2458" i="12" s="1"/>
  <c r="AJ2459" i="12"/>
  <c r="AK2459" i="12" s="1"/>
  <c r="J2460" i="12"/>
  <c r="J2457" i="12" s="1"/>
  <c r="N2460" i="12"/>
  <c r="N2457" i="12" s="1"/>
  <c r="U2460" i="12"/>
  <c r="U2459" i="12" s="1"/>
  <c r="U2457" i="12" s="1"/>
  <c r="Y2460" i="12"/>
  <c r="Y2459" i="12" s="1"/>
  <c r="AB2460" i="12"/>
  <c r="AC2460" i="12"/>
  <c r="AC2459" i="12" s="1"/>
  <c r="AC2458" i="12" s="1"/>
  <c r="AJ2460" i="12"/>
  <c r="AK2460" i="12" s="1"/>
  <c r="I2461" i="12"/>
  <c r="I2460" i="12" s="1"/>
  <c r="I2457" i="12" s="1"/>
  <c r="J2461" i="12"/>
  <c r="K2461" i="12"/>
  <c r="K2460" i="12" s="1"/>
  <c r="K2457" i="12" s="1"/>
  <c r="L2461" i="12"/>
  <c r="L2460" i="12" s="1"/>
  <c r="L2457" i="12" s="1"/>
  <c r="M2461" i="12"/>
  <c r="M2460" i="12" s="1"/>
  <c r="M2457" i="12" s="1"/>
  <c r="N2461" i="12"/>
  <c r="O2461" i="12"/>
  <c r="O2460" i="12" s="1"/>
  <c r="O2457" i="12" s="1"/>
  <c r="T2461" i="12"/>
  <c r="U2461" i="12"/>
  <c r="V2461" i="12"/>
  <c r="V2460" i="12" s="1"/>
  <c r="V2459" i="12" s="1"/>
  <c r="W2461" i="12"/>
  <c r="W2460" i="12" s="1"/>
  <c r="W2459" i="12" s="1"/>
  <c r="W2458" i="12" s="1"/>
  <c r="X2461" i="12"/>
  <c r="X2460" i="12" s="1"/>
  <c r="Y2461" i="12"/>
  <c r="Z2461" i="12"/>
  <c r="AC2461" i="12"/>
  <c r="AD2461" i="12"/>
  <c r="AF2461" i="12"/>
  <c r="AF2460" i="12" s="1"/>
  <c r="AG2461" i="12"/>
  <c r="AG2460" i="12" s="1"/>
  <c r="AG2459" i="12" s="1"/>
  <c r="AG2457" i="12" s="1"/>
  <c r="AH2461" i="12"/>
  <c r="AH2460" i="12" s="1"/>
  <c r="AH2459" i="12" s="1"/>
  <c r="AI2461" i="12"/>
  <c r="AI2460" i="12" s="1"/>
  <c r="AI2459" i="12" s="1"/>
  <c r="AJ2461" i="12"/>
  <c r="AK2461" i="12" s="1"/>
  <c r="P2462" i="12"/>
  <c r="Z2462" i="12"/>
  <c r="AA2462" i="12"/>
  <c r="AB2462" i="12"/>
  <c r="AB2461" i="12" s="1"/>
  <c r="AD2462" i="12"/>
  <c r="AE2462" i="12"/>
  <c r="AJ2462" i="12"/>
  <c r="AK2462" i="12" s="1"/>
  <c r="AJ2463" i="12"/>
  <c r="AK2463" i="12"/>
  <c r="AJ2464" i="12"/>
  <c r="AK2464" i="12" s="1"/>
  <c r="AF2465" i="12"/>
  <c r="AJ2465" i="12"/>
  <c r="AK2465" i="12" s="1"/>
  <c r="V2466" i="12"/>
  <c r="V2465" i="12" s="1"/>
  <c r="V2464" i="12" s="1"/>
  <c r="V2463" i="12" s="1"/>
  <c r="Y2466" i="12"/>
  <c r="Y2465" i="12" s="1"/>
  <c r="Y2464" i="12" s="1"/>
  <c r="Y2463" i="12" s="1"/>
  <c r="AB2466" i="12"/>
  <c r="AA2466" i="12" s="1"/>
  <c r="AC2466" i="12"/>
  <c r="AC2465" i="12" s="1"/>
  <c r="AD2466" i="12"/>
  <c r="AF2466" i="12"/>
  <c r="AE2466" i="12" s="1"/>
  <c r="AG2466" i="12"/>
  <c r="AG2465" i="12" s="1"/>
  <c r="AG2464" i="12" s="1"/>
  <c r="AG2463" i="12" s="1"/>
  <c r="AH2466" i="12"/>
  <c r="AH2465" i="12" s="1"/>
  <c r="AH2464" i="12" s="1"/>
  <c r="AH2463" i="12" s="1"/>
  <c r="AI2466" i="12"/>
  <c r="AI2465" i="12" s="1"/>
  <c r="AI2464" i="12" s="1"/>
  <c r="AI2463" i="12" s="1"/>
  <c r="AJ2466" i="12"/>
  <c r="AK2466" i="12" s="1"/>
  <c r="AA2467" i="12"/>
  <c r="AD2467" i="12"/>
  <c r="AE2467" i="12"/>
  <c r="AJ2467" i="12"/>
  <c r="AK2467" i="12" s="1"/>
  <c r="AJ2468" i="12"/>
  <c r="AK2468" i="12" s="1"/>
  <c r="AJ2469" i="12"/>
  <c r="AK2469" i="12"/>
  <c r="AJ2470" i="12"/>
  <c r="AK2470" i="12" s="1"/>
  <c r="AC2471" i="12"/>
  <c r="AJ2471" i="12"/>
  <c r="AK2471" i="12"/>
  <c r="U2472" i="12"/>
  <c r="U2471" i="12" s="1"/>
  <c r="U2470" i="12" s="1"/>
  <c r="U2469" i="12" s="1"/>
  <c r="U2468" i="12" s="1"/>
  <c r="V2472" i="12"/>
  <c r="V2471" i="12" s="1"/>
  <c r="V2470" i="12" s="1"/>
  <c r="Y2472" i="12"/>
  <c r="Y2471" i="12" s="1"/>
  <c r="Y2470" i="12" s="1"/>
  <c r="AA2472" i="12"/>
  <c r="AB2472" i="12"/>
  <c r="AB2471" i="12" s="1"/>
  <c r="AC2472" i="12"/>
  <c r="AD2472" i="12" s="1"/>
  <c r="AF2472" i="12"/>
  <c r="AG2472" i="12"/>
  <c r="AG2471" i="12" s="1"/>
  <c r="AG2470" i="12" s="1"/>
  <c r="AH2472" i="12"/>
  <c r="AH2471" i="12" s="1"/>
  <c r="AH2470" i="12" s="1"/>
  <c r="AI2472" i="12"/>
  <c r="AI2471" i="12" s="1"/>
  <c r="AI2470" i="12" s="1"/>
  <c r="AJ2472" i="12"/>
  <c r="AK2472" i="12" s="1"/>
  <c r="AA2473" i="12"/>
  <c r="AD2473" i="12"/>
  <c r="AE2473" i="12"/>
  <c r="AJ2473" i="12"/>
  <c r="AK2473" i="12" s="1"/>
  <c r="AJ2474" i="12"/>
  <c r="AK2474" i="12"/>
  <c r="P2475" i="12"/>
  <c r="AJ2475" i="12"/>
  <c r="AK2475" i="12" s="1"/>
  <c r="AJ2476" i="12"/>
  <c r="AK2476" i="12"/>
  <c r="AJ2477" i="12"/>
  <c r="AK2477" i="12" s="1"/>
  <c r="AJ2478" i="12"/>
  <c r="AK2478" i="12" s="1"/>
  <c r="AJ2479" i="12"/>
  <c r="AK2479" i="12" s="1"/>
  <c r="Q2480" i="12"/>
  <c r="AG2480" i="12"/>
  <c r="AJ2480" i="12"/>
  <c r="AK2480" i="12"/>
  <c r="Q2481" i="12"/>
  <c r="U2481" i="12"/>
  <c r="U2480" i="12" s="1"/>
  <c r="Y2481" i="12"/>
  <c r="AB2481" i="12"/>
  <c r="AC2481" i="12"/>
  <c r="AC2480" i="12" s="1"/>
  <c r="AG2481" i="12"/>
  <c r="AJ2481" i="12"/>
  <c r="AK2481" i="12" s="1"/>
  <c r="I2482" i="12"/>
  <c r="J2482" i="12"/>
  <c r="J2481" i="12" s="1"/>
  <c r="M2482" i="12"/>
  <c r="N2482" i="12"/>
  <c r="N2481" i="12" s="1"/>
  <c r="N2480" i="12" s="1"/>
  <c r="O2482" i="12"/>
  <c r="O2481" i="12" s="1"/>
  <c r="O2480" i="12" s="1"/>
  <c r="Q2482" i="12"/>
  <c r="R2482" i="12"/>
  <c r="R2481" i="12" s="1"/>
  <c r="R2480" i="12" s="1"/>
  <c r="S2482" i="12"/>
  <c r="S2481" i="12" s="1"/>
  <c r="S2480" i="12" s="1"/>
  <c r="T2482" i="12"/>
  <c r="P2482" i="12" s="1"/>
  <c r="U2482" i="12"/>
  <c r="V2482" i="12"/>
  <c r="V2481" i="12" s="1"/>
  <c r="V2480" i="12" s="1"/>
  <c r="V2479" i="12" s="1"/>
  <c r="W2482" i="12"/>
  <c r="W2481" i="12" s="1"/>
  <c r="W2480" i="12" s="1"/>
  <c r="X2482" i="12"/>
  <c r="X2481" i="12" s="1"/>
  <c r="X2480" i="12" s="1"/>
  <c r="Y2482" i="12"/>
  <c r="AA2482" i="12"/>
  <c r="AB2482" i="12"/>
  <c r="AC2482" i="12"/>
  <c r="AF2482" i="12"/>
  <c r="AG2482" i="12"/>
  <c r="AH2482" i="12"/>
  <c r="AH2481" i="12" s="1"/>
  <c r="AH2480" i="12" s="1"/>
  <c r="AH2479" i="12" s="1"/>
  <c r="AI2482" i="12"/>
  <c r="AI2481" i="12" s="1"/>
  <c r="AI2480" i="12" s="1"/>
  <c r="AJ2482" i="12"/>
  <c r="AK2482" i="12" s="1"/>
  <c r="K2483" i="12"/>
  <c r="L2483" i="12"/>
  <c r="P2483" i="12"/>
  <c r="Z2483" i="12"/>
  <c r="AA2483" i="12"/>
  <c r="AD2483" i="12"/>
  <c r="AE2483" i="12"/>
  <c r="AJ2483" i="12"/>
  <c r="AK2483" i="12" s="1"/>
  <c r="Q2484" i="12"/>
  <c r="AG2484" i="12"/>
  <c r="AJ2484" i="12"/>
  <c r="AK2484" i="12"/>
  <c r="Q2485" i="12"/>
  <c r="U2485" i="12"/>
  <c r="U2484" i="12" s="1"/>
  <c r="Y2485" i="12"/>
  <c r="Y2484" i="12" s="1"/>
  <c r="AB2485" i="12"/>
  <c r="AC2485" i="12"/>
  <c r="AG2485" i="12"/>
  <c r="AJ2485" i="12"/>
  <c r="AK2485" i="12" s="1"/>
  <c r="I2486" i="12"/>
  <c r="J2486" i="12"/>
  <c r="J2485" i="12" s="1"/>
  <c r="M2486" i="12"/>
  <c r="N2486" i="12"/>
  <c r="N2485" i="12" s="1"/>
  <c r="N2484" i="12" s="1"/>
  <c r="O2486" i="12"/>
  <c r="O2485" i="12" s="1"/>
  <c r="O2484" i="12" s="1"/>
  <c r="Q2486" i="12"/>
  <c r="R2486" i="12"/>
  <c r="R2485" i="12" s="1"/>
  <c r="R2484" i="12" s="1"/>
  <c r="S2486" i="12"/>
  <c r="S2485" i="12" s="1"/>
  <c r="S2484" i="12" s="1"/>
  <c r="T2486" i="12"/>
  <c r="P2486" i="12" s="1"/>
  <c r="U2486" i="12"/>
  <c r="V2486" i="12"/>
  <c r="V2485" i="12" s="1"/>
  <c r="V2484" i="12" s="1"/>
  <c r="W2486" i="12"/>
  <c r="W2485" i="12" s="1"/>
  <c r="W2484" i="12" s="1"/>
  <c r="X2486" i="12"/>
  <c r="X2485" i="12" s="1"/>
  <c r="X2484" i="12" s="1"/>
  <c r="Y2486" i="12"/>
  <c r="AA2486" i="12"/>
  <c r="AB2486" i="12"/>
  <c r="AC2486" i="12"/>
  <c r="AD2486" i="12" s="1"/>
  <c r="AF2486" i="12"/>
  <c r="AG2486" i="12"/>
  <c r="AH2486" i="12"/>
  <c r="AH2485" i="12" s="1"/>
  <c r="AH2484" i="12" s="1"/>
  <c r="AI2486" i="12"/>
  <c r="AI2485" i="12" s="1"/>
  <c r="AI2484" i="12" s="1"/>
  <c r="AJ2486" i="12"/>
  <c r="AK2486" i="12" s="1"/>
  <c r="K2487" i="12"/>
  <c r="L2487" i="12"/>
  <c r="P2487" i="12"/>
  <c r="Z2487" i="12"/>
  <c r="AA2487" i="12"/>
  <c r="AD2487" i="12"/>
  <c r="AE2487" i="12"/>
  <c r="AJ2487" i="12"/>
  <c r="AK2487" i="12" s="1"/>
  <c r="Q2488" i="12"/>
  <c r="U2488" i="12"/>
  <c r="AJ2488" i="12"/>
  <c r="AK2488" i="12" s="1"/>
  <c r="AJ2489" i="12"/>
  <c r="AK2489" i="12" s="1"/>
  <c r="AJ2490" i="12"/>
  <c r="AK2490" i="12" s="1"/>
  <c r="S2491" i="12"/>
  <c r="S2490" i="12" s="1"/>
  <c r="S2488" i="12" s="1"/>
  <c r="W2491" i="12"/>
  <c r="W2490" i="12" s="1"/>
  <c r="AB2491" i="12"/>
  <c r="AB2490" i="12" s="1"/>
  <c r="AF2491" i="12"/>
  <c r="AJ2491" i="12"/>
  <c r="AK2491" i="12" s="1"/>
  <c r="J2492" i="12"/>
  <c r="M2492" i="12"/>
  <c r="M2491" i="12" s="1"/>
  <c r="O2492" i="12"/>
  <c r="O2491" i="12" s="1"/>
  <c r="O2490" i="12" s="1"/>
  <c r="O2488" i="12" s="1"/>
  <c r="R2492" i="12"/>
  <c r="R2491" i="12" s="1"/>
  <c r="R2490" i="12" s="1"/>
  <c r="R2488" i="12" s="1"/>
  <c r="S2492" i="12"/>
  <c r="T2492" i="12"/>
  <c r="T2491" i="12" s="1"/>
  <c r="T2490" i="12" s="1"/>
  <c r="T2488" i="12" s="1"/>
  <c r="U2492" i="12"/>
  <c r="U2491" i="12" s="1"/>
  <c r="U2490" i="12" s="1"/>
  <c r="V2492" i="12"/>
  <c r="W2492" i="12"/>
  <c r="X2492" i="12"/>
  <c r="X2491" i="12" s="1"/>
  <c r="X2490" i="12" s="1"/>
  <c r="Y2492" i="12"/>
  <c r="Y2491" i="12" s="1"/>
  <c r="Z2492" i="12"/>
  <c r="AB2492" i="12"/>
  <c r="AC2492" i="12"/>
  <c r="AE2492" i="12"/>
  <c r="AF2492" i="12"/>
  <c r="AH2492" i="12"/>
  <c r="AH2491" i="12" s="1"/>
  <c r="AH2490" i="12" s="1"/>
  <c r="AJ2492" i="12"/>
  <c r="AK2492" i="12" s="1"/>
  <c r="N2493" i="12"/>
  <c r="P2493" i="12" s="1"/>
  <c r="Q2493" i="12"/>
  <c r="Q2492" i="12" s="1"/>
  <c r="Q2491" i="12" s="1"/>
  <c r="Q2490" i="12" s="1"/>
  <c r="Z2493" i="12"/>
  <c r="AA2493" i="12"/>
  <c r="AD2493" i="12"/>
  <c r="AE2493" i="12"/>
  <c r="AJ2493" i="12"/>
  <c r="AK2493" i="12" s="1"/>
  <c r="I2494" i="12"/>
  <c r="I2492" i="12" s="1"/>
  <c r="I2491" i="12" s="1"/>
  <c r="I2490" i="12" s="1"/>
  <c r="I2488" i="12" s="1"/>
  <c r="P2494" i="12"/>
  <c r="Z2494" i="12"/>
  <c r="AA2494" i="12"/>
  <c r="AD2494" i="12"/>
  <c r="AE2494" i="12"/>
  <c r="AE2602" i="12" s="1"/>
  <c r="AJ2494" i="12"/>
  <c r="AK2494" i="12" s="1"/>
  <c r="AJ2495" i="12"/>
  <c r="AK2495" i="12"/>
  <c r="P2496" i="12"/>
  <c r="Z2496" i="12"/>
  <c r="AA2496" i="12"/>
  <c r="AD2496" i="12"/>
  <c r="AE2496" i="12"/>
  <c r="AJ2496" i="12"/>
  <c r="AK2496" i="12" s="1"/>
  <c r="AG2497" i="12"/>
  <c r="AH2497" i="12"/>
  <c r="AI2497" i="12"/>
  <c r="AI2492" i="12" s="1"/>
  <c r="AI2491" i="12" s="1"/>
  <c r="AI2490" i="12" s="1"/>
  <c r="AJ2497" i="12"/>
  <c r="AK2497" i="12"/>
  <c r="AJ2498" i="12"/>
  <c r="AK2498" i="12" s="1"/>
  <c r="AJ2499" i="12"/>
  <c r="AK2499" i="12" s="1"/>
  <c r="AJ2500" i="12"/>
  <c r="AK2500" i="12" s="1"/>
  <c r="X2501" i="12"/>
  <c r="X2500" i="12" s="1"/>
  <c r="AI2501" i="12"/>
  <c r="AI2500" i="12" s="1"/>
  <c r="AI2499" i="12" s="1"/>
  <c r="AJ2501" i="12"/>
  <c r="AK2501" i="12" s="1"/>
  <c r="T2502" i="12"/>
  <c r="T2501" i="12" s="1"/>
  <c r="T2500" i="12" s="1"/>
  <c r="T2498" i="12" s="1"/>
  <c r="U2502" i="12"/>
  <c r="U2501" i="12" s="1"/>
  <c r="U2500" i="12" s="1"/>
  <c r="U2498" i="12" s="1"/>
  <c r="V2502" i="12"/>
  <c r="V2501" i="12" s="1"/>
  <c r="V2500" i="12" s="1"/>
  <c r="W2502" i="12"/>
  <c r="W2501" i="12" s="1"/>
  <c r="W2500" i="12" s="1"/>
  <c r="X2502" i="12"/>
  <c r="Y2502" i="12"/>
  <c r="AB2502" i="12"/>
  <c r="AC2502" i="12"/>
  <c r="AF2502" i="12"/>
  <c r="AF2501" i="12" s="1"/>
  <c r="AG2502" i="12"/>
  <c r="AG2501" i="12" s="1"/>
  <c r="AG2500" i="12" s="1"/>
  <c r="AH2502" i="12"/>
  <c r="AH2501" i="12" s="1"/>
  <c r="AH2500" i="12" s="1"/>
  <c r="AI2502" i="12"/>
  <c r="AJ2502" i="12"/>
  <c r="AK2502" i="12" s="1"/>
  <c r="Z2503" i="12"/>
  <c r="AA2503" i="12"/>
  <c r="AD2503" i="12"/>
  <c r="AE2503" i="12"/>
  <c r="AJ2503" i="12"/>
  <c r="AK2503" i="12" s="1"/>
  <c r="AH2504" i="12"/>
  <c r="AJ2504" i="12"/>
  <c r="AK2504" i="12" s="1"/>
  <c r="V2505" i="12"/>
  <c r="AJ2505" i="12"/>
  <c r="AK2505" i="12" s="1"/>
  <c r="V2506" i="12"/>
  <c r="V2504" i="12" s="1"/>
  <c r="AJ2506" i="12"/>
  <c r="AK2506" i="12" s="1"/>
  <c r="AF2507" i="12"/>
  <c r="AJ2507" i="12"/>
  <c r="AK2507" i="12" s="1"/>
  <c r="V2508" i="12"/>
  <c r="Y2508" i="12"/>
  <c r="Y2507" i="12" s="1"/>
  <c r="Y2506" i="12" s="1"/>
  <c r="Y2505" i="12" s="1"/>
  <c r="AB2508" i="12"/>
  <c r="AD2508" i="12" s="1"/>
  <c r="AC2508" i="12"/>
  <c r="AC2507" i="12" s="1"/>
  <c r="AE2508" i="12"/>
  <c r="AF2508" i="12"/>
  <c r="AG2508" i="12"/>
  <c r="AG2507" i="12" s="1"/>
  <c r="AG2506" i="12" s="1"/>
  <c r="AH2508" i="12"/>
  <c r="AH2507" i="12" s="1"/>
  <c r="AH2506" i="12" s="1"/>
  <c r="AH2505" i="12" s="1"/>
  <c r="AI2508" i="12"/>
  <c r="AI2507" i="12" s="1"/>
  <c r="AI2506" i="12" s="1"/>
  <c r="AJ2508" i="12"/>
  <c r="AK2508" i="12" s="1"/>
  <c r="AA2509" i="12"/>
  <c r="AD2509" i="12"/>
  <c r="AE2509" i="12"/>
  <c r="AJ2509" i="12"/>
  <c r="AK2509" i="12"/>
  <c r="AJ2510" i="12"/>
  <c r="AK2510" i="12"/>
  <c r="AE2511" i="12"/>
  <c r="AJ2511" i="12"/>
  <c r="AK2511" i="12" s="1"/>
  <c r="AJ2512" i="12"/>
  <c r="AK2512" i="12" s="1"/>
  <c r="AE2513" i="12"/>
  <c r="AJ2513" i="12"/>
  <c r="AK2513" i="12"/>
  <c r="AJ2514" i="12"/>
  <c r="AK2514" i="12"/>
  <c r="AJ2515" i="12"/>
  <c r="AK2515" i="12" s="1"/>
  <c r="AJ2516" i="12"/>
  <c r="AK2516" i="12" s="1"/>
  <c r="AJ2517" i="12"/>
  <c r="AK2517" i="12" s="1"/>
  <c r="I2518" i="12"/>
  <c r="I2517" i="12" s="1"/>
  <c r="J2518" i="12"/>
  <c r="M2518" i="12"/>
  <c r="M2517" i="12" s="1"/>
  <c r="N2518" i="12"/>
  <c r="N2517" i="12" s="1"/>
  <c r="O2518" i="12"/>
  <c r="O2517" i="12" s="1"/>
  <c r="Q2518" i="12"/>
  <c r="Q2517" i="12" s="1"/>
  <c r="R2518" i="12"/>
  <c r="R2517" i="12" s="1"/>
  <c r="S2518" i="12"/>
  <c r="S2517" i="12" s="1"/>
  <c r="T2518" i="12"/>
  <c r="T2517" i="12" s="1"/>
  <c r="U2518" i="12"/>
  <c r="U2517" i="12" s="1"/>
  <c r="V2518" i="12"/>
  <c r="W2518" i="12"/>
  <c r="W2517" i="12" s="1"/>
  <c r="X2518" i="12"/>
  <c r="X2517" i="12" s="1"/>
  <c r="Y2518" i="12"/>
  <c r="Y2517" i="12" s="1"/>
  <c r="AB2518" i="12"/>
  <c r="AD2518" i="12" s="1"/>
  <c r="AC2518" i="12"/>
  <c r="AC2517" i="12" s="1"/>
  <c r="AF2518" i="12"/>
  <c r="AG2518" i="12"/>
  <c r="AG2517" i="12" s="1"/>
  <c r="AH2518" i="12"/>
  <c r="AH2517" i="12" s="1"/>
  <c r="AI2518" i="12"/>
  <c r="AI2517" i="12" s="1"/>
  <c r="AJ2518" i="12"/>
  <c r="AK2518" i="12" s="1"/>
  <c r="P2519" i="12"/>
  <c r="Z2519" i="12"/>
  <c r="AA2519" i="12"/>
  <c r="AD2519" i="12"/>
  <c r="AE2519" i="12"/>
  <c r="AJ2519" i="12"/>
  <c r="AK2519" i="12" s="1"/>
  <c r="K2520" i="12"/>
  <c r="L2520" i="12"/>
  <c r="P2520" i="12"/>
  <c r="Z2520" i="12"/>
  <c r="AA2520" i="12"/>
  <c r="AD2520" i="12"/>
  <c r="AE2520" i="12"/>
  <c r="AJ2520" i="12"/>
  <c r="AK2520" i="12"/>
  <c r="K2521" i="12"/>
  <c r="L2521" i="12"/>
  <c r="P2521" i="12"/>
  <c r="Z2521" i="12"/>
  <c r="AA2521" i="12"/>
  <c r="AD2521" i="12"/>
  <c r="AE2521" i="12"/>
  <c r="AJ2521" i="12"/>
  <c r="AK2521" i="12" s="1"/>
  <c r="P2522" i="12"/>
  <c r="Z2522" i="12"/>
  <c r="AA2522" i="12"/>
  <c r="AE2522" i="12"/>
  <c r="AJ2522" i="12"/>
  <c r="AK2522" i="12" s="1"/>
  <c r="K2523" i="12"/>
  <c r="L2523" i="12"/>
  <c r="P2523" i="12"/>
  <c r="Z2523" i="12"/>
  <c r="AA2523" i="12"/>
  <c r="AD2523" i="12"/>
  <c r="AE2523" i="12"/>
  <c r="AJ2523" i="12"/>
  <c r="AK2523" i="12" s="1"/>
  <c r="I2524" i="12"/>
  <c r="J2524" i="12"/>
  <c r="M2524" i="12"/>
  <c r="Q2524" i="12"/>
  <c r="AJ2524" i="12"/>
  <c r="AK2524" i="12" s="1"/>
  <c r="I2525" i="12"/>
  <c r="K2525" i="12" s="1"/>
  <c r="J2525" i="12"/>
  <c r="L2525" i="12"/>
  <c r="M2525" i="12"/>
  <c r="N2525" i="12"/>
  <c r="N2524" i="12" s="1"/>
  <c r="O2525" i="12"/>
  <c r="O2524" i="12" s="1"/>
  <c r="Q2525" i="12"/>
  <c r="R2525" i="12"/>
  <c r="R2524" i="12" s="1"/>
  <c r="S2525" i="12"/>
  <c r="S2524" i="12" s="1"/>
  <c r="T2525" i="12"/>
  <c r="T2524" i="12" s="1"/>
  <c r="U2525" i="12"/>
  <c r="U2524" i="12" s="1"/>
  <c r="V2525" i="12"/>
  <c r="V2524" i="12" s="1"/>
  <c r="W2525" i="12"/>
  <c r="W2524" i="12" s="1"/>
  <c r="X2525" i="12"/>
  <c r="X2524" i="12" s="1"/>
  <c r="Y2525" i="12"/>
  <c r="Z2525" i="12" s="1"/>
  <c r="AB2525" i="12"/>
  <c r="AC2525" i="12"/>
  <c r="AD2525" i="12" s="1"/>
  <c r="AF2525" i="12"/>
  <c r="AG2525" i="12"/>
  <c r="AG2524" i="12" s="1"/>
  <c r="AH2525" i="12"/>
  <c r="AH2524" i="12" s="1"/>
  <c r="AI2525" i="12"/>
  <c r="AI2524" i="12" s="1"/>
  <c r="AJ2525" i="12"/>
  <c r="AK2525" i="12" s="1"/>
  <c r="L2526" i="12"/>
  <c r="P2526" i="12"/>
  <c r="Z2526" i="12"/>
  <c r="AA2526" i="12"/>
  <c r="AD2526" i="12"/>
  <c r="AE2526" i="12"/>
  <c r="AJ2526" i="12"/>
  <c r="AK2526" i="12" s="1"/>
  <c r="K2527" i="12"/>
  <c r="L2527" i="12"/>
  <c r="P2527" i="12"/>
  <c r="Z2527" i="12"/>
  <c r="AA2527" i="12"/>
  <c r="AD2527" i="12"/>
  <c r="AE2527" i="12"/>
  <c r="AJ2527" i="12"/>
  <c r="AK2527" i="12" s="1"/>
  <c r="K2528" i="12"/>
  <c r="L2528" i="12"/>
  <c r="P2528" i="12"/>
  <c r="Z2528" i="12"/>
  <c r="AA2528" i="12"/>
  <c r="AD2528" i="12"/>
  <c r="AE2528" i="12"/>
  <c r="AJ2528" i="12"/>
  <c r="AK2528" i="12" s="1"/>
  <c r="P2529" i="12"/>
  <c r="Z2529" i="12"/>
  <c r="AA2529" i="12"/>
  <c r="AE2529" i="12"/>
  <c r="AJ2529" i="12"/>
  <c r="AK2529" i="12" s="1"/>
  <c r="K2530" i="12"/>
  <c r="L2530" i="12"/>
  <c r="P2530" i="12"/>
  <c r="Z2530" i="12"/>
  <c r="AA2530" i="12"/>
  <c r="AD2530" i="12"/>
  <c r="AE2530" i="12"/>
  <c r="AJ2530" i="12"/>
  <c r="AK2530" i="12" s="1"/>
  <c r="N2531" i="12"/>
  <c r="AJ2531" i="12"/>
  <c r="AK2531" i="12"/>
  <c r="AJ2532" i="12"/>
  <c r="AK2532" i="12" s="1"/>
  <c r="AJ2533" i="12"/>
  <c r="AK2533" i="12"/>
  <c r="Q2534" i="12"/>
  <c r="Q2533" i="12" s="1"/>
  <c r="Q2531" i="12" s="1"/>
  <c r="U2534" i="12"/>
  <c r="U2533" i="12" s="1"/>
  <c r="U2531" i="12" s="1"/>
  <c r="Y2534" i="12"/>
  <c r="Y2533" i="12" s="1"/>
  <c r="AB2534" i="12"/>
  <c r="AG2534" i="12"/>
  <c r="AG2533" i="12" s="1"/>
  <c r="AJ2534" i="12"/>
  <c r="AK2534" i="12" s="1"/>
  <c r="I2535" i="12"/>
  <c r="I2534" i="12" s="1"/>
  <c r="I2533" i="12" s="1"/>
  <c r="I2531" i="12" s="1"/>
  <c r="J2535" i="12"/>
  <c r="J2534" i="12" s="1"/>
  <c r="K2535" i="12"/>
  <c r="M2535" i="12"/>
  <c r="L2535" i="12" s="1"/>
  <c r="N2535" i="12"/>
  <c r="N2534" i="12" s="1"/>
  <c r="N2533" i="12" s="1"/>
  <c r="O2535" i="12"/>
  <c r="O2534" i="12" s="1"/>
  <c r="O2533" i="12" s="1"/>
  <c r="O2531" i="12" s="1"/>
  <c r="Q2535" i="12"/>
  <c r="R2535" i="12"/>
  <c r="R2534" i="12" s="1"/>
  <c r="R2533" i="12" s="1"/>
  <c r="R2531" i="12" s="1"/>
  <c r="S2535" i="12"/>
  <c r="S2534" i="12" s="1"/>
  <c r="S2533" i="12" s="1"/>
  <c r="S2531" i="12" s="1"/>
  <c r="T2535" i="12"/>
  <c r="U2535" i="12"/>
  <c r="V2535" i="12"/>
  <c r="V2534" i="12" s="1"/>
  <c r="V2533" i="12" s="1"/>
  <c r="V2531" i="12" s="1"/>
  <c r="W2535" i="12"/>
  <c r="W2534" i="12" s="1"/>
  <c r="W2533" i="12" s="1"/>
  <c r="X2535" i="12"/>
  <c r="X2534" i="12" s="1"/>
  <c r="X2533" i="12" s="1"/>
  <c r="Y2535" i="12"/>
  <c r="AA2535" i="12"/>
  <c r="AB2535" i="12"/>
  <c r="AC2535" i="12"/>
  <c r="AF2535" i="12"/>
  <c r="AE2535" i="12" s="1"/>
  <c r="AG2535" i="12"/>
  <c r="AH2535" i="12"/>
  <c r="AH2534" i="12" s="1"/>
  <c r="AH2533" i="12" s="1"/>
  <c r="AI2535" i="12"/>
  <c r="AI2534" i="12" s="1"/>
  <c r="AI2533" i="12" s="1"/>
  <c r="AJ2535" i="12"/>
  <c r="AK2535" i="12" s="1"/>
  <c r="K2536" i="12"/>
  <c r="L2536" i="12"/>
  <c r="P2536" i="12"/>
  <c r="Z2536" i="12"/>
  <c r="AA2536" i="12"/>
  <c r="AD2536" i="12"/>
  <c r="AE2536" i="12"/>
  <c r="AJ2536" i="12"/>
  <c r="AK2536" i="12" s="1"/>
  <c r="U2537" i="12"/>
  <c r="AJ2537" i="12"/>
  <c r="AK2537" i="12" s="1"/>
  <c r="AJ2538" i="12"/>
  <c r="AK2538" i="12" s="1"/>
  <c r="AJ2539" i="12"/>
  <c r="AK2539" i="12" s="1"/>
  <c r="O2540" i="12"/>
  <c r="O2539" i="12" s="1"/>
  <c r="O2537" i="12" s="1"/>
  <c r="W2540" i="12"/>
  <c r="W2539" i="12" s="1"/>
  <c r="AB2540" i="12"/>
  <c r="AB2539" i="12" s="1"/>
  <c r="AF2540" i="12"/>
  <c r="AE2540" i="12" s="1"/>
  <c r="AJ2540" i="12"/>
  <c r="AK2540" i="12" s="1"/>
  <c r="I2541" i="12"/>
  <c r="I2540" i="12" s="1"/>
  <c r="I2539" i="12" s="1"/>
  <c r="I2537" i="12" s="1"/>
  <c r="J2541" i="12"/>
  <c r="M2541" i="12"/>
  <c r="M2540" i="12" s="1"/>
  <c r="N2541" i="12"/>
  <c r="N2540" i="12" s="1"/>
  <c r="N2539" i="12" s="1"/>
  <c r="N2537" i="12" s="1"/>
  <c r="O2541" i="12"/>
  <c r="Q2541" i="12"/>
  <c r="Q2540" i="12" s="1"/>
  <c r="Q2539" i="12" s="1"/>
  <c r="Q2537" i="12" s="1"/>
  <c r="R2541" i="12"/>
  <c r="R2540" i="12" s="1"/>
  <c r="R2539" i="12" s="1"/>
  <c r="R2537" i="12" s="1"/>
  <c r="S2541" i="12"/>
  <c r="S2540" i="12" s="1"/>
  <c r="S2539" i="12" s="1"/>
  <c r="S2537" i="12" s="1"/>
  <c r="U2541" i="12"/>
  <c r="U2540" i="12" s="1"/>
  <c r="U2539" i="12" s="1"/>
  <c r="W2541" i="12"/>
  <c r="X2541" i="12"/>
  <c r="X2540" i="12" s="1"/>
  <c r="X2539" i="12" s="1"/>
  <c r="Y2541" i="12"/>
  <c r="Y2540" i="12" s="1"/>
  <c r="AB2541" i="12"/>
  <c r="AC2541" i="12"/>
  <c r="AE2541" i="12"/>
  <c r="AF2541" i="12"/>
  <c r="AG2541" i="12"/>
  <c r="AG2540" i="12" s="1"/>
  <c r="AG2539" i="12" s="1"/>
  <c r="AH2541" i="12"/>
  <c r="AH2540" i="12" s="1"/>
  <c r="AH2539" i="12" s="1"/>
  <c r="AI2541" i="12"/>
  <c r="AI2540" i="12" s="1"/>
  <c r="AI2539" i="12" s="1"/>
  <c r="AJ2541" i="12"/>
  <c r="AK2541" i="12"/>
  <c r="K2542" i="12"/>
  <c r="L2542" i="12"/>
  <c r="P2542" i="12"/>
  <c r="Z2542" i="12"/>
  <c r="AA2542" i="12"/>
  <c r="AE2542" i="12"/>
  <c r="AJ2542" i="12"/>
  <c r="AK2542" i="12"/>
  <c r="P2543" i="12"/>
  <c r="Z2543" i="12"/>
  <c r="AA2543" i="12"/>
  <c r="AE2543" i="12"/>
  <c r="AE2605" i="12" s="1"/>
  <c r="AJ2543" i="12"/>
  <c r="AK2543" i="12" s="1"/>
  <c r="P2544" i="12"/>
  <c r="Z2544" i="12"/>
  <c r="AA2544" i="12"/>
  <c r="AA2615" i="12" s="1"/>
  <c r="AE2544" i="12"/>
  <c r="AJ2544" i="12"/>
  <c r="AK2544" i="12" s="1"/>
  <c r="P2545" i="12"/>
  <c r="Z2545" i="12"/>
  <c r="AA2545" i="12"/>
  <c r="AE2545" i="12"/>
  <c r="AJ2545" i="12"/>
  <c r="AK2545" i="12" s="1"/>
  <c r="T2546" i="12"/>
  <c r="T2541" i="12" s="1"/>
  <c r="V2546" i="12"/>
  <c r="AD2546" i="12"/>
  <c r="AE2546" i="12"/>
  <c r="AJ2546" i="12"/>
  <c r="AK2546" i="12" s="1"/>
  <c r="K2547" i="12"/>
  <c r="L2547" i="12"/>
  <c r="P2547" i="12"/>
  <c r="Z2547" i="12"/>
  <c r="AA2547" i="12"/>
  <c r="AD2547" i="12"/>
  <c r="AE2547" i="12"/>
  <c r="AJ2547" i="12"/>
  <c r="AK2547" i="12"/>
  <c r="AJ2548" i="12"/>
  <c r="AK2548" i="12"/>
  <c r="AJ2549" i="12"/>
  <c r="AK2549" i="12" s="1"/>
  <c r="AJ2550" i="12"/>
  <c r="AK2550" i="12" s="1"/>
  <c r="AE2551" i="12"/>
  <c r="AJ2551" i="12"/>
  <c r="AK2551" i="12" s="1"/>
  <c r="V2552" i="12"/>
  <c r="V2550" i="12" s="1"/>
  <c r="AJ2552" i="12"/>
  <c r="AK2552" i="12"/>
  <c r="V2553" i="12"/>
  <c r="AJ2553" i="12"/>
  <c r="AK2553" i="12"/>
  <c r="U2554" i="12"/>
  <c r="U2552" i="12" s="1"/>
  <c r="U2550" i="12" s="1"/>
  <c r="AJ2554" i="12"/>
  <c r="AK2554" i="12" s="1"/>
  <c r="I2555" i="12"/>
  <c r="I2554" i="12" s="1"/>
  <c r="I2552" i="12" s="1"/>
  <c r="I2550" i="12" s="1"/>
  <c r="M2555" i="12"/>
  <c r="T2555" i="12"/>
  <c r="T2554" i="12" s="1"/>
  <c r="X2555" i="12"/>
  <c r="X2554" i="12" s="1"/>
  <c r="AB2555" i="12"/>
  <c r="AJ2555" i="12"/>
  <c r="AK2555" i="12" s="1"/>
  <c r="I2556" i="12"/>
  <c r="J2556" i="12"/>
  <c r="L2556" i="12"/>
  <c r="M2556" i="12"/>
  <c r="N2556" i="12"/>
  <c r="N2555" i="12" s="1"/>
  <c r="N2554" i="12" s="1"/>
  <c r="N2548" i="12" s="1"/>
  <c r="O2556" i="12"/>
  <c r="O2555" i="12" s="1"/>
  <c r="O2554" i="12" s="1"/>
  <c r="Q2556" i="12"/>
  <c r="Q2555" i="12" s="1"/>
  <c r="Q2554" i="12" s="1"/>
  <c r="Q2552" i="12" s="1"/>
  <c r="Q2550" i="12" s="1"/>
  <c r="R2556" i="12"/>
  <c r="R2555" i="12" s="1"/>
  <c r="R2554" i="12" s="1"/>
  <c r="R2548" i="12" s="1"/>
  <c r="S2556" i="12"/>
  <c r="S2555" i="12" s="1"/>
  <c r="S2554" i="12" s="1"/>
  <c r="T2556" i="12"/>
  <c r="U2556" i="12"/>
  <c r="U2555" i="12" s="1"/>
  <c r="V2556" i="12"/>
  <c r="V2555" i="12" s="1"/>
  <c r="V2554" i="12" s="1"/>
  <c r="V2548" i="12" s="1"/>
  <c r="W2556" i="12"/>
  <c r="W2555" i="12" s="1"/>
  <c r="W2554" i="12" s="1"/>
  <c r="X2556" i="12"/>
  <c r="Y2556" i="12"/>
  <c r="Y2555" i="12" s="1"/>
  <c r="AA2556" i="12"/>
  <c r="AB2556" i="12"/>
  <c r="AC2556" i="12"/>
  <c r="AC2555" i="12" s="1"/>
  <c r="AC2554" i="12" s="1"/>
  <c r="AF2556" i="12"/>
  <c r="AE2556" i="12" s="1"/>
  <c r="AG2556" i="12"/>
  <c r="AG2555" i="12" s="1"/>
  <c r="AG2554" i="12" s="1"/>
  <c r="AH2556" i="12"/>
  <c r="AH2555" i="12" s="1"/>
  <c r="AH2554" i="12" s="1"/>
  <c r="AH2552" i="12" s="1"/>
  <c r="AH2550" i="12" s="1"/>
  <c r="AH2548" i="12" s="1"/>
  <c r="AI2556" i="12"/>
  <c r="AI2555" i="12" s="1"/>
  <c r="AI2554" i="12" s="1"/>
  <c r="AJ2556" i="12"/>
  <c r="AK2556" i="12" s="1"/>
  <c r="K2557" i="12"/>
  <c r="L2557" i="12"/>
  <c r="P2557" i="12"/>
  <c r="Z2557" i="12"/>
  <c r="AA2557" i="12"/>
  <c r="AD2557" i="12"/>
  <c r="AE2557" i="12"/>
  <c r="AJ2557" i="12"/>
  <c r="AK2557" i="12" s="1"/>
  <c r="K2558" i="12"/>
  <c r="L2558" i="12"/>
  <c r="P2558" i="12"/>
  <c r="Z2558" i="12"/>
  <c r="AA2558" i="12"/>
  <c r="AD2558" i="12"/>
  <c r="AE2558" i="12"/>
  <c r="AJ2558" i="12"/>
  <c r="AK2558" i="12"/>
  <c r="AH2559" i="12"/>
  <c r="AI2559" i="12"/>
  <c r="AJ2559" i="12"/>
  <c r="AK2559" i="12" s="1"/>
  <c r="AJ2560" i="12"/>
  <c r="AK2560" i="12" s="1"/>
  <c r="AJ2561" i="12"/>
  <c r="AK2561" i="12" s="1"/>
  <c r="AJ2562" i="12"/>
  <c r="AK2562" i="12" s="1"/>
  <c r="AG2563" i="12"/>
  <c r="AJ2563" i="12"/>
  <c r="AK2563" i="12" s="1"/>
  <c r="AJ2564" i="12"/>
  <c r="AK2564" i="12"/>
  <c r="AG2565" i="12"/>
  <c r="AJ2565" i="12"/>
  <c r="AK2565" i="12" s="1"/>
  <c r="AJ2566" i="12"/>
  <c r="AK2566" i="12"/>
  <c r="AJ2567" i="12"/>
  <c r="AK2567" i="12" s="1"/>
  <c r="AJ2568" i="12"/>
  <c r="AK2568" i="12" s="1"/>
  <c r="AJ2569" i="12"/>
  <c r="AK2569" i="12" s="1"/>
  <c r="AJ2570" i="12"/>
  <c r="AK2570" i="12"/>
  <c r="AG2571" i="12"/>
  <c r="AJ2571" i="12"/>
  <c r="AK2571" i="12" s="1"/>
  <c r="AJ2572" i="12"/>
  <c r="AK2572" i="12" s="1"/>
  <c r="AJ2573" i="12"/>
  <c r="AK2573" i="12"/>
  <c r="AJ2574" i="12"/>
  <c r="AK2574" i="12"/>
  <c r="AG2575" i="12"/>
  <c r="AG2574" i="12" s="1"/>
  <c r="AH2575" i="12"/>
  <c r="AH2574" i="12" s="1"/>
  <c r="AI2575" i="12"/>
  <c r="AI2574" i="12" s="1"/>
  <c r="AJ2575" i="12"/>
  <c r="AK2575" i="12" s="1"/>
  <c r="AJ2576" i="12"/>
  <c r="AK2576" i="12"/>
  <c r="AJ2577" i="12"/>
  <c r="AK2577" i="12"/>
  <c r="AA2578" i="12"/>
  <c r="AJ2578" i="12"/>
  <c r="AK2578" i="12" s="1"/>
  <c r="AJ2579" i="12"/>
  <c r="AK2579" i="12" s="1"/>
  <c r="AJ2580" i="12"/>
  <c r="AK2580" i="12" s="1"/>
  <c r="AJ2581" i="12"/>
  <c r="AK2581" i="12" s="1"/>
  <c r="AJ2582" i="12"/>
  <c r="AK2582" i="12" s="1"/>
  <c r="I2583" i="12"/>
  <c r="I2581" i="12" s="1"/>
  <c r="I2579" i="12" s="1"/>
  <c r="I2577" i="12" s="1"/>
  <c r="AJ2583" i="12"/>
  <c r="AK2583" i="12" s="1"/>
  <c r="I2584" i="12"/>
  <c r="M2584" i="12"/>
  <c r="M2583" i="12" s="1"/>
  <c r="AF2584" i="12"/>
  <c r="AJ2584" i="12"/>
  <c r="AK2584" i="12" s="1"/>
  <c r="I2585" i="12"/>
  <c r="J2585" i="12"/>
  <c r="L2585" i="12"/>
  <c r="M2585" i="12"/>
  <c r="O2585" i="12"/>
  <c r="O2584" i="12" s="1"/>
  <c r="O2583" i="12" s="1"/>
  <c r="O2581" i="12" s="1"/>
  <c r="O2579" i="12" s="1"/>
  <c r="O2577" i="12" s="1"/>
  <c r="S2585" i="12"/>
  <c r="S2584" i="12" s="1"/>
  <c r="S2583" i="12" s="1"/>
  <c r="S2581" i="12" s="1"/>
  <c r="S2579" i="12" s="1"/>
  <c r="S2577" i="12" s="1"/>
  <c r="U2585" i="12"/>
  <c r="U2584" i="12" s="1"/>
  <c r="U2583" i="12" s="1"/>
  <c r="U2581" i="12" s="1"/>
  <c r="U2579" i="12" s="1"/>
  <c r="U2577" i="12" s="1"/>
  <c r="X2585" i="12"/>
  <c r="X2584" i="12" s="1"/>
  <c r="X2583" i="12" s="1"/>
  <c r="Y2585" i="12"/>
  <c r="Y2584" i="12" s="1"/>
  <c r="Y2583" i="12" s="1"/>
  <c r="AB2585" i="12"/>
  <c r="AB2584" i="12" s="1"/>
  <c r="AC2585" i="12"/>
  <c r="AE2585" i="12"/>
  <c r="AF2585" i="12"/>
  <c r="AG2585" i="12"/>
  <c r="AG2584" i="12" s="1"/>
  <c r="AG2583" i="12" s="1"/>
  <c r="AH2585" i="12"/>
  <c r="AH2584" i="12" s="1"/>
  <c r="AH2583" i="12" s="1"/>
  <c r="AH2582" i="12" s="1"/>
  <c r="AI2585" i="12"/>
  <c r="AI2584" i="12" s="1"/>
  <c r="AI2583" i="12" s="1"/>
  <c r="AJ2585" i="12"/>
  <c r="AK2585" i="12" s="1"/>
  <c r="K2586" i="12"/>
  <c r="L2586" i="12"/>
  <c r="P2586" i="12"/>
  <c r="Z2586" i="12"/>
  <c r="AA2586" i="12"/>
  <c r="AD2586" i="12"/>
  <c r="AE2586" i="12"/>
  <c r="AJ2586" i="12"/>
  <c r="AK2586" i="12" s="1"/>
  <c r="K2587" i="12"/>
  <c r="L2587" i="12"/>
  <c r="N2587" i="12"/>
  <c r="N2585" i="12" s="1"/>
  <c r="N2584" i="12" s="1"/>
  <c r="N2583" i="12" s="1"/>
  <c r="N2581" i="12" s="1"/>
  <c r="N2579" i="12" s="1"/>
  <c r="N2577" i="12" s="1"/>
  <c r="Q2587" i="12"/>
  <c r="Q2585" i="12" s="1"/>
  <c r="Q2584" i="12" s="1"/>
  <c r="Q2583" i="12" s="1"/>
  <c r="Q2581" i="12" s="1"/>
  <c r="Q2579" i="12" s="1"/>
  <c r="Q2577" i="12" s="1"/>
  <c r="R2587" i="12"/>
  <c r="R2585" i="12" s="1"/>
  <c r="R2584" i="12" s="1"/>
  <c r="R2583" i="12" s="1"/>
  <c r="R2581" i="12" s="1"/>
  <c r="R2579" i="12" s="1"/>
  <c r="R2577" i="12" s="1"/>
  <c r="S2587" i="12"/>
  <c r="T2587" i="12"/>
  <c r="P2587" i="12" s="1"/>
  <c r="V2587" i="12"/>
  <c r="W2587" i="12"/>
  <c r="W2585" i="12" s="1"/>
  <c r="W2584" i="12" s="1"/>
  <c r="W2583" i="12" s="1"/>
  <c r="AD2587" i="12"/>
  <c r="AE2587" i="12"/>
  <c r="AJ2587" i="12"/>
  <c r="AK2587" i="12" s="1"/>
  <c r="K2588" i="12"/>
  <c r="L2588" i="12"/>
  <c r="P2588" i="12"/>
  <c r="Z2588" i="12"/>
  <c r="AA2588" i="12"/>
  <c r="AD2588" i="12"/>
  <c r="AE2588" i="12"/>
  <c r="AJ2588" i="12"/>
  <c r="AK2588" i="12"/>
  <c r="K2589" i="12"/>
  <c r="L2589" i="12"/>
  <c r="N2589" i="12"/>
  <c r="P2589" i="12"/>
  <c r="Q2589" i="12"/>
  <c r="Z2589" i="12"/>
  <c r="AA2589" i="12"/>
  <c r="AD2589" i="12"/>
  <c r="AE2589" i="12"/>
  <c r="AJ2589" i="12"/>
  <c r="AK2589" i="12" s="1"/>
  <c r="K2590" i="12"/>
  <c r="L2590" i="12"/>
  <c r="P2590" i="12"/>
  <c r="Z2590" i="12"/>
  <c r="AA2590" i="12"/>
  <c r="AD2590" i="12"/>
  <c r="AE2590" i="12"/>
  <c r="AJ2590" i="12"/>
  <c r="AK2590" i="12" s="1"/>
  <c r="K2591" i="12"/>
  <c r="L2591" i="12"/>
  <c r="P2591" i="12"/>
  <c r="Z2591" i="12"/>
  <c r="AA2591" i="12"/>
  <c r="AD2591" i="12"/>
  <c r="AE2591" i="12"/>
  <c r="AJ2591" i="12"/>
  <c r="AK2591" i="12" s="1"/>
  <c r="K2592" i="12"/>
  <c r="L2592" i="12"/>
  <c r="P2592" i="12"/>
  <c r="T2592" i="12"/>
  <c r="V2592" i="12"/>
  <c r="AA2592" i="12" s="1"/>
  <c r="W2592" i="12"/>
  <c r="Z2592" i="12"/>
  <c r="AD2592" i="12"/>
  <c r="AE2592" i="12"/>
  <c r="AJ2592" i="12"/>
  <c r="AK2592" i="12" s="1"/>
  <c r="AJ2593" i="12"/>
  <c r="AK2593" i="12" s="1"/>
  <c r="AJ2594" i="12"/>
  <c r="AK2594" i="12" s="1"/>
  <c r="AJ2595" i="12"/>
  <c r="AK2595" i="12" s="1"/>
  <c r="AJ2596" i="12"/>
  <c r="AK2596" i="12"/>
  <c r="U2598" i="12"/>
  <c r="W2598" i="12"/>
  <c r="Y2598" i="12"/>
  <c r="Z2598" i="12"/>
  <c r="Z2597" i="12" s="1"/>
  <c r="AB2598" i="12"/>
  <c r="AJ2598" i="12" s="1"/>
  <c r="AC2598" i="12"/>
  <c r="AF2598" i="12"/>
  <c r="U2599" i="12"/>
  <c r="V2599" i="12"/>
  <c r="W2599" i="12"/>
  <c r="X2599" i="12"/>
  <c r="AB2599" i="12"/>
  <c r="AJ2599" i="12" s="1"/>
  <c r="AC2599" i="12"/>
  <c r="AF2599" i="12"/>
  <c r="AG2599" i="12"/>
  <c r="AH2599" i="12"/>
  <c r="AI2599" i="12"/>
  <c r="U2600" i="12"/>
  <c r="V2600" i="12"/>
  <c r="W2600" i="12"/>
  <c r="X2600" i="12"/>
  <c r="Y2600" i="12"/>
  <c r="AA2600" i="12"/>
  <c r="AB2600" i="12"/>
  <c r="AC2600" i="12"/>
  <c r="AE2600" i="12"/>
  <c r="AF2600" i="12"/>
  <c r="AG2600" i="12"/>
  <c r="AH2600" i="12"/>
  <c r="AI2600" i="12"/>
  <c r="U2601" i="12"/>
  <c r="V2601" i="12"/>
  <c r="W2601" i="12"/>
  <c r="Y2601" i="12"/>
  <c r="AB2601" i="12"/>
  <c r="AJ2601" i="12" s="1"/>
  <c r="AC2601" i="12"/>
  <c r="AF2601" i="12"/>
  <c r="AG2601" i="12"/>
  <c r="AI2601" i="12"/>
  <c r="U2602" i="12"/>
  <c r="V2602" i="12"/>
  <c r="W2602" i="12"/>
  <c r="X2602" i="12"/>
  <c r="Y2602" i="12"/>
  <c r="Z2602" i="12"/>
  <c r="AA2602" i="12"/>
  <c r="AB2602" i="12"/>
  <c r="AJ2602" i="12" s="1"/>
  <c r="AC2602" i="12"/>
  <c r="AF2602" i="12"/>
  <c r="AG2602" i="12"/>
  <c r="AH2602" i="12"/>
  <c r="AI2602" i="12"/>
  <c r="U2603" i="12"/>
  <c r="V2603" i="12"/>
  <c r="W2603" i="12"/>
  <c r="X2603" i="12"/>
  <c r="Y2603" i="12"/>
  <c r="Z2603" i="12"/>
  <c r="AA2603" i="12"/>
  <c r="AB2603" i="12"/>
  <c r="AJ2603" i="12" s="1"/>
  <c r="AC2603" i="12"/>
  <c r="AF2603" i="12"/>
  <c r="AG2603" i="12"/>
  <c r="AH2603" i="12"/>
  <c r="AI2603" i="12"/>
  <c r="U2604" i="12"/>
  <c r="V2604" i="12"/>
  <c r="W2604" i="12"/>
  <c r="X2604" i="12"/>
  <c r="Y2604" i="12"/>
  <c r="Z2604" i="12"/>
  <c r="AB2604" i="12"/>
  <c r="AJ2604" i="12" s="1"/>
  <c r="AC2604" i="12"/>
  <c r="AF2604" i="12"/>
  <c r="AG2604" i="12"/>
  <c r="AH2604" i="12"/>
  <c r="AI2604" i="12"/>
  <c r="U2605" i="12"/>
  <c r="V2605" i="12"/>
  <c r="W2605" i="12"/>
  <c r="X2605" i="12"/>
  <c r="Y2605" i="12"/>
  <c r="Z2605" i="12"/>
  <c r="AA2605" i="12"/>
  <c r="AB2605" i="12"/>
  <c r="AC2605" i="12"/>
  <c r="AF2605" i="12"/>
  <c r="AG2605" i="12"/>
  <c r="AH2605" i="12"/>
  <c r="AI2605" i="12"/>
  <c r="U2606" i="12"/>
  <c r="V2606" i="12"/>
  <c r="AB2606" i="12"/>
  <c r="AC2606" i="12"/>
  <c r="AF2606" i="12"/>
  <c r="U2607" i="12"/>
  <c r="V2607" i="12"/>
  <c r="AA2607" i="12"/>
  <c r="AB2607" i="12"/>
  <c r="AJ2607" i="12" s="1"/>
  <c r="AC2607" i="12"/>
  <c r="AE2607" i="12"/>
  <c r="AF2607" i="12"/>
  <c r="AG2607" i="12"/>
  <c r="AH2607" i="12"/>
  <c r="AI2607" i="12"/>
  <c r="U2608" i="12"/>
  <c r="V2608" i="12"/>
  <c r="AB2608" i="12"/>
  <c r="AJ2608" i="12" s="1"/>
  <c r="AC2608" i="12"/>
  <c r="AF2608" i="12"/>
  <c r="AG2608" i="12"/>
  <c r="AH2608" i="12"/>
  <c r="AI2608" i="12"/>
  <c r="U2609" i="12"/>
  <c r="V2609" i="12"/>
  <c r="AB2609" i="12"/>
  <c r="AJ2609" i="12" s="1"/>
  <c r="AC2609" i="12"/>
  <c r="AE2609" i="12"/>
  <c r="AF2609" i="12"/>
  <c r="AG2609" i="12"/>
  <c r="AH2609" i="12"/>
  <c r="AI2609" i="12"/>
  <c r="U2610" i="12"/>
  <c r="V2610" i="12"/>
  <c r="AC2610" i="12"/>
  <c r="AF2610" i="12"/>
  <c r="AG2610" i="12"/>
  <c r="AH2610" i="12"/>
  <c r="AI2610" i="12"/>
  <c r="U2611" i="12"/>
  <c r="V2611" i="12"/>
  <c r="AB2611" i="12"/>
  <c r="AJ2611" i="12" s="1"/>
  <c r="AC2611" i="12"/>
  <c r="AE2611" i="12"/>
  <c r="AF2611" i="12"/>
  <c r="AG2611" i="12"/>
  <c r="AH2611" i="12"/>
  <c r="AI2611" i="12"/>
  <c r="U2612" i="12"/>
  <c r="V2612" i="12"/>
  <c r="AB2612" i="12"/>
  <c r="AJ2612" i="12" s="1"/>
  <c r="AC2612" i="12"/>
  <c r="AF2612" i="12"/>
  <c r="AG2612" i="12"/>
  <c r="AH2612" i="12"/>
  <c r="U2613" i="12"/>
  <c r="V2613" i="12"/>
  <c r="AB2613" i="12"/>
  <c r="AJ2613" i="12" s="1"/>
  <c r="AC2613" i="12"/>
  <c r="U2614" i="12"/>
  <c r="V2614" i="12"/>
  <c r="AA2614" i="12"/>
  <c r="AB2614" i="12"/>
  <c r="AC2614" i="12"/>
  <c r="AE2614" i="12"/>
  <c r="AF2614" i="12"/>
  <c r="AG2614" i="12"/>
  <c r="AH2614" i="12"/>
  <c r="AI2614" i="12"/>
  <c r="U2615" i="12"/>
  <c r="V2615" i="12"/>
  <c r="AB2615" i="12"/>
  <c r="AC2615" i="12"/>
  <c r="AE2615" i="12"/>
  <c r="AF2615" i="12"/>
  <c r="AG2615" i="12"/>
  <c r="AH2615" i="12"/>
  <c r="AI2615" i="12"/>
  <c r="U2616" i="12"/>
  <c r="V2616" i="12"/>
  <c r="AA2616" i="12"/>
  <c r="AB2616" i="12"/>
  <c r="AJ2616" i="12" s="1"/>
  <c r="AC2616" i="12"/>
  <c r="AE2616" i="12"/>
  <c r="AF2616" i="12"/>
  <c r="AG2616" i="12"/>
  <c r="AH2616" i="12"/>
  <c r="AI2616" i="12"/>
  <c r="U2617" i="12"/>
  <c r="V2617" i="12"/>
  <c r="AA2617" i="12"/>
  <c r="AB2617" i="12"/>
  <c r="AJ2617" i="12" s="1"/>
  <c r="AC2617" i="12"/>
  <c r="AE2617" i="12"/>
  <c r="AF2617" i="12"/>
  <c r="AG2617" i="12"/>
  <c r="AH2617" i="12"/>
  <c r="AI2617" i="12"/>
  <c r="AJ2645" i="12"/>
  <c r="AK2645" i="12" s="1"/>
  <c r="AJ2646" i="12"/>
  <c r="AK2646" i="12" s="1"/>
  <c r="AJ2647" i="12"/>
  <c r="AK2647" i="12" s="1"/>
  <c r="AJ2649" i="12"/>
  <c r="AK2649" i="12" s="1"/>
  <c r="AJ2650" i="12"/>
  <c r="AK2650" i="12" s="1"/>
  <c r="AJ2654" i="12"/>
  <c r="AK2654" i="12" s="1"/>
  <c r="AJ2655" i="12"/>
  <c r="AK2655" i="12" s="1"/>
  <c r="AJ2656" i="12"/>
  <c r="AK2656" i="12"/>
  <c r="AK2657" i="12"/>
  <c r="AK2658" i="12"/>
  <c r="AK2659" i="12"/>
  <c r="AK2660" i="12"/>
  <c r="AK2661" i="12"/>
  <c r="AK2662" i="12"/>
  <c r="AK2663" i="12"/>
  <c r="AK2664" i="12"/>
  <c r="AK2665" i="12"/>
  <c r="AK2666" i="12"/>
  <c r="AK2667" i="12"/>
  <c r="AK2668" i="12"/>
  <c r="AK2669" i="12"/>
  <c r="AK2670" i="12"/>
  <c r="AK2671" i="12"/>
  <c r="AK2672" i="12"/>
  <c r="AK2673" i="12"/>
  <c r="AK2674" i="12"/>
  <c r="AK2675" i="12"/>
  <c r="AK2676" i="12"/>
  <c r="AK2677" i="12"/>
  <c r="AK2678" i="12"/>
  <c r="AK2679" i="12"/>
  <c r="AK2680" i="12"/>
  <c r="K275" i="9"/>
  <c r="K274" i="9" s="1"/>
  <c r="B21" i="17"/>
  <c r="C21" i="17"/>
  <c r="D21" i="17"/>
  <c r="D25" i="17" s="1"/>
  <c r="E21" i="17"/>
  <c r="B9" i="8"/>
  <c r="C10" i="8"/>
  <c r="D11" i="8"/>
  <c r="G12" i="8"/>
  <c r="G11" i="8"/>
  <c r="H12" i="8"/>
  <c r="H11" i="8" s="1"/>
  <c r="I12" i="8"/>
  <c r="I11" i="8" s="1"/>
  <c r="J12" i="8"/>
  <c r="K12" i="8"/>
  <c r="N12" i="8"/>
  <c r="O12" i="8"/>
  <c r="O11" i="8" s="1"/>
  <c r="P12" i="8"/>
  <c r="P11" i="8" s="1"/>
  <c r="Q12" i="8"/>
  <c r="Q11" i="8" s="1"/>
  <c r="R12" i="8"/>
  <c r="R11" i="8" s="1"/>
  <c r="R10" i="8" s="1"/>
  <c r="S12" i="8"/>
  <c r="S11" i="8" s="1"/>
  <c r="T12" i="8"/>
  <c r="T11" i="8" s="1"/>
  <c r="U12" i="8"/>
  <c r="U11" i="8" s="1"/>
  <c r="V12" i="8"/>
  <c r="W12" i="8"/>
  <c r="W11" i="8" s="1"/>
  <c r="X12" i="8"/>
  <c r="X11" i="8" s="1"/>
  <c r="G13" i="8"/>
  <c r="H13" i="8"/>
  <c r="I13" i="8"/>
  <c r="J13" i="8"/>
  <c r="K13" i="8"/>
  <c r="N13" i="8"/>
  <c r="O13" i="8"/>
  <c r="P13" i="8"/>
  <c r="Q13" i="8"/>
  <c r="R13" i="8"/>
  <c r="S13" i="8"/>
  <c r="T13" i="8"/>
  <c r="U13" i="8"/>
  <c r="V13" i="8"/>
  <c r="W13" i="8"/>
  <c r="X13" i="8"/>
  <c r="G14" i="8"/>
  <c r="H14" i="8"/>
  <c r="I14" i="8"/>
  <c r="J14" i="8"/>
  <c r="K14" i="8"/>
  <c r="N14" i="8"/>
  <c r="O14" i="8"/>
  <c r="P14" i="8"/>
  <c r="Q14" i="8"/>
  <c r="R14" i="8"/>
  <c r="S14" i="8"/>
  <c r="T14" i="8"/>
  <c r="U14" i="8"/>
  <c r="V14" i="8"/>
  <c r="W14" i="8"/>
  <c r="X14" i="8"/>
  <c r="G15" i="8"/>
  <c r="H15" i="8"/>
  <c r="I15" i="8"/>
  <c r="J15" i="8"/>
  <c r="K15" i="8"/>
  <c r="N15" i="8"/>
  <c r="O15" i="8"/>
  <c r="P15" i="8"/>
  <c r="Q15" i="8"/>
  <c r="R15" i="8"/>
  <c r="S15" i="8"/>
  <c r="T15" i="8"/>
  <c r="U15" i="8"/>
  <c r="V15" i="8"/>
  <c r="W15" i="8"/>
  <c r="X15" i="8"/>
  <c r="D16" i="8"/>
  <c r="H16" i="8"/>
  <c r="G17" i="8"/>
  <c r="G16" i="8" s="1"/>
  <c r="G10" i="8" s="1"/>
  <c r="H17" i="8"/>
  <c r="I17" i="8"/>
  <c r="I16" i="8" s="1"/>
  <c r="J17" i="8"/>
  <c r="K17" i="8"/>
  <c r="K16" i="8" s="1"/>
  <c r="N17" i="8"/>
  <c r="N16" i="8" s="1"/>
  <c r="O17" i="8"/>
  <c r="O16" i="8" s="1"/>
  <c r="P17" i="8"/>
  <c r="P16" i="8" s="1"/>
  <c r="Q17" i="8"/>
  <c r="Q16" i="8" s="1"/>
  <c r="Q10" i="8" s="1"/>
  <c r="R17" i="8"/>
  <c r="R16" i="8" s="1"/>
  <c r="S17" i="8"/>
  <c r="S16" i="8" s="1"/>
  <c r="T17" i="8"/>
  <c r="T16" i="8" s="1"/>
  <c r="U17" i="8"/>
  <c r="U16" i="8" s="1"/>
  <c r="V17" i="8"/>
  <c r="V16" i="8" s="1"/>
  <c r="W17" i="8"/>
  <c r="W16" i="8" s="1"/>
  <c r="X17" i="8"/>
  <c r="X16" i="8" s="1"/>
  <c r="D18" i="8"/>
  <c r="H18" i="8"/>
  <c r="G19" i="8"/>
  <c r="G18" i="8" s="1"/>
  <c r="H19" i="8"/>
  <c r="I19" i="8"/>
  <c r="I18" i="8"/>
  <c r="J19" i="8"/>
  <c r="K19" i="8"/>
  <c r="N19" i="8"/>
  <c r="O19" i="8"/>
  <c r="O18" i="8" s="1"/>
  <c r="P19" i="8"/>
  <c r="P18" i="8" s="1"/>
  <c r="Q19" i="8"/>
  <c r="Q18" i="8" s="1"/>
  <c r="R19" i="8"/>
  <c r="R18" i="8" s="1"/>
  <c r="S19" i="8"/>
  <c r="S18" i="8" s="1"/>
  <c r="T19" i="8"/>
  <c r="T18" i="8" s="1"/>
  <c r="U19" i="8"/>
  <c r="U18" i="8" s="1"/>
  <c r="V19" i="8"/>
  <c r="W19" i="8"/>
  <c r="W18" i="8" s="1"/>
  <c r="X19" i="8"/>
  <c r="X18" i="8" s="1"/>
  <c r="G20" i="8"/>
  <c r="H20" i="8"/>
  <c r="I20" i="8"/>
  <c r="J20" i="8"/>
  <c r="K20" i="8"/>
  <c r="N20" i="8"/>
  <c r="O20" i="8"/>
  <c r="P20" i="8"/>
  <c r="Q20" i="8"/>
  <c r="R20" i="8"/>
  <c r="S20" i="8"/>
  <c r="T20" i="8"/>
  <c r="U20" i="8"/>
  <c r="V20" i="8"/>
  <c r="W20" i="8"/>
  <c r="X20" i="8"/>
  <c r="C21" i="8"/>
  <c r="D22" i="8"/>
  <c r="G23" i="8"/>
  <c r="G22" i="8" s="1"/>
  <c r="H23" i="8"/>
  <c r="H22" i="8" s="1"/>
  <c r="I23" i="8"/>
  <c r="I22" i="8" s="1"/>
  <c r="J23" i="8"/>
  <c r="K23" i="8"/>
  <c r="N23" i="8"/>
  <c r="O23" i="8"/>
  <c r="O22" i="8" s="1"/>
  <c r="P23" i="8"/>
  <c r="P22" i="8" s="1"/>
  <c r="Q23" i="8"/>
  <c r="Q22" i="8" s="1"/>
  <c r="R23" i="8"/>
  <c r="R22" i="8" s="1"/>
  <c r="S23" i="8"/>
  <c r="S22" i="8" s="1"/>
  <c r="T23" i="8"/>
  <c r="T22" i="8" s="1"/>
  <c r="U23" i="8"/>
  <c r="U22" i="8" s="1"/>
  <c r="V23" i="8"/>
  <c r="V22" i="8" s="1"/>
  <c r="W23" i="8"/>
  <c r="W22" i="8" s="1"/>
  <c r="X23" i="8"/>
  <c r="X22" i="8" s="1"/>
  <c r="G24" i="8"/>
  <c r="H24" i="8"/>
  <c r="I24" i="8"/>
  <c r="J24" i="8"/>
  <c r="K24" i="8"/>
  <c r="N24" i="8"/>
  <c r="O24" i="8"/>
  <c r="P24" i="8"/>
  <c r="Q24" i="8"/>
  <c r="R24" i="8"/>
  <c r="S24" i="8"/>
  <c r="T24" i="8"/>
  <c r="U24" i="8"/>
  <c r="V24" i="8"/>
  <c r="W24" i="8"/>
  <c r="X24" i="8"/>
  <c r="G25" i="8"/>
  <c r="H25" i="8"/>
  <c r="I25" i="8"/>
  <c r="J25" i="8"/>
  <c r="K25" i="8"/>
  <c r="N25" i="8"/>
  <c r="O25" i="8"/>
  <c r="P25" i="8"/>
  <c r="Q25" i="8"/>
  <c r="R25" i="8"/>
  <c r="S25" i="8"/>
  <c r="T25" i="8"/>
  <c r="U25" i="8"/>
  <c r="V25" i="8"/>
  <c r="W25" i="8"/>
  <c r="X25" i="8"/>
  <c r="G26" i="8"/>
  <c r="H26" i="8"/>
  <c r="I26" i="8"/>
  <c r="J26" i="8"/>
  <c r="L26" i="8" s="1"/>
  <c r="K26" i="8"/>
  <c r="N26" i="8"/>
  <c r="O26" i="8"/>
  <c r="P26" i="8"/>
  <c r="Q26" i="8"/>
  <c r="R26" i="8"/>
  <c r="S26" i="8"/>
  <c r="T26" i="8"/>
  <c r="U26" i="8"/>
  <c r="V26" i="8"/>
  <c r="W26" i="8"/>
  <c r="X26" i="8"/>
  <c r="D27" i="8"/>
  <c r="G28" i="8"/>
  <c r="G27" i="8" s="1"/>
  <c r="H28" i="8"/>
  <c r="H27" i="8" s="1"/>
  <c r="I28" i="8"/>
  <c r="I27" i="8" s="1"/>
  <c r="J28" i="8"/>
  <c r="K28" i="8"/>
  <c r="L28" i="8" s="1"/>
  <c r="L27" i="8" s="1"/>
  <c r="N28" i="8"/>
  <c r="M28" i="8" s="1"/>
  <c r="M27" i="8" s="1"/>
  <c r="O28" i="8"/>
  <c r="O27" i="8" s="1"/>
  <c r="P28" i="8"/>
  <c r="P27" i="8"/>
  <c r="Q28" i="8"/>
  <c r="Q27" i="8" s="1"/>
  <c r="R28" i="8"/>
  <c r="R27" i="8" s="1"/>
  <c r="S28" i="8"/>
  <c r="S27" i="8" s="1"/>
  <c r="T28" i="8"/>
  <c r="T27" i="8" s="1"/>
  <c r="U28" i="8"/>
  <c r="U27" i="8" s="1"/>
  <c r="V28" i="8"/>
  <c r="W28" i="8"/>
  <c r="W27" i="8" s="1"/>
  <c r="X28" i="8"/>
  <c r="X27" i="8" s="1"/>
  <c r="G29" i="8"/>
  <c r="H29" i="8"/>
  <c r="I29" i="8"/>
  <c r="J29" i="8"/>
  <c r="K29" i="8"/>
  <c r="N29" i="8"/>
  <c r="O29" i="8"/>
  <c r="P29" i="8"/>
  <c r="Q29" i="8"/>
  <c r="R29" i="8"/>
  <c r="S29" i="8"/>
  <c r="T29" i="8"/>
  <c r="U29" i="8"/>
  <c r="V29" i="8"/>
  <c r="W29" i="8"/>
  <c r="X29" i="8"/>
  <c r="G30" i="8"/>
  <c r="H30" i="8"/>
  <c r="I30" i="8"/>
  <c r="J30" i="8"/>
  <c r="M30" i="8" s="1"/>
  <c r="K30" i="8"/>
  <c r="N30" i="8"/>
  <c r="O30" i="8"/>
  <c r="P30" i="8"/>
  <c r="Q30" i="8"/>
  <c r="R30" i="8"/>
  <c r="S30" i="8"/>
  <c r="T30" i="8"/>
  <c r="U30" i="8"/>
  <c r="V30" i="8"/>
  <c r="W30" i="8"/>
  <c r="X30" i="8"/>
  <c r="G31" i="8"/>
  <c r="H31" i="8"/>
  <c r="I31" i="8"/>
  <c r="J31" i="8"/>
  <c r="K31" i="8"/>
  <c r="N31" i="8"/>
  <c r="O31" i="8"/>
  <c r="P31" i="8"/>
  <c r="Q31" i="8"/>
  <c r="R31" i="8"/>
  <c r="S31" i="8"/>
  <c r="T31" i="8"/>
  <c r="U31" i="8"/>
  <c r="V31" i="8"/>
  <c r="W31" i="8"/>
  <c r="X31" i="8"/>
  <c r="G32" i="8"/>
  <c r="H32" i="8"/>
  <c r="I32" i="8"/>
  <c r="J32" i="8"/>
  <c r="M32" i="8" s="1"/>
  <c r="K32" i="8"/>
  <c r="N32" i="8"/>
  <c r="O32" i="8"/>
  <c r="P32" i="8"/>
  <c r="Q32" i="8"/>
  <c r="R32" i="8"/>
  <c r="S32" i="8"/>
  <c r="T32" i="8"/>
  <c r="U32" i="8"/>
  <c r="V32" i="8"/>
  <c r="W32" i="8"/>
  <c r="X32" i="8"/>
  <c r="G33" i="8"/>
  <c r="H33" i="8"/>
  <c r="I33" i="8"/>
  <c r="J33" i="8"/>
  <c r="M33" i="8" s="1"/>
  <c r="K33" i="8"/>
  <c r="N33" i="8"/>
  <c r="O33" i="8"/>
  <c r="P33" i="8"/>
  <c r="Q33" i="8"/>
  <c r="R33" i="8"/>
  <c r="S33" i="8"/>
  <c r="T33" i="8"/>
  <c r="U33" i="8"/>
  <c r="V33" i="8"/>
  <c r="W33" i="8"/>
  <c r="X33" i="8"/>
  <c r="D34" i="8"/>
  <c r="G35" i="8"/>
  <c r="G34" i="8" s="1"/>
  <c r="H35" i="8"/>
  <c r="H34" i="8" s="1"/>
  <c r="I35" i="8"/>
  <c r="I34" i="8" s="1"/>
  <c r="J35" i="8"/>
  <c r="K35" i="8"/>
  <c r="N35" i="8"/>
  <c r="O35" i="8"/>
  <c r="O34" i="8" s="1"/>
  <c r="P35" i="8"/>
  <c r="P34" i="8" s="1"/>
  <c r="Q35" i="8"/>
  <c r="Q34" i="8" s="1"/>
  <c r="Q21" i="8" s="1"/>
  <c r="R35" i="8"/>
  <c r="R34" i="8" s="1"/>
  <c r="S35" i="8"/>
  <c r="S34" i="8"/>
  <c r="T35" i="8"/>
  <c r="T34" i="8" s="1"/>
  <c r="U35" i="8"/>
  <c r="U34" i="8" s="1"/>
  <c r="V35" i="8"/>
  <c r="W35" i="8"/>
  <c r="W34" i="8" s="1"/>
  <c r="W21" i="8" s="1"/>
  <c r="X35" i="8"/>
  <c r="X34" i="8" s="1"/>
  <c r="G36" i="8"/>
  <c r="H36" i="8"/>
  <c r="I36" i="8"/>
  <c r="J36" i="8"/>
  <c r="K36" i="8"/>
  <c r="N36" i="8"/>
  <c r="M36" i="8" s="1"/>
  <c r="O36" i="8"/>
  <c r="P36" i="8"/>
  <c r="Q36" i="8"/>
  <c r="R36" i="8"/>
  <c r="S36" i="8"/>
  <c r="T36" i="8"/>
  <c r="U36" i="8"/>
  <c r="V36" i="8"/>
  <c r="W36" i="8"/>
  <c r="X36" i="8"/>
  <c r="G37" i="8"/>
  <c r="H37" i="8"/>
  <c r="I37" i="8"/>
  <c r="J37" i="8"/>
  <c r="K37" i="8"/>
  <c r="N37" i="8"/>
  <c r="M37" i="8" s="1"/>
  <c r="O37" i="8"/>
  <c r="P37" i="8"/>
  <c r="Q37" i="8"/>
  <c r="R37" i="8"/>
  <c r="S37" i="8"/>
  <c r="T37" i="8"/>
  <c r="U37" i="8"/>
  <c r="V37" i="8"/>
  <c r="W37" i="8"/>
  <c r="X37" i="8"/>
  <c r="G38" i="8"/>
  <c r="H38" i="8"/>
  <c r="I38" i="8"/>
  <c r="J38" i="8"/>
  <c r="K38" i="8"/>
  <c r="L38" i="8" s="1"/>
  <c r="N38" i="8"/>
  <c r="M38" i="8" s="1"/>
  <c r="O38" i="8"/>
  <c r="P38" i="8"/>
  <c r="Q38" i="8"/>
  <c r="R38" i="8"/>
  <c r="S38" i="8"/>
  <c r="T38" i="8"/>
  <c r="U38" i="8"/>
  <c r="V38" i="8"/>
  <c r="W38" i="8"/>
  <c r="X38" i="8"/>
  <c r="G39" i="8"/>
  <c r="H39" i="8"/>
  <c r="I39" i="8"/>
  <c r="J39" i="8"/>
  <c r="K39" i="8"/>
  <c r="N39" i="8"/>
  <c r="M39" i="8" s="1"/>
  <c r="O39" i="8"/>
  <c r="P39" i="8"/>
  <c r="Q39" i="8"/>
  <c r="R39" i="8"/>
  <c r="S39" i="8"/>
  <c r="T39" i="8"/>
  <c r="U39" i="8"/>
  <c r="V39" i="8"/>
  <c r="W39" i="8"/>
  <c r="X39" i="8"/>
  <c r="G40" i="8"/>
  <c r="H40" i="8"/>
  <c r="I40" i="8"/>
  <c r="J40" i="8"/>
  <c r="K40" i="8"/>
  <c r="N40" i="8"/>
  <c r="M40" i="8" s="1"/>
  <c r="O40" i="8"/>
  <c r="P40" i="8"/>
  <c r="Q40" i="8"/>
  <c r="R40" i="8"/>
  <c r="S40" i="8"/>
  <c r="T40" i="8"/>
  <c r="U40" i="8"/>
  <c r="V40" i="8"/>
  <c r="W40" i="8"/>
  <c r="X40" i="8"/>
  <c r="G41" i="8"/>
  <c r="H41" i="8"/>
  <c r="I41" i="8"/>
  <c r="J41" i="8"/>
  <c r="K41" i="8"/>
  <c r="L41" i="8" s="1"/>
  <c r="N41" i="8"/>
  <c r="O41" i="8"/>
  <c r="P41" i="8"/>
  <c r="Q41" i="8"/>
  <c r="R41" i="8"/>
  <c r="S41" i="8"/>
  <c r="T41" i="8"/>
  <c r="U41" i="8"/>
  <c r="V41" i="8"/>
  <c r="W41" i="8"/>
  <c r="X41" i="8"/>
  <c r="G42" i="8"/>
  <c r="H42" i="8"/>
  <c r="I42" i="8"/>
  <c r="J42" i="8"/>
  <c r="K42" i="8"/>
  <c r="L42" i="8" s="1"/>
  <c r="N42" i="8"/>
  <c r="O42" i="8"/>
  <c r="P42" i="8"/>
  <c r="Q42" i="8"/>
  <c r="R42" i="8"/>
  <c r="S42" i="8"/>
  <c r="T42" i="8"/>
  <c r="U42" i="8"/>
  <c r="V42" i="8"/>
  <c r="W42" i="8"/>
  <c r="X42" i="8"/>
  <c r="G43" i="8"/>
  <c r="H43" i="8"/>
  <c r="I43" i="8"/>
  <c r="J43" i="8"/>
  <c r="K43" i="8"/>
  <c r="L43" i="8" s="1"/>
  <c r="N43" i="8"/>
  <c r="O43" i="8"/>
  <c r="P43" i="8"/>
  <c r="Q43" i="8"/>
  <c r="R43" i="8"/>
  <c r="S43" i="8"/>
  <c r="T43" i="8"/>
  <c r="U43" i="8"/>
  <c r="V43" i="8"/>
  <c r="W43" i="8"/>
  <c r="X43" i="8"/>
  <c r="G45" i="8"/>
  <c r="G44" i="8" s="1"/>
  <c r="H45" i="8"/>
  <c r="H44" i="8" s="1"/>
  <c r="I45" i="8"/>
  <c r="I44" i="8" s="1"/>
  <c r="J45" i="8"/>
  <c r="J44" i="8" s="1"/>
  <c r="K45" i="8"/>
  <c r="N45" i="8"/>
  <c r="N44" i="8" s="1"/>
  <c r="O45" i="8"/>
  <c r="O44" i="8" s="1"/>
  <c r="P45" i="8"/>
  <c r="P44" i="8"/>
  <c r="Q45" i="8"/>
  <c r="Q44" i="8" s="1"/>
  <c r="R45" i="8"/>
  <c r="R44" i="8" s="1"/>
  <c r="S45" i="8"/>
  <c r="S44" i="8" s="1"/>
  <c r="T45" i="8"/>
  <c r="T44" i="8" s="1"/>
  <c r="U45" i="8"/>
  <c r="U44" i="8" s="1"/>
  <c r="V45" i="8"/>
  <c r="V44" i="8" s="1"/>
  <c r="W45" i="8"/>
  <c r="W44" i="8" s="1"/>
  <c r="X45" i="8"/>
  <c r="X44" i="8" s="1"/>
  <c r="D46" i="8"/>
  <c r="G47" i="8"/>
  <c r="G46" i="8" s="1"/>
  <c r="H47" i="8"/>
  <c r="H46" i="8"/>
  <c r="I47" i="8"/>
  <c r="I46" i="8" s="1"/>
  <c r="J47" i="8"/>
  <c r="K47" i="8"/>
  <c r="N47" i="8"/>
  <c r="O47" i="8"/>
  <c r="O46" i="8" s="1"/>
  <c r="P47" i="8"/>
  <c r="P46" i="8" s="1"/>
  <c r="Q47" i="8"/>
  <c r="Q46" i="8" s="1"/>
  <c r="R47" i="8"/>
  <c r="R46" i="8" s="1"/>
  <c r="S47" i="8"/>
  <c r="S46" i="8" s="1"/>
  <c r="T47" i="8"/>
  <c r="T46" i="8"/>
  <c r="U47" i="8"/>
  <c r="U46" i="8" s="1"/>
  <c r="V47" i="8"/>
  <c r="V46" i="8" s="1"/>
  <c r="W47" i="8"/>
  <c r="W46" i="8" s="1"/>
  <c r="X47" i="8"/>
  <c r="X46" i="8" s="1"/>
  <c r="G48" i="8"/>
  <c r="H48" i="8"/>
  <c r="I48" i="8"/>
  <c r="J48" i="8"/>
  <c r="K48" i="8"/>
  <c r="N48" i="8"/>
  <c r="O48" i="8"/>
  <c r="P48" i="8"/>
  <c r="Q48" i="8"/>
  <c r="R48" i="8"/>
  <c r="S48" i="8"/>
  <c r="T48" i="8"/>
  <c r="U48" i="8"/>
  <c r="V48" i="8"/>
  <c r="W48" i="8"/>
  <c r="X48" i="8"/>
  <c r="G49" i="8"/>
  <c r="H49" i="8"/>
  <c r="I49" i="8"/>
  <c r="J49" i="8"/>
  <c r="K49" i="8"/>
  <c r="N49" i="8"/>
  <c r="O49" i="8"/>
  <c r="P49" i="8"/>
  <c r="Q49" i="8"/>
  <c r="R49" i="8"/>
  <c r="S49" i="8"/>
  <c r="T49" i="8"/>
  <c r="U49" i="8"/>
  <c r="V49" i="8"/>
  <c r="W49" i="8"/>
  <c r="X49" i="8"/>
  <c r="G50" i="8"/>
  <c r="H50" i="8"/>
  <c r="I50" i="8"/>
  <c r="J50" i="8"/>
  <c r="K50" i="8"/>
  <c r="N50" i="8"/>
  <c r="O50" i="8"/>
  <c r="P50" i="8"/>
  <c r="Q50" i="8"/>
  <c r="R50" i="8"/>
  <c r="S50" i="8"/>
  <c r="T50" i="8"/>
  <c r="U50" i="8"/>
  <c r="V50" i="8"/>
  <c r="W50" i="8"/>
  <c r="X50" i="8"/>
  <c r="G51" i="8"/>
  <c r="H51" i="8"/>
  <c r="I51" i="8"/>
  <c r="J51" i="8"/>
  <c r="K51" i="8"/>
  <c r="N51" i="8"/>
  <c r="O51" i="8"/>
  <c r="P51" i="8"/>
  <c r="Q51" i="8"/>
  <c r="R51" i="8"/>
  <c r="S51" i="8"/>
  <c r="T51" i="8"/>
  <c r="U51" i="8"/>
  <c r="V51" i="8"/>
  <c r="W51" i="8"/>
  <c r="X51" i="8"/>
  <c r="G52" i="8"/>
  <c r="H52" i="8"/>
  <c r="I52" i="8"/>
  <c r="J52" i="8"/>
  <c r="K52" i="8"/>
  <c r="N52" i="8"/>
  <c r="O52" i="8"/>
  <c r="P52" i="8"/>
  <c r="Q52" i="8"/>
  <c r="R52" i="8"/>
  <c r="S52" i="8"/>
  <c r="T52" i="8"/>
  <c r="U52" i="8"/>
  <c r="V52" i="8"/>
  <c r="W52" i="8"/>
  <c r="X52" i="8"/>
  <c r="C53" i="8"/>
  <c r="D54" i="8"/>
  <c r="G55" i="8"/>
  <c r="G54" i="8" s="1"/>
  <c r="H55" i="8"/>
  <c r="H54" i="8" s="1"/>
  <c r="I55" i="8"/>
  <c r="I54" i="8" s="1"/>
  <c r="J55" i="8"/>
  <c r="J54" i="8" s="1"/>
  <c r="K55" i="8"/>
  <c r="K54" i="8" s="1"/>
  <c r="N55" i="8"/>
  <c r="N54" i="8" s="1"/>
  <c r="O55" i="8"/>
  <c r="O54" i="8" s="1"/>
  <c r="O53" i="8" s="1"/>
  <c r="P55" i="8"/>
  <c r="P54" i="8" s="1"/>
  <c r="Q55" i="8"/>
  <c r="Q54" i="8" s="1"/>
  <c r="Q53" i="8" s="1"/>
  <c r="R55" i="8"/>
  <c r="R54" i="8" s="1"/>
  <c r="S55" i="8"/>
  <c r="S54" i="8" s="1"/>
  <c r="T55" i="8"/>
  <c r="T54" i="8" s="1"/>
  <c r="U55" i="8"/>
  <c r="U54" i="8" s="1"/>
  <c r="U53" i="8" s="1"/>
  <c r="V55" i="8"/>
  <c r="V54" i="8" s="1"/>
  <c r="W55" i="8"/>
  <c r="W54" i="8" s="1"/>
  <c r="W53" i="8" s="1"/>
  <c r="X55" i="8"/>
  <c r="X54" i="8" s="1"/>
  <c r="D56" i="8"/>
  <c r="G57" i="8"/>
  <c r="G56" i="8" s="1"/>
  <c r="H57" i="8"/>
  <c r="H56" i="8" s="1"/>
  <c r="I57" i="8"/>
  <c r="I56" i="8" s="1"/>
  <c r="J57" i="8"/>
  <c r="K57" i="8"/>
  <c r="L57" i="8" s="1"/>
  <c r="L56" i="8" s="1"/>
  <c r="N57" i="8"/>
  <c r="O57" i="8"/>
  <c r="O56" i="8" s="1"/>
  <c r="P57" i="8"/>
  <c r="P56" i="8"/>
  <c r="Q57" i="8"/>
  <c r="Q56" i="8" s="1"/>
  <c r="R57" i="8"/>
  <c r="R56" i="8" s="1"/>
  <c r="S57" i="8"/>
  <c r="S56" i="8" s="1"/>
  <c r="T57" i="8"/>
  <c r="T56" i="8" s="1"/>
  <c r="U57" i="8"/>
  <c r="U56" i="8" s="1"/>
  <c r="V57" i="8"/>
  <c r="W57" i="8"/>
  <c r="W56" i="8" s="1"/>
  <c r="X57" i="8"/>
  <c r="X56" i="8" s="1"/>
  <c r="X53" i="8" s="1"/>
  <c r="G58" i="8"/>
  <c r="H58" i="8"/>
  <c r="I58" i="8"/>
  <c r="J58" i="8"/>
  <c r="K58" i="8"/>
  <c r="N58" i="8"/>
  <c r="O58" i="8"/>
  <c r="P58" i="8"/>
  <c r="Q58" i="8"/>
  <c r="R58" i="8"/>
  <c r="S58" i="8"/>
  <c r="T58" i="8"/>
  <c r="U58" i="8"/>
  <c r="V58" i="8"/>
  <c r="W58" i="8"/>
  <c r="X58" i="8"/>
  <c r="G59" i="8"/>
  <c r="H59" i="8"/>
  <c r="I59" i="8"/>
  <c r="J59" i="8"/>
  <c r="M59" i="8" s="1"/>
  <c r="K59" i="8"/>
  <c r="N59" i="8"/>
  <c r="O59" i="8"/>
  <c r="P59" i="8"/>
  <c r="Q59" i="8"/>
  <c r="R59" i="8"/>
  <c r="S59" i="8"/>
  <c r="T59" i="8"/>
  <c r="U59" i="8"/>
  <c r="V59" i="8"/>
  <c r="W59" i="8"/>
  <c r="X59" i="8"/>
  <c r="C60" i="8"/>
  <c r="G62" i="8"/>
  <c r="G61" i="8" s="1"/>
  <c r="H62" i="8"/>
  <c r="H61" i="8" s="1"/>
  <c r="I62" i="8"/>
  <c r="J62" i="8"/>
  <c r="K62" i="8"/>
  <c r="N62" i="8"/>
  <c r="O62" i="8"/>
  <c r="P62" i="8"/>
  <c r="Q62" i="8"/>
  <c r="R62" i="8"/>
  <c r="S62" i="8"/>
  <c r="T62" i="8"/>
  <c r="U62" i="8"/>
  <c r="V62" i="8"/>
  <c r="W62" i="8"/>
  <c r="X62" i="8"/>
  <c r="G63" i="8"/>
  <c r="H63" i="8"/>
  <c r="I63" i="8"/>
  <c r="J63" i="8"/>
  <c r="K63" i="8"/>
  <c r="N63" i="8"/>
  <c r="O63" i="8"/>
  <c r="P63" i="8"/>
  <c r="Q63" i="8"/>
  <c r="R63" i="8"/>
  <c r="S63" i="8"/>
  <c r="T63" i="8"/>
  <c r="U63" i="8"/>
  <c r="V63" i="8"/>
  <c r="W63" i="8"/>
  <c r="X63" i="8"/>
  <c r="D64" i="8"/>
  <c r="G65" i="8"/>
  <c r="H65" i="8"/>
  <c r="I65" i="8"/>
  <c r="J65" i="8"/>
  <c r="K65" i="8"/>
  <c r="N65" i="8"/>
  <c r="O65" i="8"/>
  <c r="P65" i="8"/>
  <c r="Q65" i="8"/>
  <c r="R65" i="8"/>
  <c r="S65" i="8"/>
  <c r="T65" i="8"/>
  <c r="U65" i="8"/>
  <c r="V65" i="8"/>
  <c r="W65" i="8"/>
  <c r="X65" i="8"/>
  <c r="G66" i="8"/>
  <c r="G64" i="8" s="1"/>
  <c r="H66" i="8"/>
  <c r="I66" i="8"/>
  <c r="J66" i="8"/>
  <c r="K66" i="8"/>
  <c r="N66" i="8"/>
  <c r="O66" i="8"/>
  <c r="P66" i="8"/>
  <c r="P64" i="8" s="1"/>
  <c r="Q66" i="8"/>
  <c r="R66" i="8"/>
  <c r="S66" i="8"/>
  <c r="T66" i="8"/>
  <c r="U66" i="8"/>
  <c r="U64" i="8" s="1"/>
  <c r="V66" i="8"/>
  <c r="W66" i="8"/>
  <c r="X66" i="8"/>
  <c r="C67" i="8"/>
  <c r="D68" i="8"/>
  <c r="G69" i="8"/>
  <c r="G68" i="8" s="1"/>
  <c r="G67" i="8" s="1"/>
  <c r="H69" i="8"/>
  <c r="H68" i="8" s="1"/>
  <c r="H67" i="8" s="1"/>
  <c r="I69" i="8"/>
  <c r="I68" i="8" s="1"/>
  <c r="I67" i="8" s="1"/>
  <c r="J69" i="8"/>
  <c r="K69" i="8"/>
  <c r="N69" i="8"/>
  <c r="O69" i="8"/>
  <c r="O68" i="8" s="1"/>
  <c r="O67" i="8" s="1"/>
  <c r="P69" i="8"/>
  <c r="P68" i="8" s="1"/>
  <c r="P67" i="8" s="1"/>
  <c r="Q69" i="8"/>
  <c r="Q68" i="8" s="1"/>
  <c r="Q67" i="8"/>
  <c r="R69" i="8"/>
  <c r="R68" i="8" s="1"/>
  <c r="R67" i="8" s="1"/>
  <c r="S69" i="8"/>
  <c r="S68" i="8" s="1"/>
  <c r="S67" i="8" s="1"/>
  <c r="T69" i="8"/>
  <c r="T68" i="8"/>
  <c r="T67" i="8" s="1"/>
  <c r="U69" i="8"/>
  <c r="U68" i="8" s="1"/>
  <c r="U67" i="8" s="1"/>
  <c r="V69" i="8"/>
  <c r="W69" i="8"/>
  <c r="W68" i="8" s="1"/>
  <c r="W67" i="8" s="1"/>
  <c r="X69" i="8"/>
  <c r="X68" i="8" s="1"/>
  <c r="X67" i="8" s="1"/>
  <c r="G70" i="8"/>
  <c r="H70" i="8"/>
  <c r="I70" i="8"/>
  <c r="J70" i="8"/>
  <c r="M70" i="8" s="1"/>
  <c r="K70" i="8"/>
  <c r="N70" i="8"/>
  <c r="O70" i="8"/>
  <c r="P70" i="8"/>
  <c r="Q70" i="8"/>
  <c r="R70" i="8"/>
  <c r="S70" i="8"/>
  <c r="T70" i="8"/>
  <c r="U70" i="8"/>
  <c r="V70" i="8"/>
  <c r="W70" i="8"/>
  <c r="X70" i="8"/>
  <c r="C71" i="8"/>
  <c r="D72" i="8"/>
  <c r="G73" i="8"/>
  <c r="G72" i="8" s="1"/>
  <c r="G71" i="8" s="1"/>
  <c r="H73" i="8"/>
  <c r="H72" i="8" s="1"/>
  <c r="H71" i="8" s="1"/>
  <c r="I73" i="8"/>
  <c r="I72" i="8" s="1"/>
  <c r="I71" i="8" s="1"/>
  <c r="J73" i="8"/>
  <c r="K73" i="8"/>
  <c r="N73" i="8"/>
  <c r="O73" i="8"/>
  <c r="O72" i="8" s="1"/>
  <c r="O71" i="8"/>
  <c r="P73" i="8"/>
  <c r="P72" i="8" s="1"/>
  <c r="P71" i="8" s="1"/>
  <c r="Q73" i="8"/>
  <c r="Q72" i="8" s="1"/>
  <c r="Q71" i="8" s="1"/>
  <c r="R73" i="8"/>
  <c r="R72" i="8"/>
  <c r="R71" i="8" s="1"/>
  <c r="S73" i="8"/>
  <c r="S72" i="8" s="1"/>
  <c r="S71" i="8" s="1"/>
  <c r="T73" i="8"/>
  <c r="T72" i="8" s="1"/>
  <c r="T71" i="8" s="1"/>
  <c r="U73" i="8"/>
  <c r="U72" i="8" s="1"/>
  <c r="U71" i="8" s="1"/>
  <c r="V73" i="8"/>
  <c r="V72" i="8" s="1"/>
  <c r="V71" i="8" s="1"/>
  <c r="W73" i="8"/>
  <c r="W72" i="8"/>
  <c r="W71" i="8" s="1"/>
  <c r="X73" i="8"/>
  <c r="X72" i="8" s="1"/>
  <c r="X71" i="8" s="1"/>
  <c r="G74" i="8"/>
  <c r="H74" i="8"/>
  <c r="I74" i="8"/>
  <c r="J74" i="8"/>
  <c r="K74" i="8"/>
  <c r="N74" i="8"/>
  <c r="O74" i="8"/>
  <c r="P74" i="8"/>
  <c r="Q74" i="8"/>
  <c r="R74" i="8"/>
  <c r="S74" i="8"/>
  <c r="T74" i="8"/>
  <c r="U74" i="8"/>
  <c r="V74" i="8"/>
  <c r="W74" i="8"/>
  <c r="X74" i="8"/>
  <c r="C75" i="8"/>
  <c r="D76" i="8"/>
  <c r="G77" i="8"/>
  <c r="G76" i="8" s="1"/>
  <c r="G75" i="8" s="1"/>
  <c r="H77" i="8"/>
  <c r="H76" i="8" s="1"/>
  <c r="I77" i="8"/>
  <c r="I76" i="8" s="1"/>
  <c r="J77" i="8"/>
  <c r="K77" i="8"/>
  <c r="N77" i="8"/>
  <c r="N76" i="8" s="1"/>
  <c r="O77" i="8"/>
  <c r="O76" i="8" s="1"/>
  <c r="P77" i="8"/>
  <c r="P76" i="8" s="1"/>
  <c r="Q77" i="8"/>
  <c r="Q76" i="8" s="1"/>
  <c r="R77" i="8"/>
  <c r="R76" i="8" s="1"/>
  <c r="S77" i="8"/>
  <c r="S76" i="8" s="1"/>
  <c r="T77" i="8"/>
  <c r="T76" i="8" s="1"/>
  <c r="U77" i="8"/>
  <c r="U76" i="8" s="1"/>
  <c r="V77" i="8"/>
  <c r="V76" i="8" s="1"/>
  <c r="W77" i="8"/>
  <c r="W76" i="8" s="1"/>
  <c r="X77" i="8"/>
  <c r="X76" i="8" s="1"/>
  <c r="D78" i="8"/>
  <c r="G79" i="8"/>
  <c r="G78" i="8" s="1"/>
  <c r="H79" i="8"/>
  <c r="H78" i="8" s="1"/>
  <c r="I79" i="8"/>
  <c r="I78" i="8" s="1"/>
  <c r="J79" i="8"/>
  <c r="K79" i="8"/>
  <c r="K78" i="8"/>
  <c r="N79" i="8"/>
  <c r="O79" i="8"/>
  <c r="O78" i="8" s="1"/>
  <c r="P79" i="8"/>
  <c r="P78" i="8" s="1"/>
  <c r="Q79" i="8"/>
  <c r="Q78" i="8" s="1"/>
  <c r="Q75" i="8" s="1"/>
  <c r="R79" i="8"/>
  <c r="R78" i="8" s="1"/>
  <c r="S79" i="8"/>
  <c r="S78" i="8"/>
  <c r="T79" i="8"/>
  <c r="T78" i="8" s="1"/>
  <c r="T75" i="8" s="1"/>
  <c r="U79" i="8"/>
  <c r="U78" i="8" s="1"/>
  <c r="V79" i="8"/>
  <c r="W79" i="8"/>
  <c r="X79" i="8"/>
  <c r="G80" i="8"/>
  <c r="H80" i="8"/>
  <c r="I80" i="8"/>
  <c r="J80" i="8"/>
  <c r="L80" i="8" s="1"/>
  <c r="K80" i="8"/>
  <c r="N80" i="8"/>
  <c r="O80" i="8"/>
  <c r="P80" i="8"/>
  <c r="Q80" i="8"/>
  <c r="R80" i="8"/>
  <c r="S80" i="8"/>
  <c r="T80" i="8"/>
  <c r="U80" i="8"/>
  <c r="V80" i="8"/>
  <c r="W80" i="8"/>
  <c r="X80" i="8"/>
  <c r="D81" i="8"/>
  <c r="G82" i="8"/>
  <c r="G81" i="8" s="1"/>
  <c r="H82" i="8"/>
  <c r="H81" i="8"/>
  <c r="I82" i="8"/>
  <c r="I81" i="8" s="1"/>
  <c r="J82" i="8"/>
  <c r="K82" i="8"/>
  <c r="N82" i="8"/>
  <c r="N81" i="8" s="1"/>
  <c r="O82" i="8"/>
  <c r="O81" i="8" s="1"/>
  <c r="P82" i="8"/>
  <c r="P81" i="8" s="1"/>
  <c r="Q82" i="8"/>
  <c r="Q81" i="8" s="1"/>
  <c r="R82" i="8"/>
  <c r="R81" i="8" s="1"/>
  <c r="R75" i="8" s="1"/>
  <c r="S82" i="8"/>
  <c r="S81" i="8" s="1"/>
  <c r="T82" i="8"/>
  <c r="T81" i="8" s="1"/>
  <c r="U82" i="8"/>
  <c r="U81" i="8"/>
  <c r="V82" i="8"/>
  <c r="V81" i="8" s="1"/>
  <c r="W82" i="8"/>
  <c r="W81" i="8" s="1"/>
  <c r="X82" i="8"/>
  <c r="X81" i="8" s="1"/>
  <c r="B84" i="8"/>
  <c r="G87" i="8"/>
  <c r="G86" i="8" s="1"/>
  <c r="H87" i="8"/>
  <c r="H86" i="8" s="1"/>
  <c r="I87" i="8"/>
  <c r="I86" i="8" s="1"/>
  <c r="J87" i="8"/>
  <c r="K87" i="8"/>
  <c r="N87" i="8"/>
  <c r="N86" i="8" s="1"/>
  <c r="O87" i="8"/>
  <c r="O86" i="8" s="1"/>
  <c r="P87" i="8"/>
  <c r="P86" i="8" s="1"/>
  <c r="Q87" i="8"/>
  <c r="Q86" i="8" s="1"/>
  <c r="R87" i="8"/>
  <c r="R86" i="8"/>
  <c r="S87" i="8"/>
  <c r="S86" i="8" s="1"/>
  <c r="T87" i="8"/>
  <c r="T86" i="8" s="1"/>
  <c r="U87" i="8"/>
  <c r="U86" i="8" s="1"/>
  <c r="V87" i="8"/>
  <c r="V86" i="8"/>
  <c r="W87" i="8"/>
  <c r="W86" i="8" s="1"/>
  <c r="X87" i="8"/>
  <c r="X86" i="8" s="1"/>
  <c r="G89" i="8"/>
  <c r="H89" i="8"/>
  <c r="I89" i="8"/>
  <c r="J89" i="8"/>
  <c r="L89" i="8" s="1"/>
  <c r="K89" i="8"/>
  <c r="N89" i="8"/>
  <c r="O89" i="8"/>
  <c r="P89" i="8"/>
  <c r="Q89" i="8"/>
  <c r="R89" i="8"/>
  <c r="S89" i="8"/>
  <c r="T89" i="8"/>
  <c r="U89" i="8"/>
  <c r="V89" i="8"/>
  <c r="W89" i="8"/>
  <c r="X89" i="8"/>
  <c r="G90" i="8"/>
  <c r="H90" i="8"/>
  <c r="I90" i="8"/>
  <c r="J90" i="8"/>
  <c r="L90" i="8" s="1"/>
  <c r="K90" i="8"/>
  <c r="N90" i="8"/>
  <c r="O90" i="8"/>
  <c r="P90" i="8"/>
  <c r="R90" i="8"/>
  <c r="S90" i="8"/>
  <c r="T90" i="8"/>
  <c r="U90" i="8"/>
  <c r="V90" i="8"/>
  <c r="W90" i="8"/>
  <c r="X90" i="8"/>
  <c r="C91" i="8"/>
  <c r="D92" i="8"/>
  <c r="G93" i="8"/>
  <c r="G92" i="8" s="1"/>
  <c r="H93" i="8"/>
  <c r="H92" i="8" s="1"/>
  <c r="I93" i="8"/>
  <c r="I92" i="8"/>
  <c r="J93" i="8"/>
  <c r="M93" i="8" s="1"/>
  <c r="M92" i="8" s="1"/>
  <c r="K93" i="8"/>
  <c r="K92" i="8" s="1"/>
  <c r="N93" i="8"/>
  <c r="O93" i="8"/>
  <c r="O92" i="8" s="1"/>
  <c r="P93" i="8"/>
  <c r="P92" i="8" s="1"/>
  <c r="Q93" i="8"/>
  <c r="Q92" i="8" s="1"/>
  <c r="R93" i="8"/>
  <c r="R92" i="8" s="1"/>
  <c r="S93" i="8"/>
  <c r="S92" i="8" s="1"/>
  <c r="S91" i="8" s="1"/>
  <c r="T93" i="8"/>
  <c r="T92" i="8" s="1"/>
  <c r="U93" i="8"/>
  <c r="U92" i="8"/>
  <c r="V93" i="8"/>
  <c r="V92" i="8" s="1"/>
  <c r="W93" i="8"/>
  <c r="W92" i="8"/>
  <c r="X93" i="8"/>
  <c r="X92" i="8" s="1"/>
  <c r="X91" i="8" s="1"/>
  <c r="G94" i="8"/>
  <c r="H94" i="8"/>
  <c r="I94" i="8"/>
  <c r="J94" i="8"/>
  <c r="K94" i="8"/>
  <c r="N94" i="8"/>
  <c r="O94" i="8"/>
  <c r="P94" i="8"/>
  <c r="Q94" i="8"/>
  <c r="R94" i="8"/>
  <c r="S94" i="8"/>
  <c r="T94" i="8"/>
  <c r="U94" i="8"/>
  <c r="V94" i="8"/>
  <c r="W94" i="8"/>
  <c r="X94" i="8"/>
  <c r="G95" i="8"/>
  <c r="H95" i="8"/>
  <c r="I95" i="8"/>
  <c r="J95" i="8"/>
  <c r="K95" i="8"/>
  <c r="N95" i="8"/>
  <c r="O95" i="8"/>
  <c r="P95" i="8"/>
  <c r="Q95" i="8"/>
  <c r="R95" i="8"/>
  <c r="S95" i="8"/>
  <c r="T95" i="8"/>
  <c r="U95" i="8"/>
  <c r="V95" i="8"/>
  <c r="W95" i="8"/>
  <c r="X95" i="8"/>
  <c r="D96" i="8"/>
  <c r="G97" i="8"/>
  <c r="G96" i="8"/>
  <c r="H97" i="8"/>
  <c r="H96" i="8" s="1"/>
  <c r="H91" i="8" s="1"/>
  <c r="I97" i="8"/>
  <c r="I96" i="8" s="1"/>
  <c r="J97" i="8"/>
  <c r="K97" i="8"/>
  <c r="N97" i="8"/>
  <c r="N96" i="8" s="1"/>
  <c r="O97" i="8"/>
  <c r="O96" i="8" s="1"/>
  <c r="P97" i="8"/>
  <c r="P96" i="8" s="1"/>
  <c r="Q97" i="8"/>
  <c r="Q96" i="8" s="1"/>
  <c r="R97" i="8"/>
  <c r="R96" i="8" s="1"/>
  <c r="R91" i="8" s="1"/>
  <c r="S97" i="8"/>
  <c r="S96" i="8" s="1"/>
  <c r="T97" i="8"/>
  <c r="T96" i="8" s="1"/>
  <c r="U97" i="8"/>
  <c r="U96" i="8" s="1"/>
  <c r="V97" i="8"/>
  <c r="V96" i="8" s="1"/>
  <c r="W97" i="8"/>
  <c r="W96" i="8" s="1"/>
  <c r="X97" i="8"/>
  <c r="X96" i="8"/>
  <c r="G98" i="8"/>
  <c r="H98" i="8"/>
  <c r="I98" i="8"/>
  <c r="J98" i="8"/>
  <c r="L98" i="8" s="1"/>
  <c r="K98" i="8"/>
  <c r="N98" i="8"/>
  <c r="O98" i="8"/>
  <c r="P98" i="8"/>
  <c r="Q98" i="8"/>
  <c r="R98" i="8"/>
  <c r="S98" i="8"/>
  <c r="T98" i="8"/>
  <c r="U98" i="8"/>
  <c r="V98" i="8"/>
  <c r="W98" i="8"/>
  <c r="X98" i="8"/>
  <c r="G99" i="8"/>
  <c r="H99" i="8"/>
  <c r="I99" i="8"/>
  <c r="J99" i="8"/>
  <c r="K99" i="8"/>
  <c r="N99" i="8"/>
  <c r="O99" i="8"/>
  <c r="P99" i="8"/>
  <c r="Q99" i="8"/>
  <c r="R99" i="8"/>
  <c r="S99" i="8"/>
  <c r="T99" i="8"/>
  <c r="U99" i="8"/>
  <c r="V99" i="8"/>
  <c r="W99" i="8"/>
  <c r="X99" i="8"/>
  <c r="G100" i="8"/>
  <c r="H100" i="8"/>
  <c r="I100" i="8"/>
  <c r="J100" i="8"/>
  <c r="K100" i="8"/>
  <c r="N100" i="8"/>
  <c r="O100" i="8"/>
  <c r="P100" i="8"/>
  <c r="Q100" i="8"/>
  <c r="R100" i="8"/>
  <c r="S100" i="8"/>
  <c r="T100" i="8"/>
  <c r="U100" i="8"/>
  <c r="V100" i="8"/>
  <c r="W100" i="8"/>
  <c r="X100" i="8"/>
  <c r="G101" i="8"/>
  <c r="H101" i="8"/>
  <c r="I101" i="8"/>
  <c r="J101" i="8"/>
  <c r="M101" i="8" s="1"/>
  <c r="K101" i="8"/>
  <c r="N101" i="8"/>
  <c r="O101" i="8"/>
  <c r="P101" i="8"/>
  <c r="Q101" i="8"/>
  <c r="R101" i="8"/>
  <c r="S101" i="8"/>
  <c r="T101" i="8"/>
  <c r="U101" i="8"/>
  <c r="V101" i="8"/>
  <c r="W101" i="8"/>
  <c r="X101" i="8"/>
  <c r="G102" i="8"/>
  <c r="H102" i="8"/>
  <c r="I102" i="8"/>
  <c r="J102" i="8"/>
  <c r="M102" i="8" s="1"/>
  <c r="K102" i="8"/>
  <c r="N102" i="8"/>
  <c r="O102" i="8"/>
  <c r="P102" i="8"/>
  <c r="Q102" i="8"/>
  <c r="R102" i="8"/>
  <c r="S102" i="8"/>
  <c r="T102" i="8"/>
  <c r="U102" i="8"/>
  <c r="V102" i="8"/>
  <c r="W102" i="8"/>
  <c r="X102" i="8"/>
  <c r="G103" i="8"/>
  <c r="H103" i="8"/>
  <c r="I103" i="8"/>
  <c r="J103" i="8"/>
  <c r="M103" i="8" s="1"/>
  <c r="K103" i="8"/>
  <c r="N103" i="8"/>
  <c r="O103" i="8"/>
  <c r="P103" i="8"/>
  <c r="Q103" i="8"/>
  <c r="R103" i="8"/>
  <c r="S103" i="8"/>
  <c r="T103" i="8"/>
  <c r="U103" i="8"/>
  <c r="V103" i="8"/>
  <c r="W103" i="8"/>
  <c r="X103" i="8"/>
  <c r="D104" i="8"/>
  <c r="G105" i="8"/>
  <c r="G104" i="8" s="1"/>
  <c r="H105" i="8"/>
  <c r="H104" i="8" s="1"/>
  <c r="I105" i="8"/>
  <c r="I104" i="8" s="1"/>
  <c r="J105" i="8"/>
  <c r="J104" i="8" s="1"/>
  <c r="K105" i="8"/>
  <c r="N105" i="8"/>
  <c r="O105" i="8"/>
  <c r="O104" i="8" s="1"/>
  <c r="P105" i="8"/>
  <c r="P104" i="8" s="1"/>
  <c r="Q105" i="8"/>
  <c r="Q104" i="8" s="1"/>
  <c r="R105" i="8"/>
  <c r="R104" i="8" s="1"/>
  <c r="S105" i="8"/>
  <c r="S104" i="8" s="1"/>
  <c r="T105" i="8"/>
  <c r="T104" i="8" s="1"/>
  <c r="U105" i="8"/>
  <c r="U104" i="8" s="1"/>
  <c r="V105" i="8"/>
  <c r="V104" i="8" s="1"/>
  <c r="W105" i="8"/>
  <c r="W104" i="8" s="1"/>
  <c r="X105" i="8"/>
  <c r="X104" i="8" s="1"/>
  <c r="D106" i="8"/>
  <c r="G107" i="8"/>
  <c r="G106" i="8" s="1"/>
  <c r="H107" i="8"/>
  <c r="H106" i="8" s="1"/>
  <c r="I107" i="8"/>
  <c r="I106" i="8" s="1"/>
  <c r="O107" i="8"/>
  <c r="O106" i="8" s="1"/>
  <c r="P107" i="8"/>
  <c r="P106" i="8" s="1"/>
  <c r="Q107" i="8"/>
  <c r="Q106" i="8" s="1"/>
  <c r="R107" i="8"/>
  <c r="R106" i="8"/>
  <c r="S107" i="8"/>
  <c r="S106" i="8" s="1"/>
  <c r="T107" i="8"/>
  <c r="T106" i="8" s="1"/>
  <c r="U107" i="8"/>
  <c r="U106" i="8" s="1"/>
  <c r="V107" i="8"/>
  <c r="V106" i="8" s="1"/>
  <c r="W107" i="8"/>
  <c r="W106" i="8" s="1"/>
  <c r="X107" i="8"/>
  <c r="X106" i="8" s="1"/>
  <c r="D108" i="8"/>
  <c r="G109" i="8"/>
  <c r="G108" i="8" s="1"/>
  <c r="H109" i="8"/>
  <c r="H108" i="8" s="1"/>
  <c r="I109" i="8"/>
  <c r="I108" i="8"/>
  <c r="J109" i="8"/>
  <c r="J108" i="8" s="1"/>
  <c r="K109" i="8"/>
  <c r="K108" i="8" s="1"/>
  <c r="N109" i="8"/>
  <c r="O109" i="8"/>
  <c r="O108" i="8"/>
  <c r="P109" i="8"/>
  <c r="P108" i="8" s="1"/>
  <c r="R109" i="8"/>
  <c r="R108" i="8" s="1"/>
  <c r="S109" i="8"/>
  <c r="S108" i="8" s="1"/>
  <c r="T109" i="8"/>
  <c r="T108" i="8" s="1"/>
  <c r="U109" i="8"/>
  <c r="V109" i="8"/>
  <c r="V108" i="8" s="1"/>
  <c r="W109" i="8"/>
  <c r="W108" i="8" s="1"/>
  <c r="X109" i="8"/>
  <c r="X108" i="8" s="1"/>
  <c r="D110" i="8"/>
  <c r="G111" i="8"/>
  <c r="G110" i="8" s="1"/>
  <c r="H111" i="8"/>
  <c r="H110" i="8"/>
  <c r="I111" i="8"/>
  <c r="I110" i="8" s="1"/>
  <c r="J111" i="8"/>
  <c r="K111" i="8"/>
  <c r="N111" i="8"/>
  <c r="O111" i="8"/>
  <c r="O110" i="8" s="1"/>
  <c r="P111" i="8"/>
  <c r="P110" i="8" s="1"/>
  <c r="Q111" i="8"/>
  <c r="Q110" i="8" s="1"/>
  <c r="R111" i="8"/>
  <c r="R110" i="8" s="1"/>
  <c r="S111" i="8"/>
  <c r="S110" i="8" s="1"/>
  <c r="T111" i="8"/>
  <c r="T110" i="8" s="1"/>
  <c r="U111" i="8"/>
  <c r="U110" i="8" s="1"/>
  <c r="V111" i="8"/>
  <c r="V110" i="8" s="1"/>
  <c r="W111" i="8"/>
  <c r="W110" i="8" s="1"/>
  <c r="W91" i="8" s="1"/>
  <c r="X111" i="8"/>
  <c r="X110" i="8" s="1"/>
  <c r="G112" i="8"/>
  <c r="H112" i="8"/>
  <c r="I112" i="8"/>
  <c r="J112" i="8"/>
  <c r="K112" i="8"/>
  <c r="N112" i="8"/>
  <c r="O112" i="8"/>
  <c r="P112" i="8"/>
  <c r="Q112" i="8"/>
  <c r="R112" i="8"/>
  <c r="S112" i="8"/>
  <c r="T112" i="8"/>
  <c r="U112" i="8"/>
  <c r="V112" i="8"/>
  <c r="W112" i="8"/>
  <c r="X112" i="8"/>
  <c r="C113" i="8"/>
  <c r="D114" i="8"/>
  <c r="G115" i="8"/>
  <c r="G114" i="8" s="1"/>
  <c r="H115" i="8"/>
  <c r="H114" i="8" s="1"/>
  <c r="I115" i="8"/>
  <c r="I114" i="8" s="1"/>
  <c r="J115" i="8"/>
  <c r="K115" i="8"/>
  <c r="N115" i="8"/>
  <c r="O115" i="8"/>
  <c r="O114" i="8" s="1"/>
  <c r="P115" i="8"/>
  <c r="P114" i="8"/>
  <c r="P113" i="8" s="1"/>
  <c r="Q115" i="8"/>
  <c r="Q114" i="8" s="1"/>
  <c r="R115" i="8"/>
  <c r="R114" i="8"/>
  <c r="S115" i="8"/>
  <c r="S114" i="8" s="1"/>
  <c r="S113" i="8" s="1"/>
  <c r="T115" i="8"/>
  <c r="T114" i="8" s="1"/>
  <c r="U115" i="8"/>
  <c r="U114" i="8" s="1"/>
  <c r="V115" i="8"/>
  <c r="V114" i="8"/>
  <c r="W115" i="8"/>
  <c r="W114" i="8" s="1"/>
  <c r="X115" i="8"/>
  <c r="X114" i="8" s="1"/>
  <c r="X113" i="8" s="1"/>
  <c r="G117" i="8"/>
  <c r="G116" i="8" s="1"/>
  <c r="H117" i="8"/>
  <c r="H116" i="8"/>
  <c r="I117" i="8"/>
  <c r="I116" i="8" s="1"/>
  <c r="J117" i="8"/>
  <c r="J116" i="8" s="1"/>
  <c r="J113" i="8" s="1"/>
  <c r="K117" i="8"/>
  <c r="N117" i="8"/>
  <c r="N116" i="8" s="1"/>
  <c r="O117" i="8"/>
  <c r="O116" i="8" s="1"/>
  <c r="P117" i="8"/>
  <c r="P116" i="8" s="1"/>
  <c r="Q117" i="8"/>
  <c r="Q116" i="8" s="1"/>
  <c r="R117" i="8"/>
  <c r="R116" i="8"/>
  <c r="S117" i="8"/>
  <c r="S116" i="8" s="1"/>
  <c r="T117" i="8"/>
  <c r="T116" i="8" s="1"/>
  <c r="U117" i="8"/>
  <c r="U116" i="8" s="1"/>
  <c r="V117" i="8"/>
  <c r="V116" i="8" s="1"/>
  <c r="W117" i="8"/>
  <c r="W116" i="8" s="1"/>
  <c r="X117" i="8"/>
  <c r="X116" i="8" s="1"/>
  <c r="B119" i="8"/>
  <c r="C120" i="8"/>
  <c r="D121" i="8"/>
  <c r="G122" i="8"/>
  <c r="G121" i="8" s="1"/>
  <c r="H122" i="8"/>
  <c r="H121" i="8" s="1"/>
  <c r="H120" i="8" s="1"/>
  <c r="I122" i="8"/>
  <c r="I121" i="8" s="1"/>
  <c r="J122" i="8"/>
  <c r="J121" i="8" s="1"/>
  <c r="K122" i="8"/>
  <c r="K121" i="8" s="1"/>
  <c r="N122" i="8"/>
  <c r="O122" i="8"/>
  <c r="O121" i="8"/>
  <c r="P122" i="8"/>
  <c r="P121" i="8" s="1"/>
  <c r="P120" i="8" s="1"/>
  <c r="R122" i="8"/>
  <c r="R121" i="8" s="1"/>
  <c r="S122" i="8"/>
  <c r="S121" i="8" s="1"/>
  <c r="T122" i="8"/>
  <c r="T121" i="8" s="1"/>
  <c r="U122" i="8"/>
  <c r="V122" i="8"/>
  <c r="V121" i="8" s="1"/>
  <c r="W122" i="8"/>
  <c r="W121" i="8"/>
  <c r="W120" i="8" s="1"/>
  <c r="X122" i="8"/>
  <c r="X121" i="8" s="1"/>
  <c r="D123" i="8"/>
  <c r="U123" i="8"/>
  <c r="Q123" i="8" s="1"/>
  <c r="V123" i="8"/>
  <c r="W123" i="8"/>
  <c r="X123" i="8"/>
  <c r="G124" i="8"/>
  <c r="G123" i="8" s="1"/>
  <c r="G120" i="8" s="1"/>
  <c r="H124" i="8"/>
  <c r="I124" i="8"/>
  <c r="I123" i="8" s="1"/>
  <c r="J124" i="8"/>
  <c r="J123" i="8" s="1"/>
  <c r="M123" i="8" s="1"/>
  <c r="K124" i="8"/>
  <c r="K123" i="8" s="1"/>
  <c r="L123" i="8" s="1"/>
  <c r="N124" i="8"/>
  <c r="N123" i="8" s="1"/>
  <c r="O124" i="8"/>
  <c r="O123" i="8" s="1"/>
  <c r="P124" i="8"/>
  <c r="P123" i="8" s="1"/>
  <c r="R124" i="8"/>
  <c r="R123" i="8" s="1"/>
  <c r="S124" i="8"/>
  <c r="S123" i="8" s="1"/>
  <c r="T124" i="8"/>
  <c r="T123" i="8" s="1"/>
  <c r="U126" i="8"/>
  <c r="U125" i="8" s="1"/>
  <c r="V126" i="8"/>
  <c r="V125" i="8" s="1"/>
  <c r="W126" i="8"/>
  <c r="W125" i="8" s="1"/>
  <c r="X126" i="8"/>
  <c r="X125" i="8" s="1"/>
  <c r="G127" i="8"/>
  <c r="G126" i="8" s="1"/>
  <c r="G125" i="8"/>
  <c r="H127" i="8"/>
  <c r="H126" i="8" s="1"/>
  <c r="H125" i="8" s="1"/>
  <c r="I127" i="8"/>
  <c r="I126" i="8" s="1"/>
  <c r="I125" i="8" s="1"/>
  <c r="J127" i="8"/>
  <c r="K127" i="8"/>
  <c r="N127" i="8"/>
  <c r="N126" i="8" s="1"/>
  <c r="O127" i="8"/>
  <c r="Q127" i="8"/>
  <c r="P127" i="8"/>
  <c r="P126" i="8" s="1"/>
  <c r="P125" i="8" s="1"/>
  <c r="R127" i="8"/>
  <c r="R126" i="8" s="1"/>
  <c r="R125" i="8" s="1"/>
  <c r="S127" i="8"/>
  <c r="S126" i="8" s="1"/>
  <c r="S125" i="8" s="1"/>
  <c r="T127" i="8"/>
  <c r="T126" i="8" s="1"/>
  <c r="T125" i="8" s="1"/>
  <c r="C128" i="8"/>
  <c r="D129" i="8"/>
  <c r="G130" i="8"/>
  <c r="H130" i="8"/>
  <c r="I130" i="8"/>
  <c r="I129" i="8" s="1"/>
  <c r="I128" i="8" s="1"/>
  <c r="J130" i="8"/>
  <c r="K130" i="8"/>
  <c r="L130" i="8" s="1"/>
  <c r="N130" i="8"/>
  <c r="O130" i="8"/>
  <c r="P130" i="8"/>
  <c r="R130" i="8"/>
  <c r="S130" i="8"/>
  <c r="T130" i="8"/>
  <c r="U130" i="8"/>
  <c r="G131" i="8"/>
  <c r="H131" i="8"/>
  <c r="I131" i="8"/>
  <c r="J131" i="8"/>
  <c r="K131" i="8"/>
  <c r="L131" i="8" s="1"/>
  <c r="N131" i="8"/>
  <c r="O131" i="8"/>
  <c r="P131" i="8"/>
  <c r="R131" i="8"/>
  <c r="S131" i="8"/>
  <c r="T131" i="8"/>
  <c r="U131" i="8"/>
  <c r="V131" i="8"/>
  <c r="V129" i="8" s="1"/>
  <c r="V128" i="8" s="1"/>
  <c r="W131" i="8"/>
  <c r="W129" i="8" s="1"/>
  <c r="W128" i="8" s="1"/>
  <c r="X131" i="8"/>
  <c r="X129" i="8" s="1"/>
  <c r="X128" i="8" s="1"/>
  <c r="C135" i="8"/>
  <c r="D136" i="8"/>
  <c r="G137" i="8"/>
  <c r="G136" i="8" s="1"/>
  <c r="H137" i="8"/>
  <c r="H136" i="8" s="1"/>
  <c r="I137" i="8"/>
  <c r="I136" i="8"/>
  <c r="J137" i="8"/>
  <c r="J136" i="8" s="1"/>
  <c r="K137" i="8"/>
  <c r="N137" i="8"/>
  <c r="O137" i="8"/>
  <c r="O136" i="8" s="1"/>
  <c r="P137" i="8"/>
  <c r="P136" i="8" s="1"/>
  <c r="Q137" i="8"/>
  <c r="Q136" i="8" s="1"/>
  <c r="R137" i="8"/>
  <c r="R136" i="8" s="1"/>
  <c r="S137" i="8"/>
  <c r="S136" i="8" s="1"/>
  <c r="T137" i="8"/>
  <c r="T136" i="8" s="1"/>
  <c r="U137" i="8"/>
  <c r="U136" i="8" s="1"/>
  <c r="V137" i="8"/>
  <c r="V136" i="8"/>
  <c r="W137" i="8"/>
  <c r="W136" i="8" s="1"/>
  <c r="X137" i="8"/>
  <c r="X136" i="8" s="1"/>
  <c r="D138" i="8"/>
  <c r="G139" i="8"/>
  <c r="G138" i="8" s="1"/>
  <c r="G135" i="8" s="1"/>
  <c r="G134" i="8" s="1"/>
  <c r="H139" i="8"/>
  <c r="H138" i="8" s="1"/>
  <c r="I139" i="8"/>
  <c r="I138" i="8" s="1"/>
  <c r="J139" i="8"/>
  <c r="K139" i="8"/>
  <c r="N139" i="8"/>
  <c r="O139" i="8"/>
  <c r="O138" i="8" s="1"/>
  <c r="P139" i="8"/>
  <c r="P138" i="8" s="1"/>
  <c r="Q139" i="8"/>
  <c r="Q138" i="8" s="1"/>
  <c r="R139" i="8"/>
  <c r="R138" i="8" s="1"/>
  <c r="S139" i="8"/>
  <c r="S138" i="8" s="1"/>
  <c r="T139" i="8"/>
  <c r="T138" i="8" s="1"/>
  <c r="U139" i="8"/>
  <c r="U138" i="8" s="1"/>
  <c r="V139" i="8"/>
  <c r="W139" i="8"/>
  <c r="X139" i="8"/>
  <c r="G140" i="8"/>
  <c r="H140" i="8"/>
  <c r="I140" i="8"/>
  <c r="J140" i="8"/>
  <c r="K140" i="8"/>
  <c r="N140" i="8"/>
  <c r="M140" i="8" s="1"/>
  <c r="O140" i="8"/>
  <c r="P140" i="8"/>
  <c r="Q140" i="8"/>
  <c r="R140" i="8"/>
  <c r="S140" i="8"/>
  <c r="T140" i="8"/>
  <c r="U140" i="8"/>
  <c r="V140" i="8"/>
  <c r="W140" i="8"/>
  <c r="X140" i="8"/>
  <c r="D141" i="8"/>
  <c r="G142" i="8"/>
  <c r="G141" i="8" s="1"/>
  <c r="H142" i="8"/>
  <c r="H141" i="8" s="1"/>
  <c r="I142" i="8"/>
  <c r="I141" i="8" s="1"/>
  <c r="J142" i="8"/>
  <c r="K142" i="8"/>
  <c r="N142" i="8"/>
  <c r="O142" i="8"/>
  <c r="O141" i="8" s="1"/>
  <c r="P142" i="8"/>
  <c r="P141" i="8" s="1"/>
  <c r="Q142" i="8"/>
  <c r="Q141" i="8" s="1"/>
  <c r="R142" i="8"/>
  <c r="R141" i="8" s="1"/>
  <c r="S142" i="8"/>
  <c r="S141" i="8" s="1"/>
  <c r="T142" i="8"/>
  <c r="T141" i="8" s="1"/>
  <c r="U142" i="8"/>
  <c r="U141" i="8" s="1"/>
  <c r="V142" i="8"/>
  <c r="V141" i="8" s="1"/>
  <c r="W142" i="8"/>
  <c r="W141" i="8" s="1"/>
  <c r="X142" i="8"/>
  <c r="X141" i="8"/>
  <c r="B146" i="8"/>
  <c r="C147" i="8"/>
  <c r="D148" i="8"/>
  <c r="G149" i="8"/>
  <c r="G148" i="8" s="1"/>
  <c r="H149" i="8"/>
  <c r="H148" i="8" s="1"/>
  <c r="I149" i="8"/>
  <c r="I148" i="8" s="1"/>
  <c r="J149" i="8"/>
  <c r="J148" i="8" s="1"/>
  <c r="K149" i="8"/>
  <c r="K148" i="8" s="1"/>
  <c r="N149" i="8"/>
  <c r="O149" i="8"/>
  <c r="O148" i="8" s="1"/>
  <c r="P149" i="8"/>
  <c r="P148" i="8" s="1"/>
  <c r="Q149" i="8"/>
  <c r="Q148" i="8" s="1"/>
  <c r="R149" i="8"/>
  <c r="R148" i="8" s="1"/>
  <c r="S149" i="8"/>
  <c r="S148" i="8" s="1"/>
  <c r="T149" i="8"/>
  <c r="T148" i="8" s="1"/>
  <c r="T147" i="8" s="1"/>
  <c r="U149" i="8"/>
  <c r="U148" i="8" s="1"/>
  <c r="V149" i="8"/>
  <c r="W149" i="8"/>
  <c r="W148" i="8" s="1"/>
  <c r="X149" i="8"/>
  <c r="X148" i="8" s="1"/>
  <c r="G150" i="8"/>
  <c r="H150" i="8"/>
  <c r="I150" i="8"/>
  <c r="J150" i="8"/>
  <c r="K150" i="8"/>
  <c r="N150" i="8"/>
  <c r="O150" i="8"/>
  <c r="P150" i="8"/>
  <c r="Q150" i="8"/>
  <c r="R150" i="8"/>
  <c r="S150" i="8"/>
  <c r="T150" i="8"/>
  <c r="U150" i="8"/>
  <c r="V150" i="8"/>
  <c r="W150" i="8"/>
  <c r="X150" i="8"/>
  <c r="G151" i="8"/>
  <c r="H151" i="8"/>
  <c r="I151" i="8"/>
  <c r="J151" i="8"/>
  <c r="L151" i="8" s="1"/>
  <c r="K151" i="8"/>
  <c r="N151" i="8"/>
  <c r="O151" i="8"/>
  <c r="P151" i="8"/>
  <c r="Q151" i="8"/>
  <c r="R151" i="8"/>
  <c r="S151" i="8"/>
  <c r="T151" i="8"/>
  <c r="U151" i="8"/>
  <c r="V151" i="8"/>
  <c r="W151" i="8"/>
  <c r="X151" i="8"/>
  <c r="G152" i="8"/>
  <c r="H152" i="8"/>
  <c r="I152" i="8"/>
  <c r="J152" i="8"/>
  <c r="K152" i="8"/>
  <c r="N152" i="8"/>
  <c r="O152" i="8"/>
  <c r="P152" i="8"/>
  <c r="Q152" i="8"/>
  <c r="R152" i="8"/>
  <c r="S152" i="8"/>
  <c r="T152" i="8"/>
  <c r="U152" i="8"/>
  <c r="V152" i="8"/>
  <c r="W152" i="8"/>
  <c r="X152" i="8"/>
  <c r="D153" i="8"/>
  <c r="H153" i="8"/>
  <c r="G154" i="8"/>
  <c r="G153" i="8" s="1"/>
  <c r="H154" i="8"/>
  <c r="I154" i="8"/>
  <c r="I153" i="8" s="1"/>
  <c r="J154" i="8"/>
  <c r="J153" i="8" s="1"/>
  <c r="L153" i="8" s="1"/>
  <c r="K154" i="8"/>
  <c r="K153" i="8" s="1"/>
  <c r="N154" i="8"/>
  <c r="N153" i="8" s="1"/>
  <c r="O154" i="8"/>
  <c r="O153" i="8" s="1"/>
  <c r="O147" i="8" s="1"/>
  <c r="P154" i="8"/>
  <c r="P153" i="8"/>
  <c r="Q154" i="8"/>
  <c r="Q153" i="8" s="1"/>
  <c r="R154" i="8"/>
  <c r="R153" i="8"/>
  <c r="R147" i="8" s="1"/>
  <c r="S154" i="8"/>
  <c r="S153" i="8" s="1"/>
  <c r="S147" i="8" s="1"/>
  <c r="T154" i="8"/>
  <c r="T153" i="8"/>
  <c r="U154" i="8"/>
  <c r="U153" i="8" s="1"/>
  <c r="V154" i="8"/>
  <c r="V153" i="8"/>
  <c r="W154" i="8"/>
  <c r="W153" i="8" s="1"/>
  <c r="X154" i="8"/>
  <c r="X153" i="8"/>
  <c r="D155" i="8"/>
  <c r="H155" i="8"/>
  <c r="G156" i="8"/>
  <c r="G155" i="8"/>
  <c r="H156" i="8"/>
  <c r="I156" i="8"/>
  <c r="I155" i="8" s="1"/>
  <c r="J156" i="8"/>
  <c r="K156" i="8"/>
  <c r="L156" i="8" s="1"/>
  <c r="N156" i="8"/>
  <c r="N155" i="8" s="1"/>
  <c r="O156" i="8"/>
  <c r="O155" i="8" s="1"/>
  <c r="P156" i="8"/>
  <c r="P155" i="8"/>
  <c r="Q156" i="8"/>
  <c r="Q155" i="8" s="1"/>
  <c r="R156" i="8"/>
  <c r="R155" i="8" s="1"/>
  <c r="S156" i="8"/>
  <c r="S155" i="8" s="1"/>
  <c r="T156" i="8"/>
  <c r="T155" i="8" s="1"/>
  <c r="U156" i="8"/>
  <c r="U155" i="8" s="1"/>
  <c r="V156" i="8"/>
  <c r="W156" i="8"/>
  <c r="W155" i="8" s="1"/>
  <c r="X156" i="8"/>
  <c r="X155" i="8" s="1"/>
  <c r="G157" i="8"/>
  <c r="H157" i="8"/>
  <c r="I157" i="8"/>
  <c r="J157" i="8"/>
  <c r="K157" i="8"/>
  <c r="N157" i="8"/>
  <c r="O157" i="8"/>
  <c r="P157" i="8"/>
  <c r="Q157" i="8"/>
  <c r="R157" i="8"/>
  <c r="S157" i="8"/>
  <c r="T157" i="8"/>
  <c r="U157" i="8"/>
  <c r="V157" i="8"/>
  <c r="W157" i="8"/>
  <c r="X157" i="8"/>
  <c r="C158" i="8"/>
  <c r="D159" i="8"/>
  <c r="G160" i="8"/>
  <c r="G159" i="8" s="1"/>
  <c r="G158" i="8" s="1"/>
  <c r="H160" i="8"/>
  <c r="H159" i="8" s="1"/>
  <c r="I160" i="8"/>
  <c r="I159" i="8" s="1"/>
  <c r="J160" i="8"/>
  <c r="J159" i="8" s="1"/>
  <c r="K160" i="8"/>
  <c r="N160" i="8"/>
  <c r="O160" i="8"/>
  <c r="O159" i="8"/>
  <c r="P160" i="8"/>
  <c r="P159" i="8" s="1"/>
  <c r="P158" i="8" s="1"/>
  <c r="Q160" i="8"/>
  <c r="Q159" i="8" s="1"/>
  <c r="R160" i="8"/>
  <c r="R159" i="8" s="1"/>
  <c r="S160" i="8"/>
  <c r="S159" i="8"/>
  <c r="T160" i="8"/>
  <c r="T159" i="8" s="1"/>
  <c r="U160" i="8"/>
  <c r="U159" i="8" s="1"/>
  <c r="V160" i="8"/>
  <c r="V159" i="8" s="1"/>
  <c r="W160" i="8"/>
  <c r="W159" i="8" s="1"/>
  <c r="X160" i="8"/>
  <c r="X159" i="8" s="1"/>
  <c r="G161" i="8"/>
  <c r="H161" i="8"/>
  <c r="I161" i="8"/>
  <c r="J161" i="8"/>
  <c r="K161" i="8"/>
  <c r="N161" i="8"/>
  <c r="M161" i="8" s="1"/>
  <c r="O161" i="8"/>
  <c r="P161" i="8"/>
  <c r="Q161" i="8"/>
  <c r="R161" i="8"/>
  <c r="S161" i="8"/>
  <c r="T161" i="8"/>
  <c r="U161" i="8"/>
  <c r="V161" i="8"/>
  <c r="W161" i="8"/>
  <c r="X161" i="8"/>
  <c r="G162" i="8"/>
  <c r="H162" i="8"/>
  <c r="I162" i="8"/>
  <c r="J162" i="8"/>
  <c r="K162" i="8"/>
  <c r="N162" i="8"/>
  <c r="M162" i="8" s="1"/>
  <c r="O162" i="8"/>
  <c r="P162" i="8"/>
  <c r="Q162" i="8"/>
  <c r="R162" i="8"/>
  <c r="S162" i="8"/>
  <c r="T162" i="8"/>
  <c r="U162" i="8"/>
  <c r="V162" i="8"/>
  <c r="W162" i="8"/>
  <c r="X162" i="8"/>
  <c r="G163" i="8"/>
  <c r="H163" i="8"/>
  <c r="I163" i="8"/>
  <c r="J163" i="8"/>
  <c r="K163" i="8"/>
  <c r="N163" i="8"/>
  <c r="O163" i="8"/>
  <c r="P163" i="8"/>
  <c r="Q163" i="8"/>
  <c r="R163" i="8"/>
  <c r="S163" i="8"/>
  <c r="T163" i="8"/>
  <c r="U163" i="8"/>
  <c r="V163" i="8"/>
  <c r="W163" i="8"/>
  <c r="X163" i="8"/>
  <c r="D164" i="8"/>
  <c r="G165" i="8"/>
  <c r="G164" i="8" s="1"/>
  <c r="H165" i="8"/>
  <c r="H164" i="8"/>
  <c r="I165" i="8"/>
  <c r="I164" i="8" s="1"/>
  <c r="J165" i="8"/>
  <c r="K165" i="8"/>
  <c r="K164" i="8" s="1"/>
  <c r="N165" i="8"/>
  <c r="N164" i="8" s="1"/>
  <c r="O165" i="8"/>
  <c r="O164" i="8" s="1"/>
  <c r="P165" i="8"/>
  <c r="P164" i="8" s="1"/>
  <c r="Q165" i="8"/>
  <c r="Q164" i="8" s="1"/>
  <c r="R165" i="8"/>
  <c r="R164" i="8" s="1"/>
  <c r="S165" i="8"/>
  <c r="S164" i="8"/>
  <c r="T165" i="8"/>
  <c r="T164" i="8" s="1"/>
  <c r="U165" i="8"/>
  <c r="U164" i="8" s="1"/>
  <c r="V165" i="8"/>
  <c r="W165" i="8"/>
  <c r="W164" i="8" s="1"/>
  <c r="X165" i="8"/>
  <c r="X164" i="8" s="1"/>
  <c r="X158" i="8" s="1"/>
  <c r="G166" i="8"/>
  <c r="H166" i="8"/>
  <c r="I166" i="8"/>
  <c r="J166" i="8"/>
  <c r="K166" i="8"/>
  <c r="N166" i="8"/>
  <c r="O166" i="8"/>
  <c r="P166" i="8"/>
  <c r="Q166" i="8"/>
  <c r="R166" i="8"/>
  <c r="S166" i="8"/>
  <c r="T166" i="8"/>
  <c r="U166" i="8"/>
  <c r="V166" i="8"/>
  <c r="W166" i="8"/>
  <c r="X166" i="8"/>
  <c r="G167" i="8"/>
  <c r="H167" i="8"/>
  <c r="I167" i="8"/>
  <c r="J167" i="8"/>
  <c r="K167" i="8"/>
  <c r="N167" i="8"/>
  <c r="O167" i="8"/>
  <c r="P167" i="8"/>
  <c r="Q167" i="8"/>
  <c r="R167" i="8"/>
  <c r="S167" i="8"/>
  <c r="T167" i="8"/>
  <c r="U167" i="8"/>
  <c r="V167" i="8"/>
  <c r="W167" i="8"/>
  <c r="X167" i="8"/>
  <c r="G168" i="8"/>
  <c r="H168" i="8"/>
  <c r="I168" i="8"/>
  <c r="J168" i="8"/>
  <c r="K168" i="8"/>
  <c r="N168" i="8"/>
  <c r="O168" i="8"/>
  <c r="P168" i="8"/>
  <c r="Q168" i="8"/>
  <c r="R168" i="8"/>
  <c r="S168" i="8"/>
  <c r="T168" i="8"/>
  <c r="U168" i="8"/>
  <c r="V168" i="8"/>
  <c r="W168" i="8"/>
  <c r="X168" i="8"/>
  <c r="G169" i="8"/>
  <c r="H169" i="8"/>
  <c r="I169" i="8"/>
  <c r="J169" i="8"/>
  <c r="K169" i="8"/>
  <c r="N169" i="8"/>
  <c r="O169" i="8"/>
  <c r="P169" i="8"/>
  <c r="Q169" i="8"/>
  <c r="R169" i="8"/>
  <c r="S169" i="8"/>
  <c r="T169" i="8"/>
  <c r="U169" i="8"/>
  <c r="V169" i="8"/>
  <c r="W169" i="8"/>
  <c r="X169" i="8"/>
  <c r="G170" i="8"/>
  <c r="H170" i="8"/>
  <c r="I170" i="8"/>
  <c r="J170" i="8"/>
  <c r="K170" i="8"/>
  <c r="N170" i="8"/>
  <c r="O170" i="8"/>
  <c r="P170" i="8"/>
  <c r="Q170" i="8"/>
  <c r="R170" i="8"/>
  <c r="S170" i="8"/>
  <c r="T170" i="8"/>
  <c r="U170" i="8"/>
  <c r="V170" i="8"/>
  <c r="W170" i="8"/>
  <c r="X170" i="8"/>
  <c r="D171" i="8"/>
  <c r="G172" i="8"/>
  <c r="G171" i="8" s="1"/>
  <c r="H172" i="8"/>
  <c r="H171" i="8" s="1"/>
  <c r="I172" i="8"/>
  <c r="I171" i="8" s="1"/>
  <c r="J172" i="8"/>
  <c r="K172" i="8"/>
  <c r="K171" i="8" s="1"/>
  <c r="N172" i="8"/>
  <c r="O172" i="8"/>
  <c r="O171" i="8" s="1"/>
  <c r="P172" i="8"/>
  <c r="P171" i="8" s="1"/>
  <c r="Q172" i="8"/>
  <c r="Q171" i="8" s="1"/>
  <c r="R172" i="8"/>
  <c r="R171" i="8" s="1"/>
  <c r="S172" i="8"/>
  <c r="S171" i="8" s="1"/>
  <c r="T172" i="8"/>
  <c r="T171" i="8" s="1"/>
  <c r="U172" i="8"/>
  <c r="U171" i="8" s="1"/>
  <c r="V172" i="8"/>
  <c r="W172" i="8"/>
  <c r="W171" i="8" s="1"/>
  <c r="X172" i="8"/>
  <c r="X171" i="8" s="1"/>
  <c r="G173" i="8"/>
  <c r="H173" i="8"/>
  <c r="I173" i="8"/>
  <c r="J173" i="8"/>
  <c r="M173" i="8" s="1"/>
  <c r="K173" i="8"/>
  <c r="N173" i="8"/>
  <c r="O173" i="8"/>
  <c r="P173" i="8"/>
  <c r="Q173" i="8"/>
  <c r="R173" i="8"/>
  <c r="S173" i="8"/>
  <c r="T173" i="8"/>
  <c r="U173" i="8"/>
  <c r="V173" i="8"/>
  <c r="W173" i="8"/>
  <c r="X173" i="8"/>
  <c r="G174" i="8"/>
  <c r="H174" i="8"/>
  <c r="I174" i="8"/>
  <c r="J174" i="8"/>
  <c r="K174" i="8"/>
  <c r="N174" i="8"/>
  <c r="O174" i="8"/>
  <c r="P174" i="8"/>
  <c r="Q174" i="8"/>
  <c r="R174" i="8"/>
  <c r="S174" i="8"/>
  <c r="T174" i="8"/>
  <c r="U174" i="8"/>
  <c r="V174" i="8"/>
  <c r="W174" i="8"/>
  <c r="X174" i="8"/>
  <c r="G175" i="8"/>
  <c r="H175" i="8"/>
  <c r="I175" i="8"/>
  <c r="J175" i="8"/>
  <c r="K175" i="8"/>
  <c r="N175" i="8"/>
  <c r="O175" i="8"/>
  <c r="P175" i="8"/>
  <c r="Q175" i="8"/>
  <c r="R175" i="8"/>
  <c r="S175" i="8"/>
  <c r="T175" i="8"/>
  <c r="U175" i="8"/>
  <c r="V175" i="8"/>
  <c r="W175" i="8"/>
  <c r="X175" i="8"/>
  <c r="G176" i="8"/>
  <c r="H176" i="8"/>
  <c r="I176" i="8"/>
  <c r="J176" i="8"/>
  <c r="K176" i="8"/>
  <c r="N176" i="8"/>
  <c r="O176" i="8"/>
  <c r="P176" i="8"/>
  <c r="Q176" i="8"/>
  <c r="R176" i="8"/>
  <c r="S176" i="8"/>
  <c r="T176" i="8"/>
  <c r="U176" i="8"/>
  <c r="V176" i="8"/>
  <c r="W176" i="8"/>
  <c r="X176" i="8"/>
  <c r="G177" i="8"/>
  <c r="H177" i="8"/>
  <c r="I177" i="8"/>
  <c r="J177" i="8"/>
  <c r="K177" i="8"/>
  <c r="N177" i="8"/>
  <c r="O177" i="8"/>
  <c r="P177" i="8"/>
  <c r="Q177" i="8"/>
  <c r="R177" i="8"/>
  <c r="S177" i="8"/>
  <c r="T177" i="8"/>
  <c r="U177" i="8"/>
  <c r="V177" i="8"/>
  <c r="W177" i="8"/>
  <c r="X177" i="8"/>
  <c r="G178" i="8"/>
  <c r="H178" i="8"/>
  <c r="I178" i="8"/>
  <c r="J178" i="8"/>
  <c r="K178" i="8"/>
  <c r="N178" i="8"/>
  <c r="O178" i="8"/>
  <c r="P178" i="8"/>
  <c r="Q178" i="8"/>
  <c r="R178" i="8"/>
  <c r="S178" i="8"/>
  <c r="T178" i="8"/>
  <c r="U178" i="8"/>
  <c r="V178" i="8"/>
  <c r="W178" i="8"/>
  <c r="X178" i="8"/>
  <c r="G179" i="8"/>
  <c r="H179" i="8"/>
  <c r="I179" i="8"/>
  <c r="J179" i="8"/>
  <c r="K179" i="8"/>
  <c r="N179" i="8"/>
  <c r="O179" i="8"/>
  <c r="P179" i="8"/>
  <c r="Q179" i="8"/>
  <c r="R179" i="8"/>
  <c r="S179" i="8"/>
  <c r="T179" i="8"/>
  <c r="U179" i="8"/>
  <c r="V179" i="8"/>
  <c r="W179" i="8"/>
  <c r="X179" i="8"/>
  <c r="G180" i="8"/>
  <c r="H180" i="8"/>
  <c r="I180" i="8"/>
  <c r="J180" i="8"/>
  <c r="M180" i="8" s="1"/>
  <c r="K180" i="8"/>
  <c r="N180" i="8"/>
  <c r="O180" i="8"/>
  <c r="P180" i="8"/>
  <c r="Q180" i="8"/>
  <c r="R180" i="8"/>
  <c r="S180" i="8"/>
  <c r="T180" i="8"/>
  <c r="U180" i="8"/>
  <c r="V180" i="8"/>
  <c r="W180" i="8"/>
  <c r="X180" i="8"/>
  <c r="G182" i="8"/>
  <c r="G181" i="8" s="1"/>
  <c r="H182" i="8"/>
  <c r="H181" i="8" s="1"/>
  <c r="I182" i="8"/>
  <c r="I181" i="8" s="1"/>
  <c r="J182" i="8"/>
  <c r="K182" i="8"/>
  <c r="N182" i="8"/>
  <c r="N181" i="8" s="1"/>
  <c r="O182" i="8"/>
  <c r="O181" i="8" s="1"/>
  <c r="P182" i="8"/>
  <c r="P181" i="8"/>
  <c r="Q182" i="8"/>
  <c r="Q181" i="8" s="1"/>
  <c r="R182" i="8"/>
  <c r="R181" i="8" s="1"/>
  <c r="S182" i="8"/>
  <c r="S181" i="8" s="1"/>
  <c r="T182" i="8"/>
  <c r="T181" i="8" s="1"/>
  <c r="U182" i="8"/>
  <c r="U181" i="8" s="1"/>
  <c r="V182" i="8"/>
  <c r="V181" i="8" s="1"/>
  <c r="W182" i="8"/>
  <c r="W181" i="8" s="1"/>
  <c r="X182" i="8"/>
  <c r="X181" i="8"/>
  <c r="D183" i="8"/>
  <c r="G184" i="8"/>
  <c r="G183" i="8" s="1"/>
  <c r="H184" i="8"/>
  <c r="H183" i="8" s="1"/>
  <c r="I184" i="8"/>
  <c r="I183" i="8" s="1"/>
  <c r="J184" i="8"/>
  <c r="J183" i="8" s="1"/>
  <c r="K184" i="8"/>
  <c r="N184" i="8"/>
  <c r="O184" i="8"/>
  <c r="O183" i="8" s="1"/>
  <c r="P184" i="8"/>
  <c r="P183" i="8" s="1"/>
  <c r="Q184" i="8"/>
  <c r="Q183" i="8" s="1"/>
  <c r="R184" i="8"/>
  <c r="R183" i="8"/>
  <c r="S184" i="8"/>
  <c r="S183" i="8" s="1"/>
  <c r="T184" i="8"/>
  <c r="T183" i="8" s="1"/>
  <c r="U184" i="8"/>
  <c r="U183" i="8" s="1"/>
  <c r="V184" i="8"/>
  <c r="W184" i="8"/>
  <c r="W183" i="8" s="1"/>
  <c r="X184" i="8"/>
  <c r="X183" i="8" s="1"/>
  <c r="G185" i="8"/>
  <c r="H185" i="8"/>
  <c r="I185" i="8"/>
  <c r="J185" i="8"/>
  <c r="K185" i="8"/>
  <c r="L185" i="8" s="1"/>
  <c r="N185" i="8"/>
  <c r="O185" i="8"/>
  <c r="P185" i="8"/>
  <c r="Q185" i="8"/>
  <c r="R185" i="8"/>
  <c r="S185" i="8"/>
  <c r="T185" i="8"/>
  <c r="U185" i="8"/>
  <c r="V185" i="8"/>
  <c r="W185" i="8"/>
  <c r="X185" i="8"/>
  <c r="G186" i="8"/>
  <c r="H186" i="8"/>
  <c r="I186" i="8"/>
  <c r="J186" i="8"/>
  <c r="K186" i="8"/>
  <c r="L186" i="8" s="1"/>
  <c r="N186" i="8"/>
  <c r="M186" i="8" s="1"/>
  <c r="O186" i="8"/>
  <c r="P186" i="8"/>
  <c r="Q186" i="8"/>
  <c r="R186" i="8"/>
  <c r="S186" i="8"/>
  <c r="T186" i="8"/>
  <c r="U186" i="8"/>
  <c r="V186" i="8"/>
  <c r="W186" i="8"/>
  <c r="X186" i="8"/>
  <c r="G187" i="8"/>
  <c r="H187" i="8"/>
  <c r="I187" i="8"/>
  <c r="J187" i="8"/>
  <c r="K187" i="8"/>
  <c r="L187" i="8" s="1"/>
  <c r="N187" i="8"/>
  <c r="M187" i="8" s="1"/>
  <c r="O187" i="8"/>
  <c r="P187" i="8"/>
  <c r="Q187" i="8"/>
  <c r="R187" i="8"/>
  <c r="S187" i="8"/>
  <c r="T187" i="8"/>
  <c r="U187" i="8"/>
  <c r="V187" i="8"/>
  <c r="W187" i="8"/>
  <c r="X187" i="8"/>
  <c r="G188" i="8"/>
  <c r="H188" i="8"/>
  <c r="I188" i="8"/>
  <c r="J188" i="8"/>
  <c r="K188" i="8"/>
  <c r="L188" i="8" s="1"/>
  <c r="N188" i="8"/>
  <c r="M188" i="8" s="1"/>
  <c r="O188" i="8"/>
  <c r="P188" i="8"/>
  <c r="Q188" i="8"/>
  <c r="R188" i="8"/>
  <c r="S188" i="8"/>
  <c r="T188" i="8"/>
  <c r="U188" i="8"/>
  <c r="V188" i="8"/>
  <c r="W188" i="8"/>
  <c r="X188" i="8"/>
  <c r="G189" i="8"/>
  <c r="H189" i="8"/>
  <c r="I189" i="8"/>
  <c r="J189" i="8"/>
  <c r="K189" i="8"/>
  <c r="L189" i="8" s="1"/>
  <c r="N189" i="8"/>
  <c r="O189" i="8"/>
  <c r="P189" i="8"/>
  <c r="Q189" i="8"/>
  <c r="R189" i="8"/>
  <c r="S189" i="8"/>
  <c r="T189" i="8"/>
  <c r="U189" i="8"/>
  <c r="V189" i="8"/>
  <c r="W189" i="8"/>
  <c r="X189" i="8"/>
  <c r="C190" i="8"/>
  <c r="D191" i="8"/>
  <c r="G192" i="8"/>
  <c r="G191" i="8" s="1"/>
  <c r="H192" i="8"/>
  <c r="H191" i="8"/>
  <c r="I192" i="8"/>
  <c r="I191" i="8" s="1"/>
  <c r="I190" i="8" s="1"/>
  <c r="J192" i="8"/>
  <c r="J191" i="8" s="1"/>
  <c r="K192" i="8"/>
  <c r="K191" i="8" s="1"/>
  <c r="N192" i="8"/>
  <c r="O192" i="8"/>
  <c r="O191" i="8" s="1"/>
  <c r="P192" i="8"/>
  <c r="P191" i="8" s="1"/>
  <c r="Q192" i="8"/>
  <c r="Q191" i="8" s="1"/>
  <c r="R192" i="8"/>
  <c r="R191" i="8" s="1"/>
  <c r="S192" i="8"/>
  <c r="S191" i="8" s="1"/>
  <c r="T192" i="8"/>
  <c r="T191" i="8" s="1"/>
  <c r="U192" i="8"/>
  <c r="U191" i="8" s="1"/>
  <c r="V192" i="8"/>
  <c r="V191" i="8" s="1"/>
  <c r="W192" i="8"/>
  <c r="W191" i="8" s="1"/>
  <c r="X192" i="8"/>
  <c r="X191" i="8" s="1"/>
  <c r="D193" i="8"/>
  <c r="G194" i="8"/>
  <c r="G193" i="8"/>
  <c r="H194" i="8"/>
  <c r="H193" i="8" s="1"/>
  <c r="I194" i="8"/>
  <c r="I193" i="8" s="1"/>
  <c r="J194" i="8"/>
  <c r="K194" i="8"/>
  <c r="N194" i="8"/>
  <c r="O194" i="8"/>
  <c r="O193" i="8" s="1"/>
  <c r="P194" i="8"/>
  <c r="P193" i="8"/>
  <c r="P190" i="8" s="1"/>
  <c r="Q194" i="8"/>
  <c r="Q193" i="8" s="1"/>
  <c r="R194" i="8"/>
  <c r="R193" i="8"/>
  <c r="S194" i="8"/>
  <c r="S193" i="8" s="1"/>
  <c r="S190" i="8" s="1"/>
  <c r="T194" i="8"/>
  <c r="T193" i="8" s="1"/>
  <c r="T190" i="8" s="1"/>
  <c r="U194" i="8"/>
  <c r="U193" i="8" s="1"/>
  <c r="V194" i="8"/>
  <c r="W194" i="8"/>
  <c r="W193" i="8" s="1"/>
  <c r="W190" i="8" s="1"/>
  <c r="X194" i="8"/>
  <c r="X193" i="8" s="1"/>
  <c r="G195" i="8"/>
  <c r="H195" i="8"/>
  <c r="I195" i="8"/>
  <c r="J195" i="8"/>
  <c r="K195" i="8"/>
  <c r="N195" i="8"/>
  <c r="M195" i="8" s="1"/>
  <c r="O195" i="8"/>
  <c r="P195" i="8"/>
  <c r="Q195" i="8"/>
  <c r="R195" i="8"/>
  <c r="S195" i="8"/>
  <c r="T195" i="8"/>
  <c r="U195" i="8"/>
  <c r="V195" i="8"/>
  <c r="W195" i="8"/>
  <c r="X195" i="8"/>
  <c r="G196" i="8"/>
  <c r="H196" i="8"/>
  <c r="I196" i="8"/>
  <c r="J196" i="8"/>
  <c r="K196" i="8"/>
  <c r="N196" i="8"/>
  <c r="M196" i="8" s="1"/>
  <c r="O196" i="8"/>
  <c r="P196" i="8"/>
  <c r="Q196" i="8"/>
  <c r="R196" i="8"/>
  <c r="S196" i="8"/>
  <c r="T196" i="8"/>
  <c r="U196" i="8"/>
  <c r="V196" i="8"/>
  <c r="W196" i="8"/>
  <c r="X196" i="8"/>
  <c r="C197" i="8"/>
  <c r="G199" i="8"/>
  <c r="G198" i="8" s="1"/>
  <c r="H199" i="8"/>
  <c r="H198" i="8" s="1"/>
  <c r="I199" i="8"/>
  <c r="J199" i="8"/>
  <c r="K199" i="8"/>
  <c r="N199" i="8"/>
  <c r="O199" i="8"/>
  <c r="P199" i="8"/>
  <c r="Q199" i="8"/>
  <c r="R199" i="8"/>
  <c r="S199" i="8"/>
  <c r="T199" i="8"/>
  <c r="U199" i="8"/>
  <c r="V199" i="8"/>
  <c r="W199" i="8"/>
  <c r="X199" i="8"/>
  <c r="G200" i="8"/>
  <c r="H200" i="8"/>
  <c r="I200" i="8"/>
  <c r="J200" i="8"/>
  <c r="K200" i="8"/>
  <c r="N200" i="8"/>
  <c r="O200" i="8"/>
  <c r="P200" i="8"/>
  <c r="Q200" i="8"/>
  <c r="R200" i="8"/>
  <c r="S200" i="8"/>
  <c r="T200" i="8"/>
  <c r="U200" i="8"/>
  <c r="V200" i="8"/>
  <c r="W200" i="8"/>
  <c r="X200" i="8"/>
  <c r="D201" i="8"/>
  <c r="G202" i="8"/>
  <c r="H202" i="8"/>
  <c r="I202" i="8"/>
  <c r="J202" i="8"/>
  <c r="M202" i="8" s="1"/>
  <c r="K202" i="8"/>
  <c r="N202" i="8"/>
  <c r="O202" i="8"/>
  <c r="P202" i="8"/>
  <c r="Q202" i="8"/>
  <c r="R202" i="8"/>
  <c r="S202" i="8"/>
  <c r="T202" i="8"/>
  <c r="U202" i="8"/>
  <c r="V202" i="8"/>
  <c r="W202" i="8"/>
  <c r="X202" i="8"/>
  <c r="G203" i="8"/>
  <c r="G201" i="8" s="1"/>
  <c r="H203" i="8"/>
  <c r="I203" i="8"/>
  <c r="J203" i="8"/>
  <c r="M203" i="8" s="1"/>
  <c r="K203" i="8"/>
  <c r="N203" i="8"/>
  <c r="O203" i="8"/>
  <c r="P203" i="8"/>
  <c r="P201" i="8" s="1"/>
  <c r="Q203" i="8"/>
  <c r="R203" i="8"/>
  <c r="S203" i="8"/>
  <c r="S201" i="8" s="1"/>
  <c r="T203" i="8"/>
  <c r="U203" i="8"/>
  <c r="V203" i="8"/>
  <c r="W203" i="8"/>
  <c r="X203" i="8"/>
  <c r="X201" i="8" s="1"/>
  <c r="C204" i="8"/>
  <c r="D205" i="8"/>
  <c r="G206" i="8"/>
  <c r="G205" i="8" s="1"/>
  <c r="G204" i="8" s="1"/>
  <c r="H206" i="8"/>
  <c r="H205" i="8" s="1"/>
  <c r="H204" i="8" s="1"/>
  <c r="I206" i="8"/>
  <c r="I205" i="8" s="1"/>
  <c r="I204" i="8" s="1"/>
  <c r="J206" i="8"/>
  <c r="M206" i="8" s="1"/>
  <c r="M205" i="8" s="1"/>
  <c r="K206" i="8"/>
  <c r="N206" i="8"/>
  <c r="O206" i="8"/>
  <c r="O205" i="8" s="1"/>
  <c r="O204" i="8" s="1"/>
  <c r="P206" i="8"/>
  <c r="P205" i="8" s="1"/>
  <c r="P204" i="8" s="1"/>
  <c r="Q206" i="8"/>
  <c r="Q205" i="8" s="1"/>
  <c r="Q204" i="8"/>
  <c r="R206" i="8"/>
  <c r="R205" i="8" s="1"/>
  <c r="R204" i="8" s="1"/>
  <c r="S206" i="8"/>
  <c r="S205" i="8" s="1"/>
  <c r="S204" i="8" s="1"/>
  <c r="T206" i="8"/>
  <c r="T205" i="8" s="1"/>
  <c r="T204" i="8" s="1"/>
  <c r="U206" i="8"/>
  <c r="U205" i="8" s="1"/>
  <c r="U204" i="8" s="1"/>
  <c r="V206" i="8"/>
  <c r="W206" i="8"/>
  <c r="W205" i="8"/>
  <c r="W204" i="8" s="1"/>
  <c r="X206" i="8"/>
  <c r="X205" i="8" s="1"/>
  <c r="X204" i="8" s="1"/>
  <c r="G207" i="8"/>
  <c r="H207" i="8"/>
  <c r="I207" i="8"/>
  <c r="J207" i="8"/>
  <c r="K207" i="8"/>
  <c r="N207" i="8"/>
  <c r="O207" i="8"/>
  <c r="P207" i="8"/>
  <c r="Q207" i="8"/>
  <c r="R207" i="8"/>
  <c r="S207" i="8"/>
  <c r="T207" i="8"/>
  <c r="U207" i="8"/>
  <c r="V207" i="8"/>
  <c r="W207" i="8"/>
  <c r="X207" i="8"/>
  <c r="C208" i="8"/>
  <c r="D209" i="8"/>
  <c r="G210" i="8"/>
  <c r="G209" i="8" s="1"/>
  <c r="G208" i="8" s="1"/>
  <c r="H210" i="8"/>
  <c r="H209" i="8" s="1"/>
  <c r="H208" i="8" s="1"/>
  <c r="I210" i="8"/>
  <c r="I209" i="8" s="1"/>
  <c r="I208" i="8" s="1"/>
  <c r="J210" i="8"/>
  <c r="L210" i="8" s="1"/>
  <c r="L209" i="8" s="1"/>
  <c r="K210" i="8"/>
  <c r="N210" i="8"/>
  <c r="O210" i="8"/>
  <c r="O209" i="8" s="1"/>
  <c r="O208" i="8" s="1"/>
  <c r="P210" i="8"/>
  <c r="P209" i="8" s="1"/>
  <c r="P208" i="8" s="1"/>
  <c r="Q210" i="8"/>
  <c r="Q209" i="8" s="1"/>
  <c r="Q208" i="8" s="1"/>
  <c r="R210" i="8"/>
  <c r="R209" i="8" s="1"/>
  <c r="R208" i="8" s="1"/>
  <c r="S210" i="8"/>
  <c r="S209" i="8"/>
  <c r="S208" i="8" s="1"/>
  <c r="T210" i="8"/>
  <c r="T209" i="8" s="1"/>
  <c r="T208" i="8" s="1"/>
  <c r="U210" i="8"/>
  <c r="U209" i="8" s="1"/>
  <c r="U208" i="8" s="1"/>
  <c r="V210" i="8"/>
  <c r="W210" i="8"/>
  <c r="W209" i="8" s="1"/>
  <c r="W208" i="8" s="1"/>
  <c r="X210" i="8"/>
  <c r="X209" i="8" s="1"/>
  <c r="X208" i="8" s="1"/>
  <c r="G211" i="8"/>
  <c r="H211" i="8"/>
  <c r="I211" i="8"/>
  <c r="J211" i="8"/>
  <c r="K211" i="8"/>
  <c r="N211" i="8"/>
  <c r="M211" i="8" s="1"/>
  <c r="O211" i="8"/>
  <c r="P211" i="8"/>
  <c r="Q211" i="8"/>
  <c r="R211" i="8"/>
  <c r="S211" i="8"/>
  <c r="T211" i="8"/>
  <c r="U211" i="8"/>
  <c r="V211" i="8"/>
  <c r="W211" i="8"/>
  <c r="X211" i="8"/>
  <c r="C212" i="8"/>
  <c r="D213" i="8"/>
  <c r="G214" i="8"/>
  <c r="G213" i="8" s="1"/>
  <c r="H214" i="8"/>
  <c r="H213" i="8"/>
  <c r="I214" i="8"/>
  <c r="I213" i="8" s="1"/>
  <c r="J214" i="8"/>
  <c r="J213" i="8" s="1"/>
  <c r="K214" i="8"/>
  <c r="K213" i="8" s="1"/>
  <c r="N214" i="8"/>
  <c r="O214" i="8"/>
  <c r="O213" i="8" s="1"/>
  <c r="P214" i="8"/>
  <c r="P213" i="8" s="1"/>
  <c r="Q214" i="8"/>
  <c r="Q213" i="8" s="1"/>
  <c r="R214" i="8"/>
  <c r="R213" i="8" s="1"/>
  <c r="S214" i="8"/>
  <c r="S213" i="8" s="1"/>
  <c r="T214" i="8"/>
  <c r="T213" i="8" s="1"/>
  <c r="U214" i="8"/>
  <c r="U213" i="8" s="1"/>
  <c r="V214" i="8"/>
  <c r="V213" i="8" s="1"/>
  <c r="W214" i="8"/>
  <c r="W213" i="8" s="1"/>
  <c r="X214" i="8"/>
  <c r="X213" i="8" s="1"/>
  <c r="D215" i="8"/>
  <c r="G216" i="8"/>
  <c r="G215" i="8" s="1"/>
  <c r="H216" i="8"/>
  <c r="H215" i="8" s="1"/>
  <c r="I216" i="8"/>
  <c r="I215" i="8" s="1"/>
  <c r="J216" i="8"/>
  <c r="J215" i="8"/>
  <c r="K216" i="8"/>
  <c r="N216" i="8"/>
  <c r="N215" i="8" s="1"/>
  <c r="O216" i="8"/>
  <c r="O215" i="8" s="1"/>
  <c r="P216" i="8"/>
  <c r="P215" i="8" s="1"/>
  <c r="Q216" i="8"/>
  <c r="Q215" i="8" s="1"/>
  <c r="R216" i="8"/>
  <c r="R215" i="8" s="1"/>
  <c r="S216" i="8"/>
  <c r="S215" i="8"/>
  <c r="T216" i="8"/>
  <c r="T215" i="8" s="1"/>
  <c r="U216" i="8"/>
  <c r="U215" i="8" s="1"/>
  <c r="V216" i="8"/>
  <c r="W216" i="8"/>
  <c r="X216" i="8"/>
  <c r="G217" i="8"/>
  <c r="H217" i="8"/>
  <c r="I217" i="8"/>
  <c r="J217" i="8"/>
  <c r="K217" i="8"/>
  <c r="N217" i="8"/>
  <c r="M217" i="8" s="1"/>
  <c r="O217" i="8"/>
  <c r="P217" i="8"/>
  <c r="Q217" i="8"/>
  <c r="R217" i="8"/>
  <c r="S217" i="8"/>
  <c r="T217" i="8"/>
  <c r="U217" i="8"/>
  <c r="V217" i="8"/>
  <c r="W217" i="8"/>
  <c r="X217" i="8"/>
  <c r="D218" i="8"/>
  <c r="G219" i="8"/>
  <c r="G218" i="8" s="1"/>
  <c r="H219" i="8"/>
  <c r="H218" i="8" s="1"/>
  <c r="I219" i="8"/>
  <c r="I218" i="8" s="1"/>
  <c r="J219" i="8"/>
  <c r="K219" i="8"/>
  <c r="K218" i="8" s="1"/>
  <c r="N219" i="8"/>
  <c r="N218" i="8" s="1"/>
  <c r="O219" i="8"/>
  <c r="O218" i="8" s="1"/>
  <c r="P219" i="8"/>
  <c r="P218" i="8" s="1"/>
  <c r="Q219" i="8"/>
  <c r="Q218" i="8" s="1"/>
  <c r="R219" i="8"/>
  <c r="R218" i="8" s="1"/>
  <c r="S219" i="8"/>
  <c r="S218" i="8" s="1"/>
  <c r="T219" i="8"/>
  <c r="T218" i="8" s="1"/>
  <c r="U219" i="8"/>
  <c r="U218" i="8" s="1"/>
  <c r="V219" i="8"/>
  <c r="V218" i="8" s="1"/>
  <c r="W219" i="8"/>
  <c r="W218" i="8" s="1"/>
  <c r="X219" i="8"/>
  <c r="X218" i="8" s="1"/>
  <c r="B221" i="8"/>
  <c r="G224" i="8"/>
  <c r="G223" i="8" s="1"/>
  <c r="H224" i="8"/>
  <c r="H223" i="8" s="1"/>
  <c r="I224" i="8"/>
  <c r="I223" i="8" s="1"/>
  <c r="J224" i="8"/>
  <c r="J223" i="8" s="1"/>
  <c r="K224" i="8"/>
  <c r="N224" i="8"/>
  <c r="O224" i="8"/>
  <c r="O223" i="8" s="1"/>
  <c r="P224" i="8"/>
  <c r="P223" i="8" s="1"/>
  <c r="Q224" i="8"/>
  <c r="Q223" i="8" s="1"/>
  <c r="R224" i="8"/>
  <c r="R223" i="8" s="1"/>
  <c r="S224" i="8"/>
  <c r="S223" i="8" s="1"/>
  <c r="T224" i="8"/>
  <c r="T223" i="8" s="1"/>
  <c r="U224" i="8"/>
  <c r="U223" i="8" s="1"/>
  <c r="V224" i="8"/>
  <c r="V223" i="8" s="1"/>
  <c r="W224" i="8"/>
  <c r="W223" i="8" s="1"/>
  <c r="X224" i="8"/>
  <c r="X223" i="8" s="1"/>
  <c r="G226" i="8"/>
  <c r="H226" i="8"/>
  <c r="I226" i="8"/>
  <c r="J226" i="8"/>
  <c r="K226" i="8"/>
  <c r="N226" i="8"/>
  <c r="O226" i="8"/>
  <c r="P226" i="8"/>
  <c r="Q226" i="8"/>
  <c r="R226" i="8"/>
  <c r="S226" i="8"/>
  <c r="T226" i="8"/>
  <c r="T225" i="8" s="1"/>
  <c r="T222" i="8" s="1"/>
  <c r="U226" i="8"/>
  <c r="V226" i="8"/>
  <c r="W226" i="8"/>
  <c r="X226" i="8"/>
  <c r="G227" i="8"/>
  <c r="H227" i="8"/>
  <c r="I227" i="8"/>
  <c r="J227" i="8"/>
  <c r="M227" i="8" s="1"/>
  <c r="K227" i="8"/>
  <c r="N227" i="8"/>
  <c r="O227" i="8"/>
  <c r="P227" i="8"/>
  <c r="R227" i="8"/>
  <c r="R225" i="8" s="1"/>
  <c r="S227" i="8"/>
  <c r="T227" i="8"/>
  <c r="U227" i="8"/>
  <c r="V227" i="8"/>
  <c r="V225" i="8" s="1"/>
  <c r="V222" i="8" s="1"/>
  <c r="W227" i="8"/>
  <c r="X227" i="8"/>
  <c r="C228" i="8"/>
  <c r="D229" i="8"/>
  <c r="G230" i="8"/>
  <c r="G229" i="8" s="1"/>
  <c r="H230" i="8"/>
  <c r="H229" i="8"/>
  <c r="I230" i="8"/>
  <c r="I229" i="8" s="1"/>
  <c r="J230" i="8"/>
  <c r="J229" i="8" s="1"/>
  <c r="K230" i="8"/>
  <c r="N230" i="8"/>
  <c r="M230" i="8" s="1"/>
  <c r="O230" i="8"/>
  <c r="O229" i="8" s="1"/>
  <c r="P230" i="8"/>
  <c r="P229" i="8" s="1"/>
  <c r="Q230" i="8"/>
  <c r="Q229" i="8" s="1"/>
  <c r="R230" i="8"/>
  <c r="R229" i="8" s="1"/>
  <c r="S230" i="8"/>
  <c r="S229" i="8" s="1"/>
  <c r="T230" i="8"/>
  <c r="T229" i="8" s="1"/>
  <c r="U230" i="8"/>
  <c r="U229" i="8" s="1"/>
  <c r="V230" i="8"/>
  <c r="W230" i="8"/>
  <c r="W229" i="8" s="1"/>
  <c r="X230" i="8"/>
  <c r="X229" i="8" s="1"/>
  <c r="G231" i="8"/>
  <c r="H231" i="8"/>
  <c r="I231" i="8"/>
  <c r="J231" i="8"/>
  <c r="K231" i="8"/>
  <c r="L231" i="8" s="1"/>
  <c r="N231" i="8"/>
  <c r="O231" i="8"/>
  <c r="P231" i="8"/>
  <c r="Q231" i="8"/>
  <c r="R231" i="8"/>
  <c r="S231" i="8"/>
  <c r="T231" i="8"/>
  <c r="U231" i="8"/>
  <c r="V231" i="8"/>
  <c r="W231" i="8"/>
  <c r="X231" i="8"/>
  <c r="G232" i="8"/>
  <c r="H232" i="8"/>
  <c r="I232" i="8"/>
  <c r="J232" i="8"/>
  <c r="K232" i="8"/>
  <c r="N232" i="8"/>
  <c r="O232" i="8"/>
  <c r="P232" i="8"/>
  <c r="Q232" i="8"/>
  <c r="R232" i="8"/>
  <c r="S232" i="8"/>
  <c r="T232" i="8"/>
  <c r="U232" i="8"/>
  <c r="V232" i="8"/>
  <c r="W232" i="8"/>
  <c r="X232" i="8"/>
  <c r="D233" i="8"/>
  <c r="G234" i="8"/>
  <c r="G233" i="8" s="1"/>
  <c r="H234" i="8"/>
  <c r="H233" i="8" s="1"/>
  <c r="I234" i="8"/>
  <c r="I233" i="8" s="1"/>
  <c r="J234" i="8"/>
  <c r="K234" i="8"/>
  <c r="N234" i="8"/>
  <c r="O234" i="8"/>
  <c r="O233" i="8" s="1"/>
  <c r="P234" i="8"/>
  <c r="P233" i="8" s="1"/>
  <c r="Q234" i="8"/>
  <c r="Q233" i="8" s="1"/>
  <c r="R234" i="8"/>
  <c r="R233" i="8" s="1"/>
  <c r="S234" i="8"/>
  <c r="S233" i="8" s="1"/>
  <c r="T234" i="8"/>
  <c r="T233" i="8" s="1"/>
  <c r="U234" i="8"/>
  <c r="U233" i="8" s="1"/>
  <c r="V234" i="8"/>
  <c r="V233" i="8" s="1"/>
  <c r="W234" i="8"/>
  <c r="W233" i="8" s="1"/>
  <c r="X234" i="8"/>
  <c r="X233" i="8"/>
  <c r="G235" i="8"/>
  <c r="H235" i="8"/>
  <c r="I235" i="8"/>
  <c r="J235" i="8"/>
  <c r="K235" i="8"/>
  <c r="N235" i="8"/>
  <c r="O235" i="8"/>
  <c r="P235" i="8"/>
  <c r="Q235" i="8"/>
  <c r="R235" i="8"/>
  <c r="S235" i="8"/>
  <c r="T235" i="8"/>
  <c r="U235" i="8"/>
  <c r="V235" i="8"/>
  <c r="W235" i="8"/>
  <c r="X235" i="8"/>
  <c r="G236" i="8"/>
  <c r="H236" i="8"/>
  <c r="I236" i="8"/>
  <c r="J236" i="8"/>
  <c r="K236" i="8"/>
  <c r="N236" i="8"/>
  <c r="O236" i="8"/>
  <c r="P236" i="8"/>
  <c r="Q236" i="8"/>
  <c r="R236" i="8"/>
  <c r="S236" i="8"/>
  <c r="T236" i="8"/>
  <c r="U236" i="8"/>
  <c r="V236" i="8"/>
  <c r="W236" i="8"/>
  <c r="X236" i="8"/>
  <c r="G237" i="8"/>
  <c r="H237" i="8"/>
  <c r="I237" i="8"/>
  <c r="J237" i="8"/>
  <c r="K237" i="8"/>
  <c r="N237" i="8"/>
  <c r="O237" i="8"/>
  <c r="P237" i="8"/>
  <c r="Q237" i="8"/>
  <c r="R237" i="8"/>
  <c r="S237" i="8"/>
  <c r="T237" i="8"/>
  <c r="U237" i="8"/>
  <c r="V237" i="8"/>
  <c r="W237" i="8"/>
  <c r="X237" i="8"/>
  <c r="G238" i="8"/>
  <c r="H238" i="8"/>
  <c r="I238" i="8"/>
  <c r="J238" i="8"/>
  <c r="K238" i="8"/>
  <c r="N238" i="8"/>
  <c r="O238" i="8"/>
  <c r="P238" i="8"/>
  <c r="Q238" i="8"/>
  <c r="R238" i="8"/>
  <c r="S238" i="8"/>
  <c r="T238" i="8"/>
  <c r="U238" i="8"/>
  <c r="V238" i="8"/>
  <c r="W238" i="8"/>
  <c r="X238" i="8"/>
  <c r="G239" i="8"/>
  <c r="H239" i="8"/>
  <c r="I239" i="8"/>
  <c r="J239" i="8"/>
  <c r="K239" i="8"/>
  <c r="N239" i="8"/>
  <c r="M239" i="8" s="1"/>
  <c r="O239" i="8"/>
  <c r="P239" i="8"/>
  <c r="Q239" i="8"/>
  <c r="R239" i="8"/>
  <c r="S239" i="8"/>
  <c r="T239" i="8"/>
  <c r="U239" i="8"/>
  <c r="V239" i="8"/>
  <c r="W239" i="8"/>
  <c r="X239" i="8"/>
  <c r="G240" i="8"/>
  <c r="H240" i="8"/>
  <c r="I240" i="8"/>
  <c r="J240" i="8"/>
  <c r="K240" i="8"/>
  <c r="N240" i="8"/>
  <c r="O240" i="8"/>
  <c r="P240" i="8"/>
  <c r="Q240" i="8"/>
  <c r="R240" i="8"/>
  <c r="S240" i="8"/>
  <c r="T240" i="8"/>
  <c r="U240" i="8"/>
  <c r="V240" i="8"/>
  <c r="W240" i="8"/>
  <c r="X240" i="8"/>
  <c r="D241" i="8"/>
  <c r="G242" i="8"/>
  <c r="G241" i="8" s="1"/>
  <c r="H242" i="8"/>
  <c r="H241" i="8" s="1"/>
  <c r="I242" i="8"/>
  <c r="I241" i="8" s="1"/>
  <c r="J242" i="8"/>
  <c r="J241" i="8"/>
  <c r="K242" i="8"/>
  <c r="K241" i="8" s="1"/>
  <c r="N242" i="8"/>
  <c r="N241" i="8" s="1"/>
  <c r="O242" i="8"/>
  <c r="O241" i="8" s="1"/>
  <c r="P242" i="8"/>
  <c r="P241" i="8" s="1"/>
  <c r="P228" i="8" s="1"/>
  <c r="Q242" i="8"/>
  <c r="Q241" i="8" s="1"/>
  <c r="R242" i="8"/>
  <c r="R241" i="8" s="1"/>
  <c r="S242" i="8"/>
  <c r="S241" i="8" s="1"/>
  <c r="T242" i="8"/>
  <c r="T241" i="8" s="1"/>
  <c r="U242" i="8"/>
  <c r="U241" i="8" s="1"/>
  <c r="V242" i="8"/>
  <c r="V241" i="8" s="1"/>
  <c r="W242" i="8"/>
  <c r="W241" i="8" s="1"/>
  <c r="X242" i="8"/>
  <c r="X241" i="8" s="1"/>
  <c r="D243" i="8"/>
  <c r="G244" i="8"/>
  <c r="G243" i="8" s="1"/>
  <c r="H244" i="8"/>
  <c r="H243" i="8" s="1"/>
  <c r="I244" i="8"/>
  <c r="I243" i="8" s="1"/>
  <c r="O244" i="8"/>
  <c r="O243" i="8" s="1"/>
  <c r="P244" i="8"/>
  <c r="P243" i="8" s="1"/>
  <c r="Q244" i="8"/>
  <c r="Q243" i="8" s="1"/>
  <c r="R244" i="8"/>
  <c r="R243" i="8" s="1"/>
  <c r="S244" i="8"/>
  <c r="S243" i="8" s="1"/>
  <c r="T244" i="8"/>
  <c r="T243" i="8" s="1"/>
  <c r="U244" i="8"/>
  <c r="U243" i="8" s="1"/>
  <c r="V244" i="8"/>
  <c r="V243" i="8" s="1"/>
  <c r="W244" i="8"/>
  <c r="W243" i="8" s="1"/>
  <c r="X244" i="8"/>
  <c r="X243" i="8"/>
  <c r="D245" i="8"/>
  <c r="G246" i="8"/>
  <c r="G245" i="8" s="1"/>
  <c r="H246" i="8"/>
  <c r="H245" i="8"/>
  <c r="I246" i="8"/>
  <c r="I245" i="8" s="1"/>
  <c r="J246" i="8"/>
  <c r="J245" i="8" s="1"/>
  <c r="K246" i="8"/>
  <c r="K245" i="8" s="1"/>
  <c r="N246" i="8"/>
  <c r="O246" i="8"/>
  <c r="O245" i="8"/>
  <c r="P246" i="8"/>
  <c r="P245" i="8" s="1"/>
  <c r="R246" i="8"/>
  <c r="R245" i="8" s="1"/>
  <c r="S246" i="8"/>
  <c r="S245" i="8" s="1"/>
  <c r="T246" i="8"/>
  <c r="T245" i="8" s="1"/>
  <c r="U246" i="8"/>
  <c r="V246" i="8"/>
  <c r="V245" i="8" s="1"/>
  <c r="W246" i="8"/>
  <c r="W245" i="8" s="1"/>
  <c r="X246" i="8"/>
  <c r="X245" i="8" s="1"/>
  <c r="D247" i="8"/>
  <c r="G248" i="8"/>
  <c r="G247" i="8" s="1"/>
  <c r="H248" i="8"/>
  <c r="H247" i="8" s="1"/>
  <c r="I248" i="8"/>
  <c r="I247" i="8" s="1"/>
  <c r="J248" i="8"/>
  <c r="K248" i="8"/>
  <c r="N248" i="8"/>
  <c r="N247" i="8" s="1"/>
  <c r="O248" i="8"/>
  <c r="O247" i="8" s="1"/>
  <c r="P248" i="8"/>
  <c r="P247" i="8" s="1"/>
  <c r="Q248" i="8"/>
  <c r="Q247" i="8"/>
  <c r="R248" i="8"/>
  <c r="R247" i="8" s="1"/>
  <c r="S248" i="8"/>
  <c r="S247" i="8" s="1"/>
  <c r="T248" i="8"/>
  <c r="T247" i="8" s="1"/>
  <c r="U248" i="8"/>
  <c r="U247" i="8" s="1"/>
  <c r="V248" i="8"/>
  <c r="W248" i="8"/>
  <c r="W247" i="8" s="1"/>
  <c r="X248" i="8"/>
  <c r="X247" i="8" s="1"/>
  <c r="G249" i="8"/>
  <c r="H249" i="8"/>
  <c r="I249" i="8"/>
  <c r="J249" i="8"/>
  <c r="K249" i="8"/>
  <c r="N249" i="8"/>
  <c r="O249" i="8"/>
  <c r="P249" i="8"/>
  <c r="Q249" i="8"/>
  <c r="R249" i="8"/>
  <c r="S249" i="8"/>
  <c r="T249" i="8"/>
  <c r="U249" i="8"/>
  <c r="V249" i="8"/>
  <c r="W249" i="8"/>
  <c r="X249" i="8"/>
  <c r="C250" i="8"/>
  <c r="D251" i="8"/>
  <c r="G252" i="8"/>
  <c r="G251" i="8" s="1"/>
  <c r="H252" i="8"/>
  <c r="H251" i="8" s="1"/>
  <c r="I252" i="8"/>
  <c r="I251" i="8" s="1"/>
  <c r="J252" i="8"/>
  <c r="K252" i="8"/>
  <c r="N252" i="8"/>
  <c r="N251" i="8" s="1"/>
  <c r="O252" i="8"/>
  <c r="O251" i="8" s="1"/>
  <c r="P252" i="8"/>
  <c r="P251" i="8" s="1"/>
  <c r="Q252" i="8"/>
  <c r="Q251" i="8" s="1"/>
  <c r="R252" i="8"/>
  <c r="R251" i="8" s="1"/>
  <c r="S252" i="8"/>
  <c r="S251" i="8" s="1"/>
  <c r="T252" i="8"/>
  <c r="T251" i="8" s="1"/>
  <c r="U252" i="8"/>
  <c r="U251" i="8" s="1"/>
  <c r="V252" i="8"/>
  <c r="V251" i="8" s="1"/>
  <c r="W252" i="8"/>
  <c r="W251" i="8" s="1"/>
  <c r="X252" i="8"/>
  <c r="X251" i="8" s="1"/>
  <c r="G254" i="8"/>
  <c r="G253" i="8" s="1"/>
  <c r="H254" i="8"/>
  <c r="H253" i="8" s="1"/>
  <c r="I254" i="8"/>
  <c r="I253" i="8" s="1"/>
  <c r="J254" i="8"/>
  <c r="K254" i="8"/>
  <c r="N254" i="8"/>
  <c r="N253" i="8"/>
  <c r="O254" i="8"/>
  <c r="O253" i="8" s="1"/>
  <c r="P254" i="8"/>
  <c r="P253" i="8"/>
  <c r="Q254" i="8"/>
  <c r="Q253" i="8" s="1"/>
  <c r="R254" i="8"/>
  <c r="R253" i="8"/>
  <c r="S254" i="8"/>
  <c r="S253" i="8" s="1"/>
  <c r="T254" i="8"/>
  <c r="T253" i="8"/>
  <c r="U254" i="8"/>
  <c r="U253" i="8" s="1"/>
  <c r="V254" i="8"/>
  <c r="V253" i="8"/>
  <c r="W254" i="8"/>
  <c r="W253" i="8" s="1"/>
  <c r="W250" i="8" s="1"/>
  <c r="X254" i="8"/>
  <c r="X253" i="8"/>
  <c r="B258" i="8"/>
  <c r="C259" i="8"/>
  <c r="D260" i="8"/>
  <c r="G261" i="8"/>
  <c r="G260" i="8" s="1"/>
  <c r="H261" i="8"/>
  <c r="H260" i="8" s="1"/>
  <c r="I261" i="8"/>
  <c r="I260" i="8" s="1"/>
  <c r="J261" i="8"/>
  <c r="K261" i="8"/>
  <c r="N261" i="8"/>
  <c r="O261" i="8"/>
  <c r="O260" i="8" s="1"/>
  <c r="P261" i="8"/>
  <c r="P260" i="8"/>
  <c r="Q261" i="8"/>
  <c r="Q260" i="8" s="1"/>
  <c r="R261" i="8"/>
  <c r="R260" i="8" s="1"/>
  <c r="R259" i="8" s="1"/>
  <c r="S261" i="8"/>
  <c r="S260" i="8" s="1"/>
  <c r="T261" i="8"/>
  <c r="T260" i="8"/>
  <c r="U261" i="8"/>
  <c r="U260" i="8" s="1"/>
  <c r="V261" i="8"/>
  <c r="V260" i="8" s="1"/>
  <c r="W261" i="8"/>
  <c r="W260" i="8" s="1"/>
  <c r="X261" i="8"/>
  <c r="X260" i="8" s="1"/>
  <c r="G262" i="8"/>
  <c r="H262" i="8"/>
  <c r="I262" i="8"/>
  <c r="J262" i="8"/>
  <c r="L262" i="8" s="1"/>
  <c r="K262" i="8"/>
  <c r="N262" i="8"/>
  <c r="O262" i="8"/>
  <c r="P262" i="8"/>
  <c r="Q262" i="8"/>
  <c r="R262" i="8"/>
  <c r="S262" i="8"/>
  <c r="T262" i="8"/>
  <c r="U262" i="8"/>
  <c r="V262" i="8"/>
  <c r="W262" i="8"/>
  <c r="X262" i="8"/>
  <c r="G263" i="8"/>
  <c r="H263" i="8"/>
  <c r="I263" i="8"/>
  <c r="J263" i="8"/>
  <c r="K263" i="8"/>
  <c r="N263" i="8"/>
  <c r="O263" i="8"/>
  <c r="P263" i="8"/>
  <c r="Q263" i="8"/>
  <c r="R263" i="8"/>
  <c r="S263" i="8"/>
  <c r="T263" i="8"/>
  <c r="U263" i="8"/>
  <c r="V263" i="8"/>
  <c r="W263" i="8"/>
  <c r="X263" i="8"/>
  <c r="G264" i="8"/>
  <c r="H264" i="8"/>
  <c r="I264" i="8"/>
  <c r="J264" i="8"/>
  <c r="L264" i="8" s="1"/>
  <c r="K264" i="8"/>
  <c r="N264" i="8"/>
  <c r="O264" i="8"/>
  <c r="P264" i="8"/>
  <c r="Q264" i="8"/>
  <c r="R264" i="8"/>
  <c r="S264" i="8"/>
  <c r="T264" i="8"/>
  <c r="U264" i="8"/>
  <c r="V264" i="8"/>
  <c r="W264" i="8"/>
  <c r="X264" i="8"/>
  <c r="D265" i="8"/>
  <c r="H265" i="8"/>
  <c r="G266" i="8"/>
  <c r="G265" i="8" s="1"/>
  <c r="H266" i="8"/>
  <c r="I266" i="8"/>
  <c r="I265" i="8"/>
  <c r="J266" i="8"/>
  <c r="J265" i="8" s="1"/>
  <c r="K266" i="8"/>
  <c r="K265" i="8" s="1"/>
  <c r="L265" i="8" s="1"/>
  <c r="N266" i="8"/>
  <c r="N265" i="8"/>
  <c r="O266" i="8"/>
  <c r="O265" i="8"/>
  <c r="P266" i="8"/>
  <c r="P265" i="8"/>
  <c r="Q266" i="8"/>
  <c r="Q265" i="8" s="1"/>
  <c r="R266" i="8"/>
  <c r="R265" i="8" s="1"/>
  <c r="S266" i="8"/>
  <c r="S265" i="8" s="1"/>
  <c r="T266" i="8"/>
  <c r="T265" i="8" s="1"/>
  <c r="U266" i="8"/>
  <c r="U265" i="8" s="1"/>
  <c r="V266" i="8"/>
  <c r="V265" i="8" s="1"/>
  <c r="W266" i="8"/>
  <c r="W265" i="8" s="1"/>
  <c r="X266" i="8"/>
  <c r="X265" i="8" s="1"/>
  <c r="D267" i="8"/>
  <c r="H267" i="8"/>
  <c r="G268" i="8"/>
  <c r="G267" i="8" s="1"/>
  <c r="H268" i="8"/>
  <c r="I268" i="8"/>
  <c r="I267" i="8" s="1"/>
  <c r="J268" i="8"/>
  <c r="K268" i="8"/>
  <c r="N268" i="8"/>
  <c r="O268" i="8"/>
  <c r="O267" i="8" s="1"/>
  <c r="P268" i="8"/>
  <c r="P267" i="8" s="1"/>
  <c r="Q268" i="8"/>
  <c r="Q267" i="8" s="1"/>
  <c r="Q259" i="8" s="1"/>
  <c r="R268" i="8"/>
  <c r="R267" i="8" s="1"/>
  <c r="S268" i="8"/>
  <c r="S267" i="8" s="1"/>
  <c r="T268" i="8"/>
  <c r="T267" i="8" s="1"/>
  <c r="U268" i="8"/>
  <c r="U267" i="8" s="1"/>
  <c r="U259" i="8" s="1"/>
  <c r="V268" i="8"/>
  <c r="W268" i="8"/>
  <c r="W267" i="8" s="1"/>
  <c r="X268" i="8"/>
  <c r="X267" i="8" s="1"/>
  <c r="G269" i="8"/>
  <c r="H269" i="8"/>
  <c r="I269" i="8"/>
  <c r="J269" i="8"/>
  <c r="L269" i="8" s="1"/>
  <c r="K269" i="8"/>
  <c r="N269" i="8"/>
  <c r="M269" i="8" s="1"/>
  <c r="O269" i="8"/>
  <c r="P269" i="8"/>
  <c r="Q269" i="8"/>
  <c r="R269" i="8"/>
  <c r="S269" i="8"/>
  <c r="T269" i="8"/>
  <c r="U269" i="8"/>
  <c r="V269" i="8"/>
  <c r="W269" i="8"/>
  <c r="X269" i="8"/>
  <c r="C270" i="8"/>
  <c r="D271" i="8"/>
  <c r="G272" i="8"/>
  <c r="G271" i="8" s="1"/>
  <c r="H272" i="8"/>
  <c r="H271" i="8" s="1"/>
  <c r="I272" i="8"/>
  <c r="I271" i="8" s="1"/>
  <c r="I270" i="8" s="1"/>
  <c r="J272" i="8"/>
  <c r="K272" i="8"/>
  <c r="N272" i="8"/>
  <c r="O272" i="8"/>
  <c r="O271" i="8" s="1"/>
  <c r="P272" i="8"/>
  <c r="P271" i="8" s="1"/>
  <c r="Q272" i="8"/>
  <c r="Q271" i="8" s="1"/>
  <c r="R272" i="8"/>
  <c r="R271" i="8" s="1"/>
  <c r="S272" i="8"/>
  <c r="S271" i="8" s="1"/>
  <c r="T272" i="8"/>
  <c r="T271" i="8"/>
  <c r="U272" i="8"/>
  <c r="U271" i="8" s="1"/>
  <c r="V272" i="8"/>
  <c r="W272" i="8"/>
  <c r="W271" i="8"/>
  <c r="X272" i="8"/>
  <c r="X271" i="8" s="1"/>
  <c r="G273" i="8"/>
  <c r="H273" i="8"/>
  <c r="I273" i="8"/>
  <c r="J273" i="8"/>
  <c r="K273" i="8"/>
  <c r="N273" i="8"/>
  <c r="O273" i="8"/>
  <c r="P273" i="8"/>
  <c r="Q273" i="8"/>
  <c r="R273" i="8"/>
  <c r="S273" i="8"/>
  <c r="T273" i="8"/>
  <c r="U273" i="8"/>
  <c r="V273" i="8"/>
  <c r="W273" i="8"/>
  <c r="X273" i="8"/>
  <c r="G274" i="8"/>
  <c r="H274" i="8"/>
  <c r="I274" i="8"/>
  <c r="J274" i="8"/>
  <c r="K274" i="8"/>
  <c r="N274" i="8"/>
  <c r="O274" i="8"/>
  <c r="P274" i="8"/>
  <c r="Q274" i="8"/>
  <c r="R274" i="8"/>
  <c r="S274" i="8"/>
  <c r="T274" i="8"/>
  <c r="U274" i="8"/>
  <c r="V274" i="8"/>
  <c r="W274" i="8"/>
  <c r="X274" i="8"/>
  <c r="G275" i="8"/>
  <c r="H275" i="8"/>
  <c r="I275" i="8"/>
  <c r="J275" i="8"/>
  <c r="K275" i="8"/>
  <c r="N275" i="8"/>
  <c r="O275" i="8"/>
  <c r="P275" i="8"/>
  <c r="Q275" i="8"/>
  <c r="R275" i="8"/>
  <c r="S275" i="8"/>
  <c r="T275" i="8"/>
  <c r="U275" i="8"/>
  <c r="V275" i="8"/>
  <c r="W275" i="8"/>
  <c r="X275" i="8"/>
  <c r="D276" i="8"/>
  <c r="G277" i="8"/>
  <c r="G276" i="8" s="1"/>
  <c r="H277" i="8"/>
  <c r="H276" i="8" s="1"/>
  <c r="I277" i="8"/>
  <c r="I276" i="8" s="1"/>
  <c r="J277" i="8"/>
  <c r="K277" i="8"/>
  <c r="L277" i="8" s="1"/>
  <c r="L276" i="8" s="1"/>
  <c r="N277" i="8"/>
  <c r="O277" i="8"/>
  <c r="O276" i="8" s="1"/>
  <c r="P277" i="8"/>
  <c r="P276" i="8" s="1"/>
  <c r="Q277" i="8"/>
  <c r="Q276" i="8" s="1"/>
  <c r="R277" i="8"/>
  <c r="R276" i="8" s="1"/>
  <c r="S277" i="8"/>
  <c r="S276" i="8" s="1"/>
  <c r="T277" i="8"/>
  <c r="T276" i="8" s="1"/>
  <c r="T270" i="8" s="1"/>
  <c r="U277" i="8"/>
  <c r="U276" i="8" s="1"/>
  <c r="V277" i="8"/>
  <c r="V276" i="8" s="1"/>
  <c r="W277" i="8"/>
  <c r="W276" i="8" s="1"/>
  <c r="X277" i="8"/>
  <c r="X276" i="8" s="1"/>
  <c r="G278" i="8"/>
  <c r="H278" i="8"/>
  <c r="I278" i="8"/>
  <c r="J278" i="8"/>
  <c r="K278" i="8"/>
  <c r="N278" i="8"/>
  <c r="O278" i="8"/>
  <c r="P278" i="8"/>
  <c r="Q278" i="8"/>
  <c r="R278" i="8"/>
  <c r="S278" i="8"/>
  <c r="T278" i="8"/>
  <c r="U278" i="8"/>
  <c r="V278" i="8"/>
  <c r="W278" i="8"/>
  <c r="X278" i="8"/>
  <c r="G279" i="8"/>
  <c r="H279" i="8"/>
  <c r="I279" i="8"/>
  <c r="J279" i="8"/>
  <c r="K279" i="8"/>
  <c r="N279" i="8"/>
  <c r="O279" i="8"/>
  <c r="P279" i="8"/>
  <c r="Q279" i="8"/>
  <c r="R279" i="8"/>
  <c r="S279" i="8"/>
  <c r="T279" i="8"/>
  <c r="U279" i="8"/>
  <c r="V279" i="8"/>
  <c r="W279" i="8"/>
  <c r="X279" i="8"/>
  <c r="G280" i="8"/>
  <c r="H280" i="8"/>
  <c r="I280" i="8"/>
  <c r="J280" i="8"/>
  <c r="L280" i="8" s="1"/>
  <c r="K280" i="8"/>
  <c r="N280" i="8"/>
  <c r="O280" i="8"/>
  <c r="P280" i="8"/>
  <c r="Q280" i="8"/>
  <c r="R280" i="8"/>
  <c r="S280" i="8"/>
  <c r="T280" i="8"/>
  <c r="U280" i="8"/>
  <c r="V280" i="8"/>
  <c r="W280" i="8"/>
  <c r="X280" i="8"/>
  <c r="G281" i="8"/>
  <c r="H281" i="8"/>
  <c r="I281" i="8"/>
  <c r="J281" i="8"/>
  <c r="K281" i="8"/>
  <c r="N281" i="8"/>
  <c r="O281" i="8"/>
  <c r="P281" i="8"/>
  <c r="Q281" i="8"/>
  <c r="R281" i="8"/>
  <c r="S281" i="8"/>
  <c r="T281" i="8"/>
  <c r="U281" i="8"/>
  <c r="V281" i="8"/>
  <c r="W281" i="8"/>
  <c r="X281" i="8"/>
  <c r="G282" i="8"/>
  <c r="H282" i="8"/>
  <c r="I282" i="8"/>
  <c r="J282" i="8"/>
  <c r="K282" i="8"/>
  <c r="N282" i="8"/>
  <c r="O282" i="8"/>
  <c r="P282" i="8"/>
  <c r="Q282" i="8"/>
  <c r="R282" i="8"/>
  <c r="S282" i="8"/>
  <c r="T282" i="8"/>
  <c r="U282" i="8"/>
  <c r="V282" i="8"/>
  <c r="W282" i="8"/>
  <c r="X282" i="8"/>
  <c r="D283" i="8"/>
  <c r="G284" i="8"/>
  <c r="G283" i="8" s="1"/>
  <c r="H284" i="8"/>
  <c r="H283" i="8"/>
  <c r="I284" i="8"/>
  <c r="I283" i="8" s="1"/>
  <c r="J284" i="8"/>
  <c r="K284" i="8"/>
  <c r="N284" i="8"/>
  <c r="O284" i="8"/>
  <c r="O283" i="8" s="1"/>
  <c r="P284" i="8"/>
  <c r="P283" i="8" s="1"/>
  <c r="Q284" i="8"/>
  <c r="Q283" i="8" s="1"/>
  <c r="R284" i="8"/>
  <c r="R283" i="8" s="1"/>
  <c r="S284" i="8"/>
  <c r="S283" i="8" s="1"/>
  <c r="T284" i="8"/>
  <c r="T283" i="8" s="1"/>
  <c r="U284" i="8"/>
  <c r="U283" i="8" s="1"/>
  <c r="V284" i="8"/>
  <c r="V283" i="8" s="1"/>
  <c r="W284" i="8"/>
  <c r="W283" i="8" s="1"/>
  <c r="X284" i="8"/>
  <c r="X283" i="8"/>
  <c r="G285" i="8"/>
  <c r="H285" i="8"/>
  <c r="I285" i="8"/>
  <c r="J285" i="8"/>
  <c r="K285" i="8"/>
  <c r="N285" i="8"/>
  <c r="O285" i="8"/>
  <c r="P285" i="8"/>
  <c r="Q285" i="8"/>
  <c r="R285" i="8"/>
  <c r="S285" i="8"/>
  <c r="T285" i="8"/>
  <c r="U285" i="8"/>
  <c r="V285" i="8"/>
  <c r="W285" i="8"/>
  <c r="X285" i="8"/>
  <c r="G286" i="8"/>
  <c r="H286" i="8"/>
  <c r="I286" i="8"/>
  <c r="J286" i="8"/>
  <c r="K286" i="8"/>
  <c r="N286" i="8"/>
  <c r="O286" i="8"/>
  <c r="P286" i="8"/>
  <c r="Q286" i="8"/>
  <c r="R286" i="8"/>
  <c r="S286" i="8"/>
  <c r="T286" i="8"/>
  <c r="U286" i="8"/>
  <c r="V286" i="8"/>
  <c r="W286" i="8"/>
  <c r="X286" i="8"/>
  <c r="G287" i="8"/>
  <c r="H287" i="8"/>
  <c r="I287" i="8"/>
  <c r="J287" i="8"/>
  <c r="K287" i="8"/>
  <c r="N287" i="8"/>
  <c r="O287" i="8"/>
  <c r="P287" i="8"/>
  <c r="Q287" i="8"/>
  <c r="R287" i="8"/>
  <c r="S287" i="8"/>
  <c r="T287" i="8"/>
  <c r="U287" i="8"/>
  <c r="V287" i="8"/>
  <c r="W287" i="8"/>
  <c r="X287" i="8"/>
  <c r="G288" i="8"/>
  <c r="H288" i="8"/>
  <c r="I288" i="8"/>
  <c r="J288" i="8"/>
  <c r="K288" i="8"/>
  <c r="N288" i="8"/>
  <c r="O288" i="8"/>
  <c r="P288" i="8"/>
  <c r="Q288" i="8"/>
  <c r="R288" i="8"/>
  <c r="S288" i="8"/>
  <c r="T288" i="8"/>
  <c r="U288" i="8"/>
  <c r="V288" i="8"/>
  <c r="W288" i="8"/>
  <c r="X288" i="8"/>
  <c r="G289" i="8"/>
  <c r="H289" i="8"/>
  <c r="I289" i="8"/>
  <c r="J289" i="8"/>
  <c r="K289" i="8"/>
  <c r="N289" i="8"/>
  <c r="O289" i="8"/>
  <c r="P289" i="8"/>
  <c r="Q289" i="8"/>
  <c r="R289" i="8"/>
  <c r="S289" i="8"/>
  <c r="T289" i="8"/>
  <c r="U289" i="8"/>
  <c r="V289" i="8"/>
  <c r="W289" i="8"/>
  <c r="X289" i="8"/>
  <c r="G290" i="8"/>
  <c r="H290" i="8"/>
  <c r="I290" i="8"/>
  <c r="J290" i="8"/>
  <c r="K290" i="8"/>
  <c r="N290" i="8"/>
  <c r="O290" i="8"/>
  <c r="P290" i="8"/>
  <c r="Q290" i="8"/>
  <c r="R290" i="8"/>
  <c r="S290" i="8"/>
  <c r="T290" i="8"/>
  <c r="U290" i="8"/>
  <c r="V290" i="8"/>
  <c r="W290" i="8"/>
  <c r="X290" i="8"/>
  <c r="G291" i="8"/>
  <c r="H291" i="8"/>
  <c r="I291" i="8"/>
  <c r="J291" i="8"/>
  <c r="K291" i="8"/>
  <c r="N291" i="8"/>
  <c r="O291" i="8"/>
  <c r="P291" i="8"/>
  <c r="Q291" i="8"/>
  <c r="R291" i="8"/>
  <c r="S291" i="8"/>
  <c r="T291" i="8"/>
  <c r="U291" i="8"/>
  <c r="V291" i="8"/>
  <c r="W291" i="8"/>
  <c r="X291" i="8"/>
  <c r="G292" i="8"/>
  <c r="H292" i="8"/>
  <c r="I292" i="8"/>
  <c r="J292" i="8"/>
  <c r="K292" i="8"/>
  <c r="N292" i="8"/>
  <c r="O292" i="8"/>
  <c r="P292" i="8"/>
  <c r="Q292" i="8"/>
  <c r="R292" i="8"/>
  <c r="S292" i="8"/>
  <c r="T292" i="8"/>
  <c r="U292" i="8"/>
  <c r="V292" i="8"/>
  <c r="W292" i="8"/>
  <c r="X292" i="8"/>
  <c r="G294" i="8"/>
  <c r="G293" i="8" s="1"/>
  <c r="H294" i="8"/>
  <c r="H293" i="8" s="1"/>
  <c r="I294" i="8"/>
  <c r="I293" i="8" s="1"/>
  <c r="J294" i="8"/>
  <c r="J293" i="8"/>
  <c r="L293" i="8" s="1"/>
  <c r="K294" i="8"/>
  <c r="K293" i="8" s="1"/>
  <c r="N294" i="8"/>
  <c r="N293" i="8" s="1"/>
  <c r="O294" i="8"/>
  <c r="O293" i="8" s="1"/>
  <c r="P294" i="8"/>
  <c r="P293" i="8" s="1"/>
  <c r="Q294" i="8"/>
  <c r="Q293" i="8" s="1"/>
  <c r="R294" i="8"/>
  <c r="R293" i="8" s="1"/>
  <c r="S294" i="8"/>
  <c r="S293" i="8" s="1"/>
  <c r="T294" i="8"/>
  <c r="T293" i="8" s="1"/>
  <c r="U294" i="8"/>
  <c r="U293" i="8" s="1"/>
  <c r="V294" i="8"/>
  <c r="V293" i="8" s="1"/>
  <c r="W294" i="8"/>
  <c r="W293" i="8" s="1"/>
  <c r="X294" i="8"/>
  <c r="X293" i="8" s="1"/>
  <c r="D295" i="8"/>
  <c r="G296" i="8"/>
  <c r="G295" i="8" s="1"/>
  <c r="H296" i="8"/>
  <c r="H295" i="8" s="1"/>
  <c r="I296" i="8"/>
  <c r="I295" i="8" s="1"/>
  <c r="J296" i="8"/>
  <c r="K296" i="8"/>
  <c r="N296" i="8"/>
  <c r="O296" i="8"/>
  <c r="O295" i="8" s="1"/>
  <c r="P296" i="8"/>
  <c r="P295" i="8" s="1"/>
  <c r="Q296" i="8"/>
  <c r="Q295" i="8" s="1"/>
  <c r="R296" i="8"/>
  <c r="R295" i="8" s="1"/>
  <c r="S296" i="8"/>
  <c r="S295" i="8" s="1"/>
  <c r="T296" i="8"/>
  <c r="T295" i="8"/>
  <c r="U296" i="8"/>
  <c r="U295" i="8" s="1"/>
  <c r="V296" i="8"/>
  <c r="W296" i="8"/>
  <c r="W295" i="8" s="1"/>
  <c r="X296" i="8"/>
  <c r="X295" i="8" s="1"/>
  <c r="G297" i="8"/>
  <c r="H297" i="8"/>
  <c r="I297" i="8"/>
  <c r="J297" i="8"/>
  <c r="K297" i="8"/>
  <c r="N297" i="8"/>
  <c r="O297" i="8"/>
  <c r="P297" i="8"/>
  <c r="Q297" i="8"/>
  <c r="R297" i="8"/>
  <c r="S297" i="8"/>
  <c r="T297" i="8"/>
  <c r="U297" i="8"/>
  <c r="V297" i="8"/>
  <c r="W297" i="8"/>
  <c r="X297" i="8"/>
  <c r="G298" i="8"/>
  <c r="H298" i="8"/>
  <c r="I298" i="8"/>
  <c r="J298" i="8"/>
  <c r="L298" i="8" s="1"/>
  <c r="K298" i="8"/>
  <c r="N298" i="8"/>
  <c r="O298" i="8"/>
  <c r="P298" i="8"/>
  <c r="Q298" i="8"/>
  <c r="R298" i="8"/>
  <c r="S298" i="8"/>
  <c r="T298" i="8"/>
  <c r="U298" i="8"/>
  <c r="V298" i="8"/>
  <c r="W298" i="8"/>
  <c r="X298" i="8"/>
  <c r="G299" i="8"/>
  <c r="H299" i="8"/>
  <c r="I299" i="8"/>
  <c r="J299" i="8"/>
  <c r="M299" i="8" s="1"/>
  <c r="K299" i="8"/>
  <c r="N299" i="8"/>
  <c r="O299" i="8"/>
  <c r="P299" i="8"/>
  <c r="Q299" i="8"/>
  <c r="R299" i="8"/>
  <c r="S299" i="8"/>
  <c r="T299" i="8"/>
  <c r="U299" i="8"/>
  <c r="V299" i="8"/>
  <c r="W299" i="8"/>
  <c r="X299" i="8"/>
  <c r="G300" i="8"/>
  <c r="H300" i="8"/>
  <c r="I300" i="8"/>
  <c r="J300" i="8"/>
  <c r="M300" i="8" s="1"/>
  <c r="K300" i="8"/>
  <c r="N300" i="8"/>
  <c r="O300" i="8"/>
  <c r="P300" i="8"/>
  <c r="Q300" i="8"/>
  <c r="R300" i="8"/>
  <c r="S300" i="8"/>
  <c r="T300" i="8"/>
  <c r="U300" i="8"/>
  <c r="V300" i="8"/>
  <c r="W300" i="8"/>
  <c r="X300" i="8"/>
  <c r="G301" i="8"/>
  <c r="H301" i="8"/>
  <c r="I301" i="8"/>
  <c r="J301" i="8"/>
  <c r="K301" i="8"/>
  <c r="N301" i="8"/>
  <c r="O301" i="8"/>
  <c r="P301" i="8"/>
  <c r="Q301" i="8"/>
  <c r="R301" i="8"/>
  <c r="S301" i="8"/>
  <c r="T301" i="8"/>
  <c r="U301" i="8"/>
  <c r="V301" i="8"/>
  <c r="W301" i="8"/>
  <c r="X301" i="8"/>
  <c r="C302" i="8"/>
  <c r="D303" i="8"/>
  <c r="G304" i="8"/>
  <c r="G303" i="8" s="1"/>
  <c r="H304" i="8"/>
  <c r="H303" i="8" s="1"/>
  <c r="I304" i="8"/>
  <c r="I303" i="8" s="1"/>
  <c r="I302" i="8" s="1"/>
  <c r="J304" i="8"/>
  <c r="J303" i="8" s="1"/>
  <c r="K304" i="8"/>
  <c r="K303" i="8" s="1"/>
  <c r="L303" i="8" s="1"/>
  <c r="N304" i="8"/>
  <c r="N303" i="8" s="1"/>
  <c r="O304" i="8"/>
  <c r="O303" i="8" s="1"/>
  <c r="P304" i="8"/>
  <c r="P303" i="8"/>
  <c r="P302" i="8" s="1"/>
  <c r="Q304" i="8"/>
  <c r="Q303" i="8" s="1"/>
  <c r="R304" i="8"/>
  <c r="R303" i="8" s="1"/>
  <c r="S304" i="8"/>
  <c r="S303" i="8" s="1"/>
  <c r="T304" i="8"/>
  <c r="T303" i="8" s="1"/>
  <c r="T302" i="8" s="1"/>
  <c r="U304" i="8"/>
  <c r="U303" i="8" s="1"/>
  <c r="V304" i="8"/>
  <c r="V303" i="8" s="1"/>
  <c r="W304" i="8"/>
  <c r="W303" i="8" s="1"/>
  <c r="W302" i="8" s="1"/>
  <c r="X304" i="8"/>
  <c r="X303" i="8" s="1"/>
  <c r="D305" i="8"/>
  <c r="G306" i="8"/>
  <c r="G305" i="8" s="1"/>
  <c r="G302" i="8" s="1"/>
  <c r="H306" i="8"/>
  <c r="H305" i="8" s="1"/>
  <c r="I306" i="8"/>
  <c r="I305" i="8" s="1"/>
  <c r="J306" i="8"/>
  <c r="K306" i="8"/>
  <c r="K305" i="8" s="1"/>
  <c r="N306" i="8"/>
  <c r="O306" i="8"/>
  <c r="O305" i="8" s="1"/>
  <c r="P306" i="8"/>
  <c r="P305" i="8" s="1"/>
  <c r="Q306" i="8"/>
  <c r="Q305" i="8" s="1"/>
  <c r="R306" i="8"/>
  <c r="R305" i="8" s="1"/>
  <c r="R302" i="8" s="1"/>
  <c r="S306" i="8"/>
  <c r="S305" i="8"/>
  <c r="T306" i="8"/>
  <c r="T305" i="8" s="1"/>
  <c r="U306" i="8"/>
  <c r="U305" i="8"/>
  <c r="V306" i="8"/>
  <c r="W306" i="8"/>
  <c r="W305" i="8" s="1"/>
  <c r="X306" i="8"/>
  <c r="X305" i="8"/>
  <c r="G307" i="8"/>
  <c r="H307" i="8"/>
  <c r="I307" i="8"/>
  <c r="J307" i="8"/>
  <c r="K307" i="8"/>
  <c r="N307" i="8"/>
  <c r="O307" i="8"/>
  <c r="P307" i="8"/>
  <c r="Q307" i="8"/>
  <c r="R307" i="8"/>
  <c r="S307" i="8"/>
  <c r="T307" i="8"/>
  <c r="U307" i="8"/>
  <c r="V307" i="8"/>
  <c r="W307" i="8"/>
  <c r="X307" i="8"/>
  <c r="G308" i="8"/>
  <c r="H308" i="8"/>
  <c r="I308" i="8"/>
  <c r="J308" i="8"/>
  <c r="M308" i="8" s="1"/>
  <c r="K308" i="8"/>
  <c r="N308" i="8"/>
  <c r="O308" i="8"/>
  <c r="P308" i="8"/>
  <c r="Q308" i="8"/>
  <c r="R308" i="8"/>
  <c r="S308" i="8"/>
  <c r="T308" i="8"/>
  <c r="U308" i="8"/>
  <c r="V308" i="8"/>
  <c r="W308" i="8"/>
  <c r="X308" i="8"/>
  <c r="C309" i="8"/>
  <c r="G311" i="8"/>
  <c r="G310" i="8" s="1"/>
  <c r="H311" i="8"/>
  <c r="H310" i="8" s="1"/>
  <c r="I311" i="8"/>
  <c r="J311" i="8"/>
  <c r="K311" i="8"/>
  <c r="N311" i="8"/>
  <c r="O311" i="8"/>
  <c r="P311" i="8"/>
  <c r="Q311" i="8"/>
  <c r="R311" i="8"/>
  <c r="S311" i="8"/>
  <c r="T311" i="8"/>
  <c r="U311" i="8"/>
  <c r="V311" i="8"/>
  <c r="W311" i="8"/>
  <c r="X311" i="8"/>
  <c r="G312" i="8"/>
  <c r="H312" i="8"/>
  <c r="I312" i="8"/>
  <c r="J312" i="8"/>
  <c r="K312" i="8"/>
  <c r="N312" i="8"/>
  <c r="M312" i="8" s="1"/>
  <c r="O312" i="8"/>
  <c r="P312" i="8"/>
  <c r="Q312" i="8"/>
  <c r="R312" i="8"/>
  <c r="S312" i="8"/>
  <c r="T312" i="8"/>
  <c r="U312" i="8"/>
  <c r="V312" i="8"/>
  <c r="W312" i="8"/>
  <c r="X312" i="8"/>
  <c r="D313" i="8"/>
  <c r="G314" i="8"/>
  <c r="H314" i="8"/>
  <c r="I314" i="8"/>
  <c r="J314" i="8"/>
  <c r="K314" i="8"/>
  <c r="N314" i="8"/>
  <c r="M314" i="8" s="1"/>
  <c r="O314" i="8"/>
  <c r="P314" i="8"/>
  <c r="Q314" i="8"/>
  <c r="R314" i="8"/>
  <c r="S314" i="8"/>
  <c r="T314" i="8"/>
  <c r="U314" i="8"/>
  <c r="V314" i="8"/>
  <c r="W314" i="8"/>
  <c r="X314" i="8"/>
  <c r="G315" i="8"/>
  <c r="G313" i="8" s="1"/>
  <c r="G309" i="8" s="1"/>
  <c r="H315" i="8"/>
  <c r="H313" i="8" s="1"/>
  <c r="I315" i="8"/>
  <c r="J315" i="8"/>
  <c r="K315" i="8"/>
  <c r="L315" i="8" s="1"/>
  <c r="L313" i="8" s="1"/>
  <c r="N315" i="8"/>
  <c r="O315" i="8"/>
  <c r="P315" i="8"/>
  <c r="Q315" i="8"/>
  <c r="Q313" i="8" s="1"/>
  <c r="Q309" i="8" s="1"/>
  <c r="R315" i="8"/>
  <c r="R313" i="8" s="1"/>
  <c r="S315" i="8"/>
  <c r="T315" i="8"/>
  <c r="U315" i="8"/>
  <c r="U313" i="8" s="1"/>
  <c r="V315" i="8"/>
  <c r="V313" i="8" s="1"/>
  <c r="W315" i="8"/>
  <c r="X315" i="8"/>
  <c r="C316" i="8"/>
  <c r="D317" i="8"/>
  <c r="G318" i="8"/>
  <c r="G317" i="8" s="1"/>
  <c r="G316" i="8" s="1"/>
  <c r="H318" i="8"/>
  <c r="H317" i="8" s="1"/>
  <c r="H316" i="8"/>
  <c r="I318" i="8"/>
  <c r="I317" i="8" s="1"/>
  <c r="I316" i="8" s="1"/>
  <c r="J318" i="8"/>
  <c r="J317" i="8" s="1"/>
  <c r="J316" i="8" s="1"/>
  <c r="K318" i="8"/>
  <c r="N318" i="8"/>
  <c r="O318" i="8"/>
  <c r="O317" i="8" s="1"/>
  <c r="O316" i="8" s="1"/>
  <c r="P318" i="8"/>
  <c r="P317" i="8" s="1"/>
  <c r="P316" i="8" s="1"/>
  <c r="Q318" i="8"/>
  <c r="Q317" i="8" s="1"/>
  <c r="Q316" i="8" s="1"/>
  <c r="R318" i="8"/>
  <c r="R317" i="8" s="1"/>
  <c r="R316" i="8" s="1"/>
  <c r="S318" i="8"/>
  <c r="S317" i="8" s="1"/>
  <c r="S316" i="8"/>
  <c r="T318" i="8"/>
  <c r="T317" i="8" s="1"/>
  <c r="T316" i="8" s="1"/>
  <c r="U318" i="8"/>
  <c r="U317" i="8" s="1"/>
  <c r="U316" i="8" s="1"/>
  <c r="V318" i="8"/>
  <c r="W318" i="8"/>
  <c r="W317" i="8" s="1"/>
  <c r="W316" i="8" s="1"/>
  <c r="X318" i="8"/>
  <c r="X317" i="8" s="1"/>
  <c r="X316" i="8" s="1"/>
  <c r="G319" i="8"/>
  <c r="H319" i="8"/>
  <c r="I319" i="8"/>
  <c r="J319" i="8"/>
  <c r="K319" i="8"/>
  <c r="N319" i="8"/>
  <c r="M319" i="8" s="1"/>
  <c r="O319" i="8"/>
  <c r="P319" i="8"/>
  <c r="Q319" i="8"/>
  <c r="R319" i="8"/>
  <c r="S319" i="8"/>
  <c r="T319" i="8"/>
  <c r="U319" i="8"/>
  <c r="V319" i="8"/>
  <c r="W319" i="8"/>
  <c r="X319" i="8"/>
  <c r="C320" i="8"/>
  <c r="D321" i="8"/>
  <c r="G322" i="8"/>
  <c r="G321" i="8" s="1"/>
  <c r="G320" i="8" s="1"/>
  <c r="H322" i="8"/>
  <c r="H321" i="8" s="1"/>
  <c r="H320" i="8" s="1"/>
  <c r="I322" i="8"/>
  <c r="I321" i="8" s="1"/>
  <c r="I320" i="8" s="1"/>
  <c r="J322" i="8"/>
  <c r="K322" i="8"/>
  <c r="N322" i="8"/>
  <c r="O322" i="8"/>
  <c r="O321" i="8" s="1"/>
  <c r="O320" i="8" s="1"/>
  <c r="P322" i="8"/>
  <c r="P321" i="8" s="1"/>
  <c r="P320" i="8" s="1"/>
  <c r="Q322" i="8"/>
  <c r="Q321" i="8" s="1"/>
  <c r="Q320" i="8" s="1"/>
  <c r="R322" i="8"/>
  <c r="R321" i="8" s="1"/>
  <c r="R320" i="8" s="1"/>
  <c r="S322" i="8"/>
  <c r="S321" i="8" s="1"/>
  <c r="S320" i="8" s="1"/>
  <c r="T322" i="8"/>
  <c r="T321" i="8" s="1"/>
  <c r="T320" i="8" s="1"/>
  <c r="U322" i="8"/>
  <c r="U321" i="8" s="1"/>
  <c r="U320" i="8"/>
  <c r="V322" i="8"/>
  <c r="V321" i="8" s="1"/>
  <c r="V320" i="8" s="1"/>
  <c r="W322" i="8"/>
  <c r="W321" i="8" s="1"/>
  <c r="W320" i="8" s="1"/>
  <c r="X322" i="8"/>
  <c r="X321" i="8" s="1"/>
  <c r="X320" i="8" s="1"/>
  <c r="G323" i="8"/>
  <c r="H323" i="8"/>
  <c r="I323" i="8"/>
  <c r="J323" i="8"/>
  <c r="K323" i="8"/>
  <c r="L323" i="8" s="1"/>
  <c r="N323" i="8"/>
  <c r="M323" i="8" s="1"/>
  <c r="O323" i="8"/>
  <c r="P323" i="8"/>
  <c r="Q323" i="8"/>
  <c r="R323" i="8"/>
  <c r="S323" i="8"/>
  <c r="T323" i="8"/>
  <c r="U323" i="8"/>
  <c r="V323" i="8"/>
  <c r="W323" i="8"/>
  <c r="X323" i="8"/>
  <c r="C324" i="8"/>
  <c r="D325" i="8"/>
  <c r="G326" i="8"/>
  <c r="G325" i="8" s="1"/>
  <c r="H326" i="8"/>
  <c r="H325" i="8" s="1"/>
  <c r="I326" i="8"/>
  <c r="I325" i="8" s="1"/>
  <c r="J326" i="8"/>
  <c r="K326" i="8"/>
  <c r="N326" i="8"/>
  <c r="N325" i="8"/>
  <c r="O326" i="8"/>
  <c r="O325" i="8" s="1"/>
  <c r="P326" i="8"/>
  <c r="P325" i="8" s="1"/>
  <c r="Q326" i="8"/>
  <c r="Q325" i="8" s="1"/>
  <c r="R326" i="8"/>
  <c r="R325" i="8" s="1"/>
  <c r="S326" i="8"/>
  <c r="S325" i="8" s="1"/>
  <c r="S324" i="8" s="1"/>
  <c r="T326" i="8"/>
  <c r="T325" i="8"/>
  <c r="U326" i="8"/>
  <c r="U325" i="8" s="1"/>
  <c r="V326" i="8"/>
  <c r="V325" i="8" s="1"/>
  <c r="V324" i="8" s="1"/>
  <c r="W326" i="8"/>
  <c r="W325" i="8" s="1"/>
  <c r="X326" i="8"/>
  <c r="X325" i="8"/>
  <c r="D327" i="8"/>
  <c r="G328" i="8"/>
  <c r="G327" i="8" s="1"/>
  <c r="G324" i="8" s="1"/>
  <c r="H328" i="8"/>
  <c r="H327" i="8" s="1"/>
  <c r="I328" i="8"/>
  <c r="I327" i="8" s="1"/>
  <c r="J328" i="8"/>
  <c r="K328" i="8"/>
  <c r="N328" i="8"/>
  <c r="O328" i="8"/>
  <c r="O327" i="8" s="1"/>
  <c r="P328" i="8"/>
  <c r="P327" i="8" s="1"/>
  <c r="Q328" i="8"/>
  <c r="Q327" i="8" s="1"/>
  <c r="Q324" i="8" s="1"/>
  <c r="R328" i="8"/>
  <c r="R327" i="8" s="1"/>
  <c r="S328" i="8"/>
  <c r="S327" i="8" s="1"/>
  <c r="T328" i="8"/>
  <c r="T327" i="8" s="1"/>
  <c r="U328" i="8"/>
  <c r="U327" i="8" s="1"/>
  <c r="V328" i="8"/>
  <c r="W328" i="8"/>
  <c r="X328" i="8"/>
  <c r="G329" i="8"/>
  <c r="H329" i="8"/>
  <c r="I329" i="8"/>
  <c r="J329" i="8"/>
  <c r="K329" i="8"/>
  <c r="L329" i="8" s="1"/>
  <c r="N329" i="8"/>
  <c r="O329" i="8"/>
  <c r="P329" i="8"/>
  <c r="Q329" i="8"/>
  <c r="R329" i="8"/>
  <c r="S329" i="8"/>
  <c r="T329" i="8"/>
  <c r="U329" i="8"/>
  <c r="V329" i="8"/>
  <c r="W329" i="8"/>
  <c r="X329" i="8"/>
  <c r="D330" i="8"/>
  <c r="G331" i="8"/>
  <c r="G330" i="8" s="1"/>
  <c r="H331" i="8"/>
  <c r="H330" i="8" s="1"/>
  <c r="I331" i="8"/>
  <c r="I330" i="8" s="1"/>
  <c r="J331" i="8"/>
  <c r="K331" i="8"/>
  <c r="N331" i="8"/>
  <c r="N330" i="8" s="1"/>
  <c r="O331" i="8"/>
  <c r="O330" i="8" s="1"/>
  <c r="P331" i="8"/>
  <c r="P330" i="8" s="1"/>
  <c r="Q331" i="8"/>
  <c r="Q330" i="8" s="1"/>
  <c r="R331" i="8"/>
  <c r="R330" i="8" s="1"/>
  <c r="S331" i="8"/>
  <c r="S330" i="8" s="1"/>
  <c r="T331" i="8"/>
  <c r="T330" i="8" s="1"/>
  <c r="U331" i="8"/>
  <c r="U330" i="8" s="1"/>
  <c r="V331" i="8"/>
  <c r="V330" i="8" s="1"/>
  <c r="W331" i="8"/>
  <c r="W330" i="8" s="1"/>
  <c r="X331" i="8"/>
  <c r="X330" i="8"/>
  <c r="B335" i="8"/>
  <c r="G338" i="8"/>
  <c r="G337" i="8" s="1"/>
  <c r="H338" i="8"/>
  <c r="H337" i="8" s="1"/>
  <c r="I338" i="8"/>
  <c r="I337" i="8" s="1"/>
  <c r="J338" i="8"/>
  <c r="K338" i="8"/>
  <c r="N338" i="8"/>
  <c r="O338" i="8"/>
  <c r="O337" i="8" s="1"/>
  <c r="P338" i="8"/>
  <c r="P337" i="8" s="1"/>
  <c r="Q338" i="8"/>
  <c r="Q337" i="8" s="1"/>
  <c r="R338" i="8"/>
  <c r="R337" i="8" s="1"/>
  <c r="S338" i="8"/>
  <c r="S337" i="8" s="1"/>
  <c r="T338" i="8"/>
  <c r="T337" i="8" s="1"/>
  <c r="U338" i="8"/>
  <c r="U337" i="8" s="1"/>
  <c r="V338" i="8"/>
  <c r="V337" i="8" s="1"/>
  <c r="W338" i="8"/>
  <c r="W337" i="8" s="1"/>
  <c r="X338" i="8"/>
  <c r="X337" i="8" s="1"/>
  <c r="G340" i="8"/>
  <c r="H340" i="8"/>
  <c r="I340" i="8"/>
  <c r="J340" i="8"/>
  <c r="K340" i="8"/>
  <c r="N340" i="8"/>
  <c r="O340" i="8"/>
  <c r="P340" i="8"/>
  <c r="Q340" i="8"/>
  <c r="R340" i="8"/>
  <c r="S340" i="8"/>
  <c r="T340" i="8"/>
  <c r="U340" i="8"/>
  <c r="V340" i="8"/>
  <c r="W340" i="8"/>
  <c r="W339" i="8" s="1"/>
  <c r="W336" i="8" s="1"/>
  <c r="X340" i="8"/>
  <c r="G341" i="8"/>
  <c r="H341" i="8"/>
  <c r="I341" i="8"/>
  <c r="J341" i="8"/>
  <c r="K341" i="8"/>
  <c r="N341" i="8"/>
  <c r="M341" i="8" s="1"/>
  <c r="O341" i="8"/>
  <c r="P341" i="8"/>
  <c r="R341" i="8"/>
  <c r="S341" i="8"/>
  <c r="T341" i="8"/>
  <c r="T339" i="8" s="1"/>
  <c r="T336" i="8" s="1"/>
  <c r="U341" i="8"/>
  <c r="V341" i="8"/>
  <c r="W341" i="8"/>
  <c r="X341" i="8"/>
  <c r="C342" i="8"/>
  <c r="D343" i="8"/>
  <c r="G344" i="8"/>
  <c r="G343" i="8" s="1"/>
  <c r="H344" i="8"/>
  <c r="H343" i="8" s="1"/>
  <c r="I344" i="8"/>
  <c r="I343" i="8" s="1"/>
  <c r="J344" i="8"/>
  <c r="L344" i="8" s="1"/>
  <c r="L343" i="8" s="1"/>
  <c r="K344" i="8"/>
  <c r="N344" i="8"/>
  <c r="O344" i="8"/>
  <c r="O343" i="8" s="1"/>
  <c r="P344" i="8"/>
  <c r="P343" i="8" s="1"/>
  <c r="Q344" i="8"/>
  <c r="Q343" i="8" s="1"/>
  <c r="R344" i="8"/>
  <c r="R343" i="8" s="1"/>
  <c r="S344" i="8"/>
  <c r="S343" i="8" s="1"/>
  <c r="T344" i="8"/>
  <c r="T343" i="8" s="1"/>
  <c r="U344" i="8"/>
  <c r="U343" i="8" s="1"/>
  <c r="V344" i="8"/>
  <c r="W344" i="8"/>
  <c r="W343" i="8" s="1"/>
  <c r="X344" i="8"/>
  <c r="X343" i="8" s="1"/>
  <c r="G345" i="8"/>
  <c r="H345" i="8"/>
  <c r="I345" i="8"/>
  <c r="J345" i="8"/>
  <c r="K345" i="8"/>
  <c r="N345" i="8"/>
  <c r="O345" i="8"/>
  <c r="P345" i="8"/>
  <c r="Q345" i="8"/>
  <c r="R345" i="8"/>
  <c r="S345" i="8"/>
  <c r="T345" i="8"/>
  <c r="U345" i="8"/>
  <c r="V345" i="8"/>
  <c r="W345" i="8"/>
  <c r="X345" i="8"/>
  <c r="G346" i="8"/>
  <c r="H346" i="8"/>
  <c r="I346" i="8"/>
  <c r="J346" i="8"/>
  <c r="K346" i="8"/>
  <c r="N346" i="8"/>
  <c r="O346" i="8"/>
  <c r="P346" i="8"/>
  <c r="Q346" i="8"/>
  <c r="R346" i="8"/>
  <c r="S346" i="8"/>
  <c r="T346" i="8"/>
  <c r="U346" i="8"/>
  <c r="V346" i="8"/>
  <c r="W346" i="8"/>
  <c r="X346" i="8"/>
  <c r="D347" i="8"/>
  <c r="G348" i="8"/>
  <c r="G347" i="8" s="1"/>
  <c r="H348" i="8"/>
  <c r="H347" i="8" s="1"/>
  <c r="I348" i="8"/>
  <c r="I347" i="8" s="1"/>
  <c r="J348" i="8"/>
  <c r="J347" i="8" s="1"/>
  <c r="K348" i="8"/>
  <c r="N348" i="8"/>
  <c r="O348" i="8"/>
  <c r="O347" i="8" s="1"/>
  <c r="P348" i="8"/>
  <c r="P347" i="8" s="1"/>
  <c r="Q348" i="8"/>
  <c r="Q347" i="8"/>
  <c r="R348" i="8"/>
  <c r="R347" i="8" s="1"/>
  <c r="S348" i="8"/>
  <c r="S347" i="8" s="1"/>
  <c r="T348" i="8"/>
  <c r="T347" i="8" s="1"/>
  <c r="U348" i="8"/>
  <c r="U347" i="8" s="1"/>
  <c r="U342" i="8" s="1"/>
  <c r="V348" i="8"/>
  <c r="W348" i="8"/>
  <c r="W347" i="8" s="1"/>
  <c r="X348" i="8"/>
  <c r="X347" i="8" s="1"/>
  <c r="G349" i="8"/>
  <c r="H349" i="8"/>
  <c r="I349" i="8"/>
  <c r="J349" i="8"/>
  <c r="M349" i="8" s="1"/>
  <c r="K349" i="8"/>
  <c r="N349" i="8"/>
  <c r="O349" i="8"/>
  <c r="P349" i="8"/>
  <c r="Q349" i="8"/>
  <c r="R349" i="8"/>
  <c r="S349" i="8"/>
  <c r="T349" i="8"/>
  <c r="U349" i="8"/>
  <c r="V349" i="8"/>
  <c r="W349" i="8"/>
  <c r="X349" i="8"/>
  <c r="G350" i="8"/>
  <c r="H350" i="8"/>
  <c r="I350" i="8"/>
  <c r="J350" i="8"/>
  <c r="M350" i="8" s="1"/>
  <c r="K350" i="8"/>
  <c r="N350" i="8"/>
  <c r="O350" i="8"/>
  <c r="P350" i="8"/>
  <c r="Q350" i="8"/>
  <c r="R350" i="8"/>
  <c r="S350" i="8"/>
  <c r="T350" i="8"/>
  <c r="U350" i="8"/>
  <c r="V350" i="8"/>
  <c r="W350" i="8"/>
  <c r="X350" i="8"/>
  <c r="G351" i="8"/>
  <c r="H351" i="8"/>
  <c r="I351" i="8"/>
  <c r="J351" i="8"/>
  <c r="K351" i="8"/>
  <c r="N351" i="8"/>
  <c r="O351" i="8"/>
  <c r="P351" i="8"/>
  <c r="Q351" i="8"/>
  <c r="R351" i="8"/>
  <c r="S351" i="8"/>
  <c r="T351" i="8"/>
  <c r="U351" i="8"/>
  <c r="V351" i="8"/>
  <c r="W351" i="8"/>
  <c r="X351" i="8"/>
  <c r="G352" i="8"/>
  <c r="H352" i="8"/>
  <c r="I352" i="8"/>
  <c r="J352" i="8"/>
  <c r="M352" i="8" s="1"/>
  <c r="K352" i="8"/>
  <c r="N352" i="8"/>
  <c r="O352" i="8"/>
  <c r="P352" i="8"/>
  <c r="Q352" i="8"/>
  <c r="R352" i="8"/>
  <c r="S352" i="8"/>
  <c r="T352" i="8"/>
  <c r="U352" i="8"/>
  <c r="V352" i="8"/>
  <c r="W352" i="8"/>
  <c r="X352" i="8"/>
  <c r="G353" i="8"/>
  <c r="H353" i="8"/>
  <c r="I353" i="8"/>
  <c r="J353" i="8"/>
  <c r="M353" i="8" s="1"/>
  <c r="K353" i="8"/>
  <c r="N353" i="8"/>
  <c r="O353" i="8"/>
  <c r="P353" i="8"/>
  <c r="Q353" i="8"/>
  <c r="R353" i="8"/>
  <c r="S353" i="8"/>
  <c r="T353" i="8"/>
  <c r="U353" i="8"/>
  <c r="V353" i="8"/>
  <c r="W353" i="8"/>
  <c r="X353" i="8"/>
  <c r="G354" i="8"/>
  <c r="H354" i="8"/>
  <c r="I354" i="8"/>
  <c r="J354" i="8"/>
  <c r="K354" i="8"/>
  <c r="N354" i="8"/>
  <c r="O354" i="8"/>
  <c r="P354" i="8"/>
  <c r="Q354" i="8"/>
  <c r="R354" i="8"/>
  <c r="S354" i="8"/>
  <c r="T354" i="8"/>
  <c r="U354" i="8"/>
  <c r="V354" i="8"/>
  <c r="W354" i="8"/>
  <c r="X354" i="8"/>
  <c r="D355" i="8"/>
  <c r="G356" i="8"/>
  <c r="G355" i="8"/>
  <c r="H356" i="8"/>
  <c r="H355" i="8" s="1"/>
  <c r="I356" i="8"/>
  <c r="I355" i="8" s="1"/>
  <c r="J356" i="8"/>
  <c r="J355" i="8" s="1"/>
  <c r="K356" i="8"/>
  <c r="K355" i="8" s="1"/>
  <c r="L355" i="8" s="1"/>
  <c r="N356" i="8"/>
  <c r="O356" i="8"/>
  <c r="O355" i="8" s="1"/>
  <c r="P356" i="8"/>
  <c r="P355" i="8" s="1"/>
  <c r="P342" i="8" s="1"/>
  <c r="Q356" i="8"/>
  <c r="Q355" i="8" s="1"/>
  <c r="R356" i="8"/>
  <c r="R355" i="8"/>
  <c r="S356" i="8"/>
  <c r="S355" i="8" s="1"/>
  <c r="T356" i="8"/>
  <c r="T355" i="8" s="1"/>
  <c r="U356" i="8"/>
  <c r="U355" i="8" s="1"/>
  <c r="V356" i="8"/>
  <c r="V355" i="8" s="1"/>
  <c r="W356" i="8"/>
  <c r="W355" i="8" s="1"/>
  <c r="X356" i="8"/>
  <c r="X355" i="8"/>
  <c r="D357" i="8"/>
  <c r="G358" i="8"/>
  <c r="G357" i="8" s="1"/>
  <c r="H358" i="8"/>
  <c r="H357" i="8" s="1"/>
  <c r="I358" i="8"/>
  <c r="I357" i="8"/>
  <c r="O358" i="8"/>
  <c r="O357" i="8" s="1"/>
  <c r="P358" i="8"/>
  <c r="P357" i="8" s="1"/>
  <c r="Q358" i="8"/>
  <c r="Q357" i="8"/>
  <c r="R358" i="8"/>
  <c r="R357" i="8" s="1"/>
  <c r="S358" i="8"/>
  <c r="S357" i="8" s="1"/>
  <c r="T358" i="8"/>
  <c r="T357" i="8" s="1"/>
  <c r="U358" i="8"/>
  <c r="U357" i="8" s="1"/>
  <c r="V358" i="8"/>
  <c r="V357" i="8" s="1"/>
  <c r="W358" i="8"/>
  <c r="W357" i="8" s="1"/>
  <c r="X358" i="8"/>
  <c r="X357" i="8" s="1"/>
  <c r="D359" i="8"/>
  <c r="G360" i="8"/>
  <c r="G359" i="8" s="1"/>
  <c r="H360" i="8"/>
  <c r="H359" i="8" s="1"/>
  <c r="I360" i="8"/>
  <c r="I359" i="8" s="1"/>
  <c r="J360" i="8"/>
  <c r="J359" i="8" s="1"/>
  <c r="K360" i="8"/>
  <c r="N360" i="8"/>
  <c r="N359" i="8" s="1"/>
  <c r="O360" i="8"/>
  <c r="O359" i="8" s="1"/>
  <c r="P360" i="8"/>
  <c r="P359" i="8" s="1"/>
  <c r="R360" i="8"/>
  <c r="R359" i="8" s="1"/>
  <c r="S360" i="8"/>
  <c r="S359" i="8"/>
  <c r="T360" i="8"/>
  <c r="T359" i="8" s="1"/>
  <c r="U360" i="8"/>
  <c r="V360" i="8"/>
  <c r="V359" i="8" s="1"/>
  <c r="W360" i="8"/>
  <c r="W359" i="8" s="1"/>
  <c r="X360" i="8"/>
  <c r="X359" i="8" s="1"/>
  <c r="D361" i="8"/>
  <c r="G362" i="8"/>
  <c r="G361" i="8" s="1"/>
  <c r="H362" i="8"/>
  <c r="H361" i="8" s="1"/>
  <c r="I362" i="8"/>
  <c r="I361" i="8" s="1"/>
  <c r="J362" i="8"/>
  <c r="K362" i="8"/>
  <c r="N362" i="8"/>
  <c r="N361" i="8" s="1"/>
  <c r="O362" i="8"/>
  <c r="O361" i="8" s="1"/>
  <c r="P362" i="8"/>
  <c r="P361" i="8" s="1"/>
  <c r="Q362" i="8"/>
  <c r="Q361" i="8" s="1"/>
  <c r="R362" i="8"/>
  <c r="R361" i="8" s="1"/>
  <c r="S362" i="8"/>
  <c r="S361" i="8" s="1"/>
  <c r="T362" i="8"/>
  <c r="T361" i="8" s="1"/>
  <c r="U362" i="8"/>
  <c r="U361" i="8" s="1"/>
  <c r="V362" i="8"/>
  <c r="V361" i="8" s="1"/>
  <c r="W362" i="8"/>
  <c r="W361" i="8" s="1"/>
  <c r="X362" i="8"/>
  <c r="X361" i="8" s="1"/>
  <c r="G363" i="8"/>
  <c r="H363" i="8"/>
  <c r="I363" i="8"/>
  <c r="J363" i="8"/>
  <c r="K363" i="8"/>
  <c r="N363" i="8"/>
  <c r="O363" i="8"/>
  <c r="P363" i="8"/>
  <c r="Q363" i="8"/>
  <c r="R363" i="8"/>
  <c r="S363" i="8"/>
  <c r="T363" i="8"/>
  <c r="U363" i="8"/>
  <c r="V363" i="8"/>
  <c r="W363" i="8"/>
  <c r="X363" i="8"/>
  <c r="C364" i="8"/>
  <c r="D365" i="8"/>
  <c r="G366" i="8"/>
  <c r="G365" i="8" s="1"/>
  <c r="H366" i="8"/>
  <c r="H365" i="8" s="1"/>
  <c r="I366" i="8"/>
  <c r="I365" i="8" s="1"/>
  <c r="J366" i="8"/>
  <c r="K366" i="8"/>
  <c r="N366" i="8"/>
  <c r="O366" i="8"/>
  <c r="O365" i="8" s="1"/>
  <c r="P366" i="8"/>
  <c r="P365" i="8" s="1"/>
  <c r="P364" i="8" s="1"/>
  <c r="Q366" i="8"/>
  <c r="Q365" i="8" s="1"/>
  <c r="R366" i="8"/>
  <c r="R365" i="8" s="1"/>
  <c r="S366" i="8"/>
  <c r="S365" i="8" s="1"/>
  <c r="T366" i="8"/>
  <c r="T365" i="8"/>
  <c r="U366" i="8"/>
  <c r="U365" i="8" s="1"/>
  <c r="V366" i="8"/>
  <c r="V365" i="8" s="1"/>
  <c r="W366" i="8"/>
  <c r="W365" i="8" s="1"/>
  <c r="X366" i="8"/>
  <c r="X365" i="8" s="1"/>
  <c r="G368" i="8"/>
  <c r="G367" i="8" s="1"/>
  <c r="H368" i="8"/>
  <c r="H367" i="8"/>
  <c r="I368" i="8"/>
  <c r="I367" i="8" s="1"/>
  <c r="J368" i="8"/>
  <c r="J367" i="8" s="1"/>
  <c r="K368" i="8"/>
  <c r="N368" i="8"/>
  <c r="O368" i="8"/>
  <c r="O367" i="8" s="1"/>
  <c r="P368" i="8"/>
  <c r="P367" i="8" s="1"/>
  <c r="Q368" i="8"/>
  <c r="Q367" i="8" s="1"/>
  <c r="Q364" i="8" s="1"/>
  <c r="R368" i="8"/>
  <c r="R367" i="8"/>
  <c r="S368" i="8"/>
  <c r="S367" i="8" s="1"/>
  <c r="T368" i="8"/>
  <c r="T367" i="8" s="1"/>
  <c r="U368" i="8"/>
  <c r="U367" i="8"/>
  <c r="V368" i="8"/>
  <c r="V367" i="8" s="1"/>
  <c r="W368" i="8"/>
  <c r="W367" i="8" s="1"/>
  <c r="X368" i="8"/>
  <c r="X367" i="8" s="1"/>
  <c r="B371" i="8"/>
  <c r="C372" i="8"/>
  <c r="D373" i="8"/>
  <c r="G374" i="8"/>
  <c r="G373" i="8" s="1"/>
  <c r="H374" i="8"/>
  <c r="H373" i="8" s="1"/>
  <c r="I374" i="8"/>
  <c r="I373" i="8" s="1"/>
  <c r="J374" i="8"/>
  <c r="K374" i="8"/>
  <c r="K373" i="8" s="1"/>
  <c r="N374" i="8"/>
  <c r="N373" i="8" s="1"/>
  <c r="O374" i="8"/>
  <c r="O373" i="8"/>
  <c r="P374" i="8"/>
  <c r="P373" i="8" s="1"/>
  <c r="Q374" i="8"/>
  <c r="Q373" i="8" s="1"/>
  <c r="Q372" i="8" s="1"/>
  <c r="R374" i="8"/>
  <c r="R373" i="8" s="1"/>
  <c r="S374" i="8"/>
  <c r="S373" i="8" s="1"/>
  <c r="T374" i="8"/>
  <c r="T373" i="8" s="1"/>
  <c r="U374" i="8"/>
  <c r="U373" i="8" s="1"/>
  <c r="V374" i="8"/>
  <c r="W374" i="8"/>
  <c r="W373" i="8" s="1"/>
  <c r="X374" i="8"/>
  <c r="X373" i="8"/>
  <c r="G375" i="8"/>
  <c r="H375" i="8"/>
  <c r="I375" i="8"/>
  <c r="J375" i="8"/>
  <c r="K375" i="8"/>
  <c r="N375" i="8"/>
  <c r="O375" i="8"/>
  <c r="P375" i="8"/>
  <c r="Q375" i="8"/>
  <c r="R375" i="8"/>
  <c r="S375" i="8"/>
  <c r="T375" i="8"/>
  <c r="U375" i="8"/>
  <c r="V375" i="8"/>
  <c r="W375" i="8"/>
  <c r="X375" i="8"/>
  <c r="G376" i="8"/>
  <c r="H376" i="8"/>
  <c r="I376" i="8"/>
  <c r="J376" i="8"/>
  <c r="L376" i="8" s="1"/>
  <c r="K376" i="8"/>
  <c r="N376" i="8"/>
  <c r="O376" i="8"/>
  <c r="P376" i="8"/>
  <c r="Q376" i="8"/>
  <c r="R376" i="8"/>
  <c r="S376" i="8"/>
  <c r="T376" i="8"/>
  <c r="U376" i="8"/>
  <c r="V376" i="8"/>
  <c r="W376" i="8"/>
  <c r="X376" i="8"/>
  <c r="G377" i="8"/>
  <c r="H377" i="8"/>
  <c r="I377" i="8"/>
  <c r="J377" i="8"/>
  <c r="M377" i="8" s="1"/>
  <c r="K377" i="8"/>
  <c r="N377" i="8"/>
  <c r="O377" i="8"/>
  <c r="P377" i="8"/>
  <c r="Q377" i="8"/>
  <c r="R377" i="8"/>
  <c r="S377" i="8"/>
  <c r="T377" i="8"/>
  <c r="U377" i="8"/>
  <c r="V377" i="8"/>
  <c r="W377" i="8"/>
  <c r="X377" i="8"/>
  <c r="D378" i="8"/>
  <c r="H378" i="8"/>
  <c r="G379" i="8"/>
  <c r="G378" i="8"/>
  <c r="H379" i="8"/>
  <c r="I379" i="8"/>
  <c r="I378" i="8" s="1"/>
  <c r="J379" i="8"/>
  <c r="J378" i="8" s="1"/>
  <c r="K379" i="8"/>
  <c r="N379" i="8"/>
  <c r="O379" i="8"/>
  <c r="O378" i="8" s="1"/>
  <c r="P379" i="8"/>
  <c r="P378" i="8" s="1"/>
  <c r="Q379" i="8"/>
  <c r="Q378" i="8" s="1"/>
  <c r="R379" i="8"/>
  <c r="R378" i="8" s="1"/>
  <c r="S379" i="8"/>
  <c r="S378" i="8" s="1"/>
  <c r="T379" i="8"/>
  <c r="T378" i="8" s="1"/>
  <c r="U379" i="8"/>
  <c r="U378" i="8" s="1"/>
  <c r="V379" i="8"/>
  <c r="V378" i="8" s="1"/>
  <c r="W379" i="8"/>
  <c r="W378" i="8" s="1"/>
  <c r="W372" i="8" s="1"/>
  <c r="X379" i="8"/>
  <c r="X378" i="8" s="1"/>
  <c r="D380" i="8"/>
  <c r="H380" i="8"/>
  <c r="G381" i="8"/>
  <c r="G380" i="8" s="1"/>
  <c r="H381" i="8"/>
  <c r="I381" i="8"/>
  <c r="I380" i="8"/>
  <c r="I372" i="8" s="1"/>
  <c r="J381" i="8"/>
  <c r="K381" i="8"/>
  <c r="N381" i="8"/>
  <c r="O381" i="8"/>
  <c r="O380" i="8" s="1"/>
  <c r="P381" i="8"/>
  <c r="P380" i="8" s="1"/>
  <c r="P372" i="8" s="1"/>
  <c r="Q381" i="8"/>
  <c r="Q380" i="8" s="1"/>
  <c r="R381" i="8"/>
  <c r="R380" i="8" s="1"/>
  <c r="S381" i="8"/>
  <c r="S380" i="8" s="1"/>
  <c r="T381" i="8"/>
  <c r="T380" i="8"/>
  <c r="U381" i="8"/>
  <c r="U380" i="8" s="1"/>
  <c r="V381" i="8"/>
  <c r="V380" i="8" s="1"/>
  <c r="W381" i="8"/>
  <c r="W380" i="8" s="1"/>
  <c r="X381" i="8"/>
  <c r="X380" i="8" s="1"/>
  <c r="G382" i="8"/>
  <c r="H382" i="8"/>
  <c r="I382" i="8"/>
  <c r="J382" i="8"/>
  <c r="K382" i="8"/>
  <c r="N382" i="8"/>
  <c r="O382" i="8"/>
  <c r="P382" i="8"/>
  <c r="Q382" i="8"/>
  <c r="R382" i="8"/>
  <c r="S382" i="8"/>
  <c r="T382" i="8"/>
  <c r="U382" i="8"/>
  <c r="V382" i="8"/>
  <c r="W382" i="8"/>
  <c r="X382" i="8"/>
  <c r="C383" i="8"/>
  <c r="D384" i="8"/>
  <c r="G385" i="8"/>
  <c r="G384" i="8" s="1"/>
  <c r="H385" i="8"/>
  <c r="H384" i="8" s="1"/>
  <c r="I385" i="8"/>
  <c r="I384" i="8" s="1"/>
  <c r="J385" i="8"/>
  <c r="J384" i="8" s="1"/>
  <c r="K385" i="8"/>
  <c r="N385" i="8"/>
  <c r="N384" i="8" s="1"/>
  <c r="O385" i="8"/>
  <c r="O384" i="8" s="1"/>
  <c r="P385" i="8"/>
  <c r="P384" i="8" s="1"/>
  <c r="Q385" i="8"/>
  <c r="Q384" i="8" s="1"/>
  <c r="Q383" i="8" s="1"/>
  <c r="R385" i="8"/>
  <c r="R384" i="8" s="1"/>
  <c r="S385" i="8"/>
  <c r="S384" i="8"/>
  <c r="T385" i="8"/>
  <c r="T384" i="8" s="1"/>
  <c r="U385" i="8"/>
  <c r="U384" i="8" s="1"/>
  <c r="V385" i="8"/>
  <c r="V384" i="8" s="1"/>
  <c r="W385" i="8"/>
  <c r="W384" i="8" s="1"/>
  <c r="X385" i="8"/>
  <c r="X384" i="8" s="1"/>
  <c r="G386" i="8"/>
  <c r="H386" i="8"/>
  <c r="I386" i="8"/>
  <c r="J386" i="8"/>
  <c r="M386" i="8" s="1"/>
  <c r="K386" i="8"/>
  <c r="N386" i="8"/>
  <c r="O386" i="8"/>
  <c r="P386" i="8"/>
  <c r="Q386" i="8"/>
  <c r="R386" i="8"/>
  <c r="S386" i="8"/>
  <c r="T386" i="8"/>
  <c r="U386" i="8"/>
  <c r="V386" i="8"/>
  <c r="W386" i="8"/>
  <c r="X386" i="8"/>
  <c r="G387" i="8"/>
  <c r="H387" i="8"/>
  <c r="I387" i="8"/>
  <c r="J387" i="8"/>
  <c r="M387" i="8" s="1"/>
  <c r="K387" i="8"/>
  <c r="N387" i="8"/>
  <c r="O387" i="8"/>
  <c r="P387" i="8"/>
  <c r="Q387" i="8"/>
  <c r="R387" i="8"/>
  <c r="S387" i="8"/>
  <c r="T387" i="8"/>
  <c r="U387" i="8"/>
  <c r="V387" i="8"/>
  <c r="W387" i="8"/>
  <c r="X387" i="8"/>
  <c r="G388" i="8"/>
  <c r="H388" i="8"/>
  <c r="I388" i="8"/>
  <c r="J388" i="8"/>
  <c r="K388" i="8"/>
  <c r="N388" i="8"/>
  <c r="O388" i="8"/>
  <c r="P388" i="8"/>
  <c r="Q388" i="8"/>
  <c r="R388" i="8"/>
  <c r="S388" i="8"/>
  <c r="T388" i="8"/>
  <c r="U388" i="8"/>
  <c r="V388" i="8"/>
  <c r="W388" i="8"/>
  <c r="X388" i="8"/>
  <c r="D389" i="8"/>
  <c r="G390" i="8"/>
  <c r="G389" i="8" s="1"/>
  <c r="H390" i="8"/>
  <c r="H389" i="8" s="1"/>
  <c r="I390" i="8"/>
  <c r="I389" i="8" s="1"/>
  <c r="J390" i="8"/>
  <c r="K390" i="8"/>
  <c r="L390" i="8" s="1"/>
  <c r="L389" i="8" s="1"/>
  <c r="N390" i="8"/>
  <c r="N389" i="8" s="1"/>
  <c r="O390" i="8"/>
  <c r="O389" i="8" s="1"/>
  <c r="P390" i="8"/>
  <c r="P389" i="8" s="1"/>
  <c r="Q390" i="8"/>
  <c r="Q389" i="8" s="1"/>
  <c r="R390" i="8"/>
  <c r="R389" i="8" s="1"/>
  <c r="S390" i="8"/>
  <c r="S389" i="8" s="1"/>
  <c r="T390" i="8"/>
  <c r="T389" i="8" s="1"/>
  <c r="U390" i="8"/>
  <c r="U389" i="8" s="1"/>
  <c r="V390" i="8"/>
  <c r="V389" i="8" s="1"/>
  <c r="W390" i="8"/>
  <c r="W389" i="8" s="1"/>
  <c r="X390" i="8"/>
  <c r="X389" i="8"/>
  <c r="G391" i="8"/>
  <c r="H391" i="8"/>
  <c r="I391" i="8"/>
  <c r="J391" i="8"/>
  <c r="K391" i="8"/>
  <c r="N391" i="8"/>
  <c r="O391" i="8"/>
  <c r="P391" i="8"/>
  <c r="Q391" i="8"/>
  <c r="R391" i="8"/>
  <c r="S391" i="8"/>
  <c r="T391" i="8"/>
  <c r="U391" i="8"/>
  <c r="V391" i="8"/>
  <c r="W391" i="8"/>
  <c r="X391" i="8"/>
  <c r="G392" i="8"/>
  <c r="H392" i="8"/>
  <c r="I392" i="8"/>
  <c r="J392" i="8"/>
  <c r="M392" i="8" s="1"/>
  <c r="K392" i="8"/>
  <c r="N392" i="8"/>
  <c r="O392" i="8"/>
  <c r="P392" i="8"/>
  <c r="Q392" i="8"/>
  <c r="R392" i="8"/>
  <c r="S392" i="8"/>
  <c r="T392" i="8"/>
  <c r="U392" i="8"/>
  <c r="V392" i="8"/>
  <c r="W392" i="8"/>
  <c r="X392" i="8"/>
  <c r="G393" i="8"/>
  <c r="H393" i="8"/>
  <c r="I393" i="8"/>
  <c r="J393" i="8"/>
  <c r="M393" i="8" s="1"/>
  <c r="K393" i="8"/>
  <c r="N393" i="8"/>
  <c r="O393" i="8"/>
  <c r="P393" i="8"/>
  <c r="Q393" i="8"/>
  <c r="R393" i="8"/>
  <c r="S393" i="8"/>
  <c r="T393" i="8"/>
  <c r="U393" i="8"/>
  <c r="V393" i="8"/>
  <c r="W393" i="8"/>
  <c r="X393" i="8"/>
  <c r="G394" i="8"/>
  <c r="H394" i="8"/>
  <c r="I394" i="8"/>
  <c r="J394" i="8"/>
  <c r="M394" i="8" s="1"/>
  <c r="K394" i="8"/>
  <c r="N394" i="8"/>
  <c r="O394" i="8"/>
  <c r="P394" i="8"/>
  <c r="Q394" i="8"/>
  <c r="R394" i="8"/>
  <c r="S394" i="8"/>
  <c r="T394" i="8"/>
  <c r="U394" i="8"/>
  <c r="V394" i="8"/>
  <c r="W394" i="8"/>
  <c r="X394" i="8"/>
  <c r="G395" i="8"/>
  <c r="H395" i="8"/>
  <c r="I395" i="8"/>
  <c r="J395" i="8"/>
  <c r="M395" i="8" s="1"/>
  <c r="K395" i="8"/>
  <c r="N395" i="8"/>
  <c r="O395" i="8"/>
  <c r="P395" i="8"/>
  <c r="Q395" i="8"/>
  <c r="R395" i="8"/>
  <c r="S395" i="8"/>
  <c r="T395" i="8"/>
  <c r="U395" i="8"/>
  <c r="V395" i="8"/>
  <c r="W395" i="8"/>
  <c r="X395" i="8"/>
  <c r="D396" i="8"/>
  <c r="G397" i="8"/>
  <c r="G396" i="8" s="1"/>
  <c r="H397" i="8"/>
  <c r="H396" i="8" s="1"/>
  <c r="I397" i="8"/>
  <c r="I396" i="8" s="1"/>
  <c r="J397" i="8"/>
  <c r="K397" i="8"/>
  <c r="N397" i="8"/>
  <c r="O397" i="8"/>
  <c r="O396" i="8" s="1"/>
  <c r="P397" i="8"/>
  <c r="P396" i="8" s="1"/>
  <c r="Q397" i="8"/>
  <c r="Q396" i="8" s="1"/>
  <c r="R397" i="8"/>
  <c r="R396" i="8" s="1"/>
  <c r="S397" i="8"/>
  <c r="S396" i="8" s="1"/>
  <c r="T397" i="8"/>
  <c r="T396" i="8" s="1"/>
  <c r="U397" i="8"/>
  <c r="U396" i="8"/>
  <c r="V397" i="8"/>
  <c r="V396" i="8" s="1"/>
  <c r="W397" i="8"/>
  <c r="W396" i="8" s="1"/>
  <c r="X397" i="8"/>
  <c r="X396" i="8" s="1"/>
  <c r="G398" i="8"/>
  <c r="H398" i="8"/>
  <c r="I398" i="8"/>
  <c r="J398" i="8"/>
  <c r="K398" i="8"/>
  <c r="L398" i="8" s="1"/>
  <c r="N398" i="8"/>
  <c r="O398" i="8"/>
  <c r="P398" i="8"/>
  <c r="Q398" i="8"/>
  <c r="R398" i="8"/>
  <c r="S398" i="8"/>
  <c r="T398" i="8"/>
  <c r="U398" i="8"/>
  <c r="V398" i="8"/>
  <c r="W398" i="8"/>
  <c r="X398" i="8"/>
  <c r="G399" i="8"/>
  <c r="H399" i="8"/>
  <c r="I399" i="8"/>
  <c r="J399" i="8"/>
  <c r="K399" i="8"/>
  <c r="L399" i="8" s="1"/>
  <c r="N399" i="8"/>
  <c r="O399" i="8"/>
  <c r="P399" i="8"/>
  <c r="Q399" i="8"/>
  <c r="R399" i="8"/>
  <c r="S399" i="8"/>
  <c r="T399" i="8"/>
  <c r="U399" i="8"/>
  <c r="V399" i="8"/>
  <c r="W399" i="8"/>
  <c r="X399" i="8"/>
  <c r="G400" i="8"/>
  <c r="H400" i="8"/>
  <c r="I400" i="8"/>
  <c r="J400" i="8"/>
  <c r="K400" i="8"/>
  <c r="L400" i="8" s="1"/>
  <c r="N400" i="8"/>
  <c r="M400" i="8" s="1"/>
  <c r="O400" i="8"/>
  <c r="P400" i="8"/>
  <c r="Q400" i="8"/>
  <c r="R400" i="8"/>
  <c r="S400" i="8"/>
  <c r="T400" i="8"/>
  <c r="U400" i="8"/>
  <c r="V400" i="8"/>
  <c r="W400" i="8"/>
  <c r="X400" i="8"/>
  <c r="G401" i="8"/>
  <c r="H401" i="8"/>
  <c r="I401" i="8"/>
  <c r="J401" i="8"/>
  <c r="K401" i="8"/>
  <c r="L401" i="8" s="1"/>
  <c r="N401" i="8"/>
  <c r="M401" i="8" s="1"/>
  <c r="O401" i="8"/>
  <c r="P401" i="8"/>
  <c r="Q401" i="8"/>
  <c r="R401" i="8"/>
  <c r="S401" i="8"/>
  <c r="T401" i="8"/>
  <c r="U401" i="8"/>
  <c r="V401" i="8"/>
  <c r="W401" i="8"/>
  <c r="X401" i="8"/>
  <c r="G402" i="8"/>
  <c r="H402" i="8"/>
  <c r="I402" i="8"/>
  <c r="J402" i="8"/>
  <c r="K402" i="8"/>
  <c r="L402" i="8" s="1"/>
  <c r="N402" i="8"/>
  <c r="M402" i="8" s="1"/>
  <c r="O402" i="8"/>
  <c r="P402" i="8"/>
  <c r="Q402" i="8"/>
  <c r="R402" i="8"/>
  <c r="S402" i="8"/>
  <c r="T402" i="8"/>
  <c r="U402" i="8"/>
  <c r="V402" i="8"/>
  <c r="W402" i="8"/>
  <c r="X402" i="8"/>
  <c r="G403" i="8"/>
  <c r="H403" i="8"/>
  <c r="I403" i="8"/>
  <c r="J403" i="8"/>
  <c r="K403" i="8"/>
  <c r="L403" i="8" s="1"/>
  <c r="N403" i="8"/>
  <c r="O403" i="8"/>
  <c r="P403" i="8"/>
  <c r="Q403" i="8"/>
  <c r="R403" i="8"/>
  <c r="S403" i="8"/>
  <c r="T403" i="8"/>
  <c r="U403" i="8"/>
  <c r="V403" i="8"/>
  <c r="W403" i="8"/>
  <c r="X403" i="8"/>
  <c r="G404" i="8"/>
  <c r="H404" i="8"/>
  <c r="I404" i="8"/>
  <c r="J404" i="8"/>
  <c r="K404" i="8"/>
  <c r="L404" i="8" s="1"/>
  <c r="N404" i="8"/>
  <c r="O404" i="8"/>
  <c r="P404" i="8"/>
  <c r="Q404" i="8"/>
  <c r="R404" i="8"/>
  <c r="S404" i="8"/>
  <c r="T404" i="8"/>
  <c r="U404" i="8"/>
  <c r="V404" i="8"/>
  <c r="W404" i="8"/>
  <c r="X404" i="8"/>
  <c r="G405" i="8"/>
  <c r="H405" i="8"/>
  <c r="I405" i="8"/>
  <c r="J405" i="8"/>
  <c r="K405" i="8"/>
  <c r="N405" i="8"/>
  <c r="O405" i="8"/>
  <c r="P405" i="8"/>
  <c r="Q405" i="8"/>
  <c r="R405" i="8"/>
  <c r="S405" i="8"/>
  <c r="T405" i="8"/>
  <c r="U405" i="8"/>
  <c r="V405" i="8"/>
  <c r="W405" i="8"/>
  <c r="X405" i="8"/>
  <c r="G407" i="8"/>
  <c r="G406" i="8" s="1"/>
  <c r="H407" i="8"/>
  <c r="H406" i="8" s="1"/>
  <c r="I407" i="8"/>
  <c r="I406" i="8" s="1"/>
  <c r="J407" i="8"/>
  <c r="J406" i="8" s="1"/>
  <c r="K407" i="8"/>
  <c r="N407" i="8"/>
  <c r="O407" i="8"/>
  <c r="O406" i="8" s="1"/>
  <c r="P407" i="8"/>
  <c r="P406" i="8" s="1"/>
  <c r="Q407" i="8"/>
  <c r="Q406" i="8" s="1"/>
  <c r="R407" i="8"/>
  <c r="R406" i="8" s="1"/>
  <c r="S407" i="8"/>
  <c r="S406" i="8" s="1"/>
  <c r="T407" i="8"/>
  <c r="T406" i="8" s="1"/>
  <c r="U407" i="8"/>
  <c r="U406" i="8" s="1"/>
  <c r="V407" i="8"/>
  <c r="V406" i="8" s="1"/>
  <c r="W407" i="8"/>
  <c r="W406" i="8" s="1"/>
  <c r="W383" i="8" s="1"/>
  <c r="X407" i="8"/>
  <c r="X406" i="8" s="1"/>
  <c r="D408" i="8"/>
  <c r="G409" i="8"/>
  <c r="G408" i="8" s="1"/>
  <c r="G383" i="8" s="1"/>
  <c r="H409" i="8"/>
  <c r="H408" i="8" s="1"/>
  <c r="I409" i="8"/>
  <c r="I408" i="8" s="1"/>
  <c r="J409" i="8"/>
  <c r="K409" i="8"/>
  <c r="N409" i="8"/>
  <c r="O409" i="8"/>
  <c r="O408" i="8" s="1"/>
  <c r="P409" i="8"/>
  <c r="P408" i="8"/>
  <c r="Q409" i="8"/>
  <c r="Q408" i="8" s="1"/>
  <c r="R409" i="8"/>
  <c r="R408" i="8" s="1"/>
  <c r="S409" i="8"/>
  <c r="S408" i="8" s="1"/>
  <c r="T409" i="8"/>
  <c r="T408" i="8" s="1"/>
  <c r="U409" i="8"/>
  <c r="U408" i="8" s="1"/>
  <c r="V409" i="8"/>
  <c r="V408" i="8" s="1"/>
  <c r="W409" i="8"/>
  <c r="W408" i="8" s="1"/>
  <c r="X409" i="8"/>
  <c r="X408" i="8" s="1"/>
  <c r="G410" i="8"/>
  <c r="H410" i="8"/>
  <c r="I410" i="8"/>
  <c r="J410" i="8"/>
  <c r="K410" i="8"/>
  <c r="N410" i="8"/>
  <c r="O410" i="8"/>
  <c r="P410" i="8"/>
  <c r="Q410" i="8"/>
  <c r="R410" i="8"/>
  <c r="S410" i="8"/>
  <c r="T410" i="8"/>
  <c r="U410" i="8"/>
  <c r="V410" i="8"/>
  <c r="W410" i="8"/>
  <c r="X410" i="8"/>
  <c r="G411" i="8"/>
  <c r="H411" i="8"/>
  <c r="I411" i="8"/>
  <c r="J411" i="8"/>
  <c r="K411" i="8"/>
  <c r="N411" i="8"/>
  <c r="O411" i="8"/>
  <c r="P411" i="8"/>
  <c r="Q411" i="8"/>
  <c r="R411" i="8"/>
  <c r="S411" i="8"/>
  <c r="T411" i="8"/>
  <c r="U411" i="8"/>
  <c r="V411" i="8"/>
  <c r="W411" i="8"/>
  <c r="X411" i="8"/>
  <c r="G412" i="8"/>
  <c r="H412" i="8"/>
  <c r="I412" i="8"/>
  <c r="J412" i="8"/>
  <c r="K412" i="8"/>
  <c r="N412" i="8"/>
  <c r="M412" i="8" s="1"/>
  <c r="O412" i="8"/>
  <c r="P412" i="8"/>
  <c r="Q412" i="8"/>
  <c r="R412" i="8"/>
  <c r="S412" i="8"/>
  <c r="T412" i="8"/>
  <c r="U412" i="8"/>
  <c r="V412" i="8"/>
  <c r="W412" i="8"/>
  <c r="X412" i="8"/>
  <c r="G413" i="8"/>
  <c r="H413" i="8"/>
  <c r="I413" i="8"/>
  <c r="J413" i="8"/>
  <c r="K413" i="8"/>
  <c r="N413" i="8"/>
  <c r="M413" i="8" s="1"/>
  <c r="O413" i="8"/>
  <c r="P413" i="8"/>
  <c r="Q413" i="8"/>
  <c r="R413" i="8"/>
  <c r="S413" i="8"/>
  <c r="T413" i="8"/>
  <c r="U413" i="8"/>
  <c r="V413" i="8"/>
  <c r="W413" i="8"/>
  <c r="X413" i="8"/>
  <c r="G414" i="8"/>
  <c r="H414" i="8"/>
  <c r="I414" i="8"/>
  <c r="J414" i="8"/>
  <c r="K414" i="8"/>
  <c r="N414" i="8"/>
  <c r="M414" i="8" s="1"/>
  <c r="O414" i="8"/>
  <c r="P414" i="8"/>
  <c r="Q414" i="8"/>
  <c r="R414" i="8"/>
  <c r="S414" i="8"/>
  <c r="T414" i="8"/>
  <c r="U414" i="8"/>
  <c r="V414" i="8"/>
  <c r="W414" i="8"/>
  <c r="X414" i="8"/>
  <c r="C415" i="8"/>
  <c r="D416" i="8"/>
  <c r="G417" i="8"/>
  <c r="G416" i="8" s="1"/>
  <c r="G415" i="8" s="1"/>
  <c r="H417" i="8"/>
  <c r="H416" i="8"/>
  <c r="I417" i="8"/>
  <c r="I416" i="8" s="1"/>
  <c r="I415" i="8" s="1"/>
  <c r="J417" i="8"/>
  <c r="J416" i="8" s="1"/>
  <c r="K417" i="8"/>
  <c r="N417" i="8"/>
  <c r="N416" i="8" s="1"/>
  <c r="O417" i="8"/>
  <c r="O416" i="8" s="1"/>
  <c r="P417" i="8"/>
  <c r="P416" i="8"/>
  <c r="Q417" i="8"/>
  <c r="Q416" i="8" s="1"/>
  <c r="Q415" i="8" s="1"/>
  <c r="R417" i="8"/>
  <c r="R416" i="8" s="1"/>
  <c r="S417" i="8"/>
  <c r="S416" i="8"/>
  <c r="T417" i="8"/>
  <c r="T416" i="8" s="1"/>
  <c r="U417" i="8"/>
  <c r="U416" i="8" s="1"/>
  <c r="V417" i="8"/>
  <c r="V416" i="8"/>
  <c r="W417" i="8"/>
  <c r="W416" i="8" s="1"/>
  <c r="X417" i="8"/>
  <c r="X416" i="8"/>
  <c r="D418" i="8"/>
  <c r="G419" i="8"/>
  <c r="G418" i="8"/>
  <c r="H419" i="8"/>
  <c r="H418" i="8"/>
  <c r="H415" i="8" s="1"/>
  <c r="I419" i="8"/>
  <c r="I418" i="8"/>
  <c r="J419" i="8"/>
  <c r="K419" i="8"/>
  <c r="N419" i="8"/>
  <c r="O419" i="8"/>
  <c r="O418" i="8"/>
  <c r="P419" i="8"/>
  <c r="P418" i="8" s="1"/>
  <c r="P415" i="8" s="1"/>
  <c r="Q419" i="8"/>
  <c r="Q418" i="8"/>
  <c r="R419" i="8"/>
  <c r="R418" i="8" s="1"/>
  <c r="S419" i="8"/>
  <c r="S418" i="8" s="1"/>
  <c r="T419" i="8"/>
  <c r="T418" i="8" s="1"/>
  <c r="U419" i="8"/>
  <c r="U418" i="8"/>
  <c r="V419" i="8"/>
  <c r="V418" i="8" s="1"/>
  <c r="W419" i="8"/>
  <c r="W418" i="8"/>
  <c r="W415" i="8" s="1"/>
  <c r="X419" i="8"/>
  <c r="X418" i="8" s="1"/>
  <c r="G420" i="8"/>
  <c r="H420" i="8"/>
  <c r="I420" i="8"/>
  <c r="J420" i="8"/>
  <c r="K420" i="8"/>
  <c r="N420" i="8"/>
  <c r="O420" i="8"/>
  <c r="P420" i="8"/>
  <c r="Q420" i="8"/>
  <c r="R420" i="8"/>
  <c r="S420" i="8"/>
  <c r="T420" i="8"/>
  <c r="U420" i="8"/>
  <c r="V420" i="8"/>
  <c r="W420" i="8"/>
  <c r="X420" i="8"/>
  <c r="G421" i="8"/>
  <c r="H421" i="8"/>
  <c r="I421" i="8"/>
  <c r="J421" i="8"/>
  <c r="K421" i="8"/>
  <c r="N421" i="8"/>
  <c r="O421" i="8"/>
  <c r="P421" i="8"/>
  <c r="Q421" i="8"/>
  <c r="R421" i="8"/>
  <c r="S421" i="8"/>
  <c r="T421" i="8"/>
  <c r="U421" i="8"/>
  <c r="V421" i="8"/>
  <c r="W421" i="8"/>
  <c r="X421" i="8"/>
  <c r="C422" i="8"/>
  <c r="G424" i="8"/>
  <c r="G423" i="8"/>
  <c r="H424" i="8"/>
  <c r="H423" i="8" s="1"/>
  <c r="I424" i="8"/>
  <c r="J424" i="8"/>
  <c r="K424" i="8"/>
  <c r="N424" i="8"/>
  <c r="O424" i="8"/>
  <c r="P424" i="8"/>
  <c r="Q424" i="8"/>
  <c r="R424" i="8"/>
  <c r="S424" i="8"/>
  <c r="T424" i="8"/>
  <c r="U424" i="8"/>
  <c r="V424" i="8"/>
  <c r="W424" i="8"/>
  <c r="W423" i="8" s="1"/>
  <c r="X424" i="8"/>
  <c r="G425" i="8"/>
  <c r="H425" i="8"/>
  <c r="I425" i="8"/>
  <c r="J425" i="8"/>
  <c r="K425" i="8"/>
  <c r="N425" i="8"/>
  <c r="M425" i="8" s="1"/>
  <c r="O425" i="8"/>
  <c r="P425" i="8"/>
  <c r="Q425" i="8"/>
  <c r="R425" i="8"/>
  <c r="S425" i="8"/>
  <c r="T425" i="8"/>
  <c r="U425" i="8"/>
  <c r="V425" i="8"/>
  <c r="W425" i="8"/>
  <c r="X425" i="8"/>
  <c r="D426" i="8"/>
  <c r="G427" i="8"/>
  <c r="H427" i="8"/>
  <c r="I427" i="8"/>
  <c r="J427" i="8"/>
  <c r="K427" i="8"/>
  <c r="N427" i="8"/>
  <c r="O427" i="8"/>
  <c r="P427" i="8"/>
  <c r="Q427" i="8"/>
  <c r="R427" i="8"/>
  <c r="S427" i="8"/>
  <c r="T427" i="8"/>
  <c r="U427" i="8"/>
  <c r="V427" i="8"/>
  <c r="W427" i="8"/>
  <c r="X427" i="8"/>
  <c r="G428" i="8"/>
  <c r="G426" i="8" s="1"/>
  <c r="G422" i="8" s="1"/>
  <c r="H428" i="8"/>
  <c r="H426" i="8" s="1"/>
  <c r="I428" i="8"/>
  <c r="J428" i="8"/>
  <c r="K428" i="8"/>
  <c r="N428" i="8"/>
  <c r="M428" i="8" s="1"/>
  <c r="O428" i="8"/>
  <c r="P428" i="8"/>
  <c r="Q428" i="8"/>
  <c r="R428" i="8"/>
  <c r="R426" i="8" s="1"/>
  <c r="S428" i="8"/>
  <c r="S426" i="8" s="1"/>
  <c r="T428" i="8"/>
  <c r="U428" i="8"/>
  <c r="V428" i="8"/>
  <c r="W428" i="8"/>
  <c r="X428" i="8"/>
  <c r="X426" i="8" s="1"/>
  <c r="C429" i="8"/>
  <c r="D430" i="8"/>
  <c r="G431" i="8"/>
  <c r="G430" i="8" s="1"/>
  <c r="G429" i="8" s="1"/>
  <c r="H431" i="8"/>
  <c r="H430" i="8" s="1"/>
  <c r="H429" i="8" s="1"/>
  <c r="I431" i="8"/>
  <c r="I430" i="8" s="1"/>
  <c r="I429" i="8" s="1"/>
  <c r="J431" i="8"/>
  <c r="J430" i="8" s="1"/>
  <c r="J429" i="8" s="1"/>
  <c r="K431" i="8"/>
  <c r="N431" i="8"/>
  <c r="O431" i="8"/>
  <c r="O430" i="8" s="1"/>
  <c r="O429" i="8" s="1"/>
  <c r="P431" i="8"/>
  <c r="P430" i="8" s="1"/>
  <c r="P429" i="8" s="1"/>
  <c r="Q431" i="8"/>
  <c r="Q430" i="8" s="1"/>
  <c r="Q429" i="8" s="1"/>
  <c r="R431" i="8"/>
  <c r="R430" i="8" s="1"/>
  <c r="R429" i="8" s="1"/>
  <c r="S431" i="8"/>
  <c r="S430" i="8" s="1"/>
  <c r="S429" i="8" s="1"/>
  <c r="T431" i="8"/>
  <c r="T430" i="8" s="1"/>
  <c r="T429" i="8" s="1"/>
  <c r="U431" i="8"/>
  <c r="U430" i="8" s="1"/>
  <c r="U429" i="8" s="1"/>
  <c r="V431" i="8"/>
  <c r="W431" i="8"/>
  <c r="W430" i="8"/>
  <c r="W429" i="8" s="1"/>
  <c r="X431" i="8"/>
  <c r="X430" i="8"/>
  <c r="X429" i="8"/>
  <c r="G432" i="8"/>
  <c r="H432" i="8"/>
  <c r="I432" i="8"/>
  <c r="J432" i="8"/>
  <c r="M432" i="8" s="1"/>
  <c r="K432" i="8"/>
  <c r="L432" i="8" s="1"/>
  <c r="N432" i="8"/>
  <c r="O432" i="8"/>
  <c r="P432" i="8"/>
  <c r="Q432" i="8"/>
  <c r="R432" i="8"/>
  <c r="S432" i="8"/>
  <c r="T432" i="8"/>
  <c r="U432" i="8"/>
  <c r="V432" i="8"/>
  <c r="W432" i="8"/>
  <c r="X432" i="8"/>
  <c r="C433" i="8"/>
  <c r="D434" i="8"/>
  <c r="G435" i="8"/>
  <c r="G434" i="8"/>
  <c r="G433" i="8" s="1"/>
  <c r="H435" i="8"/>
  <c r="H434" i="8" s="1"/>
  <c r="H433" i="8" s="1"/>
  <c r="I435" i="8"/>
  <c r="I434" i="8"/>
  <c r="I433" i="8"/>
  <c r="J435" i="8"/>
  <c r="K435" i="8"/>
  <c r="N435" i="8"/>
  <c r="O435" i="8"/>
  <c r="O434" i="8" s="1"/>
  <c r="O433" i="8" s="1"/>
  <c r="P435" i="8"/>
  <c r="P434" i="8" s="1"/>
  <c r="P433" i="8" s="1"/>
  <c r="Q435" i="8"/>
  <c r="Q434" i="8" s="1"/>
  <c r="Q433" i="8" s="1"/>
  <c r="R435" i="8"/>
  <c r="R434" i="8" s="1"/>
  <c r="R433" i="8" s="1"/>
  <c r="S435" i="8"/>
  <c r="S434" i="8"/>
  <c r="S433" i="8" s="1"/>
  <c r="T435" i="8"/>
  <c r="T434" i="8"/>
  <c r="T433" i="8" s="1"/>
  <c r="U435" i="8"/>
  <c r="U434" i="8"/>
  <c r="U433" i="8" s="1"/>
  <c r="V435" i="8"/>
  <c r="V434" i="8" s="1"/>
  <c r="V433" i="8" s="1"/>
  <c r="W435" i="8"/>
  <c r="W434" i="8" s="1"/>
  <c r="W433" i="8" s="1"/>
  <c r="X435" i="8"/>
  <c r="X434" i="8" s="1"/>
  <c r="X433" i="8" s="1"/>
  <c r="G436" i="8"/>
  <c r="H436" i="8"/>
  <c r="I436" i="8"/>
  <c r="J436" i="8"/>
  <c r="K436" i="8"/>
  <c r="N436" i="8"/>
  <c r="O436" i="8"/>
  <c r="P436" i="8"/>
  <c r="Q436" i="8"/>
  <c r="R436" i="8"/>
  <c r="S436" i="8"/>
  <c r="T436" i="8"/>
  <c r="U436" i="8"/>
  <c r="V436" i="8"/>
  <c r="W436" i="8"/>
  <c r="X436" i="8"/>
  <c r="C437" i="8"/>
  <c r="D438" i="8"/>
  <c r="G439" i="8"/>
  <c r="G438" i="8" s="1"/>
  <c r="H439" i="8"/>
  <c r="H438" i="8" s="1"/>
  <c r="I439" i="8"/>
  <c r="I438" i="8" s="1"/>
  <c r="J439" i="8"/>
  <c r="K439" i="8"/>
  <c r="N439" i="8"/>
  <c r="N438" i="8" s="1"/>
  <c r="O439" i="8"/>
  <c r="O438" i="8" s="1"/>
  <c r="P439" i="8"/>
  <c r="P438" i="8" s="1"/>
  <c r="Q439" i="8"/>
  <c r="Q438" i="8" s="1"/>
  <c r="R439" i="8"/>
  <c r="R438" i="8" s="1"/>
  <c r="S439" i="8"/>
  <c r="S438" i="8" s="1"/>
  <c r="T439" i="8"/>
  <c r="T438" i="8" s="1"/>
  <c r="U439" i="8"/>
  <c r="U438" i="8"/>
  <c r="V439" i="8"/>
  <c r="V438" i="8" s="1"/>
  <c r="W439" i="8"/>
  <c r="W438" i="8" s="1"/>
  <c r="X439" i="8"/>
  <c r="X438" i="8" s="1"/>
  <c r="D440" i="8"/>
  <c r="G441" i="8"/>
  <c r="G440" i="8" s="1"/>
  <c r="H441" i="8"/>
  <c r="H440" i="8"/>
  <c r="I441" i="8"/>
  <c r="I440" i="8" s="1"/>
  <c r="J441" i="8"/>
  <c r="J440" i="8" s="1"/>
  <c r="K441" i="8"/>
  <c r="N441" i="8"/>
  <c r="O441" i="8"/>
  <c r="O440" i="8" s="1"/>
  <c r="P441" i="8"/>
  <c r="P440" i="8" s="1"/>
  <c r="Q441" i="8"/>
  <c r="Q440" i="8" s="1"/>
  <c r="R441" i="8"/>
  <c r="R440" i="8" s="1"/>
  <c r="S441" i="8"/>
  <c r="S440" i="8" s="1"/>
  <c r="T441" i="8"/>
  <c r="T440" i="8" s="1"/>
  <c r="U441" i="8"/>
  <c r="U440" i="8" s="1"/>
  <c r="V441" i="8"/>
  <c r="V440" i="8" s="1"/>
  <c r="W441" i="8"/>
  <c r="X441" i="8"/>
  <c r="G442" i="8"/>
  <c r="H442" i="8"/>
  <c r="I442" i="8"/>
  <c r="J442" i="8"/>
  <c r="K442" i="8"/>
  <c r="N442" i="8"/>
  <c r="O442" i="8"/>
  <c r="P442" i="8"/>
  <c r="Q442" i="8"/>
  <c r="R442" i="8"/>
  <c r="S442" i="8"/>
  <c r="T442" i="8"/>
  <c r="U442" i="8"/>
  <c r="V442" i="8"/>
  <c r="W442" i="8"/>
  <c r="X442" i="8"/>
  <c r="D443" i="8"/>
  <c r="G444" i="8"/>
  <c r="G443" i="8" s="1"/>
  <c r="H444" i="8"/>
  <c r="H443" i="8"/>
  <c r="I444" i="8"/>
  <c r="I443" i="8" s="1"/>
  <c r="J444" i="8"/>
  <c r="K444" i="8"/>
  <c r="K443" i="8" s="1"/>
  <c r="N444" i="8"/>
  <c r="N443" i="8" s="1"/>
  <c r="O444" i="8"/>
  <c r="O443" i="8" s="1"/>
  <c r="P444" i="8"/>
  <c r="P443" i="8" s="1"/>
  <c r="Q444" i="8"/>
  <c r="Q443" i="8" s="1"/>
  <c r="R444" i="8"/>
  <c r="R443" i="8" s="1"/>
  <c r="S444" i="8"/>
  <c r="S443" i="8" s="1"/>
  <c r="T444" i="8"/>
  <c r="T443" i="8" s="1"/>
  <c r="U444" i="8"/>
  <c r="U443" i="8" s="1"/>
  <c r="V444" i="8"/>
  <c r="V443" i="8" s="1"/>
  <c r="W444" i="8"/>
  <c r="W443" i="8" s="1"/>
  <c r="X444" i="8"/>
  <c r="X443" i="8" s="1"/>
  <c r="B446" i="8"/>
  <c r="G449" i="8"/>
  <c r="G448" i="8" s="1"/>
  <c r="H449" i="8"/>
  <c r="H448" i="8" s="1"/>
  <c r="I449" i="8"/>
  <c r="I448" i="8" s="1"/>
  <c r="J449" i="8"/>
  <c r="J448" i="8" s="1"/>
  <c r="K449" i="8"/>
  <c r="N449" i="8"/>
  <c r="O449" i="8"/>
  <c r="O448" i="8"/>
  <c r="P449" i="8"/>
  <c r="P448" i="8" s="1"/>
  <c r="Q449" i="8"/>
  <c r="Q448" i="8" s="1"/>
  <c r="R449" i="8"/>
  <c r="R448" i="8" s="1"/>
  <c r="S449" i="8"/>
  <c r="S448" i="8" s="1"/>
  <c r="T449" i="8"/>
  <c r="T448" i="8" s="1"/>
  <c r="U449" i="8"/>
  <c r="U448" i="8"/>
  <c r="V449" i="8"/>
  <c r="V448" i="8" s="1"/>
  <c r="W449" i="8"/>
  <c r="W448" i="8" s="1"/>
  <c r="X449" i="8"/>
  <c r="X448" i="8" s="1"/>
  <c r="G451" i="8"/>
  <c r="H451" i="8"/>
  <c r="I451" i="8"/>
  <c r="J451" i="8"/>
  <c r="K451" i="8"/>
  <c r="N451" i="8"/>
  <c r="O451" i="8"/>
  <c r="P451" i="8"/>
  <c r="Q451" i="8"/>
  <c r="R451" i="8"/>
  <c r="S451" i="8"/>
  <c r="T451" i="8"/>
  <c r="U451" i="8"/>
  <c r="U450" i="8" s="1"/>
  <c r="U447" i="8" s="1"/>
  <c r="V451" i="8"/>
  <c r="W451" i="8"/>
  <c r="X451" i="8"/>
  <c r="G452" i="8"/>
  <c r="H452" i="8"/>
  <c r="I452" i="8"/>
  <c r="J452" i="8"/>
  <c r="K452" i="8"/>
  <c r="L452" i="8" s="1"/>
  <c r="N452" i="8"/>
  <c r="O452" i="8"/>
  <c r="P452" i="8"/>
  <c r="R452" i="8"/>
  <c r="R450" i="8" s="1"/>
  <c r="R447" i="8" s="1"/>
  <c r="S452" i="8"/>
  <c r="T452" i="8"/>
  <c r="U452" i="8"/>
  <c r="Q452" i="8" s="1"/>
  <c r="V452" i="8"/>
  <c r="V450" i="8" s="1"/>
  <c r="V447" i="8" s="1"/>
  <c r="W452" i="8"/>
  <c r="X452" i="8"/>
  <c r="C453" i="8"/>
  <c r="D454" i="8"/>
  <c r="G455" i="8"/>
  <c r="G454" i="8" s="1"/>
  <c r="H455" i="8"/>
  <c r="H454" i="8"/>
  <c r="I455" i="8"/>
  <c r="I454" i="8" s="1"/>
  <c r="J455" i="8"/>
  <c r="K455" i="8"/>
  <c r="K454" i="8" s="1"/>
  <c r="N455" i="8"/>
  <c r="N454" i="8" s="1"/>
  <c r="O455" i="8"/>
  <c r="O454" i="8" s="1"/>
  <c r="P455" i="8"/>
  <c r="P454" i="8" s="1"/>
  <c r="Q455" i="8"/>
  <c r="Q454" i="8" s="1"/>
  <c r="R455" i="8"/>
  <c r="R454" i="8" s="1"/>
  <c r="S455" i="8"/>
  <c r="S454" i="8" s="1"/>
  <c r="T455" i="8"/>
  <c r="T454" i="8" s="1"/>
  <c r="U455" i="8"/>
  <c r="U454" i="8"/>
  <c r="V455" i="8"/>
  <c r="V454" i="8" s="1"/>
  <c r="W455" i="8"/>
  <c r="W454" i="8" s="1"/>
  <c r="X455" i="8"/>
  <c r="X454" i="8" s="1"/>
  <c r="G456" i="8"/>
  <c r="H456" i="8"/>
  <c r="I456" i="8"/>
  <c r="J456" i="8"/>
  <c r="K456" i="8"/>
  <c r="N456" i="8"/>
  <c r="O456" i="8"/>
  <c r="P456" i="8"/>
  <c r="Q456" i="8"/>
  <c r="R456" i="8"/>
  <c r="S456" i="8"/>
  <c r="T456" i="8"/>
  <c r="U456" i="8"/>
  <c r="V456" i="8"/>
  <c r="W456" i="8"/>
  <c r="X456" i="8"/>
  <c r="G457" i="8"/>
  <c r="H457" i="8"/>
  <c r="I457" i="8"/>
  <c r="J457" i="8"/>
  <c r="K457" i="8"/>
  <c r="L457" i="8"/>
  <c r="N457" i="8"/>
  <c r="O457" i="8"/>
  <c r="P457" i="8"/>
  <c r="Q457" i="8"/>
  <c r="R457" i="8"/>
  <c r="S457" i="8"/>
  <c r="T457" i="8"/>
  <c r="U457" i="8"/>
  <c r="V457" i="8"/>
  <c r="W457" i="8"/>
  <c r="X457" i="8"/>
  <c r="D458" i="8"/>
  <c r="G459" i="8"/>
  <c r="G458" i="8" s="1"/>
  <c r="H459" i="8"/>
  <c r="H458" i="8" s="1"/>
  <c r="I459" i="8"/>
  <c r="I458" i="8" s="1"/>
  <c r="J459" i="8"/>
  <c r="J458" i="8" s="1"/>
  <c r="K459" i="8"/>
  <c r="K458" i="8" s="1"/>
  <c r="N459" i="8"/>
  <c r="O459" i="8"/>
  <c r="O458" i="8" s="1"/>
  <c r="P459" i="8"/>
  <c r="P458" i="8" s="1"/>
  <c r="Q459" i="8"/>
  <c r="Q458" i="8" s="1"/>
  <c r="R459" i="8"/>
  <c r="R458" i="8" s="1"/>
  <c r="S459" i="8"/>
  <c r="S458" i="8"/>
  <c r="T459" i="8"/>
  <c r="T458" i="8" s="1"/>
  <c r="U459" i="8"/>
  <c r="U458" i="8"/>
  <c r="V459" i="8"/>
  <c r="V458" i="8" s="1"/>
  <c r="V453" i="8" s="1"/>
  <c r="W459" i="8"/>
  <c r="W458" i="8" s="1"/>
  <c r="X459" i="8"/>
  <c r="X458" i="8"/>
  <c r="G460" i="8"/>
  <c r="H460" i="8"/>
  <c r="I460" i="8"/>
  <c r="J460" i="8"/>
  <c r="K460" i="8"/>
  <c r="L460" i="8" s="1"/>
  <c r="N460" i="8"/>
  <c r="O460" i="8"/>
  <c r="P460" i="8"/>
  <c r="Q460" i="8"/>
  <c r="R460" i="8"/>
  <c r="S460" i="8"/>
  <c r="T460" i="8"/>
  <c r="U460" i="8"/>
  <c r="V460" i="8"/>
  <c r="W460" i="8"/>
  <c r="X460" i="8"/>
  <c r="G461" i="8"/>
  <c r="H461" i="8"/>
  <c r="I461" i="8"/>
  <c r="J461" i="8"/>
  <c r="K461" i="8"/>
  <c r="L461" i="8" s="1"/>
  <c r="N461" i="8"/>
  <c r="O461" i="8"/>
  <c r="P461" i="8"/>
  <c r="Q461" i="8"/>
  <c r="R461" i="8"/>
  <c r="S461" i="8"/>
  <c r="T461" i="8"/>
  <c r="U461" i="8"/>
  <c r="V461" i="8"/>
  <c r="W461" i="8"/>
  <c r="X461" i="8"/>
  <c r="G462" i="8"/>
  <c r="H462" i="8"/>
  <c r="I462" i="8"/>
  <c r="J462" i="8"/>
  <c r="K462" i="8"/>
  <c r="L462" i="8" s="1"/>
  <c r="N462" i="8"/>
  <c r="O462" i="8"/>
  <c r="P462" i="8"/>
  <c r="Q462" i="8"/>
  <c r="R462" i="8"/>
  <c r="S462" i="8"/>
  <c r="T462" i="8"/>
  <c r="U462" i="8"/>
  <c r="V462" i="8"/>
  <c r="W462" i="8"/>
  <c r="X462" i="8"/>
  <c r="G463" i="8"/>
  <c r="H463" i="8"/>
  <c r="I463" i="8"/>
  <c r="J463" i="8"/>
  <c r="M463" i="8" s="1"/>
  <c r="K463" i="8"/>
  <c r="L463" i="8" s="1"/>
  <c r="N463" i="8"/>
  <c r="O463" i="8"/>
  <c r="P463" i="8"/>
  <c r="Q463" i="8"/>
  <c r="R463" i="8"/>
  <c r="S463" i="8"/>
  <c r="T463" i="8"/>
  <c r="U463" i="8"/>
  <c r="V463" i="8"/>
  <c r="W463" i="8"/>
  <c r="X463" i="8"/>
  <c r="G464" i="8"/>
  <c r="H464" i="8"/>
  <c r="I464" i="8"/>
  <c r="J464" i="8"/>
  <c r="K464" i="8"/>
  <c r="L464" i="8" s="1"/>
  <c r="N464" i="8"/>
  <c r="O464" i="8"/>
  <c r="P464" i="8"/>
  <c r="Q464" i="8"/>
  <c r="R464" i="8"/>
  <c r="S464" i="8"/>
  <c r="T464" i="8"/>
  <c r="U464" i="8"/>
  <c r="V464" i="8"/>
  <c r="W464" i="8"/>
  <c r="X464" i="8"/>
  <c r="G465" i="8"/>
  <c r="H465" i="8"/>
  <c r="I465" i="8"/>
  <c r="J465" i="8"/>
  <c r="M465" i="8" s="1"/>
  <c r="K465" i="8"/>
  <c r="L465" i="8" s="1"/>
  <c r="N465" i="8"/>
  <c r="O465" i="8"/>
  <c r="P465" i="8"/>
  <c r="Q465" i="8"/>
  <c r="R465" i="8"/>
  <c r="S465" i="8"/>
  <c r="T465" i="8"/>
  <c r="U465" i="8"/>
  <c r="V465" i="8"/>
  <c r="W465" i="8"/>
  <c r="X465" i="8"/>
  <c r="D466" i="8"/>
  <c r="G467" i="8"/>
  <c r="G466" i="8"/>
  <c r="H467" i="8"/>
  <c r="H466" i="8" s="1"/>
  <c r="I467" i="8"/>
  <c r="I466" i="8" s="1"/>
  <c r="J467" i="8"/>
  <c r="K467" i="8"/>
  <c r="K466" i="8"/>
  <c r="N467" i="8"/>
  <c r="N466" i="8" s="1"/>
  <c r="O467" i="8"/>
  <c r="O466" i="8"/>
  <c r="P467" i="8"/>
  <c r="P466" i="8" s="1"/>
  <c r="Q467" i="8"/>
  <c r="Q466" i="8" s="1"/>
  <c r="R467" i="8"/>
  <c r="R466" i="8" s="1"/>
  <c r="S467" i="8"/>
  <c r="S466" i="8" s="1"/>
  <c r="T467" i="8"/>
  <c r="T466" i="8" s="1"/>
  <c r="U467" i="8"/>
  <c r="U466" i="8"/>
  <c r="V467" i="8"/>
  <c r="V466" i="8" s="1"/>
  <c r="W467" i="8"/>
  <c r="W466" i="8" s="1"/>
  <c r="X467" i="8"/>
  <c r="X466" i="8" s="1"/>
  <c r="D468" i="8"/>
  <c r="G469" i="8"/>
  <c r="G468" i="8"/>
  <c r="H469" i="8"/>
  <c r="H468" i="8" s="1"/>
  <c r="I469" i="8"/>
  <c r="I468" i="8" s="1"/>
  <c r="O469" i="8"/>
  <c r="O468" i="8" s="1"/>
  <c r="P469" i="8"/>
  <c r="P468" i="8" s="1"/>
  <c r="Q469" i="8"/>
  <c r="Q468" i="8" s="1"/>
  <c r="R469" i="8"/>
  <c r="R468" i="8" s="1"/>
  <c r="S469" i="8"/>
  <c r="S468" i="8" s="1"/>
  <c r="T469" i="8"/>
  <c r="T468" i="8" s="1"/>
  <c r="U469" i="8"/>
  <c r="U468" i="8" s="1"/>
  <c r="V469" i="8"/>
  <c r="V468" i="8"/>
  <c r="W469" i="8"/>
  <c r="W468" i="8" s="1"/>
  <c r="X469" i="8"/>
  <c r="X468" i="8" s="1"/>
  <c r="D470" i="8"/>
  <c r="G471" i="8"/>
  <c r="G470" i="8" s="1"/>
  <c r="H471" i="8"/>
  <c r="H470" i="8" s="1"/>
  <c r="I471" i="8"/>
  <c r="I470" i="8" s="1"/>
  <c r="J471" i="8"/>
  <c r="K471" i="8"/>
  <c r="K470" i="8" s="1"/>
  <c r="N471" i="8"/>
  <c r="N470" i="8" s="1"/>
  <c r="O471" i="8"/>
  <c r="O470" i="8" s="1"/>
  <c r="P471" i="8"/>
  <c r="P470" i="8" s="1"/>
  <c r="R471" i="8"/>
  <c r="R470" i="8" s="1"/>
  <c r="S471" i="8"/>
  <c r="S470" i="8" s="1"/>
  <c r="T471" i="8"/>
  <c r="T470" i="8"/>
  <c r="U471" i="8"/>
  <c r="V471" i="8"/>
  <c r="V470" i="8"/>
  <c r="W471" i="8"/>
  <c r="W470" i="8" s="1"/>
  <c r="X471" i="8"/>
  <c r="X470" i="8"/>
  <c r="D472" i="8"/>
  <c r="G473" i="8"/>
  <c r="G472" i="8" s="1"/>
  <c r="H473" i="8"/>
  <c r="H472" i="8" s="1"/>
  <c r="I473" i="8"/>
  <c r="I472" i="8" s="1"/>
  <c r="J473" i="8"/>
  <c r="J472" i="8" s="1"/>
  <c r="K473" i="8"/>
  <c r="N473" i="8"/>
  <c r="M473" i="8" s="1"/>
  <c r="M472" i="8" s="1"/>
  <c r="O473" i="8"/>
  <c r="O472" i="8" s="1"/>
  <c r="P473" i="8"/>
  <c r="P472" i="8" s="1"/>
  <c r="Q473" i="8"/>
  <c r="Q472" i="8" s="1"/>
  <c r="R473" i="8"/>
  <c r="R472" i="8" s="1"/>
  <c r="S473" i="8"/>
  <c r="S472" i="8" s="1"/>
  <c r="T473" i="8"/>
  <c r="T472" i="8" s="1"/>
  <c r="U473" i="8"/>
  <c r="U472" i="8" s="1"/>
  <c r="V473" i="8"/>
  <c r="W473" i="8"/>
  <c r="W472" i="8"/>
  <c r="X473" i="8"/>
  <c r="X472" i="8" s="1"/>
  <c r="G474" i="8"/>
  <c r="H474" i="8"/>
  <c r="I474" i="8"/>
  <c r="J474" i="8"/>
  <c r="L474" i="8" s="1"/>
  <c r="K474" i="8"/>
  <c r="N474" i="8"/>
  <c r="O474" i="8"/>
  <c r="P474" i="8"/>
  <c r="Q474" i="8"/>
  <c r="R474" i="8"/>
  <c r="S474" i="8"/>
  <c r="T474" i="8"/>
  <c r="U474" i="8"/>
  <c r="V474" i="8"/>
  <c r="W474" i="8"/>
  <c r="X474" i="8"/>
  <c r="C475" i="8"/>
  <c r="D476" i="8"/>
  <c r="G477" i="8"/>
  <c r="G476" i="8" s="1"/>
  <c r="H477" i="8"/>
  <c r="H476" i="8" s="1"/>
  <c r="I477" i="8"/>
  <c r="I476" i="8" s="1"/>
  <c r="J477" i="8"/>
  <c r="J476" i="8"/>
  <c r="K477" i="8"/>
  <c r="N477" i="8"/>
  <c r="O477" i="8"/>
  <c r="O476" i="8"/>
  <c r="P477" i="8"/>
  <c r="P476" i="8" s="1"/>
  <c r="Q477" i="8"/>
  <c r="Q476" i="8" s="1"/>
  <c r="R477" i="8"/>
  <c r="R476" i="8" s="1"/>
  <c r="S477" i="8"/>
  <c r="S476" i="8" s="1"/>
  <c r="S475" i="8" s="1"/>
  <c r="T477" i="8"/>
  <c r="T476" i="8" s="1"/>
  <c r="U477" i="8"/>
  <c r="U476" i="8" s="1"/>
  <c r="V477" i="8"/>
  <c r="V476" i="8"/>
  <c r="W477" i="8"/>
  <c r="W476" i="8" s="1"/>
  <c r="X477" i="8"/>
  <c r="X476" i="8"/>
  <c r="G479" i="8"/>
  <c r="G478" i="8" s="1"/>
  <c r="H479" i="8"/>
  <c r="H478" i="8" s="1"/>
  <c r="I479" i="8"/>
  <c r="I478" i="8"/>
  <c r="J479" i="8"/>
  <c r="K479" i="8"/>
  <c r="N479" i="8"/>
  <c r="N478" i="8"/>
  <c r="O479" i="8"/>
  <c r="O478" i="8" s="1"/>
  <c r="P479" i="8"/>
  <c r="P478" i="8" s="1"/>
  <c r="Q479" i="8"/>
  <c r="Q478" i="8" s="1"/>
  <c r="Q475" i="8" s="1"/>
  <c r="R479" i="8"/>
  <c r="R478" i="8"/>
  <c r="R475" i="8" s="1"/>
  <c r="S479" i="8"/>
  <c r="S478" i="8" s="1"/>
  <c r="T479" i="8"/>
  <c r="T478" i="8" s="1"/>
  <c r="U479" i="8"/>
  <c r="U478" i="8" s="1"/>
  <c r="V479" i="8"/>
  <c r="V478" i="8" s="1"/>
  <c r="W479" i="8"/>
  <c r="W478" i="8" s="1"/>
  <c r="X479" i="8"/>
  <c r="X478" i="8"/>
  <c r="B483" i="8"/>
  <c r="C484" i="8"/>
  <c r="D485" i="8"/>
  <c r="G486" i="8"/>
  <c r="G485" i="8" s="1"/>
  <c r="H486" i="8"/>
  <c r="H485" i="8" s="1"/>
  <c r="I486" i="8"/>
  <c r="I485" i="8" s="1"/>
  <c r="J486" i="8"/>
  <c r="K486" i="8"/>
  <c r="N486" i="8"/>
  <c r="N485" i="8" s="1"/>
  <c r="O486" i="8"/>
  <c r="O485" i="8" s="1"/>
  <c r="P486" i="8"/>
  <c r="P485" i="8"/>
  <c r="Q486" i="8"/>
  <c r="Q485" i="8" s="1"/>
  <c r="Q484" i="8" s="1"/>
  <c r="R486" i="8"/>
  <c r="R485" i="8"/>
  <c r="S486" i="8"/>
  <c r="S485" i="8" s="1"/>
  <c r="T486" i="8"/>
  <c r="T485" i="8" s="1"/>
  <c r="U486" i="8"/>
  <c r="U485" i="8" s="1"/>
  <c r="V486" i="8"/>
  <c r="W486" i="8"/>
  <c r="W485" i="8" s="1"/>
  <c r="X486" i="8"/>
  <c r="X485" i="8"/>
  <c r="G487" i="8"/>
  <c r="H487" i="8"/>
  <c r="I487" i="8"/>
  <c r="J487" i="8"/>
  <c r="K487" i="8"/>
  <c r="N487" i="8"/>
  <c r="M487" i="8" s="1"/>
  <c r="O487" i="8"/>
  <c r="P487" i="8"/>
  <c r="Q487" i="8"/>
  <c r="R487" i="8"/>
  <c r="S487" i="8"/>
  <c r="T487" i="8"/>
  <c r="U487" i="8"/>
  <c r="V487" i="8"/>
  <c r="W487" i="8"/>
  <c r="X487" i="8"/>
  <c r="G488" i="8"/>
  <c r="H488" i="8"/>
  <c r="I488" i="8"/>
  <c r="J488" i="8"/>
  <c r="K488" i="8"/>
  <c r="N488" i="8"/>
  <c r="M488" i="8" s="1"/>
  <c r="O488" i="8"/>
  <c r="P488" i="8"/>
  <c r="Q488" i="8"/>
  <c r="R488" i="8"/>
  <c r="S488" i="8"/>
  <c r="T488" i="8"/>
  <c r="U488" i="8"/>
  <c r="V488" i="8"/>
  <c r="W488" i="8"/>
  <c r="X488" i="8"/>
  <c r="G489" i="8"/>
  <c r="H489" i="8"/>
  <c r="I489" i="8"/>
  <c r="J489" i="8"/>
  <c r="K489" i="8"/>
  <c r="N489" i="8"/>
  <c r="M489" i="8" s="1"/>
  <c r="O489" i="8"/>
  <c r="P489" i="8"/>
  <c r="Q489" i="8"/>
  <c r="R489" i="8"/>
  <c r="S489" i="8"/>
  <c r="T489" i="8"/>
  <c r="U489" i="8"/>
  <c r="V489" i="8"/>
  <c r="W489" i="8"/>
  <c r="X489" i="8"/>
  <c r="D490" i="8"/>
  <c r="H490" i="8"/>
  <c r="G491" i="8"/>
  <c r="G490" i="8"/>
  <c r="H491" i="8"/>
  <c r="I491" i="8"/>
  <c r="I490" i="8" s="1"/>
  <c r="J491" i="8"/>
  <c r="J490" i="8"/>
  <c r="K491" i="8"/>
  <c r="K490" i="8" s="1"/>
  <c r="N491" i="8"/>
  <c r="O491" i="8"/>
  <c r="O490" i="8" s="1"/>
  <c r="P491" i="8"/>
  <c r="P490" i="8"/>
  <c r="Q491" i="8"/>
  <c r="Q490" i="8" s="1"/>
  <c r="R491" i="8"/>
  <c r="R490" i="8"/>
  <c r="S491" i="8"/>
  <c r="S490" i="8" s="1"/>
  <c r="T491" i="8"/>
  <c r="T490" i="8" s="1"/>
  <c r="U491" i="8"/>
  <c r="U490" i="8" s="1"/>
  <c r="V491" i="8"/>
  <c r="V490" i="8" s="1"/>
  <c r="W491" i="8"/>
  <c r="W490" i="8" s="1"/>
  <c r="X491" i="8"/>
  <c r="X490" i="8"/>
  <c r="D492" i="8"/>
  <c r="H492" i="8"/>
  <c r="G493" i="8"/>
  <c r="G492" i="8"/>
  <c r="H493" i="8"/>
  <c r="I493" i="8"/>
  <c r="I492" i="8" s="1"/>
  <c r="J493" i="8"/>
  <c r="K493" i="8"/>
  <c r="L493" i="8" s="1"/>
  <c r="L492" i="8" s="1"/>
  <c r="N493" i="8"/>
  <c r="O493" i="8"/>
  <c r="O492" i="8"/>
  <c r="P493" i="8"/>
  <c r="P492" i="8" s="1"/>
  <c r="Q493" i="8"/>
  <c r="Q492" i="8" s="1"/>
  <c r="R493" i="8"/>
  <c r="R492" i="8" s="1"/>
  <c r="S493" i="8"/>
  <c r="S492" i="8" s="1"/>
  <c r="T493" i="8"/>
  <c r="T492" i="8" s="1"/>
  <c r="U493" i="8"/>
  <c r="U492" i="8" s="1"/>
  <c r="V493" i="8"/>
  <c r="V492" i="8" s="1"/>
  <c r="W493" i="8"/>
  <c r="W492" i="8" s="1"/>
  <c r="X493" i="8"/>
  <c r="X492" i="8" s="1"/>
  <c r="G494" i="8"/>
  <c r="H494" i="8"/>
  <c r="I494" i="8"/>
  <c r="J494" i="8"/>
  <c r="M494" i="8" s="1"/>
  <c r="K494" i="8"/>
  <c r="N494" i="8"/>
  <c r="O494" i="8"/>
  <c r="P494" i="8"/>
  <c r="Q494" i="8"/>
  <c r="R494" i="8"/>
  <c r="S494" i="8"/>
  <c r="T494" i="8"/>
  <c r="U494" i="8"/>
  <c r="V494" i="8"/>
  <c r="W494" i="8"/>
  <c r="X494" i="8"/>
  <c r="C495" i="8"/>
  <c r="D496" i="8"/>
  <c r="G497" i="8"/>
  <c r="G496" i="8" s="1"/>
  <c r="H497" i="8"/>
  <c r="H496" i="8" s="1"/>
  <c r="I497" i="8"/>
  <c r="I496" i="8" s="1"/>
  <c r="J497" i="8"/>
  <c r="K497" i="8"/>
  <c r="K496" i="8" s="1"/>
  <c r="N497" i="8"/>
  <c r="O497" i="8"/>
  <c r="O496" i="8" s="1"/>
  <c r="P497" i="8"/>
  <c r="P496" i="8" s="1"/>
  <c r="Q497" i="8"/>
  <c r="Q496" i="8" s="1"/>
  <c r="R497" i="8"/>
  <c r="R496" i="8"/>
  <c r="S497" i="8"/>
  <c r="S496" i="8" s="1"/>
  <c r="T497" i="8"/>
  <c r="T496" i="8"/>
  <c r="U497" i="8"/>
  <c r="U496" i="8" s="1"/>
  <c r="U495" i="8" s="1"/>
  <c r="V497" i="8"/>
  <c r="V496" i="8" s="1"/>
  <c r="W497" i="8"/>
  <c r="W496" i="8" s="1"/>
  <c r="X497" i="8"/>
  <c r="X496" i="8" s="1"/>
  <c r="G498" i="8"/>
  <c r="H498" i="8"/>
  <c r="I498" i="8"/>
  <c r="J498" i="8"/>
  <c r="K498" i="8"/>
  <c r="N498" i="8"/>
  <c r="M498" i="8" s="1"/>
  <c r="O498" i="8"/>
  <c r="P498" i="8"/>
  <c r="Q498" i="8"/>
  <c r="R498" i="8"/>
  <c r="S498" i="8"/>
  <c r="T498" i="8"/>
  <c r="U498" i="8"/>
  <c r="V498" i="8"/>
  <c r="W498" i="8"/>
  <c r="X498" i="8"/>
  <c r="G499" i="8"/>
  <c r="H499" i="8"/>
  <c r="I499" i="8"/>
  <c r="J499" i="8"/>
  <c r="K499" i="8"/>
  <c r="L499" i="8" s="1"/>
  <c r="N499" i="8"/>
  <c r="O499" i="8"/>
  <c r="P499" i="8"/>
  <c r="Q499" i="8"/>
  <c r="R499" i="8"/>
  <c r="S499" i="8"/>
  <c r="T499" i="8"/>
  <c r="U499" i="8"/>
  <c r="V499" i="8"/>
  <c r="W499" i="8"/>
  <c r="X499" i="8"/>
  <c r="G500" i="8"/>
  <c r="H500" i="8"/>
  <c r="I500" i="8"/>
  <c r="J500" i="8"/>
  <c r="K500" i="8"/>
  <c r="N500" i="8"/>
  <c r="O500" i="8"/>
  <c r="P500" i="8"/>
  <c r="Q500" i="8"/>
  <c r="R500" i="8"/>
  <c r="S500" i="8"/>
  <c r="T500" i="8"/>
  <c r="U500" i="8"/>
  <c r="V500" i="8"/>
  <c r="W500" i="8"/>
  <c r="X500" i="8"/>
  <c r="D501" i="8"/>
  <c r="G502" i="8"/>
  <c r="G501" i="8" s="1"/>
  <c r="H502" i="8"/>
  <c r="H501" i="8" s="1"/>
  <c r="I502" i="8"/>
  <c r="I501" i="8" s="1"/>
  <c r="J502" i="8"/>
  <c r="J501" i="8" s="1"/>
  <c r="K502" i="8"/>
  <c r="K501" i="8" s="1"/>
  <c r="N502" i="8"/>
  <c r="O502" i="8"/>
  <c r="O501" i="8" s="1"/>
  <c r="P502" i="8"/>
  <c r="P501" i="8" s="1"/>
  <c r="Q502" i="8"/>
  <c r="Q501" i="8" s="1"/>
  <c r="R502" i="8"/>
  <c r="R501" i="8" s="1"/>
  <c r="S502" i="8"/>
  <c r="S501" i="8" s="1"/>
  <c r="T502" i="8"/>
  <c r="T501" i="8" s="1"/>
  <c r="U502" i="8"/>
  <c r="U501" i="8" s="1"/>
  <c r="V502" i="8"/>
  <c r="V501" i="8" s="1"/>
  <c r="W502" i="8"/>
  <c r="W501" i="8" s="1"/>
  <c r="X502" i="8"/>
  <c r="X501" i="8" s="1"/>
  <c r="G503" i="8"/>
  <c r="H503" i="8"/>
  <c r="I503" i="8"/>
  <c r="J503" i="8"/>
  <c r="K503" i="8"/>
  <c r="L503" i="8" s="1"/>
  <c r="N503" i="8"/>
  <c r="O503" i="8"/>
  <c r="P503" i="8"/>
  <c r="Q503" i="8"/>
  <c r="R503" i="8"/>
  <c r="S503" i="8"/>
  <c r="T503" i="8"/>
  <c r="U503" i="8"/>
  <c r="V503" i="8"/>
  <c r="W503" i="8"/>
  <c r="X503" i="8"/>
  <c r="G504" i="8"/>
  <c r="H504" i="8"/>
  <c r="I504" i="8"/>
  <c r="J504" i="8"/>
  <c r="K504" i="8"/>
  <c r="N504" i="8"/>
  <c r="M504" i="8" s="1"/>
  <c r="O504" i="8"/>
  <c r="P504" i="8"/>
  <c r="Q504" i="8"/>
  <c r="R504" i="8"/>
  <c r="S504" i="8"/>
  <c r="T504" i="8"/>
  <c r="U504" i="8"/>
  <c r="V504" i="8"/>
  <c r="W504" i="8"/>
  <c r="X504" i="8"/>
  <c r="G505" i="8"/>
  <c r="H505" i="8"/>
  <c r="I505" i="8"/>
  <c r="J505" i="8"/>
  <c r="K505" i="8"/>
  <c r="L505" i="8" s="1"/>
  <c r="N505" i="8"/>
  <c r="O505" i="8"/>
  <c r="P505" i="8"/>
  <c r="Q505" i="8"/>
  <c r="R505" i="8"/>
  <c r="S505" i="8"/>
  <c r="T505" i="8"/>
  <c r="U505" i="8"/>
  <c r="V505" i="8"/>
  <c r="W505" i="8"/>
  <c r="X505" i="8"/>
  <c r="G506" i="8"/>
  <c r="H506" i="8"/>
  <c r="I506" i="8"/>
  <c r="J506" i="8"/>
  <c r="K506" i="8"/>
  <c r="L506" i="8" s="1"/>
  <c r="N506" i="8"/>
  <c r="M506" i="8" s="1"/>
  <c r="O506" i="8"/>
  <c r="P506" i="8"/>
  <c r="Q506" i="8"/>
  <c r="R506" i="8"/>
  <c r="S506" i="8"/>
  <c r="T506" i="8"/>
  <c r="U506" i="8"/>
  <c r="V506" i="8"/>
  <c r="W506" i="8"/>
  <c r="X506" i="8"/>
  <c r="G507" i="8"/>
  <c r="H507" i="8"/>
  <c r="I507" i="8"/>
  <c r="J507" i="8"/>
  <c r="K507" i="8"/>
  <c r="L507" i="8" s="1"/>
  <c r="N507" i="8"/>
  <c r="O507" i="8"/>
  <c r="P507" i="8"/>
  <c r="Q507" i="8"/>
  <c r="R507" i="8"/>
  <c r="S507" i="8"/>
  <c r="T507" i="8"/>
  <c r="U507" i="8"/>
  <c r="V507" i="8"/>
  <c r="W507" i="8"/>
  <c r="X507" i="8"/>
  <c r="D508" i="8"/>
  <c r="G509" i="8"/>
  <c r="G508" i="8" s="1"/>
  <c r="H509" i="8"/>
  <c r="H508" i="8" s="1"/>
  <c r="I509" i="8"/>
  <c r="I508" i="8" s="1"/>
  <c r="J509" i="8"/>
  <c r="K509" i="8"/>
  <c r="N509" i="8"/>
  <c r="O509" i="8"/>
  <c r="O508" i="8" s="1"/>
  <c r="P509" i="8"/>
  <c r="P508" i="8" s="1"/>
  <c r="Q509" i="8"/>
  <c r="Q508" i="8" s="1"/>
  <c r="R509" i="8"/>
  <c r="R508" i="8" s="1"/>
  <c r="S509" i="8"/>
  <c r="S508" i="8"/>
  <c r="T509" i="8"/>
  <c r="T508" i="8" s="1"/>
  <c r="U509" i="8"/>
  <c r="U508" i="8" s="1"/>
  <c r="V509" i="8"/>
  <c r="V508" i="8" s="1"/>
  <c r="W509" i="8"/>
  <c r="W508" i="8" s="1"/>
  <c r="X509" i="8"/>
  <c r="X508" i="8" s="1"/>
  <c r="G510" i="8"/>
  <c r="H510" i="8"/>
  <c r="I510" i="8"/>
  <c r="J510" i="8"/>
  <c r="K510" i="8"/>
  <c r="N510" i="8"/>
  <c r="O510" i="8"/>
  <c r="P510" i="8"/>
  <c r="Q510" i="8"/>
  <c r="R510" i="8"/>
  <c r="S510" i="8"/>
  <c r="T510" i="8"/>
  <c r="U510" i="8"/>
  <c r="V510" i="8"/>
  <c r="W510" i="8"/>
  <c r="X510" i="8"/>
  <c r="G511" i="8"/>
  <c r="H511" i="8"/>
  <c r="I511" i="8"/>
  <c r="J511" i="8"/>
  <c r="L511" i="8" s="1"/>
  <c r="K511" i="8"/>
  <c r="N511" i="8"/>
  <c r="O511" i="8"/>
  <c r="P511" i="8"/>
  <c r="Q511" i="8"/>
  <c r="R511" i="8"/>
  <c r="S511" i="8"/>
  <c r="T511" i="8"/>
  <c r="U511" i="8"/>
  <c r="V511" i="8"/>
  <c r="W511" i="8"/>
  <c r="X511" i="8"/>
  <c r="G512" i="8"/>
  <c r="H512" i="8"/>
  <c r="I512" i="8"/>
  <c r="J512" i="8"/>
  <c r="L512" i="8" s="1"/>
  <c r="K512" i="8"/>
  <c r="N512" i="8"/>
  <c r="O512" i="8"/>
  <c r="P512" i="8"/>
  <c r="Q512" i="8"/>
  <c r="R512" i="8"/>
  <c r="S512" i="8"/>
  <c r="T512" i="8"/>
  <c r="U512" i="8"/>
  <c r="V512" i="8"/>
  <c r="W512" i="8"/>
  <c r="X512" i="8"/>
  <c r="G513" i="8"/>
  <c r="H513" i="8"/>
  <c r="I513" i="8"/>
  <c r="J513" i="8"/>
  <c r="K513" i="8"/>
  <c r="N513" i="8"/>
  <c r="O513" i="8"/>
  <c r="P513" i="8"/>
  <c r="Q513" i="8"/>
  <c r="R513" i="8"/>
  <c r="S513" i="8"/>
  <c r="T513" i="8"/>
  <c r="U513" i="8"/>
  <c r="V513" i="8"/>
  <c r="W513" i="8"/>
  <c r="X513" i="8"/>
  <c r="G514" i="8"/>
  <c r="H514" i="8"/>
  <c r="I514" i="8"/>
  <c r="J514" i="8"/>
  <c r="K514" i="8"/>
  <c r="N514" i="8"/>
  <c r="O514" i="8"/>
  <c r="P514" i="8"/>
  <c r="Q514" i="8"/>
  <c r="R514" i="8"/>
  <c r="S514" i="8"/>
  <c r="T514" i="8"/>
  <c r="U514" i="8"/>
  <c r="V514" i="8"/>
  <c r="W514" i="8"/>
  <c r="X514" i="8"/>
  <c r="G515" i="8"/>
  <c r="H515" i="8"/>
  <c r="I515" i="8"/>
  <c r="J515" i="8"/>
  <c r="K515" i="8"/>
  <c r="N515" i="8"/>
  <c r="O515" i="8"/>
  <c r="P515" i="8"/>
  <c r="Q515" i="8"/>
  <c r="R515" i="8"/>
  <c r="S515" i="8"/>
  <c r="T515" i="8"/>
  <c r="U515" i="8"/>
  <c r="V515" i="8"/>
  <c r="W515" i="8"/>
  <c r="X515" i="8"/>
  <c r="G516" i="8"/>
  <c r="H516" i="8"/>
  <c r="I516" i="8"/>
  <c r="J516" i="8"/>
  <c r="L516" i="8" s="1"/>
  <c r="K516" i="8"/>
  <c r="N516" i="8"/>
  <c r="O516" i="8"/>
  <c r="P516" i="8"/>
  <c r="Q516" i="8"/>
  <c r="R516" i="8"/>
  <c r="S516" i="8"/>
  <c r="T516" i="8"/>
  <c r="U516" i="8"/>
  <c r="V516" i="8"/>
  <c r="W516" i="8"/>
  <c r="X516" i="8"/>
  <c r="G517" i="8"/>
  <c r="H517" i="8"/>
  <c r="I517" i="8"/>
  <c r="J517" i="8"/>
  <c r="K517" i="8"/>
  <c r="N517" i="8"/>
  <c r="O517" i="8"/>
  <c r="P517" i="8"/>
  <c r="Q517" i="8"/>
  <c r="R517" i="8"/>
  <c r="S517" i="8"/>
  <c r="T517" i="8"/>
  <c r="U517" i="8"/>
  <c r="V517" i="8"/>
  <c r="W517" i="8"/>
  <c r="X517" i="8"/>
  <c r="G519" i="8"/>
  <c r="G518" i="8"/>
  <c r="H519" i="8"/>
  <c r="H518" i="8" s="1"/>
  <c r="I519" i="8"/>
  <c r="I518" i="8" s="1"/>
  <c r="J519" i="8"/>
  <c r="K519" i="8"/>
  <c r="K518" i="8"/>
  <c r="N519" i="8"/>
  <c r="N518" i="8" s="1"/>
  <c r="O519" i="8"/>
  <c r="O518" i="8" s="1"/>
  <c r="P519" i="8"/>
  <c r="P518" i="8" s="1"/>
  <c r="Q519" i="8"/>
  <c r="Q518" i="8" s="1"/>
  <c r="R519" i="8"/>
  <c r="R518" i="8" s="1"/>
  <c r="S519" i="8"/>
  <c r="S518" i="8"/>
  <c r="T519" i="8"/>
  <c r="T518" i="8" s="1"/>
  <c r="U519" i="8"/>
  <c r="U518" i="8" s="1"/>
  <c r="V519" i="8"/>
  <c r="V518" i="8" s="1"/>
  <c r="W519" i="8"/>
  <c r="W518" i="8" s="1"/>
  <c r="X519" i="8"/>
  <c r="X518" i="8" s="1"/>
  <c r="D520" i="8"/>
  <c r="G521" i="8"/>
  <c r="G520" i="8" s="1"/>
  <c r="H521" i="8"/>
  <c r="H520" i="8" s="1"/>
  <c r="I521" i="8"/>
  <c r="I520" i="8" s="1"/>
  <c r="J521" i="8"/>
  <c r="K521" i="8"/>
  <c r="N521" i="8"/>
  <c r="N520" i="8" s="1"/>
  <c r="O521" i="8"/>
  <c r="O520" i="8" s="1"/>
  <c r="P521" i="8"/>
  <c r="P520" i="8" s="1"/>
  <c r="Q521" i="8"/>
  <c r="Q520" i="8" s="1"/>
  <c r="R521" i="8"/>
  <c r="R520" i="8"/>
  <c r="S521" i="8"/>
  <c r="S520" i="8" s="1"/>
  <c r="T521" i="8"/>
  <c r="T520" i="8" s="1"/>
  <c r="U521" i="8"/>
  <c r="U520" i="8" s="1"/>
  <c r="V521" i="8"/>
  <c r="V520" i="8" s="1"/>
  <c r="W521" i="8"/>
  <c r="W520" i="8" s="1"/>
  <c r="X521" i="8"/>
  <c r="X520" i="8" s="1"/>
  <c r="G522" i="8"/>
  <c r="H522" i="8"/>
  <c r="I522" i="8"/>
  <c r="J522" i="8"/>
  <c r="K522" i="8"/>
  <c r="N522" i="8"/>
  <c r="M522" i="8" s="1"/>
  <c r="O522" i="8"/>
  <c r="P522" i="8"/>
  <c r="Q522" i="8"/>
  <c r="R522" i="8"/>
  <c r="S522" i="8"/>
  <c r="T522" i="8"/>
  <c r="U522" i="8"/>
  <c r="V522" i="8"/>
  <c r="W522" i="8"/>
  <c r="X522" i="8"/>
  <c r="G523" i="8"/>
  <c r="H523" i="8"/>
  <c r="I523" i="8"/>
  <c r="J523" i="8"/>
  <c r="K523" i="8"/>
  <c r="N523" i="8"/>
  <c r="O523" i="8"/>
  <c r="P523" i="8"/>
  <c r="Q523" i="8"/>
  <c r="R523" i="8"/>
  <c r="S523" i="8"/>
  <c r="T523" i="8"/>
  <c r="U523" i="8"/>
  <c r="V523" i="8"/>
  <c r="W523" i="8"/>
  <c r="X523" i="8"/>
  <c r="G524" i="8"/>
  <c r="H524" i="8"/>
  <c r="I524" i="8"/>
  <c r="J524" i="8"/>
  <c r="K524" i="8"/>
  <c r="N524" i="8"/>
  <c r="O524" i="8"/>
  <c r="P524" i="8"/>
  <c r="Q524" i="8"/>
  <c r="R524" i="8"/>
  <c r="S524" i="8"/>
  <c r="T524" i="8"/>
  <c r="U524" i="8"/>
  <c r="V524" i="8"/>
  <c r="W524" i="8"/>
  <c r="X524" i="8"/>
  <c r="G525" i="8"/>
  <c r="H525" i="8"/>
  <c r="I525" i="8"/>
  <c r="J525" i="8"/>
  <c r="K525" i="8"/>
  <c r="L525" i="8" s="1"/>
  <c r="N525" i="8"/>
  <c r="O525" i="8"/>
  <c r="P525" i="8"/>
  <c r="Q525" i="8"/>
  <c r="R525" i="8"/>
  <c r="S525" i="8"/>
  <c r="T525" i="8"/>
  <c r="U525" i="8"/>
  <c r="V525" i="8"/>
  <c r="W525" i="8"/>
  <c r="X525" i="8"/>
  <c r="G526" i="8"/>
  <c r="H526" i="8"/>
  <c r="I526" i="8"/>
  <c r="J526" i="8"/>
  <c r="K526" i="8"/>
  <c r="L526" i="8" s="1"/>
  <c r="N526" i="8"/>
  <c r="M526" i="8" s="1"/>
  <c r="O526" i="8"/>
  <c r="P526" i="8"/>
  <c r="Q526" i="8"/>
  <c r="R526" i="8"/>
  <c r="S526" i="8"/>
  <c r="T526" i="8"/>
  <c r="U526" i="8"/>
  <c r="V526" i="8"/>
  <c r="W526" i="8"/>
  <c r="X526" i="8"/>
  <c r="C527" i="8"/>
  <c r="D528" i="8"/>
  <c r="G529" i="8"/>
  <c r="G528" i="8" s="1"/>
  <c r="H529" i="8"/>
  <c r="H528" i="8" s="1"/>
  <c r="I529" i="8"/>
  <c r="I528" i="8" s="1"/>
  <c r="I527" i="8" s="1"/>
  <c r="J529" i="8"/>
  <c r="K529" i="8"/>
  <c r="K528" i="8"/>
  <c r="N529" i="8"/>
  <c r="N528" i="8" s="1"/>
  <c r="O529" i="8"/>
  <c r="O528" i="8" s="1"/>
  <c r="O527" i="8" s="1"/>
  <c r="P529" i="8"/>
  <c r="P528" i="8" s="1"/>
  <c r="Q529" i="8"/>
  <c r="Q528" i="8" s="1"/>
  <c r="R529" i="8"/>
  <c r="R528" i="8" s="1"/>
  <c r="S529" i="8"/>
  <c r="S528" i="8" s="1"/>
  <c r="T529" i="8"/>
  <c r="T528" i="8" s="1"/>
  <c r="U529" i="8"/>
  <c r="U528" i="8" s="1"/>
  <c r="V529" i="8"/>
  <c r="V528" i="8" s="1"/>
  <c r="W529" i="8"/>
  <c r="W528" i="8" s="1"/>
  <c r="X529" i="8"/>
  <c r="X528" i="8" s="1"/>
  <c r="X527" i="8" s="1"/>
  <c r="D530" i="8"/>
  <c r="G531" i="8"/>
  <c r="G530" i="8"/>
  <c r="H531" i="8"/>
  <c r="H530" i="8" s="1"/>
  <c r="H527" i="8" s="1"/>
  <c r="I531" i="8"/>
  <c r="I530" i="8" s="1"/>
  <c r="J531" i="8"/>
  <c r="K531" i="8"/>
  <c r="K530" i="8" s="1"/>
  <c r="N531" i="8"/>
  <c r="N530" i="8" s="1"/>
  <c r="N527" i="8" s="1"/>
  <c r="O531" i="8"/>
  <c r="O530" i="8"/>
  <c r="P531" i="8"/>
  <c r="P530" i="8" s="1"/>
  <c r="Q531" i="8"/>
  <c r="Q530" i="8" s="1"/>
  <c r="R531" i="8"/>
  <c r="R530" i="8"/>
  <c r="S531" i="8"/>
  <c r="S530" i="8" s="1"/>
  <c r="T531" i="8"/>
  <c r="T530" i="8" s="1"/>
  <c r="U531" i="8"/>
  <c r="U530" i="8" s="1"/>
  <c r="V531" i="8"/>
  <c r="W531" i="8"/>
  <c r="W530" i="8" s="1"/>
  <c r="X531" i="8"/>
  <c r="X530" i="8" s="1"/>
  <c r="G532" i="8"/>
  <c r="H532" i="8"/>
  <c r="I532" i="8"/>
  <c r="J532" i="8"/>
  <c r="K532" i="8"/>
  <c r="N532" i="8"/>
  <c r="M532" i="8" s="1"/>
  <c r="O532" i="8"/>
  <c r="P532" i="8"/>
  <c r="Q532" i="8"/>
  <c r="R532" i="8"/>
  <c r="S532" i="8"/>
  <c r="T532" i="8"/>
  <c r="U532" i="8"/>
  <c r="V532" i="8"/>
  <c r="W532" i="8"/>
  <c r="X532" i="8"/>
  <c r="G533" i="8"/>
  <c r="H533" i="8"/>
  <c r="I533" i="8"/>
  <c r="J533" i="8"/>
  <c r="K533" i="8"/>
  <c r="N533" i="8"/>
  <c r="M533" i="8" s="1"/>
  <c r="O533" i="8"/>
  <c r="P533" i="8"/>
  <c r="Q533" i="8"/>
  <c r="R533" i="8"/>
  <c r="S533" i="8"/>
  <c r="T533" i="8"/>
  <c r="U533" i="8"/>
  <c r="V533" i="8"/>
  <c r="W533" i="8"/>
  <c r="X533" i="8"/>
  <c r="C534" i="8"/>
  <c r="G536" i="8"/>
  <c r="G535" i="8" s="1"/>
  <c r="H536" i="8"/>
  <c r="H535" i="8" s="1"/>
  <c r="I536" i="8"/>
  <c r="J536" i="8"/>
  <c r="K536" i="8"/>
  <c r="N536" i="8"/>
  <c r="O536" i="8"/>
  <c r="P536" i="8"/>
  <c r="Q536" i="8"/>
  <c r="R536" i="8"/>
  <c r="S536" i="8"/>
  <c r="T536" i="8"/>
  <c r="U536" i="8"/>
  <c r="V536" i="8"/>
  <c r="W536" i="8"/>
  <c r="X536" i="8"/>
  <c r="G537" i="8"/>
  <c r="H537" i="8"/>
  <c r="I537" i="8"/>
  <c r="J537" i="8"/>
  <c r="K537" i="8"/>
  <c r="N537" i="8"/>
  <c r="O537" i="8"/>
  <c r="P537" i="8"/>
  <c r="Q537" i="8"/>
  <c r="R537" i="8"/>
  <c r="S537" i="8"/>
  <c r="T537" i="8"/>
  <c r="U537" i="8"/>
  <c r="V537" i="8"/>
  <c r="W537" i="8"/>
  <c r="X537" i="8"/>
  <c r="D538" i="8"/>
  <c r="G539" i="8"/>
  <c r="H539" i="8"/>
  <c r="I539" i="8"/>
  <c r="J539" i="8"/>
  <c r="K539" i="8"/>
  <c r="N539" i="8"/>
  <c r="M539" i="8" s="1"/>
  <c r="O539" i="8"/>
  <c r="P539" i="8"/>
  <c r="Q539" i="8"/>
  <c r="R539" i="8"/>
  <c r="S539" i="8"/>
  <c r="T539" i="8"/>
  <c r="U539" i="8"/>
  <c r="V539" i="8"/>
  <c r="W539" i="8"/>
  <c r="X539" i="8"/>
  <c r="G540" i="8"/>
  <c r="H540" i="8"/>
  <c r="H538" i="8" s="1"/>
  <c r="I540" i="8"/>
  <c r="I538" i="8" s="1"/>
  <c r="J540" i="8"/>
  <c r="K540" i="8"/>
  <c r="N540" i="8"/>
  <c r="N538" i="8" s="1"/>
  <c r="O540" i="8"/>
  <c r="O538" i="8" s="1"/>
  <c r="P540" i="8"/>
  <c r="Q540" i="8"/>
  <c r="R540" i="8"/>
  <c r="R538" i="8" s="1"/>
  <c r="S540" i="8"/>
  <c r="T540" i="8"/>
  <c r="U540" i="8"/>
  <c r="U538" i="8" s="1"/>
  <c r="V540" i="8"/>
  <c r="W540" i="8"/>
  <c r="X540" i="8"/>
  <c r="C541" i="8"/>
  <c r="D542" i="8"/>
  <c r="G543" i="8"/>
  <c r="G542" i="8" s="1"/>
  <c r="G541" i="8" s="1"/>
  <c r="H543" i="8"/>
  <c r="H542" i="8" s="1"/>
  <c r="H541" i="8" s="1"/>
  <c r="I543" i="8"/>
  <c r="I542" i="8" s="1"/>
  <c r="I541" i="8" s="1"/>
  <c r="J543" i="8"/>
  <c r="J542" i="8" s="1"/>
  <c r="J541" i="8" s="1"/>
  <c r="K543" i="8"/>
  <c r="N543" i="8"/>
  <c r="O543" i="8"/>
  <c r="O542" i="8" s="1"/>
  <c r="O541" i="8" s="1"/>
  <c r="P543" i="8"/>
  <c r="P542" i="8" s="1"/>
  <c r="P541" i="8" s="1"/>
  <c r="Q543" i="8"/>
  <c r="Q542" i="8" s="1"/>
  <c r="Q541" i="8" s="1"/>
  <c r="R543" i="8"/>
  <c r="R542" i="8" s="1"/>
  <c r="R541" i="8" s="1"/>
  <c r="S543" i="8"/>
  <c r="S542" i="8" s="1"/>
  <c r="S541" i="8"/>
  <c r="T543" i="8"/>
  <c r="T542" i="8" s="1"/>
  <c r="T541" i="8" s="1"/>
  <c r="U543" i="8"/>
  <c r="U542" i="8" s="1"/>
  <c r="U541" i="8" s="1"/>
  <c r="V543" i="8"/>
  <c r="W543" i="8"/>
  <c r="W542" i="8"/>
  <c r="W541" i="8" s="1"/>
  <c r="X543" i="8"/>
  <c r="X542" i="8" s="1"/>
  <c r="X541" i="8" s="1"/>
  <c r="G544" i="8"/>
  <c r="H544" i="8"/>
  <c r="I544" i="8"/>
  <c r="J544" i="8"/>
  <c r="K544" i="8"/>
  <c r="N544" i="8"/>
  <c r="M544" i="8" s="1"/>
  <c r="O544" i="8"/>
  <c r="P544" i="8"/>
  <c r="Q544" i="8"/>
  <c r="R544" i="8"/>
  <c r="S544" i="8"/>
  <c r="T544" i="8"/>
  <c r="U544" i="8"/>
  <c r="V544" i="8"/>
  <c r="W544" i="8"/>
  <c r="X544" i="8"/>
  <c r="C545" i="8"/>
  <c r="D546" i="8"/>
  <c r="G547" i="8"/>
  <c r="G546" i="8" s="1"/>
  <c r="G545" i="8" s="1"/>
  <c r="H547" i="8"/>
  <c r="H546" i="8"/>
  <c r="H545" i="8"/>
  <c r="I547" i="8"/>
  <c r="I546" i="8" s="1"/>
  <c r="I545" i="8" s="1"/>
  <c r="J547" i="8"/>
  <c r="K547" i="8"/>
  <c r="K546" i="8" s="1"/>
  <c r="K545" i="8" s="1"/>
  <c r="L545" i="8" s="1"/>
  <c r="N547" i="8"/>
  <c r="O547" i="8"/>
  <c r="O546" i="8"/>
  <c r="O545" i="8" s="1"/>
  <c r="P547" i="8"/>
  <c r="P546" i="8" s="1"/>
  <c r="P545" i="8" s="1"/>
  <c r="Q547" i="8"/>
  <c r="Q546" i="8" s="1"/>
  <c r="Q545" i="8" s="1"/>
  <c r="R547" i="8"/>
  <c r="R546" i="8" s="1"/>
  <c r="R545" i="8" s="1"/>
  <c r="S547" i="8"/>
  <c r="S546" i="8" s="1"/>
  <c r="S545" i="8" s="1"/>
  <c r="T547" i="8"/>
  <c r="T546" i="8" s="1"/>
  <c r="T545" i="8" s="1"/>
  <c r="U547" i="8"/>
  <c r="U546" i="8" s="1"/>
  <c r="U545" i="8" s="1"/>
  <c r="V547" i="8"/>
  <c r="W547" i="8"/>
  <c r="W546" i="8" s="1"/>
  <c r="W545" i="8" s="1"/>
  <c r="X547" i="8"/>
  <c r="X546" i="8" s="1"/>
  <c r="X545" i="8" s="1"/>
  <c r="G548" i="8"/>
  <c r="H548" i="8"/>
  <c r="I548" i="8"/>
  <c r="J548" i="8"/>
  <c r="K548" i="8"/>
  <c r="N548" i="8"/>
  <c r="M548" i="8" s="1"/>
  <c r="O548" i="8"/>
  <c r="P548" i="8"/>
  <c r="Q548" i="8"/>
  <c r="R548" i="8"/>
  <c r="S548" i="8"/>
  <c r="T548" i="8"/>
  <c r="U548" i="8"/>
  <c r="V548" i="8"/>
  <c r="W548" i="8"/>
  <c r="X548" i="8"/>
  <c r="C549" i="8"/>
  <c r="D550" i="8"/>
  <c r="G551" i="8"/>
  <c r="G550" i="8"/>
  <c r="H551" i="8"/>
  <c r="H550" i="8" s="1"/>
  <c r="I551" i="8"/>
  <c r="I550" i="8" s="1"/>
  <c r="J551" i="8"/>
  <c r="J550" i="8" s="1"/>
  <c r="K551" i="8"/>
  <c r="N551" i="8"/>
  <c r="O551" i="8"/>
  <c r="O550" i="8" s="1"/>
  <c r="P551" i="8"/>
  <c r="P550" i="8"/>
  <c r="Q551" i="8"/>
  <c r="Q550" i="8" s="1"/>
  <c r="R551" i="8"/>
  <c r="R550" i="8" s="1"/>
  <c r="S551" i="8"/>
  <c r="S550" i="8" s="1"/>
  <c r="T551" i="8"/>
  <c r="T550" i="8"/>
  <c r="T549" i="8" s="1"/>
  <c r="U551" i="8"/>
  <c r="U550" i="8" s="1"/>
  <c r="V551" i="8"/>
  <c r="V550" i="8" s="1"/>
  <c r="W551" i="8"/>
  <c r="W550" i="8" s="1"/>
  <c r="X551" i="8"/>
  <c r="X550" i="8" s="1"/>
  <c r="D552" i="8"/>
  <c r="G553" i="8"/>
  <c r="G552" i="8"/>
  <c r="H553" i="8"/>
  <c r="H552" i="8" s="1"/>
  <c r="I553" i="8"/>
  <c r="I552" i="8" s="1"/>
  <c r="J553" i="8"/>
  <c r="K553" i="8"/>
  <c r="N553" i="8"/>
  <c r="N552" i="8" s="1"/>
  <c r="O553" i="8"/>
  <c r="O552" i="8" s="1"/>
  <c r="P553" i="8"/>
  <c r="P552" i="8" s="1"/>
  <c r="Q553" i="8"/>
  <c r="Q552" i="8" s="1"/>
  <c r="R553" i="8"/>
  <c r="R552" i="8" s="1"/>
  <c r="S553" i="8"/>
  <c r="S552" i="8" s="1"/>
  <c r="T553" i="8"/>
  <c r="T552" i="8" s="1"/>
  <c r="U553" i="8"/>
  <c r="U552" i="8" s="1"/>
  <c r="V553" i="8"/>
  <c r="W553" i="8"/>
  <c r="X553" i="8"/>
  <c r="G554" i="8"/>
  <c r="H554" i="8"/>
  <c r="I554" i="8"/>
  <c r="J554" i="8"/>
  <c r="K554" i="8"/>
  <c r="N554" i="8"/>
  <c r="M554" i="8" s="1"/>
  <c r="O554" i="8"/>
  <c r="P554" i="8"/>
  <c r="Q554" i="8"/>
  <c r="R554" i="8"/>
  <c r="S554" i="8"/>
  <c r="T554" i="8"/>
  <c r="U554" i="8"/>
  <c r="V554" i="8"/>
  <c r="W554" i="8"/>
  <c r="X554" i="8"/>
  <c r="D555" i="8"/>
  <c r="G556" i="8"/>
  <c r="G555" i="8" s="1"/>
  <c r="H556" i="8"/>
  <c r="H555" i="8" s="1"/>
  <c r="I556" i="8"/>
  <c r="I555" i="8" s="1"/>
  <c r="J556" i="8"/>
  <c r="J555" i="8"/>
  <c r="L555" i="8" s="1"/>
  <c r="K556" i="8"/>
  <c r="K555" i="8" s="1"/>
  <c r="N556" i="8"/>
  <c r="M556" i="8" s="1"/>
  <c r="O556" i="8"/>
  <c r="O555" i="8"/>
  <c r="P556" i="8"/>
  <c r="P555" i="8" s="1"/>
  <c r="Q556" i="8"/>
  <c r="Q555" i="8" s="1"/>
  <c r="R556" i="8"/>
  <c r="R555" i="8" s="1"/>
  <c r="S556" i="8"/>
  <c r="S555" i="8" s="1"/>
  <c r="T556" i="8"/>
  <c r="T555" i="8" s="1"/>
  <c r="U556" i="8"/>
  <c r="U555" i="8"/>
  <c r="U549" i="8" s="1"/>
  <c r="V556" i="8"/>
  <c r="V555" i="8" s="1"/>
  <c r="W556" i="8"/>
  <c r="W555" i="8" s="1"/>
  <c r="X556" i="8"/>
  <c r="X555" i="8" s="1"/>
  <c r="B558" i="8"/>
  <c r="G561" i="8"/>
  <c r="G560" i="8" s="1"/>
  <c r="H561" i="8"/>
  <c r="H560" i="8"/>
  <c r="I561" i="8"/>
  <c r="I560" i="8" s="1"/>
  <c r="J561" i="8"/>
  <c r="J560" i="8" s="1"/>
  <c r="K561" i="8"/>
  <c r="N561" i="8"/>
  <c r="O561" i="8"/>
  <c r="O560" i="8" s="1"/>
  <c r="P561" i="8"/>
  <c r="P560" i="8" s="1"/>
  <c r="Q561" i="8"/>
  <c r="Q560" i="8" s="1"/>
  <c r="R561" i="8"/>
  <c r="R560" i="8" s="1"/>
  <c r="S561" i="8"/>
  <c r="S560" i="8" s="1"/>
  <c r="T561" i="8"/>
  <c r="T560" i="8" s="1"/>
  <c r="U561" i="8"/>
  <c r="U560" i="8" s="1"/>
  <c r="V561" i="8"/>
  <c r="V560" i="8" s="1"/>
  <c r="W561" i="8"/>
  <c r="W560" i="8"/>
  <c r="X561" i="8"/>
  <c r="X560" i="8" s="1"/>
  <c r="G563" i="8"/>
  <c r="H563" i="8"/>
  <c r="I563" i="8"/>
  <c r="I562" i="8" s="1"/>
  <c r="I559" i="8" s="1"/>
  <c r="J563" i="8"/>
  <c r="K563" i="8"/>
  <c r="L563" i="8" s="1"/>
  <c r="N563" i="8"/>
  <c r="O563" i="8"/>
  <c r="P563" i="8"/>
  <c r="Q563" i="8"/>
  <c r="R563" i="8"/>
  <c r="S563" i="8"/>
  <c r="S562" i="8" s="1"/>
  <c r="T563" i="8"/>
  <c r="U563" i="8"/>
  <c r="U562" i="8" s="1"/>
  <c r="U559" i="8" s="1"/>
  <c r="V563" i="8"/>
  <c r="W563" i="8"/>
  <c r="W562" i="8" s="1"/>
  <c r="W559" i="8" s="1"/>
  <c r="X563" i="8"/>
  <c r="G564" i="8"/>
  <c r="H564" i="8"/>
  <c r="I564" i="8"/>
  <c r="J564" i="8"/>
  <c r="K564" i="8"/>
  <c r="L564" i="8" s="1"/>
  <c r="N564" i="8"/>
  <c r="O564" i="8"/>
  <c r="Q564" i="8" s="1"/>
  <c r="P564" i="8"/>
  <c r="R564" i="8"/>
  <c r="S564" i="8"/>
  <c r="T564" i="8"/>
  <c r="U564" i="8"/>
  <c r="V564" i="8"/>
  <c r="W564" i="8"/>
  <c r="X564" i="8"/>
  <c r="C565" i="8"/>
  <c r="D566" i="8"/>
  <c r="G567" i="8"/>
  <c r="G566" i="8" s="1"/>
  <c r="H567" i="8"/>
  <c r="H566" i="8" s="1"/>
  <c r="I567" i="8"/>
  <c r="I566" i="8" s="1"/>
  <c r="J567" i="8"/>
  <c r="K567" i="8"/>
  <c r="L567" i="8" s="1"/>
  <c r="L566" i="8" s="1"/>
  <c r="N567" i="8"/>
  <c r="O567" i="8"/>
  <c r="O566" i="8" s="1"/>
  <c r="P567" i="8"/>
  <c r="P566" i="8"/>
  <c r="Q567" i="8"/>
  <c r="Q566" i="8" s="1"/>
  <c r="R567" i="8"/>
  <c r="R566" i="8" s="1"/>
  <c r="S567" i="8"/>
  <c r="S566" i="8" s="1"/>
  <c r="T567" i="8"/>
  <c r="T566" i="8" s="1"/>
  <c r="U567" i="8"/>
  <c r="U566" i="8" s="1"/>
  <c r="V567" i="8"/>
  <c r="W567" i="8"/>
  <c r="W566" i="8" s="1"/>
  <c r="X567" i="8"/>
  <c r="X566" i="8" s="1"/>
  <c r="G568" i="8"/>
  <c r="H568" i="8"/>
  <c r="I568" i="8"/>
  <c r="J568" i="8"/>
  <c r="K568" i="8"/>
  <c r="N568" i="8"/>
  <c r="O568" i="8"/>
  <c r="P568" i="8"/>
  <c r="Q568" i="8"/>
  <c r="R568" i="8"/>
  <c r="S568" i="8"/>
  <c r="T568" i="8"/>
  <c r="U568" i="8"/>
  <c r="V568" i="8"/>
  <c r="W568" i="8"/>
  <c r="X568" i="8"/>
  <c r="G569" i="8"/>
  <c r="H569" i="8"/>
  <c r="I569" i="8"/>
  <c r="J569" i="8"/>
  <c r="K569" i="8"/>
  <c r="L569" i="8" s="1"/>
  <c r="N569" i="8"/>
  <c r="M569" i="8" s="1"/>
  <c r="O569" i="8"/>
  <c r="P569" i="8"/>
  <c r="Q569" i="8"/>
  <c r="R569" i="8"/>
  <c r="S569" i="8"/>
  <c r="T569" i="8"/>
  <c r="U569" i="8"/>
  <c r="V569" i="8"/>
  <c r="W569" i="8"/>
  <c r="X569" i="8"/>
  <c r="D570" i="8"/>
  <c r="G571" i="8"/>
  <c r="G570" i="8" s="1"/>
  <c r="H571" i="8"/>
  <c r="H570" i="8" s="1"/>
  <c r="I571" i="8"/>
  <c r="I570" i="8" s="1"/>
  <c r="J571" i="8"/>
  <c r="L571" i="8" s="1"/>
  <c r="L570" i="8" s="1"/>
  <c r="K571" i="8"/>
  <c r="K570" i="8" s="1"/>
  <c r="N571" i="8"/>
  <c r="O571" i="8"/>
  <c r="O570" i="8"/>
  <c r="P571" i="8"/>
  <c r="P570" i="8" s="1"/>
  <c r="Q571" i="8"/>
  <c r="Q570" i="8"/>
  <c r="R571" i="8"/>
  <c r="R570" i="8" s="1"/>
  <c r="S571" i="8"/>
  <c r="S570" i="8"/>
  <c r="T571" i="8"/>
  <c r="T570" i="8" s="1"/>
  <c r="U571" i="8"/>
  <c r="U570" i="8" s="1"/>
  <c r="V571" i="8"/>
  <c r="W571" i="8"/>
  <c r="W570" i="8" s="1"/>
  <c r="X571" i="8"/>
  <c r="X570" i="8" s="1"/>
  <c r="G572" i="8"/>
  <c r="H572" i="8"/>
  <c r="I572" i="8"/>
  <c r="J572" i="8"/>
  <c r="K572" i="8"/>
  <c r="N572" i="8"/>
  <c r="O572" i="8"/>
  <c r="P572" i="8"/>
  <c r="Q572" i="8"/>
  <c r="R572" i="8"/>
  <c r="S572" i="8"/>
  <c r="T572" i="8"/>
  <c r="U572" i="8"/>
  <c r="V572" i="8"/>
  <c r="W572" i="8"/>
  <c r="X572" i="8"/>
  <c r="G573" i="8"/>
  <c r="H573" i="8"/>
  <c r="I573" i="8"/>
  <c r="J573" i="8"/>
  <c r="K573" i="8"/>
  <c r="N573" i="8"/>
  <c r="O573" i="8"/>
  <c r="P573" i="8"/>
  <c r="Q573" i="8"/>
  <c r="R573" i="8"/>
  <c r="S573" i="8"/>
  <c r="T573" i="8"/>
  <c r="U573" i="8"/>
  <c r="V573" i="8"/>
  <c r="W573" i="8"/>
  <c r="X573" i="8"/>
  <c r="G574" i="8"/>
  <c r="H574" i="8"/>
  <c r="I574" i="8"/>
  <c r="J574" i="8"/>
  <c r="K574" i="8"/>
  <c r="N574" i="8"/>
  <c r="O574" i="8"/>
  <c r="P574" i="8"/>
  <c r="Q574" i="8"/>
  <c r="R574" i="8"/>
  <c r="S574" i="8"/>
  <c r="T574" i="8"/>
  <c r="U574" i="8"/>
  <c r="V574" i="8"/>
  <c r="W574" i="8"/>
  <c r="X574" i="8"/>
  <c r="G575" i="8"/>
  <c r="H575" i="8"/>
  <c r="I575" i="8"/>
  <c r="J575" i="8"/>
  <c r="K575" i="8"/>
  <c r="N575" i="8"/>
  <c r="O575" i="8"/>
  <c r="P575" i="8"/>
  <c r="Q575" i="8"/>
  <c r="R575" i="8"/>
  <c r="S575" i="8"/>
  <c r="T575" i="8"/>
  <c r="U575" i="8"/>
  <c r="V575" i="8"/>
  <c r="W575" i="8"/>
  <c r="X575" i="8"/>
  <c r="G576" i="8"/>
  <c r="H576" i="8"/>
  <c r="I576" i="8"/>
  <c r="J576" i="8"/>
  <c r="K576" i="8"/>
  <c r="N576" i="8"/>
  <c r="O576" i="8"/>
  <c r="P576" i="8"/>
  <c r="Q576" i="8"/>
  <c r="R576" i="8"/>
  <c r="S576" i="8"/>
  <c r="T576" i="8"/>
  <c r="U576" i="8"/>
  <c r="V576" i="8"/>
  <c r="W576" i="8"/>
  <c r="X576" i="8"/>
  <c r="G577" i="8"/>
  <c r="H577" i="8"/>
  <c r="I577" i="8"/>
  <c r="J577" i="8"/>
  <c r="K577" i="8"/>
  <c r="N577" i="8"/>
  <c r="O577" i="8"/>
  <c r="P577" i="8"/>
  <c r="Q577" i="8"/>
  <c r="R577" i="8"/>
  <c r="S577" i="8"/>
  <c r="T577" i="8"/>
  <c r="U577" i="8"/>
  <c r="V577" i="8"/>
  <c r="W577" i="8"/>
  <c r="X577" i="8"/>
  <c r="D578" i="8"/>
  <c r="G579" i="8"/>
  <c r="G578" i="8" s="1"/>
  <c r="H579" i="8"/>
  <c r="H578" i="8" s="1"/>
  <c r="I579" i="8"/>
  <c r="I578" i="8"/>
  <c r="J579" i="8"/>
  <c r="K579" i="8"/>
  <c r="N579" i="8"/>
  <c r="O579" i="8"/>
  <c r="O578" i="8" s="1"/>
  <c r="P579" i="8"/>
  <c r="P578" i="8" s="1"/>
  <c r="Q579" i="8"/>
  <c r="Q578" i="8" s="1"/>
  <c r="R579" i="8"/>
  <c r="R578" i="8"/>
  <c r="S579" i="8"/>
  <c r="S578" i="8" s="1"/>
  <c r="T579" i="8"/>
  <c r="T578" i="8" s="1"/>
  <c r="U579" i="8"/>
  <c r="U578" i="8" s="1"/>
  <c r="V579" i="8"/>
  <c r="V578" i="8" s="1"/>
  <c r="W579" i="8"/>
  <c r="W578" i="8" s="1"/>
  <c r="X579" i="8"/>
  <c r="X578" i="8" s="1"/>
  <c r="D580" i="8"/>
  <c r="G581" i="8"/>
  <c r="G580" i="8"/>
  <c r="H581" i="8"/>
  <c r="H580" i="8" s="1"/>
  <c r="I581" i="8"/>
  <c r="I580" i="8" s="1"/>
  <c r="O581" i="8"/>
  <c r="O580" i="8" s="1"/>
  <c r="P581" i="8"/>
  <c r="P580" i="8" s="1"/>
  <c r="Q581" i="8"/>
  <c r="Q580" i="8" s="1"/>
  <c r="R581" i="8"/>
  <c r="R580" i="8"/>
  <c r="S581" i="8"/>
  <c r="S580" i="8" s="1"/>
  <c r="S565" i="8" s="1"/>
  <c r="T581" i="8"/>
  <c r="T580" i="8" s="1"/>
  <c r="U581" i="8"/>
  <c r="U580" i="8" s="1"/>
  <c r="V581" i="8"/>
  <c r="V580" i="8"/>
  <c r="W581" i="8"/>
  <c r="W580" i="8" s="1"/>
  <c r="X581" i="8"/>
  <c r="X580" i="8" s="1"/>
  <c r="D582" i="8"/>
  <c r="G583" i="8"/>
  <c r="G582" i="8" s="1"/>
  <c r="H583" i="8"/>
  <c r="H582" i="8" s="1"/>
  <c r="I583" i="8"/>
  <c r="I582" i="8" s="1"/>
  <c r="J583" i="8"/>
  <c r="J582" i="8" s="1"/>
  <c r="K583" i="8"/>
  <c r="N583" i="8"/>
  <c r="O583" i="8"/>
  <c r="Q583" i="8" s="1"/>
  <c r="P583" i="8"/>
  <c r="P582" i="8" s="1"/>
  <c r="R583" i="8"/>
  <c r="R582" i="8" s="1"/>
  <c r="S583" i="8"/>
  <c r="S582" i="8" s="1"/>
  <c r="T583" i="8"/>
  <c r="T582" i="8" s="1"/>
  <c r="U583" i="8"/>
  <c r="V583" i="8"/>
  <c r="V582" i="8"/>
  <c r="W583" i="8"/>
  <c r="W582" i="8" s="1"/>
  <c r="X583" i="8"/>
  <c r="X582" i="8"/>
  <c r="D584" i="8"/>
  <c r="G585" i="8"/>
  <c r="G584" i="8" s="1"/>
  <c r="H585" i="8"/>
  <c r="H584" i="8" s="1"/>
  <c r="I585" i="8"/>
  <c r="I584" i="8" s="1"/>
  <c r="J585" i="8"/>
  <c r="J584" i="8" s="1"/>
  <c r="K585" i="8"/>
  <c r="K584" i="8" s="1"/>
  <c r="N585" i="8"/>
  <c r="O585" i="8"/>
  <c r="O584" i="8"/>
  <c r="P585" i="8"/>
  <c r="P584" i="8"/>
  <c r="Q585" i="8"/>
  <c r="Q584" i="8"/>
  <c r="R585" i="8"/>
  <c r="R584" i="8"/>
  <c r="S585" i="8"/>
  <c r="S584" i="8"/>
  <c r="T585" i="8"/>
  <c r="T584" i="8"/>
  <c r="U585" i="8"/>
  <c r="U584" i="8"/>
  <c r="V585" i="8"/>
  <c r="V584" i="8" s="1"/>
  <c r="W585" i="8"/>
  <c r="W584" i="8" s="1"/>
  <c r="X585" i="8"/>
  <c r="X584" i="8"/>
  <c r="G586" i="8"/>
  <c r="H586" i="8"/>
  <c r="I586" i="8"/>
  <c r="J586" i="8"/>
  <c r="K586" i="8"/>
  <c r="N586" i="8"/>
  <c r="O586" i="8"/>
  <c r="P586" i="8"/>
  <c r="Q586" i="8"/>
  <c r="R586" i="8"/>
  <c r="S586" i="8"/>
  <c r="T586" i="8"/>
  <c r="U586" i="8"/>
  <c r="V586" i="8"/>
  <c r="W586" i="8"/>
  <c r="X586" i="8"/>
  <c r="C587" i="8"/>
  <c r="D588" i="8"/>
  <c r="G589" i="8"/>
  <c r="G588" i="8"/>
  <c r="H589" i="8"/>
  <c r="H588" i="8" s="1"/>
  <c r="I589" i="8"/>
  <c r="I588" i="8" s="1"/>
  <c r="J589" i="8"/>
  <c r="J588" i="8" s="1"/>
  <c r="K589" i="8"/>
  <c r="N589" i="8"/>
  <c r="O589" i="8"/>
  <c r="O588" i="8"/>
  <c r="P589" i="8"/>
  <c r="P588" i="8" s="1"/>
  <c r="Q589" i="8"/>
  <c r="Q588" i="8"/>
  <c r="R589" i="8"/>
  <c r="R588" i="8" s="1"/>
  <c r="S589" i="8"/>
  <c r="S588" i="8" s="1"/>
  <c r="T589" i="8"/>
  <c r="T588" i="8" s="1"/>
  <c r="U589" i="8"/>
  <c r="U588" i="8" s="1"/>
  <c r="V589" i="8"/>
  <c r="V588" i="8" s="1"/>
  <c r="V587" i="8" s="1"/>
  <c r="W589" i="8"/>
  <c r="W588" i="8" s="1"/>
  <c r="X589" i="8"/>
  <c r="X588" i="8"/>
  <c r="G591" i="8"/>
  <c r="G590" i="8" s="1"/>
  <c r="H591" i="8"/>
  <c r="H590" i="8" s="1"/>
  <c r="I591" i="8"/>
  <c r="I590" i="8" s="1"/>
  <c r="J591" i="8"/>
  <c r="K591" i="8"/>
  <c r="K590" i="8" s="1"/>
  <c r="N591" i="8"/>
  <c r="N590" i="8"/>
  <c r="O591" i="8"/>
  <c r="O590" i="8" s="1"/>
  <c r="P591" i="8"/>
  <c r="P590" i="8"/>
  <c r="Q591" i="8"/>
  <c r="Q590" i="8" s="1"/>
  <c r="R591" i="8"/>
  <c r="R590" i="8" s="1"/>
  <c r="S591" i="8"/>
  <c r="S590" i="8" s="1"/>
  <c r="T591" i="8"/>
  <c r="T590" i="8" s="1"/>
  <c r="U591" i="8"/>
  <c r="U590" i="8" s="1"/>
  <c r="V591" i="8"/>
  <c r="V590" i="8" s="1"/>
  <c r="W591" i="8"/>
  <c r="W590" i="8"/>
  <c r="X591" i="8"/>
  <c r="X590" i="8" s="1"/>
  <c r="B593" i="8"/>
  <c r="C594" i="8"/>
  <c r="D595" i="8"/>
  <c r="G596" i="8"/>
  <c r="G595" i="8" s="1"/>
  <c r="H596" i="8"/>
  <c r="H595" i="8" s="1"/>
  <c r="H594" i="8" s="1"/>
  <c r="I596" i="8"/>
  <c r="I595" i="8"/>
  <c r="I594" i="8" s="1"/>
  <c r="J596" i="8"/>
  <c r="J595" i="8"/>
  <c r="K596" i="8"/>
  <c r="N596" i="8"/>
  <c r="N595" i="8" s="1"/>
  <c r="O596" i="8"/>
  <c r="O595" i="8"/>
  <c r="P596" i="8"/>
  <c r="P595" i="8"/>
  <c r="P594" i="8" s="1"/>
  <c r="R596" i="8"/>
  <c r="R595" i="8"/>
  <c r="S596" i="8"/>
  <c r="S595" i="8" s="1"/>
  <c r="S594" i="8" s="1"/>
  <c r="T596" i="8"/>
  <c r="T595" i="8" s="1"/>
  <c r="U596" i="8"/>
  <c r="U595" i="8" s="1"/>
  <c r="V596" i="8"/>
  <c r="V595" i="8" s="1"/>
  <c r="W596" i="8"/>
  <c r="W595" i="8" s="1"/>
  <c r="X596" i="8"/>
  <c r="X595" i="8" s="1"/>
  <c r="X594" i="8" s="1"/>
  <c r="D597" i="8"/>
  <c r="U597" i="8"/>
  <c r="V597" i="8"/>
  <c r="W597" i="8"/>
  <c r="X597" i="8"/>
  <c r="G598" i="8"/>
  <c r="G597" i="8" s="1"/>
  <c r="H598" i="8"/>
  <c r="I598" i="8"/>
  <c r="I597" i="8"/>
  <c r="J598" i="8"/>
  <c r="J597" i="8"/>
  <c r="J594" i="8" s="1"/>
  <c r="K598" i="8"/>
  <c r="N598" i="8"/>
  <c r="O598" i="8"/>
  <c r="O597" i="8"/>
  <c r="P598" i="8"/>
  <c r="P597" i="8"/>
  <c r="R598" i="8"/>
  <c r="R597" i="8"/>
  <c r="R594" i="8" s="1"/>
  <c r="S598" i="8"/>
  <c r="S597" i="8"/>
  <c r="T598" i="8"/>
  <c r="T597" i="8"/>
  <c r="U600" i="8"/>
  <c r="U599" i="8" s="1"/>
  <c r="V600" i="8"/>
  <c r="V599" i="8" s="1"/>
  <c r="W600" i="8"/>
  <c r="W599" i="8" s="1"/>
  <c r="X600" i="8"/>
  <c r="X599" i="8" s="1"/>
  <c r="G601" i="8"/>
  <c r="G600" i="8"/>
  <c r="G599" i="8" s="1"/>
  <c r="H601" i="8"/>
  <c r="H600" i="8"/>
  <c r="H599" i="8" s="1"/>
  <c r="I601" i="8"/>
  <c r="I600" i="8"/>
  <c r="I599" i="8" s="1"/>
  <c r="J601" i="8"/>
  <c r="J600" i="8" s="1"/>
  <c r="K601" i="8"/>
  <c r="N601" i="8"/>
  <c r="N600" i="8" s="1"/>
  <c r="O601" i="8"/>
  <c r="P601" i="8"/>
  <c r="P600" i="8" s="1"/>
  <c r="P599" i="8" s="1"/>
  <c r="R601" i="8"/>
  <c r="R600" i="8" s="1"/>
  <c r="R599" i="8" s="1"/>
  <c r="S601" i="8"/>
  <c r="S600" i="8"/>
  <c r="S599" i="8" s="1"/>
  <c r="T601" i="8"/>
  <c r="T600" i="8" s="1"/>
  <c r="T599" i="8" s="1"/>
  <c r="C602" i="8"/>
  <c r="D603" i="8"/>
  <c r="G604" i="8"/>
  <c r="H604" i="8"/>
  <c r="I604" i="8"/>
  <c r="J604" i="8"/>
  <c r="M604" i="8" s="1"/>
  <c r="K604" i="8"/>
  <c r="N604" i="8"/>
  <c r="O604" i="8"/>
  <c r="P604" i="8"/>
  <c r="R604" i="8"/>
  <c r="S604" i="8"/>
  <c r="T604" i="8"/>
  <c r="U604" i="8"/>
  <c r="G605" i="8"/>
  <c r="H605" i="8"/>
  <c r="I605" i="8"/>
  <c r="J605" i="8"/>
  <c r="M605" i="8" s="1"/>
  <c r="K605" i="8"/>
  <c r="N605" i="8"/>
  <c r="O605" i="8"/>
  <c r="P605" i="8"/>
  <c r="R605" i="8"/>
  <c r="S605" i="8"/>
  <c r="T605" i="8"/>
  <c r="U605" i="8"/>
  <c r="Q605" i="8" s="1"/>
  <c r="V605" i="8"/>
  <c r="V603" i="8" s="1"/>
  <c r="V602" i="8" s="1"/>
  <c r="W605" i="8"/>
  <c r="W603" i="8" s="1"/>
  <c r="W602" i="8" s="1"/>
  <c r="X605" i="8"/>
  <c r="X603" i="8" s="1"/>
  <c r="X602" i="8" s="1"/>
  <c r="D611" i="8"/>
  <c r="G612" i="8"/>
  <c r="G611" i="8" s="1"/>
  <c r="G610" i="8" s="1"/>
  <c r="H612" i="8"/>
  <c r="H611" i="8"/>
  <c r="H610" i="8" s="1"/>
  <c r="I612" i="8"/>
  <c r="I611" i="8" s="1"/>
  <c r="I610" i="8" s="1"/>
  <c r="J612" i="8"/>
  <c r="K612" i="8"/>
  <c r="N612" i="8"/>
  <c r="N611" i="8" s="1"/>
  <c r="N610" i="8" s="1"/>
  <c r="O612" i="8"/>
  <c r="O611" i="8" s="1"/>
  <c r="O610" i="8" s="1"/>
  <c r="P612" i="8"/>
  <c r="P611" i="8" s="1"/>
  <c r="P610" i="8" s="1"/>
  <c r="Q612" i="8"/>
  <c r="Q611" i="8"/>
  <c r="Q610" i="8" s="1"/>
  <c r="R612" i="8"/>
  <c r="R611" i="8" s="1"/>
  <c r="R610" i="8" s="1"/>
  <c r="S612" i="8"/>
  <c r="S611" i="8"/>
  <c r="S610" i="8" s="1"/>
  <c r="T612" i="8"/>
  <c r="T611" i="8" s="1"/>
  <c r="T610" i="8" s="1"/>
  <c r="U612" i="8"/>
  <c r="U611" i="8"/>
  <c r="U610" i="8" s="1"/>
  <c r="V612" i="8"/>
  <c r="W612" i="8"/>
  <c r="W611" i="8" s="1"/>
  <c r="W610" i="8" s="1"/>
  <c r="X612" i="8"/>
  <c r="X611" i="8"/>
  <c r="X610" i="8" s="1"/>
  <c r="G613" i="8"/>
  <c r="H613" i="8"/>
  <c r="I613" i="8"/>
  <c r="J613" i="8"/>
  <c r="K613" i="8"/>
  <c r="N613" i="8"/>
  <c r="M613" i="8" s="1"/>
  <c r="O613" i="8"/>
  <c r="P613" i="8"/>
  <c r="Q613" i="8"/>
  <c r="R613" i="8"/>
  <c r="S613" i="8"/>
  <c r="T613" i="8"/>
  <c r="U613" i="8"/>
  <c r="V613" i="8"/>
  <c r="W613" i="8"/>
  <c r="X613" i="8"/>
  <c r="G614" i="8"/>
  <c r="H614" i="8"/>
  <c r="I614" i="8"/>
  <c r="J614" i="8"/>
  <c r="K614" i="8"/>
  <c r="N614" i="8"/>
  <c r="O614" i="8"/>
  <c r="P614" i="8"/>
  <c r="Q614" i="8"/>
  <c r="R614" i="8"/>
  <c r="S614" i="8"/>
  <c r="T614" i="8"/>
  <c r="U614" i="8"/>
  <c r="V614" i="8"/>
  <c r="W614" i="8"/>
  <c r="X614" i="8"/>
  <c r="G615" i="8"/>
  <c r="H615" i="8"/>
  <c r="I615" i="8"/>
  <c r="J615" i="8"/>
  <c r="K615" i="8"/>
  <c r="N615" i="8"/>
  <c r="O615" i="8"/>
  <c r="P615" i="8"/>
  <c r="Q615" i="8"/>
  <c r="R615" i="8"/>
  <c r="S615" i="8"/>
  <c r="T615" i="8"/>
  <c r="U615" i="8"/>
  <c r="V615" i="8"/>
  <c r="W615" i="8"/>
  <c r="X615" i="8"/>
  <c r="G616" i="8"/>
  <c r="H616" i="8"/>
  <c r="I616" i="8"/>
  <c r="J616" i="8"/>
  <c r="K616" i="8"/>
  <c r="N616" i="8"/>
  <c r="O616" i="8"/>
  <c r="P616" i="8"/>
  <c r="Q616" i="8"/>
  <c r="R616" i="8"/>
  <c r="S616" i="8"/>
  <c r="T616" i="8"/>
  <c r="U616" i="8"/>
  <c r="V616" i="8"/>
  <c r="W616" i="8"/>
  <c r="X616" i="8"/>
  <c r="G617" i="8"/>
  <c r="H617" i="8"/>
  <c r="I617" i="8"/>
  <c r="J617" i="8"/>
  <c r="K617" i="8"/>
  <c r="N617" i="8"/>
  <c r="O617" i="8"/>
  <c r="P617" i="8"/>
  <c r="Q617" i="8"/>
  <c r="R617" i="8"/>
  <c r="S617" i="8"/>
  <c r="T617" i="8"/>
  <c r="U617" i="8"/>
  <c r="V617" i="8"/>
  <c r="W617" i="8"/>
  <c r="X617" i="8"/>
  <c r="C618" i="8"/>
  <c r="D619" i="8"/>
  <c r="G620" i="8"/>
  <c r="G619" i="8"/>
  <c r="G618" i="8" s="1"/>
  <c r="H620" i="8"/>
  <c r="H619" i="8"/>
  <c r="H618" i="8" s="1"/>
  <c r="I620" i="8"/>
  <c r="I619" i="8" s="1"/>
  <c r="I618" i="8" s="1"/>
  <c r="J620" i="8"/>
  <c r="K620" i="8"/>
  <c r="N620" i="8"/>
  <c r="O620" i="8"/>
  <c r="O619" i="8" s="1"/>
  <c r="O618" i="8" s="1"/>
  <c r="P620" i="8"/>
  <c r="P619" i="8" s="1"/>
  <c r="P618" i="8" s="1"/>
  <c r="Q620" i="8"/>
  <c r="Q619" i="8" s="1"/>
  <c r="Q618" i="8" s="1"/>
  <c r="R620" i="8"/>
  <c r="R619" i="8" s="1"/>
  <c r="R618" i="8" s="1"/>
  <c r="S620" i="8"/>
  <c r="S619" i="8" s="1"/>
  <c r="S618" i="8"/>
  <c r="T620" i="8"/>
  <c r="T619" i="8" s="1"/>
  <c r="T618" i="8" s="1"/>
  <c r="U620" i="8"/>
  <c r="U619" i="8" s="1"/>
  <c r="U618" i="8" s="1"/>
  <c r="V620" i="8"/>
  <c r="W620" i="8"/>
  <c r="W619" i="8" s="1"/>
  <c r="W618" i="8" s="1"/>
  <c r="X620" i="8"/>
  <c r="X619" i="8"/>
  <c r="X618" i="8" s="1"/>
  <c r="G621" i="8"/>
  <c r="H621" i="8"/>
  <c r="I621" i="8"/>
  <c r="J621" i="8"/>
  <c r="K621" i="8"/>
  <c r="N621" i="8"/>
  <c r="O621" i="8"/>
  <c r="P621" i="8"/>
  <c r="Q621" i="8"/>
  <c r="R621" i="8"/>
  <c r="S621" i="8"/>
  <c r="T621" i="8"/>
  <c r="U621" i="8"/>
  <c r="V621" i="8"/>
  <c r="W621" i="8"/>
  <c r="X621" i="8"/>
  <c r="C622" i="8"/>
  <c r="D623" i="8"/>
  <c r="G624" i="8"/>
  <c r="G623" i="8" s="1"/>
  <c r="H624" i="8"/>
  <c r="H623" i="8"/>
  <c r="I624" i="8"/>
  <c r="I623" i="8" s="1"/>
  <c r="J624" i="8"/>
  <c r="J623" i="8" s="1"/>
  <c r="K624" i="8"/>
  <c r="L624" i="8" s="1"/>
  <c r="K623" i="8"/>
  <c r="N624" i="8"/>
  <c r="N623" i="8" s="1"/>
  <c r="O624" i="8"/>
  <c r="O623" i="8"/>
  <c r="P624" i="8"/>
  <c r="P623" i="8" s="1"/>
  <c r="Q624" i="8"/>
  <c r="Q623" i="8" s="1"/>
  <c r="R624" i="8"/>
  <c r="R623" i="8" s="1"/>
  <c r="S624" i="8"/>
  <c r="S623" i="8" s="1"/>
  <c r="T624" i="8"/>
  <c r="T623" i="8" s="1"/>
  <c r="U624" i="8"/>
  <c r="U623" i="8" s="1"/>
  <c r="V624" i="8"/>
  <c r="V623" i="8" s="1"/>
  <c r="W624" i="8"/>
  <c r="W623" i="8" s="1"/>
  <c r="X624" i="8"/>
  <c r="X623" i="8"/>
  <c r="D625" i="8"/>
  <c r="G626" i="8"/>
  <c r="G625" i="8" s="1"/>
  <c r="H626" i="8"/>
  <c r="H625" i="8" s="1"/>
  <c r="I626" i="8"/>
  <c r="I625" i="8" s="1"/>
  <c r="J626" i="8"/>
  <c r="K626" i="8"/>
  <c r="K625" i="8" s="1"/>
  <c r="N626" i="8"/>
  <c r="O626" i="8"/>
  <c r="O625" i="8"/>
  <c r="P626" i="8"/>
  <c r="P625" i="8" s="1"/>
  <c r="Q626" i="8"/>
  <c r="Q625" i="8" s="1"/>
  <c r="R626" i="8"/>
  <c r="R625" i="8" s="1"/>
  <c r="S626" i="8"/>
  <c r="S625" i="8" s="1"/>
  <c r="T626" i="8"/>
  <c r="T625" i="8"/>
  <c r="U626" i="8"/>
  <c r="U625" i="8" s="1"/>
  <c r="V626" i="8"/>
  <c r="W626" i="8"/>
  <c r="X626" i="8"/>
  <c r="G627" i="8"/>
  <c r="H627" i="8"/>
  <c r="I627" i="8"/>
  <c r="J627" i="8"/>
  <c r="K627" i="8"/>
  <c r="N627" i="8"/>
  <c r="O627" i="8"/>
  <c r="P627" i="8"/>
  <c r="Q627" i="8"/>
  <c r="R627" i="8"/>
  <c r="S627" i="8"/>
  <c r="T627" i="8"/>
  <c r="U627" i="8"/>
  <c r="V627" i="8"/>
  <c r="W627" i="8"/>
  <c r="X627" i="8"/>
  <c r="D628" i="8"/>
  <c r="G629" i="8"/>
  <c r="G628" i="8" s="1"/>
  <c r="H629" i="8"/>
  <c r="H628" i="8" s="1"/>
  <c r="I629" i="8"/>
  <c r="I628" i="8"/>
  <c r="J629" i="8"/>
  <c r="K629" i="8"/>
  <c r="K628" i="8" s="1"/>
  <c r="N629" i="8"/>
  <c r="O629" i="8"/>
  <c r="O628" i="8" s="1"/>
  <c r="P629" i="8"/>
  <c r="P628" i="8"/>
  <c r="Q629" i="8"/>
  <c r="Q628" i="8" s="1"/>
  <c r="R629" i="8"/>
  <c r="R628" i="8" s="1"/>
  <c r="S629" i="8"/>
  <c r="S628" i="8" s="1"/>
  <c r="T629" i="8"/>
  <c r="T628" i="8"/>
  <c r="U629" i="8"/>
  <c r="U628" i="8" s="1"/>
  <c r="V629" i="8"/>
  <c r="V628" i="8" s="1"/>
  <c r="W629" i="8"/>
  <c r="W628" i="8" s="1"/>
  <c r="X629" i="8"/>
  <c r="X628" i="8"/>
  <c r="B633" i="8"/>
  <c r="C634" i="8"/>
  <c r="D635" i="8"/>
  <c r="G636" i="8"/>
  <c r="G635" i="8" s="1"/>
  <c r="G634" i="8" s="1"/>
  <c r="H636" i="8"/>
  <c r="H635" i="8" s="1"/>
  <c r="I636" i="8"/>
  <c r="I635" i="8" s="1"/>
  <c r="J636" i="8"/>
  <c r="M636" i="8" s="1"/>
  <c r="K636" i="8"/>
  <c r="L636" i="8" s="1"/>
  <c r="L635" i="8" s="1"/>
  <c r="N636" i="8"/>
  <c r="N635" i="8" s="1"/>
  <c r="O636" i="8"/>
  <c r="O635" i="8" s="1"/>
  <c r="P636" i="8"/>
  <c r="P635" i="8" s="1"/>
  <c r="Q636" i="8"/>
  <c r="Q635" i="8" s="1"/>
  <c r="R636" i="8"/>
  <c r="R635" i="8" s="1"/>
  <c r="S636" i="8"/>
  <c r="S635" i="8" s="1"/>
  <c r="S634" i="8" s="1"/>
  <c r="T636" i="8"/>
  <c r="T635" i="8" s="1"/>
  <c r="U636" i="8"/>
  <c r="U635" i="8"/>
  <c r="U634" i="8" s="1"/>
  <c r="V636" i="8"/>
  <c r="V635" i="8" s="1"/>
  <c r="W636" i="8"/>
  <c r="W635" i="8" s="1"/>
  <c r="X636" i="8"/>
  <c r="X635" i="8"/>
  <c r="G637" i="8"/>
  <c r="H637" i="8"/>
  <c r="I637" i="8"/>
  <c r="J637" i="8"/>
  <c r="M637" i="8" s="1"/>
  <c r="K637" i="8"/>
  <c r="N637" i="8"/>
  <c r="O637" i="8"/>
  <c r="P637" i="8"/>
  <c r="Q637" i="8"/>
  <c r="R637" i="8"/>
  <c r="S637" i="8"/>
  <c r="T637" i="8"/>
  <c r="U637" i="8"/>
  <c r="V637" i="8"/>
  <c r="W637" i="8"/>
  <c r="X637" i="8"/>
  <c r="G638" i="8"/>
  <c r="H638" i="8"/>
  <c r="I638" i="8"/>
  <c r="J638" i="8"/>
  <c r="M638" i="8" s="1"/>
  <c r="K638" i="8"/>
  <c r="N638" i="8"/>
  <c r="O638" i="8"/>
  <c r="P638" i="8"/>
  <c r="Q638" i="8"/>
  <c r="R638" i="8"/>
  <c r="S638" i="8"/>
  <c r="T638" i="8"/>
  <c r="U638" i="8"/>
  <c r="V638" i="8"/>
  <c r="W638" i="8"/>
  <c r="X638" i="8"/>
  <c r="G639" i="8"/>
  <c r="H639" i="8"/>
  <c r="I639" i="8"/>
  <c r="J639" i="8"/>
  <c r="M639" i="8" s="1"/>
  <c r="K639" i="8"/>
  <c r="N639" i="8"/>
  <c r="O639" i="8"/>
  <c r="P639" i="8"/>
  <c r="Q639" i="8"/>
  <c r="R639" i="8"/>
  <c r="S639" i="8"/>
  <c r="T639" i="8"/>
  <c r="U639" i="8"/>
  <c r="V639" i="8"/>
  <c r="W639" i="8"/>
  <c r="X639" i="8"/>
  <c r="D640" i="8"/>
  <c r="H640" i="8"/>
  <c r="G641" i="8"/>
  <c r="G640" i="8"/>
  <c r="H641" i="8"/>
  <c r="I641" i="8"/>
  <c r="I640" i="8" s="1"/>
  <c r="J641" i="8"/>
  <c r="J640" i="8" s="1"/>
  <c r="K641" i="8"/>
  <c r="N641" i="8"/>
  <c r="N640" i="8" s="1"/>
  <c r="M640" i="8" s="1"/>
  <c r="O641" i="8"/>
  <c r="O640" i="8"/>
  <c r="P641" i="8"/>
  <c r="P640" i="8" s="1"/>
  <c r="Q641" i="8"/>
  <c r="Q640" i="8" s="1"/>
  <c r="R641" i="8"/>
  <c r="R640" i="8" s="1"/>
  <c r="S641" i="8"/>
  <c r="S640" i="8"/>
  <c r="T641" i="8"/>
  <c r="T640" i="8" s="1"/>
  <c r="U641" i="8"/>
  <c r="U640" i="8"/>
  <c r="V641" i="8"/>
  <c r="V640" i="8" s="1"/>
  <c r="W641" i="8"/>
  <c r="W640" i="8"/>
  <c r="X641" i="8"/>
  <c r="X640" i="8" s="1"/>
  <c r="D642" i="8"/>
  <c r="H642" i="8"/>
  <c r="G643" i="8"/>
  <c r="G642" i="8" s="1"/>
  <c r="H643" i="8"/>
  <c r="I643" i="8"/>
  <c r="I642" i="8" s="1"/>
  <c r="J643" i="8"/>
  <c r="J642" i="8" s="1"/>
  <c r="K643" i="8"/>
  <c r="N643" i="8"/>
  <c r="O643" i="8"/>
  <c r="O642" i="8" s="1"/>
  <c r="P643" i="8"/>
  <c r="P642" i="8"/>
  <c r="Q643" i="8"/>
  <c r="Q642" i="8" s="1"/>
  <c r="R643" i="8"/>
  <c r="R642" i="8"/>
  <c r="S643" i="8"/>
  <c r="S642" i="8" s="1"/>
  <c r="T643" i="8"/>
  <c r="T642" i="8"/>
  <c r="U643" i="8"/>
  <c r="U642" i="8" s="1"/>
  <c r="V643" i="8"/>
  <c r="W643" i="8"/>
  <c r="W642" i="8" s="1"/>
  <c r="X643" i="8"/>
  <c r="X642" i="8" s="1"/>
  <c r="G644" i="8"/>
  <c r="H644" i="8"/>
  <c r="I644" i="8"/>
  <c r="J644" i="8"/>
  <c r="K644" i="8"/>
  <c r="N644" i="8"/>
  <c r="O644" i="8"/>
  <c r="P644" i="8"/>
  <c r="Q644" i="8"/>
  <c r="R644" i="8"/>
  <c r="S644" i="8"/>
  <c r="T644" i="8"/>
  <c r="U644" i="8"/>
  <c r="V644" i="8"/>
  <c r="W644" i="8"/>
  <c r="X644" i="8"/>
  <c r="C645" i="8"/>
  <c r="D646" i="8"/>
  <c r="G647" i="8"/>
  <c r="G646" i="8" s="1"/>
  <c r="H647" i="8"/>
  <c r="H646" i="8" s="1"/>
  <c r="I647" i="8"/>
  <c r="I646" i="8" s="1"/>
  <c r="J647" i="8"/>
  <c r="M647" i="8" s="1"/>
  <c r="K647" i="8"/>
  <c r="N647" i="8"/>
  <c r="O647" i="8"/>
  <c r="O646" i="8" s="1"/>
  <c r="P647" i="8"/>
  <c r="P646" i="8" s="1"/>
  <c r="P645" i="8" s="1"/>
  <c r="Q647" i="8"/>
  <c r="Q646" i="8" s="1"/>
  <c r="R647" i="8"/>
  <c r="R646" i="8"/>
  <c r="S647" i="8"/>
  <c r="S646" i="8" s="1"/>
  <c r="T647" i="8"/>
  <c r="T646" i="8" s="1"/>
  <c r="U647" i="8"/>
  <c r="U646" i="8" s="1"/>
  <c r="V647" i="8"/>
  <c r="V646" i="8" s="1"/>
  <c r="W647" i="8"/>
  <c r="W646" i="8" s="1"/>
  <c r="X647" i="8"/>
  <c r="X646" i="8"/>
  <c r="G648" i="8"/>
  <c r="H648" i="8"/>
  <c r="I648" i="8"/>
  <c r="J648" i="8"/>
  <c r="K648" i="8"/>
  <c r="L648" i="8" s="1"/>
  <c r="N648" i="8"/>
  <c r="O648" i="8"/>
  <c r="P648" i="8"/>
  <c r="Q648" i="8"/>
  <c r="R648" i="8"/>
  <c r="S648" i="8"/>
  <c r="T648" i="8"/>
  <c r="U648" i="8"/>
  <c r="V648" i="8"/>
  <c r="W648" i="8"/>
  <c r="X648" i="8"/>
  <c r="G649" i="8"/>
  <c r="H649" i="8"/>
  <c r="I649" i="8"/>
  <c r="J649" i="8"/>
  <c r="K649" i="8"/>
  <c r="L649" i="8" s="1"/>
  <c r="N649" i="8"/>
  <c r="O649" i="8"/>
  <c r="P649" i="8"/>
  <c r="Q649" i="8"/>
  <c r="R649" i="8"/>
  <c r="S649" i="8"/>
  <c r="T649" i="8"/>
  <c r="U649" i="8"/>
  <c r="V649" i="8"/>
  <c r="W649" i="8"/>
  <c r="X649" i="8"/>
  <c r="G650" i="8"/>
  <c r="H650" i="8"/>
  <c r="I650" i="8"/>
  <c r="J650" i="8"/>
  <c r="K650" i="8"/>
  <c r="L650" i="8" s="1"/>
  <c r="N650" i="8"/>
  <c r="O650" i="8"/>
  <c r="P650" i="8"/>
  <c r="Q650" i="8"/>
  <c r="R650" i="8"/>
  <c r="S650" i="8"/>
  <c r="T650" i="8"/>
  <c r="U650" i="8"/>
  <c r="V650" i="8"/>
  <c r="W650" i="8"/>
  <c r="X650" i="8"/>
  <c r="D651" i="8"/>
  <c r="G652" i="8"/>
  <c r="G651" i="8" s="1"/>
  <c r="H652" i="8"/>
  <c r="H651" i="8" s="1"/>
  <c r="I652" i="8"/>
  <c r="I651" i="8"/>
  <c r="J652" i="8"/>
  <c r="K652" i="8"/>
  <c r="K651" i="8" s="1"/>
  <c r="N652" i="8"/>
  <c r="O652" i="8"/>
  <c r="O651" i="8" s="1"/>
  <c r="P652" i="8"/>
  <c r="P651" i="8"/>
  <c r="Q652" i="8"/>
  <c r="Q651" i="8" s="1"/>
  <c r="R652" i="8"/>
  <c r="R651" i="8" s="1"/>
  <c r="S652" i="8"/>
  <c r="S651" i="8" s="1"/>
  <c r="T652" i="8"/>
  <c r="T651" i="8"/>
  <c r="U652" i="8"/>
  <c r="U651" i="8" s="1"/>
  <c r="V652" i="8"/>
  <c r="V651" i="8" s="1"/>
  <c r="W652" i="8"/>
  <c r="W651" i="8"/>
  <c r="X652" i="8"/>
  <c r="X651" i="8" s="1"/>
  <c r="G653" i="8"/>
  <c r="H653" i="8"/>
  <c r="I653" i="8"/>
  <c r="J653" i="8"/>
  <c r="K653" i="8"/>
  <c r="L653" i="8" s="1"/>
  <c r="N653" i="8"/>
  <c r="M653" i="8" s="1"/>
  <c r="O653" i="8"/>
  <c r="P653" i="8"/>
  <c r="Q653" i="8"/>
  <c r="R653" i="8"/>
  <c r="S653" i="8"/>
  <c r="T653" i="8"/>
  <c r="U653" i="8"/>
  <c r="V653" i="8"/>
  <c r="W653" i="8"/>
  <c r="X653" i="8"/>
  <c r="G654" i="8"/>
  <c r="H654" i="8"/>
  <c r="I654" i="8"/>
  <c r="J654" i="8"/>
  <c r="K654" i="8"/>
  <c r="N654" i="8"/>
  <c r="O654" i="8"/>
  <c r="P654" i="8"/>
  <c r="Q654" i="8"/>
  <c r="R654" i="8"/>
  <c r="S654" i="8"/>
  <c r="T654" i="8"/>
  <c r="U654" i="8"/>
  <c r="V654" i="8"/>
  <c r="W654" i="8"/>
  <c r="X654" i="8"/>
  <c r="G655" i="8"/>
  <c r="H655" i="8"/>
  <c r="I655" i="8"/>
  <c r="J655" i="8"/>
  <c r="K655" i="8"/>
  <c r="N655" i="8"/>
  <c r="M655" i="8" s="1"/>
  <c r="O655" i="8"/>
  <c r="P655" i="8"/>
  <c r="Q655" i="8"/>
  <c r="R655" i="8"/>
  <c r="S655" i="8"/>
  <c r="T655" i="8"/>
  <c r="U655" i="8"/>
  <c r="V655" i="8"/>
  <c r="W655" i="8"/>
  <c r="X655" i="8"/>
  <c r="G656" i="8"/>
  <c r="H656" i="8"/>
  <c r="I656" i="8"/>
  <c r="J656" i="8"/>
  <c r="K656" i="8"/>
  <c r="L656" i="8" s="1"/>
  <c r="N656" i="8"/>
  <c r="O656" i="8"/>
  <c r="P656" i="8"/>
  <c r="Q656" i="8"/>
  <c r="R656" i="8"/>
  <c r="S656" i="8"/>
  <c r="T656" i="8"/>
  <c r="U656" i="8"/>
  <c r="V656" i="8"/>
  <c r="W656" i="8"/>
  <c r="X656" i="8"/>
  <c r="G657" i="8"/>
  <c r="H657" i="8"/>
  <c r="I657" i="8"/>
  <c r="J657" i="8"/>
  <c r="K657" i="8"/>
  <c r="L657" i="8" s="1"/>
  <c r="N657" i="8"/>
  <c r="O657" i="8"/>
  <c r="P657" i="8"/>
  <c r="Q657" i="8"/>
  <c r="R657" i="8"/>
  <c r="S657" i="8"/>
  <c r="T657" i="8"/>
  <c r="U657" i="8"/>
  <c r="V657" i="8"/>
  <c r="W657" i="8"/>
  <c r="X657" i="8"/>
  <c r="D658" i="8"/>
  <c r="G659" i="8"/>
  <c r="G658" i="8"/>
  <c r="H659" i="8"/>
  <c r="H658" i="8"/>
  <c r="I659" i="8"/>
  <c r="I658" i="8"/>
  <c r="J659" i="8"/>
  <c r="K659" i="8"/>
  <c r="N659" i="8"/>
  <c r="N658" i="8" s="1"/>
  <c r="O659" i="8"/>
  <c r="O658" i="8" s="1"/>
  <c r="P659" i="8"/>
  <c r="P658" i="8"/>
  <c r="Q659" i="8"/>
  <c r="Q658" i="8" s="1"/>
  <c r="R659" i="8"/>
  <c r="R658" i="8" s="1"/>
  <c r="S659" i="8"/>
  <c r="S658" i="8" s="1"/>
  <c r="T659" i="8"/>
  <c r="T658" i="8" s="1"/>
  <c r="U659" i="8"/>
  <c r="U658" i="8" s="1"/>
  <c r="V659" i="8"/>
  <c r="V658" i="8" s="1"/>
  <c r="W659" i="8"/>
  <c r="W658" i="8" s="1"/>
  <c r="X659" i="8"/>
  <c r="X658" i="8" s="1"/>
  <c r="G660" i="8"/>
  <c r="H660" i="8"/>
  <c r="I660" i="8"/>
  <c r="J660" i="8"/>
  <c r="K660" i="8"/>
  <c r="N660" i="8"/>
  <c r="O660" i="8"/>
  <c r="P660" i="8"/>
  <c r="Q660" i="8"/>
  <c r="R660" i="8"/>
  <c r="S660" i="8"/>
  <c r="T660" i="8"/>
  <c r="U660" i="8"/>
  <c r="V660" i="8"/>
  <c r="W660" i="8"/>
  <c r="X660" i="8"/>
  <c r="G661" i="8"/>
  <c r="H661" i="8"/>
  <c r="I661" i="8"/>
  <c r="J661" i="8"/>
  <c r="K661" i="8"/>
  <c r="N661" i="8"/>
  <c r="M661" i="8"/>
  <c r="O661" i="8"/>
  <c r="P661" i="8"/>
  <c r="Q661" i="8"/>
  <c r="R661" i="8"/>
  <c r="S661" i="8"/>
  <c r="T661" i="8"/>
  <c r="U661" i="8"/>
  <c r="V661" i="8"/>
  <c r="W661" i="8"/>
  <c r="X661" i="8"/>
  <c r="G662" i="8"/>
  <c r="H662" i="8"/>
  <c r="I662" i="8"/>
  <c r="J662" i="8"/>
  <c r="K662" i="8"/>
  <c r="N662" i="8"/>
  <c r="M662" i="8" s="1"/>
  <c r="O662" i="8"/>
  <c r="P662" i="8"/>
  <c r="Q662" i="8"/>
  <c r="R662" i="8"/>
  <c r="S662" i="8"/>
  <c r="T662" i="8"/>
  <c r="U662" i="8"/>
  <c r="V662" i="8"/>
  <c r="W662" i="8"/>
  <c r="X662" i="8"/>
  <c r="G663" i="8"/>
  <c r="H663" i="8"/>
  <c r="I663" i="8"/>
  <c r="J663" i="8"/>
  <c r="K663" i="8"/>
  <c r="N663" i="8"/>
  <c r="O663" i="8"/>
  <c r="P663" i="8"/>
  <c r="Q663" i="8"/>
  <c r="R663" i="8"/>
  <c r="S663" i="8"/>
  <c r="T663" i="8"/>
  <c r="U663" i="8"/>
  <c r="V663" i="8"/>
  <c r="W663" i="8"/>
  <c r="X663" i="8"/>
  <c r="G664" i="8"/>
  <c r="H664" i="8"/>
  <c r="I664" i="8"/>
  <c r="J664" i="8"/>
  <c r="K664" i="8"/>
  <c r="N664" i="8"/>
  <c r="O664" i="8"/>
  <c r="P664" i="8"/>
  <c r="Q664" i="8"/>
  <c r="R664" i="8"/>
  <c r="S664" i="8"/>
  <c r="T664" i="8"/>
  <c r="U664" i="8"/>
  <c r="V664" i="8"/>
  <c r="W664" i="8"/>
  <c r="X664" i="8"/>
  <c r="G665" i="8"/>
  <c r="H665" i="8"/>
  <c r="I665" i="8"/>
  <c r="J665" i="8"/>
  <c r="K665" i="8"/>
  <c r="L665" i="8" s="1"/>
  <c r="N665" i="8"/>
  <c r="M665" i="8" s="1"/>
  <c r="O665" i="8"/>
  <c r="P665" i="8"/>
  <c r="Q665" i="8"/>
  <c r="R665" i="8"/>
  <c r="S665" i="8"/>
  <c r="T665" i="8"/>
  <c r="U665" i="8"/>
  <c r="V665" i="8"/>
  <c r="W665" i="8"/>
  <c r="X665" i="8"/>
  <c r="G666" i="8"/>
  <c r="H666" i="8"/>
  <c r="I666" i="8"/>
  <c r="J666" i="8"/>
  <c r="K666" i="8"/>
  <c r="L666" i="8" s="1"/>
  <c r="N666" i="8"/>
  <c r="M666" i="8" s="1"/>
  <c r="O666" i="8"/>
  <c r="P666" i="8"/>
  <c r="Q666" i="8"/>
  <c r="R666" i="8"/>
  <c r="S666" i="8"/>
  <c r="T666" i="8"/>
  <c r="U666" i="8"/>
  <c r="V666" i="8"/>
  <c r="W666" i="8"/>
  <c r="X666" i="8"/>
  <c r="G667" i="8"/>
  <c r="H667" i="8"/>
  <c r="I667" i="8"/>
  <c r="J667" i="8"/>
  <c r="K667" i="8"/>
  <c r="L667" i="8" s="1"/>
  <c r="N667" i="8"/>
  <c r="O667" i="8"/>
  <c r="P667" i="8"/>
  <c r="Q667" i="8"/>
  <c r="R667" i="8"/>
  <c r="S667" i="8"/>
  <c r="T667" i="8"/>
  <c r="U667" i="8"/>
  <c r="V667" i="8"/>
  <c r="W667" i="8"/>
  <c r="X667" i="8"/>
  <c r="G669" i="8"/>
  <c r="G668" i="8" s="1"/>
  <c r="H669" i="8"/>
  <c r="H668" i="8" s="1"/>
  <c r="I669" i="8"/>
  <c r="I668" i="8" s="1"/>
  <c r="J669" i="8"/>
  <c r="K669" i="8"/>
  <c r="K668" i="8" s="1"/>
  <c r="N669" i="8"/>
  <c r="N668" i="8"/>
  <c r="O669" i="8"/>
  <c r="O668" i="8" s="1"/>
  <c r="P669" i="8"/>
  <c r="P668" i="8"/>
  <c r="Q669" i="8"/>
  <c r="Q668" i="8" s="1"/>
  <c r="R669" i="8"/>
  <c r="R668" i="8"/>
  <c r="S669" i="8"/>
  <c r="S668" i="8" s="1"/>
  <c r="T669" i="8"/>
  <c r="T668" i="8" s="1"/>
  <c r="U669" i="8"/>
  <c r="U668" i="8" s="1"/>
  <c r="V669" i="8"/>
  <c r="V668" i="8" s="1"/>
  <c r="W669" i="8"/>
  <c r="W668" i="8" s="1"/>
  <c r="X669" i="8"/>
  <c r="X668" i="8" s="1"/>
  <c r="D670" i="8"/>
  <c r="G671" i="8"/>
  <c r="G670" i="8"/>
  <c r="H671" i="8"/>
  <c r="H670" i="8" s="1"/>
  <c r="I671" i="8"/>
  <c r="I670" i="8"/>
  <c r="J671" i="8"/>
  <c r="M671" i="8" s="1"/>
  <c r="M670" i="8" s="1"/>
  <c r="K671" i="8"/>
  <c r="N671" i="8"/>
  <c r="O671" i="8"/>
  <c r="O670" i="8" s="1"/>
  <c r="P671" i="8"/>
  <c r="P670" i="8" s="1"/>
  <c r="Q671" i="8"/>
  <c r="Q670" i="8" s="1"/>
  <c r="R671" i="8"/>
  <c r="R670" i="8" s="1"/>
  <c r="S671" i="8"/>
  <c r="S670" i="8"/>
  <c r="T671" i="8"/>
  <c r="T670" i="8" s="1"/>
  <c r="U671" i="8"/>
  <c r="U670" i="8"/>
  <c r="V671" i="8"/>
  <c r="V670" i="8" s="1"/>
  <c r="V645" i="8" s="1"/>
  <c r="W671" i="8"/>
  <c r="W670" i="8" s="1"/>
  <c r="X671" i="8"/>
  <c r="X670" i="8"/>
  <c r="G672" i="8"/>
  <c r="H672" i="8"/>
  <c r="I672" i="8"/>
  <c r="J672" i="8"/>
  <c r="M672" i="8" s="1"/>
  <c r="K672" i="8"/>
  <c r="L672" i="8" s="1"/>
  <c r="N672" i="8"/>
  <c r="O672" i="8"/>
  <c r="P672" i="8"/>
  <c r="Q672" i="8"/>
  <c r="R672" i="8"/>
  <c r="S672" i="8"/>
  <c r="T672" i="8"/>
  <c r="U672" i="8"/>
  <c r="V672" i="8"/>
  <c r="W672" i="8"/>
  <c r="X672" i="8"/>
  <c r="G673" i="8"/>
  <c r="H673" i="8"/>
  <c r="I673" i="8"/>
  <c r="J673" i="8"/>
  <c r="K673" i="8"/>
  <c r="L673" i="8" s="1"/>
  <c r="N673" i="8"/>
  <c r="O673" i="8"/>
  <c r="P673" i="8"/>
  <c r="Q673" i="8"/>
  <c r="R673" i="8"/>
  <c r="S673" i="8"/>
  <c r="T673" i="8"/>
  <c r="U673" i="8"/>
  <c r="V673" i="8"/>
  <c r="W673" i="8"/>
  <c r="X673" i="8"/>
  <c r="G674" i="8"/>
  <c r="H674" i="8"/>
  <c r="I674" i="8"/>
  <c r="J674" i="8"/>
  <c r="M674" i="8" s="1"/>
  <c r="K674" i="8"/>
  <c r="L674" i="8" s="1"/>
  <c r="N674" i="8"/>
  <c r="O674" i="8"/>
  <c r="P674" i="8"/>
  <c r="Q674" i="8"/>
  <c r="R674" i="8"/>
  <c r="S674" i="8"/>
  <c r="T674" i="8"/>
  <c r="U674" i="8"/>
  <c r="V674" i="8"/>
  <c r="W674" i="8"/>
  <c r="X674" i="8"/>
  <c r="G675" i="8"/>
  <c r="H675" i="8"/>
  <c r="I675" i="8"/>
  <c r="J675" i="8"/>
  <c r="K675" i="8"/>
  <c r="L675" i="8" s="1"/>
  <c r="N675" i="8"/>
  <c r="O675" i="8"/>
  <c r="P675" i="8"/>
  <c r="Q675" i="8"/>
  <c r="R675" i="8"/>
  <c r="S675" i="8"/>
  <c r="T675" i="8"/>
  <c r="U675" i="8"/>
  <c r="V675" i="8"/>
  <c r="W675" i="8"/>
  <c r="X675" i="8"/>
  <c r="G676" i="8"/>
  <c r="H676" i="8"/>
  <c r="I676" i="8"/>
  <c r="J676" i="8"/>
  <c r="M676" i="8" s="1"/>
  <c r="K676" i="8"/>
  <c r="L676" i="8" s="1"/>
  <c r="N676" i="8"/>
  <c r="O676" i="8"/>
  <c r="P676" i="8"/>
  <c r="Q676" i="8"/>
  <c r="R676" i="8"/>
  <c r="S676" i="8"/>
  <c r="T676" i="8"/>
  <c r="U676" i="8"/>
  <c r="V676" i="8"/>
  <c r="W676" i="8"/>
  <c r="X676" i="8"/>
  <c r="C677" i="8"/>
  <c r="D678" i="8"/>
  <c r="G679" i="8"/>
  <c r="G678" i="8"/>
  <c r="H679" i="8"/>
  <c r="H678" i="8" s="1"/>
  <c r="H677" i="8" s="1"/>
  <c r="I679" i="8"/>
  <c r="I678" i="8"/>
  <c r="J679" i="8"/>
  <c r="J678" i="8" s="1"/>
  <c r="K679" i="8"/>
  <c r="K678" i="8" s="1"/>
  <c r="N679" i="8"/>
  <c r="N678" i="8"/>
  <c r="O679" i="8"/>
  <c r="O678" i="8" s="1"/>
  <c r="P679" i="8"/>
  <c r="P678" i="8" s="1"/>
  <c r="Q679" i="8"/>
  <c r="Q678" i="8" s="1"/>
  <c r="R679" i="8"/>
  <c r="R678" i="8"/>
  <c r="S679" i="8"/>
  <c r="S678" i="8" s="1"/>
  <c r="T679" i="8"/>
  <c r="T678" i="8" s="1"/>
  <c r="U679" i="8"/>
  <c r="U678" i="8"/>
  <c r="V679" i="8"/>
  <c r="V678" i="8" s="1"/>
  <c r="W679" i="8"/>
  <c r="W678" i="8" s="1"/>
  <c r="X679" i="8"/>
  <c r="X678" i="8" s="1"/>
  <c r="D680" i="8"/>
  <c r="G681" i="8"/>
  <c r="G680" i="8" s="1"/>
  <c r="H681" i="8"/>
  <c r="H680" i="8" s="1"/>
  <c r="I681" i="8"/>
  <c r="I680" i="8"/>
  <c r="I677" i="8" s="1"/>
  <c r="J681" i="8"/>
  <c r="K681" i="8"/>
  <c r="N681" i="8"/>
  <c r="N680" i="8" s="1"/>
  <c r="O681" i="8"/>
  <c r="O680" i="8" s="1"/>
  <c r="P681" i="8"/>
  <c r="P680" i="8" s="1"/>
  <c r="Q681" i="8"/>
  <c r="Q680" i="8"/>
  <c r="R681" i="8"/>
  <c r="R680" i="8" s="1"/>
  <c r="S681" i="8"/>
  <c r="S680" i="8"/>
  <c r="T681" i="8"/>
  <c r="T680" i="8" s="1"/>
  <c r="U681" i="8"/>
  <c r="U680" i="8"/>
  <c r="U677" i="8" s="1"/>
  <c r="V681" i="8"/>
  <c r="W681" i="8"/>
  <c r="W680" i="8" s="1"/>
  <c r="X681" i="8"/>
  <c r="X680" i="8"/>
  <c r="G682" i="8"/>
  <c r="H682" i="8"/>
  <c r="I682" i="8"/>
  <c r="J682" i="8"/>
  <c r="K682" i="8"/>
  <c r="N682" i="8"/>
  <c r="O682" i="8"/>
  <c r="P682" i="8"/>
  <c r="Q682" i="8"/>
  <c r="R682" i="8"/>
  <c r="S682" i="8"/>
  <c r="T682" i="8"/>
  <c r="U682" i="8"/>
  <c r="V682" i="8"/>
  <c r="W682" i="8"/>
  <c r="X682" i="8"/>
  <c r="G683" i="8"/>
  <c r="H683" i="8"/>
  <c r="I683" i="8"/>
  <c r="J683" i="8"/>
  <c r="K683" i="8"/>
  <c r="N683" i="8"/>
  <c r="O683" i="8"/>
  <c r="P683" i="8"/>
  <c r="Q683" i="8"/>
  <c r="R683" i="8"/>
  <c r="S683" i="8"/>
  <c r="T683" i="8"/>
  <c r="U683" i="8"/>
  <c r="V683" i="8"/>
  <c r="W683" i="8"/>
  <c r="X683" i="8"/>
  <c r="C684" i="8"/>
  <c r="G686" i="8"/>
  <c r="G685" i="8" s="1"/>
  <c r="H686" i="8"/>
  <c r="H685" i="8" s="1"/>
  <c r="I686" i="8"/>
  <c r="J686" i="8"/>
  <c r="K686" i="8"/>
  <c r="N686" i="8"/>
  <c r="O686" i="8"/>
  <c r="P686" i="8"/>
  <c r="Q686" i="8"/>
  <c r="R686" i="8"/>
  <c r="S686" i="8"/>
  <c r="T686" i="8"/>
  <c r="U686" i="8"/>
  <c r="V686" i="8"/>
  <c r="W686" i="8"/>
  <c r="X686" i="8"/>
  <c r="G687" i="8"/>
  <c r="H687" i="8"/>
  <c r="I687" i="8"/>
  <c r="J687" i="8"/>
  <c r="M687" i="8" s="1"/>
  <c r="K687" i="8"/>
  <c r="N687" i="8"/>
  <c r="O687" i="8"/>
  <c r="P687" i="8"/>
  <c r="Q687" i="8"/>
  <c r="R687" i="8"/>
  <c r="S687" i="8"/>
  <c r="T687" i="8"/>
  <c r="U687" i="8"/>
  <c r="V687" i="8"/>
  <c r="W687" i="8"/>
  <c r="X687" i="8"/>
  <c r="D688" i="8"/>
  <c r="G689" i="8"/>
  <c r="H689" i="8"/>
  <c r="I689" i="8"/>
  <c r="J689" i="8"/>
  <c r="K689" i="8"/>
  <c r="N689" i="8"/>
  <c r="O689" i="8"/>
  <c r="P689" i="8"/>
  <c r="Q689" i="8"/>
  <c r="R689" i="8"/>
  <c r="S689" i="8"/>
  <c r="T689" i="8"/>
  <c r="U689" i="8"/>
  <c r="V689" i="8"/>
  <c r="W689" i="8"/>
  <c r="X689" i="8"/>
  <c r="G690" i="8"/>
  <c r="G688" i="8" s="1"/>
  <c r="H690" i="8"/>
  <c r="I690" i="8"/>
  <c r="I688" i="8" s="1"/>
  <c r="J690" i="8"/>
  <c r="K690" i="8"/>
  <c r="N690" i="8"/>
  <c r="O690" i="8"/>
  <c r="P690" i="8"/>
  <c r="P688" i="8" s="1"/>
  <c r="Q690" i="8"/>
  <c r="R690" i="8"/>
  <c r="S690" i="8"/>
  <c r="S688" i="8" s="1"/>
  <c r="T690" i="8"/>
  <c r="T688" i="8" s="1"/>
  <c r="U690" i="8"/>
  <c r="V690" i="8"/>
  <c r="W690" i="8"/>
  <c r="W688" i="8" s="1"/>
  <c r="X690" i="8"/>
  <c r="C691" i="8"/>
  <c r="D692" i="8"/>
  <c r="G693" i="8"/>
  <c r="G692" i="8" s="1"/>
  <c r="G691" i="8" s="1"/>
  <c r="H693" i="8"/>
  <c r="H692" i="8" s="1"/>
  <c r="H691" i="8" s="1"/>
  <c r="I693" i="8"/>
  <c r="I692" i="8" s="1"/>
  <c r="I691" i="8" s="1"/>
  <c r="J693" i="8"/>
  <c r="M693" i="8" s="1"/>
  <c r="M692" i="8" s="1"/>
  <c r="K693" i="8"/>
  <c r="N693" i="8"/>
  <c r="O693" i="8"/>
  <c r="O692" i="8"/>
  <c r="O691" i="8" s="1"/>
  <c r="P693" i="8"/>
  <c r="P692" i="8" s="1"/>
  <c r="P691" i="8" s="1"/>
  <c r="Q693" i="8"/>
  <c r="Q692" i="8" s="1"/>
  <c r="Q691" i="8" s="1"/>
  <c r="R693" i="8"/>
  <c r="R692" i="8" s="1"/>
  <c r="R691" i="8" s="1"/>
  <c r="S693" i="8"/>
  <c r="S692" i="8" s="1"/>
  <c r="S691" i="8" s="1"/>
  <c r="T693" i="8"/>
  <c r="T692" i="8"/>
  <c r="T691" i="8" s="1"/>
  <c r="U693" i="8"/>
  <c r="U692" i="8" s="1"/>
  <c r="U691" i="8" s="1"/>
  <c r="V693" i="8"/>
  <c r="W693" i="8"/>
  <c r="W692" i="8" s="1"/>
  <c r="W691" i="8" s="1"/>
  <c r="X693" i="8"/>
  <c r="X692" i="8" s="1"/>
  <c r="X691" i="8" s="1"/>
  <c r="G694" i="8"/>
  <c r="H694" i="8"/>
  <c r="I694" i="8"/>
  <c r="J694" i="8"/>
  <c r="M694" i="8" s="1"/>
  <c r="K694" i="8"/>
  <c r="N694" i="8"/>
  <c r="O694" i="8"/>
  <c r="P694" i="8"/>
  <c r="Q694" i="8"/>
  <c r="R694" i="8"/>
  <c r="S694" i="8"/>
  <c r="T694" i="8"/>
  <c r="U694" i="8"/>
  <c r="V694" i="8"/>
  <c r="W694" i="8"/>
  <c r="X694" i="8"/>
  <c r="C695" i="8"/>
  <c r="D696" i="8"/>
  <c r="G697" i="8"/>
  <c r="G696" i="8" s="1"/>
  <c r="G695" i="8" s="1"/>
  <c r="H697" i="8"/>
  <c r="H696" i="8" s="1"/>
  <c r="H695" i="8" s="1"/>
  <c r="I697" i="8"/>
  <c r="I696" i="8"/>
  <c r="I695" i="8" s="1"/>
  <c r="J697" i="8"/>
  <c r="K697" i="8"/>
  <c r="N697" i="8"/>
  <c r="N696" i="8" s="1"/>
  <c r="N695" i="8" s="1"/>
  <c r="O697" i="8"/>
  <c r="O696" i="8" s="1"/>
  <c r="O695" i="8" s="1"/>
  <c r="P697" i="8"/>
  <c r="P696" i="8" s="1"/>
  <c r="P695" i="8" s="1"/>
  <c r="Q697" i="8"/>
  <c r="Q696" i="8" s="1"/>
  <c r="Q695" i="8" s="1"/>
  <c r="R697" i="8"/>
  <c r="R696" i="8" s="1"/>
  <c r="R695" i="8"/>
  <c r="S697" i="8"/>
  <c r="S696" i="8" s="1"/>
  <c r="S695" i="8" s="1"/>
  <c r="T697" i="8"/>
  <c r="T696" i="8" s="1"/>
  <c r="T695" i="8" s="1"/>
  <c r="U697" i="8"/>
  <c r="U696" i="8" s="1"/>
  <c r="U695" i="8" s="1"/>
  <c r="V697" i="8"/>
  <c r="W697" i="8"/>
  <c r="W696" i="8" s="1"/>
  <c r="W695" i="8" s="1"/>
  <c r="X697" i="8"/>
  <c r="X696" i="8"/>
  <c r="X695" i="8"/>
  <c r="G698" i="8"/>
  <c r="H698" i="8"/>
  <c r="I698" i="8"/>
  <c r="J698" i="8"/>
  <c r="K698" i="8"/>
  <c r="N698" i="8"/>
  <c r="O698" i="8"/>
  <c r="P698" i="8"/>
  <c r="Q698" i="8"/>
  <c r="R698" i="8"/>
  <c r="S698" i="8"/>
  <c r="T698" i="8"/>
  <c r="U698" i="8"/>
  <c r="V698" i="8"/>
  <c r="W698" i="8"/>
  <c r="X698" i="8"/>
  <c r="C699" i="8"/>
  <c r="D700" i="8"/>
  <c r="G701" i="8"/>
  <c r="G700" i="8"/>
  <c r="H701" i="8"/>
  <c r="H700" i="8" s="1"/>
  <c r="H699" i="8" s="1"/>
  <c r="I701" i="8"/>
  <c r="I700" i="8"/>
  <c r="J701" i="8"/>
  <c r="K701" i="8"/>
  <c r="K700" i="8" s="1"/>
  <c r="N701" i="8"/>
  <c r="O701" i="8"/>
  <c r="O700" i="8" s="1"/>
  <c r="P701" i="8"/>
  <c r="P700" i="8" s="1"/>
  <c r="Q701" i="8"/>
  <c r="Q700" i="8" s="1"/>
  <c r="R701" i="8"/>
  <c r="R700" i="8"/>
  <c r="S701" i="8"/>
  <c r="S700" i="8" s="1"/>
  <c r="T701" i="8"/>
  <c r="T700" i="8"/>
  <c r="U701" i="8"/>
  <c r="U700" i="8" s="1"/>
  <c r="V701" i="8"/>
  <c r="V700" i="8" s="1"/>
  <c r="W701" i="8"/>
  <c r="W700" i="8" s="1"/>
  <c r="X701" i="8"/>
  <c r="X700" i="8" s="1"/>
  <c r="D702" i="8"/>
  <c r="G703" i="8"/>
  <c r="G702" i="8" s="1"/>
  <c r="H703" i="8"/>
  <c r="H702" i="8"/>
  <c r="I703" i="8"/>
  <c r="I702" i="8" s="1"/>
  <c r="I699" i="8" s="1"/>
  <c r="J703" i="8"/>
  <c r="J702" i="8"/>
  <c r="K703" i="8"/>
  <c r="N703" i="8"/>
  <c r="N702" i="8" s="1"/>
  <c r="O703" i="8"/>
  <c r="O702" i="8"/>
  <c r="P703" i="8"/>
  <c r="P702" i="8" s="1"/>
  <c r="Q703" i="8"/>
  <c r="Q702" i="8" s="1"/>
  <c r="R703" i="8"/>
  <c r="R702" i="8" s="1"/>
  <c r="S703" i="8"/>
  <c r="S702" i="8" s="1"/>
  <c r="T703" i="8"/>
  <c r="T702" i="8" s="1"/>
  <c r="U703" i="8"/>
  <c r="U702" i="8"/>
  <c r="V703" i="8"/>
  <c r="W703" i="8"/>
  <c r="X703" i="8"/>
  <c r="G704" i="8"/>
  <c r="H704" i="8"/>
  <c r="I704" i="8"/>
  <c r="J704" i="8"/>
  <c r="K704" i="8"/>
  <c r="N704" i="8"/>
  <c r="O704" i="8"/>
  <c r="P704" i="8"/>
  <c r="Q704" i="8"/>
  <c r="R704" i="8"/>
  <c r="S704" i="8"/>
  <c r="T704" i="8"/>
  <c r="U704" i="8"/>
  <c r="V704" i="8"/>
  <c r="W704" i="8"/>
  <c r="X704" i="8"/>
  <c r="D705" i="8"/>
  <c r="G706" i="8"/>
  <c r="G705" i="8"/>
  <c r="H706" i="8"/>
  <c r="H705" i="8" s="1"/>
  <c r="I706" i="8"/>
  <c r="I705" i="8" s="1"/>
  <c r="J706" i="8"/>
  <c r="L706" i="8" s="1"/>
  <c r="K706" i="8"/>
  <c r="N706" i="8"/>
  <c r="N705" i="8" s="1"/>
  <c r="O706" i="8"/>
  <c r="O705" i="8" s="1"/>
  <c r="P706" i="8"/>
  <c r="P705" i="8"/>
  <c r="Q706" i="8"/>
  <c r="Q705" i="8" s="1"/>
  <c r="R706" i="8"/>
  <c r="R705" i="8" s="1"/>
  <c r="S706" i="8"/>
  <c r="S705" i="8" s="1"/>
  <c r="T706" i="8"/>
  <c r="T705" i="8" s="1"/>
  <c r="U706" i="8"/>
  <c r="U705" i="8" s="1"/>
  <c r="V706" i="8"/>
  <c r="V705" i="8" s="1"/>
  <c r="W706" i="8"/>
  <c r="W705" i="8" s="1"/>
  <c r="X706" i="8"/>
  <c r="X705" i="8" s="1"/>
  <c r="B708" i="8"/>
  <c r="G711" i="8"/>
  <c r="G710" i="8" s="1"/>
  <c r="H711" i="8"/>
  <c r="H710" i="8" s="1"/>
  <c r="I711" i="8"/>
  <c r="I710" i="8"/>
  <c r="J711" i="8"/>
  <c r="K711" i="8"/>
  <c r="N711" i="8"/>
  <c r="N710" i="8"/>
  <c r="O711" i="8"/>
  <c r="O710" i="8" s="1"/>
  <c r="P711" i="8"/>
  <c r="P710" i="8"/>
  <c r="Q711" i="8"/>
  <c r="Q710" i="8" s="1"/>
  <c r="R711" i="8"/>
  <c r="R710" i="8" s="1"/>
  <c r="S711" i="8"/>
  <c r="S710" i="8"/>
  <c r="T711" i="8"/>
  <c r="T710" i="8" s="1"/>
  <c r="U711" i="8"/>
  <c r="U710" i="8" s="1"/>
  <c r="V711" i="8"/>
  <c r="V710" i="8" s="1"/>
  <c r="W711" i="8"/>
  <c r="W710" i="8"/>
  <c r="X711" i="8"/>
  <c r="X710" i="8" s="1"/>
  <c r="G713" i="8"/>
  <c r="H713" i="8"/>
  <c r="I713" i="8"/>
  <c r="J713" i="8"/>
  <c r="K713" i="8"/>
  <c r="N713" i="8"/>
  <c r="O713" i="8"/>
  <c r="P713" i="8"/>
  <c r="Q713" i="8"/>
  <c r="R713" i="8"/>
  <c r="S713" i="8"/>
  <c r="S712" i="8" s="1"/>
  <c r="S709" i="8" s="1"/>
  <c r="T713" i="8"/>
  <c r="U713" i="8"/>
  <c r="V713" i="8"/>
  <c r="W713" i="8"/>
  <c r="W712" i="8" s="1"/>
  <c r="W709" i="8" s="1"/>
  <c r="X713" i="8"/>
  <c r="G714" i="8"/>
  <c r="H714" i="8"/>
  <c r="I714" i="8"/>
  <c r="J714" i="8"/>
  <c r="K714" i="8"/>
  <c r="N714" i="8"/>
  <c r="O714" i="8"/>
  <c r="Q714" i="8" s="1"/>
  <c r="Q712" i="8" s="1"/>
  <c r="Q709" i="8" s="1"/>
  <c r="P714" i="8"/>
  <c r="R714" i="8"/>
  <c r="S714" i="8"/>
  <c r="T714" i="8"/>
  <c r="T712" i="8" s="1"/>
  <c r="T709" i="8" s="1"/>
  <c r="U714" i="8"/>
  <c r="V714" i="8"/>
  <c r="W714" i="8"/>
  <c r="X714" i="8"/>
  <c r="X712" i="8" s="1"/>
  <c r="X709" i="8" s="1"/>
  <c r="C715" i="8"/>
  <c r="D716" i="8"/>
  <c r="G717" i="8"/>
  <c r="G716" i="8" s="1"/>
  <c r="H717" i="8"/>
  <c r="H716" i="8" s="1"/>
  <c r="I717" i="8"/>
  <c r="I716" i="8" s="1"/>
  <c r="J717" i="8"/>
  <c r="K717" i="8"/>
  <c r="N717" i="8"/>
  <c r="N716" i="8" s="1"/>
  <c r="O717" i="8"/>
  <c r="O716" i="8"/>
  <c r="P717" i="8"/>
  <c r="P716" i="8" s="1"/>
  <c r="Q717" i="8"/>
  <c r="Q716" i="8" s="1"/>
  <c r="R717" i="8"/>
  <c r="R716" i="8" s="1"/>
  <c r="S717" i="8"/>
  <c r="S716" i="8"/>
  <c r="T717" i="8"/>
  <c r="T716" i="8" s="1"/>
  <c r="U717" i="8"/>
  <c r="U716" i="8" s="1"/>
  <c r="V717" i="8"/>
  <c r="V716" i="8" s="1"/>
  <c r="W717" i="8"/>
  <c r="W716" i="8"/>
  <c r="X717" i="8"/>
  <c r="X716" i="8"/>
  <c r="G718" i="8"/>
  <c r="H718" i="8"/>
  <c r="I718" i="8"/>
  <c r="J718" i="8"/>
  <c r="K718" i="8"/>
  <c r="N718" i="8"/>
  <c r="O718" i="8"/>
  <c r="P718" i="8"/>
  <c r="Q718" i="8"/>
  <c r="R718" i="8"/>
  <c r="S718" i="8"/>
  <c r="T718" i="8"/>
  <c r="U718" i="8"/>
  <c r="V718" i="8"/>
  <c r="W718" i="8"/>
  <c r="X718" i="8"/>
  <c r="G719" i="8"/>
  <c r="H719" i="8"/>
  <c r="I719" i="8"/>
  <c r="J719" i="8"/>
  <c r="K719" i="8"/>
  <c r="N719" i="8"/>
  <c r="O719" i="8"/>
  <c r="P719" i="8"/>
  <c r="Q719" i="8"/>
  <c r="R719" i="8"/>
  <c r="S719" i="8"/>
  <c r="T719" i="8"/>
  <c r="U719" i="8"/>
  <c r="V719" i="8"/>
  <c r="W719" i="8"/>
  <c r="X719" i="8"/>
  <c r="D720" i="8"/>
  <c r="G721" i="8"/>
  <c r="G720" i="8" s="1"/>
  <c r="H721" i="8"/>
  <c r="H720" i="8" s="1"/>
  <c r="I721" i="8"/>
  <c r="I720" i="8" s="1"/>
  <c r="J721" i="8"/>
  <c r="J720" i="8" s="1"/>
  <c r="K721" i="8"/>
  <c r="L721" i="8" s="1"/>
  <c r="L720" i="8" s="1"/>
  <c r="N721" i="8"/>
  <c r="O721" i="8"/>
  <c r="O720" i="8"/>
  <c r="P721" i="8"/>
  <c r="P720" i="8" s="1"/>
  <c r="Q721" i="8"/>
  <c r="Q720" i="8" s="1"/>
  <c r="R721" i="8"/>
  <c r="R720" i="8" s="1"/>
  <c r="S721" i="8"/>
  <c r="S720" i="8"/>
  <c r="T721" i="8"/>
  <c r="T720" i="8" s="1"/>
  <c r="U721" i="8"/>
  <c r="U720" i="8"/>
  <c r="V721" i="8"/>
  <c r="V720" i="8" s="1"/>
  <c r="W721" i="8"/>
  <c r="W720" i="8"/>
  <c r="X721" i="8"/>
  <c r="X720" i="8" s="1"/>
  <c r="G722" i="8"/>
  <c r="H722" i="8"/>
  <c r="I722" i="8"/>
  <c r="J722" i="8"/>
  <c r="M722" i="8" s="1"/>
  <c r="K722" i="8"/>
  <c r="L722" i="8" s="1"/>
  <c r="N722" i="8"/>
  <c r="O722" i="8"/>
  <c r="P722" i="8"/>
  <c r="Q722" i="8"/>
  <c r="R722" i="8"/>
  <c r="S722" i="8"/>
  <c r="T722" i="8"/>
  <c r="U722" i="8"/>
  <c r="V722" i="8"/>
  <c r="W722" i="8"/>
  <c r="X722" i="8"/>
  <c r="G723" i="8"/>
  <c r="H723" i="8"/>
  <c r="I723" i="8"/>
  <c r="J723" i="8"/>
  <c r="K723" i="8"/>
  <c r="L723" i="8" s="1"/>
  <c r="N723" i="8"/>
  <c r="O723" i="8"/>
  <c r="P723" i="8"/>
  <c r="Q723" i="8"/>
  <c r="R723" i="8"/>
  <c r="S723" i="8"/>
  <c r="T723" i="8"/>
  <c r="U723" i="8"/>
  <c r="V723" i="8"/>
  <c r="W723" i="8"/>
  <c r="X723" i="8"/>
  <c r="G724" i="8"/>
  <c r="H724" i="8"/>
  <c r="I724" i="8"/>
  <c r="J724" i="8"/>
  <c r="M724" i="8" s="1"/>
  <c r="K724" i="8"/>
  <c r="L724" i="8" s="1"/>
  <c r="N724" i="8"/>
  <c r="O724" i="8"/>
  <c r="P724" i="8"/>
  <c r="Q724" i="8"/>
  <c r="R724" i="8"/>
  <c r="S724" i="8"/>
  <c r="T724" i="8"/>
  <c r="U724" i="8"/>
  <c r="V724" i="8"/>
  <c r="W724" i="8"/>
  <c r="X724" i="8"/>
  <c r="G725" i="8"/>
  <c r="H725" i="8"/>
  <c r="I725" i="8"/>
  <c r="J725" i="8"/>
  <c r="M725" i="8" s="1"/>
  <c r="K725" i="8"/>
  <c r="L725" i="8" s="1"/>
  <c r="N725" i="8"/>
  <c r="O725" i="8"/>
  <c r="P725" i="8"/>
  <c r="Q725" i="8"/>
  <c r="R725" i="8"/>
  <c r="S725" i="8"/>
  <c r="T725" i="8"/>
  <c r="U725" i="8"/>
  <c r="V725" i="8"/>
  <c r="W725" i="8"/>
  <c r="X725" i="8"/>
  <c r="G726" i="8"/>
  <c r="H726" i="8"/>
  <c r="I726" i="8"/>
  <c r="J726" i="8"/>
  <c r="K726" i="8"/>
  <c r="L726" i="8" s="1"/>
  <c r="N726" i="8"/>
  <c r="O726" i="8"/>
  <c r="P726" i="8"/>
  <c r="Q726" i="8"/>
  <c r="R726" i="8"/>
  <c r="S726" i="8"/>
  <c r="T726" i="8"/>
  <c r="U726" i="8"/>
  <c r="V726" i="8"/>
  <c r="W726" i="8"/>
  <c r="X726" i="8"/>
  <c r="G727" i="8"/>
  <c r="H727" i="8"/>
  <c r="I727" i="8"/>
  <c r="J727" i="8"/>
  <c r="M727" i="8" s="1"/>
  <c r="K727" i="8"/>
  <c r="L727" i="8" s="1"/>
  <c r="N727" i="8"/>
  <c r="O727" i="8"/>
  <c r="P727" i="8"/>
  <c r="Q727" i="8"/>
  <c r="R727" i="8"/>
  <c r="S727" i="8"/>
  <c r="T727" i="8"/>
  <c r="U727" i="8"/>
  <c r="V727" i="8"/>
  <c r="W727" i="8"/>
  <c r="X727" i="8"/>
  <c r="D728" i="8"/>
  <c r="G729" i="8"/>
  <c r="G728" i="8"/>
  <c r="H729" i="8"/>
  <c r="H728" i="8"/>
  <c r="I729" i="8"/>
  <c r="I728" i="8"/>
  <c r="J729" i="8"/>
  <c r="K729" i="8"/>
  <c r="N729" i="8"/>
  <c r="N728" i="8"/>
  <c r="O729" i="8"/>
  <c r="O728" i="8" s="1"/>
  <c r="P729" i="8"/>
  <c r="P728" i="8" s="1"/>
  <c r="Q729" i="8"/>
  <c r="Q728" i="8" s="1"/>
  <c r="R729" i="8"/>
  <c r="R728" i="8"/>
  <c r="S729" i="8"/>
  <c r="S728" i="8" s="1"/>
  <c r="T729" i="8"/>
  <c r="T728" i="8"/>
  <c r="U729" i="8"/>
  <c r="U728" i="8" s="1"/>
  <c r="V729" i="8"/>
  <c r="V728" i="8"/>
  <c r="W729" i="8"/>
  <c r="W728" i="8" s="1"/>
  <c r="X729" i="8"/>
  <c r="X728" i="8" s="1"/>
  <c r="D730" i="8"/>
  <c r="G731" i="8"/>
  <c r="G730" i="8"/>
  <c r="H731" i="8"/>
  <c r="H730" i="8" s="1"/>
  <c r="I731" i="8"/>
  <c r="I730" i="8" s="1"/>
  <c r="O731" i="8"/>
  <c r="O730" i="8" s="1"/>
  <c r="P731" i="8"/>
  <c r="P730" i="8" s="1"/>
  <c r="Q731" i="8"/>
  <c r="Q730" i="8" s="1"/>
  <c r="R731" i="8"/>
  <c r="R730" i="8" s="1"/>
  <c r="S731" i="8"/>
  <c r="S730" i="8"/>
  <c r="T731" i="8"/>
  <c r="T730" i="8" s="1"/>
  <c r="U731" i="8"/>
  <c r="U730" i="8" s="1"/>
  <c r="W731" i="8"/>
  <c r="W730" i="8" s="1"/>
  <c r="X731" i="8"/>
  <c r="X730" i="8" s="1"/>
  <c r="D732" i="8"/>
  <c r="G733" i="8"/>
  <c r="G732" i="8" s="1"/>
  <c r="H733" i="8"/>
  <c r="H732" i="8" s="1"/>
  <c r="I733" i="8"/>
  <c r="I732" i="8" s="1"/>
  <c r="J733" i="8"/>
  <c r="K733" i="8"/>
  <c r="N733" i="8"/>
  <c r="N732" i="8" s="1"/>
  <c r="O733" i="8"/>
  <c r="P733" i="8"/>
  <c r="P732" i="8"/>
  <c r="R733" i="8"/>
  <c r="R732" i="8" s="1"/>
  <c r="S733" i="8"/>
  <c r="S732" i="8" s="1"/>
  <c r="T733" i="8"/>
  <c r="T732" i="8" s="1"/>
  <c r="U733" i="8"/>
  <c r="U732" i="8" s="1"/>
  <c r="V733" i="8"/>
  <c r="V732" i="8" s="1"/>
  <c r="W733" i="8"/>
  <c r="W732" i="8" s="1"/>
  <c r="X733" i="8"/>
  <c r="X732" i="8"/>
  <c r="D734" i="8"/>
  <c r="G735" i="8"/>
  <c r="G734" i="8"/>
  <c r="H735" i="8"/>
  <c r="H734" i="8" s="1"/>
  <c r="I735" i="8"/>
  <c r="I734" i="8" s="1"/>
  <c r="J735" i="8"/>
  <c r="K735" i="8"/>
  <c r="N735" i="8"/>
  <c r="M735" i="8" s="1"/>
  <c r="M734" i="8" s="1"/>
  <c r="O735" i="8"/>
  <c r="O734" i="8"/>
  <c r="P735" i="8"/>
  <c r="P734" i="8" s="1"/>
  <c r="Q735" i="8"/>
  <c r="Q734" i="8" s="1"/>
  <c r="R735" i="8"/>
  <c r="R734" i="8" s="1"/>
  <c r="S735" i="8"/>
  <c r="S734" i="8" s="1"/>
  <c r="T735" i="8"/>
  <c r="T734" i="8" s="1"/>
  <c r="U735" i="8"/>
  <c r="U734" i="8"/>
  <c r="V735" i="8"/>
  <c r="W735" i="8"/>
  <c r="W734" i="8" s="1"/>
  <c r="X735" i="8"/>
  <c r="X734" i="8" s="1"/>
  <c r="G736" i="8"/>
  <c r="H736" i="8"/>
  <c r="I736" i="8"/>
  <c r="J736" i="8"/>
  <c r="M736" i="8" s="1"/>
  <c r="K736" i="8"/>
  <c r="N736" i="8"/>
  <c r="O736" i="8"/>
  <c r="P736" i="8"/>
  <c r="Q736" i="8"/>
  <c r="R736" i="8"/>
  <c r="S736" i="8"/>
  <c r="T736" i="8"/>
  <c r="U736" i="8"/>
  <c r="V736" i="8"/>
  <c r="W736" i="8"/>
  <c r="X736" i="8"/>
  <c r="C737" i="8"/>
  <c r="D738" i="8"/>
  <c r="G739" i="8"/>
  <c r="G738" i="8" s="1"/>
  <c r="H739" i="8"/>
  <c r="H738" i="8" s="1"/>
  <c r="I739" i="8"/>
  <c r="I738" i="8" s="1"/>
  <c r="J739" i="8"/>
  <c r="K739" i="8"/>
  <c r="N739" i="8"/>
  <c r="N738" i="8" s="1"/>
  <c r="O739" i="8"/>
  <c r="O738" i="8" s="1"/>
  <c r="P739" i="8"/>
  <c r="P738" i="8" s="1"/>
  <c r="Q739" i="8"/>
  <c r="Q738" i="8" s="1"/>
  <c r="Q737" i="8" s="1"/>
  <c r="R739" i="8"/>
  <c r="R738" i="8" s="1"/>
  <c r="S739" i="8"/>
  <c r="S738" i="8"/>
  <c r="T739" i="8"/>
  <c r="T738" i="8" s="1"/>
  <c r="U739" i="8"/>
  <c r="U738" i="8" s="1"/>
  <c r="V739" i="8"/>
  <c r="V738" i="8"/>
  <c r="W739" i="8"/>
  <c r="W738" i="8" s="1"/>
  <c r="X739" i="8"/>
  <c r="X738" i="8"/>
  <c r="G741" i="8"/>
  <c r="G740" i="8" s="1"/>
  <c r="H741" i="8"/>
  <c r="H740" i="8" s="1"/>
  <c r="I741" i="8"/>
  <c r="I740" i="8" s="1"/>
  <c r="J741" i="8"/>
  <c r="K741" i="8"/>
  <c r="N741" i="8"/>
  <c r="N740" i="8" s="1"/>
  <c r="O741" i="8"/>
  <c r="O740" i="8"/>
  <c r="P741" i="8"/>
  <c r="P740" i="8" s="1"/>
  <c r="Q741" i="8"/>
  <c r="Q740" i="8"/>
  <c r="R741" i="8"/>
  <c r="R740" i="8" s="1"/>
  <c r="S741" i="8"/>
  <c r="S740" i="8" s="1"/>
  <c r="T741" i="8"/>
  <c r="T740" i="8" s="1"/>
  <c r="U741" i="8"/>
  <c r="U740" i="8" s="1"/>
  <c r="U737" i="8" s="1"/>
  <c r="V741" i="8"/>
  <c r="V740" i="8" s="1"/>
  <c r="W741" i="8"/>
  <c r="W740" i="8" s="1"/>
  <c r="X741" i="8"/>
  <c r="X740" i="8" s="1"/>
  <c r="X737" i="8" s="1"/>
  <c r="B745" i="8"/>
  <c r="C746" i="8"/>
  <c r="D747" i="8"/>
  <c r="G748" i="8"/>
  <c r="G747" i="8" s="1"/>
  <c r="H748" i="8"/>
  <c r="H747" i="8" s="1"/>
  <c r="I748" i="8"/>
  <c r="I747" i="8" s="1"/>
  <c r="J748" i="8"/>
  <c r="J747" i="8" s="1"/>
  <c r="K748" i="8"/>
  <c r="K747" i="8" s="1"/>
  <c r="N748" i="8"/>
  <c r="O748" i="8"/>
  <c r="O747" i="8" s="1"/>
  <c r="P748" i="8"/>
  <c r="P747" i="8" s="1"/>
  <c r="Q748" i="8"/>
  <c r="Q747" i="8" s="1"/>
  <c r="R748" i="8"/>
  <c r="R747" i="8"/>
  <c r="R746" i="8" s="1"/>
  <c r="S748" i="8"/>
  <c r="S747" i="8" s="1"/>
  <c r="T748" i="8"/>
  <c r="T747" i="8" s="1"/>
  <c r="U748" i="8"/>
  <c r="U747" i="8" s="1"/>
  <c r="V748" i="8"/>
  <c r="V747" i="8" s="1"/>
  <c r="V746" i="8" s="1"/>
  <c r="W748" i="8"/>
  <c r="W747" i="8" s="1"/>
  <c r="X748" i="8"/>
  <c r="X747" i="8" s="1"/>
  <c r="G749" i="8"/>
  <c r="H749" i="8"/>
  <c r="I749" i="8"/>
  <c r="J749" i="8"/>
  <c r="K749" i="8"/>
  <c r="N749" i="8"/>
  <c r="O749" i="8"/>
  <c r="P749" i="8"/>
  <c r="Q749" i="8"/>
  <c r="R749" i="8"/>
  <c r="S749" i="8"/>
  <c r="T749" i="8"/>
  <c r="U749" i="8"/>
  <c r="V749" i="8"/>
  <c r="W749" i="8"/>
  <c r="X749" i="8"/>
  <c r="G750" i="8"/>
  <c r="H750" i="8"/>
  <c r="I750" i="8"/>
  <c r="J750" i="8"/>
  <c r="K750" i="8"/>
  <c r="N750" i="8"/>
  <c r="M750" i="8" s="1"/>
  <c r="O750" i="8"/>
  <c r="P750" i="8"/>
  <c r="Q750" i="8"/>
  <c r="R750" i="8"/>
  <c r="S750" i="8"/>
  <c r="T750" i="8"/>
  <c r="U750" i="8"/>
  <c r="V750" i="8"/>
  <c r="W750" i="8"/>
  <c r="X750" i="8"/>
  <c r="G751" i="8"/>
  <c r="H751" i="8"/>
  <c r="I751" i="8"/>
  <c r="J751" i="8"/>
  <c r="K751" i="8"/>
  <c r="N751" i="8"/>
  <c r="M751" i="8" s="1"/>
  <c r="O751" i="8"/>
  <c r="P751" i="8"/>
  <c r="Q751" i="8"/>
  <c r="R751" i="8"/>
  <c r="S751" i="8"/>
  <c r="T751" i="8"/>
  <c r="U751" i="8"/>
  <c r="V751" i="8"/>
  <c r="W751" i="8"/>
  <c r="X751" i="8"/>
  <c r="D752" i="8"/>
  <c r="H752" i="8"/>
  <c r="G753" i="8"/>
  <c r="G752" i="8" s="1"/>
  <c r="H753" i="8"/>
  <c r="I753" i="8"/>
  <c r="I752" i="8" s="1"/>
  <c r="J753" i="8"/>
  <c r="J752" i="8" s="1"/>
  <c r="L752" i="8" s="1"/>
  <c r="K753" i="8"/>
  <c r="N753" i="8"/>
  <c r="O753" i="8"/>
  <c r="O752" i="8" s="1"/>
  <c r="P753" i="8"/>
  <c r="P752" i="8" s="1"/>
  <c r="Q753" i="8"/>
  <c r="Q752" i="8"/>
  <c r="R753" i="8"/>
  <c r="R752" i="8" s="1"/>
  <c r="S753" i="8"/>
  <c r="S752" i="8" s="1"/>
  <c r="T753" i="8"/>
  <c r="T752" i="8" s="1"/>
  <c r="U753" i="8"/>
  <c r="U752" i="8"/>
  <c r="V753" i="8"/>
  <c r="V752" i="8" s="1"/>
  <c r="W753" i="8"/>
  <c r="W752" i="8" s="1"/>
  <c r="X753" i="8"/>
  <c r="X752" i="8"/>
  <c r="D754" i="8"/>
  <c r="H754" i="8"/>
  <c r="G755" i="8"/>
  <c r="G754" i="8"/>
  <c r="H755" i="8"/>
  <c r="I755" i="8"/>
  <c r="I754" i="8" s="1"/>
  <c r="J755" i="8"/>
  <c r="J754" i="8" s="1"/>
  <c r="K755" i="8"/>
  <c r="N755" i="8"/>
  <c r="O755" i="8"/>
  <c r="O754" i="8" s="1"/>
  <c r="P755" i="8"/>
  <c r="P754" i="8" s="1"/>
  <c r="Q755" i="8"/>
  <c r="Q754" i="8" s="1"/>
  <c r="R755" i="8"/>
  <c r="R754" i="8" s="1"/>
  <c r="S755" i="8"/>
  <c r="S754" i="8" s="1"/>
  <c r="T755" i="8"/>
  <c r="T754" i="8" s="1"/>
  <c r="U755" i="8"/>
  <c r="U754" i="8" s="1"/>
  <c r="V755" i="8"/>
  <c r="W755" i="8"/>
  <c r="W754" i="8" s="1"/>
  <c r="X755" i="8"/>
  <c r="X754" i="8"/>
  <c r="G756" i="8"/>
  <c r="H756" i="8"/>
  <c r="I756" i="8"/>
  <c r="J756" i="8"/>
  <c r="L756" i="8" s="1"/>
  <c r="K756" i="8"/>
  <c r="N756" i="8"/>
  <c r="O756" i="8"/>
  <c r="P756" i="8"/>
  <c r="Q756" i="8"/>
  <c r="R756" i="8"/>
  <c r="S756" i="8"/>
  <c r="T756" i="8"/>
  <c r="U756" i="8"/>
  <c r="V756" i="8"/>
  <c r="W756" i="8"/>
  <c r="X756" i="8"/>
  <c r="C757" i="8"/>
  <c r="D758" i="8"/>
  <c r="G759" i="8"/>
  <c r="G758" i="8"/>
  <c r="H759" i="8"/>
  <c r="H758" i="8"/>
  <c r="I759" i="8"/>
  <c r="I758" i="8"/>
  <c r="J759" i="8"/>
  <c r="K759" i="8"/>
  <c r="N759" i="8"/>
  <c r="O759" i="8"/>
  <c r="O758" i="8" s="1"/>
  <c r="P759" i="8"/>
  <c r="P758" i="8"/>
  <c r="Q759" i="8"/>
  <c r="Q758" i="8" s="1"/>
  <c r="R759" i="8"/>
  <c r="R758" i="8" s="1"/>
  <c r="S759" i="8"/>
  <c r="S758" i="8" s="1"/>
  <c r="T759" i="8"/>
  <c r="T758" i="8"/>
  <c r="U759" i="8"/>
  <c r="U758" i="8" s="1"/>
  <c r="V759" i="8"/>
  <c r="W759" i="8"/>
  <c r="W758" i="8"/>
  <c r="X759" i="8"/>
  <c r="X758" i="8" s="1"/>
  <c r="G760" i="8"/>
  <c r="H760" i="8"/>
  <c r="I760" i="8"/>
  <c r="J760" i="8"/>
  <c r="K760" i="8"/>
  <c r="N760" i="8"/>
  <c r="O760" i="8"/>
  <c r="P760" i="8"/>
  <c r="Q760" i="8"/>
  <c r="R760" i="8"/>
  <c r="S760" i="8"/>
  <c r="T760" i="8"/>
  <c r="U760" i="8"/>
  <c r="V760" i="8"/>
  <c r="W760" i="8"/>
  <c r="X760" i="8"/>
  <c r="G761" i="8"/>
  <c r="H761" i="8"/>
  <c r="I761" i="8"/>
  <c r="J761" i="8"/>
  <c r="K761" i="8"/>
  <c r="L761" i="8" s="1"/>
  <c r="N761" i="8"/>
  <c r="O761" i="8"/>
  <c r="P761" i="8"/>
  <c r="Q761" i="8"/>
  <c r="R761" i="8"/>
  <c r="S761" i="8"/>
  <c r="T761" i="8"/>
  <c r="U761" i="8"/>
  <c r="V761" i="8"/>
  <c r="W761" i="8"/>
  <c r="X761" i="8"/>
  <c r="G762" i="8"/>
  <c r="H762" i="8"/>
  <c r="I762" i="8"/>
  <c r="J762" i="8"/>
  <c r="K762" i="8"/>
  <c r="N762" i="8"/>
  <c r="O762" i="8"/>
  <c r="P762" i="8"/>
  <c r="Q762" i="8"/>
  <c r="R762" i="8"/>
  <c r="S762" i="8"/>
  <c r="T762" i="8"/>
  <c r="U762" i="8"/>
  <c r="V762" i="8"/>
  <c r="W762" i="8"/>
  <c r="X762" i="8"/>
  <c r="D763" i="8"/>
  <c r="G764" i="8"/>
  <c r="G763" i="8"/>
  <c r="H764" i="8"/>
  <c r="H763" i="8"/>
  <c r="I764" i="8"/>
  <c r="I763" i="8"/>
  <c r="J764" i="8"/>
  <c r="K764" i="8"/>
  <c r="K763" i="8"/>
  <c r="N764" i="8"/>
  <c r="N763" i="8" s="1"/>
  <c r="O764" i="8"/>
  <c r="O763" i="8"/>
  <c r="P764" i="8"/>
  <c r="P763" i="8"/>
  <c r="Q764" i="8"/>
  <c r="Q763" i="8"/>
  <c r="R764" i="8"/>
  <c r="R763" i="8"/>
  <c r="S764" i="8"/>
  <c r="S763" i="8"/>
  <c r="T764" i="8"/>
  <c r="T763" i="8"/>
  <c r="U764" i="8"/>
  <c r="U763" i="8"/>
  <c r="V764" i="8"/>
  <c r="W764" i="8"/>
  <c r="W763" i="8" s="1"/>
  <c r="X764" i="8"/>
  <c r="X763" i="8"/>
  <c r="G765" i="8"/>
  <c r="H765" i="8"/>
  <c r="I765" i="8"/>
  <c r="J765" i="8"/>
  <c r="K765" i="8"/>
  <c r="N765" i="8"/>
  <c r="M765" i="8" s="1"/>
  <c r="O765" i="8"/>
  <c r="P765" i="8"/>
  <c r="Q765" i="8"/>
  <c r="R765" i="8"/>
  <c r="S765" i="8"/>
  <c r="T765" i="8"/>
  <c r="U765" i="8"/>
  <c r="V765" i="8"/>
  <c r="W765" i="8"/>
  <c r="X765" i="8"/>
  <c r="G766" i="8"/>
  <c r="H766" i="8"/>
  <c r="I766" i="8"/>
  <c r="J766" i="8"/>
  <c r="M766" i="8"/>
  <c r="K766" i="8"/>
  <c r="L766" i="8" s="1"/>
  <c r="N766" i="8"/>
  <c r="O766" i="8"/>
  <c r="P766" i="8"/>
  <c r="Q766" i="8"/>
  <c r="R766" i="8"/>
  <c r="S766" i="8"/>
  <c r="T766" i="8"/>
  <c r="U766" i="8"/>
  <c r="V766" i="8"/>
  <c r="W766" i="8"/>
  <c r="X766" i="8"/>
  <c r="G767" i="8"/>
  <c r="H767" i="8"/>
  <c r="I767" i="8"/>
  <c r="J767" i="8"/>
  <c r="M767" i="8" s="1"/>
  <c r="K767" i="8"/>
  <c r="L767" i="8" s="1"/>
  <c r="N767" i="8"/>
  <c r="O767" i="8"/>
  <c r="P767" i="8"/>
  <c r="Q767" i="8"/>
  <c r="R767" i="8"/>
  <c r="S767" i="8"/>
  <c r="T767" i="8"/>
  <c r="U767" i="8"/>
  <c r="V767" i="8"/>
  <c r="W767" i="8"/>
  <c r="X767" i="8"/>
  <c r="G768" i="8"/>
  <c r="H768" i="8"/>
  <c r="I768" i="8"/>
  <c r="J768" i="8"/>
  <c r="K768" i="8"/>
  <c r="L768" i="8" s="1"/>
  <c r="N768" i="8"/>
  <c r="O768" i="8"/>
  <c r="P768" i="8"/>
  <c r="Q768" i="8"/>
  <c r="R768" i="8"/>
  <c r="S768" i="8"/>
  <c r="T768" i="8"/>
  <c r="U768" i="8"/>
  <c r="V768" i="8"/>
  <c r="W768" i="8"/>
  <c r="X768" i="8"/>
  <c r="G769" i="8"/>
  <c r="H769" i="8"/>
  <c r="I769" i="8"/>
  <c r="J769" i="8"/>
  <c r="K769" i="8"/>
  <c r="L769" i="8" s="1"/>
  <c r="N769" i="8"/>
  <c r="O769" i="8"/>
  <c r="P769" i="8"/>
  <c r="Q769" i="8"/>
  <c r="R769" i="8"/>
  <c r="S769" i="8"/>
  <c r="T769" i="8"/>
  <c r="U769" i="8"/>
  <c r="V769" i="8"/>
  <c r="W769" i="8"/>
  <c r="X769" i="8"/>
  <c r="D770" i="8"/>
  <c r="G771" i="8"/>
  <c r="G770" i="8"/>
  <c r="H771" i="8"/>
  <c r="H770" i="8"/>
  <c r="I771" i="8"/>
  <c r="I770" i="8"/>
  <c r="J771" i="8"/>
  <c r="M771" i="8" s="1"/>
  <c r="K771" i="8"/>
  <c r="L771" i="8" s="1"/>
  <c r="L770" i="8" s="1"/>
  <c r="N771" i="8"/>
  <c r="O771" i="8"/>
  <c r="O770" i="8"/>
  <c r="P771" i="8"/>
  <c r="P770" i="8" s="1"/>
  <c r="Q771" i="8"/>
  <c r="Q770" i="8"/>
  <c r="R771" i="8"/>
  <c r="R770" i="8" s="1"/>
  <c r="S771" i="8"/>
  <c r="S770" i="8" s="1"/>
  <c r="T771" i="8"/>
  <c r="T770" i="8" s="1"/>
  <c r="U771" i="8"/>
  <c r="U770" i="8" s="1"/>
  <c r="V771" i="8"/>
  <c r="V770" i="8" s="1"/>
  <c r="W771" i="8"/>
  <c r="W770" i="8"/>
  <c r="X771" i="8"/>
  <c r="X770" i="8"/>
  <c r="G772" i="8"/>
  <c r="H772" i="8"/>
  <c r="I772" i="8"/>
  <c r="J772" i="8"/>
  <c r="K772" i="8"/>
  <c r="N772" i="8"/>
  <c r="M772" i="8" s="1"/>
  <c r="O772" i="8"/>
  <c r="P772" i="8"/>
  <c r="Q772" i="8"/>
  <c r="R772" i="8"/>
  <c r="S772" i="8"/>
  <c r="T772" i="8"/>
  <c r="U772" i="8"/>
  <c r="V772" i="8"/>
  <c r="W772" i="8"/>
  <c r="X772" i="8"/>
  <c r="G773" i="8"/>
  <c r="H773" i="8"/>
  <c r="I773" i="8"/>
  <c r="J773" i="8"/>
  <c r="K773" i="8"/>
  <c r="N773" i="8"/>
  <c r="M773" i="8" s="1"/>
  <c r="O773" i="8"/>
  <c r="P773" i="8"/>
  <c r="Q773" i="8"/>
  <c r="R773" i="8"/>
  <c r="S773" i="8"/>
  <c r="T773" i="8"/>
  <c r="U773" i="8"/>
  <c r="V773" i="8"/>
  <c r="W773" i="8"/>
  <c r="X773" i="8"/>
  <c r="G774" i="8"/>
  <c r="H774" i="8"/>
  <c r="I774" i="8"/>
  <c r="J774" i="8"/>
  <c r="K774" i="8"/>
  <c r="N774" i="8"/>
  <c r="M774" i="8" s="1"/>
  <c r="O774" i="8"/>
  <c r="P774" i="8"/>
  <c r="Q774" i="8"/>
  <c r="R774" i="8"/>
  <c r="S774" i="8"/>
  <c r="T774" i="8"/>
  <c r="U774" i="8"/>
  <c r="V774" i="8"/>
  <c r="W774" i="8"/>
  <c r="X774" i="8"/>
  <c r="G775" i="8"/>
  <c r="H775" i="8"/>
  <c r="I775" i="8"/>
  <c r="J775" i="8"/>
  <c r="K775" i="8"/>
  <c r="N775" i="8"/>
  <c r="M775" i="8" s="1"/>
  <c r="O775" i="8"/>
  <c r="P775" i="8"/>
  <c r="Q775" i="8"/>
  <c r="R775" i="8"/>
  <c r="S775" i="8"/>
  <c r="T775" i="8"/>
  <c r="U775" i="8"/>
  <c r="V775" i="8"/>
  <c r="W775" i="8"/>
  <c r="X775" i="8"/>
  <c r="G776" i="8"/>
  <c r="H776" i="8"/>
  <c r="I776" i="8"/>
  <c r="J776" i="8"/>
  <c r="K776" i="8"/>
  <c r="N776" i="8"/>
  <c r="M776" i="8" s="1"/>
  <c r="O776" i="8"/>
  <c r="P776" i="8"/>
  <c r="Q776" i="8"/>
  <c r="R776" i="8"/>
  <c r="S776" i="8"/>
  <c r="T776" i="8"/>
  <c r="U776" i="8"/>
  <c r="V776" i="8"/>
  <c r="W776" i="8"/>
  <c r="X776" i="8"/>
  <c r="G777" i="8"/>
  <c r="H777" i="8"/>
  <c r="I777" i="8"/>
  <c r="J777" i="8"/>
  <c r="K777" i="8"/>
  <c r="N777" i="8"/>
  <c r="M777" i="8" s="1"/>
  <c r="O777" i="8"/>
  <c r="P777" i="8"/>
  <c r="Q777" i="8"/>
  <c r="R777" i="8"/>
  <c r="S777" i="8"/>
  <c r="T777" i="8"/>
  <c r="U777" i="8"/>
  <c r="V777" i="8"/>
  <c r="W777" i="8"/>
  <c r="X777" i="8"/>
  <c r="G778" i="8"/>
  <c r="H778" i="8"/>
  <c r="I778" i="8"/>
  <c r="J778" i="8"/>
  <c r="K778" i="8"/>
  <c r="N778" i="8"/>
  <c r="M778" i="8" s="1"/>
  <c r="O778" i="8"/>
  <c r="P778" i="8"/>
  <c r="Q778" i="8"/>
  <c r="R778" i="8"/>
  <c r="S778" i="8"/>
  <c r="T778" i="8"/>
  <c r="U778" i="8"/>
  <c r="V778" i="8"/>
  <c r="W778" i="8"/>
  <c r="X778" i="8"/>
  <c r="G779" i="8"/>
  <c r="H779" i="8"/>
  <c r="I779" i="8"/>
  <c r="J779" i="8"/>
  <c r="K779" i="8"/>
  <c r="N779" i="8"/>
  <c r="M779" i="8" s="1"/>
  <c r="O779" i="8"/>
  <c r="P779" i="8"/>
  <c r="Q779" i="8"/>
  <c r="R779" i="8"/>
  <c r="S779" i="8"/>
  <c r="T779" i="8"/>
  <c r="U779" i="8"/>
  <c r="V779" i="8"/>
  <c r="W779" i="8"/>
  <c r="X779" i="8"/>
  <c r="G781" i="8"/>
  <c r="G780" i="8"/>
  <c r="H781" i="8"/>
  <c r="H780" i="8"/>
  <c r="I781" i="8"/>
  <c r="I780" i="8"/>
  <c r="J781" i="8"/>
  <c r="J780" i="8"/>
  <c r="K781" i="8"/>
  <c r="K780" i="8"/>
  <c r="L780" i="8" s="1"/>
  <c r="N781" i="8"/>
  <c r="N780" i="8"/>
  <c r="M780" i="8" s="1"/>
  <c r="O781" i="8"/>
  <c r="O780" i="8"/>
  <c r="P781" i="8"/>
  <c r="P780" i="8"/>
  <c r="Q781" i="8"/>
  <c r="Q780" i="8"/>
  <c r="R781" i="8"/>
  <c r="R780" i="8"/>
  <c r="S781" i="8"/>
  <c r="S780" i="8"/>
  <c r="T781" i="8"/>
  <c r="T780" i="8"/>
  <c r="U781" i="8"/>
  <c r="U780" i="8"/>
  <c r="V781" i="8"/>
  <c r="V780" i="8"/>
  <c r="W781" i="8"/>
  <c r="W780" i="8"/>
  <c r="X781" i="8"/>
  <c r="X780" i="8"/>
  <c r="D782" i="8"/>
  <c r="G783" i="8"/>
  <c r="G782" i="8" s="1"/>
  <c r="H783" i="8"/>
  <c r="H782" i="8"/>
  <c r="I783" i="8"/>
  <c r="I782" i="8" s="1"/>
  <c r="J783" i="8"/>
  <c r="J782" i="8" s="1"/>
  <c r="K783" i="8"/>
  <c r="N783" i="8"/>
  <c r="O783" i="8"/>
  <c r="O782" i="8"/>
  <c r="P783" i="8"/>
  <c r="P782" i="8"/>
  <c r="Q783" i="8"/>
  <c r="Q782" i="8"/>
  <c r="R783" i="8"/>
  <c r="R782" i="8"/>
  <c r="S783" i="8"/>
  <c r="S782" i="8"/>
  <c r="T783" i="8"/>
  <c r="T782" i="8"/>
  <c r="U783" i="8"/>
  <c r="U782" i="8" s="1"/>
  <c r="V783" i="8"/>
  <c r="V782" i="8" s="1"/>
  <c r="W783" i="8"/>
  <c r="W782" i="8"/>
  <c r="X783" i="8"/>
  <c r="X782" i="8"/>
  <c r="X757" i="8" s="1"/>
  <c r="G784" i="8"/>
  <c r="H784" i="8"/>
  <c r="I784" i="8"/>
  <c r="J784" i="8"/>
  <c r="L784" i="8" s="1"/>
  <c r="K784" i="8"/>
  <c r="N784" i="8"/>
  <c r="O784" i="8"/>
  <c r="P784" i="8"/>
  <c r="Q784" i="8"/>
  <c r="R784" i="8"/>
  <c r="S784" i="8"/>
  <c r="T784" i="8"/>
  <c r="U784" i="8"/>
  <c r="V784" i="8"/>
  <c r="W784" i="8"/>
  <c r="X784" i="8"/>
  <c r="G785" i="8"/>
  <c r="H785" i="8"/>
  <c r="I785" i="8"/>
  <c r="J785" i="8"/>
  <c r="K785" i="8"/>
  <c r="N785" i="8"/>
  <c r="O785" i="8"/>
  <c r="P785" i="8"/>
  <c r="Q785" i="8"/>
  <c r="R785" i="8"/>
  <c r="S785" i="8"/>
  <c r="T785" i="8"/>
  <c r="U785" i="8"/>
  <c r="V785" i="8"/>
  <c r="W785" i="8"/>
  <c r="X785" i="8"/>
  <c r="G786" i="8"/>
  <c r="H786" i="8"/>
  <c r="I786" i="8"/>
  <c r="J786" i="8"/>
  <c r="K786" i="8"/>
  <c r="N786" i="8"/>
  <c r="O786" i="8"/>
  <c r="P786" i="8"/>
  <c r="Q786" i="8"/>
  <c r="R786" i="8"/>
  <c r="S786" i="8"/>
  <c r="T786" i="8"/>
  <c r="U786" i="8"/>
  <c r="V786" i="8"/>
  <c r="W786" i="8"/>
  <c r="X786" i="8"/>
  <c r="G787" i="8"/>
  <c r="H787" i="8"/>
  <c r="I787" i="8"/>
  <c r="J787" i="8"/>
  <c r="L787" i="8" s="1"/>
  <c r="K787" i="8"/>
  <c r="N787" i="8"/>
  <c r="O787" i="8"/>
  <c r="P787" i="8"/>
  <c r="Q787" i="8"/>
  <c r="R787" i="8"/>
  <c r="S787" i="8"/>
  <c r="T787" i="8"/>
  <c r="U787" i="8"/>
  <c r="V787" i="8"/>
  <c r="W787" i="8"/>
  <c r="X787" i="8"/>
  <c r="G788" i="8"/>
  <c r="H788" i="8"/>
  <c r="I788" i="8"/>
  <c r="J788" i="8"/>
  <c r="L788" i="8" s="1"/>
  <c r="K788" i="8"/>
  <c r="N788" i="8"/>
  <c r="O788" i="8"/>
  <c r="P788" i="8"/>
  <c r="Q788" i="8"/>
  <c r="R788" i="8"/>
  <c r="S788" i="8"/>
  <c r="T788" i="8"/>
  <c r="U788" i="8"/>
  <c r="V788" i="8"/>
  <c r="W788" i="8"/>
  <c r="X788" i="8"/>
  <c r="C789" i="8"/>
  <c r="D790" i="8"/>
  <c r="G791" i="8"/>
  <c r="G790" i="8" s="1"/>
  <c r="H791" i="8"/>
  <c r="H790" i="8" s="1"/>
  <c r="I791" i="8"/>
  <c r="I790" i="8" s="1"/>
  <c r="J791" i="8"/>
  <c r="J790" i="8"/>
  <c r="L790" i="8" s="1"/>
  <c r="K791" i="8"/>
  <c r="K790" i="8" s="1"/>
  <c r="N791" i="8"/>
  <c r="N790" i="8" s="1"/>
  <c r="O791" i="8"/>
  <c r="O790" i="8" s="1"/>
  <c r="P791" i="8"/>
  <c r="P790" i="8" s="1"/>
  <c r="Q791" i="8"/>
  <c r="Q790" i="8" s="1"/>
  <c r="R791" i="8"/>
  <c r="R790" i="8" s="1"/>
  <c r="S791" i="8"/>
  <c r="S790" i="8"/>
  <c r="T791" i="8"/>
  <c r="T790" i="8"/>
  <c r="U791" i="8"/>
  <c r="U790" i="8" s="1"/>
  <c r="V791" i="8"/>
  <c r="V790" i="8" s="1"/>
  <c r="W791" i="8"/>
  <c r="W790" i="8"/>
  <c r="X791" i="8"/>
  <c r="X790" i="8" s="1"/>
  <c r="D792" i="8"/>
  <c r="G793" i="8"/>
  <c r="G792" i="8"/>
  <c r="G789" i="8" s="1"/>
  <c r="H793" i="8"/>
  <c r="H792" i="8" s="1"/>
  <c r="I793" i="8"/>
  <c r="I792" i="8" s="1"/>
  <c r="J793" i="8"/>
  <c r="K793" i="8"/>
  <c r="N793" i="8"/>
  <c r="N792" i="8" s="1"/>
  <c r="O793" i="8"/>
  <c r="O792" i="8"/>
  <c r="P793" i="8"/>
  <c r="P792" i="8"/>
  <c r="Q793" i="8"/>
  <c r="Q792" i="8"/>
  <c r="Q789" i="8" s="1"/>
  <c r="R793" i="8"/>
  <c r="R792" i="8"/>
  <c r="S793" i="8"/>
  <c r="S792" i="8" s="1"/>
  <c r="T793" i="8"/>
  <c r="T792" i="8" s="1"/>
  <c r="T789" i="8" s="1"/>
  <c r="U793" i="8"/>
  <c r="U792" i="8" s="1"/>
  <c r="V793" i="8"/>
  <c r="V792" i="8" s="1"/>
  <c r="V789" i="8" s="1"/>
  <c r="W793" i="8"/>
  <c r="W792" i="8" s="1"/>
  <c r="X793" i="8"/>
  <c r="X792" i="8" s="1"/>
  <c r="G794" i="8"/>
  <c r="H794" i="8"/>
  <c r="I794" i="8"/>
  <c r="J794" i="8"/>
  <c r="K794" i="8"/>
  <c r="L794" i="8" s="1"/>
  <c r="N794" i="8"/>
  <c r="M794" i="8" s="1"/>
  <c r="O794" i="8"/>
  <c r="P794" i="8"/>
  <c r="Q794" i="8"/>
  <c r="R794" i="8"/>
  <c r="S794" i="8"/>
  <c r="T794" i="8"/>
  <c r="U794" i="8"/>
  <c r="V794" i="8"/>
  <c r="W794" i="8"/>
  <c r="X794" i="8"/>
  <c r="G795" i="8"/>
  <c r="H795" i="8"/>
  <c r="I795" i="8"/>
  <c r="J795" i="8"/>
  <c r="K795" i="8"/>
  <c r="N795" i="8"/>
  <c r="M795" i="8" s="1"/>
  <c r="O795" i="8"/>
  <c r="P795" i="8"/>
  <c r="Q795" i="8"/>
  <c r="R795" i="8"/>
  <c r="S795" i="8"/>
  <c r="T795" i="8"/>
  <c r="U795" i="8"/>
  <c r="V795" i="8"/>
  <c r="W795" i="8"/>
  <c r="X795" i="8"/>
  <c r="C796" i="8"/>
  <c r="G798" i="8"/>
  <c r="G797" i="8" s="1"/>
  <c r="G796" i="8" s="1"/>
  <c r="H798" i="8"/>
  <c r="H797" i="8" s="1"/>
  <c r="I798" i="8"/>
  <c r="J798" i="8"/>
  <c r="K798" i="8"/>
  <c r="K797" i="8" s="1"/>
  <c r="N798" i="8"/>
  <c r="O798" i="8"/>
  <c r="P798" i="8"/>
  <c r="Q798" i="8"/>
  <c r="Q797" i="8" s="1"/>
  <c r="Q796" i="8" s="1"/>
  <c r="R798" i="8"/>
  <c r="S798" i="8"/>
  <c r="T798" i="8"/>
  <c r="U798" i="8"/>
  <c r="V798" i="8"/>
  <c r="W798" i="8"/>
  <c r="X798" i="8"/>
  <c r="G799" i="8"/>
  <c r="H799" i="8"/>
  <c r="I799" i="8"/>
  <c r="J799" i="8"/>
  <c r="K799" i="8"/>
  <c r="N799" i="8"/>
  <c r="O799" i="8"/>
  <c r="P799" i="8"/>
  <c r="Q799" i="8"/>
  <c r="R799" i="8"/>
  <c r="S799" i="8"/>
  <c r="T799" i="8"/>
  <c r="U799" i="8"/>
  <c r="V799" i="8"/>
  <c r="W799" i="8"/>
  <c r="X799" i="8"/>
  <c r="D800" i="8"/>
  <c r="G801" i="8"/>
  <c r="H801" i="8"/>
  <c r="I801" i="8"/>
  <c r="J801" i="8"/>
  <c r="M801" i="8" s="1"/>
  <c r="K801" i="8"/>
  <c r="N801" i="8"/>
  <c r="O801" i="8"/>
  <c r="P801" i="8"/>
  <c r="Q801" i="8"/>
  <c r="R801" i="8"/>
  <c r="S801" i="8"/>
  <c r="T801" i="8"/>
  <c r="U801" i="8"/>
  <c r="V801" i="8"/>
  <c r="W801" i="8"/>
  <c r="X801" i="8"/>
  <c r="G802" i="8"/>
  <c r="G800" i="8" s="1"/>
  <c r="H802" i="8"/>
  <c r="H800" i="8" s="1"/>
  <c r="I802" i="8"/>
  <c r="J802" i="8"/>
  <c r="J800" i="8" s="1"/>
  <c r="K802" i="8"/>
  <c r="N802" i="8"/>
  <c r="O802" i="8"/>
  <c r="P802" i="8"/>
  <c r="P800" i="8" s="1"/>
  <c r="Q802" i="8"/>
  <c r="R802" i="8"/>
  <c r="R800" i="8" s="1"/>
  <c r="S802" i="8"/>
  <c r="T802" i="8"/>
  <c r="T800" i="8" s="1"/>
  <c r="U802" i="8"/>
  <c r="U800" i="8" s="1"/>
  <c r="V802" i="8"/>
  <c r="W802" i="8"/>
  <c r="X802" i="8"/>
  <c r="C803" i="8"/>
  <c r="D804" i="8"/>
  <c r="G805" i="8"/>
  <c r="G804" i="8" s="1"/>
  <c r="G803" i="8"/>
  <c r="H805" i="8"/>
  <c r="H804" i="8"/>
  <c r="H803" i="8" s="1"/>
  <c r="I805" i="8"/>
  <c r="I804" i="8" s="1"/>
  <c r="I803" i="8" s="1"/>
  <c r="J805" i="8"/>
  <c r="J804" i="8" s="1"/>
  <c r="J803" i="8" s="1"/>
  <c r="K805" i="8"/>
  <c r="N805" i="8"/>
  <c r="N804" i="8" s="1"/>
  <c r="N803" i="8" s="1"/>
  <c r="O805" i="8"/>
  <c r="O804" i="8" s="1"/>
  <c r="O803" i="8" s="1"/>
  <c r="P805" i="8"/>
  <c r="P804" i="8" s="1"/>
  <c r="P803" i="8" s="1"/>
  <c r="Q805" i="8"/>
  <c r="Q804" i="8" s="1"/>
  <c r="Q803" i="8" s="1"/>
  <c r="R805" i="8"/>
  <c r="R804" i="8" s="1"/>
  <c r="R803" i="8" s="1"/>
  <c r="S805" i="8"/>
  <c r="S804" i="8" s="1"/>
  <c r="S803" i="8"/>
  <c r="T805" i="8"/>
  <c r="T804" i="8" s="1"/>
  <c r="T803" i="8" s="1"/>
  <c r="U805" i="8"/>
  <c r="U804" i="8" s="1"/>
  <c r="U803" i="8" s="1"/>
  <c r="V805" i="8"/>
  <c r="V804" i="8" s="1"/>
  <c r="V803" i="8" s="1"/>
  <c r="W805" i="8"/>
  <c r="W804" i="8" s="1"/>
  <c r="W803" i="8" s="1"/>
  <c r="X805" i="8"/>
  <c r="X804" i="8" s="1"/>
  <c r="X803" i="8" s="1"/>
  <c r="G806" i="8"/>
  <c r="H806" i="8"/>
  <c r="I806" i="8"/>
  <c r="J806" i="8"/>
  <c r="K806" i="8"/>
  <c r="N806" i="8"/>
  <c r="O806" i="8"/>
  <c r="P806" i="8"/>
  <c r="Q806" i="8"/>
  <c r="R806" i="8"/>
  <c r="S806" i="8"/>
  <c r="T806" i="8"/>
  <c r="U806" i="8"/>
  <c r="V806" i="8"/>
  <c r="W806" i="8"/>
  <c r="X806" i="8"/>
  <c r="C807" i="8"/>
  <c r="D808" i="8"/>
  <c r="G809" i="8"/>
  <c r="G808" i="8" s="1"/>
  <c r="G807" i="8" s="1"/>
  <c r="H809" i="8"/>
  <c r="H808" i="8" s="1"/>
  <c r="H807" i="8" s="1"/>
  <c r="I809" i="8"/>
  <c r="I808" i="8"/>
  <c r="I807" i="8" s="1"/>
  <c r="J809" i="8"/>
  <c r="L809" i="8" s="1"/>
  <c r="L808" i="8" s="1"/>
  <c r="K809" i="8"/>
  <c r="K808" i="8" s="1"/>
  <c r="K807" i="8" s="1"/>
  <c r="N809" i="8"/>
  <c r="O809" i="8"/>
  <c r="O808" i="8" s="1"/>
  <c r="O807" i="8" s="1"/>
  <c r="P809" i="8"/>
  <c r="P808" i="8" s="1"/>
  <c r="P807" i="8" s="1"/>
  <c r="Q809" i="8"/>
  <c r="Q808" i="8" s="1"/>
  <c r="Q807" i="8" s="1"/>
  <c r="R809" i="8"/>
  <c r="R808" i="8"/>
  <c r="R807" i="8" s="1"/>
  <c r="S809" i="8"/>
  <c r="S808" i="8"/>
  <c r="S807" i="8"/>
  <c r="T809" i="8"/>
  <c r="T808" i="8" s="1"/>
  <c r="T807" i="8" s="1"/>
  <c r="U809" i="8"/>
  <c r="U808" i="8"/>
  <c r="U807" i="8" s="1"/>
  <c r="V809" i="8"/>
  <c r="W809" i="8"/>
  <c r="W808" i="8" s="1"/>
  <c r="W807" i="8" s="1"/>
  <c r="X809" i="8"/>
  <c r="X808" i="8"/>
  <c r="X807" i="8"/>
  <c r="G810" i="8"/>
  <c r="H810" i="8"/>
  <c r="I810" i="8"/>
  <c r="J810" i="8"/>
  <c r="K810" i="8"/>
  <c r="N810" i="8"/>
  <c r="O810" i="8"/>
  <c r="P810" i="8"/>
  <c r="Q810" i="8"/>
  <c r="R810" i="8"/>
  <c r="S810" i="8"/>
  <c r="T810" i="8"/>
  <c r="U810" i="8"/>
  <c r="V810" i="8"/>
  <c r="W810" i="8"/>
  <c r="X810" i="8"/>
  <c r="C811" i="8"/>
  <c r="D812" i="8"/>
  <c r="G813" i="8"/>
  <c r="G812" i="8"/>
  <c r="H813" i="8"/>
  <c r="H812" i="8" s="1"/>
  <c r="H811" i="8" s="1"/>
  <c r="I813" i="8"/>
  <c r="I812" i="8"/>
  <c r="J813" i="8"/>
  <c r="K813" i="8"/>
  <c r="K812" i="8" s="1"/>
  <c r="N813" i="8"/>
  <c r="O813" i="8"/>
  <c r="O812" i="8"/>
  <c r="P813" i="8"/>
  <c r="P812" i="8" s="1"/>
  <c r="Q813" i="8"/>
  <c r="Q812" i="8" s="1"/>
  <c r="R813" i="8"/>
  <c r="R812" i="8" s="1"/>
  <c r="S813" i="8"/>
  <c r="S812" i="8" s="1"/>
  <c r="S811" i="8" s="1"/>
  <c r="T813" i="8"/>
  <c r="T812" i="8" s="1"/>
  <c r="U813" i="8"/>
  <c r="U812" i="8"/>
  <c r="V813" i="8"/>
  <c r="V812" i="8" s="1"/>
  <c r="W813" i="8"/>
  <c r="W812" i="8" s="1"/>
  <c r="X813" i="8"/>
  <c r="X812" i="8" s="1"/>
  <c r="D814" i="8"/>
  <c r="G815" i="8"/>
  <c r="G814" i="8" s="1"/>
  <c r="H815" i="8"/>
  <c r="H814" i="8" s="1"/>
  <c r="I815" i="8"/>
  <c r="I814" i="8" s="1"/>
  <c r="J815" i="8"/>
  <c r="M815" i="8" s="1"/>
  <c r="J814" i="8"/>
  <c r="L814" i="8" s="1"/>
  <c r="K815" i="8"/>
  <c r="K814" i="8" s="1"/>
  <c r="N815" i="8"/>
  <c r="N814" i="8"/>
  <c r="O815" i="8"/>
  <c r="O814" i="8" s="1"/>
  <c r="P815" i="8"/>
  <c r="P814" i="8"/>
  <c r="Q815" i="8"/>
  <c r="Q814" i="8" s="1"/>
  <c r="R815" i="8"/>
  <c r="R814" i="8" s="1"/>
  <c r="R811" i="8" s="1"/>
  <c r="S815" i="8"/>
  <c r="S814" i="8" s="1"/>
  <c r="T815" i="8"/>
  <c r="T814" i="8"/>
  <c r="U815" i="8"/>
  <c r="U814" i="8" s="1"/>
  <c r="V815" i="8"/>
  <c r="W815" i="8"/>
  <c r="X815" i="8"/>
  <c r="G816" i="8"/>
  <c r="H816" i="8"/>
  <c r="I816" i="8"/>
  <c r="J816" i="8"/>
  <c r="K816" i="8"/>
  <c r="N816" i="8"/>
  <c r="O816" i="8"/>
  <c r="P816" i="8"/>
  <c r="Q816" i="8"/>
  <c r="R816" i="8"/>
  <c r="S816" i="8"/>
  <c r="T816" i="8"/>
  <c r="U816" i="8"/>
  <c r="V816" i="8"/>
  <c r="W816" i="8"/>
  <c r="X816" i="8"/>
  <c r="D817" i="8"/>
  <c r="G818" i="8"/>
  <c r="G817" i="8"/>
  <c r="H818" i="8"/>
  <c r="H817" i="8" s="1"/>
  <c r="I818" i="8"/>
  <c r="I817" i="8" s="1"/>
  <c r="J818" i="8"/>
  <c r="J817" i="8" s="1"/>
  <c r="K818" i="8"/>
  <c r="N818" i="8"/>
  <c r="O818" i="8"/>
  <c r="O817" i="8" s="1"/>
  <c r="P818" i="8"/>
  <c r="P817" i="8" s="1"/>
  <c r="Q818" i="8"/>
  <c r="Q817" i="8"/>
  <c r="R818" i="8"/>
  <c r="R817" i="8" s="1"/>
  <c r="S818" i="8"/>
  <c r="S817" i="8" s="1"/>
  <c r="T818" i="8"/>
  <c r="T817" i="8" s="1"/>
  <c r="U818" i="8"/>
  <c r="U817" i="8" s="1"/>
  <c r="V818" i="8"/>
  <c r="V817" i="8" s="1"/>
  <c r="W818" i="8"/>
  <c r="W817" i="8" s="1"/>
  <c r="X818" i="8"/>
  <c r="X817" i="8" s="1"/>
  <c r="B820" i="8"/>
  <c r="G823" i="8"/>
  <c r="G822" i="8" s="1"/>
  <c r="H823" i="8"/>
  <c r="H822" i="8" s="1"/>
  <c r="I823" i="8"/>
  <c r="I822" i="8" s="1"/>
  <c r="J823" i="8"/>
  <c r="J822" i="8"/>
  <c r="K823" i="8"/>
  <c r="N823" i="8"/>
  <c r="N822" i="8" s="1"/>
  <c r="O823" i="8"/>
  <c r="O822" i="8"/>
  <c r="P823" i="8"/>
  <c r="P822" i="8" s="1"/>
  <c r="Q823" i="8"/>
  <c r="Q822" i="8"/>
  <c r="R823" i="8"/>
  <c r="R822" i="8" s="1"/>
  <c r="S823" i="8"/>
  <c r="S822" i="8" s="1"/>
  <c r="T823" i="8"/>
  <c r="T822" i="8" s="1"/>
  <c r="U823" i="8"/>
  <c r="U822" i="8"/>
  <c r="V823" i="8"/>
  <c r="V822" i="8" s="1"/>
  <c r="W823" i="8"/>
  <c r="W822" i="8" s="1"/>
  <c r="X823" i="8"/>
  <c r="X822" i="8" s="1"/>
  <c r="G825" i="8"/>
  <c r="G824" i="8" s="1"/>
  <c r="H825" i="8"/>
  <c r="I825" i="8"/>
  <c r="J825" i="8"/>
  <c r="K825" i="8"/>
  <c r="N825" i="8"/>
  <c r="O825" i="8"/>
  <c r="P825" i="8"/>
  <c r="Q825" i="8"/>
  <c r="R825" i="8"/>
  <c r="S825" i="8"/>
  <c r="T825" i="8"/>
  <c r="U825" i="8"/>
  <c r="U824" i="8" s="1"/>
  <c r="V825" i="8"/>
  <c r="W825" i="8"/>
  <c r="W824" i="8" s="1"/>
  <c r="W821" i="8" s="1"/>
  <c r="X825" i="8"/>
  <c r="G826" i="8"/>
  <c r="H826" i="8"/>
  <c r="I826" i="8"/>
  <c r="J826" i="8"/>
  <c r="K826" i="8"/>
  <c r="N826" i="8"/>
  <c r="O826" i="8"/>
  <c r="P826" i="8"/>
  <c r="R826" i="8"/>
  <c r="R824" i="8" s="1"/>
  <c r="R821" i="8" s="1"/>
  <c r="S826" i="8"/>
  <c r="T826" i="8"/>
  <c r="U826" i="8"/>
  <c r="V826" i="8"/>
  <c r="W826" i="8"/>
  <c r="X826" i="8"/>
  <c r="C827" i="8"/>
  <c r="D828" i="8"/>
  <c r="G829" i="8"/>
  <c r="G828" i="8"/>
  <c r="H829" i="8"/>
  <c r="H828" i="8"/>
  <c r="I829" i="8"/>
  <c r="I828" i="8"/>
  <c r="J829" i="8"/>
  <c r="J828" i="8"/>
  <c r="K829" i="8"/>
  <c r="N829" i="8"/>
  <c r="O829" i="8"/>
  <c r="O828" i="8"/>
  <c r="P829" i="8"/>
  <c r="P828" i="8"/>
  <c r="Q829" i="8"/>
  <c r="Q828" i="8"/>
  <c r="R829" i="8"/>
  <c r="R828" i="8" s="1"/>
  <c r="S829" i="8"/>
  <c r="S828" i="8" s="1"/>
  <c r="T829" i="8"/>
  <c r="T828" i="8"/>
  <c r="U829" i="8"/>
  <c r="U828" i="8" s="1"/>
  <c r="V829" i="8"/>
  <c r="W829" i="8"/>
  <c r="W828" i="8" s="1"/>
  <c r="X829" i="8"/>
  <c r="X828" i="8" s="1"/>
  <c r="G830" i="8"/>
  <c r="H830" i="8"/>
  <c r="I830" i="8"/>
  <c r="J830" i="8"/>
  <c r="K830" i="8"/>
  <c r="N830" i="8"/>
  <c r="O830" i="8"/>
  <c r="P830" i="8"/>
  <c r="Q830" i="8"/>
  <c r="R830" i="8"/>
  <c r="S830" i="8"/>
  <c r="T830" i="8"/>
  <c r="U830" i="8"/>
  <c r="V830" i="8"/>
  <c r="W830" i="8"/>
  <c r="X830" i="8"/>
  <c r="G831" i="8"/>
  <c r="H831" i="8"/>
  <c r="I831" i="8"/>
  <c r="J831" i="8"/>
  <c r="K831" i="8"/>
  <c r="N831" i="8"/>
  <c r="O831" i="8"/>
  <c r="P831" i="8"/>
  <c r="Q831" i="8"/>
  <c r="R831" i="8"/>
  <c r="S831" i="8"/>
  <c r="T831" i="8"/>
  <c r="U831" i="8"/>
  <c r="V831" i="8"/>
  <c r="W831" i="8"/>
  <c r="X831" i="8"/>
  <c r="D832" i="8"/>
  <c r="G833" i="8"/>
  <c r="G832" i="8"/>
  <c r="G827" i="8" s="1"/>
  <c r="H833" i="8"/>
  <c r="H832" i="8" s="1"/>
  <c r="I833" i="8"/>
  <c r="I832" i="8"/>
  <c r="J833" i="8"/>
  <c r="L833" i="8" s="1"/>
  <c r="L832" i="8" s="1"/>
  <c r="K833" i="8"/>
  <c r="N833" i="8"/>
  <c r="O833" i="8"/>
  <c r="O832" i="8"/>
  <c r="P833" i="8"/>
  <c r="P832" i="8"/>
  <c r="Q833" i="8"/>
  <c r="Q832" i="8"/>
  <c r="R833" i="8"/>
  <c r="R832" i="8"/>
  <c r="S833" i="8"/>
  <c r="S832" i="8"/>
  <c r="T833" i="8"/>
  <c r="T832" i="8"/>
  <c r="U833" i="8"/>
  <c r="U832" i="8"/>
  <c r="V833" i="8"/>
  <c r="W833" i="8"/>
  <c r="W832" i="8"/>
  <c r="X833" i="8"/>
  <c r="X832" i="8" s="1"/>
  <c r="G834" i="8"/>
  <c r="H834" i="8"/>
  <c r="I834" i="8"/>
  <c r="J834" i="8"/>
  <c r="L834" i="8" s="1"/>
  <c r="K834" i="8"/>
  <c r="N834" i="8"/>
  <c r="O834" i="8"/>
  <c r="P834" i="8"/>
  <c r="Q834" i="8"/>
  <c r="R834" i="8"/>
  <c r="S834" i="8"/>
  <c r="T834" i="8"/>
  <c r="U834" i="8"/>
  <c r="V834" i="8"/>
  <c r="W834" i="8"/>
  <c r="X834" i="8"/>
  <c r="G835" i="8"/>
  <c r="H835" i="8"/>
  <c r="I835" i="8"/>
  <c r="J835" i="8"/>
  <c r="K835" i="8"/>
  <c r="N835" i="8"/>
  <c r="O835" i="8"/>
  <c r="P835" i="8"/>
  <c r="Q835" i="8"/>
  <c r="R835" i="8"/>
  <c r="S835" i="8"/>
  <c r="T835" i="8"/>
  <c r="U835" i="8"/>
  <c r="V835" i="8"/>
  <c r="W835" i="8"/>
  <c r="X835" i="8"/>
  <c r="G836" i="8"/>
  <c r="H836" i="8"/>
  <c r="I836" i="8"/>
  <c r="J836" i="8"/>
  <c r="K836" i="8"/>
  <c r="N836" i="8"/>
  <c r="O836" i="8"/>
  <c r="P836" i="8"/>
  <c r="Q836" i="8"/>
  <c r="R836" i="8"/>
  <c r="S836" i="8"/>
  <c r="T836" i="8"/>
  <c r="U836" i="8"/>
  <c r="V836" i="8"/>
  <c r="W836" i="8"/>
  <c r="X836" i="8"/>
  <c r="G837" i="8"/>
  <c r="H837" i="8"/>
  <c r="I837" i="8"/>
  <c r="J837" i="8"/>
  <c r="L837" i="8" s="1"/>
  <c r="K837" i="8"/>
  <c r="N837" i="8"/>
  <c r="O837" i="8"/>
  <c r="P837" i="8"/>
  <c r="Q837" i="8"/>
  <c r="R837" i="8"/>
  <c r="S837" i="8"/>
  <c r="T837" i="8"/>
  <c r="U837" i="8"/>
  <c r="V837" i="8"/>
  <c r="W837" i="8"/>
  <c r="X837" i="8"/>
  <c r="G838" i="8"/>
  <c r="H838" i="8"/>
  <c r="I838" i="8"/>
  <c r="J838" i="8"/>
  <c r="K838" i="8"/>
  <c r="N838" i="8"/>
  <c r="O838" i="8"/>
  <c r="P838" i="8"/>
  <c r="Q838" i="8"/>
  <c r="R838" i="8"/>
  <c r="S838" i="8"/>
  <c r="T838" i="8"/>
  <c r="U838" i="8"/>
  <c r="V838" i="8"/>
  <c r="W838" i="8"/>
  <c r="X838" i="8"/>
  <c r="G839" i="8"/>
  <c r="H839" i="8"/>
  <c r="I839" i="8"/>
  <c r="J839" i="8"/>
  <c r="M839" i="8" s="1"/>
  <c r="K839" i="8"/>
  <c r="N839" i="8"/>
  <c r="O839" i="8"/>
  <c r="P839" i="8"/>
  <c r="Q839" i="8"/>
  <c r="R839" i="8"/>
  <c r="S839" i="8"/>
  <c r="T839" i="8"/>
  <c r="U839" i="8"/>
  <c r="V839" i="8"/>
  <c r="W839" i="8"/>
  <c r="X839" i="8"/>
  <c r="D840" i="8"/>
  <c r="G841" i="8"/>
  <c r="G840" i="8"/>
  <c r="H841" i="8"/>
  <c r="H840" i="8" s="1"/>
  <c r="I841" i="8"/>
  <c r="I840" i="8"/>
  <c r="J841" i="8"/>
  <c r="J840" i="8" s="1"/>
  <c r="K841" i="8"/>
  <c r="K840" i="8" s="1"/>
  <c r="N841" i="8"/>
  <c r="O841" i="8"/>
  <c r="O840" i="8"/>
  <c r="P841" i="8"/>
  <c r="P840" i="8" s="1"/>
  <c r="Q841" i="8"/>
  <c r="Q840" i="8"/>
  <c r="R841" i="8"/>
  <c r="R840" i="8" s="1"/>
  <c r="S841" i="8"/>
  <c r="S840" i="8" s="1"/>
  <c r="T841" i="8"/>
  <c r="T840" i="8" s="1"/>
  <c r="U841" i="8"/>
  <c r="U840" i="8" s="1"/>
  <c r="V841" i="8"/>
  <c r="V840" i="8" s="1"/>
  <c r="W841" i="8"/>
  <c r="W840" i="8"/>
  <c r="X841" i="8"/>
  <c r="X840" i="8" s="1"/>
  <c r="D842" i="8"/>
  <c r="G843" i="8"/>
  <c r="G842" i="8"/>
  <c r="H843" i="8"/>
  <c r="H842" i="8"/>
  <c r="I843" i="8"/>
  <c r="I842" i="8"/>
  <c r="O843" i="8"/>
  <c r="O842" i="8"/>
  <c r="P843" i="8"/>
  <c r="P842" i="8"/>
  <c r="Q843" i="8"/>
  <c r="Q842" i="8" s="1"/>
  <c r="R843" i="8"/>
  <c r="R842" i="8" s="1"/>
  <c r="S843" i="8"/>
  <c r="S842" i="8" s="1"/>
  <c r="T843" i="8"/>
  <c r="T842" i="8" s="1"/>
  <c r="U843" i="8"/>
  <c r="U842" i="8"/>
  <c r="V843" i="8"/>
  <c r="V842" i="8" s="1"/>
  <c r="W843" i="8"/>
  <c r="W842" i="8" s="1"/>
  <c r="X843" i="8"/>
  <c r="X842" i="8" s="1"/>
  <c r="D844" i="8"/>
  <c r="G845" i="8"/>
  <c r="G844" i="8" s="1"/>
  <c r="H845" i="8"/>
  <c r="H844" i="8" s="1"/>
  <c r="I845" i="8"/>
  <c r="I844" i="8"/>
  <c r="J845" i="8"/>
  <c r="J844" i="8" s="1"/>
  <c r="K845" i="8"/>
  <c r="N845" i="8"/>
  <c r="N844" i="8" s="1"/>
  <c r="O845" i="8"/>
  <c r="P845" i="8"/>
  <c r="P844" i="8" s="1"/>
  <c r="R845" i="8"/>
  <c r="R844" i="8"/>
  <c r="S845" i="8"/>
  <c r="S844" i="8" s="1"/>
  <c r="T845" i="8"/>
  <c r="T844" i="8" s="1"/>
  <c r="U845" i="8"/>
  <c r="U844" i="8" s="1"/>
  <c r="V845" i="8"/>
  <c r="V844" i="8" s="1"/>
  <c r="W845" i="8"/>
  <c r="W844" i="8" s="1"/>
  <c r="X845" i="8"/>
  <c r="X844" i="8" s="1"/>
  <c r="D846" i="8"/>
  <c r="G847" i="8"/>
  <c r="G846" i="8"/>
  <c r="H847" i="8"/>
  <c r="H846" i="8" s="1"/>
  <c r="I847" i="8"/>
  <c r="I846" i="8" s="1"/>
  <c r="J847" i="8"/>
  <c r="K847" i="8"/>
  <c r="L847" i="8" s="1"/>
  <c r="L846" i="8" s="1"/>
  <c r="N847" i="8"/>
  <c r="O847" i="8"/>
  <c r="O846" i="8" s="1"/>
  <c r="P847" i="8"/>
  <c r="P846" i="8"/>
  <c r="Q847" i="8"/>
  <c r="Q846" i="8" s="1"/>
  <c r="R847" i="8"/>
  <c r="R846" i="8" s="1"/>
  <c r="S847" i="8"/>
  <c r="S846" i="8" s="1"/>
  <c r="T847" i="8"/>
  <c r="T846" i="8" s="1"/>
  <c r="U847" i="8"/>
  <c r="U846" i="8" s="1"/>
  <c r="V847" i="8"/>
  <c r="W847" i="8"/>
  <c r="W846" i="8" s="1"/>
  <c r="X847" i="8"/>
  <c r="X846" i="8" s="1"/>
  <c r="X827" i="8" s="1"/>
  <c r="G848" i="8"/>
  <c r="H848" i="8"/>
  <c r="I848" i="8"/>
  <c r="J848" i="8"/>
  <c r="K848" i="8"/>
  <c r="N848" i="8"/>
  <c r="M848" i="8" s="1"/>
  <c r="O848" i="8"/>
  <c r="P848" i="8"/>
  <c r="Q848" i="8"/>
  <c r="R848" i="8"/>
  <c r="S848" i="8"/>
  <c r="T848" i="8"/>
  <c r="U848" i="8"/>
  <c r="V848" i="8"/>
  <c r="W848" i="8"/>
  <c r="X848" i="8"/>
  <c r="C849" i="8"/>
  <c r="D850" i="8"/>
  <c r="G851" i="8"/>
  <c r="G850" i="8" s="1"/>
  <c r="H851" i="8"/>
  <c r="H850" i="8" s="1"/>
  <c r="I851" i="8"/>
  <c r="I850" i="8" s="1"/>
  <c r="J851" i="8"/>
  <c r="M851" i="8" s="1"/>
  <c r="K851" i="8"/>
  <c r="N851" i="8"/>
  <c r="N850" i="8"/>
  <c r="O851" i="8"/>
  <c r="O850" i="8" s="1"/>
  <c r="P851" i="8"/>
  <c r="P850" i="8" s="1"/>
  <c r="Q851" i="8"/>
  <c r="Q850" i="8" s="1"/>
  <c r="R851" i="8"/>
  <c r="R850" i="8" s="1"/>
  <c r="R849" i="8" s="1"/>
  <c r="S851" i="8"/>
  <c r="S850" i="8" s="1"/>
  <c r="T851" i="8"/>
  <c r="T850" i="8"/>
  <c r="T849" i="8" s="1"/>
  <c r="U851" i="8"/>
  <c r="U850" i="8" s="1"/>
  <c r="V851" i="8"/>
  <c r="V850" i="8" s="1"/>
  <c r="W851" i="8"/>
  <c r="W850" i="8"/>
  <c r="X851" i="8"/>
  <c r="X850" i="8" s="1"/>
  <c r="G853" i="8"/>
  <c r="G852" i="8"/>
  <c r="H853" i="8"/>
  <c r="H852" i="8" s="1"/>
  <c r="I853" i="8"/>
  <c r="I852" i="8" s="1"/>
  <c r="I849" i="8" s="1"/>
  <c r="J853" i="8"/>
  <c r="J852" i="8" s="1"/>
  <c r="K853" i="8"/>
  <c r="L853" i="8" s="1"/>
  <c r="N853" i="8"/>
  <c r="N852" i="8" s="1"/>
  <c r="M852" i="8" s="1"/>
  <c r="O853" i="8"/>
  <c r="O852" i="8"/>
  <c r="P853" i="8"/>
  <c r="P852" i="8" s="1"/>
  <c r="Q853" i="8"/>
  <c r="Q852" i="8" s="1"/>
  <c r="Q849" i="8" s="1"/>
  <c r="R853" i="8"/>
  <c r="R852" i="8" s="1"/>
  <c r="S853" i="8"/>
  <c r="S852" i="8" s="1"/>
  <c r="S849" i="8" s="1"/>
  <c r="T853" i="8"/>
  <c r="T852" i="8" s="1"/>
  <c r="U853" i="8"/>
  <c r="U852" i="8"/>
  <c r="V853" i="8"/>
  <c r="V852" i="8" s="1"/>
  <c r="W853" i="8"/>
  <c r="W852" i="8" s="1"/>
  <c r="X853" i="8"/>
  <c r="X852" i="8" s="1"/>
  <c r="J10" i="9"/>
  <c r="K10" i="9"/>
  <c r="G11" i="9"/>
  <c r="G10" i="9" s="1"/>
  <c r="H11" i="9"/>
  <c r="H10" i="9" s="1"/>
  <c r="H9" i="9" s="1"/>
  <c r="I11" i="9"/>
  <c r="I10" i="9" s="1"/>
  <c r="J11" i="9"/>
  <c r="K11" i="9"/>
  <c r="O11" i="9"/>
  <c r="O10" i="9" s="1"/>
  <c r="P11" i="9"/>
  <c r="P10" i="9" s="1"/>
  <c r="S11" i="9"/>
  <c r="S10" i="9" s="1"/>
  <c r="U11" i="9"/>
  <c r="Y11" i="9"/>
  <c r="AB11" i="9"/>
  <c r="L12" i="9"/>
  <c r="L11" i="9" s="1"/>
  <c r="N12" i="9"/>
  <c r="N11" i="9" s="1"/>
  <c r="N10" i="9" s="1"/>
  <c r="R12" i="9"/>
  <c r="R11" i="9" s="1"/>
  <c r="R10" i="9" s="1"/>
  <c r="R9" i="9" s="1"/>
  <c r="S12" i="9"/>
  <c r="T12" i="9"/>
  <c r="T11" i="9" s="1"/>
  <c r="T10" i="9" s="1"/>
  <c r="U12" i="9"/>
  <c r="Q12" i="9" s="1"/>
  <c r="V12" i="9"/>
  <c r="W12" i="9"/>
  <c r="W11" i="9" s="1"/>
  <c r="X12" i="9"/>
  <c r="X11" i="9" s="1"/>
  <c r="X10" i="9" s="1"/>
  <c r="Z13" i="9"/>
  <c r="AA13" i="9"/>
  <c r="Z14" i="9"/>
  <c r="AA14" i="9"/>
  <c r="J15" i="9"/>
  <c r="L15" i="9"/>
  <c r="M15" i="9"/>
  <c r="Q15" i="9"/>
  <c r="V15" i="9"/>
  <c r="W15" i="9"/>
  <c r="Z15" i="9"/>
  <c r="AA15" i="9"/>
  <c r="AB15" i="9"/>
  <c r="L16" i="9"/>
  <c r="M16" i="9"/>
  <c r="Q16" i="9"/>
  <c r="Z16" i="9"/>
  <c r="AA16" i="9"/>
  <c r="L17" i="9"/>
  <c r="M17" i="9"/>
  <c r="Q17" i="9"/>
  <c r="Z17" i="9"/>
  <c r="AA17" i="9"/>
  <c r="L18" i="9"/>
  <c r="M18" i="9"/>
  <c r="Q18" i="9"/>
  <c r="Z18" i="9"/>
  <c r="AA18" i="9"/>
  <c r="L19" i="9"/>
  <c r="M19" i="9"/>
  <c r="Q19" i="9"/>
  <c r="Z19" i="9"/>
  <c r="AA19" i="9"/>
  <c r="Z20" i="9"/>
  <c r="AA20" i="9"/>
  <c r="M21" i="9"/>
  <c r="Q21" i="9"/>
  <c r="Z21" i="9"/>
  <c r="AA21" i="9"/>
  <c r="M22" i="9"/>
  <c r="Q22" i="9"/>
  <c r="Z22" i="9"/>
  <c r="AA22" i="9"/>
  <c r="M23" i="9"/>
  <c r="Q23" i="9"/>
  <c r="Z23" i="9"/>
  <c r="AA23" i="9"/>
  <c r="M24" i="9"/>
  <c r="Q24" i="9"/>
  <c r="Z24" i="9"/>
  <c r="AA24" i="9"/>
  <c r="G25" i="9"/>
  <c r="H25" i="9"/>
  <c r="I25" i="9"/>
  <c r="I9" i="9" s="1"/>
  <c r="J25" i="9"/>
  <c r="K25" i="9"/>
  <c r="L25" i="9" s="1"/>
  <c r="N25" i="9"/>
  <c r="M25" i="9" s="1"/>
  <c r="O25" i="9"/>
  <c r="P25" i="9"/>
  <c r="R25" i="9"/>
  <c r="S25" i="9"/>
  <c r="T25" i="9"/>
  <c r="U25" i="9"/>
  <c r="V25" i="9"/>
  <c r="W25" i="9"/>
  <c r="X25" i="9"/>
  <c r="Y25" i="9"/>
  <c r="Z25" i="9" s="1"/>
  <c r="AB25" i="9"/>
  <c r="AA25" i="9" s="1"/>
  <c r="L26" i="9"/>
  <c r="M26" i="9"/>
  <c r="Q26" i="9"/>
  <c r="S26" i="9"/>
  <c r="Z26" i="9"/>
  <c r="AA26" i="9"/>
  <c r="G27" i="9"/>
  <c r="H27" i="9"/>
  <c r="I27" i="9"/>
  <c r="J27" i="9"/>
  <c r="K27" i="9"/>
  <c r="N27" i="9"/>
  <c r="P27" i="9"/>
  <c r="T27" i="9"/>
  <c r="U27" i="9"/>
  <c r="V27" i="9"/>
  <c r="W27" i="9"/>
  <c r="X27" i="9"/>
  <c r="Y27" i="9"/>
  <c r="AA27" i="9"/>
  <c r="AB27" i="9"/>
  <c r="M28" i="9"/>
  <c r="Q28" i="9"/>
  <c r="Z28" i="9"/>
  <c r="AA28" i="9"/>
  <c r="L29" i="9"/>
  <c r="M29" i="9"/>
  <c r="O29" i="9"/>
  <c r="Q29" i="9" s="1"/>
  <c r="R29" i="9"/>
  <c r="R27" i="9" s="1"/>
  <c r="S29" i="9"/>
  <c r="S27" i="9" s="1"/>
  <c r="Z29" i="9"/>
  <c r="AA29" i="9"/>
  <c r="L30" i="9"/>
  <c r="M30" i="9"/>
  <c r="Q30" i="9"/>
  <c r="Z30" i="9"/>
  <c r="AA30" i="9"/>
  <c r="W34" i="9"/>
  <c r="W33" i="9" s="1"/>
  <c r="W32" i="9" s="1"/>
  <c r="V35" i="9"/>
  <c r="V34" i="9" s="1"/>
  <c r="V33" i="9" s="1"/>
  <c r="V32" i="9" s="1"/>
  <c r="W35" i="9"/>
  <c r="X35" i="9"/>
  <c r="X34" i="9" s="1"/>
  <c r="X33" i="9" s="1"/>
  <c r="X32" i="9" s="1"/>
  <c r="Y35" i="9"/>
  <c r="Z35" i="9" s="1"/>
  <c r="AB35" i="9"/>
  <c r="AB34" i="9" s="1"/>
  <c r="AB33" i="9" s="1"/>
  <c r="I36" i="9"/>
  <c r="L36" i="9"/>
  <c r="N36" i="9"/>
  <c r="M36" i="9" s="1"/>
  <c r="Q36" i="9"/>
  <c r="Z36" i="9"/>
  <c r="AA36" i="9"/>
  <c r="V42" i="9"/>
  <c r="W42" i="9"/>
  <c r="W41" i="9" s="1"/>
  <c r="X42" i="9"/>
  <c r="Y42" i="9"/>
  <c r="AB42" i="9"/>
  <c r="Z43" i="9"/>
  <c r="AA43" i="9"/>
  <c r="V44" i="9"/>
  <c r="W44" i="9"/>
  <c r="X44" i="9"/>
  <c r="X41" i="9" s="1"/>
  <c r="Y44" i="9"/>
  <c r="Z44" i="9" s="1"/>
  <c r="AB44" i="9"/>
  <c r="AA44" i="9" s="1"/>
  <c r="Z45" i="9"/>
  <c r="AA45" i="9"/>
  <c r="G47" i="9"/>
  <c r="I47" i="9"/>
  <c r="K47" i="9"/>
  <c r="N47" i="9"/>
  <c r="N46" i="9" s="1"/>
  <c r="N40" i="9" s="1"/>
  <c r="P47" i="9"/>
  <c r="P46" i="9" s="1"/>
  <c r="P40" i="9" s="1"/>
  <c r="U47" i="9"/>
  <c r="V47" i="9"/>
  <c r="W47" i="9"/>
  <c r="X47" i="9"/>
  <c r="X46" i="9" s="1"/>
  <c r="Y47" i="9"/>
  <c r="Z47" i="9"/>
  <c r="L48" i="9"/>
  <c r="L47" i="9" s="1"/>
  <c r="M48" i="9"/>
  <c r="Q48" i="9"/>
  <c r="Z48" i="9"/>
  <c r="AA48" i="9"/>
  <c r="L49" i="9"/>
  <c r="M49" i="9"/>
  <c r="Q49" i="9"/>
  <c r="Z49" i="9"/>
  <c r="AA49" i="9"/>
  <c r="L50" i="9"/>
  <c r="M50" i="9"/>
  <c r="Q50" i="9"/>
  <c r="Z50" i="9"/>
  <c r="AA50" i="9"/>
  <c r="L51" i="9"/>
  <c r="M51" i="9"/>
  <c r="Q51" i="9"/>
  <c r="Z51" i="9"/>
  <c r="AA51" i="9"/>
  <c r="Q52" i="9"/>
  <c r="Z52" i="9"/>
  <c r="AB52" i="9"/>
  <c r="AB47" i="9" s="1"/>
  <c r="Z53" i="9"/>
  <c r="AA53" i="9"/>
  <c r="L54" i="9"/>
  <c r="M54" i="9"/>
  <c r="Q54" i="9"/>
  <c r="Z54" i="9"/>
  <c r="AA54" i="9"/>
  <c r="H55" i="9"/>
  <c r="H47" i="9" s="1"/>
  <c r="J55" i="9"/>
  <c r="M55" i="9" s="1"/>
  <c r="L55" i="9"/>
  <c r="Q55" i="9"/>
  <c r="V55" i="9"/>
  <c r="AA55" i="9" s="1"/>
  <c r="Z55" i="9"/>
  <c r="L56" i="9"/>
  <c r="M56" i="9"/>
  <c r="Q56" i="9"/>
  <c r="Z56" i="9"/>
  <c r="AA56" i="9"/>
  <c r="L57" i="9"/>
  <c r="M57" i="9"/>
  <c r="Q57" i="9"/>
  <c r="Z57" i="9"/>
  <c r="AA57" i="9"/>
  <c r="L58" i="9"/>
  <c r="M58" i="9"/>
  <c r="Q58" i="9"/>
  <c r="S58" i="9"/>
  <c r="S47" i="9" s="1"/>
  <c r="T58" i="9"/>
  <c r="Z58" i="9"/>
  <c r="AA58" i="9"/>
  <c r="L59" i="9"/>
  <c r="M59" i="9"/>
  <c r="Q59" i="9"/>
  <c r="Z59" i="9"/>
  <c r="AA59" i="9"/>
  <c r="Z60" i="9"/>
  <c r="AA60" i="9"/>
  <c r="L61" i="9"/>
  <c r="M61" i="9"/>
  <c r="Q61" i="9"/>
  <c r="Z61" i="9"/>
  <c r="AA61" i="9"/>
  <c r="L62" i="9"/>
  <c r="M62" i="9"/>
  <c r="Q62" i="9"/>
  <c r="Z62" i="9"/>
  <c r="AA62" i="9"/>
  <c r="L63" i="9"/>
  <c r="M63" i="9"/>
  <c r="O63" i="9"/>
  <c r="Q63" i="9" s="1"/>
  <c r="R63" i="9"/>
  <c r="R47" i="9" s="1"/>
  <c r="S63" i="9"/>
  <c r="T63" i="9"/>
  <c r="Z63" i="9"/>
  <c r="AA63" i="9"/>
  <c r="L64" i="9"/>
  <c r="M64" i="9"/>
  <c r="O64" i="9"/>
  <c r="Q64" i="9" s="1"/>
  <c r="R64" i="9"/>
  <c r="S64" i="9"/>
  <c r="T64" i="9"/>
  <c r="Z64" i="9"/>
  <c r="AA64" i="9"/>
  <c r="G65" i="9"/>
  <c r="H65" i="9"/>
  <c r="I65" i="9"/>
  <c r="J65" i="9"/>
  <c r="K65" i="9"/>
  <c r="K46" i="9" s="1"/>
  <c r="L65" i="9"/>
  <c r="M65" i="9"/>
  <c r="N65" i="9"/>
  <c r="P65" i="9"/>
  <c r="W65" i="9"/>
  <c r="X65" i="9"/>
  <c r="Y65" i="9"/>
  <c r="L66" i="9"/>
  <c r="M66" i="9"/>
  <c r="Q66" i="9"/>
  <c r="Z66" i="9"/>
  <c r="AA66" i="9"/>
  <c r="H67" i="9"/>
  <c r="L67" i="9"/>
  <c r="M67" i="9"/>
  <c r="O67" i="9"/>
  <c r="R67" i="9"/>
  <c r="S67" i="9"/>
  <c r="T67" i="9"/>
  <c r="V67" i="9"/>
  <c r="AA67" i="9" s="1"/>
  <c r="L68" i="9"/>
  <c r="M68" i="9"/>
  <c r="O68" i="9"/>
  <c r="R68" i="9"/>
  <c r="S68" i="9"/>
  <c r="T68" i="9"/>
  <c r="U68" i="9"/>
  <c r="Q68" i="9" s="1"/>
  <c r="V68" i="9"/>
  <c r="Z68" i="9" s="1"/>
  <c r="W68" i="9"/>
  <c r="AB68" i="9"/>
  <c r="L69" i="9"/>
  <c r="M69" i="9"/>
  <c r="Q69" i="9"/>
  <c r="Z69" i="9"/>
  <c r="AA69" i="9"/>
  <c r="L70" i="9"/>
  <c r="M70" i="9"/>
  <c r="Q70" i="9"/>
  <c r="Z70" i="9"/>
  <c r="AA70" i="9"/>
  <c r="G71" i="9"/>
  <c r="H71" i="9"/>
  <c r="I71" i="9"/>
  <c r="J71" i="9"/>
  <c r="K71" i="9"/>
  <c r="N71" i="9"/>
  <c r="O71" i="9"/>
  <c r="P71" i="9"/>
  <c r="R71" i="9"/>
  <c r="S71" i="9"/>
  <c r="T71" i="9"/>
  <c r="W71" i="9"/>
  <c r="X71" i="9"/>
  <c r="Y71" i="9"/>
  <c r="AB71" i="9"/>
  <c r="L72" i="9"/>
  <c r="M72" i="9"/>
  <c r="M71" i="9" s="1"/>
  <c r="U72" i="9"/>
  <c r="V72" i="9"/>
  <c r="V71" i="9" s="1"/>
  <c r="Z72" i="9"/>
  <c r="AA72" i="9"/>
  <c r="L73" i="9"/>
  <c r="M73" i="9"/>
  <c r="Q73" i="9"/>
  <c r="Z73" i="9"/>
  <c r="AA73" i="9"/>
  <c r="L74" i="9"/>
  <c r="M74" i="9"/>
  <c r="Q74" i="9"/>
  <c r="Z74" i="9"/>
  <c r="AA74" i="9"/>
  <c r="L75" i="9"/>
  <c r="M75" i="9"/>
  <c r="Q75" i="9"/>
  <c r="Z75" i="9"/>
  <c r="AA75" i="9"/>
  <c r="L76" i="9"/>
  <c r="M76" i="9"/>
  <c r="Q76" i="9"/>
  <c r="Z76" i="9"/>
  <c r="AA76" i="9"/>
  <c r="L77" i="9"/>
  <c r="M77" i="9"/>
  <c r="Q77" i="9"/>
  <c r="Z77" i="9"/>
  <c r="AA77" i="9"/>
  <c r="L78" i="9"/>
  <c r="M78" i="9"/>
  <c r="Q78" i="9"/>
  <c r="Z78" i="9"/>
  <c r="AA78" i="9"/>
  <c r="L79" i="9"/>
  <c r="M79" i="9"/>
  <c r="Q79" i="9"/>
  <c r="Z79" i="9"/>
  <c r="AA79" i="9"/>
  <c r="L80" i="9"/>
  <c r="M80" i="9"/>
  <c r="Q80" i="9"/>
  <c r="Z80" i="9"/>
  <c r="AA80" i="9"/>
  <c r="L81" i="9"/>
  <c r="M81" i="9"/>
  <c r="Q81" i="9"/>
  <c r="Z81" i="9"/>
  <c r="AA81" i="9"/>
  <c r="L82" i="9"/>
  <c r="M82" i="9"/>
  <c r="Q82" i="9"/>
  <c r="Z82" i="9"/>
  <c r="AA82" i="9"/>
  <c r="G88" i="9"/>
  <c r="H88" i="9"/>
  <c r="K88" i="9"/>
  <c r="N88" i="9"/>
  <c r="O88" i="9"/>
  <c r="P88" i="9"/>
  <c r="R88" i="9"/>
  <c r="U88" i="9"/>
  <c r="W88" i="9"/>
  <c r="W86" i="9" s="1"/>
  <c r="W85" i="9" s="1"/>
  <c r="X88" i="9"/>
  <c r="X86" i="9" s="1"/>
  <c r="X85" i="9" s="1"/>
  <c r="Y88" i="9"/>
  <c r="AB88" i="9"/>
  <c r="AB86" i="9" s="1"/>
  <c r="AB85" i="9" s="1"/>
  <c r="J89" i="9"/>
  <c r="Q89" i="9"/>
  <c r="S89" i="9"/>
  <c r="T89" i="9"/>
  <c r="Z89" i="9"/>
  <c r="AA89" i="9"/>
  <c r="Q90" i="9"/>
  <c r="Z90" i="9"/>
  <c r="AA90" i="9"/>
  <c r="J91" i="9"/>
  <c r="M91" i="9" s="1"/>
  <c r="L91" i="9"/>
  <c r="Q91" i="9"/>
  <c r="S91" i="9"/>
  <c r="T91" i="9"/>
  <c r="V91" i="9"/>
  <c r="V88" i="9" s="1"/>
  <c r="V86" i="9" s="1"/>
  <c r="V85" i="9" s="1"/>
  <c r="Z91" i="9"/>
  <c r="AA91" i="9"/>
  <c r="G96" i="9"/>
  <c r="H96" i="9"/>
  <c r="I96" i="9"/>
  <c r="J96" i="9"/>
  <c r="K96" i="9"/>
  <c r="N96" i="9"/>
  <c r="N95" i="9" s="1"/>
  <c r="O96" i="9"/>
  <c r="P96" i="9"/>
  <c r="R96" i="9"/>
  <c r="S96" i="9"/>
  <c r="T96" i="9"/>
  <c r="V96" i="9"/>
  <c r="W96" i="9"/>
  <c r="X96" i="9"/>
  <c r="Y96" i="9"/>
  <c r="Z96" i="9" s="1"/>
  <c r="AB96" i="9"/>
  <c r="AA96" i="9" s="1"/>
  <c r="L97" i="9"/>
  <c r="M97" i="9"/>
  <c r="M96" i="9" s="1"/>
  <c r="Q97" i="9"/>
  <c r="Z97" i="9"/>
  <c r="AA97" i="9"/>
  <c r="L98" i="9"/>
  <c r="M98" i="9"/>
  <c r="U98" i="9"/>
  <c r="U96" i="9" s="1"/>
  <c r="Z98" i="9"/>
  <c r="AA98" i="9"/>
  <c r="L99" i="9"/>
  <c r="M99" i="9"/>
  <c r="Q99" i="9"/>
  <c r="Z99" i="9"/>
  <c r="AA99" i="9"/>
  <c r="L100" i="9"/>
  <c r="M100" i="9"/>
  <c r="Q100" i="9"/>
  <c r="Z100" i="9"/>
  <c r="AA100" i="9"/>
  <c r="G101" i="9"/>
  <c r="H101" i="9"/>
  <c r="H95" i="9" s="1"/>
  <c r="I101" i="9"/>
  <c r="J101" i="9"/>
  <c r="N101" i="9"/>
  <c r="M101" i="9" s="1"/>
  <c r="P101" i="9"/>
  <c r="AB101" i="9"/>
  <c r="J102" i="9"/>
  <c r="K102" i="9"/>
  <c r="K101" i="9" s="1"/>
  <c r="L101" i="9" s="1"/>
  <c r="N102" i="9"/>
  <c r="O102" i="9"/>
  <c r="O101" i="9" s="1"/>
  <c r="P102" i="9"/>
  <c r="R102" i="9"/>
  <c r="R101" i="9" s="1"/>
  <c r="S102" i="9"/>
  <c r="S101" i="9" s="1"/>
  <c r="T102" i="9"/>
  <c r="T101" i="9" s="1"/>
  <c r="T95" i="9" s="1"/>
  <c r="U102" i="9"/>
  <c r="V102" i="9"/>
  <c r="W102" i="9"/>
  <c r="W101" i="9" s="1"/>
  <c r="X102" i="9"/>
  <c r="X101" i="9" s="1"/>
  <c r="X95" i="9" s="1"/>
  <c r="X94" i="9" s="1"/>
  <c r="X93" i="9" s="1"/>
  <c r="Y102" i="9"/>
  <c r="AB102" i="9"/>
  <c r="AA102" i="9" s="1"/>
  <c r="L103" i="9"/>
  <c r="M103" i="9"/>
  <c r="Q103" i="9"/>
  <c r="Z103" i="9"/>
  <c r="AA103" i="9"/>
  <c r="Z104" i="9"/>
  <c r="AA104" i="9"/>
  <c r="L105" i="9"/>
  <c r="M105" i="9"/>
  <c r="Q105" i="9"/>
  <c r="Z105" i="9"/>
  <c r="AA105" i="9"/>
  <c r="L106" i="9"/>
  <c r="M106" i="9"/>
  <c r="Q106" i="9"/>
  <c r="Z106" i="9"/>
  <c r="AA106" i="9"/>
  <c r="L107" i="9"/>
  <c r="M107" i="9"/>
  <c r="Q107" i="9"/>
  <c r="Z107" i="9"/>
  <c r="AA107" i="9"/>
  <c r="Z108" i="9"/>
  <c r="AA108" i="9"/>
  <c r="L109" i="9"/>
  <c r="M109" i="9"/>
  <c r="Q109" i="9"/>
  <c r="Z109" i="9"/>
  <c r="AA109" i="9"/>
  <c r="L110" i="9"/>
  <c r="M110" i="9"/>
  <c r="U110" i="9"/>
  <c r="Q110" i="9" s="1"/>
  <c r="Z110" i="9"/>
  <c r="AA110" i="9"/>
  <c r="Z111" i="9"/>
  <c r="AA111" i="9"/>
  <c r="L112" i="9"/>
  <c r="M112" i="9"/>
  <c r="S112" i="9"/>
  <c r="T112" i="9"/>
  <c r="U112" i="9"/>
  <c r="Q112" i="9" s="1"/>
  <c r="V112" i="9"/>
  <c r="W112" i="9"/>
  <c r="X112" i="9"/>
  <c r="AA112" i="9"/>
  <c r="Z113" i="9"/>
  <c r="AA113" i="9"/>
  <c r="G114" i="9"/>
  <c r="H114" i="9"/>
  <c r="I114" i="9"/>
  <c r="J114" i="9"/>
  <c r="K114" i="9"/>
  <c r="L114" i="9" s="1"/>
  <c r="N114" i="9"/>
  <c r="M114" i="9" s="1"/>
  <c r="O114" i="9"/>
  <c r="P114" i="9"/>
  <c r="R114" i="9"/>
  <c r="S114" i="9"/>
  <c r="T114" i="9"/>
  <c r="V114" i="9"/>
  <c r="W114" i="9"/>
  <c r="X114" i="9"/>
  <c r="Y114" i="9"/>
  <c r="Z114" i="9" s="1"/>
  <c r="AB114" i="9"/>
  <c r="AA114" i="9" s="1"/>
  <c r="L115" i="9"/>
  <c r="M115" i="9"/>
  <c r="U115" i="9"/>
  <c r="Q115" i="9" s="1"/>
  <c r="Z115" i="9"/>
  <c r="AA115" i="9"/>
  <c r="L116" i="9"/>
  <c r="M116" i="9"/>
  <c r="U116" i="9"/>
  <c r="Q116" i="9" s="1"/>
  <c r="Z116" i="9"/>
  <c r="AA116" i="9"/>
  <c r="V120" i="9"/>
  <c r="V119" i="9" s="1"/>
  <c r="V118" i="9" s="1"/>
  <c r="W120" i="9"/>
  <c r="W119" i="9" s="1"/>
  <c r="W118" i="9" s="1"/>
  <c r="X120" i="9"/>
  <c r="X119" i="9" s="1"/>
  <c r="X118" i="9" s="1"/>
  <c r="AB120" i="9"/>
  <c r="V121" i="9"/>
  <c r="W121" i="9"/>
  <c r="X121" i="9"/>
  <c r="Y121" i="9"/>
  <c r="AB121" i="9"/>
  <c r="AA121" i="9" s="1"/>
  <c r="L122" i="9"/>
  <c r="M122" i="9"/>
  <c r="Q122" i="9"/>
  <c r="Z122" i="9"/>
  <c r="AA122" i="9"/>
  <c r="L123" i="9"/>
  <c r="M123" i="9"/>
  <c r="O123" i="9"/>
  <c r="Q123" i="9"/>
  <c r="R123" i="9"/>
  <c r="S123" i="9"/>
  <c r="T123" i="9"/>
  <c r="Z123" i="9"/>
  <c r="AA123" i="9"/>
  <c r="W127" i="9"/>
  <c r="W126" i="9" s="1"/>
  <c r="W125" i="9" s="1"/>
  <c r="G128" i="9"/>
  <c r="G127" i="9" s="1"/>
  <c r="H128" i="9"/>
  <c r="I128" i="9"/>
  <c r="J128" i="9"/>
  <c r="L128" i="9" s="1"/>
  <c r="K128" i="9"/>
  <c r="M128" i="9"/>
  <c r="N128" i="9"/>
  <c r="O128" i="9"/>
  <c r="P128" i="9"/>
  <c r="P127" i="9" s="1"/>
  <c r="R128" i="9"/>
  <c r="S128" i="9"/>
  <c r="T128" i="9"/>
  <c r="U128" i="9"/>
  <c r="V128" i="9"/>
  <c r="V127" i="9" s="1"/>
  <c r="V126" i="9" s="1"/>
  <c r="V125" i="9" s="1"/>
  <c r="W128" i="9"/>
  <c r="X128" i="9"/>
  <c r="X127" i="9" s="1"/>
  <c r="X126" i="9" s="1"/>
  <c r="X125" i="9" s="1"/>
  <c r="Y128" i="9"/>
  <c r="AB128" i="9"/>
  <c r="AA128" i="9" s="1"/>
  <c r="L129" i="9"/>
  <c r="M129" i="9"/>
  <c r="Q129" i="9"/>
  <c r="Z129" i="9"/>
  <c r="AA129" i="9"/>
  <c r="L130" i="9"/>
  <c r="M130" i="9"/>
  <c r="Q130" i="9"/>
  <c r="Z130" i="9"/>
  <c r="AA130" i="9"/>
  <c r="Z131" i="9"/>
  <c r="AA131" i="9"/>
  <c r="X135" i="9"/>
  <c r="X134" i="9" s="1"/>
  <c r="X133" i="9" s="1"/>
  <c r="G136" i="9"/>
  <c r="H136" i="9"/>
  <c r="I136" i="9"/>
  <c r="J136" i="9"/>
  <c r="K136" i="9"/>
  <c r="K127" i="9" s="1"/>
  <c r="N136" i="9"/>
  <c r="N127" i="9" s="1"/>
  <c r="O136" i="9"/>
  <c r="O127" i="9" s="1"/>
  <c r="P136" i="9"/>
  <c r="R136" i="9"/>
  <c r="V136" i="9"/>
  <c r="V135" i="9" s="1"/>
  <c r="V134" i="9" s="1"/>
  <c r="V133" i="9" s="1"/>
  <c r="Z133" i="9" s="1"/>
  <c r="W136" i="9"/>
  <c r="W135" i="9" s="1"/>
  <c r="W134" i="9" s="1"/>
  <c r="W133" i="9" s="1"/>
  <c r="X136" i="9"/>
  <c r="Y136" i="9"/>
  <c r="Y135" i="9" s="1"/>
  <c r="Z136" i="9"/>
  <c r="AB136" i="9"/>
  <c r="AB135" i="9" s="1"/>
  <c r="AB134" i="9" s="1"/>
  <c r="L137" i="9"/>
  <c r="L136" i="9" s="1"/>
  <c r="M137" i="9"/>
  <c r="M136" i="9" s="1"/>
  <c r="Q137" i="9"/>
  <c r="Z137" i="9"/>
  <c r="AA137" i="9"/>
  <c r="L138" i="9"/>
  <c r="M138" i="9"/>
  <c r="Q138" i="9"/>
  <c r="S138" i="9"/>
  <c r="S136" i="9" s="1"/>
  <c r="S127" i="9" s="1"/>
  <c r="T138" i="9"/>
  <c r="T136" i="9" s="1"/>
  <c r="Z138" i="9"/>
  <c r="AA138" i="9"/>
  <c r="AB140" i="9"/>
  <c r="Y142" i="9"/>
  <c r="Y141" i="9" s="1"/>
  <c r="AB142" i="9"/>
  <c r="AB141" i="9" s="1"/>
  <c r="Y143" i="9"/>
  <c r="AB143" i="9"/>
  <c r="U144" i="9"/>
  <c r="Z144" i="9"/>
  <c r="AA144" i="9"/>
  <c r="L145" i="9"/>
  <c r="M145" i="9"/>
  <c r="U145" i="9"/>
  <c r="Q145" i="9" s="1"/>
  <c r="V145" i="9"/>
  <c r="W145" i="9"/>
  <c r="W142" i="9" s="1"/>
  <c r="W141" i="9" s="1"/>
  <c r="W140" i="9" s="1"/>
  <c r="X145" i="9"/>
  <c r="AA145" i="9"/>
  <c r="V149" i="9"/>
  <c r="V148" i="9" s="1"/>
  <c r="V147" i="9" s="1"/>
  <c r="V150" i="9"/>
  <c r="W150" i="9"/>
  <c r="W149" i="9" s="1"/>
  <c r="W148" i="9" s="1"/>
  <c r="W147" i="9" s="1"/>
  <c r="X150" i="9"/>
  <c r="X149" i="9" s="1"/>
  <c r="X148" i="9" s="1"/>
  <c r="X147" i="9" s="1"/>
  <c r="Y150" i="9"/>
  <c r="AB150" i="9"/>
  <c r="AA150" i="9" s="1"/>
  <c r="Z151" i="9"/>
  <c r="AA151" i="9"/>
  <c r="Z152" i="9"/>
  <c r="AA152" i="9"/>
  <c r="I157" i="9"/>
  <c r="I149" i="9" s="1"/>
  <c r="N157" i="9"/>
  <c r="N149" i="9" s="1"/>
  <c r="O157" i="9"/>
  <c r="O149" i="9" s="1"/>
  <c r="P157" i="9"/>
  <c r="P149" i="9" s="1"/>
  <c r="R157" i="9"/>
  <c r="R149" i="9" s="1"/>
  <c r="S157" i="9"/>
  <c r="S149" i="9" s="1"/>
  <c r="T157" i="9"/>
  <c r="T149" i="9" s="1"/>
  <c r="U157" i="9"/>
  <c r="U149" i="9" s="1"/>
  <c r="V157" i="9"/>
  <c r="V156" i="9" s="1"/>
  <c r="V155" i="9" s="1"/>
  <c r="V154" i="9" s="1"/>
  <c r="W157" i="9"/>
  <c r="W156" i="9" s="1"/>
  <c r="W155" i="9" s="1"/>
  <c r="W154" i="9" s="1"/>
  <c r="X157" i="9"/>
  <c r="X156" i="9" s="1"/>
  <c r="X155" i="9" s="1"/>
  <c r="X154" i="9" s="1"/>
  <c r="Y157" i="9"/>
  <c r="Y156" i="9" s="1"/>
  <c r="Z157" i="9"/>
  <c r="AB157" i="9"/>
  <c r="Q158" i="9"/>
  <c r="Z158" i="9"/>
  <c r="AA158" i="9"/>
  <c r="P159" i="9"/>
  <c r="R159" i="9"/>
  <c r="U159" i="9"/>
  <c r="I160" i="9"/>
  <c r="I159" i="9" s="1"/>
  <c r="N160" i="9"/>
  <c r="N159" i="9" s="1"/>
  <c r="O160" i="9"/>
  <c r="O159" i="9" s="1"/>
  <c r="P160" i="9"/>
  <c r="R160" i="9"/>
  <c r="S160" i="9"/>
  <c r="S159" i="9" s="1"/>
  <c r="T160" i="9"/>
  <c r="T159" i="9" s="1"/>
  <c r="U160" i="9"/>
  <c r="V160" i="9"/>
  <c r="Z160" i="9" s="1"/>
  <c r="W160" i="9"/>
  <c r="W159" i="9" s="1"/>
  <c r="X160" i="9"/>
  <c r="X159" i="9" s="1"/>
  <c r="AB160" i="9"/>
  <c r="AB159" i="9" s="1"/>
  <c r="Z161" i="9"/>
  <c r="AA161" i="9"/>
  <c r="L163" i="9"/>
  <c r="M163" i="9"/>
  <c r="T165" i="9"/>
  <c r="I166" i="9"/>
  <c r="I165" i="9" s="1"/>
  <c r="N166" i="9"/>
  <c r="U166" i="9"/>
  <c r="G167" i="9"/>
  <c r="G166" i="9" s="1"/>
  <c r="G165" i="9" s="1"/>
  <c r="H167" i="9"/>
  <c r="H166" i="9" s="1"/>
  <c r="H165" i="9" s="1"/>
  <c r="I167" i="9"/>
  <c r="J167" i="9"/>
  <c r="J166" i="9" s="1"/>
  <c r="J165" i="9" s="1"/>
  <c r="K167" i="9"/>
  <c r="K166" i="9" s="1"/>
  <c r="L167" i="9"/>
  <c r="N167" i="9"/>
  <c r="O167" i="9"/>
  <c r="O166" i="9" s="1"/>
  <c r="P167" i="9"/>
  <c r="P166" i="9" s="1"/>
  <c r="R167" i="9"/>
  <c r="R166" i="9" s="1"/>
  <c r="S167" i="9"/>
  <c r="S166" i="9" s="1"/>
  <c r="S165" i="9" s="1"/>
  <c r="T167" i="9"/>
  <c r="T166" i="9" s="1"/>
  <c r="U167" i="9"/>
  <c r="Q167" i="9" s="1"/>
  <c r="V167" i="9"/>
  <c r="V166" i="9" s="1"/>
  <c r="V165" i="9" s="1"/>
  <c r="V164" i="9" s="1"/>
  <c r="W167" i="9"/>
  <c r="W166" i="9" s="1"/>
  <c r="X167" i="9"/>
  <c r="X166" i="9" s="1"/>
  <c r="Y167" i="9"/>
  <c r="Y166" i="9" s="1"/>
  <c r="Z167" i="9"/>
  <c r="AB167" i="9"/>
  <c r="L168" i="9"/>
  <c r="M168" i="9"/>
  <c r="Q168" i="9"/>
  <c r="Z168" i="9"/>
  <c r="AA168" i="9"/>
  <c r="O170" i="9"/>
  <c r="O169" i="9" s="1"/>
  <c r="P170" i="9"/>
  <c r="P169" i="9" s="1"/>
  <c r="R170" i="9"/>
  <c r="R169" i="9" s="1"/>
  <c r="U170" i="9"/>
  <c r="V170" i="9"/>
  <c r="V169" i="9" s="1"/>
  <c r="W170" i="9"/>
  <c r="W169" i="9" s="1"/>
  <c r="X170" i="9"/>
  <c r="X169" i="9" s="1"/>
  <c r="X165" i="9" s="1"/>
  <c r="X164" i="9" s="1"/>
  <c r="Y170" i="9"/>
  <c r="Z170" i="9" s="1"/>
  <c r="AA170" i="9"/>
  <c r="AB170" i="9"/>
  <c r="AB169" i="9" s="1"/>
  <c r="Q171" i="9"/>
  <c r="Z171" i="9"/>
  <c r="AA171" i="9"/>
  <c r="B173" i="9"/>
  <c r="C174" i="9"/>
  <c r="D175" i="9"/>
  <c r="Y175" i="9"/>
  <c r="G176" i="9"/>
  <c r="G175" i="9" s="1"/>
  <c r="H176" i="9"/>
  <c r="H175" i="9" s="1"/>
  <c r="I176" i="9"/>
  <c r="I175" i="9" s="1"/>
  <c r="J176" i="9"/>
  <c r="K176" i="9"/>
  <c r="N176" i="9"/>
  <c r="O176" i="9"/>
  <c r="O175" i="9" s="1"/>
  <c r="O174" i="9" s="1"/>
  <c r="P176" i="9"/>
  <c r="P175" i="9" s="1"/>
  <c r="Q176" i="9"/>
  <c r="Q175" i="9" s="1"/>
  <c r="R176" i="9"/>
  <c r="R175" i="9" s="1"/>
  <c r="S176" i="9"/>
  <c r="S175" i="9" s="1"/>
  <c r="T176" i="9"/>
  <c r="T175" i="9" s="1"/>
  <c r="U176" i="9"/>
  <c r="U175" i="9" s="1"/>
  <c r="V176" i="9"/>
  <c r="Z176" i="9" s="1"/>
  <c r="W176" i="9"/>
  <c r="W175" i="9" s="1"/>
  <c r="X176" i="9"/>
  <c r="X175" i="9"/>
  <c r="AB176" i="9"/>
  <c r="G177" i="9"/>
  <c r="H177" i="9"/>
  <c r="I177" i="9"/>
  <c r="J177" i="9"/>
  <c r="K177" i="9"/>
  <c r="N177" i="9"/>
  <c r="O177" i="9"/>
  <c r="P177" i="9"/>
  <c r="Q177" i="9"/>
  <c r="R177" i="9"/>
  <c r="S177" i="9"/>
  <c r="T177" i="9"/>
  <c r="U177" i="9"/>
  <c r="V177" i="9"/>
  <c r="Z177" i="9" s="1"/>
  <c r="W177" i="9"/>
  <c r="X177" i="9"/>
  <c r="AB177" i="9"/>
  <c r="G178" i="9"/>
  <c r="H178" i="9"/>
  <c r="I178" i="9"/>
  <c r="J178" i="9"/>
  <c r="K178" i="9"/>
  <c r="N178" i="9"/>
  <c r="M178" i="9" s="1"/>
  <c r="O178" i="9"/>
  <c r="P178" i="9"/>
  <c r="Q178" i="9"/>
  <c r="R178" i="9"/>
  <c r="S178" i="9"/>
  <c r="T178" i="9"/>
  <c r="U178" i="9"/>
  <c r="V178" i="9"/>
  <c r="Z178" i="9" s="1"/>
  <c r="W178" i="9"/>
  <c r="X178" i="9"/>
  <c r="AB178" i="9"/>
  <c r="AA178" i="9" s="1"/>
  <c r="G179" i="9"/>
  <c r="H179" i="9"/>
  <c r="I179" i="9"/>
  <c r="J179" i="9"/>
  <c r="L179" i="9" s="1"/>
  <c r="K179" i="9"/>
  <c r="N179" i="9"/>
  <c r="O179" i="9"/>
  <c r="P179" i="9"/>
  <c r="Q179" i="9"/>
  <c r="R179" i="9"/>
  <c r="S179" i="9"/>
  <c r="T179" i="9"/>
  <c r="U179" i="9"/>
  <c r="V179" i="9"/>
  <c r="Z179" i="9"/>
  <c r="W179" i="9"/>
  <c r="X179" i="9"/>
  <c r="AB179" i="9"/>
  <c r="D180" i="9"/>
  <c r="H180" i="9"/>
  <c r="Y180" i="9"/>
  <c r="G181" i="9"/>
  <c r="G180" i="9"/>
  <c r="H181" i="9"/>
  <c r="I181" i="9"/>
  <c r="I180" i="9" s="1"/>
  <c r="J181" i="9"/>
  <c r="K181" i="9"/>
  <c r="N181" i="9"/>
  <c r="O181" i="9"/>
  <c r="O180" i="9" s="1"/>
  <c r="P181" i="9"/>
  <c r="P180" i="9"/>
  <c r="Q181" i="9"/>
  <c r="Q180" i="9" s="1"/>
  <c r="R181" i="9"/>
  <c r="R180" i="9" s="1"/>
  <c r="S181" i="9"/>
  <c r="S180" i="9" s="1"/>
  <c r="T181" i="9"/>
  <c r="T180" i="9" s="1"/>
  <c r="U181" i="9"/>
  <c r="U180" i="9" s="1"/>
  <c r="V181" i="9"/>
  <c r="Z181" i="9" s="1"/>
  <c r="W181" i="9"/>
  <c r="W180" i="9" s="1"/>
  <c r="X181" i="9"/>
  <c r="X180" i="9" s="1"/>
  <c r="AB181" i="9"/>
  <c r="AB180" i="9" s="1"/>
  <c r="D182" i="9"/>
  <c r="H182" i="9"/>
  <c r="Y182" i="9"/>
  <c r="G183" i="9"/>
  <c r="G182" i="9"/>
  <c r="H183" i="9"/>
  <c r="I183" i="9"/>
  <c r="I182" i="9" s="1"/>
  <c r="J183" i="9"/>
  <c r="K183" i="9"/>
  <c r="N183" i="9"/>
  <c r="O183" i="9"/>
  <c r="O182" i="9" s="1"/>
  <c r="P183" i="9"/>
  <c r="P182" i="9" s="1"/>
  <c r="Q183" i="9"/>
  <c r="Q182" i="9" s="1"/>
  <c r="R183" i="9"/>
  <c r="R182" i="9" s="1"/>
  <c r="S183" i="9"/>
  <c r="S182" i="9" s="1"/>
  <c r="T183" i="9"/>
  <c r="T182" i="9" s="1"/>
  <c r="U183" i="9"/>
  <c r="U182" i="9"/>
  <c r="U174" i="9" s="1"/>
  <c r="V183" i="9"/>
  <c r="Z183" i="9" s="1"/>
  <c r="W183" i="9"/>
  <c r="W182" i="9" s="1"/>
  <c r="X183" i="9"/>
  <c r="X182" i="9" s="1"/>
  <c r="AB183" i="9"/>
  <c r="AB182" i="9" s="1"/>
  <c r="G184" i="9"/>
  <c r="H184" i="9"/>
  <c r="I184" i="9"/>
  <c r="J184" i="9"/>
  <c r="L184" i="9" s="1"/>
  <c r="K184" i="9"/>
  <c r="N184" i="9"/>
  <c r="O184" i="9"/>
  <c r="P184" i="9"/>
  <c r="Q184" i="9"/>
  <c r="R184" i="9"/>
  <c r="S184" i="9"/>
  <c r="T184" i="9"/>
  <c r="U184" i="9"/>
  <c r="V184" i="9"/>
  <c r="Z184" i="9" s="1"/>
  <c r="W184" i="9"/>
  <c r="X184" i="9"/>
  <c r="AB184" i="9"/>
  <c r="C185" i="9"/>
  <c r="D186" i="9"/>
  <c r="Y186" i="9"/>
  <c r="G187" i="9"/>
  <c r="G186" i="9"/>
  <c r="H187" i="9"/>
  <c r="H186" i="9" s="1"/>
  <c r="I187" i="9"/>
  <c r="I186" i="9" s="1"/>
  <c r="I185" i="9" s="1"/>
  <c r="J187" i="9"/>
  <c r="K187" i="9"/>
  <c r="L187" i="9" s="1"/>
  <c r="L186" i="9" s="1"/>
  <c r="N187" i="9"/>
  <c r="O187" i="9"/>
  <c r="O186" i="9" s="1"/>
  <c r="P187" i="9"/>
  <c r="P186" i="9"/>
  <c r="Q187" i="9"/>
  <c r="Q186" i="9" s="1"/>
  <c r="R187" i="9"/>
  <c r="R186" i="9" s="1"/>
  <c r="S187" i="9"/>
  <c r="S186" i="9" s="1"/>
  <c r="T187" i="9"/>
  <c r="T186" i="9" s="1"/>
  <c r="U187" i="9"/>
  <c r="U186" i="9" s="1"/>
  <c r="V187" i="9"/>
  <c r="W187" i="9"/>
  <c r="W186" i="9" s="1"/>
  <c r="X187" i="9"/>
  <c r="X186" i="9" s="1"/>
  <c r="AB187" i="9"/>
  <c r="G188" i="9"/>
  <c r="H188" i="9"/>
  <c r="I188" i="9"/>
  <c r="J188" i="9"/>
  <c r="K188" i="9"/>
  <c r="L188" i="9" s="1"/>
  <c r="N188" i="9"/>
  <c r="O188" i="9"/>
  <c r="P188" i="9"/>
  <c r="Q188" i="9"/>
  <c r="R188" i="9"/>
  <c r="S188" i="9"/>
  <c r="T188" i="9"/>
  <c r="U188" i="9"/>
  <c r="V188" i="9"/>
  <c r="Z188" i="9" s="1"/>
  <c r="W188" i="9"/>
  <c r="X188" i="9"/>
  <c r="AB188" i="9"/>
  <c r="G189" i="9"/>
  <c r="H189" i="9"/>
  <c r="I189" i="9"/>
  <c r="J189" i="9"/>
  <c r="K189" i="9"/>
  <c r="N189" i="9"/>
  <c r="O189" i="9"/>
  <c r="P189" i="9"/>
  <c r="Q189" i="9"/>
  <c r="R189" i="9"/>
  <c r="S189" i="9"/>
  <c r="T189" i="9"/>
  <c r="U189" i="9"/>
  <c r="V189" i="9"/>
  <c r="Z189" i="9" s="1"/>
  <c r="W189" i="9"/>
  <c r="X189" i="9"/>
  <c r="AB189" i="9"/>
  <c r="G190" i="9"/>
  <c r="H190" i="9"/>
  <c r="I190" i="9"/>
  <c r="J190" i="9"/>
  <c r="K190" i="9"/>
  <c r="N190" i="9"/>
  <c r="O190" i="9"/>
  <c r="P190" i="9"/>
  <c r="Q190" i="9"/>
  <c r="R190" i="9"/>
  <c r="S190" i="9"/>
  <c r="T190" i="9"/>
  <c r="U190" i="9"/>
  <c r="V190" i="9"/>
  <c r="Z190" i="9" s="1"/>
  <c r="W190" i="9"/>
  <c r="X190" i="9"/>
  <c r="AB190" i="9"/>
  <c r="D191" i="9"/>
  <c r="Y191" i="9"/>
  <c r="Z191" i="9" s="1"/>
  <c r="G192" i="9"/>
  <c r="G191" i="9" s="1"/>
  <c r="H192" i="9"/>
  <c r="H191" i="9" s="1"/>
  <c r="I192" i="9"/>
  <c r="I191" i="9" s="1"/>
  <c r="J192" i="9"/>
  <c r="J191" i="9" s="1"/>
  <c r="K192" i="9"/>
  <c r="K191" i="9" s="1"/>
  <c r="N192" i="9"/>
  <c r="O192" i="9"/>
  <c r="O191" i="9" s="1"/>
  <c r="P192" i="9"/>
  <c r="P191" i="9" s="1"/>
  <c r="Q192" i="9"/>
  <c r="Q191" i="9" s="1"/>
  <c r="R192" i="9"/>
  <c r="R191" i="9" s="1"/>
  <c r="S192" i="9"/>
  <c r="S191" i="9" s="1"/>
  <c r="T192" i="9"/>
  <c r="T191" i="9" s="1"/>
  <c r="U192" i="9"/>
  <c r="U191" i="9" s="1"/>
  <c r="V192" i="9"/>
  <c r="Z192" i="9" s="1"/>
  <c r="W192" i="9"/>
  <c r="W191" i="9" s="1"/>
  <c r="X192" i="9"/>
  <c r="X191" i="9"/>
  <c r="AB192" i="9"/>
  <c r="G193" i="9"/>
  <c r="H193" i="9"/>
  <c r="I193" i="9"/>
  <c r="J193" i="9"/>
  <c r="M193" i="9" s="1"/>
  <c r="K193" i="9"/>
  <c r="N193" i="9"/>
  <c r="O193" i="9"/>
  <c r="P193" i="9"/>
  <c r="Q193" i="9"/>
  <c r="R193" i="9"/>
  <c r="S193" i="9"/>
  <c r="T193" i="9"/>
  <c r="U193" i="9"/>
  <c r="V193" i="9"/>
  <c r="Z193" i="9"/>
  <c r="W193" i="9"/>
  <c r="X193" i="9"/>
  <c r="AB193" i="9"/>
  <c r="AA193" i="9" s="1"/>
  <c r="G194" i="9"/>
  <c r="H194" i="9"/>
  <c r="I194" i="9"/>
  <c r="J194" i="9"/>
  <c r="K194" i="9"/>
  <c r="N194" i="9"/>
  <c r="M194" i="9" s="1"/>
  <c r="O194" i="9"/>
  <c r="P194" i="9"/>
  <c r="Q194" i="9"/>
  <c r="R194" i="9"/>
  <c r="S194" i="9"/>
  <c r="T194" i="9"/>
  <c r="U194" i="9"/>
  <c r="V194" i="9"/>
  <c r="W194" i="9"/>
  <c r="X194" i="9"/>
  <c r="AB194" i="9"/>
  <c r="G195" i="9"/>
  <c r="H195" i="9"/>
  <c r="I195" i="9"/>
  <c r="J195" i="9"/>
  <c r="K195" i="9"/>
  <c r="N195" i="9"/>
  <c r="O195" i="9"/>
  <c r="P195" i="9"/>
  <c r="Q195" i="9"/>
  <c r="R195" i="9"/>
  <c r="S195" i="9"/>
  <c r="T195" i="9"/>
  <c r="U195" i="9"/>
  <c r="V195" i="9"/>
  <c r="Z195" i="9" s="1"/>
  <c r="W195" i="9"/>
  <c r="X195" i="9"/>
  <c r="AB195" i="9"/>
  <c r="AA195" i="9" s="1"/>
  <c r="G196" i="9"/>
  <c r="H196" i="9"/>
  <c r="I196" i="9"/>
  <c r="J196" i="9"/>
  <c r="K196" i="9"/>
  <c r="N196" i="9"/>
  <c r="O196" i="9"/>
  <c r="P196" i="9"/>
  <c r="Q196" i="9"/>
  <c r="R196" i="9"/>
  <c r="S196" i="9"/>
  <c r="T196" i="9"/>
  <c r="U196" i="9"/>
  <c r="V196" i="9"/>
  <c r="Z196" i="9" s="1"/>
  <c r="W196" i="9"/>
  <c r="X196" i="9"/>
  <c r="AB196" i="9"/>
  <c r="G197" i="9"/>
  <c r="H197" i="9"/>
  <c r="I197" i="9"/>
  <c r="J197" i="9"/>
  <c r="K197" i="9"/>
  <c r="N197" i="9"/>
  <c r="M197" i="9" s="1"/>
  <c r="O197" i="9"/>
  <c r="P197" i="9"/>
  <c r="Q197" i="9"/>
  <c r="R197" i="9"/>
  <c r="S197" i="9"/>
  <c r="T197" i="9"/>
  <c r="U197" i="9"/>
  <c r="V197" i="9"/>
  <c r="W197" i="9"/>
  <c r="X197" i="9"/>
  <c r="AB197" i="9"/>
  <c r="D198" i="9"/>
  <c r="Y198" i="9"/>
  <c r="G199" i="9"/>
  <c r="G198" i="9" s="1"/>
  <c r="H199" i="9"/>
  <c r="H198" i="9" s="1"/>
  <c r="I199" i="9"/>
  <c r="I198" i="9" s="1"/>
  <c r="J199" i="9"/>
  <c r="K199" i="9"/>
  <c r="L199" i="9" s="1"/>
  <c r="L198" i="9" s="1"/>
  <c r="N199" i="9"/>
  <c r="N198" i="9" s="1"/>
  <c r="O199" i="9"/>
  <c r="O198" i="9" s="1"/>
  <c r="P199" i="9"/>
  <c r="P198" i="9"/>
  <c r="Q199" i="9"/>
  <c r="Q198" i="9" s="1"/>
  <c r="R199" i="9"/>
  <c r="R198" i="9" s="1"/>
  <c r="S199" i="9"/>
  <c r="S198" i="9" s="1"/>
  <c r="T199" i="9"/>
  <c r="T198" i="9" s="1"/>
  <c r="U199" i="9"/>
  <c r="U198" i="9" s="1"/>
  <c r="V199" i="9"/>
  <c r="W199" i="9"/>
  <c r="W198" i="9" s="1"/>
  <c r="X199" i="9"/>
  <c r="X198" i="9" s="1"/>
  <c r="AB199" i="9"/>
  <c r="G200" i="9"/>
  <c r="H200" i="9"/>
  <c r="I200" i="9"/>
  <c r="J200" i="9"/>
  <c r="K200" i="9"/>
  <c r="L200" i="9" s="1"/>
  <c r="N200" i="9"/>
  <c r="M200" i="9" s="1"/>
  <c r="O200" i="9"/>
  <c r="P200" i="9"/>
  <c r="Q200" i="9"/>
  <c r="R200" i="9"/>
  <c r="S200" i="9"/>
  <c r="T200" i="9"/>
  <c r="U200" i="9"/>
  <c r="V200" i="9"/>
  <c r="Z200" i="9" s="1"/>
  <c r="W200" i="9"/>
  <c r="X200" i="9"/>
  <c r="AB200" i="9"/>
  <c r="G201" i="9"/>
  <c r="H201" i="9"/>
  <c r="I201" i="9"/>
  <c r="J201" i="9"/>
  <c r="K201" i="9"/>
  <c r="N201" i="9"/>
  <c r="O201" i="9"/>
  <c r="P201" i="9"/>
  <c r="Q201" i="9"/>
  <c r="R201" i="9"/>
  <c r="S201" i="9"/>
  <c r="T201" i="9"/>
  <c r="U201" i="9"/>
  <c r="V201" i="9"/>
  <c r="Z201" i="9" s="1"/>
  <c r="W201" i="9"/>
  <c r="X201" i="9"/>
  <c r="AB201" i="9"/>
  <c r="G202" i="9"/>
  <c r="H202" i="9"/>
  <c r="I202" i="9"/>
  <c r="J202" i="9"/>
  <c r="K202" i="9"/>
  <c r="N202" i="9"/>
  <c r="M202" i="9" s="1"/>
  <c r="O202" i="9"/>
  <c r="P202" i="9"/>
  <c r="Q202" i="9"/>
  <c r="R202" i="9"/>
  <c r="S202" i="9"/>
  <c r="T202" i="9"/>
  <c r="U202" i="9"/>
  <c r="V202" i="9"/>
  <c r="Z202" i="9" s="1"/>
  <c r="W202" i="9"/>
  <c r="X202" i="9"/>
  <c r="AB202" i="9"/>
  <c r="G203" i="9"/>
  <c r="H203" i="9"/>
  <c r="I203" i="9"/>
  <c r="J203" i="9"/>
  <c r="K203" i="9"/>
  <c r="L203" i="9" s="1"/>
  <c r="N203" i="9"/>
  <c r="O203" i="9"/>
  <c r="P203" i="9"/>
  <c r="Q203" i="9"/>
  <c r="R203" i="9"/>
  <c r="S203" i="9"/>
  <c r="T203" i="9"/>
  <c r="U203" i="9"/>
  <c r="V203" i="9"/>
  <c r="Z203" i="9" s="1"/>
  <c r="W203" i="9"/>
  <c r="X203" i="9"/>
  <c r="AB203" i="9"/>
  <c r="AA203" i="9" s="1"/>
  <c r="G204" i="9"/>
  <c r="H204" i="9"/>
  <c r="I204" i="9"/>
  <c r="J204" i="9"/>
  <c r="M204" i="9" s="1"/>
  <c r="K204" i="9"/>
  <c r="N204" i="9"/>
  <c r="O204" i="9"/>
  <c r="P204" i="9"/>
  <c r="Q204" i="9"/>
  <c r="R204" i="9"/>
  <c r="S204" i="9"/>
  <c r="T204" i="9"/>
  <c r="U204" i="9"/>
  <c r="V204" i="9"/>
  <c r="Z204" i="9"/>
  <c r="W204" i="9"/>
  <c r="X204" i="9"/>
  <c r="AB204" i="9"/>
  <c r="AA204" i="9" s="1"/>
  <c r="G205" i="9"/>
  <c r="H205" i="9"/>
  <c r="I205" i="9"/>
  <c r="J205" i="9"/>
  <c r="K205" i="9"/>
  <c r="L205" i="9"/>
  <c r="N205" i="9"/>
  <c r="O205" i="9"/>
  <c r="P205" i="9"/>
  <c r="Q205" i="9"/>
  <c r="R205" i="9"/>
  <c r="S205" i="9"/>
  <c r="T205" i="9"/>
  <c r="U205" i="9"/>
  <c r="V205" i="9"/>
  <c r="Z205" i="9"/>
  <c r="W205" i="9"/>
  <c r="X205" i="9"/>
  <c r="AB205" i="9"/>
  <c r="AA205" i="9"/>
  <c r="G206" i="9"/>
  <c r="H206" i="9"/>
  <c r="I206" i="9"/>
  <c r="J206" i="9"/>
  <c r="K206" i="9"/>
  <c r="L206" i="9" s="1"/>
  <c r="N206" i="9"/>
  <c r="M206" i="9" s="1"/>
  <c r="O206" i="9"/>
  <c r="P206" i="9"/>
  <c r="Q206" i="9"/>
  <c r="R206" i="9"/>
  <c r="S206" i="9"/>
  <c r="T206" i="9"/>
  <c r="U206" i="9"/>
  <c r="V206" i="9"/>
  <c r="Z206" i="9" s="1"/>
  <c r="W206" i="9"/>
  <c r="X206" i="9"/>
  <c r="AB206" i="9"/>
  <c r="G207" i="9"/>
  <c r="H207" i="9"/>
  <c r="I207" i="9"/>
  <c r="J207" i="9"/>
  <c r="K207" i="9"/>
  <c r="L207" i="9" s="1"/>
  <c r="N207" i="9"/>
  <c r="O207" i="9"/>
  <c r="P207" i="9"/>
  <c r="Q207" i="9"/>
  <c r="R207" i="9"/>
  <c r="S207" i="9"/>
  <c r="T207" i="9"/>
  <c r="U207" i="9"/>
  <c r="V207" i="9"/>
  <c r="Z207" i="9"/>
  <c r="W207" i="9"/>
  <c r="X207" i="9"/>
  <c r="AB207" i="9"/>
  <c r="Y208" i="9"/>
  <c r="G209" i="9"/>
  <c r="G208" i="9" s="1"/>
  <c r="H209" i="9"/>
  <c r="H208" i="9" s="1"/>
  <c r="I209" i="9"/>
  <c r="I208" i="9" s="1"/>
  <c r="J209" i="9"/>
  <c r="K209" i="9"/>
  <c r="K208" i="9" s="1"/>
  <c r="N209" i="9"/>
  <c r="N208" i="9" s="1"/>
  <c r="O209" i="9"/>
  <c r="O208" i="9" s="1"/>
  <c r="P209" i="9"/>
  <c r="P208" i="9" s="1"/>
  <c r="Q209" i="9"/>
  <c r="Q208" i="9" s="1"/>
  <c r="R209" i="9"/>
  <c r="R208" i="9" s="1"/>
  <c r="S209" i="9"/>
  <c r="S208" i="9" s="1"/>
  <c r="T209" i="9"/>
  <c r="T208" i="9" s="1"/>
  <c r="U209" i="9"/>
  <c r="U208" i="9" s="1"/>
  <c r="V209" i="9"/>
  <c r="Z209" i="9" s="1"/>
  <c r="W209" i="9"/>
  <c r="W208" i="9"/>
  <c r="X209" i="9"/>
  <c r="X208" i="9" s="1"/>
  <c r="AB209" i="9"/>
  <c r="D210" i="9"/>
  <c r="Y210" i="9"/>
  <c r="G211" i="9"/>
  <c r="G210" i="9" s="1"/>
  <c r="H211" i="9"/>
  <c r="H210" i="9" s="1"/>
  <c r="I211" i="9"/>
  <c r="I210" i="9" s="1"/>
  <c r="J211" i="9"/>
  <c r="K211" i="9"/>
  <c r="N211" i="9"/>
  <c r="N210" i="9" s="1"/>
  <c r="O211" i="9"/>
  <c r="O210" i="9"/>
  <c r="P211" i="9"/>
  <c r="P210" i="9" s="1"/>
  <c r="Q211" i="9"/>
  <c r="Q210" i="9" s="1"/>
  <c r="R211" i="9"/>
  <c r="R210" i="9" s="1"/>
  <c r="S211" i="9"/>
  <c r="S210" i="9" s="1"/>
  <c r="T211" i="9"/>
  <c r="T210" i="9" s="1"/>
  <c r="U211" i="9"/>
  <c r="U210" i="9" s="1"/>
  <c r="V211" i="9"/>
  <c r="W211" i="9"/>
  <c r="W210" i="9" s="1"/>
  <c r="X211" i="9"/>
  <c r="X210" i="9" s="1"/>
  <c r="AB211" i="9"/>
  <c r="AB210" i="9" s="1"/>
  <c r="G212" i="9"/>
  <c r="H212" i="9"/>
  <c r="I212" i="9"/>
  <c r="J212" i="9"/>
  <c r="K212" i="9"/>
  <c r="L212" i="9" s="1"/>
  <c r="N212" i="9"/>
  <c r="O212" i="9"/>
  <c r="P212" i="9"/>
  <c r="Q212" i="9"/>
  <c r="R212" i="9"/>
  <c r="S212" i="9"/>
  <c r="T212" i="9"/>
  <c r="U212" i="9"/>
  <c r="V212" i="9"/>
  <c r="Z212" i="9" s="1"/>
  <c r="W212" i="9"/>
  <c r="X212" i="9"/>
  <c r="AB212" i="9"/>
  <c r="G213" i="9"/>
  <c r="H213" i="9"/>
  <c r="I213" i="9"/>
  <c r="J213" i="9"/>
  <c r="M213" i="9" s="1"/>
  <c r="K213" i="9"/>
  <c r="N213" i="9"/>
  <c r="O213" i="9"/>
  <c r="P213" i="9"/>
  <c r="Q213" i="9"/>
  <c r="R213" i="9"/>
  <c r="S213" i="9"/>
  <c r="T213" i="9"/>
  <c r="U213" i="9"/>
  <c r="V213" i="9"/>
  <c r="Z213" i="9" s="1"/>
  <c r="W213" i="9"/>
  <c r="X213" i="9"/>
  <c r="AB213" i="9"/>
  <c r="G214" i="9"/>
  <c r="H214" i="9"/>
  <c r="I214" i="9"/>
  <c r="J214" i="9"/>
  <c r="K214" i="9"/>
  <c r="N214" i="9"/>
  <c r="O214" i="9"/>
  <c r="P214" i="9"/>
  <c r="Q214" i="9"/>
  <c r="R214" i="9"/>
  <c r="S214" i="9"/>
  <c r="T214" i="9"/>
  <c r="U214" i="9"/>
  <c r="V214" i="9"/>
  <c r="Z214" i="9"/>
  <c r="W214" i="9"/>
  <c r="X214" i="9"/>
  <c r="AB214" i="9"/>
  <c r="AA214" i="9" s="1"/>
  <c r="G215" i="9"/>
  <c r="H215" i="9"/>
  <c r="I215" i="9"/>
  <c r="J215" i="9"/>
  <c r="K215" i="9"/>
  <c r="L215" i="9" s="1"/>
  <c r="N215" i="9"/>
  <c r="O215" i="9"/>
  <c r="P215" i="9"/>
  <c r="Q215" i="9"/>
  <c r="R215" i="9"/>
  <c r="S215" i="9"/>
  <c r="T215" i="9"/>
  <c r="U215" i="9"/>
  <c r="V215" i="9"/>
  <c r="Z215" i="9" s="1"/>
  <c r="W215" i="9"/>
  <c r="X215" i="9"/>
  <c r="AB215" i="9"/>
  <c r="AA215" i="9" s="1"/>
  <c r="G216" i="9"/>
  <c r="H216" i="9"/>
  <c r="I216" i="9"/>
  <c r="J216" i="9"/>
  <c r="L216" i="9" s="1"/>
  <c r="K216" i="9"/>
  <c r="N216" i="9"/>
  <c r="O216" i="9"/>
  <c r="P216" i="9"/>
  <c r="Q216" i="9"/>
  <c r="R216" i="9"/>
  <c r="S216" i="9"/>
  <c r="T216" i="9"/>
  <c r="U216" i="9"/>
  <c r="V216" i="9"/>
  <c r="Z216" i="9" s="1"/>
  <c r="W216" i="9"/>
  <c r="X216" i="9"/>
  <c r="AB216" i="9"/>
  <c r="C217" i="9"/>
  <c r="D218" i="9"/>
  <c r="Y218" i="9"/>
  <c r="G219" i="9"/>
  <c r="G218" i="9" s="1"/>
  <c r="H219" i="9"/>
  <c r="H218" i="9" s="1"/>
  <c r="I219" i="9"/>
  <c r="I218" i="9" s="1"/>
  <c r="I217" i="9" s="1"/>
  <c r="J219" i="9"/>
  <c r="J218" i="9" s="1"/>
  <c r="K219" i="9"/>
  <c r="K218" i="9" s="1"/>
  <c r="N219" i="9"/>
  <c r="O219" i="9"/>
  <c r="O218" i="9" s="1"/>
  <c r="P219" i="9"/>
  <c r="P218" i="9"/>
  <c r="Q219" i="9"/>
  <c r="Q218" i="9" s="1"/>
  <c r="R219" i="9"/>
  <c r="R218" i="9" s="1"/>
  <c r="S219" i="9"/>
  <c r="S218" i="9"/>
  <c r="T219" i="9"/>
  <c r="T218" i="9" s="1"/>
  <c r="U219" i="9"/>
  <c r="U218" i="9" s="1"/>
  <c r="V219" i="9"/>
  <c r="W219" i="9"/>
  <c r="W218" i="9" s="1"/>
  <c r="W217" i="9" s="1"/>
  <c r="X219" i="9"/>
  <c r="X218" i="9" s="1"/>
  <c r="AB219" i="9"/>
  <c r="D220" i="9"/>
  <c r="Y220" i="9"/>
  <c r="Y217" i="9" s="1"/>
  <c r="G221" i="9"/>
  <c r="G220" i="9"/>
  <c r="G217" i="9" s="1"/>
  <c r="H221" i="9"/>
  <c r="H220" i="9" s="1"/>
  <c r="I221" i="9"/>
  <c r="I220" i="9" s="1"/>
  <c r="J221" i="9"/>
  <c r="J220" i="9"/>
  <c r="K221" i="9"/>
  <c r="N221" i="9"/>
  <c r="O221" i="9"/>
  <c r="O220" i="9"/>
  <c r="P221" i="9"/>
  <c r="P220" i="9" s="1"/>
  <c r="Q221" i="9"/>
  <c r="Q220" i="9" s="1"/>
  <c r="R221" i="9"/>
  <c r="R220" i="9" s="1"/>
  <c r="S221" i="9"/>
  <c r="S220" i="9" s="1"/>
  <c r="T221" i="9"/>
  <c r="T220" i="9" s="1"/>
  <c r="T217" i="9" s="1"/>
  <c r="U221" i="9"/>
  <c r="U220" i="9" s="1"/>
  <c r="V221" i="9"/>
  <c r="Z221" i="9" s="1"/>
  <c r="W221" i="9"/>
  <c r="W220" i="9"/>
  <c r="X221" i="9"/>
  <c r="X220" i="9" s="1"/>
  <c r="AB221" i="9"/>
  <c r="AA221" i="9" s="1"/>
  <c r="G222" i="9"/>
  <c r="H222" i="9"/>
  <c r="I222" i="9"/>
  <c r="J222" i="9"/>
  <c r="K222" i="9"/>
  <c r="N222" i="9"/>
  <c r="M222" i="9" s="1"/>
  <c r="O222" i="9"/>
  <c r="P222" i="9"/>
  <c r="Q222" i="9"/>
  <c r="R222" i="9"/>
  <c r="S222" i="9"/>
  <c r="T222" i="9"/>
  <c r="U222" i="9"/>
  <c r="V222" i="9"/>
  <c r="Z222" i="9" s="1"/>
  <c r="W222" i="9"/>
  <c r="X222" i="9"/>
  <c r="AB222" i="9"/>
  <c r="G223" i="9"/>
  <c r="H223" i="9"/>
  <c r="I223" i="9"/>
  <c r="J223" i="9"/>
  <c r="K223" i="9"/>
  <c r="N223" i="9"/>
  <c r="O223" i="9"/>
  <c r="P223" i="9"/>
  <c r="Q223" i="9"/>
  <c r="R223" i="9"/>
  <c r="S223" i="9"/>
  <c r="T223" i="9"/>
  <c r="U223" i="9"/>
  <c r="V223" i="9"/>
  <c r="Z223" i="9" s="1"/>
  <c r="W223" i="9"/>
  <c r="X223" i="9"/>
  <c r="AB223" i="9"/>
  <c r="AA223" i="9" s="1"/>
  <c r="C224" i="9"/>
  <c r="Y225" i="9"/>
  <c r="G226" i="9"/>
  <c r="G225" i="9" s="1"/>
  <c r="H226" i="9"/>
  <c r="H225" i="9" s="1"/>
  <c r="H224" i="9" s="1"/>
  <c r="I226" i="9"/>
  <c r="I225" i="9" s="1"/>
  <c r="J226" i="9"/>
  <c r="K226" i="9"/>
  <c r="N226" i="9"/>
  <c r="M226" i="9" s="1"/>
  <c r="O226" i="9"/>
  <c r="O225" i="9" s="1"/>
  <c r="P226" i="9"/>
  <c r="Q226" i="9"/>
  <c r="R226" i="9"/>
  <c r="S226" i="9"/>
  <c r="S225" i="9" s="1"/>
  <c r="T226" i="9"/>
  <c r="U226" i="9"/>
  <c r="V226" i="9"/>
  <c r="V225" i="9" s="1"/>
  <c r="AA225" i="9" s="1"/>
  <c r="W226" i="9"/>
  <c r="X226" i="9"/>
  <c r="AB226" i="9"/>
  <c r="AB225" i="9" s="1"/>
  <c r="G227" i="9"/>
  <c r="H227" i="9"/>
  <c r="I227" i="9"/>
  <c r="J227" i="9"/>
  <c r="J225" i="9" s="1"/>
  <c r="K227" i="9"/>
  <c r="K225" i="9" s="1"/>
  <c r="N227" i="9"/>
  <c r="M227" i="9" s="1"/>
  <c r="O227" i="9"/>
  <c r="P227" i="9"/>
  <c r="Q227" i="9"/>
  <c r="Q225" i="9" s="1"/>
  <c r="R227" i="9"/>
  <c r="S227" i="9"/>
  <c r="T227" i="9"/>
  <c r="U227" i="9"/>
  <c r="U225" i="9" s="1"/>
  <c r="V227" i="9"/>
  <c r="Z227" i="9"/>
  <c r="W227" i="9"/>
  <c r="X227" i="9"/>
  <c r="X225" i="9" s="1"/>
  <c r="AB227" i="9"/>
  <c r="D228" i="9"/>
  <c r="Y228" i="9"/>
  <c r="G229" i="9"/>
  <c r="H229" i="9"/>
  <c r="I229" i="9"/>
  <c r="J229" i="9"/>
  <c r="M229" i="9" s="1"/>
  <c r="K229" i="9"/>
  <c r="K228" i="9" s="1"/>
  <c r="N229" i="9"/>
  <c r="O229" i="9"/>
  <c r="P229" i="9"/>
  <c r="Q229" i="9"/>
  <c r="Q228" i="9" s="1"/>
  <c r="R229" i="9"/>
  <c r="S229" i="9"/>
  <c r="T229" i="9"/>
  <c r="U229" i="9"/>
  <c r="U228" i="9" s="1"/>
  <c r="V229" i="9"/>
  <c r="W229" i="9"/>
  <c r="X229" i="9"/>
  <c r="X228" i="9" s="1"/>
  <c r="AB229" i="9"/>
  <c r="AA229" i="9" s="1"/>
  <c r="G230" i="9"/>
  <c r="H230" i="9"/>
  <c r="H228" i="9" s="1"/>
  <c r="I230" i="9"/>
  <c r="I228" i="9" s="1"/>
  <c r="J230" i="9"/>
  <c r="K230" i="9"/>
  <c r="N230" i="9"/>
  <c r="N228" i="9" s="1"/>
  <c r="O230" i="9"/>
  <c r="P230" i="9"/>
  <c r="Q230" i="9"/>
  <c r="R230" i="9"/>
  <c r="R228" i="9" s="1"/>
  <c r="S230" i="9"/>
  <c r="T230" i="9"/>
  <c r="U230" i="9"/>
  <c r="V230" i="9"/>
  <c r="Z230" i="9" s="1"/>
  <c r="W230" i="9"/>
  <c r="W228" i="9" s="1"/>
  <c r="X230" i="9"/>
  <c r="AB230" i="9"/>
  <c r="C231" i="9"/>
  <c r="Y231" i="9"/>
  <c r="Z231" i="9" s="1"/>
  <c r="D232" i="9"/>
  <c r="Y232" i="9"/>
  <c r="G233" i="9"/>
  <c r="G232" i="9" s="1"/>
  <c r="G231" i="9" s="1"/>
  <c r="H233" i="9"/>
  <c r="H232" i="9" s="1"/>
  <c r="H231" i="9" s="1"/>
  <c r="I233" i="9"/>
  <c r="I232" i="9" s="1"/>
  <c r="I231" i="9" s="1"/>
  <c r="J233" i="9"/>
  <c r="J232" i="9" s="1"/>
  <c r="J231" i="9" s="1"/>
  <c r="K233" i="9"/>
  <c r="N233" i="9"/>
  <c r="M233" i="9" s="1"/>
  <c r="M232" i="9" s="1"/>
  <c r="O233" i="9"/>
  <c r="O232" i="9" s="1"/>
  <c r="O231" i="9" s="1"/>
  <c r="P233" i="9"/>
  <c r="P232" i="9" s="1"/>
  <c r="P231" i="9" s="1"/>
  <c r="Q233" i="9"/>
  <c r="Q232" i="9" s="1"/>
  <c r="Q231" i="9" s="1"/>
  <c r="R233" i="9"/>
  <c r="R232" i="9" s="1"/>
  <c r="R231" i="9" s="1"/>
  <c r="S233" i="9"/>
  <c r="S232" i="9"/>
  <c r="S231" i="9" s="1"/>
  <c r="T233" i="9"/>
  <c r="T232" i="9" s="1"/>
  <c r="T231" i="9" s="1"/>
  <c r="U233" i="9"/>
  <c r="U232" i="9" s="1"/>
  <c r="U231" i="9" s="1"/>
  <c r="V233" i="9"/>
  <c r="Z233" i="9" s="1"/>
  <c r="W233" i="9"/>
  <c r="W232" i="9" s="1"/>
  <c r="W231" i="9" s="1"/>
  <c r="X233" i="9"/>
  <c r="X232" i="9" s="1"/>
  <c r="X231" i="9" s="1"/>
  <c r="AB233" i="9"/>
  <c r="G234" i="9"/>
  <c r="H234" i="9"/>
  <c r="I234" i="9"/>
  <c r="J234" i="9"/>
  <c r="K234" i="9"/>
  <c r="N234" i="9"/>
  <c r="O234" i="9"/>
  <c r="P234" i="9"/>
  <c r="Q234" i="9"/>
  <c r="R234" i="9"/>
  <c r="S234" i="9"/>
  <c r="T234" i="9"/>
  <c r="U234" i="9"/>
  <c r="V234" i="9"/>
  <c r="Z234" i="9" s="1"/>
  <c r="W234" i="9"/>
  <c r="X234" i="9"/>
  <c r="AB234" i="9"/>
  <c r="Z235" i="9"/>
  <c r="AB235" i="9"/>
  <c r="AA235" i="9"/>
  <c r="Y236" i="9"/>
  <c r="Z236" i="9" s="1"/>
  <c r="AB236" i="9"/>
  <c r="AA236" i="9" s="1"/>
  <c r="C237" i="9"/>
  <c r="D238" i="9"/>
  <c r="Y238" i="9"/>
  <c r="Y237" i="9" s="1"/>
  <c r="G239" i="9"/>
  <c r="G238" i="9" s="1"/>
  <c r="G237" i="9" s="1"/>
  <c r="H239" i="9"/>
  <c r="H238" i="9"/>
  <c r="H237" i="9" s="1"/>
  <c r="I239" i="9"/>
  <c r="I238" i="9"/>
  <c r="I237" i="9" s="1"/>
  <c r="J239" i="9"/>
  <c r="J238" i="9" s="1"/>
  <c r="J237" i="9" s="1"/>
  <c r="K239" i="9"/>
  <c r="N239" i="9"/>
  <c r="N238" i="9" s="1"/>
  <c r="N237" i="9" s="1"/>
  <c r="O239" i="9"/>
  <c r="O238" i="9" s="1"/>
  <c r="O237" i="9" s="1"/>
  <c r="P239" i="9"/>
  <c r="P238" i="9" s="1"/>
  <c r="P237" i="9" s="1"/>
  <c r="Q239" i="9"/>
  <c r="Q238" i="9" s="1"/>
  <c r="Q237" i="9" s="1"/>
  <c r="R239" i="9"/>
  <c r="R238" i="9" s="1"/>
  <c r="R237" i="9" s="1"/>
  <c r="S239" i="9"/>
  <c r="S238" i="9" s="1"/>
  <c r="S237" i="9" s="1"/>
  <c r="T239" i="9"/>
  <c r="T238" i="9" s="1"/>
  <c r="T237" i="9" s="1"/>
  <c r="U239" i="9"/>
  <c r="U238" i="9" s="1"/>
  <c r="U237" i="9" s="1"/>
  <c r="V239" i="9"/>
  <c r="V238" i="9" s="1"/>
  <c r="Z238" i="9" s="1"/>
  <c r="W239" i="9"/>
  <c r="W238" i="9" s="1"/>
  <c r="W237" i="9" s="1"/>
  <c r="X239" i="9"/>
  <c r="X238" i="9" s="1"/>
  <c r="X237" i="9" s="1"/>
  <c r="AB239" i="9"/>
  <c r="AB238" i="9" s="1"/>
  <c r="G240" i="9"/>
  <c r="H240" i="9"/>
  <c r="I240" i="9"/>
  <c r="J240" i="9"/>
  <c r="K240" i="9"/>
  <c r="N240" i="9"/>
  <c r="O240" i="9"/>
  <c r="P240" i="9"/>
  <c r="Q240" i="9"/>
  <c r="R240" i="9"/>
  <c r="S240" i="9"/>
  <c r="T240" i="9"/>
  <c r="U240" i="9"/>
  <c r="V240" i="9"/>
  <c r="Z240" i="9"/>
  <c r="W240" i="9"/>
  <c r="X240" i="9"/>
  <c r="AB240" i="9"/>
  <c r="C241" i="9"/>
  <c r="D242" i="9"/>
  <c r="Y242" i="9"/>
  <c r="G243" i="9"/>
  <c r="G242" i="9" s="1"/>
  <c r="H243" i="9"/>
  <c r="H242" i="9" s="1"/>
  <c r="I243" i="9"/>
  <c r="I242" i="9" s="1"/>
  <c r="I241" i="9" s="1"/>
  <c r="J243" i="9"/>
  <c r="J242" i="9" s="1"/>
  <c r="L242" i="9" s="1"/>
  <c r="K243" i="9"/>
  <c r="K242" i="9" s="1"/>
  <c r="N243" i="9"/>
  <c r="N242" i="9" s="1"/>
  <c r="O243" i="9"/>
  <c r="O242" i="9" s="1"/>
  <c r="P243" i="9"/>
  <c r="P242" i="9" s="1"/>
  <c r="Q243" i="9"/>
  <c r="Q242" i="9" s="1"/>
  <c r="R243" i="9"/>
  <c r="R242" i="9" s="1"/>
  <c r="S243" i="9"/>
  <c r="S242" i="9" s="1"/>
  <c r="T243" i="9"/>
  <c r="T242" i="9" s="1"/>
  <c r="U243" i="9"/>
  <c r="U242" i="9" s="1"/>
  <c r="V243" i="9"/>
  <c r="Z243" i="9" s="1"/>
  <c r="W243" i="9"/>
  <c r="W242" i="9" s="1"/>
  <c r="X243" i="9"/>
  <c r="X242" i="9" s="1"/>
  <c r="AB243" i="9"/>
  <c r="AB242" i="9" s="1"/>
  <c r="AA242" i="9" s="1"/>
  <c r="D244" i="9"/>
  <c r="Y244" i="9"/>
  <c r="Y241" i="9" s="1"/>
  <c r="G245" i="9"/>
  <c r="G244" i="9" s="1"/>
  <c r="H245" i="9"/>
  <c r="H244" i="9" s="1"/>
  <c r="I245" i="9"/>
  <c r="I244" i="9" s="1"/>
  <c r="J245" i="9"/>
  <c r="J244" i="9" s="1"/>
  <c r="L244" i="9" s="1"/>
  <c r="K245" i="9"/>
  <c r="K244" i="9" s="1"/>
  <c r="N245" i="9"/>
  <c r="N244" i="9" s="1"/>
  <c r="O245" i="9"/>
  <c r="O244" i="9" s="1"/>
  <c r="P245" i="9"/>
  <c r="P244" i="9" s="1"/>
  <c r="Q245" i="9"/>
  <c r="Q244" i="9" s="1"/>
  <c r="R245" i="9"/>
  <c r="R244" i="9"/>
  <c r="S245" i="9"/>
  <c r="S244" i="9" s="1"/>
  <c r="T245" i="9"/>
  <c r="T244" i="9" s="1"/>
  <c r="U245" i="9"/>
  <c r="U244" i="9" s="1"/>
  <c r="V245" i="9"/>
  <c r="Z245" i="9" s="1"/>
  <c r="W245" i="9"/>
  <c r="X245" i="9"/>
  <c r="AB245" i="9"/>
  <c r="G246" i="9"/>
  <c r="H246" i="9"/>
  <c r="I246" i="9"/>
  <c r="J246" i="9"/>
  <c r="K246" i="9"/>
  <c r="N246" i="9"/>
  <c r="M246" i="9" s="1"/>
  <c r="O246" i="9"/>
  <c r="P246" i="9"/>
  <c r="Q246" i="9"/>
  <c r="R246" i="9"/>
  <c r="S246" i="9"/>
  <c r="T246" i="9"/>
  <c r="U246" i="9"/>
  <c r="V246" i="9"/>
  <c r="Z246" i="9" s="1"/>
  <c r="W246" i="9"/>
  <c r="X246" i="9"/>
  <c r="AB246" i="9"/>
  <c r="D247" i="9"/>
  <c r="Y247" i="9"/>
  <c r="G248" i="9"/>
  <c r="G247" i="9" s="1"/>
  <c r="H248" i="9"/>
  <c r="H247" i="9" s="1"/>
  <c r="I248" i="9"/>
  <c r="I247" i="9"/>
  <c r="J248" i="9"/>
  <c r="M248" i="9" s="1"/>
  <c r="K248" i="9"/>
  <c r="K247" i="9" s="1"/>
  <c r="N248" i="9"/>
  <c r="N247" i="9"/>
  <c r="O248" i="9"/>
  <c r="O247" i="9" s="1"/>
  <c r="P248" i="9"/>
  <c r="P247" i="9" s="1"/>
  <c r="Q248" i="9"/>
  <c r="Q247" i="9" s="1"/>
  <c r="R248" i="9"/>
  <c r="R247" i="9" s="1"/>
  <c r="S248" i="9"/>
  <c r="S247" i="9" s="1"/>
  <c r="T248" i="9"/>
  <c r="T247" i="9" s="1"/>
  <c r="U248" i="9"/>
  <c r="U247" i="9" s="1"/>
  <c r="V248" i="9"/>
  <c r="W248" i="9"/>
  <c r="W247" i="9" s="1"/>
  <c r="X248" i="9"/>
  <c r="X247" i="9" s="1"/>
  <c r="AB248" i="9"/>
  <c r="B252" i="9"/>
  <c r="Y254" i="9"/>
  <c r="G255" i="9"/>
  <c r="G254" i="9" s="1"/>
  <c r="H255" i="9"/>
  <c r="H254" i="9" s="1"/>
  <c r="I255" i="9"/>
  <c r="I254" i="9" s="1"/>
  <c r="J255" i="9"/>
  <c r="J254" i="9" s="1"/>
  <c r="M254" i="9" s="1"/>
  <c r="K255" i="9"/>
  <c r="K254" i="9" s="1"/>
  <c r="N255" i="9"/>
  <c r="M255" i="9" s="1"/>
  <c r="O255" i="9"/>
  <c r="O254" i="9" s="1"/>
  <c r="P255" i="9"/>
  <c r="P254" i="9" s="1"/>
  <c r="Q255" i="9"/>
  <c r="Q254" i="9"/>
  <c r="R255" i="9"/>
  <c r="R254" i="9" s="1"/>
  <c r="S255" i="9"/>
  <c r="S254" i="9" s="1"/>
  <c r="T255" i="9"/>
  <c r="T254" i="9" s="1"/>
  <c r="U255" i="9"/>
  <c r="U254" i="9" s="1"/>
  <c r="V255" i="9"/>
  <c r="W255" i="9"/>
  <c r="W254" i="9" s="1"/>
  <c r="X255" i="9"/>
  <c r="X254" i="9" s="1"/>
  <c r="AB255" i="9"/>
  <c r="AB254" i="9" s="1"/>
  <c r="Y256" i="9"/>
  <c r="G257" i="9"/>
  <c r="G256" i="9" s="1"/>
  <c r="G253" i="9" s="1"/>
  <c r="H257" i="9"/>
  <c r="I257" i="9"/>
  <c r="J257" i="9"/>
  <c r="K257" i="9"/>
  <c r="K256" i="9" s="1"/>
  <c r="N257" i="9"/>
  <c r="O257" i="9"/>
  <c r="P257" i="9"/>
  <c r="Q257" i="9"/>
  <c r="Q256" i="9" s="1"/>
  <c r="Q253" i="9" s="1"/>
  <c r="R257" i="9"/>
  <c r="S257" i="9"/>
  <c r="T257" i="9"/>
  <c r="U257" i="9"/>
  <c r="V257" i="9"/>
  <c r="W257" i="9"/>
  <c r="X257" i="9"/>
  <c r="AB257" i="9"/>
  <c r="AB256" i="9" s="1"/>
  <c r="AA256" i="9" s="1"/>
  <c r="G258" i="9"/>
  <c r="H258" i="9"/>
  <c r="I258" i="9"/>
  <c r="J258" i="9"/>
  <c r="L258" i="9" s="1"/>
  <c r="K258" i="9"/>
  <c r="N258" i="9"/>
  <c r="N256" i="9" s="1"/>
  <c r="N253" i="9" s="1"/>
  <c r="O258" i="9"/>
  <c r="P258" i="9"/>
  <c r="P256" i="9" s="1"/>
  <c r="P253" i="9" s="1"/>
  <c r="R258" i="9"/>
  <c r="S258" i="9"/>
  <c r="T258" i="9"/>
  <c r="U258" i="9"/>
  <c r="Q258" i="9" s="1"/>
  <c r="V258" i="9"/>
  <c r="Z258" i="9"/>
  <c r="W258" i="9"/>
  <c r="X258" i="9"/>
  <c r="AB258" i="9"/>
  <c r="C259" i="9"/>
  <c r="D260" i="9"/>
  <c r="Y260" i="9"/>
  <c r="G261" i="9"/>
  <c r="G260" i="9" s="1"/>
  <c r="H261" i="9"/>
  <c r="H260" i="9" s="1"/>
  <c r="I261" i="9"/>
  <c r="I260" i="9"/>
  <c r="J261" i="9"/>
  <c r="K261" i="9"/>
  <c r="L261" i="9" s="1"/>
  <c r="L260" i="9" s="1"/>
  <c r="N261" i="9"/>
  <c r="N260" i="9" s="1"/>
  <c r="O261" i="9"/>
  <c r="O260" i="9" s="1"/>
  <c r="P261" i="9"/>
  <c r="P260" i="9" s="1"/>
  <c r="Q261" i="9"/>
  <c r="Q260" i="9" s="1"/>
  <c r="R261" i="9"/>
  <c r="R260" i="9" s="1"/>
  <c r="S261" i="9"/>
  <c r="S260" i="9" s="1"/>
  <c r="T261" i="9"/>
  <c r="T260" i="9" s="1"/>
  <c r="U261" i="9"/>
  <c r="U260" i="9" s="1"/>
  <c r="V261" i="9"/>
  <c r="Z261" i="9" s="1"/>
  <c r="W261" i="9"/>
  <c r="W260" i="9" s="1"/>
  <c r="X261" i="9"/>
  <c r="X260" i="9" s="1"/>
  <c r="AB261" i="9"/>
  <c r="AB260" i="9" s="1"/>
  <c r="AA260" i="9" s="1"/>
  <c r="G262" i="9"/>
  <c r="H262" i="9"/>
  <c r="I262" i="9"/>
  <c r="J262" i="9"/>
  <c r="L262" i="9" s="1"/>
  <c r="K262" i="9"/>
  <c r="N262" i="9"/>
  <c r="O262" i="9"/>
  <c r="P262" i="9"/>
  <c r="Q262" i="9"/>
  <c r="R262" i="9"/>
  <c r="S262" i="9"/>
  <c r="T262" i="9"/>
  <c r="U262" i="9"/>
  <c r="V262" i="9"/>
  <c r="Z262" i="9" s="1"/>
  <c r="W262" i="9"/>
  <c r="X262" i="9"/>
  <c r="AB262" i="9"/>
  <c r="G263" i="9"/>
  <c r="H263" i="9"/>
  <c r="I263" i="9"/>
  <c r="J263" i="9"/>
  <c r="K263" i="9"/>
  <c r="N263" i="9"/>
  <c r="M263" i="9" s="1"/>
  <c r="O263" i="9"/>
  <c r="P263" i="9"/>
  <c r="Q263" i="9"/>
  <c r="R263" i="9"/>
  <c r="S263" i="9"/>
  <c r="T263" i="9"/>
  <c r="U263" i="9"/>
  <c r="V263" i="9"/>
  <c r="Z263" i="9" s="1"/>
  <c r="W263" i="9"/>
  <c r="X263" i="9"/>
  <c r="AB263" i="9"/>
  <c r="D264" i="9"/>
  <c r="Y264" i="9"/>
  <c r="G265" i="9"/>
  <c r="G264" i="9" s="1"/>
  <c r="H265" i="9"/>
  <c r="H264" i="9"/>
  <c r="I265" i="9"/>
  <c r="I264" i="9" s="1"/>
  <c r="J265" i="9"/>
  <c r="K265" i="9"/>
  <c r="L265" i="9" s="1"/>
  <c r="L264" i="9" s="1"/>
  <c r="N265" i="9"/>
  <c r="N264" i="9" s="1"/>
  <c r="O265" i="9"/>
  <c r="O264" i="9" s="1"/>
  <c r="P265" i="9"/>
  <c r="P264" i="9" s="1"/>
  <c r="Q265" i="9"/>
  <c r="Q264" i="9" s="1"/>
  <c r="R265" i="9"/>
  <c r="R264" i="9" s="1"/>
  <c r="S265" i="9"/>
  <c r="S264" i="9" s="1"/>
  <c r="T265" i="9"/>
  <c r="T264" i="9" s="1"/>
  <c r="U265" i="9"/>
  <c r="U264" i="9" s="1"/>
  <c r="V265" i="9"/>
  <c r="W265" i="9"/>
  <c r="W264" i="9" s="1"/>
  <c r="X265" i="9"/>
  <c r="X264" i="9" s="1"/>
  <c r="AB265" i="9"/>
  <c r="AB264" i="9" s="1"/>
  <c r="G266" i="9"/>
  <c r="H266" i="9"/>
  <c r="I266" i="9"/>
  <c r="J266" i="9"/>
  <c r="K266" i="9"/>
  <c r="N266" i="9"/>
  <c r="O266" i="9"/>
  <c r="P266" i="9"/>
  <c r="Q266" i="9"/>
  <c r="R266" i="9"/>
  <c r="S266" i="9"/>
  <c r="T266" i="9"/>
  <c r="U266" i="9"/>
  <c r="V266" i="9"/>
  <c r="Z266" i="9" s="1"/>
  <c r="W266" i="9"/>
  <c r="X266" i="9"/>
  <c r="AB266" i="9"/>
  <c r="G267" i="9"/>
  <c r="H267" i="9"/>
  <c r="I267" i="9"/>
  <c r="J267" i="9"/>
  <c r="K267" i="9"/>
  <c r="N267" i="9"/>
  <c r="O267" i="9"/>
  <c r="P267" i="9"/>
  <c r="Q267" i="9"/>
  <c r="R267" i="9"/>
  <c r="S267" i="9"/>
  <c r="T267" i="9"/>
  <c r="U267" i="9"/>
  <c r="V267" i="9"/>
  <c r="Z267" i="9" s="1"/>
  <c r="W267" i="9"/>
  <c r="X267" i="9"/>
  <c r="AB267" i="9"/>
  <c r="G268" i="9"/>
  <c r="H268" i="9"/>
  <c r="I268" i="9"/>
  <c r="J268" i="9"/>
  <c r="K268" i="9"/>
  <c r="N268" i="9"/>
  <c r="M268" i="9" s="1"/>
  <c r="O268" i="9"/>
  <c r="P268" i="9"/>
  <c r="Q268" i="9"/>
  <c r="R268" i="9"/>
  <c r="S268" i="9"/>
  <c r="T268" i="9"/>
  <c r="U268" i="9"/>
  <c r="V268" i="9"/>
  <c r="W268" i="9"/>
  <c r="X268" i="9"/>
  <c r="AB268" i="9"/>
  <c r="G269" i="9"/>
  <c r="H269" i="9"/>
  <c r="I269" i="9"/>
  <c r="J269" i="9"/>
  <c r="K269" i="9"/>
  <c r="L269" i="9" s="1"/>
  <c r="N269" i="9"/>
  <c r="O269" i="9"/>
  <c r="P269" i="9"/>
  <c r="Q269" i="9"/>
  <c r="R269" i="9"/>
  <c r="S269" i="9"/>
  <c r="T269" i="9"/>
  <c r="U269" i="9"/>
  <c r="V269" i="9"/>
  <c r="Z269" i="9" s="1"/>
  <c r="W269" i="9"/>
  <c r="X269" i="9"/>
  <c r="AB269" i="9"/>
  <c r="AA269" i="9" s="1"/>
  <c r="G270" i="9"/>
  <c r="H270" i="9"/>
  <c r="I270" i="9"/>
  <c r="J270" i="9"/>
  <c r="L270" i="9" s="1"/>
  <c r="K270" i="9"/>
  <c r="N270" i="9"/>
  <c r="O270" i="9"/>
  <c r="P270" i="9"/>
  <c r="Q270" i="9"/>
  <c r="R270" i="9"/>
  <c r="S270" i="9"/>
  <c r="T270" i="9"/>
  <c r="U270" i="9"/>
  <c r="V270" i="9"/>
  <c r="Z270" i="9" s="1"/>
  <c r="W270" i="9"/>
  <c r="X270" i="9"/>
  <c r="AB270" i="9"/>
  <c r="G271" i="9"/>
  <c r="H271" i="9"/>
  <c r="I271" i="9"/>
  <c r="J271" i="9"/>
  <c r="K271" i="9"/>
  <c r="N271" i="9"/>
  <c r="O271" i="9"/>
  <c r="P271" i="9"/>
  <c r="Q271" i="9"/>
  <c r="R271" i="9"/>
  <c r="S271" i="9"/>
  <c r="T271" i="9"/>
  <c r="U271" i="9"/>
  <c r="V271" i="9"/>
  <c r="Z271" i="9" s="1"/>
  <c r="W271" i="9"/>
  <c r="X271" i="9"/>
  <c r="AB271" i="9"/>
  <c r="D272" i="9"/>
  <c r="Y272" i="9"/>
  <c r="G273" i="9"/>
  <c r="G272" i="9" s="1"/>
  <c r="H273" i="9"/>
  <c r="H272" i="9" s="1"/>
  <c r="I273" i="9"/>
  <c r="I272" i="9" s="1"/>
  <c r="J273" i="9"/>
  <c r="J272" i="9" s="1"/>
  <c r="K273" i="9"/>
  <c r="K272" i="9" s="1"/>
  <c r="N273" i="9"/>
  <c r="O273" i="9"/>
  <c r="O272" i="9" s="1"/>
  <c r="P273" i="9"/>
  <c r="P272" i="9" s="1"/>
  <c r="Q273" i="9"/>
  <c r="Q272" i="9" s="1"/>
  <c r="R273" i="9"/>
  <c r="R272" i="9" s="1"/>
  <c r="S273" i="9"/>
  <c r="S272" i="9" s="1"/>
  <c r="T273" i="9"/>
  <c r="T272" i="9" s="1"/>
  <c r="U273" i="9"/>
  <c r="U272" i="9" s="1"/>
  <c r="V273" i="9"/>
  <c r="V272" i="9" s="1"/>
  <c r="W273" i="9"/>
  <c r="W272" i="9" s="1"/>
  <c r="X273" i="9"/>
  <c r="X272" i="9" s="1"/>
  <c r="AB273" i="9"/>
  <c r="AB272" i="9" s="1"/>
  <c r="AA272" i="9" s="1"/>
  <c r="D274" i="9"/>
  <c r="Y274" i="9"/>
  <c r="G275" i="9"/>
  <c r="G274" i="9" s="1"/>
  <c r="H275" i="9"/>
  <c r="H274" i="9" s="1"/>
  <c r="I275" i="9"/>
  <c r="I274" i="9" s="1"/>
  <c r="O275" i="9"/>
  <c r="O274" i="9" s="1"/>
  <c r="P275" i="9"/>
  <c r="P274" i="9" s="1"/>
  <c r="Q275" i="9"/>
  <c r="Q274" i="9" s="1"/>
  <c r="R275" i="9"/>
  <c r="R274" i="9"/>
  <c r="S275" i="9"/>
  <c r="S274" i="9"/>
  <c r="T275" i="9"/>
  <c r="T274" i="9" s="1"/>
  <c r="U275" i="9"/>
  <c r="U274" i="9" s="1"/>
  <c r="W275" i="9"/>
  <c r="W274" i="9" s="1"/>
  <c r="X275" i="9"/>
  <c r="X274" i="9" s="1"/>
  <c r="D276" i="9"/>
  <c r="G277" i="9"/>
  <c r="G276" i="9" s="1"/>
  <c r="H277" i="9"/>
  <c r="H276" i="9"/>
  <c r="I277" i="9"/>
  <c r="I276" i="9" s="1"/>
  <c r="J277" i="9"/>
  <c r="K277" i="9"/>
  <c r="K276" i="9" s="1"/>
  <c r="N277" i="9"/>
  <c r="O277" i="9"/>
  <c r="O276" i="9" s="1"/>
  <c r="P277" i="9"/>
  <c r="P276" i="9" s="1"/>
  <c r="R277" i="9"/>
  <c r="R276" i="9" s="1"/>
  <c r="S277" i="9"/>
  <c r="S276" i="9"/>
  <c r="T277" i="9"/>
  <c r="T276" i="9" s="1"/>
  <c r="U277" i="9"/>
  <c r="V277" i="9"/>
  <c r="V276" i="9" s="1"/>
  <c r="Z276" i="9" s="1"/>
  <c r="Z277" i="9"/>
  <c r="W277" i="9"/>
  <c r="W276" i="9" s="1"/>
  <c r="X277" i="9"/>
  <c r="X276" i="9"/>
  <c r="AB277" i="9"/>
  <c r="AB276" i="9" s="1"/>
  <c r="D278" i="9"/>
  <c r="Y278" i="9"/>
  <c r="G279" i="9"/>
  <c r="G278" i="9" s="1"/>
  <c r="H279" i="9"/>
  <c r="H278" i="9" s="1"/>
  <c r="I279" i="9"/>
  <c r="I278" i="9" s="1"/>
  <c r="J279" i="9"/>
  <c r="K279" i="9"/>
  <c r="L279" i="9" s="1"/>
  <c r="L278" i="9" s="1"/>
  <c r="N279" i="9"/>
  <c r="M279" i="9" s="1"/>
  <c r="M278" i="9" s="1"/>
  <c r="O279" i="9"/>
  <c r="O278" i="9" s="1"/>
  <c r="P279" i="9"/>
  <c r="P278" i="9" s="1"/>
  <c r="Q279" i="9"/>
  <c r="Q278" i="9" s="1"/>
  <c r="R279" i="9"/>
  <c r="R278" i="9" s="1"/>
  <c r="S279" i="9"/>
  <c r="S278" i="9"/>
  <c r="T279" i="9"/>
  <c r="T278" i="9" s="1"/>
  <c r="U279" i="9"/>
  <c r="U278" i="9" s="1"/>
  <c r="V279" i="9"/>
  <c r="W279" i="9"/>
  <c r="W278" i="9" s="1"/>
  <c r="X279" i="9"/>
  <c r="X278" i="9" s="1"/>
  <c r="AB279" i="9"/>
  <c r="G280" i="9"/>
  <c r="H280" i="9"/>
  <c r="I280" i="9"/>
  <c r="J280" i="9"/>
  <c r="K280" i="9"/>
  <c r="N280" i="9"/>
  <c r="O280" i="9"/>
  <c r="P280" i="9"/>
  <c r="Q280" i="9"/>
  <c r="R280" i="9"/>
  <c r="S280" i="9"/>
  <c r="T280" i="9"/>
  <c r="U280" i="9"/>
  <c r="V280" i="9"/>
  <c r="Z280" i="9" s="1"/>
  <c r="W280" i="9"/>
  <c r="X280" i="9"/>
  <c r="AB280" i="9"/>
  <c r="C281" i="9"/>
  <c r="D282" i="9"/>
  <c r="Y282" i="9"/>
  <c r="Y281" i="9" s="1"/>
  <c r="G283" i="9"/>
  <c r="G282" i="9" s="1"/>
  <c r="G281" i="9" s="1"/>
  <c r="H283" i="9"/>
  <c r="H282" i="9" s="1"/>
  <c r="I283" i="9"/>
  <c r="I282" i="9"/>
  <c r="J283" i="9"/>
  <c r="J282" i="9" s="1"/>
  <c r="K283" i="9"/>
  <c r="N283" i="9"/>
  <c r="N282" i="9" s="1"/>
  <c r="O283" i="9"/>
  <c r="O282" i="9"/>
  <c r="O281" i="9" s="1"/>
  <c r="P283" i="9"/>
  <c r="P282" i="9" s="1"/>
  <c r="Q283" i="9"/>
  <c r="Q282" i="9"/>
  <c r="R283" i="9"/>
  <c r="R282" i="9" s="1"/>
  <c r="S283" i="9"/>
  <c r="S282" i="9" s="1"/>
  <c r="T283" i="9"/>
  <c r="T282" i="9" s="1"/>
  <c r="U283" i="9"/>
  <c r="U282" i="9" s="1"/>
  <c r="V283" i="9"/>
  <c r="Z283" i="9" s="1"/>
  <c r="W283" i="9"/>
  <c r="W282" i="9" s="1"/>
  <c r="X283" i="9"/>
  <c r="X282" i="9" s="1"/>
  <c r="AB283" i="9"/>
  <c r="AB282" i="9" s="1"/>
  <c r="Y284" i="9"/>
  <c r="G285" i="9"/>
  <c r="G284" i="9" s="1"/>
  <c r="H285" i="9"/>
  <c r="H284" i="9" s="1"/>
  <c r="H281" i="9" s="1"/>
  <c r="I285" i="9"/>
  <c r="I284" i="9" s="1"/>
  <c r="J285" i="9"/>
  <c r="K285" i="9"/>
  <c r="L285" i="9" s="1"/>
  <c r="N285" i="9"/>
  <c r="O285" i="9"/>
  <c r="O284" i="9" s="1"/>
  <c r="P285" i="9"/>
  <c r="P284" i="9" s="1"/>
  <c r="P281" i="9" s="1"/>
  <c r="Q285" i="9"/>
  <c r="Q284" i="9" s="1"/>
  <c r="R285" i="9"/>
  <c r="R284" i="9" s="1"/>
  <c r="S285" i="9"/>
  <c r="S284" i="9" s="1"/>
  <c r="T285" i="9"/>
  <c r="T284" i="9" s="1"/>
  <c r="U285" i="9"/>
  <c r="U284" i="9" s="1"/>
  <c r="V285" i="9"/>
  <c r="W285" i="9"/>
  <c r="W284" i="9" s="1"/>
  <c r="X285" i="9"/>
  <c r="X284" i="9" s="1"/>
  <c r="AB285" i="9"/>
  <c r="AB284" i="9" s="1"/>
  <c r="G293" i="9"/>
  <c r="H293" i="9"/>
  <c r="I293" i="9"/>
  <c r="N293" i="9"/>
  <c r="O293" i="9"/>
  <c r="P293" i="9"/>
  <c r="S293" i="9"/>
  <c r="T293" i="9"/>
  <c r="V293" i="9"/>
  <c r="W293" i="9"/>
  <c r="X293" i="9"/>
  <c r="Y293" i="9"/>
  <c r="Z293" i="9" s="1"/>
  <c r="AA293" i="9"/>
  <c r="AB293" i="9"/>
  <c r="R294" i="9"/>
  <c r="R293" i="9" s="1"/>
  <c r="U294" i="9"/>
  <c r="Z294" i="9"/>
  <c r="AA294" i="9"/>
  <c r="G295" i="9"/>
  <c r="H295" i="9"/>
  <c r="H292" i="9" s="1"/>
  <c r="I295" i="9"/>
  <c r="I292" i="9" s="1"/>
  <c r="K295" i="9"/>
  <c r="K292" i="9" s="1"/>
  <c r="N295" i="9"/>
  <c r="P295" i="9"/>
  <c r="P292" i="9" s="1"/>
  <c r="V295" i="9"/>
  <c r="V292" i="9" s="1"/>
  <c r="W295" i="9"/>
  <c r="W292" i="9" s="1"/>
  <c r="X295" i="9"/>
  <c r="X292" i="9" s="1"/>
  <c r="Y295" i="9"/>
  <c r="Z295" i="9" s="1"/>
  <c r="AB295" i="9"/>
  <c r="H296" i="9"/>
  <c r="J296" i="9"/>
  <c r="L296" i="9" s="1"/>
  <c r="R296" i="9"/>
  <c r="S296" i="9"/>
  <c r="S295" i="9" s="1"/>
  <c r="T296" i="9"/>
  <c r="T295" i="9" s="1"/>
  <c r="T292" i="9" s="1"/>
  <c r="U296" i="9"/>
  <c r="Z296" i="9"/>
  <c r="AA296" i="9"/>
  <c r="L297" i="9"/>
  <c r="M297" i="9"/>
  <c r="O297" i="9"/>
  <c r="O295" i="9" s="1"/>
  <c r="R297" i="9"/>
  <c r="U297" i="9"/>
  <c r="Z297" i="9"/>
  <c r="AA297" i="9"/>
  <c r="L298" i="9"/>
  <c r="M298" i="9"/>
  <c r="Q298" i="9"/>
  <c r="Z298" i="9"/>
  <c r="AA298" i="9"/>
  <c r="L299" i="9"/>
  <c r="M299" i="9"/>
  <c r="Q299" i="9"/>
  <c r="Z299" i="9"/>
  <c r="AA299" i="9"/>
  <c r="L300" i="9"/>
  <c r="M300" i="9"/>
  <c r="Q300" i="9"/>
  <c r="Z300" i="9"/>
  <c r="AA300" i="9"/>
  <c r="G302" i="9"/>
  <c r="H302" i="9"/>
  <c r="H301" i="9" s="1"/>
  <c r="J302" i="9"/>
  <c r="K302" i="9"/>
  <c r="N302" i="9"/>
  <c r="O302" i="9"/>
  <c r="P302" i="9"/>
  <c r="R302" i="9"/>
  <c r="S302" i="9"/>
  <c r="T302" i="9"/>
  <c r="U302" i="9"/>
  <c r="V302" i="9"/>
  <c r="W302" i="9"/>
  <c r="X302" i="9"/>
  <c r="AB302" i="9"/>
  <c r="L303" i="9"/>
  <c r="M303" i="9"/>
  <c r="Q303" i="9"/>
  <c r="Z303" i="9"/>
  <c r="AA303" i="9"/>
  <c r="G304" i="9"/>
  <c r="I304" i="9"/>
  <c r="I301" i="9" s="1"/>
  <c r="J304" i="9"/>
  <c r="K304" i="9"/>
  <c r="L304" i="9" s="1"/>
  <c r="N304" i="9"/>
  <c r="M304" i="9" s="1"/>
  <c r="O304" i="9"/>
  <c r="P304" i="9"/>
  <c r="R304" i="9"/>
  <c r="S304" i="9"/>
  <c r="T304" i="9"/>
  <c r="U304" i="9"/>
  <c r="V304" i="9"/>
  <c r="Z304" i="9" s="1"/>
  <c r="W304" i="9"/>
  <c r="X304" i="9"/>
  <c r="AB304" i="9"/>
  <c r="AA304" i="9" s="1"/>
  <c r="L305" i="9"/>
  <c r="M305" i="9"/>
  <c r="Q305" i="9"/>
  <c r="Z305" i="9"/>
  <c r="AA305" i="9"/>
  <c r="B308" i="9"/>
  <c r="C309" i="9"/>
  <c r="D310" i="9"/>
  <c r="Y310" i="9"/>
  <c r="Y309" i="9" s="1"/>
  <c r="G311" i="9"/>
  <c r="G310" i="9" s="1"/>
  <c r="H311" i="9"/>
  <c r="H310" i="9" s="1"/>
  <c r="H309" i="9" s="1"/>
  <c r="I311" i="9"/>
  <c r="I310" i="9" s="1"/>
  <c r="J311" i="9"/>
  <c r="J310" i="9" s="1"/>
  <c r="J309" i="9" s="1"/>
  <c r="K311" i="9"/>
  <c r="N311" i="9"/>
  <c r="N310" i="9"/>
  <c r="O311" i="9"/>
  <c r="O310" i="9" s="1"/>
  <c r="P311" i="9"/>
  <c r="P310" i="9" s="1"/>
  <c r="R311" i="9"/>
  <c r="R310" i="9" s="1"/>
  <c r="S311" i="9"/>
  <c r="S310" i="9"/>
  <c r="T311" i="9"/>
  <c r="T310" i="9" s="1"/>
  <c r="U311" i="9"/>
  <c r="U310" i="9" s="1"/>
  <c r="V311" i="9"/>
  <c r="Z311" i="9" s="1"/>
  <c r="W311" i="9"/>
  <c r="W310" i="9" s="1"/>
  <c r="X311" i="9"/>
  <c r="X310" i="9" s="1"/>
  <c r="AB311" i="9"/>
  <c r="AB310" i="9"/>
  <c r="AB309" i="9" s="1"/>
  <c r="D312" i="9"/>
  <c r="U312" i="9"/>
  <c r="V312" i="9"/>
  <c r="Z312" i="9" s="1"/>
  <c r="W312" i="9"/>
  <c r="X312" i="9"/>
  <c r="AB312" i="9"/>
  <c r="AA312" i="9" s="1"/>
  <c r="G313" i="9"/>
  <c r="G312" i="9" s="1"/>
  <c r="H313" i="9"/>
  <c r="I313" i="9"/>
  <c r="I312" i="9" s="1"/>
  <c r="J313" i="9"/>
  <c r="J312" i="9" s="1"/>
  <c r="K313" i="9"/>
  <c r="L313" i="9" s="1"/>
  <c r="K312" i="9"/>
  <c r="L312" i="9" s="1"/>
  <c r="N313" i="9"/>
  <c r="O313" i="9"/>
  <c r="Q313" i="9" s="1"/>
  <c r="P313" i="9"/>
  <c r="P312" i="9"/>
  <c r="R313" i="9"/>
  <c r="R312" i="9" s="1"/>
  <c r="S313" i="9"/>
  <c r="S312" i="9" s="1"/>
  <c r="T313" i="9"/>
  <c r="T312" i="9" s="1"/>
  <c r="Z313" i="9"/>
  <c r="AA313" i="9"/>
  <c r="V314" i="9"/>
  <c r="Z314" i="9" s="1"/>
  <c r="U315" i="9"/>
  <c r="U314" i="9" s="1"/>
  <c r="V315" i="9"/>
  <c r="W315" i="9"/>
  <c r="W314" i="9" s="1"/>
  <c r="X315" i="9"/>
  <c r="X314" i="9" s="1"/>
  <c r="Z315" i="9"/>
  <c r="AB315" i="9"/>
  <c r="G316" i="9"/>
  <c r="G315" i="9"/>
  <c r="G314" i="9" s="1"/>
  <c r="H316" i="9"/>
  <c r="H315" i="9" s="1"/>
  <c r="H314" i="9" s="1"/>
  <c r="I316" i="9"/>
  <c r="I315" i="9" s="1"/>
  <c r="I314" i="9" s="1"/>
  <c r="J316" i="9"/>
  <c r="J315" i="9" s="1"/>
  <c r="M315" i="9" s="1"/>
  <c r="K316" i="9"/>
  <c r="N316" i="9"/>
  <c r="N315" i="9"/>
  <c r="O316" i="9"/>
  <c r="P316" i="9"/>
  <c r="P315" i="9" s="1"/>
  <c r="P314" i="9" s="1"/>
  <c r="R316" i="9"/>
  <c r="R315" i="9" s="1"/>
  <c r="R314" i="9" s="1"/>
  <c r="S316" i="9"/>
  <c r="S315" i="9" s="1"/>
  <c r="S314" i="9" s="1"/>
  <c r="T316" i="9"/>
  <c r="T315" i="9" s="1"/>
  <c r="T314" i="9" s="1"/>
  <c r="Z316" i="9"/>
  <c r="AA316" i="9"/>
  <c r="C317" i="9"/>
  <c r="D318" i="9"/>
  <c r="Y318" i="9"/>
  <c r="G319" i="9"/>
  <c r="H319" i="9"/>
  <c r="I319" i="9"/>
  <c r="I318" i="9" s="1"/>
  <c r="I317" i="9" s="1"/>
  <c r="J319" i="9"/>
  <c r="K319" i="9"/>
  <c r="N319" i="9"/>
  <c r="O319" i="9"/>
  <c r="Q319" i="9" s="1"/>
  <c r="P319" i="9"/>
  <c r="P318" i="9" s="1"/>
  <c r="R319" i="9"/>
  <c r="S319" i="9"/>
  <c r="T319" i="9"/>
  <c r="T318" i="9" s="1"/>
  <c r="T317" i="9" s="1"/>
  <c r="U319" i="9"/>
  <c r="Z319" i="9"/>
  <c r="AA319" i="9"/>
  <c r="G320" i="9"/>
  <c r="G318" i="9" s="1"/>
  <c r="G317" i="9" s="1"/>
  <c r="H320" i="9"/>
  <c r="I320" i="9"/>
  <c r="J320" i="9"/>
  <c r="K320" i="9"/>
  <c r="L320" i="9" s="1"/>
  <c r="N320" i="9"/>
  <c r="M320" i="9" s="1"/>
  <c r="O320" i="9"/>
  <c r="P320" i="9"/>
  <c r="R320" i="9"/>
  <c r="R318" i="9" s="1"/>
  <c r="R317" i="9" s="1"/>
  <c r="S320" i="9"/>
  <c r="T320" i="9"/>
  <c r="U320" i="9"/>
  <c r="Q320" i="9" s="1"/>
  <c r="V320" i="9"/>
  <c r="W320" i="9"/>
  <c r="W318" i="9" s="1"/>
  <c r="W317" i="9" s="1"/>
  <c r="X320" i="9"/>
  <c r="X318" i="9"/>
  <c r="X317" i="9" s="1"/>
  <c r="AB320" i="9"/>
  <c r="K752" i="8"/>
  <c r="J651" i="8"/>
  <c r="N628" i="8"/>
  <c r="L620" i="8"/>
  <c r="L619" i="8" s="1"/>
  <c r="N603" i="8"/>
  <c r="N824" i="8"/>
  <c r="N821" i="8" s="1"/>
  <c r="J763" i="8"/>
  <c r="M762" i="8"/>
  <c r="N700" i="8"/>
  <c r="M690" i="8"/>
  <c r="M624" i="8"/>
  <c r="K804" i="8"/>
  <c r="K803" i="8" s="1"/>
  <c r="M761" i="8"/>
  <c r="M723" i="8"/>
  <c r="J680" i="8"/>
  <c r="N651" i="8"/>
  <c r="J635" i="8"/>
  <c r="L614" i="8"/>
  <c r="N770" i="8"/>
  <c r="J734" i="8"/>
  <c r="M679" i="8"/>
  <c r="N670" i="8"/>
  <c r="L652" i="8"/>
  <c r="L651" i="8" s="1"/>
  <c r="L643" i="8"/>
  <c r="L642" i="8" s="1"/>
  <c r="N588" i="8"/>
  <c r="M588" i="8" s="1"/>
  <c r="J562" i="8"/>
  <c r="M551" i="8"/>
  <c r="M537" i="8"/>
  <c r="N508" i="8"/>
  <c r="K485" i="8"/>
  <c r="K484" i="8" s="1"/>
  <c r="N408" i="8"/>
  <c r="N380" i="8"/>
  <c r="K365" i="8"/>
  <c r="K295" i="8"/>
  <c r="J233" i="8"/>
  <c r="N209" i="8"/>
  <c r="N208" i="8" s="1"/>
  <c r="L203" i="8"/>
  <c r="L201" i="8" s="1"/>
  <c r="K183" i="8"/>
  <c r="M176" i="8"/>
  <c r="N159" i="8"/>
  <c r="M160" i="8"/>
  <c r="L154" i="8"/>
  <c r="L577" i="8"/>
  <c r="N566" i="8"/>
  <c r="J546" i="8"/>
  <c r="J545" i="8" s="1"/>
  <c r="L544" i="8"/>
  <c r="L537" i="8"/>
  <c r="K520" i="8"/>
  <c r="K508" i="8"/>
  <c r="N492" i="8"/>
  <c r="N476" i="8"/>
  <c r="M471" i="8"/>
  <c r="M461" i="8"/>
  <c r="J454" i="8"/>
  <c r="M451" i="8"/>
  <c r="L442" i="8"/>
  <c r="K440" i="8"/>
  <c r="K434" i="8"/>
  <c r="K433" i="8"/>
  <c r="M403" i="8"/>
  <c r="L345" i="8"/>
  <c r="K343" i="8"/>
  <c r="M329" i="8"/>
  <c r="J310" i="8"/>
  <c r="J295" i="8"/>
  <c r="L296" i="8"/>
  <c r="L295" i="8" s="1"/>
  <c r="K283" i="8"/>
  <c r="J276" i="8"/>
  <c r="L274" i="8"/>
  <c r="J247" i="8"/>
  <c r="M231" i="8"/>
  <c r="K209" i="8"/>
  <c r="K208" i="8" s="1"/>
  <c r="M210" i="8"/>
  <c r="J171" i="8"/>
  <c r="M170" i="8"/>
  <c r="M156" i="8"/>
  <c r="N141" i="8"/>
  <c r="J508" i="8"/>
  <c r="M500" i="8"/>
  <c r="N472" i="8"/>
  <c r="J408" i="8"/>
  <c r="J380" i="8"/>
  <c r="M304" i="8"/>
  <c r="N295" i="8"/>
  <c r="J283" i="8"/>
  <c r="N276" i="8"/>
  <c r="N271" i="8"/>
  <c r="J260" i="8"/>
  <c r="L192" i="8"/>
  <c r="K141" i="8"/>
  <c r="M115" i="8"/>
  <c r="N114" i="8"/>
  <c r="N113" i="8" s="1"/>
  <c r="M113" i="8" s="1"/>
  <c r="J114" i="8"/>
  <c r="L598" i="8"/>
  <c r="L575" i="8"/>
  <c r="L524" i="8"/>
  <c r="L515" i="8"/>
  <c r="L504" i="8"/>
  <c r="N458" i="8"/>
  <c r="J450" i="8"/>
  <c r="J447" i="8" s="1"/>
  <c r="L424" i="8"/>
  <c r="N418" i="8"/>
  <c r="N415" i="8" s="1"/>
  <c r="N378" i="8"/>
  <c r="J361" i="8"/>
  <c r="M360" i="8"/>
  <c r="L304" i="8"/>
  <c r="M266" i="8"/>
  <c r="K233" i="8"/>
  <c r="J205" i="8"/>
  <c r="J204" i="8" s="1"/>
  <c r="N201" i="8"/>
  <c r="L169" i="8"/>
  <c r="L166" i="8"/>
  <c r="L105" i="8"/>
  <c r="K104" i="8"/>
  <c r="N129" i="8"/>
  <c r="J96" i="8"/>
  <c r="N92" i="8"/>
  <c r="J61" i="8"/>
  <c r="N46" i="8"/>
  <c r="M19" i="8"/>
  <c r="M18" i="8" s="1"/>
  <c r="K11" i="8"/>
  <c r="M178" i="8"/>
  <c r="N171" i="8"/>
  <c r="L161" i="8"/>
  <c r="J155" i="8"/>
  <c r="L140" i="8"/>
  <c r="N136" i="8"/>
  <c r="M136" i="8" s="1"/>
  <c r="L103" i="8"/>
  <c r="M74" i="8"/>
  <c r="N68" i="8"/>
  <c r="N67" i="8" s="1"/>
  <c r="M58" i="8"/>
  <c r="N56" i="8"/>
  <c r="N53" i="8" s="1"/>
  <c r="L19" i="8"/>
  <c r="L18" i="8" s="1"/>
  <c r="K56" i="8"/>
  <c r="L124" i="8"/>
  <c r="J110" i="8"/>
  <c r="L101" i="8"/>
  <c r="J64" i="8"/>
  <c r="L62" i="8"/>
  <c r="M48" i="8"/>
  <c r="L36" i="8"/>
  <c r="L33" i="8"/>
  <c r="J22" i="8"/>
  <c r="L23" i="8"/>
  <c r="L22" i="8" s="1"/>
  <c r="N18" i="8"/>
  <c r="N11" i="8"/>
  <c r="J716" i="8"/>
  <c r="K670" i="8"/>
  <c r="M652" i="8"/>
  <c r="M651" i="8" s="1"/>
  <c r="N646" i="8"/>
  <c r="L644" i="8"/>
  <c r="J566" i="8"/>
  <c r="L556" i="8"/>
  <c r="L772" i="8"/>
  <c r="K712" i="8"/>
  <c r="K710" i="8"/>
  <c r="K680" i="8"/>
  <c r="K619" i="8"/>
  <c r="K618" i="8" s="1"/>
  <c r="L618" i="8" s="1"/>
  <c r="K770" i="8"/>
  <c r="M721" i="8"/>
  <c r="M720" i="8" s="1"/>
  <c r="K705" i="8"/>
  <c r="N642" i="8"/>
  <c r="N597" i="8"/>
  <c r="M598" i="8"/>
  <c r="M568" i="8"/>
  <c r="N562" i="8"/>
  <c r="N559" i="8" s="1"/>
  <c r="M563" i="8"/>
  <c r="K611" i="8"/>
  <c r="K610" i="8"/>
  <c r="L585" i="8"/>
  <c r="L584" i="8" s="1"/>
  <c r="J578" i="8"/>
  <c r="N560" i="8"/>
  <c r="M560" i="8" s="1"/>
  <c r="N555" i="8"/>
  <c r="N550" i="8"/>
  <c r="N549" i="8" s="1"/>
  <c r="L536" i="8"/>
  <c r="L535" i="8" s="1"/>
  <c r="L522" i="8"/>
  <c r="L491" i="8"/>
  <c r="L455" i="8"/>
  <c r="L454" i="8" s="1"/>
  <c r="N426" i="8"/>
  <c r="M409" i="8"/>
  <c r="N396" i="8"/>
  <c r="M390" i="8"/>
  <c r="M389" i="8" s="1"/>
  <c r="L356" i="8"/>
  <c r="M340" i="8"/>
  <c r="N305" i="8"/>
  <c r="N302" i="8" s="1"/>
  <c r="N496" i="8"/>
  <c r="N434" i="8"/>
  <c r="N433" i="8" s="1"/>
  <c r="K396" i="8"/>
  <c r="K389" i="8"/>
  <c r="N343" i="8"/>
  <c r="M338" i="8"/>
  <c r="N337" i="8"/>
  <c r="M337" i="8" s="1"/>
  <c r="M328" i="8"/>
  <c r="N327" i="8"/>
  <c r="K321" i="8"/>
  <c r="K320" i="8" s="1"/>
  <c r="L320" i="8" s="1"/>
  <c r="K597" i="8"/>
  <c r="K552" i="8"/>
  <c r="M519" i="8"/>
  <c r="K472" i="8"/>
  <c r="K430" i="8"/>
  <c r="K429" i="8" s="1"/>
  <c r="K423" i="8"/>
  <c r="M417" i="8"/>
  <c r="L407" i="8"/>
  <c r="J389" i="8"/>
  <c r="N355" i="8"/>
  <c r="M355" i="8" s="1"/>
  <c r="K330" i="8"/>
  <c r="K325" i="8"/>
  <c r="L509" i="8"/>
  <c r="L508" i="8" s="1"/>
  <c r="K406" i="8"/>
  <c r="L405" i="8"/>
  <c r="J337" i="8"/>
  <c r="J327" i="8"/>
  <c r="M327" i="8" s="1"/>
  <c r="L318" i="8"/>
  <c r="L317" i="8" s="1"/>
  <c r="K317" i="8"/>
  <c r="K316" i="8" s="1"/>
  <c r="L316" i="8" s="1"/>
  <c r="K310" i="8"/>
  <c r="M381" i="8"/>
  <c r="M380" i="8" s="1"/>
  <c r="M362" i="8"/>
  <c r="M361" i="8" s="1"/>
  <c r="L294" i="8"/>
  <c r="N267" i="8"/>
  <c r="J198" i="8"/>
  <c r="J164" i="8"/>
  <c r="L165" i="8"/>
  <c r="K271" i="8"/>
  <c r="K253" i="8"/>
  <c r="L246" i="8"/>
  <c r="J193" i="8"/>
  <c r="N183" i="8"/>
  <c r="K181" i="8"/>
  <c r="L172" i="8"/>
  <c r="L171" i="8" s="1"/>
  <c r="L249" i="8"/>
  <c r="M242" i="8"/>
  <c r="K223" i="8"/>
  <c r="L223" i="8" s="1"/>
  <c r="L214" i="8"/>
  <c r="L211" i="8"/>
  <c r="L196" i="8"/>
  <c r="M165" i="8"/>
  <c r="M164" i="8" s="1"/>
  <c r="K155" i="8"/>
  <c r="L149" i="8"/>
  <c r="L148" i="8" s="1"/>
  <c r="K72" i="8"/>
  <c r="K71" i="8" s="1"/>
  <c r="N64" i="8"/>
  <c r="L58" i="8"/>
  <c r="J34" i="8"/>
  <c r="K46" i="8"/>
  <c r="K138" i="8"/>
  <c r="K110" i="8"/>
  <c r="K96" i="8"/>
  <c r="M82" i="8"/>
  <c r="K81" i="8"/>
  <c r="K76" i="8"/>
  <c r="K61" i="8"/>
  <c r="M55" i="8"/>
  <c r="M52" i="8"/>
  <c r="J46" i="8"/>
  <c r="N27" i="8"/>
  <c r="L55" i="8"/>
  <c r="J27" i="8"/>
  <c r="M17" i="8"/>
  <c r="K22" i="8"/>
  <c r="N731" i="8"/>
  <c r="N730" i="8" s="1"/>
  <c r="O225" i="8"/>
  <c r="W450" i="8"/>
  <c r="W447" i="8" s="1"/>
  <c r="S450" i="8"/>
  <c r="R712" i="8"/>
  <c r="R685" i="8"/>
  <c r="Q227" i="8"/>
  <c r="I603" i="8"/>
  <c r="I602" i="8"/>
  <c r="L425" i="8"/>
  <c r="P339" i="8"/>
  <c r="P336" i="8" s="1"/>
  <c r="I53" i="8"/>
  <c r="Q246" i="8"/>
  <c r="U685" i="8"/>
  <c r="O450" i="8"/>
  <c r="O447" i="8" s="1"/>
  <c r="M200" i="8"/>
  <c r="V800" i="8"/>
  <c r="T562" i="8"/>
  <c r="T559" i="8" s="1"/>
  <c r="X310" i="8"/>
  <c r="X309" i="8" s="1"/>
  <c r="T310" i="8"/>
  <c r="T309" i="8" s="1"/>
  <c r="P310" i="8"/>
  <c r="U339" i="8"/>
  <c r="U336" i="8" s="1"/>
  <c r="S225" i="8"/>
  <c r="S222" i="8" s="1"/>
  <c r="V88" i="8"/>
  <c r="V85" i="8" s="1"/>
  <c r="I198" i="8"/>
  <c r="Q109" i="8"/>
  <c r="V712" i="8"/>
  <c r="V709" i="8" s="1"/>
  <c r="L312" i="8"/>
  <c r="L779" i="8"/>
  <c r="L664" i="8"/>
  <c r="L554" i="8"/>
  <c r="M523" i="8"/>
  <c r="M464" i="8"/>
  <c r="L319" i="8"/>
  <c r="M172" i="8"/>
  <c r="V814" i="8"/>
  <c r="S800" i="8"/>
  <c r="P712" i="8"/>
  <c r="P709" i="8" s="1"/>
  <c r="U712" i="8"/>
  <c r="V625" i="8"/>
  <c r="Q598" i="8"/>
  <c r="V570" i="8"/>
  <c r="V565" i="8" s="1"/>
  <c r="V535" i="8"/>
  <c r="V530" i="8"/>
  <c r="L510" i="8"/>
  <c r="V485" i="8"/>
  <c r="X440" i="8"/>
  <c r="X423" i="8"/>
  <c r="T423" i="8"/>
  <c r="P423" i="8"/>
  <c r="P422" i="8" s="1"/>
  <c r="M391" i="8"/>
  <c r="V373" i="8"/>
  <c r="Q360" i="8"/>
  <c r="V347" i="8"/>
  <c r="Q341" i="8"/>
  <c r="Q339" i="8" s="1"/>
  <c r="Q336" i="8" s="1"/>
  <c r="U310" i="8"/>
  <c r="Q310" i="8"/>
  <c r="V271" i="8"/>
  <c r="V270" i="8" s="1"/>
  <c r="V267" i="8"/>
  <c r="W225" i="8"/>
  <c r="W222" i="8" s="1"/>
  <c r="I225" i="8"/>
  <c r="I222" i="8" s="1"/>
  <c r="V846" i="8"/>
  <c r="H824" i="8"/>
  <c r="V754" i="8"/>
  <c r="V611" i="8"/>
  <c r="V610" i="8" s="1"/>
  <c r="O603" i="8"/>
  <c r="O602" i="8" s="1"/>
  <c r="U582" i="8"/>
  <c r="V542" i="8"/>
  <c r="V541" i="8"/>
  <c r="U535" i="8"/>
  <c r="U534" i="8" s="1"/>
  <c r="V472" i="8"/>
  <c r="X450" i="8"/>
  <c r="X447" i="8" s="1"/>
  <c r="T450" i="8"/>
  <c r="T447" i="8" s="1"/>
  <c r="W440" i="8"/>
  <c r="W437" i="8" s="1"/>
  <c r="I423" i="8"/>
  <c r="S339" i="8"/>
  <c r="S336" i="8" s="1"/>
  <c r="V327" i="8"/>
  <c r="V317" i="8"/>
  <c r="V316" i="8" s="1"/>
  <c r="H225" i="8"/>
  <c r="H222" i="8" s="1"/>
  <c r="V828" i="8"/>
  <c r="W797" i="8"/>
  <c r="S797" i="8"/>
  <c r="O797" i="8"/>
  <c r="V758" i="8"/>
  <c r="V734" i="8"/>
  <c r="W702" i="8"/>
  <c r="V696" i="8"/>
  <c r="V695" i="8"/>
  <c r="S685" i="8"/>
  <c r="O685" i="8"/>
  <c r="V619" i="8"/>
  <c r="V618" i="8" s="1"/>
  <c r="S603" i="8"/>
  <c r="S602" i="8" s="1"/>
  <c r="H603" i="8"/>
  <c r="H602" i="8" s="1"/>
  <c r="V566" i="8"/>
  <c r="X552" i="8"/>
  <c r="V546" i="8"/>
  <c r="V545" i="8" s="1"/>
  <c r="I450" i="8"/>
  <c r="S310" i="8"/>
  <c r="V305" i="8"/>
  <c r="V302" i="8" s="1"/>
  <c r="V247" i="8"/>
  <c r="V832" i="8"/>
  <c r="P824" i="8"/>
  <c r="P821" i="8" s="1"/>
  <c r="R797" i="8"/>
  <c r="V763" i="8"/>
  <c r="V702" i="8"/>
  <c r="V680" i="8"/>
  <c r="V642" i="8"/>
  <c r="W625" i="8"/>
  <c r="W622" i="8" s="1"/>
  <c r="P562" i="8"/>
  <c r="H450" i="8"/>
  <c r="V430" i="8"/>
  <c r="V429" i="8" s="1"/>
  <c r="U423" i="8"/>
  <c r="Q423" i="8"/>
  <c r="V343" i="8"/>
  <c r="X327" i="8"/>
  <c r="V295" i="8"/>
  <c r="V229" i="8"/>
  <c r="V228" i="8" s="1"/>
  <c r="X225" i="8"/>
  <c r="V164" i="8"/>
  <c r="V138" i="8"/>
  <c r="U129" i="8"/>
  <c r="U128" i="8" s="1"/>
  <c r="P129" i="8"/>
  <c r="P128" i="8"/>
  <c r="U108" i="8"/>
  <c r="Q108" i="8" s="1"/>
  <c r="U88" i="8"/>
  <c r="X61" i="8"/>
  <c r="T61" i="8"/>
  <c r="P61" i="8"/>
  <c r="V56" i="8"/>
  <c r="V53" i="8" s="1"/>
  <c r="V34" i="8"/>
  <c r="K18" i="8"/>
  <c r="K10" i="8"/>
  <c r="X215" i="8"/>
  <c r="X198" i="8"/>
  <c r="T198" i="8"/>
  <c r="P198" i="8"/>
  <c r="V171" i="8"/>
  <c r="V155" i="8"/>
  <c r="V148" i="8"/>
  <c r="T129" i="8"/>
  <c r="T128" i="8" s="1"/>
  <c r="O129" i="8"/>
  <c r="O128" i="8" s="1"/>
  <c r="Q128" i="8" s="1"/>
  <c r="Q64" i="8"/>
  <c r="Q60" i="8" s="1"/>
  <c r="W61" i="8"/>
  <c r="S61" i="8"/>
  <c r="O61" i="8"/>
  <c r="I61" i="8"/>
  <c r="I60" i="8" s="1"/>
  <c r="V11" i="8"/>
  <c r="W215" i="8"/>
  <c r="V209" i="8"/>
  <c r="V208" i="8"/>
  <c r="W198" i="8"/>
  <c r="S198" i="8"/>
  <c r="O198" i="8"/>
  <c r="V183" i="8"/>
  <c r="X138" i="8"/>
  <c r="X135" i="8" s="1"/>
  <c r="X134" i="8" s="1"/>
  <c r="X133" i="8" s="1"/>
  <c r="Q124" i="8"/>
  <c r="R88" i="8"/>
  <c r="H88" i="8"/>
  <c r="W78" i="8"/>
  <c r="W75" i="8" s="1"/>
  <c r="V27" i="8"/>
  <c r="V205" i="8"/>
  <c r="V204" i="8"/>
  <c r="V193" i="8"/>
  <c r="V190" i="8" s="1"/>
  <c r="W138" i="8"/>
  <c r="G88" i="8"/>
  <c r="V78" i="8"/>
  <c r="V68" i="8"/>
  <c r="V67" i="8" s="1"/>
  <c r="W64" i="8"/>
  <c r="S64" i="8"/>
  <c r="O64" i="8"/>
  <c r="O60" i="8" s="1"/>
  <c r="Q61" i="8"/>
  <c r="V18" i="8"/>
  <c r="M673" i="8"/>
  <c r="J603" i="8"/>
  <c r="J602" i="8" s="1"/>
  <c r="L576" i="8"/>
  <c r="R53" i="8"/>
  <c r="Q596" i="8"/>
  <c r="O302" i="8"/>
  <c r="O120" i="8"/>
  <c r="R113" i="8"/>
  <c r="W10" i="8"/>
  <c r="S10" i="8"/>
  <c r="L762" i="8"/>
  <c r="L679" i="8"/>
  <c r="L654" i="8"/>
  <c r="M575" i="8"/>
  <c r="G364" i="8"/>
  <c r="T53" i="8"/>
  <c r="L266" i="8"/>
  <c r="U245" i="8"/>
  <c r="L234" i="8"/>
  <c r="L217" i="8"/>
  <c r="L73" i="8"/>
  <c r="L72" i="8" s="1"/>
  <c r="O126" i="8"/>
  <c r="Q126" i="8" s="1"/>
  <c r="L386" i="8"/>
  <c r="U359" i="8"/>
  <c r="L275" i="8"/>
  <c r="L273" i="8"/>
  <c r="L263" i="8"/>
  <c r="L59" i="8"/>
  <c r="M462" i="8"/>
  <c r="M277" i="8"/>
  <c r="M276" i="8" s="1"/>
  <c r="L195" i="8"/>
  <c r="M51" i="8"/>
  <c r="L826" i="8"/>
  <c r="L655" i="8"/>
  <c r="M249" i="8"/>
  <c r="M238" i="8"/>
  <c r="K247" i="8"/>
  <c r="L663" i="8"/>
  <c r="L662" i="8"/>
  <c r="L660" i="8"/>
  <c r="J619" i="8"/>
  <c r="J618" i="8" s="1"/>
  <c r="L612" i="8"/>
  <c r="L611" i="8" s="1"/>
  <c r="L574" i="8"/>
  <c r="M567" i="8"/>
  <c r="L514" i="8"/>
  <c r="L489" i="8"/>
  <c r="L488" i="8"/>
  <c r="L487" i="8"/>
  <c r="M452" i="8"/>
  <c r="M405" i="8"/>
  <c r="M726" i="8"/>
  <c r="M675" i="8"/>
  <c r="M656" i="8"/>
  <c r="M654" i="8"/>
  <c r="K566" i="8"/>
  <c r="M525" i="8"/>
  <c r="M477" i="8"/>
  <c r="L441" i="8"/>
  <c r="M368" i="8"/>
  <c r="M363" i="8"/>
  <c r="M351" i="8"/>
  <c r="L346" i="8"/>
  <c r="M298" i="8"/>
  <c r="M274" i="8"/>
  <c r="M273" i="8"/>
  <c r="L207" i="8"/>
  <c r="M177" i="8"/>
  <c r="M175" i="8"/>
  <c r="M174" i="8"/>
  <c r="L39" i="8"/>
  <c r="L37" i="8"/>
  <c r="L15" i="8"/>
  <c r="L111" i="8"/>
  <c r="L110" i="8" s="1"/>
  <c r="K88" i="8"/>
  <c r="L74" i="8"/>
  <c r="J56" i="8"/>
  <c r="J53" i="8" s="1"/>
  <c r="N205" i="8"/>
  <c r="N204" i="8" s="1"/>
  <c r="M204" i="8" s="1"/>
  <c r="N198" i="8"/>
  <c r="N197" i="8" s="1"/>
  <c r="M179" i="8"/>
  <c r="M163" i="8"/>
  <c r="M805" i="8"/>
  <c r="L764" i="8"/>
  <c r="L763" i="8" s="1"/>
  <c r="L714" i="8"/>
  <c r="L713" i="8"/>
  <c r="J535" i="8"/>
  <c r="L523" i="8"/>
  <c r="K478" i="8"/>
  <c r="M460" i="8"/>
  <c r="M442" i="8"/>
  <c r="M404" i="8"/>
  <c r="L698" i="8"/>
  <c r="L681" i="8"/>
  <c r="L680" i="8" s="1"/>
  <c r="L494" i="8"/>
  <c r="L435" i="8"/>
  <c r="L434" i="8" s="1"/>
  <c r="L387" i="8"/>
  <c r="K384" i="8"/>
  <c r="K642" i="8"/>
  <c r="N546" i="8"/>
  <c r="N545" i="8" s="1"/>
  <c r="L776" i="8"/>
  <c r="L773" i="8"/>
  <c r="M714" i="8"/>
  <c r="N712" i="8"/>
  <c r="M657" i="8"/>
  <c r="L572" i="8"/>
  <c r="K562" i="8"/>
  <c r="L517" i="8"/>
  <c r="M398" i="8"/>
  <c r="L363" i="8"/>
  <c r="M248" i="8"/>
  <c r="M189" i="8"/>
  <c r="M131" i="8"/>
  <c r="J129" i="8"/>
  <c r="J128" i="8" s="1"/>
  <c r="L40" i="8"/>
  <c r="M20" i="8"/>
  <c r="M385" i="8"/>
  <c r="M384" i="8" s="1"/>
  <c r="M354" i="8"/>
  <c r="J313" i="8"/>
  <c r="J309" i="8" s="1"/>
  <c r="K267" i="8"/>
  <c r="N225" i="8"/>
  <c r="M185" i="8"/>
  <c r="L170" i="8"/>
  <c r="M124" i="8"/>
  <c r="N61" i="8"/>
  <c r="N60" i="8" s="1"/>
  <c r="M50" i="8"/>
  <c r="M49" i="8"/>
  <c r="L382" i="8"/>
  <c r="L322" i="8"/>
  <c r="L321" i="8" s="1"/>
  <c r="L167" i="8"/>
  <c r="L163" i="8"/>
  <c r="L162" i="8"/>
  <c r="M117" i="8"/>
  <c r="J72" i="8"/>
  <c r="J71" i="8" s="1"/>
  <c r="L63" i="8"/>
  <c r="L30" i="8"/>
  <c r="J321" i="8"/>
  <c r="J320" i="8" s="1"/>
  <c r="J18" i="8"/>
  <c r="M540" i="8"/>
  <c r="K359" i="8"/>
  <c r="N367" i="8"/>
  <c r="M367" i="8" s="1"/>
  <c r="N450" i="8"/>
  <c r="N365" i="8"/>
  <c r="I685" i="8"/>
  <c r="K731" i="8"/>
  <c r="K730" i="8" s="1"/>
  <c r="L730" i="8" s="1"/>
  <c r="K358" i="8"/>
  <c r="K581" i="8"/>
  <c r="K107" i="8"/>
  <c r="K106" i="8" s="1"/>
  <c r="K469" i="8"/>
  <c r="K244" i="8"/>
  <c r="K243" i="8"/>
  <c r="K843" i="8"/>
  <c r="U688" i="8"/>
  <c r="W201" i="8"/>
  <c r="V426" i="8"/>
  <c r="T201" i="8"/>
  <c r="T197" i="8" s="1"/>
  <c r="U201" i="8"/>
  <c r="Q201" i="8"/>
  <c r="V688" i="8"/>
  <c r="X688" i="8"/>
  <c r="V685" i="8"/>
  <c r="N685" i="8"/>
  <c r="R688" i="8"/>
  <c r="I426" i="8"/>
  <c r="T313" i="8"/>
  <c r="T426" i="8"/>
  <c r="T422" i="8" s="1"/>
  <c r="V201" i="8"/>
  <c r="X64" i="8"/>
  <c r="X60" i="8" s="1"/>
  <c r="O688" i="8"/>
  <c r="S538" i="8"/>
  <c r="P426" i="8"/>
  <c r="W538" i="8"/>
  <c r="H129" i="8"/>
  <c r="H128" i="8" s="1"/>
  <c r="H119" i="8" s="1"/>
  <c r="N688" i="8"/>
  <c r="N684" i="8" s="1"/>
  <c r="N692" i="8"/>
  <c r="N691" i="8" s="1"/>
  <c r="K201" i="8"/>
  <c r="N229" i="8"/>
  <c r="O201" i="8"/>
  <c r="O197" i="8" s="1"/>
  <c r="P75" i="8"/>
  <c r="O10" i="8"/>
  <c r="R415" i="8"/>
  <c r="R201" i="8"/>
  <c r="O426" i="8"/>
  <c r="S313" i="8"/>
  <c r="I313" i="8"/>
  <c r="R64" i="8"/>
  <c r="W426" i="8"/>
  <c r="R342" i="8"/>
  <c r="X313" i="8"/>
  <c r="W313" i="8"/>
  <c r="P313" i="8"/>
  <c r="O313" i="8"/>
  <c r="H201" i="8"/>
  <c r="V64" i="8"/>
  <c r="T64" i="8"/>
  <c r="K688" i="8"/>
  <c r="J201" i="8"/>
  <c r="J197" i="8" s="1"/>
  <c r="P147" i="8"/>
  <c r="G53" i="8"/>
  <c r="I64" i="8"/>
  <c r="L178" i="9"/>
  <c r="P538" i="8"/>
  <c r="G91" i="8"/>
  <c r="H64" i="8"/>
  <c r="O113" i="8"/>
  <c r="I201" i="8"/>
  <c r="R677" i="8"/>
  <c r="L194" i="9"/>
  <c r="M826" i="8"/>
  <c r="N808" i="8"/>
  <c r="N807" i="8" s="1"/>
  <c r="L805" i="8"/>
  <c r="L804" i="8" s="1"/>
  <c r="L777" i="8"/>
  <c r="L774" i="8"/>
  <c r="N832" i="8"/>
  <c r="M845" i="8"/>
  <c r="M823" i="8"/>
  <c r="K792" i="8"/>
  <c r="K828" i="8"/>
  <c r="Q811" i="8"/>
  <c r="L197" i="9"/>
  <c r="Q587" i="8"/>
  <c r="S228" i="9"/>
  <c r="J832" i="8"/>
  <c r="J824" i="8"/>
  <c r="M824" i="8" s="1"/>
  <c r="I324" i="8"/>
  <c r="G737" i="8"/>
  <c r="I364" i="8"/>
  <c r="G147" i="8"/>
  <c r="P527" i="8"/>
  <c r="Q688" i="8"/>
  <c r="H364" i="8"/>
  <c r="L751" i="8"/>
  <c r="L749" i="8"/>
  <c r="S746" i="8"/>
  <c r="M698" i="8"/>
  <c r="M659" i="8"/>
  <c r="M658" i="8" s="1"/>
  <c r="M643" i="8"/>
  <c r="M642" i="8" s="1"/>
  <c r="M589" i="8"/>
  <c r="S824" i="8"/>
  <c r="S821" i="8" s="1"/>
  <c r="V797" i="8"/>
  <c r="V796" i="8" s="1"/>
  <c r="L573" i="8"/>
  <c r="M760" i="8"/>
  <c r="V692" i="8"/>
  <c r="V691" i="8" s="1"/>
  <c r="T603" i="8"/>
  <c r="T602" i="8" s="1"/>
  <c r="T256" i="9"/>
  <c r="T253" i="9" s="1"/>
  <c r="J740" i="8"/>
  <c r="M741" i="8"/>
  <c r="T737" i="8"/>
  <c r="N734" i="8"/>
  <c r="J770" i="8"/>
  <c r="L791" i="8"/>
  <c r="L629" i="8"/>
  <c r="M641" i="8"/>
  <c r="U75" i="8"/>
  <c r="I495" i="8"/>
  <c r="P212" i="8"/>
  <c r="T475" i="8"/>
  <c r="M781" i="8"/>
  <c r="V135" i="8"/>
  <c r="V134" i="8" s="1"/>
  <c r="V133" i="8" s="1"/>
  <c r="R225" i="9"/>
  <c r="N107" i="8"/>
  <c r="N843" i="8"/>
  <c r="N244" i="8"/>
  <c r="N243" i="8" s="1"/>
  <c r="N358" i="8"/>
  <c r="N469" i="8"/>
  <c r="N468" i="8" s="1"/>
  <c r="N581" i="8"/>
  <c r="N580" i="8" s="1"/>
  <c r="N275" i="9"/>
  <c r="N274" i="9" s="1"/>
  <c r="G549" i="8"/>
  <c r="T383" i="8"/>
  <c r="P677" i="8"/>
  <c r="V275" i="9"/>
  <c r="V274" i="9"/>
  <c r="V731" i="8"/>
  <c r="V730" i="8" s="1"/>
  <c r="Q800" i="8"/>
  <c r="I475" i="8"/>
  <c r="AB198" i="9"/>
  <c r="AA198" i="9" s="1"/>
  <c r="U113" i="8"/>
  <c r="J120" i="8"/>
  <c r="AB275" i="9"/>
  <c r="AB274" i="9" s="1"/>
  <c r="L786" i="8"/>
  <c r="L778" i="8"/>
  <c r="L760" i="8"/>
  <c r="M713" i="8"/>
  <c r="V808" i="8"/>
  <c r="V807" i="8" s="1"/>
  <c r="I797" i="8"/>
  <c r="M749" i="8"/>
  <c r="J658" i="8"/>
  <c r="K175" i="9"/>
  <c r="J758" i="8"/>
  <c r="K696" i="8"/>
  <c r="K695" i="8" s="1"/>
  <c r="J180" i="9"/>
  <c r="M179" i="9"/>
  <c r="V175" i="9"/>
  <c r="Z175" i="9" s="1"/>
  <c r="N812" i="8"/>
  <c r="J808" i="8"/>
  <c r="J807" i="8" s="1"/>
  <c r="N840" i="8"/>
  <c r="M840" i="8" s="1"/>
  <c r="W814" i="8"/>
  <c r="W811" i="8" s="1"/>
  <c r="V182" i="9"/>
  <c r="AA182" i="9" s="1"/>
  <c r="N191" i="9"/>
  <c r="T811" i="8"/>
  <c r="I549" i="8"/>
  <c r="L193" i="9"/>
  <c r="AA187" i="9"/>
  <c r="L222" i="9"/>
  <c r="V208" i="9"/>
  <c r="Z208" i="9" s="1"/>
  <c r="J469" i="8"/>
  <c r="J468" i="8" s="1"/>
  <c r="J275" i="9"/>
  <c r="J274" i="9" s="1"/>
  <c r="J244" i="8"/>
  <c r="J243" i="8" s="1"/>
  <c r="J731" i="8"/>
  <c r="J730" i="8" s="1"/>
  <c r="J843" i="8"/>
  <c r="J842" i="8" s="1"/>
  <c r="J581" i="8"/>
  <c r="J580" i="8" s="1"/>
  <c r="J358" i="8"/>
  <c r="J357" i="8" s="1"/>
  <c r="J107" i="8"/>
  <c r="J106" i="8"/>
  <c r="M44" i="8"/>
  <c r="M116" i="8"/>
  <c r="AA177" i="9"/>
  <c r="L785" i="8"/>
  <c r="N720" i="8"/>
  <c r="J712" i="8"/>
  <c r="L712" i="8" s="1"/>
  <c r="L815" i="8"/>
  <c r="AB244" i="9"/>
  <c r="AA196" i="9"/>
  <c r="AA213" i="9"/>
  <c r="K210" i="9"/>
  <c r="L190" i="9"/>
  <c r="AB232" i="9"/>
  <c r="AB231" i="9" s="1"/>
  <c r="AA231" i="9" s="1"/>
  <c r="J182" i="9"/>
  <c r="J175" i="9"/>
  <c r="J174" i="9" s="1"/>
  <c r="L802" i="8"/>
  <c r="L800" i="8" s="1"/>
  <c r="N797" i="8"/>
  <c r="AA233" i="9"/>
  <c r="J198" i="9"/>
  <c r="V220" i="9"/>
  <c r="Z220" i="9" s="1"/>
  <c r="AA227" i="9"/>
  <c r="L226" i="9"/>
  <c r="AA199" i="9"/>
  <c r="M221" i="9"/>
  <c r="M220" i="9" s="1"/>
  <c r="AB191" i="9"/>
  <c r="AB186" i="9"/>
  <c r="K186" i="9"/>
  <c r="Z199" i="9"/>
  <c r="V198" i="9"/>
  <c r="Z198" i="9" s="1"/>
  <c r="N220" i="9"/>
  <c r="M205" i="9"/>
  <c r="AA179" i="9"/>
  <c r="P225" i="9"/>
  <c r="O256" i="9"/>
  <c r="O253" i="9" s="1"/>
  <c r="V634" i="8"/>
  <c r="V699" i="8"/>
  <c r="M239" i="9"/>
  <c r="M238" i="9" s="1"/>
  <c r="AA207" i="9"/>
  <c r="X256" i="9"/>
  <c r="X253" i="9" s="1"/>
  <c r="J846" i="8"/>
  <c r="O312" i="9"/>
  <c r="O309" i="9" s="1"/>
  <c r="V527" i="8"/>
  <c r="X324" i="8"/>
  <c r="R256" i="9"/>
  <c r="X422" i="8"/>
  <c r="X437" i="8"/>
  <c r="X222" i="8"/>
  <c r="V147" i="8"/>
  <c r="X190" i="8"/>
  <c r="W212" i="8"/>
  <c r="AA270" i="9"/>
  <c r="Q311" i="9"/>
  <c r="P317" i="9"/>
  <c r="R634" i="8"/>
  <c r="P475" i="8"/>
  <c r="O222" i="8"/>
  <c r="T453" i="8"/>
  <c r="W119" i="8"/>
  <c r="G645" i="8"/>
  <c r="S60" i="8"/>
  <c r="P309" i="8"/>
  <c r="S318" i="9"/>
  <c r="S317" i="9" s="1"/>
  <c r="R684" i="8"/>
  <c r="M266" i="9"/>
  <c r="AA243" i="9"/>
  <c r="AA240" i="9"/>
  <c r="I197" i="8"/>
  <c r="AA245" i="9"/>
  <c r="AA277" i="9"/>
  <c r="J260" i="9"/>
  <c r="L273" i="9"/>
  <c r="I135" i="8"/>
  <c r="I134" i="8" s="1"/>
  <c r="T60" i="8"/>
  <c r="G190" i="8"/>
  <c r="H372" i="8"/>
  <c r="X228" i="8"/>
  <c r="U228" i="8"/>
  <c r="H324" i="8"/>
  <c r="O259" i="8"/>
  <c r="P174" i="9"/>
  <c r="H688" i="8"/>
  <c r="K260" i="9"/>
  <c r="N125" i="8"/>
  <c r="J284" i="9"/>
  <c r="N314" i="9"/>
  <c r="AA280" i="9"/>
  <c r="U309" i="9"/>
  <c r="Q310" i="9"/>
  <c r="R309" i="9"/>
  <c r="M155" i="8"/>
  <c r="L246" i="9"/>
  <c r="AA262" i="9"/>
  <c r="AA283" i="9"/>
  <c r="M280" i="9"/>
  <c r="L263" i="9"/>
  <c r="L213" i="8"/>
  <c r="L245" i="8"/>
  <c r="M303" i="8"/>
  <c r="L254" i="9"/>
  <c r="L108" i="8"/>
  <c r="N10" i="8"/>
  <c r="M844" i="8"/>
  <c r="L440" i="8"/>
  <c r="N324" i="8"/>
  <c r="N737" i="8"/>
  <c r="M702" i="8"/>
  <c r="L490" i="8"/>
  <c r="J21" i="8"/>
  <c r="L257" i="9"/>
  <c r="Z273" i="9"/>
  <c r="M229" i="8"/>
  <c r="M313" i="9"/>
  <c r="N312" i="9"/>
  <c r="M312" i="9"/>
  <c r="L271" i="9"/>
  <c r="J264" i="9"/>
  <c r="AA266" i="9"/>
  <c r="M566" i="8"/>
  <c r="M269" i="9"/>
  <c r="V260" i="9"/>
  <c r="N602" i="8"/>
  <c r="M740" i="8"/>
  <c r="L406" i="8"/>
  <c r="Q309" i="9"/>
  <c r="G849" i="8"/>
  <c r="N284" i="9"/>
  <c r="M284" i="9" s="1"/>
  <c r="M285" i="9"/>
  <c r="Z285" i="9"/>
  <c r="N634" i="8"/>
  <c r="L164" i="8"/>
  <c r="L155" i="8"/>
  <c r="M247" i="8"/>
  <c r="M804" i="8"/>
  <c r="V237" i="9"/>
  <c r="M159" i="8"/>
  <c r="M408" i="8"/>
  <c r="M171" i="8"/>
  <c r="L233" i="8"/>
  <c r="M201" i="8"/>
  <c r="M646" i="8"/>
  <c r="L107" i="8"/>
  <c r="N599" i="8"/>
  <c r="L268" i="9"/>
  <c r="M469" i="8"/>
  <c r="Z275" i="9"/>
  <c r="L423" i="8"/>
  <c r="M215" i="8"/>
  <c r="M244" i="8"/>
  <c r="M54" i="8"/>
  <c r="N309" i="9"/>
  <c r="J278" i="9"/>
  <c r="M209" i="8"/>
  <c r="M310" i="9"/>
  <c r="N241" i="9"/>
  <c r="AA258" i="9"/>
  <c r="M275" i="9"/>
  <c r="M450" i="8"/>
  <c r="AB318" i="9"/>
  <c r="AB317" i="9" s="1"/>
  <c r="AA285" i="9"/>
  <c r="V284" i="9"/>
  <c r="Z284" i="9" s="1"/>
  <c r="L803" i="8"/>
  <c r="BH36" i="3"/>
  <c r="AD31" i="3"/>
  <c r="Y32" i="3"/>
  <c r="L32" i="3"/>
  <c r="H32" i="3"/>
  <c r="AR30" i="3"/>
  <c r="AO27" i="3"/>
  <c r="AK27" i="3"/>
  <c r="AG27" i="3"/>
  <c r="AD25" i="3"/>
  <c r="AQ27" i="3"/>
  <c r="AM27" i="3"/>
  <c r="AI27" i="3"/>
  <c r="AE27" i="3"/>
  <c r="AB27" i="3"/>
  <c r="X27" i="3"/>
  <c r="L27" i="3"/>
  <c r="H27" i="3"/>
  <c r="BE32" i="3"/>
  <c r="BA32" i="3"/>
  <c r="AW32" i="3"/>
  <c r="AS32" i="3"/>
  <c r="AB32" i="3"/>
  <c r="X32" i="3"/>
  <c r="K32" i="3"/>
  <c r="M32" i="3" s="1"/>
  <c r="G32" i="3"/>
  <c r="AR23" i="3"/>
  <c r="AL27" i="3"/>
  <c r="AH27" i="3"/>
  <c r="BH27" i="3"/>
  <c r="BD27" i="3"/>
  <c r="AZ27" i="3"/>
  <c r="AV27" i="3"/>
  <c r="BD32" i="3"/>
  <c r="AZ32" i="3"/>
  <c r="AV32" i="3"/>
  <c r="BF27" i="3"/>
  <c r="BB27" i="3"/>
  <c r="AX27" i="3"/>
  <c r="AT27" i="3"/>
  <c r="Z27" i="3"/>
  <c r="BG40" i="3"/>
  <c r="BH40" i="3"/>
  <c r="BC27" i="3"/>
  <c r="AY27" i="3"/>
  <c r="AU27" i="3"/>
  <c r="M27" i="3"/>
  <c r="I27" i="3"/>
  <c r="AM39" i="3"/>
  <c r="AM41" i="3" s="1"/>
  <c r="AN41" i="3"/>
  <c r="AC32" i="3"/>
  <c r="AD32" i="3" s="1"/>
  <c r="BG27" i="3"/>
  <c r="BG36" i="3"/>
  <c r="AP27" i="3"/>
  <c r="AC27" i="3"/>
  <c r="V232" i="9"/>
  <c r="V231" i="9" s="1"/>
  <c r="M768" i="8"/>
  <c r="K738" i="8"/>
  <c r="J705" i="8"/>
  <c r="K492" i="8"/>
  <c r="J126" i="8"/>
  <c r="J125" i="8" s="1"/>
  <c r="M127" i="8"/>
  <c r="M822" i="8"/>
  <c r="M455" i="8"/>
  <c r="M454" i="8" s="1"/>
  <c r="N254" i="9"/>
  <c r="H241" i="9"/>
  <c r="V242" i="9"/>
  <c r="AA192" i="9"/>
  <c r="V191" i="9"/>
  <c r="L765" i="8"/>
  <c r="J670" i="8"/>
  <c r="W535" i="8"/>
  <c r="O535" i="8"/>
  <c r="K476" i="8"/>
  <c r="K475" i="8" s="1"/>
  <c r="L477" i="8"/>
  <c r="J466" i="8"/>
  <c r="L467" i="8"/>
  <c r="M307" i="8"/>
  <c r="L306" i="8"/>
  <c r="L305" i="8" s="1"/>
  <c r="J267" i="8"/>
  <c r="J259" i="8" s="1"/>
  <c r="J68" i="8"/>
  <c r="J67" i="8"/>
  <c r="M69" i="8"/>
  <c r="M68" i="8"/>
  <c r="L248" i="9"/>
  <c r="Z229" i="9"/>
  <c r="V228" i="9"/>
  <c r="AA226" i="9"/>
  <c r="Z194" i="9"/>
  <c r="AA194" i="9"/>
  <c r="AA183" i="9"/>
  <c r="L219" i="9"/>
  <c r="M199" i="9"/>
  <c r="M198" i="9" s="1"/>
  <c r="K852" i="8"/>
  <c r="L852" i="8" s="1"/>
  <c r="L829" i="8"/>
  <c r="L828" i="8" s="1"/>
  <c r="N752" i="8"/>
  <c r="M753" i="8"/>
  <c r="K542" i="8"/>
  <c r="K541" i="8" s="1"/>
  <c r="L543" i="8"/>
  <c r="L542" i="8" s="1"/>
  <c r="L540" i="8"/>
  <c r="L538" i="8" s="1"/>
  <c r="H383" i="8"/>
  <c r="J251" i="8"/>
  <c r="M252" i="8"/>
  <c r="K86" i="8"/>
  <c r="I21" i="8"/>
  <c r="L275" i="9"/>
  <c r="AA275" i="9"/>
  <c r="AB253" i="9"/>
  <c r="L202" i="9"/>
  <c r="Q359" i="8"/>
  <c r="M769" i="8"/>
  <c r="L308" i="8"/>
  <c r="Z257" i="9"/>
  <c r="V256" i="9"/>
  <c r="P217" i="9"/>
  <c r="AA188" i="9"/>
  <c r="J186" i="9"/>
  <c r="M550" i="8"/>
  <c r="J190" i="8"/>
  <c r="K278" i="9"/>
  <c r="K832" i="8"/>
  <c r="M770" i="8"/>
  <c r="M635" i="8"/>
  <c r="Z274" i="9"/>
  <c r="V224" i="9"/>
  <c r="M126" i="8"/>
  <c r="AA191" i="9"/>
  <c r="Z256" i="9"/>
  <c r="AA232" i="9"/>
  <c r="M752" i="8"/>
  <c r="Z242" i="9"/>
  <c r="BI27" i="3" l="1"/>
  <c r="J281" i="9"/>
  <c r="M282" i="9"/>
  <c r="M602" i="8"/>
  <c r="I422" i="8"/>
  <c r="Z211" i="9"/>
  <c r="V210" i="9"/>
  <c r="G811" i="8"/>
  <c r="P603" i="8"/>
  <c r="P602" i="8" s="1"/>
  <c r="J443" i="8"/>
  <c r="L444" i="8"/>
  <c r="K438" i="8"/>
  <c r="L439" i="8"/>
  <c r="K126" i="8"/>
  <c r="L127" i="8"/>
  <c r="P88" i="8"/>
  <c r="P85" i="8" s="1"/>
  <c r="P2226" i="12"/>
  <c r="T2225" i="12"/>
  <c r="T2224" i="12" s="1"/>
  <c r="P2224" i="12" s="1"/>
  <c r="AI2164" i="12"/>
  <c r="AI2612" i="12"/>
  <c r="P2071" i="12"/>
  <c r="AC1931" i="12"/>
  <c r="AD1935" i="12"/>
  <c r="AG1913" i="12"/>
  <c r="T1908" i="12"/>
  <c r="AD1702" i="12"/>
  <c r="AA1702" i="12"/>
  <c r="AB1700" i="12"/>
  <c r="AD1700" i="12" s="1"/>
  <c r="AB2610" i="12"/>
  <c r="AJ2610" i="12" s="1"/>
  <c r="AE453" i="12"/>
  <c r="P358" i="12"/>
  <c r="T357" i="12"/>
  <c r="T356" i="12" s="1"/>
  <c r="AH25" i="12"/>
  <c r="AH18" i="12" s="1"/>
  <c r="AH17" i="12" s="1"/>
  <c r="AH2598" i="12"/>
  <c r="K2594" i="12"/>
  <c r="L2594" i="12"/>
  <c r="K85" i="8"/>
  <c r="Z226" i="9"/>
  <c r="J247" i="9"/>
  <c r="M247" i="9" s="1"/>
  <c r="Z182" i="9"/>
  <c r="M581" i="8"/>
  <c r="M731" i="8"/>
  <c r="M114" i="8"/>
  <c r="V244" i="9"/>
  <c r="Z244" i="9" s="1"/>
  <c r="AA246" i="9"/>
  <c r="M562" i="8"/>
  <c r="K198" i="9"/>
  <c r="K185" i="9" s="1"/>
  <c r="N232" i="9"/>
  <c r="N231" i="9" s="1"/>
  <c r="M231" i="9" s="1"/>
  <c r="M580" i="8"/>
  <c r="M107" i="8"/>
  <c r="N106" i="8"/>
  <c r="M106" i="8" s="1"/>
  <c r="L813" i="8"/>
  <c r="J757" i="8"/>
  <c r="J570" i="8"/>
  <c r="J565" i="8" s="1"/>
  <c r="M809" i="8"/>
  <c r="M808" i="8" s="1"/>
  <c r="W422" i="8"/>
  <c r="K842" i="8"/>
  <c r="L843" i="8"/>
  <c r="L359" i="8"/>
  <c r="J88" i="8"/>
  <c r="L88" i="8" s="1"/>
  <c r="J209" i="8"/>
  <c r="J208" i="8" s="1"/>
  <c r="L395" i="8"/>
  <c r="J692" i="8"/>
  <c r="J691" i="8" s="1"/>
  <c r="W197" i="8"/>
  <c r="W609" i="8"/>
  <c r="W608" i="8" s="1"/>
  <c r="M444" i="8"/>
  <c r="M681" i="8"/>
  <c r="M680" i="8" s="1"/>
  <c r="K27" i="8"/>
  <c r="M344" i="8"/>
  <c r="M343" i="8" s="1"/>
  <c r="L300" i="8"/>
  <c r="L502" i="8"/>
  <c r="L501" i="8" s="1"/>
  <c r="U318" i="9"/>
  <c r="X301" i="9"/>
  <c r="T301" i="9"/>
  <c r="K284" i="9"/>
  <c r="L284" i="9" s="1"/>
  <c r="AB281" i="9"/>
  <c r="U281" i="9"/>
  <c r="Q281" i="9"/>
  <c r="W259" i="9"/>
  <c r="L266" i="9"/>
  <c r="AA265" i="9"/>
  <c r="X259" i="9"/>
  <c r="T228" i="9"/>
  <c r="P228" i="9"/>
  <c r="P224" i="9" s="1"/>
  <c r="K224" i="9"/>
  <c r="X224" i="9"/>
  <c r="W225" i="9"/>
  <c r="W224" i="9" s="1"/>
  <c r="I224" i="9"/>
  <c r="U217" i="9"/>
  <c r="AA210" i="9"/>
  <c r="L195" i="9"/>
  <c r="H185" i="9"/>
  <c r="K182" i="9"/>
  <c r="L183" i="9"/>
  <c r="L182" i="9" s="1"/>
  <c r="P165" i="9"/>
  <c r="M102" i="9"/>
  <c r="Q88" i="9"/>
  <c r="Z67" i="9"/>
  <c r="W46" i="9"/>
  <c r="W40" i="9" s="1"/>
  <c r="W39" i="9" s="1"/>
  <c r="W38" i="9" s="1"/>
  <c r="U10" i="9"/>
  <c r="Q11" i="9"/>
  <c r="U849" i="8"/>
  <c r="J850" i="8"/>
  <c r="J849" i="8" s="1"/>
  <c r="N817" i="8"/>
  <c r="M817" i="8" s="1"/>
  <c r="M818" i="8"/>
  <c r="P789" i="8"/>
  <c r="G757" i="8"/>
  <c r="N758" i="8"/>
  <c r="M759" i="8"/>
  <c r="M758" i="8" s="1"/>
  <c r="L736" i="8"/>
  <c r="U715" i="8"/>
  <c r="J728" i="8"/>
  <c r="M728" i="8" s="1"/>
  <c r="M729" i="8"/>
  <c r="R699" i="8"/>
  <c r="S699" i="8"/>
  <c r="S684" i="8"/>
  <c r="I684" i="8"/>
  <c r="X685" i="8"/>
  <c r="T685" i="8"/>
  <c r="T684" i="8" s="1"/>
  <c r="P685" i="8"/>
  <c r="P684" i="8" s="1"/>
  <c r="M686" i="8"/>
  <c r="M685" i="8" s="1"/>
  <c r="J685" i="8"/>
  <c r="Q677" i="8"/>
  <c r="L671" i="8"/>
  <c r="L670" i="8" s="1"/>
  <c r="L639" i="8"/>
  <c r="L638" i="8"/>
  <c r="L637" i="8"/>
  <c r="O582" i="8"/>
  <c r="Q582" i="8" s="1"/>
  <c r="Q565" i="8" s="1"/>
  <c r="Q558" i="8" s="1"/>
  <c r="W552" i="8"/>
  <c r="W549" i="8" s="1"/>
  <c r="G527" i="8"/>
  <c r="L521" i="8"/>
  <c r="L520" i="8" s="1"/>
  <c r="H484" i="8"/>
  <c r="W484" i="8"/>
  <c r="P453" i="8"/>
  <c r="H453" i="8"/>
  <c r="P450" i="8"/>
  <c r="P447" i="8" s="1"/>
  <c r="M416" i="8"/>
  <c r="R364" i="8"/>
  <c r="W327" i="8"/>
  <c r="R270" i="8"/>
  <c r="N260" i="8"/>
  <c r="M261" i="8"/>
  <c r="M260" i="8" s="1"/>
  <c r="N223" i="8"/>
  <c r="M224" i="8"/>
  <c r="I212" i="8"/>
  <c r="V198" i="8"/>
  <c r="V197" i="8" s="1"/>
  <c r="R198" i="8"/>
  <c r="L194" i="8"/>
  <c r="L193" i="8" s="1"/>
  <c r="K193" i="8"/>
  <c r="V158" i="8"/>
  <c r="W147" i="8"/>
  <c r="S129" i="8"/>
  <c r="S128" i="8" s="1"/>
  <c r="AG2538" i="12"/>
  <c r="AG2537" i="12"/>
  <c r="AF2517" i="12"/>
  <c r="AE2518" i="12"/>
  <c r="AF2471" i="12"/>
  <c r="AE2472" i="12"/>
  <c r="P2206" i="12"/>
  <c r="T2205" i="12"/>
  <c r="J301" i="9"/>
  <c r="L302" i="9"/>
  <c r="K180" i="9"/>
  <c r="L181" i="9"/>
  <c r="O844" i="8"/>
  <c r="Q845" i="8"/>
  <c r="J812" i="8"/>
  <c r="L812" i="8" s="1"/>
  <c r="M813" i="8"/>
  <c r="O757" i="8"/>
  <c r="K754" i="8"/>
  <c r="L755" i="8"/>
  <c r="L754" i="8" s="1"/>
  <c r="L583" i="8"/>
  <c r="K582" i="8"/>
  <c r="L582" i="8" s="1"/>
  <c r="K578" i="8"/>
  <c r="L578" i="8" s="1"/>
  <c r="L579" i="8"/>
  <c r="V475" i="8"/>
  <c r="V446" i="8" s="1"/>
  <c r="O475" i="8"/>
  <c r="M348" i="8"/>
  <c r="M347" i="8" s="1"/>
  <c r="N347" i="8"/>
  <c r="V310" i="8"/>
  <c r="V309" i="8" s="1"/>
  <c r="N310" i="8"/>
  <c r="M311" i="8"/>
  <c r="AD2535" i="12"/>
  <c r="AC2534" i="12"/>
  <c r="AC2533" i="12" s="1"/>
  <c r="AF2453" i="12"/>
  <c r="AE2361" i="12"/>
  <c r="AA2361" i="12"/>
  <c r="M216" i="9"/>
  <c r="L731" i="8"/>
  <c r="AA211" i="9"/>
  <c r="N357" i="8"/>
  <c r="M358" i="8"/>
  <c r="K580" i="8"/>
  <c r="L580" i="8" s="1"/>
  <c r="L581" i="8"/>
  <c r="N222" i="8"/>
  <c r="M216" i="8"/>
  <c r="J646" i="8"/>
  <c r="O315" i="9"/>
  <c r="O314" i="9" s="1"/>
  <c r="Q316" i="9"/>
  <c r="N301" i="9"/>
  <c r="N281" i="9"/>
  <c r="M281" i="9" s="1"/>
  <c r="S259" i="9"/>
  <c r="L239" i="9"/>
  <c r="L238" i="9" s="1"/>
  <c r="K238" i="9"/>
  <c r="K237" i="9" s="1"/>
  <c r="K220" i="9"/>
  <c r="K217" i="9" s="1"/>
  <c r="L221" i="9"/>
  <c r="L220" i="9" s="1"/>
  <c r="P95" i="9"/>
  <c r="M95" i="9"/>
  <c r="U65" i="9"/>
  <c r="M27" i="9"/>
  <c r="N849" i="8"/>
  <c r="M849" i="8" s="1"/>
  <c r="M850" i="8"/>
  <c r="K824" i="8"/>
  <c r="L825" i="8"/>
  <c r="J821" i="8"/>
  <c r="U797" i="8"/>
  <c r="K732" i="8"/>
  <c r="L733" i="8"/>
  <c r="H645" i="8"/>
  <c r="I622" i="8"/>
  <c r="P593" i="8"/>
  <c r="I593" i="8"/>
  <c r="L589" i="8"/>
  <c r="K588" i="8"/>
  <c r="O562" i="8"/>
  <c r="O559" i="8" s="1"/>
  <c r="V552" i="8"/>
  <c r="V549" i="8" s="1"/>
  <c r="O534" i="8"/>
  <c r="X535" i="8"/>
  <c r="T535" i="8"/>
  <c r="P535" i="8"/>
  <c r="S527" i="8"/>
  <c r="J520" i="8"/>
  <c r="M521" i="8"/>
  <c r="M520" i="8" s="1"/>
  <c r="V495" i="8"/>
  <c r="K448" i="8"/>
  <c r="L448" i="8" s="1"/>
  <c r="L449" i="8"/>
  <c r="J434" i="8"/>
  <c r="J433" i="8" s="1"/>
  <c r="M433" i="8" s="1"/>
  <c r="M435" i="8"/>
  <c r="M434" i="8" s="1"/>
  <c r="S423" i="8"/>
  <c r="O423" i="8"/>
  <c r="O422" i="8" s="1"/>
  <c r="V415" i="8"/>
  <c r="K416" i="8"/>
  <c r="L417" i="8"/>
  <c r="N406" i="8"/>
  <c r="M406" i="8" s="1"/>
  <c r="M407" i="8"/>
  <c r="O339" i="8"/>
  <c r="O336" i="8" s="1"/>
  <c r="I339" i="8"/>
  <c r="I336" i="8" s="1"/>
  <c r="H302" i="8"/>
  <c r="S135" i="8"/>
  <c r="S134" i="8" s="1"/>
  <c r="O135" i="8"/>
  <c r="O134" i="8" s="1"/>
  <c r="K114" i="8"/>
  <c r="L114" i="8" s="1"/>
  <c r="L115" i="8"/>
  <c r="X78" i="8"/>
  <c r="X75" i="8" s="1"/>
  <c r="H75" i="8"/>
  <c r="K34" i="8"/>
  <c r="L35" i="8"/>
  <c r="L34" i="8" s="1"/>
  <c r="J2555" i="12"/>
  <c r="K2556" i="12"/>
  <c r="K2486" i="12"/>
  <c r="I2485" i="12"/>
  <c r="I2484" i="12" s="1"/>
  <c r="M2481" i="12"/>
  <c r="L2482" i="12"/>
  <c r="M2389" i="12"/>
  <c r="L2390" i="12"/>
  <c r="AD2084" i="12"/>
  <c r="AC2083" i="12"/>
  <c r="Y1999" i="12"/>
  <c r="Z2000" i="12"/>
  <c r="AI2613" i="12"/>
  <c r="AB1226" i="12"/>
  <c r="AA1227" i="12"/>
  <c r="W1174" i="12"/>
  <c r="W1175" i="12"/>
  <c r="K174" i="9"/>
  <c r="L174" i="9" s="1"/>
  <c r="T291" i="9"/>
  <c r="Y292" i="9"/>
  <c r="M277" i="9"/>
  <c r="N276" i="9"/>
  <c r="M183" i="9"/>
  <c r="M182" i="9" s="1"/>
  <c r="N182" i="9"/>
  <c r="O811" i="8"/>
  <c r="P715" i="8"/>
  <c r="U603" i="8"/>
  <c r="Q604" i="8"/>
  <c r="J599" i="8"/>
  <c r="M599" i="8" s="1"/>
  <c r="M600" i="8"/>
  <c r="R310" i="8"/>
  <c r="J253" i="8"/>
  <c r="L253" i="8" s="1"/>
  <c r="M254" i="8"/>
  <c r="P2535" i="12"/>
  <c r="T2534" i="12"/>
  <c r="T2533" i="12" s="1"/>
  <c r="J119" i="8"/>
  <c r="M125" i="8"/>
  <c r="V282" i="9"/>
  <c r="AA239" i="9"/>
  <c r="L842" i="8"/>
  <c r="M90" i="8"/>
  <c r="J343" i="8"/>
  <c r="M459" i="8"/>
  <c r="M458" i="8" s="1"/>
  <c r="M67" i="8"/>
  <c r="M603" i="8"/>
  <c r="Z260" i="9"/>
  <c r="Z228" i="9"/>
  <c r="AB208" i="9"/>
  <c r="AA209" i="9"/>
  <c r="U169" i="9"/>
  <c r="Q169" i="9" s="1"/>
  <c r="Q170" i="9"/>
  <c r="U114" i="9"/>
  <c r="Q114" i="9" s="1"/>
  <c r="L46" i="9"/>
  <c r="Q342" i="8"/>
  <c r="M705" i="8"/>
  <c r="M316" i="9"/>
  <c r="N278" i="9"/>
  <c r="Q129" i="8"/>
  <c r="AA261" i="9"/>
  <c r="M853" i="8"/>
  <c r="K720" i="8"/>
  <c r="L748" i="8"/>
  <c r="L747" i="8" s="1"/>
  <c r="M192" i="9"/>
  <c r="M191" i="9" s="1"/>
  <c r="L459" i="8"/>
  <c r="L458" i="8" s="1"/>
  <c r="L531" i="8"/>
  <c r="L530" i="8" s="1"/>
  <c r="K313" i="8"/>
  <c r="K309" i="8" s="1"/>
  <c r="L309" i="8" s="1"/>
  <c r="M561" i="8"/>
  <c r="K635" i="8"/>
  <c r="M596" i="8"/>
  <c r="W309" i="9"/>
  <c r="U295" i="9"/>
  <c r="Q295" i="9" s="1"/>
  <c r="M296" i="9"/>
  <c r="AA276" i="9"/>
  <c r="Z272" i="9"/>
  <c r="J256" i="9"/>
  <c r="J253" i="9" s="1"/>
  <c r="L240" i="9"/>
  <c r="Z239" i="9"/>
  <c r="AA202" i="9"/>
  <c r="X185" i="9"/>
  <c r="L192" i="9"/>
  <c r="L191" i="9" s="1"/>
  <c r="AA189" i="9"/>
  <c r="X174" i="9"/>
  <c r="V143" i="9"/>
  <c r="Z143" i="9" s="1"/>
  <c r="V142" i="9"/>
  <c r="V141" i="9" s="1"/>
  <c r="V140" i="9" s="1"/>
  <c r="I127" i="9"/>
  <c r="Z71" i="9"/>
  <c r="AA42" i="9"/>
  <c r="AB41" i="9"/>
  <c r="Y34" i="9"/>
  <c r="W10" i="9"/>
  <c r="W800" i="8"/>
  <c r="W796" i="8" s="1"/>
  <c r="O800" i="8"/>
  <c r="I800" i="8"/>
  <c r="I796" i="8" s="1"/>
  <c r="L799" i="8"/>
  <c r="K658" i="8"/>
  <c r="L659" i="8"/>
  <c r="L658" i="8" s="1"/>
  <c r="K646" i="8"/>
  <c r="L647" i="8"/>
  <c r="L646" i="8" s="1"/>
  <c r="K622" i="8"/>
  <c r="L605" i="8"/>
  <c r="L601" i="8"/>
  <c r="K600" i="8"/>
  <c r="Q597" i="8"/>
  <c r="O594" i="8"/>
  <c r="K595" i="8"/>
  <c r="K594" i="8" s="1"/>
  <c r="L596" i="8"/>
  <c r="O587" i="8"/>
  <c r="H562" i="8"/>
  <c r="M538" i="8"/>
  <c r="S535" i="8"/>
  <c r="S534" i="8" s="1"/>
  <c r="I535" i="8"/>
  <c r="W475" i="8"/>
  <c r="H475" i="8"/>
  <c r="I437" i="8"/>
  <c r="U426" i="8"/>
  <c r="U422" i="8" s="1"/>
  <c r="Q426" i="8"/>
  <c r="Q422" i="8" s="1"/>
  <c r="K426" i="8"/>
  <c r="H422" i="8"/>
  <c r="L420" i="8"/>
  <c r="M419" i="8"/>
  <c r="M418" i="8" s="1"/>
  <c r="J418" i="8"/>
  <c r="J415" i="8" s="1"/>
  <c r="M415" i="8" s="1"/>
  <c r="S383" i="8"/>
  <c r="T372" i="8"/>
  <c r="W342" i="8"/>
  <c r="W335" i="8" s="1"/>
  <c r="N339" i="8"/>
  <c r="N336" i="8" s="1"/>
  <c r="H339" i="8"/>
  <c r="H336" i="8" s="1"/>
  <c r="L254" i="8"/>
  <c r="P225" i="8"/>
  <c r="P222" i="8" s="1"/>
  <c r="M226" i="8"/>
  <c r="J225" i="8"/>
  <c r="J222" i="8" s="1"/>
  <c r="S158" i="8"/>
  <c r="J138" i="8"/>
  <c r="L138" i="8" s="1"/>
  <c r="L139" i="8"/>
  <c r="N110" i="8"/>
  <c r="M111" i="8"/>
  <c r="M110" i="8" s="1"/>
  <c r="T91" i="8"/>
  <c r="V91" i="8"/>
  <c r="O91" i="8"/>
  <c r="L17" i="8"/>
  <c r="J16" i="8"/>
  <c r="AG2504" i="12"/>
  <c r="AG2505" i="12"/>
  <c r="AF2500" i="12"/>
  <c r="AE2450" i="12"/>
  <c r="AF2449" i="12"/>
  <c r="X2222" i="12"/>
  <c r="Y2211" i="12"/>
  <c r="Z2212" i="12"/>
  <c r="V2144" i="12"/>
  <c r="V2145" i="12"/>
  <c r="AI2132" i="12"/>
  <c r="AI2133" i="12"/>
  <c r="AG2105" i="12"/>
  <c r="AG2104" i="12"/>
  <c r="AH1507" i="12"/>
  <c r="AH1506" i="12" s="1"/>
  <c r="AH1505" i="12" s="1"/>
  <c r="L104" i="8"/>
  <c r="G301" i="9"/>
  <c r="G292" i="9"/>
  <c r="M234" i="9"/>
  <c r="AA222" i="9"/>
  <c r="Z210" i="9"/>
  <c r="M201" i="9"/>
  <c r="S185" i="9"/>
  <c r="M190" i="9"/>
  <c r="M189" i="9"/>
  <c r="M184" i="9"/>
  <c r="H174" i="9"/>
  <c r="R127" i="9"/>
  <c r="H127" i="9"/>
  <c r="Q96" i="9"/>
  <c r="R95" i="9"/>
  <c r="G95" i="9"/>
  <c r="S88" i="9"/>
  <c r="AA71" i="9"/>
  <c r="T65" i="9"/>
  <c r="K40" i="9"/>
  <c r="G46" i="9"/>
  <c r="G40" i="9" s="1"/>
  <c r="Z27" i="9"/>
  <c r="X9" i="9"/>
  <c r="X8" i="9" s="1"/>
  <c r="X7" i="9" s="1"/>
  <c r="T9" i="9"/>
  <c r="L10" i="9"/>
  <c r="J9" i="9"/>
  <c r="W849" i="8"/>
  <c r="X824" i="8"/>
  <c r="X821" i="8" s="1"/>
  <c r="T824" i="8"/>
  <c r="T821" i="8" s="1"/>
  <c r="Q826" i="8"/>
  <c r="Q824" i="8" s="1"/>
  <c r="Q821" i="8" s="1"/>
  <c r="I811" i="8"/>
  <c r="M806" i="8"/>
  <c r="R796" i="8"/>
  <c r="I789" i="8"/>
  <c r="M788" i="8"/>
  <c r="M787" i="8"/>
  <c r="M786" i="8"/>
  <c r="M785" i="8"/>
  <c r="M784" i="8"/>
  <c r="V757" i="8"/>
  <c r="P757" i="8"/>
  <c r="M756" i="8"/>
  <c r="W746" i="8"/>
  <c r="M748" i="8"/>
  <c r="M747" i="8" s="1"/>
  <c r="W715" i="8"/>
  <c r="M719" i="8"/>
  <c r="H712" i="8"/>
  <c r="P699" i="8"/>
  <c r="W685" i="8"/>
  <c r="X677" i="8"/>
  <c r="U645" i="8"/>
  <c r="I634" i="8"/>
  <c r="Q622" i="8"/>
  <c r="Q609" i="8" s="1"/>
  <c r="T622" i="8"/>
  <c r="L621" i="8"/>
  <c r="W587" i="8"/>
  <c r="T587" i="8"/>
  <c r="M586" i="8"/>
  <c r="M585" i="8"/>
  <c r="M584" i="8" s="1"/>
  <c r="V562" i="8"/>
  <c r="V559" i="8" s="1"/>
  <c r="V558" i="8" s="1"/>
  <c r="R562" i="8"/>
  <c r="R559" i="8" s="1"/>
  <c r="R549" i="8"/>
  <c r="P549" i="8"/>
  <c r="L547" i="8"/>
  <c r="L546" i="8" s="1"/>
  <c r="Q527" i="8"/>
  <c r="K527" i="8"/>
  <c r="M517" i="8"/>
  <c r="M516" i="8"/>
  <c r="M515" i="8"/>
  <c r="M514" i="8"/>
  <c r="M513" i="8"/>
  <c r="M512" i="8"/>
  <c r="M511" i="8"/>
  <c r="M510" i="8"/>
  <c r="X495" i="8"/>
  <c r="S484" i="8"/>
  <c r="P484" i="8"/>
  <c r="X475" i="8"/>
  <c r="U437" i="8"/>
  <c r="Q437" i="8"/>
  <c r="T437" i="8"/>
  <c r="M436" i="8"/>
  <c r="M427" i="8"/>
  <c r="M426" i="8" s="1"/>
  <c r="O415" i="8"/>
  <c r="U383" i="8"/>
  <c r="R383" i="8"/>
  <c r="M382" i="8"/>
  <c r="O372" i="8"/>
  <c r="T364" i="8"/>
  <c r="M359" i="8"/>
  <c r="X342" i="8"/>
  <c r="X335" i="8" s="1"/>
  <c r="T324" i="8"/>
  <c r="S270" i="8"/>
  <c r="L292" i="8"/>
  <c r="M291" i="8"/>
  <c r="L289" i="8"/>
  <c r="L288" i="8"/>
  <c r="L287" i="8"/>
  <c r="L285" i="8"/>
  <c r="P270" i="8"/>
  <c r="M268" i="8"/>
  <c r="M267" i="8" s="1"/>
  <c r="G259" i="8"/>
  <c r="V250" i="8"/>
  <c r="M253" i="8"/>
  <c r="L239" i="8"/>
  <c r="L238" i="8"/>
  <c r="L235" i="8"/>
  <c r="L230" i="8"/>
  <c r="L229" i="8" s="1"/>
  <c r="T212" i="8"/>
  <c r="U212" i="8"/>
  <c r="M207" i="8"/>
  <c r="X197" i="8"/>
  <c r="L200" i="8"/>
  <c r="G197" i="8"/>
  <c r="R190" i="8"/>
  <c r="H190" i="8"/>
  <c r="L180" i="8"/>
  <c r="L179" i="8"/>
  <c r="L178" i="8"/>
  <c r="L177" i="8"/>
  <c r="L176" i="8"/>
  <c r="L175" i="8"/>
  <c r="L174" i="8"/>
  <c r="L173" i="8"/>
  <c r="L168" i="8"/>
  <c r="I158" i="8"/>
  <c r="O158" i="8"/>
  <c r="R129" i="8"/>
  <c r="R128" i="8" s="1"/>
  <c r="X88" i="8"/>
  <c r="X85" i="8" s="1"/>
  <c r="T88" i="8"/>
  <c r="T85" i="8" s="1"/>
  <c r="Q90" i="8"/>
  <c r="Q88" i="8" s="1"/>
  <c r="Q85" i="8" s="1"/>
  <c r="W88" i="8"/>
  <c r="W85" i="8" s="1"/>
  <c r="S88" i="8"/>
  <c r="S85" i="8" s="1"/>
  <c r="I88" i="8"/>
  <c r="I85" i="8" s="1"/>
  <c r="M66" i="8"/>
  <c r="M65" i="8"/>
  <c r="U61" i="8"/>
  <c r="U60" i="8" s="1"/>
  <c r="AH2532" i="12"/>
  <c r="AH2531" i="12"/>
  <c r="N2516" i="12"/>
  <c r="N2514" i="12" s="1"/>
  <c r="W2499" i="12"/>
  <c r="W2498" i="12"/>
  <c r="AF2490" i="12"/>
  <c r="AE2491" i="12"/>
  <c r="AF2481" i="12"/>
  <c r="AE2482" i="12"/>
  <c r="V2468" i="12"/>
  <c r="V2469" i="12"/>
  <c r="Q2424" i="12"/>
  <c r="Q2423" i="12" s="1"/>
  <c r="Q2410" i="12" s="1"/>
  <c r="AF2282" i="12"/>
  <c r="AE2282" i="12" s="1"/>
  <c r="AE2283" i="12"/>
  <c r="AE2280" i="12"/>
  <c r="AF2279" i="12"/>
  <c r="W2175" i="12"/>
  <c r="W2158" i="12" s="1"/>
  <c r="W2157" i="12" s="1"/>
  <c r="V2594" i="12"/>
  <c r="AH2073" i="12"/>
  <c r="AH2072" i="12" s="1"/>
  <c r="AH2071" i="12" s="1"/>
  <c r="AH2069" i="12" s="1"/>
  <c r="AH2601" i="12"/>
  <c r="V2070" i="12"/>
  <c r="V2069" i="12"/>
  <c r="I2066" i="12"/>
  <c r="I2065" i="12" s="1"/>
  <c r="I2064" i="12" s="1"/>
  <c r="L2067" i="12"/>
  <c r="I2039" i="12"/>
  <c r="K2042" i="12"/>
  <c r="Z1902" i="12"/>
  <c r="AF1369" i="12"/>
  <c r="AE1370" i="12"/>
  <c r="AG1367" i="12"/>
  <c r="AG1366" i="12"/>
  <c r="J1351" i="12"/>
  <c r="K1355" i="12"/>
  <c r="H85" i="8"/>
  <c r="H447" i="8"/>
  <c r="S309" i="8"/>
  <c r="R709" i="8"/>
  <c r="N342" i="8"/>
  <c r="J60" i="8"/>
  <c r="M60" i="8" s="1"/>
  <c r="N318" i="9"/>
  <c r="N317" i="9" s="1"/>
  <c r="H318" i="9"/>
  <c r="H317" i="9" s="1"/>
  <c r="AA311" i="9"/>
  <c r="V301" i="9"/>
  <c r="Z301" i="9" s="1"/>
  <c r="R301" i="9"/>
  <c r="N292" i="9"/>
  <c r="N291" i="9" s="1"/>
  <c r="L280" i="9"/>
  <c r="M271" i="9"/>
  <c r="W256" i="9"/>
  <c r="W253" i="9" s="1"/>
  <c r="S256" i="9"/>
  <c r="I256" i="9"/>
  <c r="M237" i="9"/>
  <c r="G185" i="9"/>
  <c r="V310" i="9"/>
  <c r="AA310" i="9" s="1"/>
  <c r="M251" i="8"/>
  <c r="L541" i="8"/>
  <c r="M466" i="8"/>
  <c r="M283" i="9"/>
  <c r="K264" i="9"/>
  <c r="L243" i="9"/>
  <c r="R253" i="9"/>
  <c r="AA230" i="9"/>
  <c r="P534" i="8"/>
  <c r="R197" i="8"/>
  <c r="M691" i="8"/>
  <c r="X684" i="8"/>
  <c r="M98" i="8"/>
  <c r="Q245" i="8"/>
  <c r="W60" i="8"/>
  <c r="W9" i="8" s="1"/>
  <c r="L102" i="8"/>
  <c r="O684" i="8"/>
  <c r="O796" i="8"/>
  <c r="H821" i="8"/>
  <c r="U709" i="8"/>
  <c r="L109" i="8"/>
  <c r="L429" i="8"/>
  <c r="M555" i="8"/>
  <c r="L61" i="8"/>
  <c r="L122" i="8"/>
  <c r="K437" i="8"/>
  <c r="J559" i="8"/>
  <c r="M559" i="8" s="1"/>
  <c r="M821" i="8"/>
  <c r="I309" i="9"/>
  <c r="I308" i="9" s="1"/>
  <c r="Q312" i="9"/>
  <c r="AB301" i="9"/>
  <c r="AA301" i="9" s="1"/>
  <c r="U301" i="9"/>
  <c r="P301" i="9"/>
  <c r="K301" i="9"/>
  <c r="L301" i="9" s="1"/>
  <c r="O292" i="9"/>
  <c r="R295" i="9"/>
  <c r="R281" i="9"/>
  <c r="Y259" i="9"/>
  <c r="L272" i="9"/>
  <c r="AA271" i="9"/>
  <c r="AA267" i="9"/>
  <c r="M261" i="9"/>
  <c r="M260" i="9" s="1"/>
  <c r="X244" i="9"/>
  <c r="Z237" i="9"/>
  <c r="AA234" i="9"/>
  <c r="Z232" i="9"/>
  <c r="L218" i="9"/>
  <c r="AA216" i="9"/>
  <c r="M215" i="9"/>
  <c r="L213" i="9"/>
  <c r="M212" i="9"/>
  <c r="M207" i="9"/>
  <c r="M203" i="9"/>
  <c r="AA201" i="9"/>
  <c r="L201" i="9"/>
  <c r="M195" i="9"/>
  <c r="AA190" i="9"/>
  <c r="AA184" i="9"/>
  <c r="Y174" i="9"/>
  <c r="L176" i="9"/>
  <c r="L175" i="9" s="1"/>
  <c r="G174" i="9"/>
  <c r="AA169" i="9"/>
  <c r="M167" i="9"/>
  <c r="AA160" i="9"/>
  <c r="V159" i="9"/>
  <c r="Z159" i="9" s="1"/>
  <c r="AA157" i="9"/>
  <c r="AB149" i="9"/>
  <c r="U136" i="9"/>
  <c r="Q136" i="9" s="1"/>
  <c r="W143" i="9"/>
  <c r="AA136" i="9"/>
  <c r="J127" i="9"/>
  <c r="M127" i="9" s="1"/>
  <c r="I95" i="9"/>
  <c r="V101" i="9"/>
  <c r="U101" i="9"/>
  <c r="J95" i="9"/>
  <c r="T88" i="9"/>
  <c r="L71" i="9"/>
  <c r="S65" i="9"/>
  <c r="T47" i="9"/>
  <c r="H46" i="9"/>
  <c r="J47" i="9"/>
  <c r="J46" i="9" s="1"/>
  <c r="H849" i="8"/>
  <c r="P811" i="8"/>
  <c r="U796" i="8"/>
  <c r="M799" i="8"/>
  <c r="W789" i="8"/>
  <c r="L783" i="8"/>
  <c r="L782" i="8" s="1"/>
  <c r="O737" i="8"/>
  <c r="M717" i="8"/>
  <c r="M716" i="8" s="1"/>
  <c r="G712" i="8"/>
  <c r="L694" i="8"/>
  <c r="H684" i="8"/>
  <c r="M615" i="8"/>
  <c r="L613" i="8"/>
  <c r="G587" i="8"/>
  <c r="X565" i="8"/>
  <c r="G565" i="8"/>
  <c r="R565" i="8"/>
  <c r="O565" i="8"/>
  <c r="I565" i="8"/>
  <c r="Q549" i="8"/>
  <c r="X538" i="8"/>
  <c r="T538" i="8"/>
  <c r="J538" i="8"/>
  <c r="J534" i="8" s="1"/>
  <c r="Q535" i="8"/>
  <c r="K535" i="8"/>
  <c r="L513" i="8"/>
  <c r="H495" i="8"/>
  <c r="U484" i="8"/>
  <c r="O484" i="8"/>
  <c r="M443" i="8"/>
  <c r="H437" i="8"/>
  <c r="L436" i="8"/>
  <c r="L394" i="8"/>
  <c r="L393" i="8"/>
  <c r="L392" i="8"/>
  <c r="L391" i="8"/>
  <c r="U364" i="8"/>
  <c r="O364" i="8"/>
  <c r="L360" i="8"/>
  <c r="H342" i="8"/>
  <c r="L354" i="8"/>
  <c r="L353" i="8"/>
  <c r="L352" i="8"/>
  <c r="L351" i="8"/>
  <c r="L350" i="8"/>
  <c r="L349" i="8"/>
  <c r="X339" i="8"/>
  <c r="X336" i="8" s="1"/>
  <c r="J339" i="8"/>
  <c r="U324" i="8"/>
  <c r="W324" i="8"/>
  <c r="R309" i="8"/>
  <c r="L307" i="8"/>
  <c r="M293" i="8"/>
  <c r="L268" i="8"/>
  <c r="L267" i="8" s="1"/>
  <c r="T259" i="8"/>
  <c r="N259" i="8"/>
  <c r="H259" i="8"/>
  <c r="M264" i="8"/>
  <c r="M263" i="8"/>
  <c r="M262" i="8"/>
  <c r="V259" i="8"/>
  <c r="O228" i="8"/>
  <c r="M241" i="8"/>
  <c r="M240" i="8"/>
  <c r="M237" i="8"/>
  <c r="M236" i="8"/>
  <c r="M235" i="8"/>
  <c r="M223" i="8"/>
  <c r="S212" i="8"/>
  <c r="S197" i="8"/>
  <c r="M199" i="8"/>
  <c r="M198" i="8" s="1"/>
  <c r="I147" i="8"/>
  <c r="Q135" i="8"/>
  <c r="Q134" i="8" s="1"/>
  <c r="H135" i="8"/>
  <c r="H134" i="8" s="1"/>
  <c r="T120" i="8"/>
  <c r="R120" i="8"/>
  <c r="N88" i="8"/>
  <c r="M80" i="8"/>
  <c r="L70" i="8"/>
  <c r="O21" i="8"/>
  <c r="M24" i="8"/>
  <c r="U21" i="8"/>
  <c r="AB2517" i="12"/>
  <c r="AE2604" i="12"/>
  <c r="AA2502" i="12"/>
  <c r="AB2501" i="12"/>
  <c r="AB2500" i="12" s="1"/>
  <c r="AC2491" i="12"/>
  <c r="AD2492" i="12"/>
  <c r="V2478" i="12"/>
  <c r="R2478" i="12"/>
  <c r="R2476" i="12" s="1"/>
  <c r="R2474" i="12" s="1"/>
  <c r="M2485" i="12"/>
  <c r="L2486" i="12"/>
  <c r="K2482" i="12"/>
  <c r="I2481" i="12"/>
  <c r="I2480" i="12" s="1"/>
  <c r="I2478" i="12" s="1"/>
  <c r="Q2478" i="12"/>
  <c r="Q2476" i="12" s="1"/>
  <c r="Q2474" i="12" s="1"/>
  <c r="AI2458" i="12"/>
  <c r="AI2457" i="12"/>
  <c r="T2460" i="12"/>
  <c r="T2459" i="12" s="1"/>
  <c r="P2461" i="12"/>
  <c r="Y2439" i="12"/>
  <c r="Z2440" i="12"/>
  <c r="I2378" i="12"/>
  <c r="I2376" i="12" s="1"/>
  <c r="L2379" i="12"/>
  <c r="L2378" i="12" s="1"/>
  <c r="L2376" i="12" s="1"/>
  <c r="AA2358" i="12"/>
  <c r="AD2358" i="12"/>
  <c r="AI2261" i="12"/>
  <c r="AI2244" i="12" s="1"/>
  <c r="AI2236" i="12" s="1"/>
  <c r="AI2235" i="12" s="1"/>
  <c r="AI2598" i="12"/>
  <c r="V2222" i="12"/>
  <c r="V2223" i="12"/>
  <c r="AF2223" i="12"/>
  <c r="O2217" i="12"/>
  <c r="O2216" i="12" s="1"/>
  <c r="O2214" i="12" s="1"/>
  <c r="AF2144" i="12"/>
  <c r="AF2145" i="12"/>
  <c r="AG2057" i="12"/>
  <c r="AG2058" i="12"/>
  <c r="Z1947" i="12"/>
  <c r="J1742" i="12"/>
  <c r="K1742" i="12" s="1"/>
  <c r="K1743" i="12"/>
  <c r="AI1419" i="12"/>
  <c r="AE1280" i="12"/>
  <c r="AF1279" i="12"/>
  <c r="AF1278" i="12" s="1"/>
  <c r="R222" i="8"/>
  <c r="L227" i="8"/>
  <c r="U225" i="8"/>
  <c r="U222" i="8" s="1"/>
  <c r="R212" i="8"/>
  <c r="V215" i="8"/>
  <c r="V212" i="8" s="1"/>
  <c r="H158" i="8"/>
  <c r="M154" i="8"/>
  <c r="K147" i="8"/>
  <c r="P119" i="8"/>
  <c r="I10" i="8"/>
  <c r="H10" i="8"/>
  <c r="J2584" i="12"/>
  <c r="K2585" i="12"/>
  <c r="Z2555" i="12"/>
  <c r="Y2554" i="12"/>
  <c r="Y2548" i="12" s="1"/>
  <c r="Z2548" i="12" s="1"/>
  <c r="AF2555" i="12"/>
  <c r="M2554" i="12"/>
  <c r="M2552" i="12" s="1"/>
  <c r="L2555" i="12"/>
  <c r="AC2540" i="12"/>
  <c r="AD2541" i="12"/>
  <c r="AF2539" i="12"/>
  <c r="AF2537" i="12" s="1"/>
  <c r="Y2524" i="12"/>
  <c r="Z2524" i="12" s="1"/>
  <c r="AF2485" i="12"/>
  <c r="AE2486" i="12"/>
  <c r="AD2485" i="12"/>
  <c r="AC2484" i="12"/>
  <c r="AG2468" i="12"/>
  <c r="AG2469" i="12"/>
  <c r="AF2464" i="12"/>
  <c r="AE2464" i="12" s="1"/>
  <c r="AC2443" i="12"/>
  <c r="AD2443" i="12" s="1"/>
  <c r="AD2444" i="12"/>
  <c r="AD2384" i="12"/>
  <c r="AE2384" i="12"/>
  <c r="AB2383" i="12"/>
  <c r="AB2382" i="12" s="1"/>
  <c r="J2287" i="12"/>
  <c r="K2288" i="12"/>
  <c r="V2244" i="12"/>
  <c r="K2226" i="12"/>
  <c r="J2225" i="12"/>
  <c r="K2206" i="12"/>
  <c r="J2205" i="12"/>
  <c r="AD2144" i="12"/>
  <c r="AD2145" i="12"/>
  <c r="AI2138" i="12"/>
  <c r="AI2139" i="12"/>
  <c r="AA2067" i="12"/>
  <c r="AB2066" i="12"/>
  <c r="AA2066" i="12" s="1"/>
  <c r="AE2067" i="12"/>
  <c r="AD2055" i="12"/>
  <c r="AB2039" i="12"/>
  <c r="AE2042" i="12"/>
  <c r="AE2039" i="12" s="1"/>
  <c r="AA2042" i="12"/>
  <c r="AE1993" i="12"/>
  <c r="AF1992" i="12"/>
  <c r="AF1991" i="12" s="1"/>
  <c r="V1990" i="12"/>
  <c r="V1989" i="12"/>
  <c r="AA1989" i="12" s="1"/>
  <c r="AA1941" i="12"/>
  <c r="AE1797" i="12"/>
  <c r="AF1796" i="12"/>
  <c r="M1797" i="12"/>
  <c r="M1796" i="12" s="1"/>
  <c r="M1794" i="12" s="1"/>
  <c r="L1794" i="12" s="1"/>
  <c r="L1798" i="12"/>
  <c r="L1657" i="12"/>
  <c r="M1656" i="12"/>
  <c r="M1655" i="12" s="1"/>
  <c r="AD1476" i="12"/>
  <c r="AC1467" i="12"/>
  <c r="AD1467" i="12" s="1"/>
  <c r="Z1005" i="12"/>
  <c r="Y1004" i="12"/>
  <c r="Q1003" i="12"/>
  <c r="Q1001" i="12" s="1"/>
  <c r="L1003" i="12"/>
  <c r="L1001" i="12" s="1"/>
  <c r="AD2585" i="12"/>
  <c r="AC2584" i="12"/>
  <c r="AC2583" i="12" s="1"/>
  <c r="AG2562" i="12"/>
  <c r="AG2561" i="12" s="1"/>
  <c r="AG2560" i="12" s="1"/>
  <c r="AG2559" i="12" s="1"/>
  <c r="Z2556" i="12"/>
  <c r="AF2534" i="12"/>
  <c r="AF2533" i="12" s="1"/>
  <c r="M2534" i="12"/>
  <c r="X2516" i="12"/>
  <c r="P2524" i="12"/>
  <c r="Z2518" i="12"/>
  <c r="R2516" i="12"/>
  <c r="R2514" i="12" s="1"/>
  <c r="Z2486" i="12"/>
  <c r="T2485" i="12"/>
  <c r="T2484" i="12" s="1"/>
  <c r="Z2482" i="12"/>
  <c r="T2481" i="12"/>
  <c r="T2480" i="12" s="1"/>
  <c r="AA2443" i="12"/>
  <c r="AD2440" i="12"/>
  <c r="AA2435" i="12"/>
  <c r="AB2424" i="12"/>
  <c r="AA2425" i="12"/>
  <c r="I2425" i="12"/>
  <c r="I2424" i="12" s="1"/>
  <c r="I2423" i="12" s="1"/>
  <c r="I2410" i="12" s="1"/>
  <c r="AE2358" i="12"/>
  <c r="AA2343" i="12"/>
  <c r="AH2330" i="12"/>
  <c r="M2323" i="12"/>
  <c r="L2323" i="12" s="1"/>
  <c r="R2317" i="12"/>
  <c r="K2307" i="12"/>
  <c r="AH2236" i="12"/>
  <c r="AH2235" i="12" s="1"/>
  <c r="AA2261" i="12"/>
  <c r="AA2251" i="12"/>
  <c r="U2244" i="12"/>
  <c r="U2236" i="12" s="1"/>
  <c r="U2235" i="12" s="1"/>
  <c r="Z2218" i="12"/>
  <c r="K2218" i="12"/>
  <c r="AG2208" i="12"/>
  <c r="AG2209" i="12"/>
  <c r="W2209" i="12"/>
  <c r="AB2205" i="12"/>
  <c r="V2203" i="12"/>
  <c r="N2157" i="12"/>
  <c r="N2155" i="12" s="1"/>
  <c r="L2189" i="12"/>
  <c r="S2158" i="12"/>
  <c r="N2158" i="12"/>
  <c r="AE2112" i="12"/>
  <c r="AF2111" i="12"/>
  <c r="Z2108" i="12"/>
  <c r="X2098" i="12"/>
  <c r="AB2095" i="12"/>
  <c r="AA2096" i="12"/>
  <c r="AG2081" i="12"/>
  <c r="AF2073" i="12"/>
  <c r="AF2072" i="12" s="1"/>
  <c r="AE2074" i="12"/>
  <c r="Z2067" i="12"/>
  <c r="L2064" i="12"/>
  <c r="L2066" i="12"/>
  <c r="Y2060" i="12"/>
  <c r="L2055" i="12"/>
  <c r="AC2054" i="12"/>
  <c r="AF2039" i="12"/>
  <c r="AF2038" i="12" s="1"/>
  <c r="V2039" i="12"/>
  <c r="V2038" i="12" s="1"/>
  <c r="R2039" i="12"/>
  <c r="R2038" i="12" s="1"/>
  <c r="R2010" i="12" s="1"/>
  <c r="L2042" i="12"/>
  <c r="U2010" i="12"/>
  <c r="AF2013" i="12"/>
  <c r="AE2014" i="12"/>
  <c r="M2006" i="12"/>
  <c r="M2005" i="12" s="1"/>
  <c r="M2003" i="12" s="1"/>
  <c r="P2000" i="12"/>
  <c r="T1999" i="12"/>
  <c r="T1998" i="12" s="1"/>
  <c r="P1993" i="12"/>
  <c r="T1992" i="12"/>
  <c r="P1992" i="12" s="1"/>
  <c r="AA1985" i="12"/>
  <c r="AA1984" i="12" s="1"/>
  <c r="AA1977" i="12"/>
  <c r="AE1977" i="12"/>
  <c r="AI1947" i="12"/>
  <c r="AD1947" i="12"/>
  <c r="X1940" i="12"/>
  <c r="X1930" i="12" s="1"/>
  <c r="K1926" i="12"/>
  <c r="P1919" i="12"/>
  <c r="K1919" i="12"/>
  <c r="N1909" i="12"/>
  <c r="N1908" i="12" s="1"/>
  <c r="AD1900" i="12"/>
  <c r="Y1867" i="12"/>
  <c r="Y1866" i="12" s="1"/>
  <c r="Y1865" i="12" s="1"/>
  <c r="V1851" i="12"/>
  <c r="V1852" i="12"/>
  <c r="AC1822" i="12"/>
  <c r="AD1822" i="12" s="1"/>
  <c r="AD1823" i="12"/>
  <c r="AA1804" i="12"/>
  <c r="AB1803" i="12"/>
  <c r="AB1802" i="12"/>
  <c r="AI1797" i="12"/>
  <c r="AI1796" i="12" s="1"/>
  <c r="AI1795" i="12" s="1"/>
  <c r="AF1767" i="12"/>
  <c r="AE1767" i="12" s="1"/>
  <c r="Q1753" i="12"/>
  <c r="Q1751" i="12" s="1"/>
  <c r="V1728" i="12"/>
  <c r="AA1735" i="12"/>
  <c r="Y1693" i="12"/>
  <c r="Z1693" i="12" s="1"/>
  <c r="Y1686" i="12"/>
  <c r="Y1685" i="12" s="1"/>
  <c r="Y1683" i="12" s="1"/>
  <c r="Z1687" i="12"/>
  <c r="AG1605" i="12"/>
  <c r="AG1604" i="12"/>
  <c r="U1606" i="12"/>
  <c r="J1555" i="12"/>
  <c r="T1511" i="12"/>
  <c r="P1511" i="12" s="1"/>
  <c r="P1512" i="12"/>
  <c r="AG1506" i="12"/>
  <c r="AG1505" i="12" s="1"/>
  <c r="AG1503" i="12" s="1"/>
  <c r="AA1468" i="12"/>
  <c r="T1392" i="12"/>
  <c r="P1393" i="12"/>
  <c r="O1388" i="12"/>
  <c r="O1387" i="12" s="1"/>
  <c r="O1385" i="12" s="1"/>
  <c r="AD1362" i="12"/>
  <c r="AA1290" i="12"/>
  <c r="AB1289" i="12"/>
  <c r="AF1289" i="12"/>
  <c r="AI1276" i="12"/>
  <c r="AI1277" i="12"/>
  <c r="W1276" i="12"/>
  <c r="W1277" i="12"/>
  <c r="M1268" i="12"/>
  <c r="L1268" i="12" s="1"/>
  <c r="L1269" i="12"/>
  <c r="K1268" i="12"/>
  <c r="AF1230" i="12"/>
  <c r="AE1231" i="12"/>
  <c r="AH1168" i="12"/>
  <c r="AH1167" i="12"/>
  <c r="U1096" i="12"/>
  <c r="U1097" i="12"/>
  <c r="AG1084" i="12"/>
  <c r="AG1083" i="12"/>
  <c r="V989" i="12"/>
  <c r="V990" i="12"/>
  <c r="AH2553" i="12"/>
  <c r="AH2516" i="12"/>
  <c r="AB2507" i="12"/>
  <c r="AA2507" i="12" s="1"/>
  <c r="AE2502" i="12"/>
  <c r="O2478" i="12"/>
  <c r="Z2481" i="12"/>
  <c r="Y2480" i="12"/>
  <c r="AB2465" i="12"/>
  <c r="AB2464" i="12" s="1"/>
  <c r="Y2457" i="12"/>
  <c r="AB2454" i="12"/>
  <c r="AB2453" i="12" s="1"/>
  <c r="V2443" i="12"/>
  <c r="W2424" i="12"/>
  <c r="W2423" i="12" s="1"/>
  <c r="W2422" i="12" s="1"/>
  <c r="N2424" i="12"/>
  <c r="N2423" i="12" s="1"/>
  <c r="N2410" i="12" s="1"/>
  <c r="S2424" i="12"/>
  <c r="S2423" i="12" s="1"/>
  <c r="S2410" i="12" s="1"/>
  <c r="AF2424" i="12"/>
  <c r="U2424" i="12"/>
  <c r="U2423" i="12" s="1"/>
  <c r="P2391" i="12"/>
  <c r="T2390" i="12"/>
  <c r="T2389" i="12" s="1"/>
  <c r="AI2376" i="12"/>
  <c r="Y2379" i="12"/>
  <c r="V2329" i="12"/>
  <c r="V2328" i="12" s="1"/>
  <c r="S2317" i="12"/>
  <c r="AG2307" i="12"/>
  <c r="S2307" i="12"/>
  <c r="V2294" i="12"/>
  <c r="AG2287" i="12"/>
  <c r="W2287" i="12"/>
  <c r="AC2217" i="12"/>
  <c r="AC2216" i="12" s="1"/>
  <c r="AC2214" i="12" s="1"/>
  <c r="X2217" i="12"/>
  <c r="X2216" i="12" s="1"/>
  <c r="T2217" i="12"/>
  <c r="AF2217" i="12"/>
  <c r="L2198" i="12"/>
  <c r="M2197" i="12"/>
  <c r="AE2189" i="12"/>
  <c r="AI2158" i="12"/>
  <c r="AI2157" i="12" s="1"/>
  <c r="M2158" i="12"/>
  <c r="AB2164" i="12"/>
  <c r="R2158" i="12"/>
  <c r="Y2144" i="12"/>
  <c r="AB2139" i="12"/>
  <c r="AB2129" i="12"/>
  <c r="P2112" i="12"/>
  <c r="AF2107" i="12"/>
  <c r="P2073" i="12"/>
  <c r="AI2039" i="12"/>
  <c r="AI2038" i="12" s="1"/>
  <c r="AC2013" i="12"/>
  <c r="Z1985" i="12"/>
  <c r="Z1984" i="12" s="1"/>
  <c r="AG1977" i="12"/>
  <c r="Z1977" i="12"/>
  <c r="AG1960" i="12"/>
  <c r="AH1960" i="12"/>
  <c r="Y1931" i="12"/>
  <c r="Y1930" i="12" s="1"/>
  <c r="Y1929" i="12" s="1"/>
  <c r="Z1935" i="12"/>
  <c r="Z1931" i="12" s="1"/>
  <c r="U1931" i="12"/>
  <c r="U1930" i="12" s="1"/>
  <c r="U1929" i="12" s="1"/>
  <c r="AD1913" i="12"/>
  <c r="AB1909" i="12"/>
  <c r="AE1910" i="12"/>
  <c r="V1805" i="12"/>
  <c r="V1804" i="12" s="1"/>
  <c r="R1805" i="12"/>
  <c r="R1804" i="12" s="1"/>
  <c r="R1802" i="12" s="1"/>
  <c r="P1789" i="12"/>
  <c r="Z1743" i="12"/>
  <c r="Y1742" i="12"/>
  <c r="AE1707" i="12"/>
  <c r="J1706" i="12"/>
  <c r="K1707" i="12"/>
  <c r="AI1645" i="12"/>
  <c r="AI1644" i="12" s="1"/>
  <c r="R1645" i="12"/>
  <c r="AF1590" i="12"/>
  <c r="L1550" i="12"/>
  <c r="AE1547" i="12"/>
  <c r="L1491" i="12"/>
  <c r="U1467" i="12"/>
  <c r="S1388" i="12"/>
  <c r="S1387" i="12" s="1"/>
  <c r="S1385" i="12" s="1"/>
  <c r="N1388" i="12"/>
  <c r="N1387" i="12" s="1"/>
  <c r="N1385" i="12" s="1"/>
  <c r="AB1369" i="12"/>
  <c r="AA1370" i="12"/>
  <c r="Z1355" i="12"/>
  <c r="Y1351" i="12"/>
  <c r="Z1351" i="12" s="1"/>
  <c r="W1346" i="12"/>
  <c r="AF1310" i="12"/>
  <c r="AF1308" i="12" s="1"/>
  <c r="AE1311" i="12"/>
  <c r="M1274" i="12"/>
  <c r="M1273" i="12" s="1"/>
  <c r="Z1273" i="12"/>
  <c r="AF1240" i="12"/>
  <c r="AE1243" i="12"/>
  <c r="M1220" i="12"/>
  <c r="L1220" i="12" s="1"/>
  <c r="L1221" i="12"/>
  <c r="V1198" i="12"/>
  <c r="AA1199" i="12"/>
  <c r="L1195" i="12"/>
  <c r="M1189" i="12"/>
  <c r="K1171" i="12"/>
  <c r="I1170" i="12"/>
  <c r="AF1105" i="12"/>
  <c r="AE1106" i="12"/>
  <c r="W1077" i="12"/>
  <c r="W1078" i="12"/>
  <c r="AB835" i="12"/>
  <c r="AA835" i="12" s="1"/>
  <c r="AE836" i="12"/>
  <c r="V527" i="12"/>
  <c r="AA528" i="12"/>
  <c r="I46" i="9"/>
  <c r="I40" i="9" s="1"/>
  <c r="V41" i="9"/>
  <c r="L27" i="9"/>
  <c r="N9" i="9"/>
  <c r="M9" i="9" s="1"/>
  <c r="P9" i="9"/>
  <c r="V849" i="8"/>
  <c r="P849" i="8"/>
  <c r="L848" i="8"/>
  <c r="V827" i="8"/>
  <c r="M841" i="8"/>
  <c r="L830" i="8"/>
  <c r="R827" i="8"/>
  <c r="V824" i="8"/>
  <c r="V821" i="8" s="1"/>
  <c r="V820" i="8" s="1"/>
  <c r="M825" i="8"/>
  <c r="L806" i="8"/>
  <c r="M803" i="8"/>
  <c r="X800" i="8"/>
  <c r="K800" i="8"/>
  <c r="K796" i="8" s="1"/>
  <c r="X789" i="8"/>
  <c r="L781" i="8"/>
  <c r="L775" i="8"/>
  <c r="U757" i="8"/>
  <c r="O746" i="8"/>
  <c r="L750" i="8"/>
  <c r="I746" i="8"/>
  <c r="H737" i="8"/>
  <c r="I715" i="8"/>
  <c r="L704" i="8"/>
  <c r="M703" i="8"/>
  <c r="G699" i="8"/>
  <c r="Q699" i="8"/>
  <c r="L690" i="8"/>
  <c r="L688" i="8" s="1"/>
  <c r="M689" i="8"/>
  <c r="M688" i="8" s="1"/>
  <c r="L687" i="8"/>
  <c r="Q685" i="8"/>
  <c r="Q684" i="8" s="1"/>
  <c r="K685" i="8"/>
  <c r="K684" i="8" s="1"/>
  <c r="V677" i="8"/>
  <c r="L661" i="8"/>
  <c r="M650" i="8"/>
  <c r="M649" i="8"/>
  <c r="M648" i="8"/>
  <c r="O645" i="8"/>
  <c r="I645" i="8"/>
  <c r="M644" i="8"/>
  <c r="O634" i="8"/>
  <c r="M623" i="8"/>
  <c r="G622" i="8"/>
  <c r="G609" i="8" s="1"/>
  <c r="Q595" i="8"/>
  <c r="G594" i="8"/>
  <c r="R587" i="8"/>
  <c r="H587" i="8"/>
  <c r="L586" i="8"/>
  <c r="M577" i="8"/>
  <c r="M576" i="8"/>
  <c r="M574" i="8"/>
  <c r="M573" i="8"/>
  <c r="M572" i="8"/>
  <c r="L568" i="8"/>
  <c r="M564" i="8"/>
  <c r="X562" i="8"/>
  <c r="X559" i="8" s="1"/>
  <c r="L548" i="8"/>
  <c r="Q538" i="8"/>
  <c r="K538" i="8"/>
  <c r="L533" i="8"/>
  <c r="L532" i="8"/>
  <c r="W527" i="8"/>
  <c r="T527" i="8"/>
  <c r="M524" i="8"/>
  <c r="M509" i="8"/>
  <c r="M508" i="8" s="1"/>
  <c r="M507" i="8"/>
  <c r="M505" i="8"/>
  <c r="M503" i="8"/>
  <c r="L500" i="8"/>
  <c r="M499" i="8"/>
  <c r="L498" i="8"/>
  <c r="G495" i="8"/>
  <c r="G484" i="8"/>
  <c r="M467" i="8"/>
  <c r="M457" i="8"/>
  <c r="L443" i="8"/>
  <c r="O437" i="8"/>
  <c r="G437" i="8"/>
  <c r="L431" i="8"/>
  <c r="L430" i="8" s="1"/>
  <c r="S422" i="8"/>
  <c r="J423" i="8"/>
  <c r="T415" i="8"/>
  <c r="L414" i="8"/>
  <c r="L413" i="8"/>
  <c r="L412" i="8"/>
  <c r="M411" i="8"/>
  <c r="L410" i="8"/>
  <c r="M399" i="8"/>
  <c r="L362" i="8"/>
  <c r="L361" i="8" s="1"/>
  <c r="M346" i="8"/>
  <c r="M345" i="8"/>
  <c r="O342" i="8"/>
  <c r="V339" i="8"/>
  <c r="V336" i="8" s="1"/>
  <c r="R339" i="8"/>
  <c r="R336" i="8" s="1"/>
  <c r="L341" i="8"/>
  <c r="P324" i="8"/>
  <c r="L311" i="8"/>
  <c r="L310" i="8" s="1"/>
  <c r="S302" i="8"/>
  <c r="M296" i="8"/>
  <c r="M295" i="8" s="1"/>
  <c r="L284" i="8"/>
  <c r="L283" i="8" s="1"/>
  <c r="M275" i="8"/>
  <c r="L248" i="8"/>
  <c r="L247" i="8" s="1"/>
  <c r="L241" i="8"/>
  <c r="L224" i="8"/>
  <c r="O190" i="8"/>
  <c r="M169" i="8"/>
  <c r="M168" i="8"/>
  <c r="M167" i="8"/>
  <c r="M166" i="8"/>
  <c r="T158" i="8"/>
  <c r="U135" i="8"/>
  <c r="U134" i="8" s="1"/>
  <c r="R135" i="8"/>
  <c r="R134" i="8" s="1"/>
  <c r="T135" i="8"/>
  <c r="T134" i="8" s="1"/>
  <c r="Q131" i="8"/>
  <c r="Q130" i="8"/>
  <c r="M130" i="8"/>
  <c r="X120" i="8"/>
  <c r="G85" i="8"/>
  <c r="G60" i="8"/>
  <c r="M63" i="8"/>
  <c r="M62" i="8"/>
  <c r="H60" i="8"/>
  <c r="M57" i="8"/>
  <c r="M56" i="8" s="1"/>
  <c r="S53" i="8"/>
  <c r="P53" i="8"/>
  <c r="L50" i="8"/>
  <c r="L49" i="8"/>
  <c r="L48" i="8"/>
  <c r="S21" i="8"/>
  <c r="L20" i="8"/>
  <c r="M15" i="8"/>
  <c r="T2585" i="12"/>
  <c r="L2584" i="12"/>
  <c r="AD2556" i="12"/>
  <c r="P2556" i="12"/>
  <c r="Z2535" i="12"/>
  <c r="V2532" i="12"/>
  <c r="AC2524" i="12"/>
  <c r="AG2516" i="12"/>
  <c r="AA2508" i="12"/>
  <c r="AD2482" i="12"/>
  <c r="S2478" i="12"/>
  <c r="S2476" i="12" s="1"/>
  <c r="S2474" i="12" s="1"/>
  <c r="N2478" i="12"/>
  <c r="Z2443" i="12"/>
  <c r="AE2440" i="12"/>
  <c r="V2438" i="12"/>
  <c r="V2437" i="12" s="1"/>
  <c r="AA2433" i="12"/>
  <c r="AD2431" i="12"/>
  <c r="R2424" i="12"/>
  <c r="R2423" i="12" s="1"/>
  <c r="R2410" i="12" s="1"/>
  <c r="AE2425" i="12"/>
  <c r="X2424" i="12"/>
  <c r="X2423" i="12" s="1"/>
  <c r="X2422" i="12" s="1"/>
  <c r="P2425" i="12"/>
  <c r="V2424" i="12"/>
  <c r="V2423" i="12" s="1"/>
  <c r="P2402" i="12"/>
  <c r="AG2399" i="12"/>
  <c r="AD2396" i="12"/>
  <c r="Z2385" i="12"/>
  <c r="K2380" i="12"/>
  <c r="AE2374" i="12"/>
  <c r="AE2340" i="12"/>
  <c r="P2323" i="12"/>
  <c r="K2317" i="12"/>
  <c r="Y2294" i="12"/>
  <c r="Z2294" i="12" s="1"/>
  <c r="U2294" i="12"/>
  <c r="AF2294" i="12"/>
  <c r="X2286" i="12"/>
  <c r="Q2287" i="12"/>
  <c r="AA2280" i="12"/>
  <c r="X2261" i="12"/>
  <c r="X2244" i="12" s="1"/>
  <c r="X2236" i="12" s="1"/>
  <c r="X2235" i="12" s="1"/>
  <c r="U2225" i="12"/>
  <c r="U2224" i="12" s="1"/>
  <c r="AE2220" i="12"/>
  <c r="W2217" i="12"/>
  <c r="W2216" i="12" s="1"/>
  <c r="Z2197" i="12"/>
  <c r="AD2189" i="12"/>
  <c r="P2189" i="12"/>
  <c r="U2157" i="12"/>
  <c r="U2155" i="12" s="1"/>
  <c r="AE2164" i="12"/>
  <c r="Q2158" i="12"/>
  <c r="Q2157" i="12" s="1"/>
  <c r="Q2155" i="12" s="1"/>
  <c r="Q2154" i="12" s="1"/>
  <c r="X2145" i="12"/>
  <c r="AE2135" i="12"/>
  <c r="AG2126" i="12"/>
  <c r="AG2127" i="12"/>
  <c r="AB2111" i="12"/>
  <c r="AB2110" i="12" s="1"/>
  <c r="AA2110" i="12" s="1"/>
  <c r="AA2112" i="12"/>
  <c r="U2052" i="12"/>
  <c r="K2049" i="12"/>
  <c r="AH2613" i="12"/>
  <c r="AE2601" i="12"/>
  <c r="AA1993" i="12"/>
  <c r="AE1984" i="12"/>
  <c r="Z1960" i="12"/>
  <c r="AA1947" i="12"/>
  <c r="V1940" i="12"/>
  <c r="AC1940" i="12"/>
  <c r="AE1932" i="12"/>
  <c r="Z1882" i="12"/>
  <c r="AG1820" i="12"/>
  <c r="AG1819" i="12"/>
  <c r="J1805" i="12"/>
  <c r="T1805" i="12"/>
  <c r="AG1794" i="12"/>
  <c r="AG1795" i="12"/>
  <c r="AC1754" i="12"/>
  <c r="AC1728" i="12"/>
  <c r="R1720" i="12"/>
  <c r="AH1690" i="12"/>
  <c r="J1670" i="12"/>
  <c r="K1671" i="12"/>
  <c r="X1599" i="12"/>
  <c r="X1590" i="12" s="1"/>
  <c r="X1589" i="12" s="1"/>
  <c r="AF1591" i="12"/>
  <c r="AE1592" i="12"/>
  <c r="P1585" i="12"/>
  <c r="N1555" i="12"/>
  <c r="AD1552" i="12"/>
  <c r="K1550" i="12"/>
  <c r="AD1547" i="12"/>
  <c r="AB1532" i="12"/>
  <c r="AD1533" i="12"/>
  <c r="K1528" i="12"/>
  <c r="AE1517" i="12"/>
  <c r="AA1517" i="12"/>
  <c r="I1507" i="12"/>
  <c r="I1506" i="12" s="1"/>
  <c r="I1505" i="12" s="1"/>
  <c r="I1503" i="12" s="1"/>
  <c r="L1508" i="12"/>
  <c r="AE1497" i="12"/>
  <c r="AC1486" i="12"/>
  <c r="AC1485" i="12" s="1"/>
  <c r="AC1483" i="12" s="1"/>
  <c r="AD1489" i="12"/>
  <c r="N1486" i="12"/>
  <c r="N1485" i="12" s="1"/>
  <c r="N1483" i="12" s="1"/>
  <c r="AI1486" i="12"/>
  <c r="AI1485" i="12" s="1"/>
  <c r="W1486" i="12"/>
  <c r="W1485" i="12" s="1"/>
  <c r="S1486" i="12"/>
  <c r="S1485" i="12" s="1"/>
  <c r="S1483" i="12" s="1"/>
  <c r="AA1452" i="12"/>
  <c r="AB1446" i="12"/>
  <c r="AA1446" i="12" s="1"/>
  <c r="AC1437" i="12"/>
  <c r="AD1438" i="12"/>
  <c r="AI1408" i="12"/>
  <c r="AI1407" i="12" s="1"/>
  <c r="AI1406" i="12" s="1"/>
  <c r="AI1388" i="12"/>
  <c r="AI1387" i="12" s="1"/>
  <c r="AH1350" i="12"/>
  <c r="AH1346" i="12" s="1"/>
  <c r="R1350" i="12"/>
  <c r="AF1342" i="12"/>
  <c r="AF1341" i="12" s="1"/>
  <c r="AE1343" i="12"/>
  <c r="AH1338" i="12"/>
  <c r="AH1339" i="12"/>
  <c r="S1327" i="12"/>
  <c r="AE1290" i="12"/>
  <c r="Y1279" i="12"/>
  <c r="Y1278" i="12" s="1"/>
  <c r="Z1280" i="12"/>
  <c r="X1248" i="12"/>
  <c r="AH1248" i="12"/>
  <c r="AB1248" i="12"/>
  <c r="AA1249" i="12"/>
  <c r="AE1171" i="12"/>
  <c r="AF1170" i="12"/>
  <c r="AH1125" i="12"/>
  <c r="AH1124" i="12"/>
  <c r="AH1071" i="12"/>
  <c r="AH1072" i="12"/>
  <c r="N1013" i="12"/>
  <c r="K982" i="12"/>
  <c r="J981" i="12"/>
  <c r="AI613" i="12"/>
  <c r="AI614" i="12"/>
  <c r="AH607" i="12"/>
  <c r="AH608" i="12"/>
  <c r="AE571" i="12"/>
  <c r="AF570" i="12"/>
  <c r="AF569" i="12" s="1"/>
  <c r="AB1867" i="12"/>
  <c r="AE1847" i="12"/>
  <c r="Z1817" i="12"/>
  <c r="U1805" i="12"/>
  <c r="U1804" i="12" s="1"/>
  <c r="U1802" i="12" s="1"/>
  <c r="Q1805" i="12"/>
  <c r="Q1804" i="12" s="1"/>
  <c r="Q1802" i="12" s="1"/>
  <c r="AA1789" i="12"/>
  <c r="N1754" i="12"/>
  <c r="N1753" i="12" s="1"/>
  <c r="N1751" i="12" s="1"/>
  <c r="M1742" i="12"/>
  <c r="K1733" i="12"/>
  <c r="M1728" i="12"/>
  <c r="O1720" i="12"/>
  <c r="N1720" i="12"/>
  <c r="I1720" i="12"/>
  <c r="W1703" i="12"/>
  <c r="S1703" i="12"/>
  <c r="N1703" i="12"/>
  <c r="AF1706" i="12"/>
  <c r="V1703" i="12"/>
  <c r="O1682" i="12"/>
  <c r="O1680" i="12" s="1"/>
  <c r="Z1657" i="12"/>
  <c r="Y1656" i="12"/>
  <c r="AA1649" i="12"/>
  <c r="X1645" i="12"/>
  <c r="Z1631" i="12"/>
  <c r="Z1625" i="12"/>
  <c r="AA1622" i="12"/>
  <c r="K1611" i="12"/>
  <c r="AC1599" i="12"/>
  <c r="W1599" i="12"/>
  <c r="AB1591" i="12"/>
  <c r="AA1592" i="12"/>
  <c r="AA1591" i="12" s="1"/>
  <c r="AI1591" i="12"/>
  <c r="Y1590" i="12"/>
  <c r="Y1589" i="12" s="1"/>
  <c r="K1586" i="12"/>
  <c r="W1555" i="12"/>
  <c r="S1555" i="12"/>
  <c r="AF1555" i="12"/>
  <c r="Y1555" i="12"/>
  <c r="U1555" i="12"/>
  <c r="Q1555" i="12"/>
  <c r="AE1552" i="12"/>
  <c r="Z1552" i="12"/>
  <c r="I1546" i="12"/>
  <c r="T1532" i="12"/>
  <c r="P1532" i="12" s="1"/>
  <c r="AC1511" i="12"/>
  <c r="AA1489" i="12"/>
  <c r="Y1467" i="12"/>
  <c r="O1457" i="12"/>
  <c r="O1456" i="12" s="1"/>
  <c r="O1454" i="12" s="1"/>
  <c r="AE1452" i="12"/>
  <c r="Z1452" i="12"/>
  <c r="L1447" i="12"/>
  <c r="X1437" i="12"/>
  <c r="X1436" i="12" s="1"/>
  <c r="AI1436" i="12"/>
  <c r="AG1409" i="12"/>
  <c r="AH1388" i="12"/>
  <c r="AH1387" i="12" s="1"/>
  <c r="R1388" i="12"/>
  <c r="R1387" i="12" s="1"/>
  <c r="R1385" i="12" s="1"/>
  <c r="AA1382" i="12"/>
  <c r="V1363" i="12"/>
  <c r="V1350" i="12"/>
  <c r="AG1350" i="12"/>
  <c r="AG1346" i="12" s="1"/>
  <c r="Z1358" i="12"/>
  <c r="Q1350" i="12"/>
  <c r="Q1346" i="12" s="1"/>
  <c r="Q1344" i="12" s="1"/>
  <c r="T1351" i="12"/>
  <c r="I1351" i="12"/>
  <c r="I1350" i="12" s="1"/>
  <c r="I1346" i="12" s="1"/>
  <c r="I1344" i="12" s="1"/>
  <c r="K1341" i="12"/>
  <c r="L1333" i="12"/>
  <c r="AC1328" i="12"/>
  <c r="L1302" i="12"/>
  <c r="AH1297" i="12"/>
  <c r="AA1294" i="12"/>
  <c r="K1292" i="12"/>
  <c r="Z1290" i="12"/>
  <c r="Z1274" i="12"/>
  <c r="AC1248" i="12"/>
  <c r="AG1240" i="12"/>
  <c r="AF1207" i="12"/>
  <c r="T1198" i="12"/>
  <c r="AD1190" i="12"/>
  <c r="AC1189" i="12"/>
  <c r="Z1178" i="12"/>
  <c r="Y1177" i="12"/>
  <c r="Z1177" i="12" s="1"/>
  <c r="L1171" i="12"/>
  <c r="W1146" i="12"/>
  <c r="AF1143" i="12"/>
  <c r="AE1143" i="12" s="1"/>
  <c r="AG1138" i="12"/>
  <c r="AI1124" i="12"/>
  <c r="AI1110" i="12" s="1"/>
  <c r="AI1108" i="12" s="1"/>
  <c r="AI1125" i="12"/>
  <c r="W1124" i="12"/>
  <c r="W1125" i="12"/>
  <c r="W1113" i="12"/>
  <c r="W1112" i="12"/>
  <c r="AC1099" i="12"/>
  <c r="AC1098" i="12" s="1"/>
  <c r="AC1097" i="12" s="1"/>
  <c r="AD1100" i="12"/>
  <c r="AI1089" i="12"/>
  <c r="AI1090" i="12"/>
  <c r="W1089" i="12"/>
  <c r="W1090" i="12"/>
  <c r="L1047" i="12"/>
  <c r="M1046" i="12"/>
  <c r="M1045" i="12" s="1"/>
  <c r="AF1023" i="12"/>
  <c r="AE1023" i="12" s="1"/>
  <c r="AE1024" i="12"/>
  <c r="AI1001" i="12"/>
  <c r="AI1002" i="12"/>
  <c r="Y986" i="12"/>
  <c r="P982" i="12"/>
  <c r="T981" i="12"/>
  <c r="W707" i="12"/>
  <c r="Z479" i="12"/>
  <c r="Y478" i="12"/>
  <c r="U477" i="12"/>
  <c r="U475" i="12" s="1"/>
  <c r="N467" i="12"/>
  <c r="N466" i="12" s="1"/>
  <c r="AA2604" i="12"/>
  <c r="Z2396" i="12"/>
  <c r="AD2391" i="12"/>
  <c r="V2387" i="12"/>
  <c r="V2388" i="12"/>
  <c r="K2379" i="12"/>
  <c r="K2378" i="12" s="1"/>
  <c r="K2376" i="12" s="1"/>
  <c r="AD2374" i="12"/>
  <c r="AC2373" i="12"/>
  <c r="AC2372" i="12" s="1"/>
  <c r="AD2361" i="12"/>
  <c r="AD2343" i="12"/>
  <c r="P2317" i="12"/>
  <c r="Z2307" i="12"/>
  <c r="T2294" i="12"/>
  <c r="K2300" i="12"/>
  <c r="Z2295" i="12"/>
  <c r="V2287" i="12"/>
  <c r="K2291" i="12"/>
  <c r="I2287" i="12"/>
  <c r="K2287" i="12" s="1"/>
  <c r="Z2251" i="12"/>
  <c r="S2217" i="12"/>
  <c r="S2216" i="12" s="1"/>
  <c r="S2214" i="12" s="1"/>
  <c r="P2211" i="12"/>
  <c r="Z2189" i="12"/>
  <c r="P2175" i="12"/>
  <c r="O2158" i="12"/>
  <c r="K2175" i="12"/>
  <c r="AG2158" i="12"/>
  <c r="AG2157" i="12" s="1"/>
  <c r="AG2155" i="12" s="1"/>
  <c r="AD2136" i="12"/>
  <c r="AA2117" i="12"/>
  <c r="AA2105" i="12"/>
  <c r="AA2106" i="12"/>
  <c r="P2083" i="12"/>
  <c r="Z2077" i="12"/>
  <c r="Z2076" i="12"/>
  <c r="K2067" i="12"/>
  <c r="Z2049" i="12"/>
  <c r="AG2042" i="12"/>
  <c r="AD2042" i="12"/>
  <c r="X2039" i="12"/>
  <c r="X2038" i="12" s="1"/>
  <c r="P2042" i="12"/>
  <c r="O2039" i="12"/>
  <c r="O2038" i="12" s="1"/>
  <c r="O2010" i="12" s="1"/>
  <c r="J2039" i="12"/>
  <c r="J2038" i="12" s="1"/>
  <c r="Z2014" i="12"/>
  <c r="AE2006" i="12"/>
  <c r="AE1935" i="12"/>
  <c r="Z1926" i="12"/>
  <c r="AH1909" i="12"/>
  <c r="AH1908" i="12" s="1"/>
  <c r="AH1907" i="12" s="1"/>
  <c r="V1909" i="12"/>
  <c r="V1908" i="12" s="1"/>
  <c r="R1909" i="12"/>
  <c r="R1908" i="12" s="1"/>
  <c r="R1864" i="12" s="1"/>
  <c r="M1909" i="12"/>
  <c r="M1908" i="12" s="1"/>
  <c r="M1864" i="12" s="1"/>
  <c r="Z1910" i="12"/>
  <c r="AE1899" i="12"/>
  <c r="W1882" i="12"/>
  <c r="Z1871" i="12"/>
  <c r="V1867" i="12"/>
  <c r="V1866" i="12" s="1"/>
  <c r="V1865" i="12" s="1"/>
  <c r="AE1822" i="12"/>
  <c r="AD1817" i="12"/>
  <c r="P1817" i="12"/>
  <c r="L1815" i="12"/>
  <c r="P1806" i="12"/>
  <c r="P1798" i="12"/>
  <c r="AD1743" i="12"/>
  <c r="W1739" i="12"/>
  <c r="Z1737" i="12"/>
  <c r="AD1733" i="12"/>
  <c r="Z1729" i="12"/>
  <c r="P1725" i="12"/>
  <c r="Z1723" i="12"/>
  <c r="L1707" i="12"/>
  <c r="Z1700" i="12"/>
  <c r="Z1699" i="12" s="1"/>
  <c r="Z1698" i="12" s="1"/>
  <c r="Z1697" i="12" s="1"/>
  <c r="AF1694" i="12"/>
  <c r="AF1693" i="12" s="1"/>
  <c r="S1682" i="12"/>
  <c r="S1680" i="12" s="1"/>
  <c r="T1686" i="12"/>
  <c r="L1671" i="12"/>
  <c r="AI1653" i="12"/>
  <c r="AD1657" i="12"/>
  <c r="P1657" i="12"/>
  <c r="K1657" i="12"/>
  <c r="AI1654" i="12"/>
  <c r="P1650" i="12"/>
  <c r="AG1645" i="12"/>
  <c r="AG1644" i="12" s="1"/>
  <c r="AC1645" i="12"/>
  <c r="AC1618" i="12" s="1"/>
  <c r="N1645" i="12"/>
  <c r="P1631" i="12"/>
  <c r="Y1630" i="12"/>
  <c r="Z1630" i="12" s="1"/>
  <c r="P1625" i="12"/>
  <c r="AI1621" i="12"/>
  <c r="AD1602" i="12"/>
  <c r="V1599" i="12"/>
  <c r="Z1596" i="12"/>
  <c r="Z1592" i="12"/>
  <c r="AH1591" i="12"/>
  <c r="AD1579" i="12"/>
  <c r="AI1555" i="12"/>
  <c r="AA1567" i="12"/>
  <c r="L1567" i="12"/>
  <c r="P1560" i="12"/>
  <c r="AE1556" i="12"/>
  <c r="X1546" i="12"/>
  <c r="P1550" i="12"/>
  <c r="Z1540" i="12"/>
  <c r="AE1533" i="12"/>
  <c r="Z1530" i="12"/>
  <c r="K1530" i="12"/>
  <c r="AA1528" i="12"/>
  <c r="R1507" i="12"/>
  <c r="L1528" i="12"/>
  <c r="AA1511" i="12"/>
  <c r="M1507" i="12"/>
  <c r="Z1491" i="12"/>
  <c r="U1486" i="12"/>
  <c r="U1485" i="12" s="1"/>
  <c r="U1483" i="12" s="1"/>
  <c r="Q1486" i="12"/>
  <c r="Q1485" i="12" s="1"/>
  <c r="Q1483" i="12" s="1"/>
  <c r="K1489" i="12"/>
  <c r="V1486" i="12"/>
  <c r="V1485" i="12" s="1"/>
  <c r="Z1467" i="12"/>
  <c r="V1467" i="12"/>
  <c r="X1467" i="12"/>
  <c r="AD1464" i="12"/>
  <c r="AA1462" i="12"/>
  <c r="P1458" i="12"/>
  <c r="P1447" i="12"/>
  <c r="O1446" i="12"/>
  <c r="I1446" i="12"/>
  <c r="L1446" i="12" s="1"/>
  <c r="L1441" i="12"/>
  <c r="R1437" i="12"/>
  <c r="R1436" i="12" s="1"/>
  <c r="R1434" i="12" s="1"/>
  <c r="J1437" i="12"/>
  <c r="K1437" i="12" s="1"/>
  <c r="Z1399" i="12"/>
  <c r="V1388" i="12"/>
  <c r="V1387" i="12" s="1"/>
  <c r="K1392" i="12"/>
  <c r="AD1382" i="12"/>
  <c r="V1381" i="12"/>
  <c r="P1373" i="12"/>
  <c r="AD1370" i="12"/>
  <c r="AE1362" i="12"/>
  <c r="AE1360" i="12"/>
  <c r="AD1359" i="12"/>
  <c r="AE1358" i="12"/>
  <c r="P1358" i="12"/>
  <c r="K1358" i="12"/>
  <c r="AI1350" i="12"/>
  <c r="AI1346" i="12" s="1"/>
  <c r="O1350" i="12"/>
  <c r="O1346" i="12" s="1"/>
  <c r="O1344" i="12" s="1"/>
  <c r="AD1349" i="12"/>
  <c r="Z1342" i="12"/>
  <c r="AD1335" i="12"/>
  <c r="AA1331" i="12"/>
  <c r="K1331" i="12"/>
  <c r="AG1309" i="12"/>
  <c r="P1298" i="12"/>
  <c r="O1297" i="12"/>
  <c r="K1294" i="12"/>
  <c r="AD1292" i="12"/>
  <c r="P1273" i="12"/>
  <c r="AE1260" i="12"/>
  <c r="Z1260" i="12"/>
  <c r="K1254" i="12"/>
  <c r="AE1249" i="12"/>
  <c r="T1248" i="12"/>
  <c r="AD1243" i="12"/>
  <c r="X1240" i="12"/>
  <c r="T1240" i="12"/>
  <c r="P1240" i="12" s="1"/>
  <c r="O1240" i="12"/>
  <c r="AA1241" i="12"/>
  <c r="R1240" i="12"/>
  <c r="AD1230" i="12"/>
  <c r="X1223" i="12"/>
  <c r="J1220" i="12"/>
  <c r="K1220" i="12" s="1"/>
  <c r="K1221" i="12"/>
  <c r="Z1215" i="12"/>
  <c r="K1215" i="12"/>
  <c r="L1203" i="12"/>
  <c r="AF1198" i="12"/>
  <c r="AD1195" i="12"/>
  <c r="P1195" i="12"/>
  <c r="AH1188" i="12"/>
  <c r="K1182" i="12"/>
  <c r="L1182" i="12"/>
  <c r="I1181" i="12"/>
  <c r="AE1178" i="12"/>
  <c r="AF1177" i="12"/>
  <c r="J1177" i="12"/>
  <c r="J1176" i="12" s="1"/>
  <c r="K1178" i="12"/>
  <c r="L1155" i="12"/>
  <c r="L1151" i="12"/>
  <c r="AH1146" i="12"/>
  <c r="R1146" i="12"/>
  <c r="L1141" i="12"/>
  <c r="AA1139" i="12"/>
  <c r="V1138" i="12"/>
  <c r="AF1128" i="12"/>
  <c r="AE1130" i="12"/>
  <c r="P1130" i="12"/>
  <c r="O1110" i="12"/>
  <c r="O1108" i="12" s="1"/>
  <c r="S1110" i="12"/>
  <c r="S1108" i="12" s="1"/>
  <c r="AB1105" i="12"/>
  <c r="AB1104" i="12" s="1"/>
  <c r="AB1103" i="12" s="1"/>
  <c r="AD1106" i="12"/>
  <c r="AA1106" i="12"/>
  <c r="AA1087" i="12"/>
  <c r="Y1080" i="12"/>
  <c r="Z1081" i="12"/>
  <c r="AI1077" i="12"/>
  <c r="P1075" i="12"/>
  <c r="T1074" i="12"/>
  <c r="T1073" i="12" s="1"/>
  <c r="AD1062" i="12"/>
  <c r="X1043" i="12"/>
  <c r="X1044" i="12"/>
  <c r="N1028" i="12"/>
  <c r="N1026" i="12" s="1"/>
  <c r="Z1019" i="12"/>
  <c r="Y1018" i="12"/>
  <c r="AB998" i="12"/>
  <c r="AA999" i="12"/>
  <c r="AG918" i="12"/>
  <c r="AG919" i="12"/>
  <c r="W903" i="12"/>
  <c r="W902" i="12"/>
  <c r="AD853" i="12"/>
  <c r="AC852" i="12"/>
  <c r="V652" i="12"/>
  <c r="V651" i="12" s="1"/>
  <c r="AA653" i="12"/>
  <c r="V575" i="12"/>
  <c r="Z576" i="12"/>
  <c r="AD1910" i="12"/>
  <c r="P1910" i="12"/>
  <c r="AA1902" i="12"/>
  <c r="AE1895" i="12"/>
  <c r="AA1882" i="12"/>
  <c r="AD1871" i="12"/>
  <c r="U1867" i="12"/>
  <c r="U1866" i="12" s="1"/>
  <c r="U1865" i="12" s="1"/>
  <c r="U1864" i="12" s="1"/>
  <c r="AG1805" i="12"/>
  <c r="AG1804" i="12" s="1"/>
  <c r="W1759" i="12"/>
  <c r="L1755" i="12"/>
  <c r="P1737" i="12"/>
  <c r="N1728" i="12"/>
  <c r="L1733" i="12"/>
  <c r="X1728" i="12"/>
  <c r="T1728" i="12"/>
  <c r="O1728" i="12"/>
  <c r="AI1720" i="12"/>
  <c r="W1720" i="12"/>
  <c r="S1720" i="12"/>
  <c r="L1725" i="12"/>
  <c r="AE1723" i="12"/>
  <c r="X1720" i="12"/>
  <c r="X1719" i="12" s="1"/>
  <c r="P1723" i="12"/>
  <c r="U1703" i="12"/>
  <c r="K1711" i="12"/>
  <c r="P1707" i="12"/>
  <c r="AE1702" i="12"/>
  <c r="L1686" i="12"/>
  <c r="M1685" i="12"/>
  <c r="U1660" i="12"/>
  <c r="U1659" i="12" s="1"/>
  <c r="AB1645" i="12"/>
  <c r="AA1647" i="12"/>
  <c r="L1611" i="12"/>
  <c r="Y1610" i="12"/>
  <c r="Y1606" i="12" s="1"/>
  <c r="AI1599" i="12"/>
  <c r="Y1599" i="12"/>
  <c r="U1599" i="12"/>
  <c r="U1590" i="12" s="1"/>
  <c r="U1589" i="12" s="1"/>
  <c r="U1543" i="12" s="1"/>
  <c r="AG1590" i="12"/>
  <c r="AG1589" i="12" s="1"/>
  <c r="AC1591" i="12"/>
  <c r="AC1590" i="12" s="1"/>
  <c r="W1591" i="12"/>
  <c r="Y1585" i="12"/>
  <c r="Z1585" i="12" s="1"/>
  <c r="P1577" i="12"/>
  <c r="AA2608" i="12"/>
  <c r="AH1555" i="12"/>
  <c r="K1567" i="12"/>
  <c r="AD1556" i="12"/>
  <c r="P1556" i="12"/>
  <c r="AG1546" i="12"/>
  <c r="AC1546" i="12"/>
  <c r="Y1546" i="12"/>
  <c r="U1546" i="12"/>
  <c r="U1545" i="12" s="1"/>
  <c r="Q1546" i="12"/>
  <c r="Q1545" i="12" s="1"/>
  <c r="Q1543" i="12" s="1"/>
  <c r="AE1539" i="12"/>
  <c r="L1532" i="12"/>
  <c r="N1507" i="12"/>
  <c r="N1506" i="12" s="1"/>
  <c r="N1505" i="12" s="1"/>
  <c r="N1503" i="12" s="1"/>
  <c r="Y1508" i="12"/>
  <c r="Z1508" i="12" s="1"/>
  <c r="U1507" i="12"/>
  <c r="U1506" i="12" s="1"/>
  <c r="U1505" i="12" s="1"/>
  <c r="Q1507" i="12"/>
  <c r="Q1506" i="12" s="1"/>
  <c r="Q1505" i="12" s="1"/>
  <c r="Q1503" i="12" s="1"/>
  <c r="P1491" i="12"/>
  <c r="I1486" i="12"/>
  <c r="I1485" i="12" s="1"/>
  <c r="I1483" i="12" s="1"/>
  <c r="O1486" i="12"/>
  <c r="O1485" i="12" s="1"/>
  <c r="O1483" i="12" s="1"/>
  <c r="AB1467" i="12"/>
  <c r="W1467" i="12"/>
  <c r="N1464" i="12"/>
  <c r="P1464" i="12" s="1"/>
  <c r="W1446" i="12"/>
  <c r="S1446" i="12"/>
  <c r="Q1437" i="12"/>
  <c r="AH1437" i="12"/>
  <c r="AH1436" i="12" s="1"/>
  <c r="I1437" i="12"/>
  <c r="I1436" i="12" s="1"/>
  <c r="I1434" i="12" s="1"/>
  <c r="AE1399" i="12"/>
  <c r="P1399" i="12"/>
  <c r="K1389" i="12"/>
  <c r="P1363" i="12"/>
  <c r="AD1360" i="12"/>
  <c r="S1350" i="12"/>
  <c r="S1346" i="12" s="1"/>
  <c r="S1344" i="12" s="1"/>
  <c r="Z1341" i="12"/>
  <c r="L1341" i="12"/>
  <c r="P1335" i="12"/>
  <c r="T1334" i="12"/>
  <c r="L1324" i="12"/>
  <c r="P1294" i="12"/>
  <c r="W1289" i="12"/>
  <c r="S1289" i="12"/>
  <c r="T1289" i="12"/>
  <c r="T1279" i="12"/>
  <c r="AE1268" i="12"/>
  <c r="M1254" i="12"/>
  <c r="L1254" i="12" s="1"/>
  <c r="U1248" i="12"/>
  <c r="Q1248" i="12"/>
  <c r="I1248" i="12"/>
  <c r="AD1249" i="12"/>
  <c r="Y1240" i="12"/>
  <c r="U1240" i="12"/>
  <c r="Q1240" i="12"/>
  <c r="AD1220" i="12"/>
  <c r="N1198" i="12"/>
  <c r="W1189" i="12"/>
  <c r="M1170" i="12"/>
  <c r="M1169" i="12" s="1"/>
  <c r="V1168" i="12"/>
  <c r="V1167" i="12"/>
  <c r="K1127" i="12"/>
  <c r="J1126" i="12"/>
  <c r="K1126" i="12" s="1"/>
  <c r="AF1116" i="12"/>
  <c r="AE1123" i="12"/>
  <c r="V1083" i="12"/>
  <c r="V1084" i="12"/>
  <c r="M1086" i="12"/>
  <c r="AH1084" i="12"/>
  <c r="X1072" i="12"/>
  <c r="X1071" i="12"/>
  <c r="V1040" i="12"/>
  <c r="V1039" i="12" s="1"/>
  <c r="AA1041" i="12"/>
  <c r="L1033" i="12"/>
  <c r="AG995" i="12"/>
  <c r="AG996" i="12"/>
  <c r="V978" i="12"/>
  <c r="V979" i="12"/>
  <c r="X979" i="12"/>
  <c r="Z941" i="12"/>
  <c r="Y940" i="12"/>
  <c r="U939" i="12"/>
  <c r="U937" i="12"/>
  <c r="L711" i="12"/>
  <c r="M710" i="12"/>
  <c r="Z685" i="12"/>
  <c r="Y684" i="12"/>
  <c r="X1189" i="12"/>
  <c r="T1189" i="12"/>
  <c r="AG1176" i="12"/>
  <c r="U1176" i="12"/>
  <c r="U1174" i="12" s="1"/>
  <c r="AA1177" i="12"/>
  <c r="P1153" i="12"/>
  <c r="O1146" i="12"/>
  <c r="O1137" i="12" s="1"/>
  <c r="O1135" i="12" s="1"/>
  <c r="O1134" i="12" s="1"/>
  <c r="O1132" i="12" s="1"/>
  <c r="N1146" i="12"/>
  <c r="Z1141" i="12"/>
  <c r="AC1138" i="12"/>
  <c r="N1138" i="12"/>
  <c r="Z1128" i="12"/>
  <c r="Z1116" i="12"/>
  <c r="AB1086" i="12"/>
  <c r="AB1085" i="12" s="1"/>
  <c r="AG1078" i="12"/>
  <c r="AD1069" i="12"/>
  <c r="AA1062" i="12"/>
  <c r="R1053" i="12"/>
  <c r="R1052" i="12" s="1"/>
  <c r="R1050" i="12" s="1"/>
  <c r="AI1053" i="12"/>
  <c r="AI1052" i="12" s="1"/>
  <c r="AI1051" i="12" s="1"/>
  <c r="X1028" i="12"/>
  <c r="M1032" i="12"/>
  <c r="V1017" i="12"/>
  <c r="T992" i="12"/>
  <c r="M975" i="12"/>
  <c r="T970" i="12"/>
  <c r="L965" i="12"/>
  <c r="I964" i="12"/>
  <c r="I963" i="12" s="1"/>
  <c r="I962" i="12" s="1"/>
  <c r="W949" i="12"/>
  <c r="W950" i="12"/>
  <c r="T946" i="12"/>
  <c r="X932" i="12"/>
  <c r="X931" i="12"/>
  <c r="R894" i="12"/>
  <c r="AC874" i="12"/>
  <c r="W865" i="12"/>
  <c r="U862" i="12"/>
  <c r="U860" i="12" s="1"/>
  <c r="P800" i="12"/>
  <c r="N799" i="12"/>
  <c r="N790" i="12" s="1"/>
  <c r="N788" i="12" s="1"/>
  <c r="AD792" i="12"/>
  <c r="AC791" i="12"/>
  <c r="X761" i="12"/>
  <c r="U746" i="12"/>
  <c r="K746" i="12"/>
  <c r="J744" i="12"/>
  <c r="Z728" i="12"/>
  <c r="Y727" i="12"/>
  <c r="AI682" i="12"/>
  <c r="M647" i="12"/>
  <c r="L648" i="12"/>
  <c r="Y592" i="12"/>
  <c r="Z593" i="12"/>
  <c r="AE587" i="12"/>
  <c r="AF586" i="12"/>
  <c r="AD564" i="12"/>
  <c r="AC563" i="12"/>
  <c r="AF551" i="12"/>
  <c r="AE552" i="12"/>
  <c r="AA544" i="12"/>
  <c r="AA543" i="12"/>
  <c r="M546" i="12"/>
  <c r="L547" i="12"/>
  <c r="AF535" i="12"/>
  <c r="AE536" i="12"/>
  <c r="AF529" i="12"/>
  <c r="AF528" i="12" s="1"/>
  <c r="AF527" i="12" s="1"/>
  <c r="AE527" i="12" s="1"/>
  <c r="AE530" i="12"/>
  <c r="AE493" i="12"/>
  <c r="I486" i="12"/>
  <c r="N477" i="12"/>
  <c r="N475" i="12" s="1"/>
  <c r="N474" i="12" s="1"/>
  <c r="N472" i="12" s="1"/>
  <c r="M451" i="12"/>
  <c r="L452" i="12"/>
  <c r="Z420" i="12"/>
  <c r="Y419" i="12"/>
  <c r="U419" i="12"/>
  <c r="Y363" i="12"/>
  <c r="Z364" i="12"/>
  <c r="AE125" i="12"/>
  <c r="AF124" i="12"/>
  <c r="X1110" i="12"/>
  <c r="X1108" i="12" s="1"/>
  <c r="N1110" i="12"/>
  <c r="N1108" i="12" s="1"/>
  <c r="AF1086" i="12"/>
  <c r="Z1086" i="12"/>
  <c r="AH1053" i="12"/>
  <c r="AH1052" i="12" s="1"/>
  <c r="AG1053" i="12"/>
  <c r="AG1052" i="12" s="1"/>
  <c r="X1053" i="12"/>
  <c r="X1052" i="12" s="1"/>
  <c r="K1040" i="12"/>
  <c r="I1029" i="12"/>
  <c r="I1028" i="12" s="1"/>
  <c r="I1026" i="12" s="1"/>
  <c r="L1021" i="12"/>
  <c r="AD965" i="12"/>
  <c r="AC964" i="12"/>
  <c r="L959" i="12"/>
  <c r="I958" i="12"/>
  <c r="I957" i="12" s="1"/>
  <c r="I956" i="12" s="1"/>
  <c r="AA889" i="12"/>
  <c r="AH886" i="12"/>
  <c r="AH885" i="12"/>
  <c r="L883" i="12"/>
  <c r="K879" i="12"/>
  <c r="M874" i="12"/>
  <c r="M866" i="12"/>
  <c r="L867" i="12"/>
  <c r="AC838" i="12"/>
  <c r="AC834" i="12" s="1"/>
  <c r="AD839" i="12"/>
  <c r="AE823" i="12"/>
  <c r="AA823" i="12"/>
  <c r="AD821" i="12"/>
  <c r="AI718" i="12"/>
  <c r="AI719" i="12"/>
  <c r="V703" i="12"/>
  <c r="V704" i="12"/>
  <c r="R703" i="12"/>
  <c r="R701" i="12" s="1"/>
  <c r="R704" i="12"/>
  <c r="M704" i="12"/>
  <c r="L704" i="12" s="1"/>
  <c r="M703" i="12"/>
  <c r="R674" i="12"/>
  <c r="AG650" i="12"/>
  <c r="Y636" i="12"/>
  <c r="Z605" i="12"/>
  <c r="Y604" i="12"/>
  <c r="Z587" i="12"/>
  <c r="AF581" i="12"/>
  <c r="AE582" i="12"/>
  <c r="AD525" i="12"/>
  <c r="AC524" i="12"/>
  <c r="AF509" i="12"/>
  <c r="AE510" i="12"/>
  <c r="T500" i="12"/>
  <c r="T499" i="12" s="1"/>
  <c r="P501" i="12"/>
  <c r="J366" i="12"/>
  <c r="J369" i="12"/>
  <c r="J368" i="12" s="1"/>
  <c r="R252" i="12"/>
  <c r="AD249" i="12"/>
  <c r="AA249" i="12"/>
  <c r="AH242" i="12"/>
  <c r="P234" i="12"/>
  <c r="T233" i="12"/>
  <c r="T232" i="12" s="1"/>
  <c r="T230" i="12" s="1"/>
  <c r="AA154" i="12"/>
  <c r="AB151" i="12"/>
  <c r="M151" i="12"/>
  <c r="M150" i="12" s="1"/>
  <c r="L154" i="12"/>
  <c r="V1248" i="12"/>
  <c r="R1248" i="12"/>
  <c r="W1240" i="12"/>
  <c r="S1240" i="12"/>
  <c r="AI1240" i="12"/>
  <c r="AH1240" i="12"/>
  <c r="AH1239" i="12" s="1"/>
  <c r="P1241" i="12"/>
  <c r="I1240" i="12"/>
  <c r="Z1227" i="12"/>
  <c r="P1221" i="12"/>
  <c r="T1220" i="12"/>
  <c r="P1220" i="12" s="1"/>
  <c r="AD1215" i="12"/>
  <c r="I1198" i="12"/>
  <c r="P1193" i="12"/>
  <c r="AD1181" i="12"/>
  <c r="P1178" i="12"/>
  <c r="Z1155" i="12"/>
  <c r="AA1153" i="12"/>
  <c r="Z1151" i="12"/>
  <c r="AG1146" i="12"/>
  <c r="Z1143" i="12"/>
  <c r="AI1138" i="12"/>
  <c r="W1138" i="12"/>
  <c r="W1137" i="12" s="1"/>
  <c r="S1138" i="12"/>
  <c r="U1138" i="12"/>
  <c r="Q1138" i="12"/>
  <c r="K1139" i="12"/>
  <c r="AD1128" i="12"/>
  <c r="K1128" i="12"/>
  <c r="Y1115" i="12"/>
  <c r="AA1100" i="12"/>
  <c r="AA1099" i="12" s="1"/>
  <c r="AA1098" i="12" s="1"/>
  <c r="Y1085" i="12"/>
  <c r="Y1083" i="12" s="1"/>
  <c r="AE1075" i="12"/>
  <c r="AF1053" i="12"/>
  <c r="AI1038" i="12"/>
  <c r="O1028" i="12"/>
  <c r="O1026" i="12" s="1"/>
  <c r="AG1028" i="12"/>
  <c r="U1028" i="12"/>
  <c r="U1026" i="12" s="1"/>
  <c r="Q1028" i="12"/>
  <c r="Q1026" i="12" s="1"/>
  <c r="AA1023" i="12"/>
  <c r="X1018" i="12"/>
  <c r="X1017" i="12" s="1"/>
  <c r="T1018" i="12"/>
  <c r="P1018" i="12" s="1"/>
  <c r="P999" i="12"/>
  <c r="T934" i="12"/>
  <c r="AD922" i="12"/>
  <c r="M921" i="12"/>
  <c r="AF888" i="12"/>
  <c r="AE889" i="12"/>
  <c r="X886" i="12"/>
  <c r="AD881" i="12"/>
  <c r="P879" i="12"/>
  <c r="I874" i="12"/>
  <c r="L879" i="12"/>
  <c r="AG874" i="12"/>
  <c r="AD871" i="12"/>
  <c r="Y866" i="12"/>
  <c r="V775" i="12"/>
  <c r="Z775" i="12" s="1"/>
  <c r="Z778" i="12"/>
  <c r="V756" i="12"/>
  <c r="Z756" i="12" s="1"/>
  <c r="Z757" i="12"/>
  <c r="AH755" i="12"/>
  <c r="AF737" i="12"/>
  <c r="AE738" i="12"/>
  <c r="AF703" i="12"/>
  <c r="AF704" i="12"/>
  <c r="AE705" i="12"/>
  <c r="AE695" i="12"/>
  <c r="AF693" i="12"/>
  <c r="AE693" i="12" s="1"/>
  <c r="AE658" i="12"/>
  <c r="AF657" i="12"/>
  <c r="V656" i="12"/>
  <c r="M658" i="12"/>
  <c r="M657" i="12" s="1"/>
  <c r="L659" i="12"/>
  <c r="AF633" i="12"/>
  <c r="AE634" i="12"/>
  <c r="AF626" i="12"/>
  <c r="AE627" i="12"/>
  <c r="L525" i="12"/>
  <c r="AD501" i="12"/>
  <c r="AC500" i="12"/>
  <c r="AC499" i="12" s="1"/>
  <c r="M486" i="12"/>
  <c r="L487" i="12"/>
  <c r="P463" i="12"/>
  <c r="T462" i="12"/>
  <c r="V452" i="12"/>
  <c r="V451" i="12" s="1"/>
  <c r="AA453" i="12"/>
  <c r="Y446" i="12"/>
  <c r="Z447" i="12"/>
  <c r="Z441" i="12"/>
  <c r="J216" i="12"/>
  <c r="AI799" i="12"/>
  <c r="Z800" i="12"/>
  <c r="Y799" i="12"/>
  <c r="AG791" i="12"/>
  <c r="AG790" i="12" s="1"/>
  <c r="AB791" i="12"/>
  <c r="K755" i="12"/>
  <c r="AG755" i="12"/>
  <c r="Y755" i="12"/>
  <c r="O747" i="12"/>
  <c r="K747" i="12"/>
  <c r="Z738" i="12"/>
  <c r="AC727" i="12"/>
  <c r="Z705" i="12"/>
  <c r="Q703" i="12"/>
  <c r="Q701" i="12" s="1"/>
  <c r="T685" i="12"/>
  <c r="Z627" i="12"/>
  <c r="AC604" i="12"/>
  <c r="AE599" i="12"/>
  <c r="Z582" i="12"/>
  <c r="Z541" i="12"/>
  <c r="Z530" i="12"/>
  <c r="K524" i="12"/>
  <c r="J523" i="12"/>
  <c r="R486" i="12"/>
  <c r="Z487" i="12"/>
  <c r="X478" i="12"/>
  <c r="T478" i="12"/>
  <c r="O478" i="12"/>
  <c r="L441" i="12"/>
  <c r="AG428" i="12"/>
  <c r="AG419" i="12" s="1"/>
  <c r="Z428" i="12"/>
  <c r="X419" i="12"/>
  <c r="X410" i="12" s="1"/>
  <c r="T419" i="12"/>
  <c r="T410" i="12" s="1"/>
  <c r="M419" i="12"/>
  <c r="L420" i="12"/>
  <c r="X399" i="12"/>
  <c r="X400" i="12"/>
  <c r="AD396" i="12"/>
  <c r="AA396" i="12"/>
  <c r="R378" i="12"/>
  <c r="O369" i="12"/>
  <c r="O368" i="12" s="1"/>
  <c r="O366" i="12"/>
  <c r="O352" i="12" s="1"/>
  <c r="O350" i="12" s="1"/>
  <c r="AC356" i="12"/>
  <c r="Z309" i="12"/>
  <c r="P244" i="12"/>
  <c r="AD233" i="12"/>
  <c r="AC232" i="12"/>
  <c r="K187" i="12"/>
  <c r="O186" i="12"/>
  <c r="O184" i="12" s="1"/>
  <c r="O182" i="12" s="1"/>
  <c r="O180" i="12" s="1"/>
  <c r="L779" i="10"/>
  <c r="M780" i="10"/>
  <c r="X600" i="10"/>
  <c r="X599" i="10"/>
  <c r="Z965" i="12"/>
  <c r="Z959" i="12"/>
  <c r="R939" i="12"/>
  <c r="AI919" i="12"/>
  <c r="AD899" i="12"/>
  <c r="AE881" i="12"/>
  <c r="N874" i="12"/>
  <c r="Q866" i="12"/>
  <c r="Q865" i="12" s="1"/>
  <c r="Q863" i="12" s="1"/>
  <c r="Q862" i="12" s="1"/>
  <c r="Q860" i="12" s="1"/>
  <c r="AE871" i="12"/>
  <c r="K871" i="12"/>
  <c r="K869" i="12"/>
  <c r="W851" i="12"/>
  <c r="P845" i="12"/>
  <c r="Z839" i="12"/>
  <c r="P823" i="12"/>
  <c r="AA805" i="12"/>
  <c r="X799" i="12"/>
  <c r="L799" i="12"/>
  <c r="AA796" i="12"/>
  <c r="P794" i="12"/>
  <c r="Y791" i="12"/>
  <c r="T791" i="12"/>
  <c r="AE784" i="12"/>
  <c r="AA775" i="12"/>
  <c r="W766" i="12"/>
  <c r="AE766" i="12"/>
  <c r="W761" i="12"/>
  <c r="X756" i="12"/>
  <c r="AE758" i="12"/>
  <c r="Z752" i="12"/>
  <c r="AE750" i="12"/>
  <c r="AD748" i="12"/>
  <c r="P748" i="12"/>
  <c r="AC747" i="12"/>
  <c r="AD738" i="12"/>
  <c r="T737" i="12"/>
  <c r="P728" i="12"/>
  <c r="AD705" i="12"/>
  <c r="T704" i="12"/>
  <c r="P704" i="12" s="1"/>
  <c r="J704" i="12"/>
  <c r="AC703" i="12"/>
  <c r="AE690" i="12"/>
  <c r="AE681" i="12"/>
  <c r="AA671" i="12"/>
  <c r="W668" i="12"/>
  <c r="K648" i="12"/>
  <c r="AD634" i="12"/>
  <c r="AD627" i="12"/>
  <c r="P627" i="12"/>
  <c r="T626" i="12"/>
  <c r="T625" i="12" s="1"/>
  <c r="K617" i="12"/>
  <c r="P605" i="12"/>
  <c r="AD599" i="12"/>
  <c r="AD582" i="12"/>
  <c r="Z564" i="12"/>
  <c r="I563" i="12"/>
  <c r="I562" i="12" s="1"/>
  <c r="I560" i="12" s="1"/>
  <c r="Z558" i="12"/>
  <c r="I557" i="12"/>
  <c r="I556" i="12" s="1"/>
  <c r="I554" i="12" s="1"/>
  <c r="AD547" i="12"/>
  <c r="K547" i="12"/>
  <c r="AD536" i="12"/>
  <c r="AD530" i="12"/>
  <c r="Z525" i="12"/>
  <c r="Y524" i="12"/>
  <c r="P511" i="12"/>
  <c r="T510" i="12"/>
  <c r="T509" i="12" s="1"/>
  <c r="AA501" i="12"/>
  <c r="AE495" i="12"/>
  <c r="P495" i="12"/>
  <c r="K495" i="12"/>
  <c r="AH486" i="12"/>
  <c r="L491" i="12"/>
  <c r="Z483" i="12"/>
  <c r="R478" i="12"/>
  <c r="L481" i="12"/>
  <c r="AC478" i="12"/>
  <c r="P467" i="12"/>
  <c r="AD453" i="12"/>
  <c r="AB452" i="12"/>
  <c r="P453" i="12"/>
  <c r="T452" i="12"/>
  <c r="T451" i="12" s="1"/>
  <c r="T449" i="12" s="1"/>
  <c r="Z442" i="12"/>
  <c r="L442" i="12"/>
  <c r="AD437" i="12"/>
  <c r="AE428" i="12"/>
  <c r="AC419" i="12"/>
  <c r="L381" i="12"/>
  <c r="AD358" i="12"/>
  <c r="AB357" i="12"/>
  <c r="AD357" i="12" s="1"/>
  <c r="AA358" i="12"/>
  <c r="V252" i="12"/>
  <c r="X243" i="12"/>
  <c r="X242" i="12" s="1"/>
  <c r="T243" i="12"/>
  <c r="P243" i="12" s="1"/>
  <c r="L249" i="12"/>
  <c r="AC243" i="12"/>
  <c r="AD244" i="12"/>
  <c r="AD234" i="12"/>
  <c r="AB233" i="12"/>
  <c r="AA234" i="12"/>
  <c r="P209" i="12"/>
  <c r="AB57" i="12"/>
  <c r="AA58" i="12"/>
  <c r="AE57" i="12"/>
  <c r="AF56" i="12"/>
  <c r="N906" i="12"/>
  <c r="N905" i="12" s="1"/>
  <c r="N904" i="12" s="1"/>
  <c r="N902" i="12" s="1"/>
  <c r="P901" i="12"/>
  <c r="T899" i="12"/>
  <c r="P889" i="12"/>
  <c r="P883" i="12"/>
  <c r="K883" i="12"/>
  <c r="AH866" i="12"/>
  <c r="X866" i="12"/>
  <c r="T866" i="12"/>
  <c r="AI834" i="12"/>
  <c r="AI833" i="12" s="1"/>
  <c r="Z838" i="12"/>
  <c r="U799" i="12"/>
  <c r="U790" i="12" s="1"/>
  <c r="U788" i="12" s="1"/>
  <c r="W799" i="12"/>
  <c r="J791" i="12"/>
  <c r="J790" i="12" s="1"/>
  <c r="J788" i="12" s="1"/>
  <c r="AA794" i="12"/>
  <c r="AE792" i="12"/>
  <c r="P792" i="12"/>
  <c r="AI755" i="12"/>
  <c r="AC755" i="12"/>
  <c r="U755" i="12"/>
  <c r="P750" i="12"/>
  <c r="AG747" i="12"/>
  <c r="AG746" i="12" s="1"/>
  <c r="M747" i="12"/>
  <c r="I747" i="12"/>
  <c r="Y747" i="12"/>
  <c r="N699" i="12"/>
  <c r="AB704" i="12"/>
  <c r="AA704" i="12" s="1"/>
  <c r="Y703" i="12"/>
  <c r="I703" i="12"/>
  <c r="I701" i="12" s="1"/>
  <c r="K701" i="12" s="1"/>
  <c r="AH701" i="12"/>
  <c r="AE671" i="12"/>
  <c r="K665" i="12"/>
  <c r="AE611" i="12"/>
  <c r="AA611" i="12"/>
  <c r="P599" i="12"/>
  <c r="T598" i="12"/>
  <c r="AD541" i="12"/>
  <c r="AA527" i="12"/>
  <c r="K525" i="12"/>
  <c r="AE501" i="12"/>
  <c r="AI486" i="12"/>
  <c r="AD487" i="12"/>
  <c r="W486" i="12"/>
  <c r="S486" i="12"/>
  <c r="Y486" i="12"/>
  <c r="M478" i="12"/>
  <c r="AE466" i="12"/>
  <c r="AE467" i="12"/>
  <c r="L446" i="12"/>
  <c r="AF442" i="12"/>
  <c r="K441" i="12"/>
  <c r="AD428" i="12"/>
  <c r="L416" i="12"/>
  <c r="AI411" i="12"/>
  <c r="AH400" i="12"/>
  <c r="AH399" i="12"/>
  <c r="AE396" i="12"/>
  <c r="Y356" i="12"/>
  <c r="AE289" i="12"/>
  <c r="L259" i="12"/>
  <c r="K249" i="12"/>
  <c r="O243" i="12"/>
  <c r="Y232" i="12"/>
  <c r="Y231" i="12" s="1"/>
  <c r="AE190" i="12"/>
  <c r="V96" i="12"/>
  <c r="V830" i="10"/>
  <c r="R830" i="10" s="1"/>
  <c r="R831" i="10"/>
  <c r="V411" i="12"/>
  <c r="M411" i="12"/>
  <c r="X386" i="12"/>
  <c r="T386" i="12"/>
  <c r="Y386" i="12"/>
  <c r="U386" i="12"/>
  <c r="Q386" i="12"/>
  <c r="K370" i="12"/>
  <c r="W366" i="12"/>
  <c r="AF357" i="12"/>
  <c r="W318" i="12"/>
  <c r="W317" i="12" s="1"/>
  <c r="AB318" i="12"/>
  <c r="AB317" i="12" s="1"/>
  <c r="AH309" i="12"/>
  <c r="AH302" i="12" s="1"/>
  <c r="V309" i="12"/>
  <c r="AA309" i="12" s="1"/>
  <c r="AD304" i="12"/>
  <c r="X303" i="12"/>
  <c r="W302" i="12"/>
  <c r="W301" i="12" s="1"/>
  <c r="AI288" i="12"/>
  <c r="Z264" i="12"/>
  <c r="AH252" i="12"/>
  <c r="AG252" i="12"/>
  <c r="N253" i="12"/>
  <c r="P253" i="12" s="1"/>
  <c r="M243" i="12"/>
  <c r="AF233" i="12"/>
  <c r="K218" i="12"/>
  <c r="W215" i="12"/>
  <c r="K210" i="12"/>
  <c r="Z196" i="12"/>
  <c r="N187" i="12"/>
  <c r="N186" i="12" s="1"/>
  <c r="N184" i="12" s="1"/>
  <c r="N182" i="12" s="1"/>
  <c r="K192" i="12"/>
  <c r="AA190" i="12"/>
  <c r="AI187" i="12"/>
  <c r="AI186" i="12" s="1"/>
  <c r="AC187" i="12"/>
  <c r="I187" i="12"/>
  <c r="Z177" i="12"/>
  <c r="AB170" i="12"/>
  <c r="AD170" i="12" s="1"/>
  <c r="AD172" i="12"/>
  <c r="AC169" i="12"/>
  <c r="Z158" i="12"/>
  <c r="AG151" i="12"/>
  <c r="AG150" i="12" s="1"/>
  <c r="Z154" i="12"/>
  <c r="U151" i="12"/>
  <c r="U150" i="12" s="1"/>
  <c r="U148" i="12" s="1"/>
  <c r="U146" i="12" s="1"/>
  <c r="Q151" i="12"/>
  <c r="Q150" i="12" s="1"/>
  <c r="Q148" i="12" s="1"/>
  <c r="Q146" i="12" s="1"/>
  <c r="I132" i="12"/>
  <c r="I131" i="12" s="1"/>
  <c r="I129" i="12" s="1"/>
  <c r="I127" i="12" s="1"/>
  <c r="AF106" i="12"/>
  <c r="AE106" i="12" s="1"/>
  <c r="AE107" i="12"/>
  <c r="AF97" i="12"/>
  <c r="AE98" i="12"/>
  <c r="W60" i="12"/>
  <c r="W61" i="12"/>
  <c r="J57" i="12"/>
  <c r="K58" i="12"/>
  <c r="P57" i="12"/>
  <c r="T56" i="12"/>
  <c r="R853" i="10"/>
  <c r="X779" i="10"/>
  <c r="W643" i="10"/>
  <c r="W642" i="10"/>
  <c r="Z501" i="12"/>
  <c r="Z495" i="12"/>
  <c r="P493" i="12"/>
  <c r="Z491" i="12"/>
  <c r="O486" i="12"/>
  <c r="K487" i="12"/>
  <c r="AD483" i="12"/>
  <c r="K483" i="12"/>
  <c r="AH478" i="12"/>
  <c r="AH477" i="12" s="1"/>
  <c r="AI478" i="12"/>
  <c r="W478" i="12"/>
  <c r="S478" i="12"/>
  <c r="AD456" i="12"/>
  <c r="AH452" i="12"/>
  <c r="AH451" i="12" s="1"/>
  <c r="AH449" i="12" s="1"/>
  <c r="AD442" i="12"/>
  <c r="K442" i="12"/>
  <c r="AA437" i="12"/>
  <c r="L437" i="12"/>
  <c r="V428" i="12"/>
  <c r="AA428" i="12" s="1"/>
  <c r="AI419" i="12"/>
  <c r="W419" i="12"/>
  <c r="W410" i="12" s="1"/>
  <c r="S419" i="12"/>
  <c r="AB416" i="12"/>
  <c r="AA416" i="12" s="1"/>
  <c r="AA413" i="12"/>
  <c r="Y411" i="12"/>
  <c r="U411" i="12"/>
  <c r="Q411" i="12"/>
  <c r="AI386" i="12"/>
  <c r="AD393" i="12"/>
  <c r="K393" i="12"/>
  <c r="AA391" i="12"/>
  <c r="L391" i="12"/>
  <c r="AG386" i="12"/>
  <c r="AG377" i="12" s="1"/>
  <c r="AC386" i="12"/>
  <c r="I386" i="12"/>
  <c r="O378" i="12"/>
  <c r="Z381" i="12"/>
  <c r="U378" i="12"/>
  <c r="Q378" i="12"/>
  <c r="R369" i="12"/>
  <c r="R368" i="12" s="1"/>
  <c r="S366" i="12"/>
  <c r="R352" i="12"/>
  <c r="R350" i="12" s="1"/>
  <c r="L357" i="12"/>
  <c r="AH354" i="12"/>
  <c r="AD334" i="12"/>
  <c r="AI318" i="12"/>
  <c r="AI317" i="12" s="1"/>
  <c r="AG318" i="12"/>
  <c r="AG317" i="12" s="1"/>
  <c r="P319" i="12"/>
  <c r="AD312" i="12"/>
  <c r="AG309" i="12"/>
  <c r="Z310" i="12"/>
  <c r="AD306" i="12"/>
  <c r="AF303" i="12"/>
  <c r="AA304" i="12"/>
  <c r="Y288" i="12"/>
  <c r="AD283" i="12"/>
  <c r="Y282" i="12"/>
  <c r="T270" i="12"/>
  <c r="P270" i="12" s="1"/>
  <c r="AE271" i="12"/>
  <c r="L269" i="12"/>
  <c r="AE264" i="12"/>
  <c r="P264" i="12"/>
  <c r="Z259" i="12"/>
  <c r="O252" i="12"/>
  <c r="AE255" i="12"/>
  <c r="AI243" i="12"/>
  <c r="AI242" i="12" s="1"/>
  <c r="AE249" i="12"/>
  <c r="AA247" i="12"/>
  <c r="Q243" i="12"/>
  <c r="L233" i="12"/>
  <c r="Z226" i="12"/>
  <c r="L225" i="12"/>
  <c r="AE206" i="12"/>
  <c r="P206" i="12"/>
  <c r="AD202" i="12"/>
  <c r="AH195" i="12"/>
  <c r="N195" i="12"/>
  <c r="X195" i="12"/>
  <c r="T195" i="12"/>
  <c r="O195" i="12"/>
  <c r="AH186" i="12"/>
  <c r="K190" i="12"/>
  <c r="Y187" i="12"/>
  <c r="AG169" i="12"/>
  <c r="AG168" i="12" s="1"/>
  <c r="V169" i="12"/>
  <c r="V168" i="12" s="1"/>
  <c r="Q169" i="12"/>
  <c r="Q168" i="12" s="1"/>
  <c r="Q166" i="12" s="1"/>
  <c r="Q164" i="12" s="1"/>
  <c r="AE158" i="12"/>
  <c r="T151" i="12"/>
  <c r="O151" i="12"/>
  <c r="O150" i="12" s="1"/>
  <c r="O148" i="12" s="1"/>
  <c r="O146" i="12" s="1"/>
  <c r="L144" i="12"/>
  <c r="AE139" i="12"/>
  <c r="N132" i="12"/>
  <c r="N131" i="12" s="1"/>
  <c r="N129" i="12" s="1"/>
  <c r="N127" i="12" s="1"/>
  <c r="K133" i="12"/>
  <c r="T132" i="12"/>
  <c r="W85" i="12"/>
  <c r="W84" i="12"/>
  <c r="N87" i="12"/>
  <c r="N86" i="12" s="1"/>
  <c r="N84" i="12" s="1"/>
  <c r="AD65" i="12"/>
  <c r="AA65" i="12"/>
  <c r="AB64" i="12"/>
  <c r="AB63" i="12" s="1"/>
  <c r="AE58" i="12"/>
  <c r="AI49" i="12"/>
  <c r="X717" i="10"/>
  <c r="X718" i="10"/>
  <c r="AE437" i="12"/>
  <c r="K437" i="12"/>
  <c r="K428" i="12"/>
  <c r="L424" i="12"/>
  <c r="Q419" i="12"/>
  <c r="AG411" i="12"/>
  <c r="I411" i="12"/>
  <c r="K403" i="12"/>
  <c r="J402" i="12"/>
  <c r="K391" i="12"/>
  <c r="N386" i="12"/>
  <c r="W378" i="12"/>
  <c r="W377" i="12" s="1"/>
  <c r="S378" i="12"/>
  <c r="S377" i="12" s="1"/>
  <c r="S375" i="12" s="1"/>
  <c r="S374" i="12" s="1"/>
  <c r="S372" i="12" s="1"/>
  <c r="N378" i="12"/>
  <c r="P381" i="12"/>
  <c r="K381" i="12"/>
  <c r="AI378" i="12"/>
  <c r="AF378" i="12"/>
  <c r="X378" i="12"/>
  <c r="P379" i="12"/>
  <c r="I378" i="12"/>
  <c r="I377" i="12" s="1"/>
  <c r="I375" i="12" s="1"/>
  <c r="I374" i="12" s="1"/>
  <c r="I372" i="12" s="1"/>
  <c r="L370" i="12"/>
  <c r="Y369" i="12"/>
  <c r="Q369" i="12"/>
  <c r="Q368" i="12" s="1"/>
  <c r="I369" i="12"/>
  <c r="I368" i="12" s="1"/>
  <c r="AI367" i="12"/>
  <c r="AH318" i="12"/>
  <c r="AH317" i="12" s="1"/>
  <c r="AF318" i="12"/>
  <c r="X318" i="12"/>
  <c r="X317" i="12" s="1"/>
  <c r="X315" i="12" s="1"/>
  <c r="AF309" i="12"/>
  <c r="AE309" i="12" s="1"/>
  <c r="AE304" i="12"/>
  <c r="V303" i="12"/>
  <c r="AC288" i="12"/>
  <c r="X288" i="12"/>
  <c r="AG282" i="12"/>
  <c r="X282" i="12"/>
  <c r="AD264" i="12"/>
  <c r="P259" i="12"/>
  <c r="W252" i="12"/>
  <c r="S252" i="12"/>
  <c r="S242" i="12" s="1"/>
  <c r="S240" i="12" s="1"/>
  <c r="S239" i="12" s="1"/>
  <c r="S237" i="12" s="1"/>
  <c r="S236" i="12" s="1"/>
  <c r="AB252" i="12"/>
  <c r="AA252" i="12" s="1"/>
  <c r="AG243" i="12"/>
  <c r="Y243" i="12"/>
  <c r="U243" i="12"/>
  <c r="AH231" i="12"/>
  <c r="L218" i="12"/>
  <c r="Y217" i="12"/>
  <c r="I217" i="12"/>
  <c r="I216" i="12" s="1"/>
  <c r="I214" i="12" s="1"/>
  <c r="I212" i="12" s="1"/>
  <c r="L210" i="12"/>
  <c r="Y209" i="12"/>
  <c r="Z209" i="12" s="1"/>
  <c r="I209" i="12"/>
  <c r="K209" i="12" s="1"/>
  <c r="AD206" i="12"/>
  <c r="R195" i="12"/>
  <c r="L198" i="12"/>
  <c r="AI195" i="12"/>
  <c r="W195" i="12"/>
  <c r="S195" i="12"/>
  <c r="L192" i="12"/>
  <c r="AG187" i="12"/>
  <c r="Q187" i="12"/>
  <c r="L175" i="12"/>
  <c r="Y169" i="12"/>
  <c r="U169" i="12"/>
  <c r="U168" i="12" s="1"/>
  <c r="U166" i="12" s="1"/>
  <c r="U164" i="12" s="1"/>
  <c r="I169" i="12"/>
  <c r="I168" i="12" s="1"/>
  <c r="I166" i="12" s="1"/>
  <c r="I164" i="12" s="1"/>
  <c r="AE144" i="12"/>
  <c r="AF143" i="12"/>
  <c r="AH132" i="12"/>
  <c r="AH131" i="12" s="1"/>
  <c r="AD139" i="12"/>
  <c r="Y132" i="12"/>
  <c r="U132" i="12"/>
  <c r="U131" i="12" s="1"/>
  <c r="U129" i="12" s="1"/>
  <c r="U127" i="12" s="1"/>
  <c r="AB87" i="12"/>
  <c r="AB86" i="12" s="1"/>
  <c r="AA88" i="12"/>
  <c r="L87" i="12"/>
  <c r="Y81" i="12"/>
  <c r="Z81" i="12" s="1"/>
  <c r="Z82" i="12"/>
  <c r="M69" i="12"/>
  <c r="AD28" i="12"/>
  <c r="AB25" i="12"/>
  <c r="AA25" i="12" s="1"/>
  <c r="AA28" i="12"/>
  <c r="W833" i="10"/>
  <c r="W835" i="10"/>
  <c r="W834" i="10" s="1"/>
  <c r="Y712" i="10"/>
  <c r="Y711" i="10" s="1"/>
  <c r="U712" i="10"/>
  <c r="U711" i="10" s="1"/>
  <c r="U709" i="10" s="1"/>
  <c r="P712" i="10"/>
  <c r="P711" i="10" s="1"/>
  <c r="P709" i="10" s="1"/>
  <c r="W653" i="10"/>
  <c r="W654" i="10"/>
  <c r="K102" i="12"/>
  <c r="Z75" i="12"/>
  <c r="Z52" i="12"/>
  <c r="AG18" i="12"/>
  <c r="AG17" i="12" s="1"/>
  <c r="AD25" i="12"/>
  <c r="V850" i="10"/>
  <c r="P836" i="10"/>
  <c r="P833" i="10" s="1"/>
  <c r="O819" i="10"/>
  <c r="K819" i="10"/>
  <c r="K818" i="10" s="1"/>
  <c r="K812" i="10" s="1"/>
  <c r="N815" i="10"/>
  <c r="W779" i="10"/>
  <c r="W778" i="10" s="1"/>
  <c r="R792" i="10"/>
  <c r="U779" i="10"/>
  <c r="U778" i="10" s="1"/>
  <c r="U771" i="10" s="1"/>
  <c r="L760" i="10"/>
  <c r="M761" i="10"/>
  <c r="V752" i="10"/>
  <c r="R753" i="10"/>
  <c r="R628" i="10"/>
  <c r="W187" i="12"/>
  <c r="W186" i="12" s="1"/>
  <c r="S187" i="12"/>
  <c r="AH169" i="12"/>
  <c r="AH168" i="12" s="1"/>
  <c r="AA160" i="12"/>
  <c r="L160" i="12"/>
  <c r="AD158" i="12"/>
  <c r="K158" i="12"/>
  <c r="AI151" i="12"/>
  <c r="AI150" i="12" s="1"/>
  <c r="AD154" i="12"/>
  <c r="W151" i="12"/>
  <c r="W150" i="12" s="1"/>
  <c r="S151" i="12"/>
  <c r="S150" i="12" s="1"/>
  <c r="S148" i="12" s="1"/>
  <c r="S146" i="12" s="1"/>
  <c r="I151" i="12"/>
  <c r="I150" i="12" s="1"/>
  <c r="I148" i="12" s="1"/>
  <c r="I146" i="12" s="1"/>
  <c r="Z144" i="12"/>
  <c r="Z143" i="12" s="1"/>
  <c r="Z142" i="12" s="1"/>
  <c r="Z141" i="12" s="1"/>
  <c r="AG132" i="12"/>
  <c r="AG131" i="12" s="1"/>
  <c r="AC132" i="12"/>
  <c r="AE135" i="12"/>
  <c r="R132" i="12"/>
  <c r="R131" i="12" s="1"/>
  <c r="R129" i="12" s="1"/>
  <c r="R127" i="12" s="1"/>
  <c r="P133" i="12"/>
  <c r="P107" i="12"/>
  <c r="X97" i="12"/>
  <c r="X96" i="12" s="1"/>
  <c r="P98" i="12"/>
  <c r="O97" i="12"/>
  <c r="O96" i="12" s="1"/>
  <c r="O94" i="12" s="1"/>
  <c r="AI87" i="12"/>
  <c r="AI86" i="12" s="1"/>
  <c r="AI85" i="12" s="1"/>
  <c r="AE88" i="12"/>
  <c r="Z88" i="12"/>
  <c r="Z87" i="12" s="1"/>
  <c r="Z86" i="12" s="1"/>
  <c r="Z84" i="12" s="1"/>
  <c r="U87" i="12"/>
  <c r="U86" i="12" s="1"/>
  <c r="Q87" i="12"/>
  <c r="Q86" i="12" s="1"/>
  <c r="Q84" i="12" s="1"/>
  <c r="L79" i="12"/>
  <c r="AI74" i="12"/>
  <c r="AC74" i="12"/>
  <c r="AC73" i="12" s="1"/>
  <c r="AC72" i="12" s="1"/>
  <c r="O74" i="12"/>
  <c r="O73" i="12" s="1"/>
  <c r="O72" i="12" s="1"/>
  <c r="J74" i="12"/>
  <c r="K70" i="12"/>
  <c r="K64" i="12"/>
  <c r="Z63" i="12"/>
  <c r="X60" i="12"/>
  <c r="AD58" i="12"/>
  <c r="Z58" i="12"/>
  <c r="L57" i="12"/>
  <c r="K52" i="12"/>
  <c r="Z36" i="12"/>
  <c r="Z2601" i="12" s="1"/>
  <c r="AE28" i="12"/>
  <c r="V18" i="12"/>
  <c r="V17" i="12" s="1"/>
  <c r="R18" i="12"/>
  <c r="R17" i="12" s="1"/>
  <c r="R15" i="12" s="1"/>
  <c r="I18" i="12"/>
  <c r="I17" i="12" s="1"/>
  <c r="I15" i="12" s="1"/>
  <c r="AA23" i="12"/>
  <c r="L23" i="12"/>
  <c r="O866" i="10"/>
  <c r="R827" i="10"/>
  <c r="L819" i="10"/>
  <c r="W819" i="10"/>
  <c r="W818" i="10" s="1"/>
  <c r="W812" i="10" s="1"/>
  <c r="S819" i="10"/>
  <c r="S818" i="10" s="1"/>
  <c r="S812" i="10" s="1"/>
  <c r="N820" i="10"/>
  <c r="J819" i="10"/>
  <c r="J818" i="10" s="1"/>
  <c r="J812" i="10" s="1"/>
  <c r="M815" i="10"/>
  <c r="R795" i="10"/>
  <c r="Y764" i="10"/>
  <c r="Y763" i="10"/>
  <c r="R729" i="10"/>
  <c r="V720" i="10"/>
  <c r="Q720" i="10"/>
  <c r="Q719" i="10" s="1"/>
  <c r="Q717" i="10" s="1"/>
  <c r="J703" i="10"/>
  <c r="M713" i="10"/>
  <c r="L712" i="10"/>
  <c r="N712" i="10"/>
  <c r="O711" i="10"/>
  <c r="V634" i="10"/>
  <c r="R634" i="10" s="1"/>
  <c r="R635" i="10"/>
  <c r="R621" i="10"/>
  <c r="W554" i="10"/>
  <c r="W555" i="10"/>
  <c r="O431" i="10"/>
  <c r="O429" i="10" s="1"/>
  <c r="N432" i="10"/>
  <c r="Q132" i="12"/>
  <c r="Q131" i="12" s="1"/>
  <c r="Q129" i="12" s="1"/>
  <c r="Q127" i="12" s="1"/>
  <c r="J132" i="12"/>
  <c r="AA106" i="12"/>
  <c r="L102" i="12"/>
  <c r="AG96" i="12"/>
  <c r="W96" i="12"/>
  <c r="S96" i="12"/>
  <c r="S94" i="12" s="1"/>
  <c r="AH87" i="12"/>
  <c r="AH86" i="12" s="1"/>
  <c r="AD88" i="12"/>
  <c r="P88" i="12"/>
  <c r="O87" i="12"/>
  <c r="O86" i="12" s="1"/>
  <c r="O84" i="12" s="1"/>
  <c r="J87" i="12"/>
  <c r="P77" i="12"/>
  <c r="W74" i="12"/>
  <c r="W73" i="12" s="1"/>
  <c r="W72" i="12" s="1"/>
  <c r="S74" i="12"/>
  <c r="S73" i="12" s="1"/>
  <c r="S72" i="12" s="1"/>
  <c r="N74" i="12"/>
  <c r="I74" i="12"/>
  <c r="K69" i="12"/>
  <c r="U18" i="12"/>
  <c r="U17" i="12" s="1"/>
  <c r="U15" i="12" s="1"/>
  <c r="Q18" i="12"/>
  <c r="Q17" i="12" s="1"/>
  <c r="Q15" i="12" s="1"/>
  <c r="K23" i="12"/>
  <c r="R855" i="10"/>
  <c r="O854" i="10"/>
  <c r="Y819" i="10"/>
  <c r="Y818" i="10" s="1"/>
  <c r="Y812" i="10" s="1"/>
  <c r="U819" i="10"/>
  <c r="U818" i="10" s="1"/>
  <c r="U812" i="10" s="1"/>
  <c r="P819" i="10"/>
  <c r="P818" i="10" s="1"/>
  <c r="P812" i="10" s="1"/>
  <c r="V819" i="10"/>
  <c r="R815" i="10"/>
  <c r="O814" i="10"/>
  <c r="Y757" i="10"/>
  <c r="N656" i="10"/>
  <c r="O655" i="10"/>
  <c r="O654" i="10" s="1"/>
  <c r="R650" i="10"/>
  <c r="V649" i="10"/>
  <c r="X625" i="10"/>
  <c r="X626" i="10"/>
  <c r="N532" i="10"/>
  <c r="O531" i="10"/>
  <c r="V594" i="10"/>
  <c r="V593" i="10" s="1"/>
  <c r="V592" i="10" s="1"/>
  <c r="N493" i="10"/>
  <c r="O492" i="10"/>
  <c r="Y432" i="10"/>
  <c r="Y431" i="10" s="1"/>
  <c r="Y429" i="10" s="1"/>
  <c r="Y433" i="10"/>
  <c r="W413" i="10"/>
  <c r="Y307" i="10"/>
  <c r="Y306" i="10"/>
  <c r="Y298" i="10" s="1"/>
  <c r="Y296" i="10" s="1"/>
  <c r="N252" i="10"/>
  <c r="O251" i="10"/>
  <c r="T779" i="10"/>
  <c r="T778" i="10" s="1"/>
  <c r="T771" i="10" s="1"/>
  <c r="V742" i="10"/>
  <c r="V741" i="10" s="1"/>
  <c r="Y739" i="10"/>
  <c r="N729" i="10"/>
  <c r="N727" i="10"/>
  <c r="R721" i="10"/>
  <c r="K720" i="10"/>
  <c r="K719" i="10" s="1"/>
  <c r="K717" i="10" s="1"/>
  <c r="O668" i="10"/>
  <c r="N668" i="10" s="1"/>
  <c r="V660" i="10"/>
  <c r="V608" i="10"/>
  <c r="V607" i="10" s="1"/>
  <c r="N558" i="10"/>
  <c r="O557" i="10"/>
  <c r="W492" i="10"/>
  <c r="W491" i="10" s="1"/>
  <c r="S492" i="10"/>
  <c r="S491" i="10" s="1"/>
  <c r="S489" i="10" s="1"/>
  <c r="K445" i="10"/>
  <c r="K444" i="10" s="1"/>
  <c r="K443" i="10" s="1"/>
  <c r="N446" i="10"/>
  <c r="L364" i="10"/>
  <c r="M364" i="10" s="1"/>
  <c r="M365" i="10"/>
  <c r="N362" i="10"/>
  <c r="O361" i="10"/>
  <c r="L355" i="10"/>
  <c r="M355" i="10" s="1"/>
  <c r="M356" i="10"/>
  <c r="R754" i="10"/>
  <c r="M729" i="10"/>
  <c r="M727" i="10"/>
  <c r="P720" i="10"/>
  <c r="P719" i="10" s="1"/>
  <c r="P717" i="10" s="1"/>
  <c r="R715" i="10"/>
  <c r="V712" i="10"/>
  <c r="Q712" i="10"/>
  <c r="Q711" i="10" s="1"/>
  <c r="Q709" i="10" s="1"/>
  <c r="Q703" i="10" s="1"/>
  <c r="L655" i="10"/>
  <c r="O614" i="10"/>
  <c r="N597" i="10"/>
  <c r="O594" i="10"/>
  <c r="L425" i="10"/>
  <c r="R414" i="10"/>
  <c r="X371" i="10"/>
  <c r="X370" i="10" s="1"/>
  <c r="X369" i="10" s="1"/>
  <c r="R354" i="10"/>
  <c r="V353" i="10"/>
  <c r="R353" i="10" s="1"/>
  <c r="Q594" i="10"/>
  <c r="Q593" i="10" s="1"/>
  <c r="Q592" i="10" s="1"/>
  <c r="P572" i="10"/>
  <c r="P571" i="10" s="1"/>
  <c r="P561" i="10" s="1"/>
  <c r="M558" i="10"/>
  <c r="M532" i="10"/>
  <c r="Q500" i="10"/>
  <c r="Q499" i="10" s="1"/>
  <c r="Q497" i="10" s="1"/>
  <c r="N510" i="10"/>
  <c r="U464" i="10"/>
  <c r="P387" i="10"/>
  <c r="Y387" i="10"/>
  <c r="I358" i="10"/>
  <c r="T341" i="10"/>
  <c r="T337" i="10" s="1"/>
  <c r="T335" i="10" s="1"/>
  <c r="T327" i="10" s="1"/>
  <c r="P259" i="10"/>
  <c r="P258" i="10" s="1"/>
  <c r="L259" i="10"/>
  <c r="M260" i="10"/>
  <c r="S244" i="10"/>
  <c r="R173" i="10"/>
  <c r="V172" i="10"/>
  <c r="V170" i="10" s="1"/>
  <c r="R170" i="10" s="1"/>
  <c r="K39" i="10"/>
  <c r="K38" i="10" s="1"/>
  <c r="K36" i="10" s="1"/>
  <c r="K35" i="10" s="1"/>
  <c r="X572" i="10"/>
  <c r="X571" i="10" s="1"/>
  <c r="T572" i="10"/>
  <c r="T571" i="10" s="1"/>
  <c r="T561" i="10" s="1"/>
  <c r="N575" i="10"/>
  <c r="R542" i="10"/>
  <c r="V531" i="10"/>
  <c r="P500" i="10"/>
  <c r="P499" i="10" s="1"/>
  <c r="P497" i="10" s="1"/>
  <c r="O500" i="10"/>
  <c r="K500" i="10"/>
  <c r="K499" i="10" s="1"/>
  <c r="K497" i="10" s="1"/>
  <c r="Q492" i="10"/>
  <c r="Q491" i="10" s="1"/>
  <c r="Q489" i="10" s="1"/>
  <c r="V466" i="10"/>
  <c r="Y465" i="10"/>
  <c r="O461" i="10"/>
  <c r="O460" i="10" s="1"/>
  <c r="Y413" i="10"/>
  <c r="U413" i="10"/>
  <c r="U411" i="10" s="1"/>
  <c r="U410" i="10" s="1"/>
  <c r="U408" i="10" s="1"/>
  <c r="U406" i="10" s="1"/>
  <c r="P413" i="10"/>
  <c r="P411" i="10" s="1"/>
  <c r="P410" i="10" s="1"/>
  <c r="P408" i="10" s="1"/>
  <c r="P406" i="10" s="1"/>
  <c r="X387" i="10"/>
  <c r="S341" i="10"/>
  <c r="Q289" i="10"/>
  <c r="Q287" i="10" s="1"/>
  <c r="Q286" i="10" s="1"/>
  <c r="Q284" i="10" s="1"/>
  <c r="J289" i="10"/>
  <c r="J287" i="10" s="1"/>
  <c r="J286" i="10" s="1"/>
  <c r="J284" i="10" s="1"/>
  <c r="Y269" i="10"/>
  <c r="Y257" i="10" s="1"/>
  <c r="Y255" i="10" s="1"/>
  <c r="O137" i="10"/>
  <c r="N138" i="10"/>
  <c r="M597" i="10"/>
  <c r="N595" i="10"/>
  <c r="I594" i="10"/>
  <c r="I593" i="10" s="1"/>
  <c r="I592" i="10" s="1"/>
  <c r="V572" i="10"/>
  <c r="Q572" i="10"/>
  <c r="Q571" i="10" s="1"/>
  <c r="Q561" i="10" s="1"/>
  <c r="I572" i="10"/>
  <c r="I571" i="10" s="1"/>
  <c r="I561" i="10" s="1"/>
  <c r="V541" i="10"/>
  <c r="O536" i="10"/>
  <c r="X500" i="10"/>
  <c r="X499" i="10" s="1"/>
  <c r="T500" i="10"/>
  <c r="T499" i="10" s="1"/>
  <c r="T497" i="10" s="1"/>
  <c r="N512" i="10"/>
  <c r="R510" i="10"/>
  <c r="W500" i="10"/>
  <c r="W499" i="10" s="1"/>
  <c r="W497" i="10" s="1"/>
  <c r="S500" i="10"/>
  <c r="S499" i="10" s="1"/>
  <c r="S497" i="10" s="1"/>
  <c r="N501" i="10"/>
  <c r="J500" i="10"/>
  <c r="J499" i="10" s="1"/>
  <c r="J497" i="10" s="1"/>
  <c r="Y492" i="10"/>
  <c r="Y491" i="10" s="1"/>
  <c r="U492" i="10"/>
  <c r="U491" i="10" s="1"/>
  <c r="U489" i="10" s="1"/>
  <c r="P492" i="10"/>
  <c r="P491" i="10" s="1"/>
  <c r="P489" i="10" s="1"/>
  <c r="R489" i="10" s="1"/>
  <c r="R485" i="10"/>
  <c r="R481" i="10"/>
  <c r="O471" i="10"/>
  <c r="Q465" i="10"/>
  <c r="R462" i="10"/>
  <c r="V461" i="10"/>
  <c r="M445" i="10"/>
  <c r="R436" i="10"/>
  <c r="V435" i="10"/>
  <c r="X433" i="10"/>
  <c r="R415" i="10"/>
  <c r="N387" i="10"/>
  <c r="W387" i="10"/>
  <c r="Q341" i="10"/>
  <c r="I341" i="10"/>
  <c r="O341" i="10"/>
  <c r="O337" i="10" s="1"/>
  <c r="X259" i="10"/>
  <c r="X258" i="10" s="1"/>
  <c r="Q387" i="10"/>
  <c r="M387" i="10"/>
  <c r="J387" i="10"/>
  <c r="W371" i="10"/>
  <c r="W370" i="10" s="1"/>
  <c r="U341" i="10"/>
  <c r="P341" i="10"/>
  <c r="P337" i="10" s="1"/>
  <c r="P335" i="10" s="1"/>
  <c r="P327" i="10" s="1"/>
  <c r="P325" i="10" s="1"/>
  <c r="P323" i="10" s="1"/>
  <c r="R304" i="10"/>
  <c r="X301" i="10"/>
  <c r="X300" i="10" s="1"/>
  <c r="X299" i="10" s="1"/>
  <c r="T301" i="10"/>
  <c r="T300" i="10" s="1"/>
  <c r="T299" i="10" s="1"/>
  <c r="T298" i="10" s="1"/>
  <c r="J301" i="10"/>
  <c r="J300" i="10" s="1"/>
  <c r="J299" i="10" s="1"/>
  <c r="J298" i="10" s="1"/>
  <c r="J296" i="10" s="1"/>
  <c r="R263" i="10"/>
  <c r="U244" i="10"/>
  <c r="Y196" i="10"/>
  <c r="Y197" i="10"/>
  <c r="R167" i="10"/>
  <c r="K27" i="3"/>
  <c r="BG39" i="3"/>
  <c r="X330" i="10"/>
  <c r="O301" i="10"/>
  <c r="O300" i="10" s="1"/>
  <c r="Q259" i="10"/>
  <c r="Q258" i="10" s="1"/>
  <c r="V213" i="10"/>
  <c r="R214" i="10"/>
  <c r="O199" i="10"/>
  <c r="AE32" i="3"/>
  <c r="Y301" i="10"/>
  <c r="Y300" i="10" s="1"/>
  <c r="Y299" i="10" s="1"/>
  <c r="U301" i="10"/>
  <c r="U300" i="10" s="1"/>
  <c r="U299" i="10" s="1"/>
  <c r="U298" i="10" s="1"/>
  <c r="P301" i="10"/>
  <c r="P300" i="10" s="1"/>
  <c r="P299" i="10" s="1"/>
  <c r="P298" i="10" s="1"/>
  <c r="P296" i="10" s="1"/>
  <c r="P283" i="10" s="1"/>
  <c r="L301" i="10"/>
  <c r="R272" i="10"/>
  <c r="V271" i="10"/>
  <c r="U259" i="10"/>
  <c r="U258" i="10" s="1"/>
  <c r="L213" i="10"/>
  <c r="M213" i="10" s="1"/>
  <c r="M214" i="10"/>
  <c r="J183" i="10"/>
  <c r="K137" i="10"/>
  <c r="K136" i="10" s="1"/>
  <c r="K135" i="10" s="1"/>
  <c r="M138" i="10"/>
  <c r="N44" i="10"/>
  <c r="S9" i="10"/>
  <c r="S6" i="10" s="1"/>
  <c r="S5" i="10" s="1"/>
  <c r="J9" i="10"/>
  <c r="J6" i="10" s="1"/>
  <c r="J5" i="10" s="1"/>
  <c r="R161" i="10"/>
  <c r="Q113" i="10"/>
  <c r="Q112" i="10" s="1"/>
  <c r="Q110" i="10" s="1"/>
  <c r="Q109" i="10" s="1"/>
  <c r="Q107" i="10" s="1"/>
  <c r="J113" i="10"/>
  <c r="J112" i="10" s="1"/>
  <c r="J110" i="10" s="1"/>
  <c r="J109" i="10" s="1"/>
  <c r="J107" i="10" s="1"/>
  <c r="J89" i="10"/>
  <c r="J88" i="10" s="1"/>
  <c r="J87" i="10" s="1"/>
  <c r="J86" i="10" s="1"/>
  <c r="J84" i="10" s="1"/>
  <c r="W39" i="10"/>
  <c r="W38" i="10" s="1"/>
  <c r="U39" i="10"/>
  <c r="U38" i="10" s="1"/>
  <c r="U36" i="10" s="1"/>
  <c r="U35" i="10" s="1"/>
  <c r="U33" i="10" s="1"/>
  <c r="P39" i="10"/>
  <c r="P38" i="10" s="1"/>
  <c r="P36" i="10" s="1"/>
  <c r="P35" i="10" s="1"/>
  <c r="P33" i="10" s="1"/>
  <c r="J39" i="10"/>
  <c r="J38" i="10" s="1"/>
  <c r="J36" i="10" s="1"/>
  <c r="J35" i="10" s="1"/>
  <c r="J33" i="10" s="1"/>
  <c r="W12" i="10"/>
  <c r="W11" i="10" s="1"/>
  <c r="W10" i="10" s="1"/>
  <c r="S12" i="10"/>
  <c r="S11" i="10" s="1"/>
  <c r="S10" i="10" s="1"/>
  <c r="L12" i="10"/>
  <c r="L11" i="10" s="1"/>
  <c r="L10" i="10" s="1"/>
  <c r="AQ32" i="3"/>
  <c r="AD30" i="3"/>
  <c r="AA27" i="3"/>
  <c r="N214" i="10"/>
  <c r="N156" i="10"/>
  <c r="Q133" i="10"/>
  <c r="I133" i="10"/>
  <c r="N119" i="10"/>
  <c r="Y113" i="10"/>
  <c r="Y112" i="10" s="1"/>
  <c r="Y111" i="10" s="1"/>
  <c r="U113" i="10"/>
  <c r="U112" i="10" s="1"/>
  <c r="U110" i="10" s="1"/>
  <c r="U109" i="10" s="1"/>
  <c r="U107" i="10" s="1"/>
  <c r="P113" i="10"/>
  <c r="P112" i="10" s="1"/>
  <c r="P110" i="10" s="1"/>
  <c r="P109" i="10" s="1"/>
  <c r="P107" i="10" s="1"/>
  <c r="I113" i="10"/>
  <c r="I112" i="10" s="1"/>
  <c r="I110" i="10" s="1"/>
  <c r="I109" i="10" s="1"/>
  <c r="I107" i="10" s="1"/>
  <c r="Y39" i="10"/>
  <c r="Y38" i="10" s="1"/>
  <c r="Y37" i="10" s="1"/>
  <c r="T39" i="10"/>
  <c r="T38" i="10" s="1"/>
  <c r="T36" i="10" s="1"/>
  <c r="T35" i="10" s="1"/>
  <c r="T33" i="10" s="1"/>
  <c r="T32" i="10" s="1"/>
  <c r="O39" i="10"/>
  <c r="I39" i="10"/>
  <c r="I38" i="10" s="1"/>
  <c r="I36" i="10" s="1"/>
  <c r="I35" i="10" s="1"/>
  <c r="I33" i="10" s="1"/>
  <c r="I32" i="10" s="1"/>
  <c r="N17" i="10"/>
  <c r="V12" i="10"/>
  <c r="Q12" i="10"/>
  <c r="Q11" i="10" s="1"/>
  <c r="Q10" i="10" s="1"/>
  <c r="K12" i="10"/>
  <c r="K11" i="10" s="1"/>
  <c r="K10" i="10" s="1"/>
  <c r="O12" i="10"/>
  <c r="AR32" i="3"/>
  <c r="AJ32" i="3"/>
  <c r="X224" i="10"/>
  <c r="X219" i="10" s="1"/>
  <c r="R215" i="10"/>
  <c r="N207" i="10"/>
  <c r="V206" i="10"/>
  <c r="R189" i="10"/>
  <c r="N174" i="10"/>
  <c r="S160" i="10"/>
  <c r="S158" i="10" s="1"/>
  <c r="J160" i="10"/>
  <c r="J158" i="10" s="1"/>
  <c r="O161" i="10"/>
  <c r="N145" i="10"/>
  <c r="U133" i="10"/>
  <c r="P133" i="10"/>
  <c r="R119" i="10"/>
  <c r="M119" i="10"/>
  <c r="X113" i="10"/>
  <c r="X112" i="10" s="1"/>
  <c r="T113" i="10"/>
  <c r="T112" i="10" s="1"/>
  <c r="T110" i="10" s="1"/>
  <c r="T109" i="10" s="1"/>
  <c r="T107" i="10" s="1"/>
  <c r="L113" i="10"/>
  <c r="N103" i="10"/>
  <c r="X39" i="10"/>
  <c r="X38" i="10" s="1"/>
  <c r="S39" i="10"/>
  <c r="S38" i="10" s="1"/>
  <c r="S36" i="10" s="1"/>
  <c r="S35" i="10" s="1"/>
  <c r="S33" i="10" s="1"/>
  <c r="L39" i="10"/>
  <c r="T9" i="10"/>
  <c r="T6" i="10" s="1"/>
  <c r="T5" i="10" s="1"/>
  <c r="Y12" i="10"/>
  <c r="Y11" i="10" s="1"/>
  <c r="Y10" i="10" s="1"/>
  <c r="U12" i="10"/>
  <c r="U11" i="10" s="1"/>
  <c r="U10" i="10" s="1"/>
  <c r="U9" i="10" s="1"/>
  <c r="U6" i="10" s="1"/>
  <c r="U5" i="10" s="1"/>
  <c r="P12" i="10"/>
  <c r="P11" i="10" s="1"/>
  <c r="P10" i="10" s="1"/>
  <c r="P9" i="10" s="1"/>
  <c r="P6" i="10" s="1"/>
  <c r="P5" i="10" s="1"/>
  <c r="J12" i="10"/>
  <c r="J11" i="10" s="1"/>
  <c r="J10" i="10" s="1"/>
  <c r="Y27" i="3"/>
  <c r="AD2609" i="12"/>
  <c r="Z2618" i="12"/>
  <c r="AD2607" i="12"/>
  <c r="AD2602" i="12"/>
  <c r="AD2612" i="12"/>
  <c r="BK24" i="3"/>
  <c r="AD2599" i="12"/>
  <c r="AD2617" i="12"/>
  <c r="AD2611" i="12"/>
  <c r="AD2603" i="12"/>
  <c r="BH32" i="3"/>
  <c r="AD2605" i="12"/>
  <c r="U2618" i="12"/>
  <c r="AD2600" i="12"/>
  <c r="AJ2605" i="12"/>
  <c r="AD2601" i="12"/>
  <c r="AD2613" i="12"/>
  <c r="AJ2600" i="12"/>
  <c r="AD2608" i="12"/>
  <c r="AD2604" i="12"/>
  <c r="AD2598" i="12"/>
  <c r="AA33" i="9"/>
  <c r="AB32" i="9"/>
  <c r="AA32" i="9" s="1"/>
  <c r="X2514" i="12"/>
  <c r="X2515" i="12"/>
  <c r="AG2498" i="12"/>
  <c r="AG2499" i="12"/>
  <c r="AI2469" i="12"/>
  <c r="AI2468" i="12"/>
  <c r="AH2457" i="12"/>
  <c r="AH2458" i="12"/>
  <c r="W2387" i="12"/>
  <c r="W2388" i="12"/>
  <c r="R558" i="8"/>
  <c r="T258" i="8"/>
  <c r="T250" i="8" s="1"/>
  <c r="AH2422" i="12"/>
  <c r="X2387" i="12"/>
  <c r="X2388" i="12"/>
  <c r="AH2121" i="12"/>
  <c r="AH2120" i="12"/>
  <c r="AG2156" i="12"/>
  <c r="V2457" i="12"/>
  <c r="V2458" i="12"/>
  <c r="W2410" i="12"/>
  <c r="X2405" i="12"/>
  <c r="X2404" i="12"/>
  <c r="I2476" i="12"/>
  <c r="I2474" i="12" s="1"/>
  <c r="M274" i="9"/>
  <c r="L274" i="9"/>
  <c r="K468" i="8"/>
  <c r="L469" i="8"/>
  <c r="L562" i="8"/>
  <c r="Z255" i="9"/>
  <c r="AA255" i="9"/>
  <c r="V254" i="9"/>
  <c r="V253" i="9" s="1"/>
  <c r="Y253" i="9"/>
  <c r="AB237" i="9"/>
  <c r="AA237" i="9" s="1"/>
  <c r="AA238" i="9"/>
  <c r="L196" i="9"/>
  <c r="M196" i="9"/>
  <c r="M181" i="9"/>
  <c r="N180" i="9"/>
  <c r="M180" i="9" s="1"/>
  <c r="Y87" i="9"/>
  <c r="Z88" i="9"/>
  <c r="Y10" i="9"/>
  <c r="L840" i="8"/>
  <c r="L824" i="8"/>
  <c r="L793" i="8"/>
  <c r="L792" i="8" s="1"/>
  <c r="M793" i="8"/>
  <c r="M792" i="8" s="1"/>
  <c r="J792" i="8"/>
  <c r="J789" i="8" s="1"/>
  <c r="M790" i="8"/>
  <c r="N789" i="8"/>
  <c r="M783" i="8"/>
  <c r="M782" i="8" s="1"/>
  <c r="N782" i="8"/>
  <c r="L741" i="8"/>
  <c r="K740" i="8"/>
  <c r="M718" i="8"/>
  <c r="L718" i="8"/>
  <c r="L697" i="8"/>
  <c r="L696" i="8" s="1"/>
  <c r="J696" i="8"/>
  <c r="J695" i="8" s="1"/>
  <c r="M695" i="8" s="1"/>
  <c r="O600" i="8"/>
  <c r="Q601" i="8"/>
  <c r="M553" i="8"/>
  <c r="J552" i="8"/>
  <c r="J330" i="8"/>
  <c r="L331" i="8"/>
  <c r="M318" i="8"/>
  <c r="M317" i="8" s="1"/>
  <c r="N317" i="8"/>
  <c r="N316" i="8" s="1"/>
  <c r="M316" i="8" s="1"/>
  <c r="M297" i="8"/>
  <c r="L297" i="8"/>
  <c r="L286" i="8"/>
  <c r="M286" i="8"/>
  <c r="M282" i="8"/>
  <c r="L282" i="8"/>
  <c r="L278" i="8"/>
  <c r="M278" i="8"/>
  <c r="J218" i="8"/>
  <c r="L219" i="8"/>
  <c r="M219" i="8"/>
  <c r="N191" i="8"/>
  <c r="M192" i="8"/>
  <c r="L137" i="8"/>
  <c r="K136" i="8"/>
  <c r="Q122" i="8"/>
  <c r="U121" i="8"/>
  <c r="M94" i="8"/>
  <c r="L94" i="8"/>
  <c r="N78" i="8"/>
  <c r="M79" i="8"/>
  <c r="N34" i="8"/>
  <c r="M35" i="8"/>
  <c r="M34" i="8" s="1"/>
  <c r="M31" i="8"/>
  <c r="L31" i="8"/>
  <c r="L29" i="8"/>
  <c r="M29" i="8"/>
  <c r="AI2209" i="12"/>
  <c r="AI2208" i="12"/>
  <c r="AD2206" i="12"/>
  <c r="AC2205" i="12"/>
  <c r="AC2127" i="12"/>
  <c r="AC2126" i="12"/>
  <c r="T2110" i="12"/>
  <c r="P2110" i="12" s="1"/>
  <c r="P2111" i="12"/>
  <c r="AI2010" i="12"/>
  <c r="AI2037" i="12"/>
  <c r="AI1858" i="12"/>
  <c r="AI1857" i="12"/>
  <c r="X1819" i="12"/>
  <c r="X1820" i="12"/>
  <c r="W1483" i="12"/>
  <c r="W1484" i="12"/>
  <c r="AH1328" i="12"/>
  <c r="AH1327" i="12"/>
  <c r="N364" i="8"/>
  <c r="Y291" i="9"/>
  <c r="Z292" i="9"/>
  <c r="M267" i="9"/>
  <c r="L267" i="9"/>
  <c r="M831" i="8"/>
  <c r="L831" i="8"/>
  <c r="O732" i="8"/>
  <c r="Q732" i="8" s="1"/>
  <c r="Q715" i="8" s="1"/>
  <c r="Q708" i="8" s="1"/>
  <c r="Q733" i="8"/>
  <c r="L669" i="8"/>
  <c r="J668" i="8"/>
  <c r="M668" i="8" s="1"/>
  <c r="M669" i="8"/>
  <c r="M612" i="8"/>
  <c r="M611" i="8" s="1"/>
  <c r="J611" i="8"/>
  <c r="J610" i="8" s="1"/>
  <c r="M591" i="8"/>
  <c r="L591" i="8"/>
  <c r="J590" i="8"/>
  <c r="L590" i="8" s="1"/>
  <c r="L588" i="8"/>
  <c r="J587" i="8"/>
  <c r="Q471" i="8"/>
  <c r="U470" i="8"/>
  <c r="Q470" i="8" s="1"/>
  <c r="L379" i="8"/>
  <c r="K378" i="8"/>
  <c r="L378" i="8" s="1"/>
  <c r="M375" i="8"/>
  <c r="L375" i="8"/>
  <c r="L374" i="8"/>
  <c r="L373" i="8" s="1"/>
  <c r="J373" i="8"/>
  <c r="J372" i="8" s="1"/>
  <c r="K367" i="8"/>
  <c r="L367" i="8" s="1"/>
  <c r="L368" i="8"/>
  <c r="J325" i="8"/>
  <c r="L326" i="8"/>
  <c r="M315" i="8"/>
  <c r="M313" i="8" s="1"/>
  <c r="N313" i="8"/>
  <c r="M234" i="8"/>
  <c r="M233" i="8" s="1"/>
  <c r="N233" i="8"/>
  <c r="M232" i="8"/>
  <c r="L232" i="8"/>
  <c r="K225" i="8"/>
  <c r="L226" i="8"/>
  <c r="L216" i="8"/>
  <c r="K215" i="8"/>
  <c r="M214" i="8"/>
  <c r="N213" i="8"/>
  <c r="N212" i="8" s="1"/>
  <c r="K205" i="8"/>
  <c r="K204" i="8" s="1"/>
  <c r="L204" i="8" s="1"/>
  <c r="L206" i="8"/>
  <c r="L205" i="8" s="1"/>
  <c r="K198" i="8"/>
  <c r="K197" i="8" s="1"/>
  <c r="L197" i="8" s="1"/>
  <c r="L199" i="8"/>
  <c r="L198" i="8" s="1"/>
  <c r="M184" i="8"/>
  <c r="M183" i="8" s="1"/>
  <c r="L184" i="8"/>
  <c r="L183" i="8" s="1"/>
  <c r="K159" i="8"/>
  <c r="K158" i="8" s="1"/>
  <c r="L160" i="8"/>
  <c r="L159" i="8" s="1"/>
  <c r="K125" i="8"/>
  <c r="L125" i="8" s="1"/>
  <c r="L126" i="8"/>
  <c r="N121" i="8"/>
  <c r="M122" i="8"/>
  <c r="L79" i="8"/>
  <c r="J78" i="8"/>
  <c r="L78" i="8" s="1"/>
  <c r="N72" i="8"/>
  <c r="N71" i="8" s="1"/>
  <c r="M71" i="8" s="1"/>
  <c r="M73" i="8"/>
  <c r="M72" i="8" s="1"/>
  <c r="K68" i="8"/>
  <c r="K67" i="8" s="1"/>
  <c r="L67" i="8" s="1"/>
  <c r="L69" i="8"/>
  <c r="L68" i="8" s="1"/>
  <c r="M25" i="8"/>
  <c r="L25" i="8"/>
  <c r="AJ2614" i="12"/>
  <c r="AD2614" i="12"/>
  <c r="W2597" i="12"/>
  <c r="W2618" i="12"/>
  <c r="AI2581" i="12"/>
  <c r="AI2579" i="12" s="1"/>
  <c r="AI2577" i="12" s="1"/>
  <c r="AI2582" i="12"/>
  <c r="Y2581" i="12"/>
  <c r="Y2582" i="12"/>
  <c r="O2548" i="12"/>
  <c r="O2552" i="12"/>
  <c r="O2550" i="12" s="1"/>
  <c r="AC2552" i="12"/>
  <c r="AC2553" i="12"/>
  <c r="AD2540" i="12"/>
  <c r="AC2539" i="12"/>
  <c r="AE2539" i="12"/>
  <c r="AF2524" i="12"/>
  <c r="AE2525" i="12"/>
  <c r="AH2498" i="12"/>
  <c r="AH2499" i="12"/>
  <c r="V2498" i="12"/>
  <c r="V2499" i="12"/>
  <c r="AG2492" i="12"/>
  <c r="AG2491" i="12" s="1"/>
  <c r="AG2490" i="12" s="1"/>
  <c r="AG2598" i="12"/>
  <c r="AH2488" i="12"/>
  <c r="AH2489" i="12"/>
  <c r="AD2491" i="12"/>
  <c r="AC2490" i="12"/>
  <c r="AI2488" i="12"/>
  <c r="AI2489" i="12"/>
  <c r="AF2488" i="12"/>
  <c r="AF2489" i="12"/>
  <c r="AE2490" i="12"/>
  <c r="K2485" i="12"/>
  <c r="J2484" i="12"/>
  <c r="K2484" i="12" s="1"/>
  <c r="AF2484" i="12"/>
  <c r="AE2485" i="12"/>
  <c r="AC2478" i="12"/>
  <c r="AC2479" i="12"/>
  <c r="AE2471" i="12"/>
  <c r="AF2470" i="12"/>
  <c r="AC2470" i="12"/>
  <c r="AD2471" i="12"/>
  <c r="AC2464" i="12"/>
  <c r="AF2463" i="12"/>
  <c r="AA2460" i="12"/>
  <c r="AB2459" i="12"/>
  <c r="P2460" i="12"/>
  <c r="AD2454" i="12"/>
  <c r="AC2453" i="12"/>
  <c r="AF2452" i="12"/>
  <c r="AE2453" i="12"/>
  <c r="AC2449" i="12"/>
  <c r="AD2450" i="12"/>
  <c r="AI2448" i="12"/>
  <c r="AI2447" i="12" s="1"/>
  <c r="AI2446" i="12"/>
  <c r="AG2422" i="12"/>
  <c r="AB2423" i="12"/>
  <c r="AA2424" i="12"/>
  <c r="Y2413" i="12"/>
  <c r="Z2414" i="12"/>
  <c r="AC2405" i="12"/>
  <c r="AC2404" i="12"/>
  <c r="AI2404" i="12"/>
  <c r="AI2405" i="12"/>
  <c r="W2404" i="12"/>
  <c r="W2405" i="12"/>
  <c r="Y2401" i="12"/>
  <c r="Z2402" i="12"/>
  <c r="W2398" i="12"/>
  <c r="W2399" i="12"/>
  <c r="AB2378" i="12"/>
  <c r="AA2379" i="12"/>
  <c r="AG2377" i="12"/>
  <c r="AG2376" i="12"/>
  <c r="AG2364" i="12"/>
  <c r="AG2365" i="12"/>
  <c r="AB2366" i="12"/>
  <c r="AA2317" i="12"/>
  <c r="AD2317" i="12"/>
  <c r="AE2291" i="12"/>
  <c r="AF2287" i="12"/>
  <c r="W2222" i="12"/>
  <c r="W2223" i="12"/>
  <c r="X2208" i="12"/>
  <c r="X2209" i="12"/>
  <c r="AI2202" i="12"/>
  <c r="AI2203" i="12"/>
  <c r="AF2197" i="12"/>
  <c r="AE2198" i="12"/>
  <c r="U2145" i="12"/>
  <c r="U2144" i="12"/>
  <c r="W2121" i="12"/>
  <c r="W2120" i="12"/>
  <c r="W2098" i="12"/>
  <c r="W2099" i="12"/>
  <c r="Y2082" i="12"/>
  <c r="X2080" i="12"/>
  <c r="X2081" i="12"/>
  <c r="V2064" i="12"/>
  <c r="Z2065" i="12"/>
  <c r="AG2051" i="12"/>
  <c r="AG2052" i="12"/>
  <c r="W2010" i="12"/>
  <c r="W2037" i="12"/>
  <c r="I2038" i="12"/>
  <c r="I2010" i="12" s="1"/>
  <c r="AG1996" i="12"/>
  <c r="AG1997" i="12"/>
  <c r="AI1852" i="12"/>
  <c r="AI1851" i="12"/>
  <c r="AB1795" i="12"/>
  <c r="AB1794" i="12"/>
  <c r="X1718" i="12"/>
  <c r="X1717" i="12"/>
  <c r="AG1654" i="12"/>
  <c r="AG1653" i="12"/>
  <c r="W1630" i="12"/>
  <c r="W1644" i="12"/>
  <c r="W1618" i="12"/>
  <c r="W1617" i="12" s="1"/>
  <c r="T371" i="8"/>
  <c r="X281" i="9"/>
  <c r="R241" i="9"/>
  <c r="Q224" i="9"/>
  <c r="W757" i="8"/>
  <c r="X593" i="8"/>
  <c r="M590" i="8"/>
  <c r="L466" i="8"/>
  <c r="R423" i="8"/>
  <c r="R422" i="8" s="1"/>
  <c r="X415" i="8"/>
  <c r="X250" i="8"/>
  <c r="R158" i="8"/>
  <c r="S84" i="8"/>
  <c r="H371" i="8"/>
  <c r="V258" i="8"/>
  <c r="L719" i="8"/>
  <c r="L839" i="8"/>
  <c r="M474" i="8"/>
  <c r="M834" i="8"/>
  <c r="V372" i="8"/>
  <c r="P335" i="8"/>
  <c r="K276" i="8"/>
  <c r="K270" i="8" s="1"/>
  <c r="L330" i="8"/>
  <c r="M285" i="8"/>
  <c r="M294" i="8"/>
  <c r="Q304" i="9"/>
  <c r="R292" i="9"/>
  <c r="R291" i="9" s="1"/>
  <c r="H291" i="9"/>
  <c r="AA284" i="9"/>
  <c r="R174" i="9"/>
  <c r="W165" i="9"/>
  <c r="W164" i="9" s="1"/>
  <c r="AA140" i="9"/>
  <c r="T127" i="9"/>
  <c r="S95" i="9"/>
  <c r="G9" i="9"/>
  <c r="G8" i="9" s="1"/>
  <c r="J811" i="8"/>
  <c r="W594" i="8"/>
  <c r="R324" i="8"/>
  <c r="O324" i="8"/>
  <c r="W310" i="8"/>
  <c r="W309" i="8" s="1"/>
  <c r="O310" i="8"/>
  <c r="O309" i="8" s="1"/>
  <c r="I310" i="8"/>
  <c r="I309" i="8" s="1"/>
  <c r="X270" i="8"/>
  <c r="T228" i="8"/>
  <c r="V221" i="8"/>
  <c r="G225" i="8"/>
  <c r="G222" i="8" s="1"/>
  <c r="Q212" i="8"/>
  <c r="U198" i="8"/>
  <c r="Q198" i="8"/>
  <c r="Q197" i="8" s="1"/>
  <c r="T119" i="8"/>
  <c r="R119" i="8"/>
  <c r="Q113" i="8"/>
  <c r="X21" i="8"/>
  <c r="N2594" i="12"/>
  <c r="AC2548" i="12"/>
  <c r="AD2534" i="12"/>
  <c r="P2525" i="12"/>
  <c r="N2512" i="12"/>
  <c r="N2510" i="12" s="1"/>
  <c r="P2517" i="12"/>
  <c r="T2516" i="12"/>
  <c r="AD2507" i="12"/>
  <c r="AB2506" i="12"/>
  <c r="AI2498" i="12"/>
  <c r="N2492" i="12"/>
  <c r="N2491" i="12" s="1"/>
  <c r="N2490" i="12" s="1"/>
  <c r="P2485" i="12"/>
  <c r="Z2484" i="12"/>
  <c r="O2476" i="12"/>
  <c r="O2474" i="12" s="1"/>
  <c r="AH2478" i="12"/>
  <c r="AH2476" i="12" s="1"/>
  <c r="AH2474" i="12" s="1"/>
  <c r="Z2459" i="12"/>
  <c r="AG2458" i="12"/>
  <c r="W2457" i="12"/>
  <c r="AA2449" i="12"/>
  <c r="P2449" i="12"/>
  <c r="AA2447" i="12"/>
  <c r="V2446" i="12"/>
  <c r="AG2438" i="12"/>
  <c r="AG2437" i="12" s="1"/>
  <c r="AF2438" i="12"/>
  <c r="P2433" i="12"/>
  <c r="U2413" i="12"/>
  <c r="U2412" i="12" s="1"/>
  <c r="X2411" i="12"/>
  <c r="AD2390" i="12"/>
  <c r="AD2373" i="12"/>
  <c r="AG2144" i="12"/>
  <c r="W2126" i="12"/>
  <c r="I2594" i="12"/>
  <c r="K95" i="9"/>
  <c r="L96" i="9"/>
  <c r="M836" i="8"/>
  <c r="L836" i="8"/>
  <c r="L729" i="8"/>
  <c r="K728" i="8"/>
  <c r="L728" i="8" s="1"/>
  <c r="L678" i="8"/>
  <c r="K677" i="8"/>
  <c r="L626" i="8"/>
  <c r="J625" i="8"/>
  <c r="M620" i="8"/>
  <c r="M619" i="8" s="1"/>
  <c r="N619" i="8"/>
  <c r="N618" i="8" s="1"/>
  <c r="M618" i="8" s="1"/>
  <c r="M479" i="8"/>
  <c r="J478" i="8"/>
  <c r="L451" i="8"/>
  <c r="K450" i="8"/>
  <c r="N423" i="8"/>
  <c r="N422" i="8" s="1"/>
  <c r="M424" i="8"/>
  <c r="M423" i="8" s="1"/>
  <c r="K380" i="8"/>
  <c r="L381" i="8"/>
  <c r="L380" i="8" s="1"/>
  <c r="M290" i="8"/>
  <c r="L290" i="8"/>
  <c r="N283" i="8"/>
  <c r="N270" i="8" s="1"/>
  <c r="M284" i="8"/>
  <c r="M283" i="8" s="1"/>
  <c r="L281" i="8"/>
  <c r="M281" i="8"/>
  <c r="L279" i="8"/>
  <c r="M279" i="8"/>
  <c r="K260" i="8"/>
  <c r="K259" i="8" s="1"/>
  <c r="L259" i="8" s="1"/>
  <c r="L261" i="8"/>
  <c r="L260" i="8" s="1"/>
  <c r="L252" i="8"/>
  <c r="K251" i="8"/>
  <c r="L251" i="8" s="1"/>
  <c r="L121" i="8"/>
  <c r="K120" i="8"/>
  <c r="L120" i="8" s="1"/>
  <c r="L95" i="8"/>
  <c r="M95" i="8"/>
  <c r="X2581" i="12"/>
  <c r="X2579" i="12" s="1"/>
  <c r="X2577" i="12" s="1"/>
  <c r="X2582" i="12"/>
  <c r="S2548" i="12"/>
  <c r="S2552" i="12"/>
  <c r="S2550" i="12" s="1"/>
  <c r="K2555" i="12"/>
  <c r="J2554" i="12"/>
  <c r="AF2554" i="12"/>
  <c r="AE2555" i="12"/>
  <c r="AI2537" i="12"/>
  <c r="AI2538" i="12"/>
  <c r="AB2537" i="12"/>
  <c r="AB2538" i="12"/>
  <c r="AB2533" i="12"/>
  <c r="AD2533" i="12" s="1"/>
  <c r="AA2534" i="12"/>
  <c r="AG2531" i="12"/>
  <c r="AG2532" i="12"/>
  <c r="V2517" i="12"/>
  <c r="AA2518" i="12"/>
  <c r="M2516" i="12"/>
  <c r="L2517" i="12"/>
  <c r="Y2501" i="12"/>
  <c r="Z2502" i="12"/>
  <c r="AE2500" i="12"/>
  <c r="AF2498" i="12"/>
  <c r="AF2499" i="12"/>
  <c r="J2480" i="12"/>
  <c r="X2478" i="12"/>
  <c r="X2479" i="12"/>
  <c r="Y2478" i="12"/>
  <c r="Y2479" i="12"/>
  <c r="Z2479" i="12" s="1"/>
  <c r="Z2480" i="12"/>
  <c r="Y2468" i="12"/>
  <c r="Y2469" i="12"/>
  <c r="AB2463" i="12"/>
  <c r="AA2463" i="12" s="1"/>
  <c r="AA2464" i="12"/>
  <c r="AB2452" i="12"/>
  <c r="AA2452" i="12" s="1"/>
  <c r="AA2453" i="12"/>
  <c r="Y2424" i="12"/>
  <c r="Z2425" i="12"/>
  <c r="J2423" i="12"/>
  <c r="K2424" i="12"/>
  <c r="AF2412" i="12"/>
  <c r="AE2413" i="12"/>
  <c r="AA2408" i="12"/>
  <c r="AB2407" i="12"/>
  <c r="X2398" i="12"/>
  <c r="X2399" i="12"/>
  <c r="M2401" i="12"/>
  <c r="L2402" i="12"/>
  <c r="AI2398" i="12"/>
  <c r="AI2399" i="12"/>
  <c r="AF2396" i="12"/>
  <c r="AE2397" i="12"/>
  <c r="AE2613" i="12" s="1"/>
  <c r="AF2613" i="12"/>
  <c r="AF2597" i="12" s="1"/>
  <c r="AI2387" i="12"/>
  <c r="AI2388" i="12"/>
  <c r="AB2389" i="12"/>
  <c r="AA2390" i="12"/>
  <c r="P2389" i="12"/>
  <c r="T2387" i="12"/>
  <c r="P2387" i="12" s="1"/>
  <c r="AG2387" i="12"/>
  <c r="AG2388" i="12"/>
  <c r="AH2377" i="12"/>
  <c r="AH2376" i="12"/>
  <c r="AC2377" i="12"/>
  <c r="AC2376" i="12"/>
  <c r="AD2378" i="12"/>
  <c r="AB2372" i="12"/>
  <c r="AA2373" i="12"/>
  <c r="AG2371" i="12"/>
  <c r="AG2370" i="12"/>
  <c r="AF2366" i="12"/>
  <c r="AE2367" i="12"/>
  <c r="AI2364" i="12"/>
  <c r="AI2365" i="12"/>
  <c r="AF2330" i="12"/>
  <c r="AE2331" i="12"/>
  <c r="X2285" i="12"/>
  <c r="V2282" i="12"/>
  <c r="V2236" i="12" s="1"/>
  <c r="V2235" i="12" s="1"/>
  <c r="AA2283" i="12"/>
  <c r="AD2280" i="12"/>
  <c r="AC2279" i="12"/>
  <c r="AD2279" i="12" s="1"/>
  <c r="J2211" i="12"/>
  <c r="K2212" i="12"/>
  <c r="AF2204" i="12"/>
  <c r="AE2205" i="12"/>
  <c r="AC2139" i="12"/>
  <c r="AC2138" i="12"/>
  <c r="AE2111" i="12"/>
  <c r="AF2110" i="12"/>
  <c r="AE2110" i="12" s="1"/>
  <c r="AI2098" i="12"/>
  <c r="AI2099" i="12"/>
  <c r="AI2093" i="12"/>
  <c r="AI2080" i="12"/>
  <c r="X2052" i="12"/>
  <c r="X2051" i="12"/>
  <c r="V2010" i="12"/>
  <c r="V2037" i="12"/>
  <c r="X2003" i="12"/>
  <c r="X2004" i="12"/>
  <c r="AE1671" i="12"/>
  <c r="AE1670" i="12" s="1"/>
  <c r="AE1669" i="12" s="1"/>
  <c r="AA1671" i="12"/>
  <c r="AB1670" i="12"/>
  <c r="AG1174" i="12"/>
  <c r="AG1175" i="12"/>
  <c r="Z310" i="9"/>
  <c r="V309" i="9"/>
  <c r="AA309" i="9" s="1"/>
  <c r="K357" i="8"/>
  <c r="L358" i="8"/>
  <c r="Y224" i="9"/>
  <c r="Z224" i="9" s="1"/>
  <c r="Z225" i="9"/>
  <c r="X142" i="9"/>
  <c r="X141" i="9" s="1"/>
  <c r="X140" i="9" s="1"/>
  <c r="X143" i="9"/>
  <c r="Q72" i="9"/>
  <c r="U71" i="9"/>
  <c r="Q71" i="9" s="1"/>
  <c r="K850" i="8"/>
  <c r="L851" i="8"/>
  <c r="M739" i="8"/>
  <c r="L739" i="8"/>
  <c r="J738" i="8"/>
  <c r="M627" i="8"/>
  <c r="L627" i="8"/>
  <c r="M617" i="8"/>
  <c r="L617" i="8"/>
  <c r="M491" i="8"/>
  <c r="N490" i="8"/>
  <c r="Z320" i="9"/>
  <c r="AA320" i="9"/>
  <c r="V318" i="9"/>
  <c r="U317" i="9"/>
  <c r="M319" i="9"/>
  <c r="J318" i="9"/>
  <c r="J317" i="9" s="1"/>
  <c r="L319" i="9"/>
  <c r="L283" i="9"/>
  <c r="K282" i="9"/>
  <c r="U276" i="9"/>
  <c r="Q277" i="9"/>
  <c r="AB247" i="9"/>
  <c r="AA248" i="9"/>
  <c r="M223" i="9"/>
  <c r="L223" i="9"/>
  <c r="AB218" i="9"/>
  <c r="AA219" i="9"/>
  <c r="V218" i="9"/>
  <c r="Z219" i="9"/>
  <c r="M211" i="9"/>
  <c r="M210" i="9" s="1"/>
  <c r="L211" i="9"/>
  <c r="L210" i="9" s="1"/>
  <c r="J210" i="9"/>
  <c r="J208" i="9"/>
  <c r="L208" i="9" s="1"/>
  <c r="M209" i="9"/>
  <c r="L209" i="9"/>
  <c r="V180" i="9"/>
  <c r="AA181" i="9"/>
  <c r="M176" i="9"/>
  <c r="M175" i="9" s="1"/>
  <c r="N175" i="9"/>
  <c r="Y120" i="9"/>
  <c r="Z121" i="9"/>
  <c r="M89" i="9"/>
  <c r="J88" i="9"/>
  <c r="J40" i="9" s="1"/>
  <c r="L89" i="9"/>
  <c r="Y41" i="9"/>
  <c r="Z42" i="9"/>
  <c r="L845" i="8"/>
  <c r="K844" i="8"/>
  <c r="L844" i="8" s="1"/>
  <c r="N828" i="8"/>
  <c r="M829" i="8"/>
  <c r="M828" i="8" s="1"/>
  <c r="N800" i="8"/>
  <c r="M802" i="8"/>
  <c r="M800" i="8" s="1"/>
  <c r="M733" i="8"/>
  <c r="J732" i="8"/>
  <c r="J715" i="8" s="1"/>
  <c r="M502" i="8"/>
  <c r="M501" i="8" s="1"/>
  <c r="N501" i="8"/>
  <c r="N495" i="8" s="1"/>
  <c r="M497" i="8"/>
  <c r="M496" i="8" s="1"/>
  <c r="L497" i="8"/>
  <c r="L496" i="8" s="1"/>
  <c r="J496" i="8"/>
  <c r="J470" i="8"/>
  <c r="L471" i="8"/>
  <c r="L416" i="8"/>
  <c r="L409" i="8"/>
  <c r="L408" i="8" s="1"/>
  <c r="K408" i="8"/>
  <c r="K383" i="8" s="1"/>
  <c r="J336" i="8"/>
  <c r="M336" i="8" s="1"/>
  <c r="M339" i="8"/>
  <c r="J181" i="8"/>
  <c r="L182" i="8"/>
  <c r="M182" i="8"/>
  <c r="N148" i="8"/>
  <c r="N147" i="8" s="1"/>
  <c r="M149" i="8"/>
  <c r="M148" i="8" s="1"/>
  <c r="L112" i="8"/>
  <c r="M112" i="8"/>
  <c r="L87" i="8"/>
  <c r="J86" i="8"/>
  <c r="K64" i="8"/>
  <c r="K60" i="8" s="1"/>
  <c r="L60" i="8" s="1"/>
  <c r="L66" i="8"/>
  <c r="L64" i="8" s="1"/>
  <c r="V2585" i="12"/>
  <c r="AA2587" i="12"/>
  <c r="Z2587" i="12"/>
  <c r="AB2583" i="12"/>
  <c r="AC2581" i="12"/>
  <c r="AC2582" i="12"/>
  <c r="AD2583" i="12"/>
  <c r="M2581" i="12"/>
  <c r="L2583" i="12"/>
  <c r="AB2554" i="12"/>
  <c r="AA2555" i="12"/>
  <c r="T2548" i="12"/>
  <c r="P2548" i="12" s="1"/>
  <c r="P2554" i="12"/>
  <c r="T2552" i="12"/>
  <c r="AG2552" i="12"/>
  <c r="AG2550" i="12" s="1"/>
  <c r="AG2548" i="12" s="1"/>
  <c r="AG2553" i="12"/>
  <c r="P2541" i="12"/>
  <c r="T2540" i="12"/>
  <c r="AH2537" i="12"/>
  <c r="AH2538" i="12"/>
  <c r="Y2539" i="12"/>
  <c r="W2537" i="12"/>
  <c r="W2538" i="12"/>
  <c r="W2531" i="12"/>
  <c r="W2532" i="12"/>
  <c r="K2534" i="12"/>
  <c r="J2533" i="12"/>
  <c r="AE2534" i="12"/>
  <c r="X2531" i="12"/>
  <c r="X2532" i="12"/>
  <c r="Y2531" i="12"/>
  <c r="Z2531" i="12" s="1"/>
  <c r="Y2532" i="12"/>
  <c r="Z2532" i="12" s="1"/>
  <c r="Z2533" i="12"/>
  <c r="AD2517" i="12"/>
  <c r="AC2516" i="12"/>
  <c r="AI2505" i="12"/>
  <c r="AI2504" i="12"/>
  <c r="AC2501" i="12"/>
  <c r="AD2502" i="12"/>
  <c r="AA2500" i="12"/>
  <c r="AB2498" i="12"/>
  <c r="AA2498" i="12" s="1"/>
  <c r="AB2499" i="12"/>
  <c r="AA2499" i="12" s="1"/>
  <c r="Y2490" i="12"/>
  <c r="AI2478" i="12"/>
  <c r="AI2476" i="12" s="1"/>
  <c r="AI2474" i="12" s="1"/>
  <c r="AI2479" i="12"/>
  <c r="AB2480" i="12"/>
  <c r="AA2481" i="12"/>
  <c r="P2480" i="12"/>
  <c r="T2478" i="12"/>
  <c r="AG2478" i="12"/>
  <c r="AG2479" i="12"/>
  <c r="AA2471" i="12"/>
  <c r="AB2470" i="12"/>
  <c r="AI2425" i="12"/>
  <c r="AI2424" i="12" s="1"/>
  <c r="AI2423" i="12" s="1"/>
  <c r="AI2606" i="12"/>
  <c r="AC2424" i="12"/>
  <c r="AD2425" i="12"/>
  <c r="AB2412" i="12"/>
  <c r="AA2413" i="12"/>
  <c r="T2407" i="12"/>
  <c r="P2408" i="12"/>
  <c r="AB2400" i="12"/>
  <c r="AA2401" i="12"/>
  <c r="AH2398" i="12"/>
  <c r="AH2399" i="12"/>
  <c r="V2398" i="12"/>
  <c r="V2399" i="12"/>
  <c r="K2390" i="12"/>
  <c r="J2389" i="12"/>
  <c r="AF2389" i="12"/>
  <c r="AE2390" i="12"/>
  <c r="Y2388" i="12"/>
  <c r="Z2388" i="12" s="1"/>
  <c r="Z2389" i="12"/>
  <c r="V2377" i="12"/>
  <c r="V2376" i="12"/>
  <c r="U2377" i="12"/>
  <c r="U2376" i="12"/>
  <c r="AF2372" i="12"/>
  <c r="AE2373" i="12"/>
  <c r="V2371" i="12"/>
  <c r="V2370" i="12"/>
  <c r="AC2367" i="12"/>
  <c r="AD2368" i="12"/>
  <c r="AA2350" i="12"/>
  <c r="AD2350" i="12"/>
  <c r="AB2323" i="12"/>
  <c r="AA2323" i="12" s="1"/>
  <c r="AA2324" i="12"/>
  <c r="AD2324" i="12"/>
  <c r="K2225" i="12"/>
  <c r="J2224" i="12"/>
  <c r="AC2215" i="12"/>
  <c r="T2216" i="12"/>
  <c r="J2216" i="12"/>
  <c r="K2217" i="12"/>
  <c r="AF2216" i="12"/>
  <c r="V2208" i="12"/>
  <c r="V2209" i="12"/>
  <c r="X2202" i="12"/>
  <c r="X2203" i="12"/>
  <c r="AF2158" i="12"/>
  <c r="AE2159" i="12"/>
  <c r="AC2145" i="12"/>
  <c r="AC2144" i="12"/>
  <c r="Z2136" i="12"/>
  <c r="Y2135" i="12"/>
  <c r="W2133" i="12"/>
  <c r="W2132" i="12"/>
  <c r="AC2121" i="12"/>
  <c r="AC2120" i="12"/>
  <c r="AI2105" i="12"/>
  <c r="AI2104" i="12"/>
  <c r="AC2104" i="12"/>
  <c r="AC2105" i="12"/>
  <c r="T2106" i="12"/>
  <c r="P2107" i="12"/>
  <c r="J2106" i="12"/>
  <c r="K2107" i="12"/>
  <c r="AE2107" i="12"/>
  <c r="AF2106" i="12"/>
  <c r="AG2098" i="12"/>
  <c r="AG2099" i="12"/>
  <c r="AB2100" i="12"/>
  <c r="AA2101" i="12"/>
  <c r="P2066" i="12"/>
  <c r="T2065" i="12"/>
  <c r="V2058" i="12"/>
  <c r="V2057" i="12"/>
  <c r="V2052" i="12"/>
  <c r="V2051" i="12"/>
  <c r="T1996" i="12"/>
  <c r="P1996" i="12" s="1"/>
  <c r="P1998" i="12"/>
  <c r="AI1990" i="12"/>
  <c r="AI1989" i="12"/>
  <c r="AI1828" i="12"/>
  <c r="AI1827" i="12"/>
  <c r="X1795" i="12"/>
  <c r="X1794" i="12"/>
  <c r="AG1167" i="12"/>
  <c r="AG1168" i="12"/>
  <c r="W1136" i="12"/>
  <c r="W1135" i="12"/>
  <c r="W1134" i="12" s="1"/>
  <c r="W1132" i="12" s="1"/>
  <c r="N796" i="8"/>
  <c r="U684" i="8"/>
  <c r="N158" i="8"/>
  <c r="P309" i="9"/>
  <c r="P308" i="9" s="1"/>
  <c r="O301" i="9"/>
  <c r="O291" i="9" s="1"/>
  <c r="U224" i="9"/>
  <c r="M208" i="9"/>
  <c r="I8" i="9"/>
  <c r="T746" i="8"/>
  <c r="X715" i="8"/>
  <c r="X708" i="8" s="1"/>
  <c r="I712" i="8"/>
  <c r="I709" i="8" s="1"/>
  <c r="G562" i="8"/>
  <c r="G559" i="8" s="1"/>
  <c r="G558" i="8" s="1"/>
  <c r="V423" i="8"/>
  <c r="V422" i="8" s="1"/>
  <c r="H335" i="8"/>
  <c r="Q270" i="8"/>
  <c r="U158" i="8"/>
  <c r="O88" i="8"/>
  <c r="O85" i="8" s="1"/>
  <c r="O84" i="8" s="1"/>
  <c r="P2555" i="12"/>
  <c r="S2516" i="12"/>
  <c r="S2514" i="12" s="1"/>
  <c r="S2512" i="12" s="1"/>
  <c r="S2510" i="12" s="1"/>
  <c r="P2481" i="12"/>
  <c r="Y2158" i="12"/>
  <c r="X2127" i="12"/>
  <c r="AA263" i="9"/>
  <c r="X221" i="8"/>
  <c r="U256" i="9"/>
  <c r="U253" i="9" s="1"/>
  <c r="I174" i="9"/>
  <c r="I173" i="9" s="1"/>
  <c r="AA86" i="9"/>
  <c r="S587" i="8"/>
  <c r="L553" i="8"/>
  <c r="W495" i="8"/>
  <c r="L479" i="8"/>
  <c r="J241" i="9"/>
  <c r="M241" i="9" s="1"/>
  <c r="K241" i="9"/>
  <c r="M256" i="9"/>
  <c r="M258" i="9"/>
  <c r="R308" i="9"/>
  <c r="T446" i="8"/>
  <c r="L245" i="9"/>
  <c r="M833" i="8"/>
  <c r="M832" i="8" s="1"/>
  <c r="L686" i="8"/>
  <c r="L685" i="8" s="1"/>
  <c r="L841" i="8"/>
  <c r="M292" i="8"/>
  <c r="M420" i="8"/>
  <c r="V342" i="8"/>
  <c r="V335" i="8" s="1"/>
  <c r="P559" i="8"/>
  <c r="I447" i="8"/>
  <c r="K361" i="8"/>
  <c r="L705" i="8"/>
  <c r="K129" i="8"/>
  <c r="J558" i="8"/>
  <c r="X291" i="9"/>
  <c r="X290" i="9" s="1"/>
  <c r="M270" i="9"/>
  <c r="P241" i="9"/>
  <c r="S217" i="9"/>
  <c r="P185" i="9"/>
  <c r="R165" i="9"/>
  <c r="Q149" i="9"/>
  <c r="AB156" i="9"/>
  <c r="AA135" i="9"/>
  <c r="U127" i="9"/>
  <c r="Q127" i="9" s="1"/>
  <c r="L127" i="9"/>
  <c r="Q101" i="9"/>
  <c r="Q102" i="9"/>
  <c r="O95" i="9"/>
  <c r="V87" i="9"/>
  <c r="V65" i="9"/>
  <c r="V46" i="9" s="1"/>
  <c r="V40" i="9" s="1"/>
  <c r="V39" i="9" s="1"/>
  <c r="V38" i="9" s="1"/>
  <c r="S46" i="9"/>
  <c r="S40" i="9" s="1"/>
  <c r="H40" i="9"/>
  <c r="H8" i="9" s="1"/>
  <c r="Q10" i="9"/>
  <c r="W9" i="9"/>
  <c r="W8" i="9" s="1"/>
  <c r="P827" i="8"/>
  <c r="P820" i="8" s="1"/>
  <c r="O824" i="8"/>
  <c r="O821" i="8" s="1"/>
  <c r="P797" i="8"/>
  <c r="P796" i="8" s="1"/>
  <c r="M711" i="8"/>
  <c r="O699" i="8"/>
  <c r="H634" i="8"/>
  <c r="H633" i="8" s="1"/>
  <c r="S622" i="8"/>
  <c r="Q495" i="8"/>
  <c r="O495" i="8"/>
  <c r="O483" i="8" s="1"/>
  <c r="T484" i="8"/>
  <c r="Q453" i="8"/>
  <c r="W228" i="8"/>
  <c r="W221" i="8" s="1"/>
  <c r="X147" i="8"/>
  <c r="X146" i="8" s="1"/>
  <c r="X145" i="8" s="1"/>
  <c r="U147" i="8"/>
  <c r="H147" i="8"/>
  <c r="AG2606" i="12"/>
  <c r="AH2594" i="12"/>
  <c r="R2594" i="12"/>
  <c r="J2594" i="12"/>
  <c r="P2585" i="12"/>
  <c r="T2584" i="12"/>
  <c r="AH2581" i="12"/>
  <c r="AH2579" i="12" s="1"/>
  <c r="AH2577" i="12" s="1"/>
  <c r="N2552" i="12"/>
  <c r="N2550" i="12" s="1"/>
  <c r="Q2548" i="12"/>
  <c r="P2534" i="12"/>
  <c r="K2524" i="12"/>
  <c r="P2518" i="12"/>
  <c r="I2516" i="12"/>
  <c r="I2514" i="12" s="1"/>
  <c r="I2512" i="12" s="1"/>
  <c r="I2510" i="12" s="1"/>
  <c r="W2516" i="12"/>
  <c r="AE2507" i="12"/>
  <c r="AF2506" i="12"/>
  <c r="Y2504" i="12"/>
  <c r="P2491" i="12"/>
  <c r="Z2485" i="12"/>
  <c r="AC2457" i="12"/>
  <c r="AD2459" i="12"/>
  <c r="U2458" i="12"/>
  <c r="AA2611" i="12"/>
  <c r="P2450" i="12"/>
  <c r="AA2448" i="12"/>
  <c r="AH2438" i="12"/>
  <c r="AH2437" i="12" s="1"/>
  <c r="X2438" i="12"/>
  <c r="X2437" i="12" s="1"/>
  <c r="K2425" i="12"/>
  <c r="AE2407" i="12"/>
  <c r="Z2407" i="12"/>
  <c r="AH2405" i="12"/>
  <c r="K2401" i="12"/>
  <c r="Y2395" i="12"/>
  <c r="P2390" i="12"/>
  <c r="AD2383" i="12"/>
  <c r="AD2382" i="12"/>
  <c r="AD2379" i="12"/>
  <c r="AI2377" i="12"/>
  <c r="T2376" i="12"/>
  <c r="P2376" i="12" s="1"/>
  <c r="Y2371" i="12"/>
  <c r="AH2364" i="12"/>
  <c r="AH2339" i="12"/>
  <c r="AH2329" i="12" s="1"/>
  <c r="AH2328" i="12" s="1"/>
  <c r="AB2339" i="12"/>
  <c r="AA2339" i="12" s="1"/>
  <c r="V2286" i="12"/>
  <c r="Z2244" i="12"/>
  <c r="AI2217" i="12"/>
  <c r="AI2216" i="12" s="1"/>
  <c r="R2157" i="12"/>
  <c r="R2155" i="12" s="1"/>
  <c r="U2154" i="12"/>
  <c r="AE2599" i="12"/>
  <c r="I2158" i="12"/>
  <c r="I2157" i="12" s="1"/>
  <c r="I2155" i="12" s="1"/>
  <c r="I2154" i="12" s="1"/>
  <c r="U2156" i="12"/>
  <c r="AI2121" i="12"/>
  <c r="AC2095" i="12"/>
  <c r="P2053" i="12"/>
  <c r="AG2039" i="12"/>
  <c r="AG2038" i="12" s="1"/>
  <c r="N842" i="8"/>
  <c r="M843" i="8"/>
  <c r="K709" i="8"/>
  <c r="L311" i="9"/>
  <c r="K310" i="9"/>
  <c r="Z268" i="9"/>
  <c r="AA268" i="9"/>
  <c r="M230" i="9"/>
  <c r="M228" i="9" s="1"/>
  <c r="J228" i="9"/>
  <c r="J224" i="9" s="1"/>
  <c r="L224" i="9" s="1"/>
  <c r="L230" i="9"/>
  <c r="L228" i="9" s="1"/>
  <c r="Z197" i="9"/>
  <c r="AA197" i="9"/>
  <c r="Y185" i="9"/>
  <c r="Y173" i="9" s="1"/>
  <c r="Z12" i="9"/>
  <c r="V11" i="9"/>
  <c r="V10" i="9" s="1"/>
  <c r="V9" i="9" s="1"/>
  <c r="V8" i="9" s="1"/>
  <c r="L838" i="8"/>
  <c r="M838" i="8"/>
  <c r="M835" i="8"/>
  <c r="L835" i="8"/>
  <c r="L823" i="8"/>
  <c r="K822" i="8"/>
  <c r="L822" i="8" s="1"/>
  <c r="J710" i="8"/>
  <c r="M710" i="8" s="1"/>
  <c r="L711" i="8"/>
  <c r="M629" i="8"/>
  <c r="J628" i="8"/>
  <c r="K560" i="8"/>
  <c r="L560" i="8" s="1"/>
  <c r="L561" i="8"/>
  <c r="N440" i="8"/>
  <c r="M441" i="8"/>
  <c r="L421" i="8"/>
  <c r="M421" i="8"/>
  <c r="K327" i="8"/>
  <c r="L328" i="8"/>
  <c r="M301" i="8"/>
  <c r="L301" i="8"/>
  <c r="J92" i="8"/>
  <c r="J91" i="8" s="1"/>
  <c r="L93" i="8"/>
  <c r="L92" i="8" s="1"/>
  <c r="K2584" i="12"/>
  <c r="J2583" i="12"/>
  <c r="AF2583" i="12"/>
  <c r="AE2584" i="12"/>
  <c r="W2548" i="12"/>
  <c r="W2552" i="12"/>
  <c r="W2550" i="12" s="1"/>
  <c r="W2553" i="12"/>
  <c r="X2548" i="12"/>
  <c r="X2552" i="12"/>
  <c r="X2550" i="12" s="1"/>
  <c r="X2553" i="12"/>
  <c r="Y2552" i="12"/>
  <c r="Y2553" i="12"/>
  <c r="Z2553" i="12" s="1"/>
  <c r="Z2554" i="12"/>
  <c r="M2539" i="12"/>
  <c r="L2540" i="12"/>
  <c r="AI2531" i="12"/>
  <c r="AI2532" i="12"/>
  <c r="P2533" i="12"/>
  <c r="T2531" i="12"/>
  <c r="P2531" i="12" s="1"/>
  <c r="X2498" i="12"/>
  <c r="X2499" i="12"/>
  <c r="M2490" i="12"/>
  <c r="L2491" i="12"/>
  <c r="AB2488" i="12"/>
  <c r="AB2489" i="12"/>
  <c r="W2478" i="12"/>
  <c r="W2479" i="12"/>
  <c r="AF2480" i="12"/>
  <c r="AE2481" i="12"/>
  <c r="AF2423" i="12"/>
  <c r="AE2424" i="12"/>
  <c r="AE2423" i="12" s="1"/>
  <c r="U2410" i="12"/>
  <c r="U2422" i="12"/>
  <c r="V2410" i="12"/>
  <c r="V2422" i="12"/>
  <c r="AF2405" i="12"/>
  <c r="AF2400" i="12"/>
  <c r="AE2401" i="12"/>
  <c r="N372" i="8"/>
  <c r="M378" i="8"/>
  <c r="L316" i="9"/>
  <c r="K315" i="9"/>
  <c r="AB292" i="9"/>
  <c r="AA295" i="9"/>
  <c r="U293" i="9"/>
  <c r="Q293" i="9" s="1"/>
  <c r="Q294" i="9"/>
  <c r="Z265" i="9"/>
  <c r="V264" i="9"/>
  <c r="K253" i="9"/>
  <c r="L253" i="9" s="1"/>
  <c r="L256" i="9"/>
  <c r="M214" i="9"/>
  <c r="L214" i="9"/>
  <c r="M177" i="9"/>
  <c r="L177" i="9"/>
  <c r="AB175" i="9"/>
  <c r="AA176" i="9"/>
  <c r="AA167" i="9"/>
  <c r="AB166" i="9"/>
  <c r="M166" i="9"/>
  <c r="N165" i="9"/>
  <c r="M165" i="9" s="1"/>
  <c r="Y134" i="9"/>
  <c r="Z134" i="9" s="1"/>
  <c r="Z135" i="9"/>
  <c r="L616" i="8"/>
  <c r="M616" i="8"/>
  <c r="J518" i="8"/>
  <c r="M518" i="8" s="1"/>
  <c r="L519" i="8"/>
  <c r="N448" i="8"/>
  <c r="M449" i="8"/>
  <c r="L419" i="8"/>
  <c r="L418" i="8" s="1"/>
  <c r="K418" i="8"/>
  <c r="K415" i="8" s="1"/>
  <c r="L415" i="8" s="1"/>
  <c r="K75" i="8"/>
  <c r="Y317" i="9"/>
  <c r="Y308" i="9" s="1"/>
  <c r="Z318" i="9"/>
  <c r="AA315" i="9"/>
  <c r="AB314" i="9"/>
  <c r="AA314" i="9" s="1"/>
  <c r="Z187" i="9"/>
  <c r="V186" i="9"/>
  <c r="Y155" i="9"/>
  <c r="Z156" i="9"/>
  <c r="Y140" i="9"/>
  <c r="Z140" i="9" s="1"/>
  <c r="Z141" i="9"/>
  <c r="Y127" i="9"/>
  <c r="Z128" i="9"/>
  <c r="AA120" i="9"/>
  <c r="AB119" i="9"/>
  <c r="Y101" i="9"/>
  <c r="Z102" i="9"/>
  <c r="AB65" i="9"/>
  <c r="AA65" i="9" s="1"/>
  <c r="AA68" i="9"/>
  <c r="O65" i="9"/>
  <c r="Q65" i="9" s="1"/>
  <c r="Q67" i="9"/>
  <c r="J797" i="8"/>
  <c r="J796" i="8" s="1"/>
  <c r="M798" i="8"/>
  <c r="M797" i="8" s="1"/>
  <c r="L798" i="8"/>
  <c r="L797" i="8" s="1"/>
  <c r="L759" i="8"/>
  <c r="L758" i="8" s="1"/>
  <c r="K758" i="8"/>
  <c r="N677" i="8"/>
  <c r="M678" i="8"/>
  <c r="K640" i="8"/>
  <c r="L641" i="8"/>
  <c r="K609" i="8"/>
  <c r="U602" i="8"/>
  <c r="Q602" i="8" s="1"/>
  <c r="Q603" i="8"/>
  <c r="M595" i="8"/>
  <c r="N594" i="8"/>
  <c r="M579" i="8"/>
  <c r="N578" i="8"/>
  <c r="M578" i="8" s="1"/>
  <c r="K550" i="8"/>
  <c r="L550" i="8" s="1"/>
  <c r="L551" i="8"/>
  <c r="M486" i="8"/>
  <c r="M485" i="8" s="1"/>
  <c r="L486" i="8"/>
  <c r="L485" i="8" s="1"/>
  <c r="J485" i="8"/>
  <c r="J438" i="8"/>
  <c r="M439" i="8"/>
  <c r="J271" i="8"/>
  <c r="J270" i="8" s="1"/>
  <c r="L272" i="8"/>
  <c r="L271" i="8" s="1"/>
  <c r="M272" i="8"/>
  <c r="M271" i="8" s="1"/>
  <c r="N245" i="8"/>
  <c r="M245" i="8" s="1"/>
  <c r="M246" i="8"/>
  <c r="M194" i="8"/>
  <c r="M193" i="8" s="1"/>
  <c r="N193" i="8"/>
  <c r="M157" i="8"/>
  <c r="L157" i="8"/>
  <c r="M152" i="8"/>
  <c r="L152" i="8"/>
  <c r="M150" i="8"/>
  <c r="L150" i="8"/>
  <c r="M47" i="8"/>
  <c r="M46" i="8" s="1"/>
  <c r="L47" i="8"/>
  <c r="L46" i="8" s="1"/>
  <c r="N22" i="8"/>
  <c r="N21" i="8" s="1"/>
  <c r="M21" i="8" s="1"/>
  <c r="M23" i="8"/>
  <c r="M22" i="8" s="1"/>
  <c r="M16" i="8"/>
  <c r="L16" i="8"/>
  <c r="M14" i="8"/>
  <c r="L14" i="8"/>
  <c r="L13" i="8"/>
  <c r="M13" i="8"/>
  <c r="M10" i="8"/>
  <c r="M253" i="9"/>
  <c r="K91" i="8"/>
  <c r="L106" i="8"/>
  <c r="M712" i="8"/>
  <c r="N709" i="8"/>
  <c r="N128" i="8"/>
  <c r="M128" i="8" s="1"/>
  <c r="M129" i="8"/>
  <c r="AB308" i="9"/>
  <c r="M309" i="9"/>
  <c r="AB278" i="9"/>
  <c r="AA279" i="9"/>
  <c r="Z279" i="9"/>
  <c r="V278" i="9"/>
  <c r="Z278" i="9" s="1"/>
  <c r="L277" i="9"/>
  <c r="J276" i="9"/>
  <c r="L276" i="9" s="1"/>
  <c r="M273" i="9"/>
  <c r="N272" i="9"/>
  <c r="V247" i="9"/>
  <c r="Z247" i="9" s="1"/>
  <c r="Z248" i="9"/>
  <c r="L233" i="9"/>
  <c r="L232" i="9" s="1"/>
  <c r="K232" i="9"/>
  <c r="K231" i="9" s="1"/>
  <c r="L231" i="9" s="1"/>
  <c r="M219" i="9"/>
  <c r="N218" i="9"/>
  <c r="N186" i="9"/>
  <c r="N185" i="9" s="1"/>
  <c r="M187" i="9"/>
  <c r="M186" i="9" s="1"/>
  <c r="K165" i="9"/>
  <c r="L165" i="9" s="1"/>
  <c r="L166" i="9"/>
  <c r="Y149" i="9"/>
  <c r="Z150" i="9"/>
  <c r="AA134" i="9"/>
  <c r="AB133" i="9"/>
  <c r="AA133" i="9" s="1"/>
  <c r="AB95" i="9"/>
  <c r="AA101" i="9"/>
  <c r="Y33" i="9"/>
  <c r="Z34" i="9"/>
  <c r="N846" i="8"/>
  <c r="M847" i="8"/>
  <c r="M846" i="8" s="1"/>
  <c r="L818" i="8"/>
  <c r="K817" i="8"/>
  <c r="L817" i="8" s="1"/>
  <c r="M816" i="8"/>
  <c r="L816" i="8"/>
  <c r="M810" i="8"/>
  <c r="L810" i="8"/>
  <c r="N754" i="8"/>
  <c r="M755" i="8"/>
  <c r="M754" i="8" s="1"/>
  <c r="L735" i="8"/>
  <c r="L734" i="8" s="1"/>
  <c r="K734" i="8"/>
  <c r="K716" i="8"/>
  <c r="L717" i="8"/>
  <c r="L716" i="8" s="1"/>
  <c r="L703" i="8"/>
  <c r="K702" i="8"/>
  <c r="L702" i="8" s="1"/>
  <c r="L701" i="8"/>
  <c r="M701" i="8"/>
  <c r="J700" i="8"/>
  <c r="J699" i="8" s="1"/>
  <c r="K692" i="8"/>
  <c r="K691" i="8" s="1"/>
  <c r="L691" i="8" s="1"/>
  <c r="L693" i="8"/>
  <c r="L692" i="8" s="1"/>
  <c r="M683" i="8"/>
  <c r="L683" i="8"/>
  <c r="M682" i="8"/>
  <c r="L682" i="8"/>
  <c r="M626" i="8"/>
  <c r="N625" i="8"/>
  <c r="K603" i="8"/>
  <c r="L604" i="8"/>
  <c r="N582" i="8"/>
  <c r="M582" i="8" s="1"/>
  <c r="M583" i="8"/>
  <c r="M571" i="8"/>
  <c r="M570" i="8" s="1"/>
  <c r="N570" i="8"/>
  <c r="M543" i="8"/>
  <c r="M542" i="8" s="1"/>
  <c r="N542" i="8"/>
  <c r="N541" i="8" s="1"/>
  <c r="M541" i="8" s="1"/>
  <c r="N535" i="8"/>
  <c r="N534" i="8" s="1"/>
  <c r="M536" i="8"/>
  <c r="M535" i="8" s="1"/>
  <c r="J530" i="8"/>
  <c r="M531" i="8"/>
  <c r="M530" i="8" s="1"/>
  <c r="J528" i="8"/>
  <c r="L529" i="8"/>
  <c r="M529" i="8"/>
  <c r="M493" i="8"/>
  <c r="M492" i="8" s="1"/>
  <c r="J492" i="8"/>
  <c r="N475" i="8"/>
  <c r="M478" i="8"/>
  <c r="M476" i="8"/>
  <c r="L476" i="8"/>
  <c r="L456" i="8"/>
  <c r="M456" i="8"/>
  <c r="M431" i="8"/>
  <c r="M430" i="8" s="1"/>
  <c r="N430" i="8"/>
  <c r="N429" i="8" s="1"/>
  <c r="M429" i="8" s="1"/>
  <c r="J426" i="8"/>
  <c r="J422" i="8" s="1"/>
  <c r="L428" i="8"/>
  <c r="L426" i="8" s="1"/>
  <c r="M397" i="8"/>
  <c r="M396" i="8" s="1"/>
  <c r="L397" i="8"/>
  <c r="L396" i="8" s="1"/>
  <c r="J396" i="8"/>
  <c r="J383" i="8" s="1"/>
  <c r="M383" i="8" s="1"/>
  <c r="L388" i="8"/>
  <c r="M388" i="8"/>
  <c r="J365" i="8"/>
  <c r="L366" i="8"/>
  <c r="M366" i="8"/>
  <c r="K347" i="8"/>
  <c r="L348" i="8"/>
  <c r="L347" i="8" s="1"/>
  <c r="L340" i="8"/>
  <c r="K339" i="8"/>
  <c r="K337" i="8"/>
  <c r="L337" i="8" s="1"/>
  <c r="L338" i="8"/>
  <c r="N321" i="8"/>
  <c r="N320" i="8" s="1"/>
  <c r="M322" i="8"/>
  <c r="M321" i="8" s="1"/>
  <c r="J305" i="8"/>
  <c r="J302" i="8" s="1"/>
  <c r="M306" i="8"/>
  <c r="M305" i="8" s="1"/>
  <c r="J141" i="8"/>
  <c r="M141" i="8" s="1"/>
  <c r="M142" i="8"/>
  <c r="L142" i="8"/>
  <c r="N138" i="8"/>
  <c r="M139" i="8"/>
  <c r="L117" i="8"/>
  <c r="K116" i="8"/>
  <c r="N108" i="8"/>
  <c r="M108" i="8" s="1"/>
  <c r="M109" i="8"/>
  <c r="M105" i="8"/>
  <c r="N104" i="8"/>
  <c r="M104" i="8" s="1"/>
  <c r="M100" i="8"/>
  <c r="L100" i="8"/>
  <c r="M99" i="8"/>
  <c r="L99" i="8"/>
  <c r="M97" i="8"/>
  <c r="M96" i="8" s="1"/>
  <c r="L97" i="8"/>
  <c r="L96" i="8" s="1"/>
  <c r="N85" i="8"/>
  <c r="M88" i="8"/>
  <c r="J81" i="8"/>
  <c r="L82" i="8"/>
  <c r="M77" i="8"/>
  <c r="L77" i="8"/>
  <c r="J76" i="8"/>
  <c r="L76" i="8" s="1"/>
  <c r="K44" i="8"/>
  <c r="L45" i="8"/>
  <c r="J11" i="8"/>
  <c r="J10" i="8" s="1"/>
  <c r="M12" i="8"/>
  <c r="M11" i="8" s="1"/>
  <c r="L12" i="8"/>
  <c r="L11" i="8" s="1"/>
  <c r="AD2606" i="12"/>
  <c r="AJ2606" i="12"/>
  <c r="W2581" i="12"/>
  <c r="W2579" i="12" s="1"/>
  <c r="W2577" i="12" s="1"/>
  <c r="W2582" i="12"/>
  <c r="AG2581" i="12"/>
  <c r="AG2579" i="12" s="1"/>
  <c r="AG2577" i="12" s="1"/>
  <c r="AG2582" i="12"/>
  <c r="AI2552" i="12"/>
  <c r="AI2550" i="12" s="1"/>
  <c r="AI2548" i="12" s="1"/>
  <c r="AI2553" i="12"/>
  <c r="AA2546" i="12"/>
  <c r="Z2546" i="12"/>
  <c r="V2598" i="12"/>
  <c r="V2597" i="12" s="1"/>
  <c r="V2596" i="12" s="1"/>
  <c r="J2540" i="12"/>
  <c r="K2541" i="12"/>
  <c r="X2537" i="12"/>
  <c r="X2538" i="12"/>
  <c r="AC2531" i="12"/>
  <c r="AC2532" i="12"/>
  <c r="AB2524" i="12"/>
  <c r="AA2525" i="12"/>
  <c r="AH2514" i="12"/>
  <c r="AH2512" i="12" s="1"/>
  <c r="AH2510" i="12" s="1"/>
  <c r="AH2515" i="12"/>
  <c r="Z2517" i="12"/>
  <c r="Y2516" i="12"/>
  <c r="J2517" i="12"/>
  <c r="K2518" i="12"/>
  <c r="V2491" i="12"/>
  <c r="AA2492" i="12"/>
  <c r="J2491" i="12"/>
  <c r="K2492" i="12"/>
  <c r="W2488" i="12"/>
  <c r="W2489" i="12"/>
  <c r="X2488" i="12"/>
  <c r="X2489" i="12"/>
  <c r="AB2484" i="12"/>
  <c r="AA2484" i="12" s="1"/>
  <c r="AA2485" i="12"/>
  <c r="AH2468" i="12"/>
  <c r="AH2469" i="12"/>
  <c r="AA2461" i="12"/>
  <c r="AE2461" i="12"/>
  <c r="AE2460" i="12"/>
  <c r="AF2459" i="12"/>
  <c r="X2459" i="12"/>
  <c r="X2458" i="12" s="1"/>
  <c r="X2457" i="12"/>
  <c r="Y2449" i="12"/>
  <c r="Z2450" i="12"/>
  <c r="W2448" i="12"/>
  <c r="W2447" i="12" s="1"/>
  <c r="W2446" i="12"/>
  <c r="AC2438" i="12"/>
  <c r="Z2439" i="12"/>
  <c r="Y2438" i="12"/>
  <c r="M2424" i="12"/>
  <c r="L2425" i="12"/>
  <c r="AC2413" i="12"/>
  <c r="AD2414" i="12"/>
  <c r="AG2405" i="12"/>
  <c r="AG2404" i="12"/>
  <c r="Y2405" i="12"/>
  <c r="Z2406" i="12"/>
  <c r="Y2404" i="12"/>
  <c r="Z2404" i="12" s="1"/>
  <c r="U2405" i="12"/>
  <c r="U2404" i="12"/>
  <c r="AC2401" i="12"/>
  <c r="AD2402" i="12"/>
  <c r="AB2394" i="12"/>
  <c r="AA2395" i="12"/>
  <c r="AC2388" i="12"/>
  <c r="AD2389" i="12"/>
  <c r="M2387" i="12"/>
  <c r="L2387" i="12" s="1"/>
  <c r="L2389" i="12"/>
  <c r="AF2382" i="12"/>
  <c r="AE2382" i="12" s="1"/>
  <c r="AE2383" i="12"/>
  <c r="AF2378" i="12"/>
  <c r="AE2379" i="12"/>
  <c r="AC2371" i="12"/>
  <c r="AC2370" i="12"/>
  <c r="AD2372" i="12"/>
  <c r="V2367" i="12"/>
  <c r="V2366" i="12" s="1"/>
  <c r="V2364" i="12" s="1"/>
  <c r="AA2368" i="12"/>
  <c r="AD2340" i="12"/>
  <c r="AC2339" i="12"/>
  <c r="K2324" i="12"/>
  <c r="J2323" i="12"/>
  <c r="K2323" i="12" s="1"/>
  <c r="AH2300" i="12"/>
  <c r="AH2294" i="12" s="1"/>
  <c r="AH2286" i="12" s="1"/>
  <c r="AH2606" i="12"/>
  <c r="AD2283" i="12"/>
  <c r="AC2282" i="12"/>
  <c r="AD2282" i="12" s="1"/>
  <c r="AD2254" i="12"/>
  <c r="AC2251" i="12"/>
  <c r="AD2251" i="12" s="1"/>
  <c r="AI2222" i="12"/>
  <c r="AI2223" i="12"/>
  <c r="Z2226" i="12"/>
  <c r="Y2225" i="12"/>
  <c r="U2223" i="12"/>
  <c r="U2222" i="12"/>
  <c r="AH2223" i="12"/>
  <c r="AH2222" i="12"/>
  <c r="AG2223" i="12"/>
  <c r="AG2222" i="12"/>
  <c r="AH2214" i="12"/>
  <c r="AH2215" i="12"/>
  <c r="AH2208" i="12"/>
  <c r="AH2209" i="12"/>
  <c r="AB2211" i="12"/>
  <c r="AA2212" i="12"/>
  <c r="AD2212" i="12"/>
  <c r="W2202" i="12"/>
  <c r="W2203" i="12"/>
  <c r="AI2156" i="12"/>
  <c r="AI2155" i="12"/>
  <c r="AI2145" i="12"/>
  <c r="AI2144" i="12"/>
  <c r="AE2145" i="12"/>
  <c r="AE2144" i="12"/>
  <c r="AA2145" i="12"/>
  <c r="AA2144" i="12"/>
  <c r="W2145" i="12"/>
  <c r="W2144" i="12"/>
  <c r="AH2144" i="12"/>
  <c r="AH2145" i="12"/>
  <c r="Z2144" i="12"/>
  <c r="Z2145" i="12"/>
  <c r="AH2139" i="12"/>
  <c r="AH2138" i="12"/>
  <c r="AG2133" i="12"/>
  <c r="AG2132" i="12"/>
  <c r="AH2127" i="12"/>
  <c r="AH2126" i="12"/>
  <c r="AB2116" i="12"/>
  <c r="AE2117" i="12"/>
  <c r="AI2115" i="12"/>
  <c r="AI2114" i="12"/>
  <c r="AH2104" i="12"/>
  <c r="AH2105" i="12"/>
  <c r="AH2080" i="12"/>
  <c r="AH2081" i="12"/>
  <c r="AF2071" i="12"/>
  <c r="AG2069" i="12"/>
  <c r="AG2070" i="12"/>
  <c r="AH2058" i="12"/>
  <c r="AH2057" i="12"/>
  <c r="AI2051" i="12"/>
  <c r="AI2052" i="12"/>
  <c r="AH2052" i="12"/>
  <c r="AH2051" i="12"/>
  <c r="X1996" i="12"/>
  <c r="X1997" i="12"/>
  <c r="AI1907" i="12"/>
  <c r="AB1819" i="12"/>
  <c r="AB1820" i="12"/>
  <c r="AA1821" i="12"/>
  <c r="Z1671" i="12"/>
  <c r="Y1670" i="12"/>
  <c r="AH1536" i="12"/>
  <c r="AH1537" i="12"/>
  <c r="X1434" i="12"/>
  <c r="X1435" i="12"/>
  <c r="AG1344" i="12"/>
  <c r="AG1345" i="12"/>
  <c r="Z1090" i="12"/>
  <c r="Z1089" i="12"/>
  <c r="V281" i="9"/>
  <c r="Z281" i="9" s="1"/>
  <c r="X252" i="9"/>
  <c r="W95" i="9"/>
  <c r="W94" i="9" s="1"/>
  <c r="W93" i="9" s="1"/>
  <c r="AA85" i="9"/>
  <c r="M732" i="8"/>
  <c r="H715" i="8"/>
  <c r="O712" i="8"/>
  <c r="O709" i="8" s="1"/>
  <c r="I633" i="8"/>
  <c r="M594" i="8"/>
  <c r="G450" i="8"/>
  <c r="G447" i="8" s="1"/>
  <c r="M325" i="8"/>
  <c r="G129" i="8"/>
  <c r="G128" i="8" s="1"/>
  <c r="G119" i="8" s="1"/>
  <c r="I2548" i="12"/>
  <c r="R2512" i="12"/>
  <c r="R2510" i="12" s="1"/>
  <c r="AI2516" i="12"/>
  <c r="Z2457" i="12"/>
  <c r="AH2446" i="12"/>
  <c r="K699" i="8"/>
  <c r="L699" i="8" s="1"/>
  <c r="AA253" i="9"/>
  <c r="AA273" i="9"/>
  <c r="AA206" i="9"/>
  <c r="K372" i="8"/>
  <c r="M764" i="8"/>
  <c r="M763" i="8" s="1"/>
  <c r="N587" i="8"/>
  <c r="I291" i="9"/>
  <c r="AA159" i="9"/>
  <c r="Y86" i="9"/>
  <c r="Z65" i="9"/>
  <c r="AA34" i="9"/>
  <c r="AA11" i="9"/>
  <c r="S9" i="9"/>
  <c r="S715" i="8"/>
  <c r="X702" i="8"/>
  <c r="X699" i="8" s="1"/>
  <c r="X625" i="8"/>
  <c r="X622" i="8" s="1"/>
  <c r="X549" i="8"/>
  <c r="I484" i="8"/>
  <c r="S453" i="8"/>
  <c r="M265" i="8"/>
  <c r="N383" i="8"/>
  <c r="J259" i="9"/>
  <c r="J252" i="9" s="1"/>
  <c r="N715" i="8"/>
  <c r="L695" i="8"/>
  <c r="L291" i="8"/>
  <c r="M287" i="8"/>
  <c r="M280" i="8"/>
  <c r="R85" i="8"/>
  <c r="R84" i="8" s="1"/>
  <c r="P197" i="8"/>
  <c r="Q562" i="8"/>
  <c r="Q559" i="8" s="1"/>
  <c r="R820" i="8"/>
  <c r="M331" i="8"/>
  <c r="L597" i="8"/>
  <c r="M610" i="8"/>
  <c r="M53" i="8"/>
  <c r="K229" i="8"/>
  <c r="K228" i="8" s="1"/>
  <c r="L385" i="8"/>
  <c r="L384" i="8" s="1"/>
  <c r="K495" i="8"/>
  <c r="N747" i="8"/>
  <c r="S292" i="9"/>
  <c r="P291" i="9"/>
  <c r="M276" i="9"/>
  <c r="O165" i="9"/>
  <c r="Z166" i="9"/>
  <c r="Z142" i="9"/>
  <c r="Q128" i="9"/>
  <c r="U95" i="9"/>
  <c r="M47" i="9"/>
  <c r="M46" i="9" s="1"/>
  <c r="X40" i="9"/>
  <c r="X39" i="9" s="1"/>
  <c r="X38" i="9" s="1"/>
  <c r="AA41" i="9"/>
  <c r="M837" i="8"/>
  <c r="I827" i="8"/>
  <c r="I824" i="8"/>
  <c r="I821" i="8" s="1"/>
  <c r="X797" i="8"/>
  <c r="X796" i="8" s="1"/>
  <c r="T797" i="8"/>
  <c r="T796" i="8" s="1"/>
  <c r="H757" i="8"/>
  <c r="J746" i="8"/>
  <c r="G709" i="8"/>
  <c r="M706" i="8"/>
  <c r="S645" i="8"/>
  <c r="K645" i="8"/>
  <c r="P622" i="8"/>
  <c r="T594" i="8"/>
  <c r="T593" i="8" s="1"/>
  <c r="O558" i="8"/>
  <c r="M552" i="8"/>
  <c r="S549" i="8"/>
  <c r="T495" i="8"/>
  <c r="S495" i="8"/>
  <c r="W453" i="8"/>
  <c r="W446" i="8" s="1"/>
  <c r="K453" i="8"/>
  <c r="U335" i="8"/>
  <c r="M288" i="8"/>
  <c r="I146" i="8"/>
  <c r="Q147" i="8"/>
  <c r="I120" i="8"/>
  <c r="I119" i="8" s="1"/>
  <c r="I113" i="8"/>
  <c r="G113" i="8"/>
  <c r="G84" i="8" s="1"/>
  <c r="S75" i="8"/>
  <c r="S9" i="8" s="1"/>
  <c r="O75" i="8"/>
  <c r="O9" i="8" s="1"/>
  <c r="V61" i="8"/>
  <c r="V60" i="8" s="1"/>
  <c r="R61" i="8"/>
  <c r="R60" i="8" s="1"/>
  <c r="M61" i="8"/>
  <c r="K53" i="8"/>
  <c r="L53" i="8" s="1"/>
  <c r="H53" i="8"/>
  <c r="H21" i="8"/>
  <c r="V10" i="8"/>
  <c r="X10" i="8"/>
  <c r="X9" i="8" s="1"/>
  <c r="M259" i="8"/>
  <c r="AA257" i="9"/>
  <c r="L24" i="8"/>
  <c r="AA200" i="9"/>
  <c r="J314" i="9"/>
  <c r="M314" i="9" s="1"/>
  <c r="L595" i="8"/>
  <c r="L623" i="8"/>
  <c r="M242" i="9"/>
  <c r="L255" i="9"/>
  <c r="M262" i="9"/>
  <c r="M265" i="9"/>
  <c r="M264" i="9" s="1"/>
  <c r="AB228" i="9"/>
  <c r="L204" i="9"/>
  <c r="R224" i="9"/>
  <c r="M697" i="8"/>
  <c r="M696" i="8" s="1"/>
  <c r="J688" i="8"/>
  <c r="J684" i="8" s="1"/>
  <c r="M684" i="8" s="1"/>
  <c r="L377" i="8"/>
  <c r="M151" i="8"/>
  <c r="L299" i="8"/>
  <c r="M791" i="8"/>
  <c r="M197" i="8"/>
  <c r="U85" i="8"/>
  <c r="V437" i="8"/>
  <c r="U309" i="8"/>
  <c r="L32" i="8"/>
  <c r="M730" i="8"/>
  <c r="L71" i="8"/>
  <c r="M310" i="8"/>
  <c r="N584" i="8"/>
  <c r="M87" i="8"/>
  <c r="J147" i="8"/>
  <c r="N309" i="8"/>
  <c r="L473" i="8"/>
  <c r="L472" i="8" s="1"/>
  <c r="M289" i="8"/>
  <c r="L411" i="8"/>
  <c r="L615" i="8"/>
  <c r="K364" i="8"/>
  <c r="M410" i="8"/>
  <c r="M700" i="8"/>
  <c r="W308" i="9"/>
  <c r="S309" i="9"/>
  <c r="S308" i="9" s="1"/>
  <c r="W301" i="9"/>
  <c r="W291" i="9" s="1"/>
  <c r="W290" i="9" s="1"/>
  <c r="S301" i="9"/>
  <c r="M301" i="9"/>
  <c r="T281" i="9"/>
  <c r="S253" i="9"/>
  <c r="I253" i="9"/>
  <c r="AA254" i="9"/>
  <c r="M244" i="9"/>
  <c r="L237" i="9"/>
  <c r="N225" i="9"/>
  <c r="N224" i="9" s="1"/>
  <c r="L180" i="9"/>
  <c r="Q166" i="9"/>
  <c r="AA142" i="9"/>
  <c r="AA141" i="9"/>
  <c r="V95" i="9"/>
  <c r="V94" i="9" s="1"/>
  <c r="V93" i="9" s="1"/>
  <c r="R65" i="9"/>
  <c r="R46" i="9" s="1"/>
  <c r="R40" i="9" s="1"/>
  <c r="R8" i="9" s="1"/>
  <c r="AA47" i="9"/>
  <c r="Y46" i="9"/>
  <c r="Q27" i="9"/>
  <c r="O27" i="9"/>
  <c r="O9" i="9" s="1"/>
  <c r="Q25" i="9"/>
  <c r="AA12" i="9"/>
  <c r="N8" i="9"/>
  <c r="P8" i="9"/>
  <c r="K9" i="9"/>
  <c r="U9" i="9"/>
  <c r="M830" i="8"/>
  <c r="X814" i="8"/>
  <c r="X811" i="8" s="1"/>
  <c r="M814" i="8"/>
  <c r="K811" i="8"/>
  <c r="L811" i="8" s="1"/>
  <c r="K789" i="8"/>
  <c r="L753" i="8"/>
  <c r="K746" i="8"/>
  <c r="L732" i="8"/>
  <c r="M704" i="8"/>
  <c r="U699" i="8"/>
  <c r="W684" i="8"/>
  <c r="J677" i="8"/>
  <c r="M677" i="8" s="1"/>
  <c r="L668" i="8"/>
  <c r="X645" i="8"/>
  <c r="Q645" i="8"/>
  <c r="W634" i="8"/>
  <c r="T634" i="8"/>
  <c r="Q634" i="8"/>
  <c r="M621" i="8"/>
  <c r="M614" i="8"/>
  <c r="R603" i="8"/>
  <c r="R602" i="8" s="1"/>
  <c r="R593" i="8" s="1"/>
  <c r="G603" i="8"/>
  <c r="G602" i="8" s="1"/>
  <c r="G593" i="8" s="1"/>
  <c r="U587" i="8"/>
  <c r="O549" i="8"/>
  <c r="H549" i="8"/>
  <c r="M547" i="8"/>
  <c r="M546" i="8" s="1"/>
  <c r="K534" i="8"/>
  <c r="R535" i="8"/>
  <c r="R534" i="8" s="1"/>
  <c r="X484" i="8"/>
  <c r="I453" i="8"/>
  <c r="U453" i="8"/>
  <c r="R453" i="8"/>
  <c r="R446" i="8" s="1"/>
  <c r="Q450" i="8"/>
  <c r="Q447" i="8" s="1"/>
  <c r="P437" i="8"/>
  <c r="W371" i="8"/>
  <c r="P383" i="8"/>
  <c r="M376" i="8"/>
  <c r="M374" i="8"/>
  <c r="M373" i="8" s="1"/>
  <c r="I342" i="8"/>
  <c r="G339" i="8"/>
  <c r="G336" i="8" s="1"/>
  <c r="M330" i="8"/>
  <c r="M326" i="8"/>
  <c r="Q190" i="8"/>
  <c r="K190" i="8"/>
  <c r="W158" i="8"/>
  <c r="Q158" i="8"/>
  <c r="P135" i="8"/>
  <c r="P134" i="8" s="1"/>
  <c r="I91" i="8"/>
  <c r="I84" i="8" s="1"/>
  <c r="P91" i="8"/>
  <c r="P84" i="8" s="1"/>
  <c r="AD2584" i="12"/>
  <c r="AD2555" i="12"/>
  <c r="R2552" i="12"/>
  <c r="R2550" i="12" s="1"/>
  <c r="U2548" i="12"/>
  <c r="V2541" i="12"/>
  <c r="Z2534" i="12"/>
  <c r="L2524" i="12"/>
  <c r="U2516" i="12"/>
  <c r="U2514" i="12" s="1"/>
  <c r="U2512" i="12" s="1"/>
  <c r="U2510" i="12" s="1"/>
  <c r="Q2516" i="12"/>
  <c r="Q2514" i="12" s="1"/>
  <c r="Q2512" i="12" s="1"/>
  <c r="Q2510" i="12" s="1"/>
  <c r="O2516" i="12"/>
  <c r="O2514" i="12" s="1"/>
  <c r="O2512" i="12" s="1"/>
  <c r="O2510" i="12" s="1"/>
  <c r="P2484" i="12"/>
  <c r="AD2481" i="12"/>
  <c r="U2478" i="12"/>
  <c r="U2476" i="12" s="1"/>
  <c r="U2474" i="12" s="1"/>
  <c r="AA2465" i="12"/>
  <c r="Y2458" i="12"/>
  <c r="Z2458" i="12" s="1"/>
  <c r="AA2454" i="12"/>
  <c r="AG2446" i="12"/>
  <c r="AG2448" i="12"/>
  <c r="AG2447" i="12" s="1"/>
  <c r="T2447" i="12"/>
  <c r="AD2407" i="12"/>
  <c r="V2405" i="12"/>
  <c r="K2402" i="12"/>
  <c r="AC2395" i="12"/>
  <c r="Z2390" i="12"/>
  <c r="W2376" i="12"/>
  <c r="P2379" i="12"/>
  <c r="W2377" i="12"/>
  <c r="X2376" i="12"/>
  <c r="X2339" i="12"/>
  <c r="X2329" i="12" s="1"/>
  <c r="X2328" i="12" s="1"/>
  <c r="U2286" i="12"/>
  <c r="W2115" i="12"/>
  <c r="Z2064" i="12"/>
  <c r="Q1319" i="12"/>
  <c r="AC2082" i="12"/>
  <c r="AB2060" i="12"/>
  <c r="AA2061" i="12"/>
  <c r="K2061" i="12"/>
  <c r="J2060" i="12"/>
  <c r="AF2037" i="12"/>
  <c r="X2010" i="12"/>
  <c r="X2037" i="12"/>
  <c r="AH2003" i="12"/>
  <c r="AH2004" i="12"/>
  <c r="V1996" i="12"/>
  <c r="V1997" i="12"/>
  <c r="Y1992" i="12"/>
  <c r="Z1993" i="12"/>
  <c r="U1989" i="12"/>
  <c r="U1863" i="12" s="1"/>
  <c r="U1990" i="12"/>
  <c r="W1990" i="12"/>
  <c r="W1989" i="12"/>
  <c r="AC1984" i="12"/>
  <c r="AD1985" i="12"/>
  <c r="AB1940" i="12"/>
  <c r="AB1930" i="12" s="1"/>
  <c r="AB1929" i="12" s="1"/>
  <c r="AD1941" i="12"/>
  <c r="AC1909" i="12"/>
  <c r="AD1919" i="12"/>
  <c r="AF1867" i="12"/>
  <c r="AE1871" i="12"/>
  <c r="AG1851" i="12"/>
  <c r="AG1852" i="12"/>
  <c r="AH1845" i="12"/>
  <c r="AH1846" i="12"/>
  <c r="AG1845" i="12"/>
  <c r="AG1846" i="12"/>
  <c r="AB1830" i="12"/>
  <c r="AB1829" i="12" s="1"/>
  <c r="AE1831" i="12"/>
  <c r="AC1828" i="12"/>
  <c r="AC1827" i="12"/>
  <c r="V1819" i="12"/>
  <c r="V1820" i="12"/>
  <c r="Y1805" i="12"/>
  <c r="Z1806" i="12"/>
  <c r="V1802" i="12"/>
  <c r="V1803" i="12"/>
  <c r="AA1803" i="12" s="1"/>
  <c r="J1804" i="12"/>
  <c r="AF1795" i="12"/>
  <c r="AE1795" i="12" s="1"/>
  <c r="AE1796" i="12"/>
  <c r="AF1794" i="12"/>
  <c r="AE1794" i="12" s="1"/>
  <c r="M1789" i="12"/>
  <c r="L1790" i="12"/>
  <c r="AA1783" i="12"/>
  <c r="AD1783" i="12"/>
  <c r="AF1754" i="12"/>
  <c r="AE1755" i="12"/>
  <c r="N1743" i="12"/>
  <c r="N1742" i="12" s="1"/>
  <c r="N1741" i="12" s="1"/>
  <c r="N1739" i="12" s="1"/>
  <c r="P1744" i="12"/>
  <c r="AI1740" i="12"/>
  <c r="AI1739" i="12"/>
  <c r="AG1739" i="12"/>
  <c r="AG1740" i="12"/>
  <c r="V1720" i="12"/>
  <c r="V1719" i="12" s="1"/>
  <c r="AA1721" i="12"/>
  <c r="W1683" i="12"/>
  <c r="W1684" i="12"/>
  <c r="T1669" i="12"/>
  <c r="P1669" i="12" s="1"/>
  <c r="P1670" i="12"/>
  <c r="AH1653" i="12"/>
  <c r="AH1617" i="12" s="1"/>
  <c r="AH1654" i="12"/>
  <c r="AB1655" i="12"/>
  <c r="AA1656" i="12"/>
  <c r="K1656" i="12"/>
  <c r="J1655" i="12"/>
  <c r="Y1646" i="12"/>
  <c r="Z1647" i="12"/>
  <c r="U1618" i="12"/>
  <c r="U1644" i="12"/>
  <c r="AF1610" i="12"/>
  <c r="AE1611" i="12"/>
  <c r="P1610" i="12"/>
  <c r="T1606" i="12"/>
  <c r="AI1604" i="12"/>
  <c r="AI1605" i="12"/>
  <c r="AF1585" i="12"/>
  <c r="AE1586" i="12"/>
  <c r="V1536" i="12"/>
  <c r="V1537" i="12"/>
  <c r="Y1517" i="12"/>
  <c r="Z1517" i="12" s="1"/>
  <c r="Z1518" i="12"/>
  <c r="AC1494" i="12"/>
  <c r="AB1456" i="12"/>
  <c r="AA1457" i="12"/>
  <c r="V1437" i="12"/>
  <c r="V1436" i="12" s="1"/>
  <c r="AA1438" i="12"/>
  <c r="K1402" i="12"/>
  <c r="L1402" i="12"/>
  <c r="AI1385" i="12"/>
  <c r="AI1386" i="12"/>
  <c r="V1380" i="12"/>
  <c r="Z1381" i="12"/>
  <c r="AE1369" i="12"/>
  <c r="AF1368" i="12"/>
  <c r="X1366" i="12"/>
  <c r="X1367" i="12"/>
  <c r="AF1350" i="12"/>
  <c r="P1351" i="12"/>
  <c r="AC1350" i="12"/>
  <c r="AI1344" i="12"/>
  <c r="AI1345" i="12"/>
  <c r="AF1340" i="12"/>
  <c r="X1338" i="12"/>
  <c r="X1339" i="12"/>
  <c r="V1334" i="12"/>
  <c r="V1333" i="12" s="1"/>
  <c r="V1327" i="12" s="1"/>
  <c r="AA1335" i="12"/>
  <c r="AB1333" i="12"/>
  <c r="AA1333" i="12" s="1"/>
  <c r="X1327" i="12"/>
  <c r="X1328" i="12"/>
  <c r="AG1321" i="12"/>
  <c r="AG1320" i="12"/>
  <c r="AA1304" i="12"/>
  <c r="AB1297" i="12"/>
  <c r="AA1297" i="12" s="1"/>
  <c r="AB1278" i="12"/>
  <c r="AA1279" i="12"/>
  <c r="AA1245" i="12"/>
  <c r="AE1245" i="12"/>
  <c r="AA1226" i="12"/>
  <c r="AB1225" i="12"/>
  <c r="W1223" i="12"/>
  <c r="W1224" i="12"/>
  <c r="AB1159" i="12"/>
  <c r="AB1158" i="12" s="1"/>
  <c r="AB1157" i="12" s="1"/>
  <c r="AE1160" i="12"/>
  <c r="AA1151" i="12"/>
  <c r="AB1146" i="12"/>
  <c r="AA1146" i="12" s="1"/>
  <c r="AA1147" i="12"/>
  <c r="V1146" i="12"/>
  <c r="M1146" i="12"/>
  <c r="L1147" i="12"/>
  <c r="AB1138" i="12"/>
  <c r="AA1141" i="12"/>
  <c r="AE1141" i="12"/>
  <c r="T1127" i="12"/>
  <c r="P1128" i="12"/>
  <c r="M1126" i="12"/>
  <c r="L1127" i="12"/>
  <c r="AG1112" i="12"/>
  <c r="AG1113" i="12"/>
  <c r="AE1099" i="12"/>
  <c r="AB1098" i="12"/>
  <c r="U1090" i="12"/>
  <c r="U1089" i="12"/>
  <c r="AH1090" i="12"/>
  <c r="AH1089" i="12"/>
  <c r="X1083" i="12"/>
  <c r="X1084" i="12"/>
  <c r="X1077" i="12"/>
  <c r="X1078" i="12"/>
  <c r="T1077" i="12"/>
  <c r="P1077" i="12" s="1"/>
  <c r="P1079" i="12"/>
  <c r="AI1071" i="12"/>
  <c r="AI1072" i="12"/>
  <c r="Z1075" i="12"/>
  <c r="Y1074" i="12"/>
  <c r="AB1073" i="12"/>
  <c r="AA1074" i="12"/>
  <c r="AH1050" i="12"/>
  <c r="AH1051" i="12"/>
  <c r="AG1051" i="12"/>
  <c r="AG1050" i="12"/>
  <c r="AD1054" i="12"/>
  <c r="AC1053" i="12"/>
  <c r="X1051" i="12"/>
  <c r="X1050" i="12"/>
  <c r="J1043" i="12"/>
  <c r="L1040" i="12"/>
  <c r="M1039" i="12"/>
  <c r="AG1038" i="12"/>
  <c r="AG1037" i="12"/>
  <c r="X1026" i="12"/>
  <c r="X1027" i="12"/>
  <c r="X989" i="12"/>
  <c r="X990" i="12"/>
  <c r="AF986" i="12"/>
  <c r="AE987" i="12"/>
  <c r="M970" i="12"/>
  <c r="L971" i="12"/>
  <c r="AC963" i="12"/>
  <c r="AF952" i="12"/>
  <c r="AE953" i="12"/>
  <c r="V902" i="12"/>
  <c r="V903" i="12"/>
  <c r="AG789" i="12"/>
  <c r="V707" i="12"/>
  <c r="V708" i="12"/>
  <c r="AB710" i="12"/>
  <c r="AA711" i="12"/>
  <c r="AD711" i="12"/>
  <c r="AG644" i="12"/>
  <c r="AG645" i="12"/>
  <c r="M646" i="12"/>
  <c r="L647" i="12"/>
  <c r="AG585" i="12"/>
  <c r="AG584" i="12"/>
  <c r="X141" i="10"/>
  <c r="X133" i="10" s="1"/>
  <c r="X142" i="10"/>
  <c r="O143" i="10"/>
  <c r="N144" i="10"/>
  <c r="L141" i="10"/>
  <c r="M141" i="10" s="1"/>
  <c r="M143" i="10"/>
  <c r="V136" i="10"/>
  <c r="R137" i="10"/>
  <c r="W125" i="10"/>
  <c r="W124" i="10" s="1"/>
  <c r="W122" i="10" s="1"/>
  <c r="W126" i="10"/>
  <c r="O127" i="10"/>
  <c r="N128" i="10"/>
  <c r="Y110" i="10"/>
  <c r="Y109" i="10" s="1"/>
  <c r="Y107" i="10" s="1"/>
  <c r="W99" i="10"/>
  <c r="W98" i="10" s="1"/>
  <c r="W96" i="10" s="1"/>
  <c r="W100" i="10"/>
  <c r="O101" i="10"/>
  <c r="N102" i="10"/>
  <c r="Y47" i="10"/>
  <c r="Y48" i="10"/>
  <c r="Y36" i="10"/>
  <c r="Y35" i="10" s="1"/>
  <c r="Y33" i="10" s="1"/>
  <c r="Y32" i="10" s="1"/>
  <c r="O38" i="10"/>
  <c r="N39" i="10"/>
  <c r="Y27" i="10"/>
  <c r="Y26" i="10"/>
  <c r="Y20" i="10"/>
  <c r="Y19" i="10"/>
  <c r="Y9" i="10" s="1"/>
  <c r="Y6" i="10" s="1"/>
  <c r="Y5" i="10" s="1"/>
  <c r="R12" i="10"/>
  <c r="V11" i="10"/>
  <c r="N12" i="10"/>
  <c r="O11" i="10"/>
  <c r="I875" i="10"/>
  <c r="M875" i="10"/>
  <c r="Q875" i="10"/>
  <c r="U875" i="10"/>
  <c r="Y875" i="10"/>
  <c r="L875" i="10"/>
  <c r="P875" i="10"/>
  <c r="T875" i="10"/>
  <c r="X875" i="10"/>
  <c r="K875" i="10"/>
  <c r="O875" i="10"/>
  <c r="S875" i="10"/>
  <c r="W875" i="10"/>
  <c r="V875" i="10"/>
  <c r="R875" i="10" s="1"/>
  <c r="J875" i="10"/>
  <c r="Z2340" i="12"/>
  <c r="Y2339" i="12"/>
  <c r="Z2339" i="12" s="1"/>
  <c r="AB2330" i="12"/>
  <c r="AD2330" i="12" s="1"/>
  <c r="AA2331" i="12"/>
  <c r="AC2329" i="12"/>
  <c r="N2307" i="12"/>
  <c r="N2294" i="12" s="1"/>
  <c r="P2294" i="12" s="1"/>
  <c r="P2310" i="12"/>
  <c r="AA2298" i="12"/>
  <c r="AB2295" i="12"/>
  <c r="AD2298" i="12"/>
  <c r="M2287" i="12"/>
  <c r="L2288" i="12"/>
  <c r="Z2280" i="12"/>
  <c r="Y2279" i="12"/>
  <c r="Z2279" i="12" s="1"/>
  <c r="M2225" i="12"/>
  <c r="L2226" i="12"/>
  <c r="AB2224" i="12"/>
  <c r="AA2225" i="12"/>
  <c r="AD2211" i="12"/>
  <c r="AC2210" i="12"/>
  <c r="M2210" i="12"/>
  <c r="L2211" i="12"/>
  <c r="Z2206" i="12"/>
  <c r="Y2205" i="12"/>
  <c r="K2205" i="12"/>
  <c r="J2204" i="12"/>
  <c r="AG2202" i="12"/>
  <c r="AG2203" i="12"/>
  <c r="AB2197" i="12"/>
  <c r="AA2197" i="12" s="1"/>
  <c r="AA2198" i="12"/>
  <c r="J2197" i="12"/>
  <c r="K2198" i="12"/>
  <c r="AB2158" i="12"/>
  <c r="AA2159" i="12"/>
  <c r="J2158" i="12"/>
  <c r="K2158" i="12" s="1"/>
  <c r="K2159" i="12"/>
  <c r="AF2132" i="12"/>
  <c r="AF2133" i="12"/>
  <c r="V2132" i="12"/>
  <c r="V2133" i="12"/>
  <c r="AA2123" i="12"/>
  <c r="AB2122" i="12"/>
  <c r="AH2114" i="12"/>
  <c r="AH2115" i="12"/>
  <c r="X2114" i="12"/>
  <c r="X2115" i="12"/>
  <c r="Z2073" i="12"/>
  <c r="Y2072" i="12"/>
  <c r="W2069" i="12"/>
  <c r="W2070" i="12"/>
  <c r="AC2059" i="12"/>
  <c r="AD2060" i="12"/>
  <c r="M2059" i="12"/>
  <c r="L2060" i="12"/>
  <c r="AF2054" i="12"/>
  <c r="AE2055" i="12"/>
  <c r="Z2054" i="12"/>
  <c r="Y2053" i="12"/>
  <c r="K2038" i="12"/>
  <c r="J2010" i="12"/>
  <c r="K2010" i="12" s="1"/>
  <c r="AF2012" i="12"/>
  <c r="AE2013" i="12"/>
  <c r="J2006" i="12"/>
  <c r="K2007" i="12"/>
  <c r="AI2003" i="12"/>
  <c r="AI2004" i="12"/>
  <c r="AB2003" i="12"/>
  <c r="AB2004" i="12"/>
  <c r="AA2005" i="12"/>
  <c r="AH1996" i="12"/>
  <c r="AH1997" i="12"/>
  <c r="AA2000" i="12"/>
  <c r="AE2000" i="12"/>
  <c r="AB1860" i="12"/>
  <c r="AB1859" i="12" s="1"/>
  <c r="AE1861" i="12"/>
  <c r="AC1858" i="12"/>
  <c r="AC1857" i="12"/>
  <c r="AB1854" i="12"/>
  <c r="AB1853" i="12" s="1"/>
  <c r="AE1855" i="12"/>
  <c r="AC1851" i="12"/>
  <c r="AC1852" i="12"/>
  <c r="AC1845" i="12"/>
  <c r="AC1846" i="12"/>
  <c r="AI1845" i="12"/>
  <c r="AI1846" i="12"/>
  <c r="W1819" i="12"/>
  <c r="W1820" i="12"/>
  <c r="M1805" i="12"/>
  <c r="L1806" i="12"/>
  <c r="AH1802" i="12"/>
  <c r="AH1803" i="12"/>
  <c r="V1794" i="12"/>
  <c r="V1795" i="12"/>
  <c r="AC1789" i="12"/>
  <c r="AD1789" i="12" s="1"/>
  <c r="AD1790" i="12"/>
  <c r="AF1741" i="12"/>
  <c r="K1737" i="12"/>
  <c r="L1737" i="12"/>
  <c r="AF1728" i="12"/>
  <c r="AE1729" i="12"/>
  <c r="Y1710" i="12"/>
  <c r="Z1711" i="12"/>
  <c r="W1690" i="12"/>
  <c r="W1697" i="12"/>
  <c r="V1690" i="12"/>
  <c r="V1691" i="12"/>
  <c r="L1692" i="12"/>
  <c r="M1690" i="12"/>
  <c r="L1690" i="12" s="1"/>
  <c r="AG1691" i="12"/>
  <c r="AG1690" i="12"/>
  <c r="X1683" i="12"/>
  <c r="X1684" i="12"/>
  <c r="S1630" i="12"/>
  <c r="S1618" i="12"/>
  <c r="S1617" i="12" s="1"/>
  <c r="AB1618" i="12"/>
  <c r="O1630" i="12"/>
  <c r="O1618" i="12"/>
  <c r="O1617" i="12" s="1"/>
  <c r="K1627" i="12"/>
  <c r="L1627" i="12"/>
  <c r="AC1606" i="12"/>
  <c r="AF1589" i="12"/>
  <c r="Y1545" i="12"/>
  <c r="U1544" i="12"/>
  <c r="J1517" i="12"/>
  <c r="K1517" i="12" s="1"/>
  <c r="K1518" i="12"/>
  <c r="AF1495" i="12"/>
  <c r="Y1486" i="12"/>
  <c r="Z1489" i="12"/>
  <c r="AI1434" i="12"/>
  <c r="AI1435" i="12"/>
  <c r="V1385" i="12"/>
  <c r="V1386" i="12"/>
  <c r="AG1378" i="12"/>
  <c r="AG1379" i="12"/>
  <c r="V1366" i="12"/>
  <c r="V1367" i="12"/>
  <c r="W1366" i="12"/>
  <c r="W1367" i="12"/>
  <c r="M1362" i="12"/>
  <c r="L1362" i="12" s="1"/>
  <c r="L1363" i="12"/>
  <c r="AH1344" i="12"/>
  <c r="AH1319" i="12" s="1"/>
  <c r="AH1345" i="12"/>
  <c r="W1344" i="12"/>
  <c r="W1345" i="12"/>
  <c r="Y1330" i="12"/>
  <c r="Z1331" i="12"/>
  <c r="U1327" i="12"/>
  <c r="U1328" i="12"/>
  <c r="AI1308" i="12"/>
  <c r="AI1309" i="12"/>
  <c r="J1297" i="12"/>
  <c r="K1298" i="12"/>
  <c r="Z1292" i="12"/>
  <c r="Y1289" i="12"/>
  <c r="T1288" i="12"/>
  <c r="V1277" i="12"/>
  <c r="V1276" i="12"/>
  <c r="T1278" i="12"/>
  <c r="P1279" i="12"/>
  <c r="AB1273" i="12"/>
  <c r="AA1273" i="12" s="1"/>
  <c r="AA1274" i="12"/>
  <c r="AH1238" i="12"/>
  <c r="AH1237" i="12"/>
  <c r="AC1240" i="12"/>
  <c r="AD1241" i="12"/>
  <c r="AH1223" i="12"/>
  <c r="AH1224" i="12"/>
  <c r="AH1187" i="12"/>
  <c r="AH1186" i="12"/>
  <c r="AH1185" i="12" s="1"/>
  <c r="AH1183" i="12" s="1"/>
  <c r="T1188" i="12"/>
  <c r="P1189" i="12"/>
  <c r="Z1181" i="12"/>
  <c r="Y1180" i="12"/>
  <c r="V1175" i="12"/>
  <c r="V1174" i="12"/>
  <c r="M1176" i="12"/>
  <c r="AB1169" i="12"/>
  <c r="AA1170" i="12"/>
  <c r="Y1138" i="12"/>
  <c r="Z1139" i="12"/>
  <c r="AG1125" i="12"/>
  <c r="AG1124" i="12"/>
  <c r="U1125" i="12"/>
  <c r="U1124" i="12"/>
  <c r="U1110" i="12" s="1"/>
  <c r="U1108" i="12" s="1"/>
  <c r="AC1126" i="12"/>
  <c r="AB1115" i="12"/>
  <c r="AA1116" i="12"/>
  <c r="M1114" i="12"/>
  <c r="AC1103" i="12"/>
  <c r="AD1103" i="12" s="1"/>
  <c r="AD1104" i="12"/>
  <c r="Y1104" i="12"/>
  <c r="Z1105" i="12"/>
  <c r="V1103" i="12"/>
  <c r="AA1104" i="12"/>
  <c r="AA1097" i="12"/>
  <c r="AA1096" i="12"/>
  <c r="AH1097" i="12"/>
  <c r="AH1096" i="12"/>
  <c r="AG1096" i="12"/>
  <c r="AG1097" i="12"/>
  <c r="AI1083" i="12"/>
  <c r="AI1084" i="12"/>
  <c r="W1083" i="12"/>
  <c r="W1084" i="12"/>
  <c r="Y1079" i="12"/>
  <c r="Z1080" i="12"/>
  <c r="AC1079" i="12"/>
  <c r="V1071" i="12"/>
  <c r="V1072" i="12"/>
  <c r="AB1067" i="12"/>
  <c r="AE1068" i="12"/>
  <c r="AD1068" i="12"/>
  <c r="U1051" i="12"/>
  <c r="U1050" i="12"/>
  <c r="AB1045" i="12"/>
  <c r="AA1046" i="12"/>
  <c r="AI1026" i="12"/>
  <c r="AI1027" i="12"/>
  <c r="W1026" i="12"/>
  <c r="W1027" i="12"/>
  <c r="W1016" i="12"/>
  <c r="W1015" i="12"/>
  <c r="X995" i="12"/>
  <c r="X996" i="12"/>
  <c r="AI978" i="12"/>
  <c r="AI979" i="12"/>
  <c r="Z982" i="12"/>
  <c r="Y981" i="12"/>
  <c r="AH978" i="12"/>
  <c r="AH979" i="12"/>
  <c r="AF926" i="12"/>
  <c r="AE927" i="12"/>
  <c r="X919" i="12"/>
  <c r="X918" i="12"/>
  <c r="P921" i="12"/>
  <c r="T920" i="12"/>
  <c r="AH902" i="12"/>
  <c r="AH903" i="12"/>
  <c r="AB905" i="12"/>
  <c r="AA906" i="12"/>
  <c r="AD906" i="12"/>
  <c r="AA883" i="12"/>
  <c r="AD883" i="12"/>
  <c r="AE569" i="12"/>
  <c r="AF568" i="12"/>
  <c r="AF561" i="12"/>
  <c r="AF560" i="12"/>
  <c r="AB2077" i="12"/>
  <c r="P2067" i="12"/>
  <c r="X2057" i="12"/>
  <c r="T2051" i="12"/>
  <c r="P2051" i="12" s="1"/>
  <c r="Y2013" i="12"/>
  <c r="L2003" i="12"/>
  <c r="P1999" i="12"/>
  <c r="V1930" i="12"/>
  <c r="V1929" i="12" s="1"/>
  <c r="R1863" i="12"/>
  <c r="R1823" i="12" s="1"/>
  <c r="R1822" i="12" s="1"/>
  <c r="R1821" i="12" s="1"/>
  <c r="R1819" i="12" s="1"/>
  <c r="AC1867" i="12"/>
  <c r="AG1857" i="12"/>
  <c r="AF1821" i="12"/>
  <c r="AI1805" i="12"/>
  <c r="AI1804" i="12" s="1"/>
  <c r="AA1802" i="12"/>
  <c r="W1767" i="12"/>
  <c r="W1754" i="12" s="1"/>
  <c r="W1753" i="12" s="1"/>
  <c r="R1719" i="12"/>
  <c r="R1717" i="12" s="1"/>
  <c r="R1716" i="12" s="1"/>
  <c r="R1714" i="12" s="1"/>
  <c r="Y1692" i="12"/>
  <c r="Q1617" i="12"/>
  <c r="Q1630" i="12"/>
  <c r="P1611" i="12"/>
  <c r="X1605" i="12"/>
  <c r="P1586" i="12"/>
  <c r="AA1536" i="12"/>
  <c r="AA1532" i="12"/>
  <c r="R1506" i="12"/>
  <c r="R1505" i="12" s="1"/>
  <c r="R1503" i="12" s="1"/>
  <c r="V1507" i="12"/>
  <c r="V1506" i="12" s="1"/>
  <c r="V1505" i="12" s="1"/>
  <c r="Y1350" i="12"/>
  <c r="L1334" i="12"/>
  <c r="I1327" i="12"/>
  <c r="I1319" i="12" s="1"/>
  <c r="R1327" i="12"/>
  <c r="N1248" i="12"/>
  <c r="P1248" i="12" s="1"/>
  <c r="AI1113" i="12"/>
  <c r="AA1103" i="12"/>
  <c r="Z1083" i="12"/>
  <c r="P1054" i="12"/>
  <c r="K9" i="10"/>
  <c r="K6" i="10" s="1"/>
  <c r="K5" i="10" s="1"/>
  <c r="Q335" i="8"/>
  <c r="Q9" i="8"/>
  <c r="K302" i="8"/>
  <c r="W534" i="8"/>
  <c r="W483" i="8" s="1"/>
  <c r="I534" i="8"/>
  <c r="I483" i="8" s="1"/>
  <c r="L244" i="8"/>
  <c r="L528" i="8"/>
  <c r="M311" i="9"/>
  <c r="N699" i="8"/>
  <c r="M699" i="8" s="1"/>
  <c r="L191" i="8"/>
  <c r="O125" i="8"/>
  <c r="O119" i="8" s="1"/>
  <c r="M245" i="9"/>
  <c r="M243" i="9"/>
  <c r="AB220" i="9"/>
  <c r="AA220" i="9" s="1"/>
  <c r="J709" i="8"/>
  <c r="K782" i="8"/>
  <c r="K846" i="8"/>
  <c r="K827" i="8" s="1"/>
  <c r="V684" i="8"/>
  <c r="V633" i="8" s="1"/>
  <c r="U197" i="8"/>
  <c r="Q228" i="8"/>
  <c r="M89" i="8"/>
  <c r="X212" i="8"/>
  <c r="Q91" i="8"/>
  <c r="Q84" i="8" s="1"/>
  <c r="H559" i="8"/>
  <c r="M379" i="8"/>
  <c r="M45" i="8"/>
  <c r="L242" i="8"/>
  <c r="M356" i="8"/>
  <c r="M137" i="8"/>
  <c r="M601" i="8"/>
  <c r="O318" i="9"/>
  <c r="O317" i="9" s="1"/>
  <c r="O308" i="9" s="1"/>
  <c r="K318" i="9"/>
  <c r="T309" i="9"/>
  <c r="Z302" i="9"/>
  <c r="Q302" i="9"/>
  <c r="M302" i="9"/>
  <c r="Q296" i="9"/>
  <c r="I281" i="9"/>
  <c r="Q276" i="9"/>
  <c r="M257" i="9"/>
  <c r="H256" i="9"/>
  <c r="H253" i="9" s="1"/>
  <c r="W244" i="9"/>
  <c r="W241" i="9" s="1"/>
  <c r="M240" i="9"/>
  <c r="G228" i="9"/>
  <c r="G224" i="9" s="1"/>
  <c r="T225" i="9"/>
  <c r="T224" i="9" s="1"/>
  <c r="L189" i="9"/>
  <c r="M188" i="9"/>
  <c r="U165" i="9"/>
  <c r="Q165" i="9" s="1"/>
  <c r="Q157" i="9"/>
  <c r="Z145" i="9"/>
  <c r="AB127" i="9"/>
  <c r="Q98" i="9"/>
  <c r="W87" i="9"/>
  <c r="AA52" i="9"/>
  <c r="O47" i="9"/>
  <c r="O46" i="9" s="1"/>
  <c r="O40" i="9" s="1"/>
  <c r="U46" i="9"/>
  <c r="AA35" i="9"/>
  <c r="M12" i="9"/>
  <c r="M11" i="9" s="1"/>
  <c r="M10" i="9" s="1"/>
  <c r="AB10" i="9"/>
  <c r="G821" i="8"/>
  <c r="U811" i="8"/>
  <c r="V811" i="8"/>
  <c r="H789" i="8"/>
  <c r="Q757" i="8"/>
  <c r="G746" i="8"/>
  <c r="G745" i="8" s="1"/>
  <c r="H709" i="8"/>
  <c r="M667" i="8"/>
  <c r="M660" i="8"/>
  <c r="P587" i="8"/>
  <c r="G538" i="8"/>
  <c r="G534" i="8" s="1"/>
  <c r="R527" i="8"/>
  <c r="I383" i="8"/>
  <c r="S372" i="8"/>
  <c r="S364" i="8"/>
  <c r="Q302" i="8"/>
  <c r="L240" i="8"/>
  <c r="M42" i="8"/>
  <c r="M41" i="8"/>
  <c r="AD2616" i="12"/>
  <c r="AA2613" i="12"/>
  <c r="AI2594" i="12"/>
  <c r="W2594" i="12"/>
  <c r="S2594" i="12"/>
  <c r="O2594" i="12"/>
  <c r="AC2506" i="12"/>
  <c r="AB2439" i="12"/>
  <c r="AI2339" i="12"/>
  <c r="AI2329" i="12" s="1"/>
  <c r="AI2328" i="12" s="1"/>
  <c r="U2339" i="12"/>
  <c r="U2329" i="12" s="1"/>
  <c r="U2328" i="12" s="1"/>
  <c r="P2324" i="12"/>
  <c r="AD2323" i="12"/>
  <c r="P2307" i="12"/>
  <c r="AI2294" i="12"/>
  <c r="AI2286" i="12" s="1"/>
  <c r="Q2294" i="12"/>
  <c r="Q2286" i="12" s="1"/>
  <c r="Q2234" i="12" s="1"/>
  <c r="Q2233" i="12" s="1"/>
  <c r="M2294" i="12"/>
  <c r="J2294" i="12"/>
  <c r="AA2291" i="12"/>
  <c r="S2287" i="12"/>
  <c r="AB2287" i="12"/>
  <c r="T2286" i="12"/>
  <c r="AA2244" i="12"/>
  <c r="AF2244" i="12"/>
  <c r="Y2217" i="12"/>
  <c r="P2212" i="12"/>
  <c r="S2157" i="12"/>
  <c r="S2155" i="12" s="1"/>
  <c r="S2154" i="12" s="1"/>
  <c r="AA2134" i="12"/>
  <c r="AI2127" i="12"/>
  <c r="AC2117" i="12"/>
  <c r="Y2111" i="12"/>
  <c r="Y2107" i="12"/>
  <c r="Y2096" i="12"/>
  <c r="P2084" i="12"/>
  <c r="AE2066" i="12"/>
  <c r="AB2065" i="12"/>
  <c r="L2065" i="12"/>
  <c r="P2061" i="12"/>
  <c r="AC2039" i="12"/>
  <c r="M2039" i="12"/>
  <c r="L2005" i="12"/>
  <c r="AG2003" i="12"/>
  <c r="AA1991" i="12"/>
  <c r="AA1935" i="12"/>
  <c r="AA1931" i="12" s="1"/>
  <c r="AG1909" i="12"/>
  <c r="AG1908" i="12" s="1"/>
  <c r="W1909" i="12"/>
  <c r="W1908" i="12" s="1"/>
  <c r="S1909" i="12"/>
  <c r="S1908" i="12" s="1"/>
  <c r="S1864" i="12" s="1"/>
  <c r="S1863" i="12" s="1"/>
  <c r="S1823" i="12" s="1"/>
  <c r="S1822" i="12" s="1"/>
  <c r="S1821" i="12" s="1"/>
  <c r="S1819" i="12" s="1"/>
  <c r="N1864" i="12"/>
  <c r="N1863" i="12" s="1"/>
  <c r="I1909" i="12"/>
  <c r="I1908" i="12" s="1"/>
  <c r="I1864" i="12" s="1"/>
  <c r="I1863" i="12" s="1"/>
  <c r="I1823" i="12" s="1"/>
  <c r="P1908" i="12"/>
  <c r="V1907" i="12"/>
  <c r="AD1899" i="12"/>
  <c r="Z1867" i="12"/>
  <c r="Z1866" i="12" s="1"/>
  <c r="Z1865" i="12" s="1"/>
  <c r="U1795" i="12"/>
  <c r="V1754" i="12"/>
  <c r="V1753" i="12" s="1"/>
  <c r="R1754" i="12"/>
  <c r="R1753" i="12" s="1"/>
  <c r="R1751" i="12" s="1"/>
  <c r="N1750" i="12"/>
  <c r="AG1753" i="12"/>
  <c r="S1753" i="12"/>
  <c r="S1751" i="12" s="1"/>
  <c r="V1740" i="12"/>
  <c r="P1728" i="12"/>
  <c r="P1729" i="12"/>
  <c r="Q1703" i="12"/>
  <c r="Q1682" i="12" s="1"/>
  <c r="Q1680" i="12" s="1"/>
  <c r="J1710" i="12"/>
  <c r="J1646" i="12"/>
  <c r="Q1542" i="12"/>
  <c r="Q1501" i="12" s="1"/>
  <c r="Q1499" i="12" s="1"/>
  <c r="AI1545" i="12"/>
  <c r="AA1538" i="12"/>
  <c r="Z1539" i="12"/>
  <c r="AE1532" i="12"/>
  <c r="AH1378" i="12"/>
  <c r="R1346" i="12"/>
  <c r="R1344" i="12" s="1"/>
  <c r="R1319" i="12" s="1"/>
  <c r="J1350" i="12"/>
  <c r="M1350" i="12"/>
  <c r="P1348" i="12"/>
  <c r="M1340" i="12"/>
  <c r="I1239" i="12"/>
  <c r="I1237" i="12" s="1"/>
  <c r="I1236" i="12" s="1"/>
  <c r="I1234" i="12" s="1"/>
  <c r="W1198" i="12"/>
  <c r="S1198" i="12"/>
  <c r="R1189" i="12"/>
  <c r="X1188" i="12"/>
  <c r="AB1189" i="12"/>
  <c r="P1190" i="12"/>
  <c r="AI1137" i="12"/>
  <c r="S1137" i="12"/>
  <c r="S1135" i="12" s="1"/>
  <c r="Q1035" i="12"/>
  <c r="N1035" i="12"/>
  <c r="O1013" i="12"/>
  <c r="P922" i="12"/>
  <c r="U621" i="12"/>
  <c r="AA2319" i="12"/>
  <c r="AD2319" i="12"/>
  <c r="AD2288" i="12"/>
  <c r="AC2287" i="12"/>
  <c r="M2205" i="12"/>
  <c r="L2206" i="12"/>
  <c r="AB2204" i="12"/>
  <c r="AA2205" i="12"/>
  <c r="M2157" i="12"/>
  <c r="L2197" i="12"/>
  <c r="AB2132" i="12"/>
  <c r="AA2132" i="12" s="1"/>
  <c r="AB2133" i="12"/>
  <c r="AA2129" i="12"/>
  <c r="AB2128" i="12"/>
  <c r="AF2123" i="12"/>
  <c r="AE2124" i="12"/>
  <c r="Y2123" i="12"/>
  <c r="Z2124" i="12"/>
  <c r="T2102" i="12"/>
  <c r="P2103" i="12"/>
  <c r="AC2101" i="12"/>
  <c r="AD2102" i="12"/>
  <c r="AF2100" i="12"/>
  <c r="AE2101" i="12"/>
  <c r="AF2083" i="12"/>
  <c r="AE2084" i="12"/>
  <c r="AB2054" i="12"/>
  <c r="AA2055" i="12"/>
  <c r="J2054" i="12"/>
  <c r="K2055" i="12"/>
  <c r="AB2012" i="12"/>
  <c r="AA2013" i="12"/>
  <c r="V2003" i="12"/>
  <c r="V2004" i="12"/>
  <c r="AI1996" i="12"/>
  <c r="AI1997" i="12"/>
  <c r="AC1996" i="12"/>
  <c r="AC1997" i="12"/>
  <c r="AG1989" i="12"/>
  <c r="AG1990" i="12"/>
  <c r="AF1940" i="12"/>
  <c r="AE1940" i="12" s="1"/>
  <c r="AE1941" i="12"/>
  <c r="AE1931" i="12"/>
  <c r="AE1917" i="12"/>
  <c r="AF1913" i="12"/>
  <c r="J1909" i="12"/>
  <c r="K1913" i="12"/>
  <c r="AF1851" i="12"/>
  <c r="AF1852" i="12"/>
  <c r="AB1845" i="12"/>
  <c r="AB1846" i="12"/>
  <c r="AH1828" i="12"/>
  <c r="AH1827" i="12"/>
  <c r="AH1819" i="12"/>
  <c r="AH1820" i="12"/>
  <c r="AE1815" i="12"/>
  <c r="AF1805" i="12"/>
  <c r="AG1802" i="12"/>
  <c r="AG1803" i="12"/>
  <c r="Y1789" i="12"/>
  <c r="Z1789" i="12" s="1"/>
  <c r="Z1790" i="12"/>
  <c r="I1789" i="12"/>
  <c r="I1753" i="12" s="1"/>
  <c r="I1751" i="12" s="1"/>
  <c r="K1790" i="12"/>
  <c r="AA1767" i="12"/>
  <c r="AD1767" i="12"/>
  <c r="AB1754" i="12"/>
  <c r="AA1755" i="12"/>
  <c r="AD1755" i="12"/>
  <c r="J1728" i="12"/>
  <c r="K1735" i="12"/>
  <c r="K1706" i="12"/>
  <c r="J1705" i="12"/>
  <c r="K1705" i="12" s="1"/>
  <c r="K1693" i="12"/>
  <c r="J1692" i="12"/>
  <c r="J1686" i="12"/>
  <c r="K1687" i="12"/>
  <c r="AB1683" i="12"/>
  <c r="AB1684" i="12"/>
  <c r="AA1684" i="12" s="1"/>
  <c r="AA1685" i="12"/>
  <c r="Z1683" i="12"/>
  <c r="AF1656" i="12"/>
  <c r="AE1657" i="12"/>
  <c r="AD1618" i="12"/>
  <c r="N1630" i="12"/>
  <c r="N1618" i="12"/>
  <c r="N1617" i="12" s="1"/>
  <c r="U1605" i="12"/>
  <c r="U1604" i="12"/>
  <c r="M1606" i="12"/>
  <c r="AC1539" i="12"/>
  <c r="AD1540" i="12"/>
  <c r="X1536" i="12"/>
  <c r="X1537" i="12"/>
  <c r="AC1528" i="12"/>
  <c r="AD1528" i="12" s="1"/>
  <c r="AD1530" i="12"/>
  <c r="AH1503" i="12"/>
  <c r="AH1504" i="12"/>
  <c r="AH1483" i="12"/>
  <c r="AH1484" i="12"/>
  <c r="W1455" i="12"/>
  <c r="W1454" i="12"/>
  <c r="T1456" i="12"/>
  <c r="J1446" i="12"/>
  <c r="K1446" i="12" s="1"/>
  <c r="K1447" i="12"/>
  <c r="N1438" i="12"/>
  <c r="P1440" i="12"/>
  <c r="AH1385" i="12"/>
  <c r="AH1386" i="12"/>
  <c r="W1385" i="12"/>
  <c r="W1386" i="12"/>
  <c r="AB1380" i="12"/>
  <c r="AA1381" i="12"/>
  <c r="W1378" i="12"/>
  <c r="W1379" i="12"/>
  <c r="AA1355" i="12"/>
  <c r="AB1351" i="12"/>
  <c r="AE1351" i="12" s="1"/>
  <c r="AD1348" i="12"/>
  <c r="AC1347" i="12"/>
  <c r="AD1347" i="12" s="1"/>
  <c r="AB1341" i="12"/>
  <c r="AA1342" i="12"/>
  <c r="AE1342" i="12"/>
  <c r="AG1338" i="12"/>
  <c r="AG1339" i="12"/>
  <c r="P1334" i="12"/>
  <c r="T1333" i="12"/>
  <c r="P1333" i="12" s="1"/>
  <c r="AB1327" i="12"/>
  <c r="AA1327" i="12" s="1"/>
  <c r="AA1329" i="12"/>
  <c r="AA1328" i="12" s="1"/>
  <c r="W1328" i="12"/>
  <c r="W1327" i="12"/>
  <c r="AC1323" i="12"/>
  <c r="AD1324" i="12"/>
  <c r="X1320" i="12"/>
  <c r="X1321" i="12"/>
  <c r="AD1311" i="12"/>
  <c r="AA1311" i="12"/>
  <c r="V1308" i="12"/>
  <c r="Z1308" i="12" s="1"/>
  <c r="V1309" i="12"/>
  <c r="Z1309" i="12" s="1"/>
  <c r="K1304" i="12"/>
  <c r="L1304" i="12"/>
  <c r="L1292" i="12"/>
  <c r="M1289" i="12"/>
  <c r="AH1277" i="12"/>
  <c r="AH1276" i="12"/>
  <c r="Y1277" i="12"/>
  <c r="Y1276" i="12"/>
  <c r="Z1276" i="12" s="1"/>
  <c r="Z1278" i="12"/>
  <c r="Z1277" i="12" s="1"/>
  <c r="L1249" i="12"/>
  <c r="J1198" i="12"/>
  <c r="K1198" i="12" s="1"/>
  <c r="K1199" i="12"/>
  <c r="AF1158" i="12"/>
  <c r="AE1159" i="12"/>
  <c r="AD1159" i="12"/>
  <c r="AC1158" i="12"/>
  <c r="Y1114" i="12"/>
  <c r="Z1115" i="12"/>
  <c r="V1112" i="12"/>
  <c r="V1113" i="12"/>
  <c r="AI1097" i="12"/>
  <c r="AI1096" i="12"/>
  <c r="Z1097" i="12"/>
  <c r="Z1096" i="12"/>
  <c r="V1096" i="12"/>
  <c r="V1097" i="12"/>
  <c r="AF1097" i="12"/>
  <c r="AE1098" i="12"/>
  <c r="AF1096" i="12"/>
  <c r="X1097" i="12"/>
  <c r="X1096" i="12"/>
  <c r="AC1091" i="12"/>
  <c r="AD1092" i="12"/>
  <c r="V1077" i="12"/>
  <c r="V1078" i="12"/>
  <c r="AG1071" i="12"/>
  <c r="AG1072" i="12"/>
  <c r="AB1052" i="12"/>
  <c r="AA1053" i="12"/>
  <c r="AA1052" i="12" s="1"/>
  <c r="U1044" i="12"/>
  <c r="U1043" i="12"/>
  <c r="U1035" i="12" s="1"/>
  <c r="AF1037" i="12"/>
  <c r="AF1038" i="12"/>
  <c r="AE1039" i="12"/>
  <c r="AD1040" i="12"/>
  <c r="AC1039" i="12"/>
  <c r="T1039" i="12"/>
  <c r="P1040" i="12"/>
  <c r="V1038" i="12"/>
  <c r="V1037" i="12"/>
  <c r="J1032" i="12"/>
  <c r="K1033" i="12"/>
  <c r="AG1027" i="12"/>
  <c r="AG1026" i="12"/>
  <c r="AC1023" i="12"/>
  <c r="AD1023" i="12" s="1"/>
  <c r="AD1024" i="12"/>
  <c r="V1015" i="12"/>
  <c r="V1016" i="12"/>
  <c r="W989" i="12"/>
  <c r="W990" i="12"/>
  <c r="W943" i="12"/>
  <c r="W944" i="12"/>
  <c r="X943" i="12"/>
  <c r="X944" i="12"/>
  <c r="V924" i="12"/>
  <c r="V925" i="12"/>
  <c r="AC920" i="12"/>
  <c r="M888" i="12"/>
  <c r="L889" i="12"/>
  <c r="AA869" i="12"/>
  <c r="AD869" i="12"/>
  <c r="AG744" i="12"/>
  <c r="AG745" i="12"/>
  <c r="AI601" i="12"/>
  <c r="AI602" i="12"/>
  <c r="AB544" i="12"/>
  <c r="AB543" i="12"/>
  <c r="AG538" i="12"/>
  <c r="AG532" i="12"/>
  <c r="M252" i="12"/>
  <c r="L253" i="12"/>
  <c r="AI241" i="12"/>
  <c r="AI240" i="12"/>
  <c r="K259" i="9"/>
  <c r="J185" i="9"/>
  <c r="S483" i="8"/>
  <c r="M302" i="8"/>
  <c r="I371" i="8"/>
  <c r="M225" i="9"/>
  <c r="N757" i="8"/>
  <c r="W699" i="8"/>
  <c r="V484" i="8"/>
  <c r="U821" i="8"/>
  <c r="S447" i="8"/>
  <c r="S446" i="8" s="1"/>
  <c r="K422" i="8"/>
  <c r="K549" i="8"/>
  <c r="M597" i="8"/>
  <c r="X309" i="9"/>
  <c r="X308" i="9" s="1"/>
  <c r="AA302" i="9"/>
  <c r="J295" i="9"/>
  <c r="M295" i="9" s="1"/>
  <c r="U259" i="9"/>
  <c r="O217" i="9"/>
  <c r="Y169" i="9"/>
  <c r="Z169" i="9" s="1"/>
  <c r="Q144" i="9"/>
  <c r="Z112" i="9"/>
  <c r="AA88" i="9"/>
  <c r="AB87" i="9"/>
  <c r="AA87" i="9" s="1"/>
  <c r="X87" i="9"/>
  <c r="H796" i="8"/>
  <c r="L795" i="8"/>
  <c r="R789" i="8"/>
  <c r="O789" i="8"/>
  <c r="O745" i="8" s="1"/>
  <c r="S757" i="8"/>
  <c r="I757" i="8"/>
  <c r="I745" i="8" s="1"/>
  <c r="X746" i="8"/>
  <c r="X745" i="8" s="1"/>
  <c r="V737" i="8"/>
  <c r="S737" i="8"/>
  <c r="T699" i="8"/>
  <c r="W677" i="8"/>
  <c r="T677" i="8"/>
  <c r="M664" i="8"/>
  <c r="M663" i="8"/>
  <c r="X634" i="8"/>
  <c r="P634" i="8"/>
  <c r="T609" i="8"/>
  <c r="U594" i="8"/>
  <c r="U593" i="8" s="1"/>
  <c r="P495" i="8"/>
  <c r="U415" i="8"/>
  <c r="U302" i="8"/>
  <c r="M153" i="8"/>
  <c r="V120" i="8"/>
  <c r="V119" i="8" s="1"/>
  <c r="S120" i="8"/>
  <c r="H113" i="8"/>
  <c r="G21" i="8"/>
  <c r="G9" i="8" s="1"/>
  <c r="M26" i="8"/>
  <c r="T10" i="8"/>
  <c r="AG2613" i="12"/>
  <c r="Y2599" i="12"/>
  <c r="Y2597" i="12" s="1"/>
  <c r="AF2594" i="12"/>
  <c r="AB2594" i="12"/>
  <c r="AA2594" i="12" s="1"/>
  <c r="X2594" i="12"/>
  <c r="T2594" i="12"/>
  <c r="P2594" i="12" s="1"/>
  <c r="P2546" i="12"/>
  <c r="L2541" i="12"/>
  <c r="L2518" i="12"/>
  <c r="K2494" i="12"/>
  <c r="L2492" i="12"/>
  <c r="AD2460" i="12"/>
  <c r="Z2460" i="12"/>
  <c r="AF2446" i="12"/>
  <c r="AB2446" i="12"/>
  <c r="AA2446" i="12" s="1"/>
  <c r="X2446" i="12"/>
  <c r="T2446" i="12"/>
  <c r="P2446" i="12" s="1"/>
  <c r="K2426" i="12"/>
  <c r="T2424" i="12"/>
  <c r="AE2414" i="12"/>
  <c r="AA2414" i="12"/>
  <c r="AD2408" i="12"/>
  <c r="Z2408" i="12"/>
  <c r="AE2402" i="12"/>
  <c r="AA2402" i="12"/>
  <c r="T2401" i="12"/>
  <c r="AA2396" i="12"/>
  <c r="S2300" i="12"/>
  <c r="S2294" i="12" s="1"/>
  <c r="AA2300" i="12"/>
  <c r="W2294" i="12"/>
  <c r="W2286" i="12" s="1"/>
  <c r="I2294" i="12"/>
  <c r="I2286" i="12" s="1"/>
  <c r="I2234" i="12" s="1"/>
  <c r="I2233" i="12" s="1"/>
  <c r="AE2298" i="12"/>
  <c r="AD2295" i="12"/>
  <c r="AB2294" i="12"/>
  <c r="AA2294" i="12" s="1"/>
  <c r="N2287" i="12"/>
  <c r="AE2279" i="12"/>
  <c r="AG2244" i="12"/>
  <c r="AG2236" i="12" s="1"/>
  <c r="AG2235" i="12" s="1"/>
  <c r="W2244" i="12"/>
  <c r="W2236" i="12" s="1"/>
  <c r="W2235" i="12" s="1"/>
  <c r="T2222" i="12"/>
  <c r="P2222" i="12" s="1"/>
  <c r="AA2220" i="12"/>
  <c r="AG2217" i="12"/>
  <c r="AG2216" i="12" s="1"/>
  <c r="V2217" i="12"/>
  <c r="V2216" i="12" s="1"/>
  <c r="R2217" i="12"/>
  <c r="R2216" i="12" s="1"/>
  <c r="R2214" i="12" s="1"/>
  <c r="L2218" i="12"/>
  <c r="T2210" i="12"/>
  <c r="P2197" i="12"/>
  <c r="P2198" i="12"/>
  <c r="AD2197" i="12"/>
  <c r="AH2158" i="12"/>
  <c r="AH2157" i="12" s="1"/>
  <c r="X2158" i="12"/>
  <c r="X2157" i="12" s="1"/>
  <c r="T2158" i="12"/>
  <c r="P2159" i="12"/>
  <c r="AC2158" i="12"/>
  <c r="AA2135" i="12"/>
  <c r="V2121" i="12"/>
  <c r="AA2111" i="12"/>
  <c r="AA2107" i="12"/>
  <c r="AB2104" i="12"/>
  <c r="W2080" i="12"/>
  <c r="AE2078" i="12"/>
  <c r="AH2070" i="12"/>
  <c r="AE2065" i="12"/>
  <c r="AD2061" i="12"/>
  <c r="T2059" i="12"/>
  <c r="AI2058" i="12"/>
  <c r="W2052" i="12"/>
  <c r="L2049" i="12"/>
  <c r="AH2042" i="12"/>
  <c r="AH2039" i="12" s="1"/>
  <c r="AH2038" i="12" s="1"/>
  <c r="AD2006" i="12"/>
  <c r="AF2005" i="12"/>
  <c r="AE1991" i="12"/>
  <c r="X1990" i="12"/>
  <c r="AG1947" i="12"/>
  <c r="AH1947" i="12"/>
  <c r="W1940" i="12"/>
  <c r="W1930" i="12" s="1"/>
  <c r="W1929" i="12" s="1"/>
  <c r="AG1941" i="12"/>
  <c r="Z1941" i="12"/>
  <c r="Z1940" i="12" s="1"/>
  <c r="Z1930" i="12" s="1"/>
  <c r="Z1929" i="12" s="1"/>
  <c r="AD1931" i="12"/>
  <c r="L1919" i="12"/>
  <c r="P1913" i="12"/>
  <c r="O1909" i="12"/>
  <c r="O1908" i="12" s="1"/>
  <c r="O1864" i="12" s="1"/>
  <c r="O1863" i="12" s="1"/>
  <c r="AE1902" i="12"/>
  <c r="AD1902" i="12"/>
  <c r="AH1867" i="12"/>
  <c r="AH1866" i="12" s="1"/>
  <c r="AH1865" i="12" s="1"/>
  <c r="AB1866" i="12"/>
  <c r="AB1865" i="12" s="1"/>
  <c r="W1867" i="12"/>
  <c r="W1866" i="12" s="1"/>
  <c r="W1865" i="12" s="1"/>
  <c r="T1864" i="12"/>
  <c r="AA1846" i="12"/>
  <c r="AF1828" i="12"/>
  <c r="P1823" i="12"/>
  <c r="Z1822" i="12"/>
  <c r="W1805" i="12"/>
  <c r="W1804" i="12" s="1"/>
  <c r="S1805" i="12"/>
  <c r="S1804" i="12" s="1"/>
  <c r="S1802" i="12" s="1"/>
  <c r="Z1797" i="12"/>
  <c r="AI1794" i="12"/>
  <c r="K1789" i="12"/>
  <c r="AE1783" i="12"/>
  <c r="AH1754" i="12"/>
  <c r="AH1753" i="12" s="1"/>
  <c r="AI1753" i="12"/>
  <c r="U1753" i="12"/>
  <c r="U1751" i="12" s="1"/>
  <c r="U1750" i="12" s="1"/>
  <c r="AH1739" i="12"/>
  <c r="I1682" i="12"/>
  <c r="I1680" i="12" s="1"/>
  <c r="N1682" i="12"/>
  <c r="N1680" i="12" s="1"/>
  <c r="Z1656" i="12"/>
  <c r="Y1655" i="12"/>
  <c r="W1590" i="12"/>
  <c r="W1589" i="12" s="1"/>
  <c r="AB1590" i="12"/>
  <c r="AB1589" i="12" s="1"/>
  <c r="S1545" i="12"/>
  <c r="S1543" i="12" s="1"/>
  <c r="S1542" i="12" s="1"/>
  <c r="AF1545" i="12"/>
  <c r="U1503" i="12"/>
  <c r="J1486" i="12"/>
  <c r="S1436" i="12"/>
  <c r="S1434" i="12" s="1"/>
  <c r="N1346" i="12"/>
  <c r="N1344" i="12" s="1"/>
  <c r="J1330" i="12"/>
  <c r="AB1328" i="12"/>
  <c r="AB1310" i="12"/>
  <c r="AI1297" i="12"/>
  <c r="AE1297" i="12"/>
  <c r="Q1289" i="12"/>
  <c r="AD1273" i="12"/>
  <c r="T1239" i="12"/>
  <c r="O1198" i="12"/>
  <c r="N1188" i="12"/>
  <c r="N1186" i="12" s="1"/>
  <c r="AD1189" i="12"/>
  <c r="AH1174" i="12"/>
  <c r="Y1169" i="12"/>
  <c r="I1169" i="12"/>
  <c r="I1167" i="12" s="1"/>
  <c r="K1167" i="12" s="1"/>
  <c r="AD1146" i="12"/>
  <c r="AH1137" i="12"/>
  <c r="J1138" i="12"/>
  <c r="J1124" i="12"/>
  <c r="K1124" i="12" s="1"/>
  <c r="AD1105" i="12"/>
  <c r="N894" i="12"/>
  <c r="N892" i="12" s="1"/>
  <c r="P867" i="12"/>
  <c r="O799" i="12"/>
  <c r="K799" i="12"/>
  <c r="AF2323" i="12"/>
  <c r="AE2323" i="12" s="1"/>
  <c r="AE2324" i="12"/>
  <c r="Z2288" i="12"/>
  <c r="Y2287" i="12"/>
  <c r="AC2261" i="12"/>
  <c r="AD2261" i="12" s="1"/>
  <c r="AD2262" i="12"/>
  <c r="AD2245" i="12"/>
  <c r="AD2226" i="12"/>
  <c r="AC2225" i="12"/>
  <c r="AF2211" i="12"/>
  <c r="AE2212" i="12"/>
  <c r="Z2211" i="12"/>
  <c r="Y2210" i="12"/>
  <c r="V2175" i="12"/>
  <c r="AA2175" i="12" s="1"/>
  <c r="AA2188" i="12"/>
  <c r="AF2141" i="12"/>
  <c r="AE2142" i="12"/>
  <c r="AH2132" i="12"/>
  <c r="AH2133" i="12"/>
  <c r="X2132" i="12"/>
  <c r="X2133" i="12"/>
  <c r="AF2129" i="12"/>
  <c r="AE2130" i="12"/>
  <c r="Y2129" i="12"/>
  <c r="Z2130" i="12"/>
  <c r="AF2114" i="12"/>
  <c r="AF2115" i="12"/>
  <c r="V2114" i="12"/>
  <c r="V2115" i="12"/>
  <c r="Y2101" i="12"/>
  <c r="Z2102" i="12"/>
  <c r="AB2083" i="12"/>
  <c r="AD2083" i="12" s="1"/>
  <c r="AD2074" i="12"/>
  <c r="AB2073" i="12"/>
  <c r="AA2074" i="12"/>
  <c r="AC2072" i="12"/>
  <c r="AI2069" i="12"/>
  <c r="AI2070" i="12"/>
  <c r="AF2060" i="12"/>
  <c r="AE2061" i="12"/>
  <c r="Y2059" i="12"/>
  <c r="Z2060" i="12"/>
  <c r="AD2054" i="12"/>
  <c r="AC2053" i="12"/>
  <c r="M2053" i="12"/>
  <c r="L2054" i="12"/>
  <c r="W2003" i="12"/>
  <c r="W2004" i="12"/>
  <c r="AF1998" i="12"/>
  <c r="Z1999" i="12"/>
  <c r="Y1998" i="12"/>
  <c r="AC1992" i="12"/>
  <c r="AD1993" i="12"/>
  <c r="AB1908" i="12"/>
  <c r="AA1909" i="12"/>
  <c r="AA1908" i="12" s="1"/>
  <c r="AH1858" i="12"/>
  <c r="AH1857" i="12"/>
  <c r="AH1851" i="12"/>
  <c r="AH1852" i="12"/>
  <c r="AI1819" i="12"/>
  <c r="AI1820" i="12"/>
  <c r="AC1805" i="12"/>
  <c r="AD1806" i="12"/>
  <c r="I1805" i="12"/>
  <c r="I1804" i="12" s="1"/>
  <c r="I1802" i="12" s="1"/>
  <c r="K1806" i="12"/>
  <c r="J1797" i="12"/>
  <c r="K1798" i="12"/>
  <c r="X1739" i="12"/>
  <c r="X1740" i="12"/>
  <c r="T1741" i="12"/>
  <c r="P1742" i="12"/>
  <c r="AF1692" i="12"/>
  <c r="X1691" i="12"/>
  <c r="X1690" i="12"/>
  <c r="U1691" i="12"/>
  <c r="U1690" i="12"/>
  <c r="U1682" i="12" s="1"/>
  <c r="U1680" i="12" s="1"/>
  <c r="AI1683" i="12"/>
  <c r="AI1682" i="12" s="1"/>
  <c r="AI1680" i="12" s="1"/>
  <c r="AI1684" i="12"/>
  <c r="AE1686" i="12"/>
  <c r="AF1685" i="12"/>
  <c r="AD1685" i="12"/>
  <c r="AC1683" i="12"/>
  <c r="M1683" i="12"/>
  <c r="L1685" i="12"/>
  <c r="V1653" i="12"/>
  <c r="V1654" i="12"/>
  <c r="L1655" i="12"/>
  <c r="M1653" i="12"/>
  <c r="L1653" i="12" s="1"/>
  <c r="J1649" i="12"/>
  <c r="K1649" i="12" s="1"/>
  <c r="K1650" i="12"/>
  <c r="X1618" i="12"/>
  <c r="X1617" i="12" s="1"/>
  <c r="X1630" i="12"/>
  <c r="X1644" i="12"/>
  <c r="K1625" i="12"/>
  <c r="L1625" i="12"/>
  <c r="AH1605" i="12"/>
  <c r="AH1604" i="12"/>
  <c r="V1605" i="12"/>
  <c r="V1604" i="12"/>
  <c r="AD1590" i="12"/>
  <c r="AC1589" i="12"/>
  <c r="M1555" i="12"/>
  <c r="L1560" i="12"/>
  <c r="J1538" i="12"/>
  <c r="K1539" i="12"/>
  <c r="W1536" i="12"/>
  <c r="W1537" i="12"/>
  <c r="AB1507" i="12"/>
  <c r="AA1508" i="12"/>
  <c r="M1506" i="12"/>
  <c r="L1507" i="12"/>
  <c r="AI1483" i="12"/>
  <c r="AI1484" i="12"/>
  <c r="X1455" i="12"/>
  <c r="X1454" i="12"/>
  <c r="AA1441" i="12"/>
  <c r="AB1437" i="12"/>
  <c r="AH1435" i="12"/>
  <c r="AH1434" i="12"/>
  <c r="AC1388" i="12"/>
  <c r="AD1392" i="12"/>
  <c r="AI1379" i="12"/>
  <c r="AI1378" i="12"/>
  <c r="X1378" i="12"/>
  <c r="X1379" i="12"/>
  <c r="AH1366" i="12"/>
  <c r="AH1367" i="12"/>
  <c r="T1360" i="12"/>
  <c r="P1360" i="12" s="1"/>
  <c r="P1361" i="12"/>
  <c r="AF1347" i="12"/>
  <c r="AE1347" i="12" s="1"/>
  <c r="AE1348" i="12"/>
  <c r="W1338" i="12"/>
  <c r="W1339" i="12"/>
  <c r="Y1322" i="12"/>
  <c r="Z1323" i="12"/>
  <c r="V1321" i="12"/>
  <c r="V1320" i="12"/>
  <c r="AH1308" i="12"/>
  <c r="AH1309" i="12"/>
  <c r="W1308" i="12"/>
  <c r="W1309" i="12"/>
  <c r="AB1288" i="12"/>
  <c r="AC1279" i="12"/>
  <c r="AD1280" i="12"/>
  <c r="AG1277" i="12"/>
  <c r="AG1276" i="12"/>
  <c r="Y1225" i="12"/>
  <c r="Z1226" i="12"/>
  <c r="AA1207" i="12"/>
  <c r="AE1207" i="12"/>
  <c r="AB1198" i="12"/>
  <c r="AA1198" i="12" s="1"/>
  <c r="AE1203" i="12"/>
  <c r="I1189" i="12"/>
  <c r="I1188" i="12" s="1"/>
  <c r="I1186" i="12" s="1"/>
  <c r="L1193" i="12"/>
  <c r="AE1190" i="12"/>
  <c r="AF1189" i="12"/>
  <c r="AI1168" i="12"/>
  <c r="AI1167" i="12"/>
  <c r="X1167" i="12"/>
  <c r="X1168" i="12"/>
  <c r="AF1139" i="12"/>
  <c r="AE1140" i="12"/>
  <c r="AE2603" i="12" s="1"/>
  <c r="V1125" i="12"/>
  <c r="V1124" i="12"/>
  <c r="AH1112" i="12"/>
  <c r="AH1110" i="12" s="1"/>
  <c r="AH1108" i="12" s="1"/>
  <c r="AH1113" i="12"/>
  <c r="L1116" i="12"/>
  <c r="I1115" i="12"/>
  <c r="I1114" i="12" s="1"/>
  <c r="I1112" i="12" s="1"/>
  <c r="I1110" i="12" s="1"/>
  <c r="I1108" i="12" s="1"/>
  <c r="Y1096" i="12"/>
  <c r="Y1097" i="12"/>
  <c r="V1090" i="12"/>
  <c r="V1089" i="12"/>
  <c r="AB1083" i="12"/>
  <c r="AA1083" i="12" s="1"/>
  <c r="AB1084" i="12"/>
  <c r="AA1084" i="12" s="1"/>
  <c r="AA1085" i="12"/>
  <c r="T1085" i="12"/>
  <c r="P1086" i="12"/>
  <c r="AF1052" i="12"/>
  <c r="AE1053" i="12"/>
  <c r="AG1044" i="12"/>
  <c r="AG1043" i="12"/>
  <c r="V1044" i="12"/>
  <c r="V1043" i="12"/>
  <c r="AB1010" i="12"/>
  <c r="AB1009" i="12" s="1"/>
  <c r="AB1008" i="12" s="1"/>
  <c r="AB1007" i="12" s="1"/>
  <c r="AD1011" i="12"/>
  <c r="AI989" i="12"/>
  <c r="AI990" i="12"/>
  <c r="Y992" i="12"/>
  <c r="Z993" i="12"/>
  <c r="AH989" i="12"/>
  <c r="AH990" i="12"/>
  <c r="AB975" i="12"/>
  <c r="AA976" i="12"/>
  <c r="AD976" i="12"/>
  <c r="P964" i="12"/>
  <c r="T963" i="12"/>
  <c r="AB958" i="12"/>
  <c r="AA959" i="12"/>
  <c r="AD959" i="12"/>
  <c r="W939" i="12"/>
  <c r="W938" i="12" s="1"/>
  <c r="W937" i="12"/>
  <c r="O939" i="12"/>
  <c r="O937" i="12"/>
  <c r="AI931" i="12"/>
  <c r="AI932" i="12"/>
  <c r="Y934" i="12"/>
  <c r="Z935" i="12"/>
  <c r="AH931" i="12"/>
  <c r="AH932" i="12"/>
  <c r="AB874" i="12"/>
  <c r="AA875" i="12"/>
  <c r="AD875" i="12"/>
  <c r="AC865" i="12"/>
  <c r="AI846" i="12"/>
  <c r="AI845" i="12"/>
  <c r="Y790" i="12"/>
  <c r="AH719" i="12"/>
  <c r="AH718" i="12"/>
  <c r="AB721" i="12"/>
  <c r="AA722" i="12"/>
  <c r="AD722" i="12"/>
  <c r="V719" i="12"/>
  <c r="V718" i="12"/>
  <c r="AI693" i="12"/>
  <c r="AI694" i="12"/>
  <c r="AF684" i="12"/>
  <c r="AE685" i="12"/>
  <c r="T684" i="12"/>
  <c r="P685" i="12"/>
  <c r="L190" i="8"/>
  <c r="M309" i="8"/>
  <c r="G820" i="8"/>
  <c r="R146" i="8"/>
  <c r="Q314" i="9"/>
  <c r="V715" i="8"/>
  <c r="T146" i="8"/>
  <c r="M545" i="8"/>
  <c r="W135" i="8"/>
  <c r="W134" i="8" s="1"/>
  <c r="W133" i="8" s="1"/>
  <c r="P60" i="8"/>
  <c r="S796" i="8"/>
  <c r="V622" i="8"/>
  <c r="V609" i="8" s="1"/>
  <c r="V608" i="8" s="1"/>
  <c r="S559" i="8"/>
  <c r="S558" i="8" s="1"/>
  <c r="Q225" i="8"/>
  <c r="Q222" i="8" s="1"/>
  <c r="J158" i="8"/>
  <c r="Q315" i="9"/>
  <c r="Q297" i="9"/>
  <c r="L234" i="9"/>
  <c r="O228" i="9"/>
  <c r="O224" i="9" s="1"/>
  <c r="L227" i="9"/>
  <c r="L225" i="9" s="1"/>
  <c r="AA212" i="9"/>
  <c r="L102" i="9"/>
  <c r="O849" i="8"/>
  <c r="T827" i="8"/>
  <c r="T820" i="8" s="1"/>
  <c r="H746" i="8"/>
  <c r="S677" i="8"/>
  <c r="S633" i="8" s="1"/>
  <c r="G677" i="8"/>
  <c r="J634" i="8"/>
  <c r="U622" i="8"/>
  <c r="R622" i="8"/>
  <c r="O622" i="8"/>
  <c r="V594" i="8"/>
  <c r="V593" i="8" s="1"/>
  <c r="I587" i="8"/>
  <c r="X587" i="8"/>
  <c r="X558" i="8" s="1"/>
  <c r="P565" i="8"/>
  <c r="T565" i="8"/>
  <c r="T558" i="8" s="1"/>
  <c r="H534" i="8"/>
  <c r="H483" i="8" s="1"/>
  <c r="R484" i="8"/>
  <c r="G475" i="8"/>
  <c r="S415" i="8"/>
  <c r="L237" i="8"/>
  <c r="H212" i="8"/>
  <c r="T113" i="8"/>
  <c r="X2598" i="12"/>
  <c r="X2597" i="12" s="1"/>
  <c r="AG2594" i="12"/>
  <c r="AC2594" i="12"/>
  <c r="Y2594" i="12"/>
  <c r="Z2594" i="12" s="1"/>
  <c r="U2594" i="12"/>
  <c r="Q2594" i="12"/>
  <c r="M2594" i="12"/>
  <c r="L2494" i="12"/>
  <c r="AE2350" i="12"/>
  <c r="Z2343" i="12"/>
  <c r="AG2339" i="12"/>
  <c r="AG2329" i="12" s="1"/>
  <c r="AG2328" i="12" s="1"/>
  <c r="W2339" i="12"/>
  <c r="W2329" i="12" s="1"/>
  <c r="W2328" i="12" s="1"/>
  <c r="AD2331" i="12"/>
  <c r="Y2330" i="12"/>
  <c r="Z2323" i="12"/>
  <c r="AE2317" i="12"/>
  <c r="R2307" i="12"/>
  <c r="R2294" i="12" s="1"/>
  <c r="R2286" i="12" s="1"/>
  <c r="R2234" i="12" s="1"/>
  <c r="R2233" i="12" s="1"/>
  <c r="AG2294" i="12"/>
  <c r="AG2286" i="12" s="1"/>
  <c r="AC2294" i="12"/>
  <c r="AD2294" i="12" s="1"/>
  <c r="O2294" i="12"/>
  <c r="O2286" i="12" s="1"/>
  <c r="O2234" i="12" s="1"/>
  <c r="O2233" i="12" s="1"/>
  <c r="AD2291" i="12"/>
  <c r="P2287" i="12"/>
  <c r="AA2282" i="12"/>
  <c r="AB2244" i="12"/>
  <c r="AB2236" i="12" s="1"/>
  <c r="AB2235" i="12" s="1"/>
  <c r="P2225" i="12"/>
  <c r="T2223" i="12"/>
  <c r="AB2217" i="12"/>
  <c r="N2217" i="12"/>
  <c r="N2216" i="12" s="1"/>
  <c r="N2214" i="12" s="1"/>
  <c r="N2154" i="12" s="1"/>
  <c r="M2217" i="12"/>
  <c r="AH2203" i="12"/>
  <c r="AD2198" i="12"/>
  <c r="O2157" i="12"/>
  <c r="O2155" i="12" s="1"/>
  <c r="O2154" i="12" s="1"/>
  <c r="L2175" i="12"/>
  <c r="AD2159" i="12"/>
  <c r="AB2145" i="12"/>
  <c r="AG2139" i="12"/>
  <c r="AC2135" i="12"/>
  <c r="AE2134" i="12"/>
  <c r="V2127" i="12"/>
  <c r="AG2121" i="12"/>
  <c r="X2121" i="12"/>
  <c r="Y2117" i="12"/>
  <c r="M2107" i="12"/>
  <c r="V2104" i="12"/>
  <c r="V2099" i="12"/>
  <c r="AA2095" i="12"/>
  <c r="Z2085" i="12"/>
  <c r="V2084" i="12"/>
  <c r="T2082" i="12"/>
  <c r="P2072" i="12"/>
  <c r="T2069" i="12"/>
  <c r="P2069" i="12" s="1"/>
  <c r="Z2066" i="12"/>
  <c r="J2066" i="12"/>
  <c r="U2058" i="12"/>
  <c r="P2054" i="12"/>
  <c r="P2055" i="12"/>
  <c r="Y2039" i="12"/>
  <c r="AB1999" i="12"/>
  <c r="AE1999" i="12" s="1"/>
  <c r="AB1990" i="12"/>
  <c r="AH1989" i="12"/>
  <c r="AI1977" i="12"/>
  <c r="AI1940" i="12" s="1"/>
  <c r="AA1940" i="12"/>
  <c r="AH1940" i="12"/>
  <c r="AH1930" i="12" s="1"/>
  <c r="AD1940" i="12"/>
  <c r="AI1930" i="12"/>
  <c r="Y1909" i="12"/>
  <c r="U1909" i="12"/>
  <c r="U1908" i="12" s="1"/>
  <c r="Q1909" i="12"/>
  <c r="Q1908" i="12" s="1"/>
  <c r="Q1864" i="12" s="1"/>
  <c r="Q1863" i="12" s="1"/>
  <c r="Q1823" i="12" s="1"/>
  <c r="Q1822" i="12" s="1"/>
  <c r="Q1821" i="12" s="1"/>
  <c r="Q1819" i="12" s="1"/>
  <c r="Q1750" i="12" s="1"/>
  <c r="Q1748" i="12" s="1"/>
  <c r="Q1746" i="12" s="1"/>
  <c r="L1909" i="12"/>
  <c r="X1867" i="12"/>
  <c r="X1866" i="12" s="1"/>
  <c r="X1865" i="12" s="1"/>
  <c r="AI1866" i="12"/>
  <c r="AI1865" i="12" s="1"/>
  <c r="AF1858" i="12"/>
  <c r="AF1846" i="12"/>
  <c r="AE1846" i="12" s="1"/>
  <c r="AF1845" i="12"/>
  <c r="AE1845" i="12" s="1"/>
  <c r="AG1827" i="12"/>
  <c r="AA1822" i="12"/>
  <c r="O1805" i="12"/>
  <c r="O1804" i="12" s="1"/>
  <c r="O1802" i="12" s="1"/>
  <c r="P1805" i="12"/>
  <c r="X1803" i="12"/>
  <c r="AH1797" i="12"/>
  <c r="AH1796" i="12" s="1"/>
  <c r="L1796" i="12"/>
  <c r="W1794" i="12"/>
  <c r="X1754" i="12"/>
  <c r="X1753" i="12" s="1"/>
  <c r="T1754" i="12"/>
  <c r="P1755" i="12"/>
  <c r="AC1741" i="12"/>
  <c r="I1728" i="12"/>
  <c r="Q1720" i="12"/>
  <c r="Q1719" i="12" s="1"/>
  <c r="Q1717" i="12" s="1"/>
  <c r="Q1716" i="12" s="1"/>
  <c r="Q1714" i="12" s="1"/>
  <c r="AH1719" i="12"/>
  <c r="Z1706" i="12"/>
  <c r="Y1705" i="12"/>
  <c r="AB1699" i="12"/>
  <c r="AB1698" i="12" s="1"/>
  <c r="AH1691" i="12"/>
  <c r="R1682" i="12"/>
  <c r="R1680" i="12" s="1"/>
  <c r="AC1684" i="12"/>
  <c r="AD1684" i="12" s="1"/>
  <c r="V1682" i="12"/>
  <c r="V1680" i="12" s="1"/>
  <c r="AB1644" i="12"/>
  <c r="AI1620" i="12"/>
  <c r="AI1618" i="12" s="1"/>
  <c r="AI1617" i="12" s="1"/>
  <c r="AA1599" i="12"/>
  <c r="AA1590" i="12" s="1"/>
  <c r="AA1589" i="12" s="1"/>
  <c r="V1555" i="12"/>
  <c r="Z1555" i="12" s="1"/>
  <c r="W1545" i="12"/>
  <c r="AB1537" i="12"/>
  <c r="AA1537" i="12" s="1"/>
  <c r="AA1533" i="12"/>
  <c r="AG1504" i="12"/>
  <c r="S1365" i="12"/>
  <c r="R1365" i="12"/>
  <c r="X1388" i="12"/>
  <c r="X1387" i="12" s="1"/>
  <c r="U1350" i="12"/>
  <c r="U1346" i="12" s="1"/>
  <c r="U1344" i="12" s="1"/>
  <c r="U1319" i="12" s="1"/>
  <c r="O1319" i="12"/>
  <c r="AC1340" i="12"/>
  <c r="Z1333" i="12"/>
  <c r="AG1328" i="12"/>
  <c r="AD1328" i="12"/>
  <c r="AH1321" i="12"/>
  <c r="W1297" i="12"/>
  <c r="W1288" i="12" s="1"/>
  <c r="S1297" i="12"/>
  <c r="AG1289" i="12"/>
  <c r="AG1248" i="12"/>
  <c r="AG1239" i="12" s="1"/>
  <c r="AF1248" i="12"/>
  <c r="AE1248" i="12" s="1"/>
  <c r="AB1240" i="12"/>
  <c r="R1239" i="12"/>
  <c r="R1237" i="12" s="1"/>
  <c r="R1236" i="12" s="1"/>
  <c r="AG1223" i="12"/>
  <c r="AE1198" i="12"/>
  <c r="V1189" i="12"/>
  <c r="V1188" i="12" s="1"/>
  <c r="AG1188" i="12"/>
  <c r="L1189" i="12"/>
  <c r="N1137" i="12"/>
  <c r="N1135" i="12" s="1"/>
  <c r="R1137" i="12"/>
  <c r="R1135" i="12" s="1"/>
  <c r="R1134" i="12" s="1"/>
  <c r="R1132" i="12" s="1"/>
  <c r="W1096" i="12"/>
  <c r="AA1090" i="12"/>
  <c r="P965" i="12"/>
  <c r="AF1676" i="12"/>
  <c r="AE1677" i="12"/>
  <c r="M1646" i="12"/>
  <c r="L1647" i="12"/>
  <c r="M1486" i="12"/>
  <c r="L1489" i="12"/>
  <c r="N1441" i="12"/>
  <c r="P1441" i="12" s="1"/>
  <c r="P1445" i="12"/>
  <c r="P1392" i="12"/>
  <c r="T1388" i="12"/>
  <c r="AC1378" i="12"/>
  <c r="AC1379" i="12"/>
  <c r="Y1378" i="12"/>
  <c r="Y1379" i="12"/>
  <c r="Y1368" i="12"/>
  <c r="Z1369" i="12"/>
  <c r="M1330" i="12"/>
  <c r="L1331" i="12"/>
  <c r="T1323" i="12"/>
  <c r="P1324" i="12"/>
  <c r="AI1320" i="12"/>
  <c r="AI1321" i="12"/>
  <c r="AF1226" i="12"/>
  <c r="AE1227" i="12"/>
  <c r="AB1180" i="12"/>
  <c r="AA1181" i="12"/>
  <c r="AF1146" i="12"/>
  <c r="AE1146" i="12" s="1"/>
  <c r="AE1147" i="12"/>
  <c r="M1138" i="12"/>
  <c r="L1139" i="12"/>
  <c r="AF1127" i="12"/>
  <c r="AE1128" i="12"/>
  <c r="AF1073" i="12"/>
  <c r="AE1074" i="12"/>
  <c r="AC1073" i="12"/>
  <c r="AD1074" i="12"/>
  <c r="AD1067" i="12"/>
  <c r="AC1066" i="12"/>
  <c r="Z1054" i="12"/>
  <c r="Y1053" i="12"/>
  <c r="Z1047" i="12"/>
  <c r="Y1046" i="12"/>
  <c r="I1046" i="12"/>
  <c r="I1045" i="12" s="1"/>
  <c r="K1047" i="12"/>
  <c r="AC1045" i="12"/>
  <c r="AD1046" i="12"/>
  <c r="AH1038" i="12"/>
  <c r="AH1037" i="12"/>
  <c r="AB1028" i="12"/>
  <c r="AA1032" i="12"/>
  <c r="AA1030" i="12"/>
  <c r="AB1029" i="12"/>
  <c r="AB1018" i="12"/>
  <c r="AA1021" i="12"/>
  <c r="AD1021" i="12"/>
  <c r="K1021" i="12"/>
  <c r="J1018" i="12"/>
  <c r="AD1010" i="12"/>
  <c r="AC1009" i="12"/>
  <c r="AH1001" i="12"/>
  <c r="AH1002" i="12"/>
  <c r="X1001" i="12"/>
  <c r="X1002" i="12"/>
  <c r="AC998" i="12"/>
  <c r="AD999" i="12"/>
  <c r="AH995" i="12"/>
  <c r="AH996" i="12"/>
  <c r="M981" i="12"/>
  <c r="L982" i="12"/>
  <c r="K976" i="12"/>
  <c r="J975" i="12"/>
  <c r="Y974" i="12"/>
  <c r="Z975" i="12"/>
  <c r="AB969" i="12"/>
  <c r="AA970" i="12"/>
  <c r="M963" i="12"/>
  <c r="L964" i="12"/>
  <c r="K959" i="12"/>
  <c r="J958" i="12"/>
  <c r="Y957" i="12"/>
  <c r="Z958" i="12"/>
  <c r="AG943" i="12"/>
  <c r="AG944" i="12"/>
  <c r="M934" i="12"/>
  <c r="L935" i="12"/>
  <c r="AG924" i="12"/>
  <c r="AG925" i="12"/>
  <c r="X924" i="12"/>
  <c r="X925" i="12"/>
  <c r="U918" i="12"/>
  <c r="U919" i="12"/>
  <c r="M920" i="12"/>
  <c r="L921" i="12"/>
  <c r="X902" i="12"/>
  <c r="X903" i="12"/>
  <c r="AG903" i="12"/>
  <c r="AG902" i="12"/>
  <c r="T898" i="12"/>
  <c r="P899" i="12"/>
  <c r="AG885" i="12"/>
  <c r="AG886" i="12"/>
  <c r="W885" i="12"/>
  <c r="W886" i="12"/>
  <c r="AB887" i="12"/>
  <c r="AA888" i="12"/>
  <c r="J874" i="12"/>
  <c r="K874" i="12" s="1"/>
  <c r="K875" i="12"/>
  <c r="P872" i="12"/>
  <c r="N871" i="12"/>
  <c r="P871" i="12" s="1"/>
  <c r="U846" i="12"/>
  <c r="U845" i="12"/>
  <c r="AC833" i="12"/>
  <c r="AA811" i="12"/>
  <c r="AD811" i="12"/>
  <c r="AD800" i="12"/>
  <c r="AC799" i="12"/>
  <c r="AA761" i="12"/>
  <c r="AD761" i="12"/>
  <c r="AA756" i="12"/>
  <c r="AB755" i="12"/>
  <c r="AD756" i="12"/>
  <c r="AG683" i="12"/>
  <c r="AG682" i="12"/>
  <c r="AB651" i="12"/>
  <c r="AA651" i="12" s="1"/>
  <c r="AA652" i="12"/>
  <c r="V644" i="12"/>
  <c r="V645" i="12"/>
  <c r="AH630" i="12"/>
  <c r="AH631" i="12"/>
  <c r="AB636" i="12"/>
  <c r="AA637" i="12"/>
  <c r="AD637" i="12"/>
  <c r="M623" i="12"/>
  <c r="L625" i="12"/>
  <c r="AH613" i="12"/>
  <c r="AH614" i="12"/>
  <c r="AE593" i="12"/>
  <c r="AF592" i="12"/>
  <c r="Z592" i="12"/>
  <c r="Y591" i="12"/>
  <c r="AH475" i="12"/>
  <c r="AH474" i="12" s="1"/>
  <c r="AH472" i="12" s="1"/>
  <c r="AH476" i="12"/>
  <c r="AC477" i="12"/>
  <c r="AD478" i="12"/>
  <c r="M477" i="12"/>
  <c r="L478" i="12"/>
  <c r="J401" i="12"/>
  <c r="K402" i="12"/>
  <c r="W375" i="12"/>
  <c r="W374" i="12" s="1"/>
  <c r="W372" i="12" s="1"/>
  <c r="W376" i="12"/>
  <c r="AA289" i="12"/>
  <c r="V288" i="12"/>
  <c r="Z288" i="12" s="1"/>
  <c r="T2039" i="12"/>
  <c r="AE2007" i="12"/>
  <c r="AA2007" i="12"/>
  <c r="T2006" i="12"/>
  <c r="L2006" i="12"/>
  <c r="AC2005" i="12"/>
  <c r="Y2005" i="12"/>
  <c r="AE1992" i="12"/>
  <c r="AA1992" i="12"/>
  <c r="T1991" i="12"/>
  <c r="AA1913" i="12"/>
  <c r="AE1903" i="12"/>
  <c r="AA1903" i="12"/>
  <c r="AE1900" i="12"/>
  <c r="AA1874" i="12"/>
  <c r="AA1871" i="12" s="1"/>
  <c r="AA1867" i="12" s="1"/>
  <c r="AA1866" i="12" s="1"/>
  <c r="AA1865" i="12" s="1"/>
  <c r="AE1860" i="12"/>
  <c r="AE1854" i="12"/>
  <c r="AA1852" i="12"/>
  <c r="W1852" i="12"/>
  <c r="AE1849" i="12"/>
  <c r="X1846" i="12"/>
  <c r="AE1830" i="12"/>
  <c r="AE1823" i="12"/>
  <c r="AA1823" i="12"/>
  <c r="T1822" i="12"/>
  <c r="AC1821" i="12"/>
  <c r="Y1821" i="12"/>
  <c r="AA1805" i="12"/>
  <c r="T1804" i="12"/>
  <c r="AE1798" i="12"/>
  <c r="AA1798" i="12"/>
  <c r="AA1797" i="12" s="1"/>
  <c r="AA1796" i="12" s="1"/>
  <c r="T1797" i="12"/>
  <c r="L1797" i="12"/>
  <c r="AC1796" i="12"/>
  <c r="Y1796" i="12"/>
  <c r="Y1767" i="12"/>
  <c r="J1754" i="12"/>
  <c r="AA1743" i="12"/>
  <c r="AD1737" i="12"/>
  <c r="P1735" i="12"/>
  <c r="AE1733" i="12"/>
  <c r="M1720" i="12"/>
  <c r="AB1720" i="12"/>
  <c r="T1720" i="12"/>
  <c r="L1711" i="12"/>
  <c r="M1710" i="12"/>
  <c r="AA1707" i="12"/>
  <c r="AB1706" i="12"/>
  <c r="AD1706" i="12" s="1"/>
  <c r="T1706" i="12"/>
  <c r="L1706" i="12"/>
  <c r="AA1701" i="12"/>
  <c r="AD1699" i="12"/>
  <c r="AA1696" i="12"/>
  <c r="T1693" i="12"/>
  <c r="L1693" i="12"/>
  <c r="AD1686" i="12"/>
  <c r="Z1686" i="12"/>
  <c r="AA1686" i="12"/>
  <c r="AG1683" i="12"/>
  <c r="P1671" i="12"/>
  <c r="L1670" i="12"/>
  <c r="T1656" i="12"/>
  <c r="L1656" i="12"/>
  <c r="AD1649" i="12"/>
  <c r="Z1649" i="12"/>
  <c r="AA1646" i="12"/>
  <c r="AF1645" i="12"/>
  <c r="AC1644" i="12"/>
  <c r="AD1644" i="12" s="1"/>
  <c r="AB1630" i="12"/>
  <c r="AE1630" i="12" s="1"/>
  <c r="AF1621" i="12"/>
  <c r="W1621" i="12"/>
  <c r="W1620" i="12" s="1"/>
  <c r="AD1599" i="12"/>
  <c r="AE1599" i="12"/>
  <c r="AA1579" i="12"/>
  <c r="AE1577" i="12"/>
  <c r="AG1555" i="12"/>
  <c r="AG1545" i="12" s="1"/>
  <c r="AB1555" i="12"/>
  <c r="AE1555" i="12" s="1"/>
  <c r="K1556" i="12"/>
  <c r="L1552" i="12"/>
  <c r="AA1550" i="12"/>
  <c r="AH1546" i="12"/>
  <c r="AH1545" i="12" s="1"/>
  <c r="V1546" i="12"/>
  <c r="R1546" i="12"/>
  <c r="R1545" i="12" s="1"/>
  <c r="R1543" i="12" s="1"/>
  <c r="R1542" i="12" s="1"/>
  <c r="M1546" i="12"/>
  <c r="AB1546" i="12"/>
  <c r="T1546" i="12"/>
  <c r="Z1538" i="12"/>
  <c r="K1540" i="12"/>
  <c r="AA1539" i="12"/>
  <c r="AF1538" i="12"/>
  <c r="AD1532" i="12"/>
  <c r="P1517" i="12"/>
  <c r="AD1511" i="12"/>
  <c r="J1511" i="12"/>
  <c r="K1511" i="12" s="1"/>
  <c r="AI1507" i="12"/>
  <c r="AI1506" i="12" s="1"/>
  <c r="AI1505" i="12" s="1"/>
  <c r="AC1508" i="12"/>
  <c r="W1507" i="12"/>
  <c r="W1506" i="12" s="1"/>
  <c r="W1505" i="12" s="1"/>
  <c r="S1507" i="12"/>
  <c r="S1506" i="12" s="1"/>
  <c r="S1505" i="12" s="1"/>
  <c r="S1503" i="12" s="1"/>
  <c r="S1501" i="12" s="1"/>
  <c r="S1499" i="12" s="1"/>
  <c r="O1507" i="12"/>
  <c r="O1506" i="12" s="1"/>
  <c r="O1505" i="12" s="1"/>
  <c r="O1503" i="12" s="1"/>
  <c r="AD1491" i="12"/>
  <c r="AF1486" i="12"/>
  <c r="L1487" i="12"/>
  <c r="AC1484" i="12"/>
  <c r="AA1472" i="12"/>
  <c r="AA1467" i="12" s="1"/>
  <c r="AI1467" i="12"/>
  <c r="AI1456" i="12" s="1"/>
  <c r="AD1468" i="12"/>
  <c r="AE1464" i="12"/>
  <c r="Q1457" i="12"/>
  <c r="Q1456" i="12" s="1"/>
  <c r="Q1454" i="12" s="1"/>
  <c r="M1457" i="12"/>
  <c r="M1456" i="12" s="1"/>
  <c r="M1454" i="12" s="1"/>
  <c r="AE1457" i="12"/>
  <c r="P1452" i="12"/>
  <c r="AG1446" i="12"/>
  <c r="AC1446" i="12"/>
  <c r="AD1446" i="12" s="1"/>
  <c r="Y1446" i="12"/>
  <c r="Z1446" i="12" s="1"/>
  <c r="U1446" i="12"/>
  <c r="Q1446" i="12"/>
  <c r="Q1436" i="12" s="1"/>
  <c r="Q1434" i="12" s="1"/>
  <c r="AD1441" i="12"/>
  <c r="M1437" i="12"/>
  <c r="T1437" i="12"/>
  <c r="AD1402" i="12"/>
  <c r="Y1388" i="12"/>
  <c r="U1388" i="12"/>
  <c r="U1387" i="12" s="1"/>
  <c r="U1385" i="12" s="1"/>
  <c r="I1388" i="12"/>
  <c r="I1387" i="12" s="1"/>
  <c r="I1385" i="12" s="1"/>
  <c r="I1365" i="12" s="1"/>
  <c r="L1389" i="12"/>
  <c r="AE1381" i="12"/>
  <c r="AA1360" i="12"/>
  <c r="L1360" i="12"/>
  <c r="AD1355" i="12"/>
  <c r="P1352" i="12"/>
  <c r="X1350" i="12"/>
  <c r="X1346" i="12" s="1"/>
  <c r="L1351" i="12"/>
  <c r="AD1342" i="12"/>
  <c r="AI1338" i="12"/>
  <c r="AA1330" i="12"/>
  <c r="AF1329" i="12"/>
  <c r="AG1327" i="12"/>
  <c r="AD1310" i="12"/>
  <c r="P1312" i="12"/>
  <c r="Z1311" i="12"/>
  <c r="J1311" i="12"/>
  <c r="AE1310" i="12"/>
  <c r="P1306" i="12"/>
  <c r="AD1304" i="12"/>
  <c r="P1302" i="12"/>
  <c r="AG1297" i="12"/>
  <c r="AC1297" i="12"/>
  <c r="AD1297" i="12" s="1"/>
  <c r="Y1297" i="12"/>
  <c r="Z1297" i="12" s="1"/>
  <c r="U1297" i="12"/>
  <c r="U1288" i="12" s="1"/>
  <c r="U1286" i="12" s="1"/>
  <c r="U1285" i="12" s="1"/>
  <c r="U1283" i="12" s="1"/>
  <c r="Q1297" i="12"/>
  <c r="AH1289" i="12"/>
  <c r="AH1288" i="12" s="1"/>
  <c r="V1289" i="12"/>
  <c r="R1289" i="12"/>
  <c r="R1288" i="12" s="1"/>
  <c r="R1286" i="12" s="1"/>
  <c r="R1285" i="12" s="1"/>
  <c r="R1283" i="12" s="1"/>
  <c r="AC1289" i="12"/>
  <c r="Z1279" i="12"/>
  <c r="AE1279" i="12"/>
  <c r="U1276" i="12"/>
  <c r="AD1274" i="12"/>
  <c r="K1274" i="12"/>
  <c r="K1273" i="12"/>
  <c r="P1260" i="12"/>
  <c r="P1254" i="12"/>
  <c r="W1248" i="12"/>
  <c r="W1239" i="12" s="1"/>
  <c r="S1248" i="12"/>
  <c r="S1239" i="12" s="1"/>
  <c r="S1237" i="12" s="1"/>
  <c r="S1236" i="12" s="1"/>
  <c r="O1248" i="12"/>
  <c r="O1239" i="12" s="1"/>
  <c r="O1237" i="12" s="1"/>
  <c r="O1236" i="12" s="1"/>
  <c r="O1234" i="12" s="1"/>
  <c r="J1248" i="12"/>
  <c r="K1248" i="12" s="1"/>
  <c r="Y1248" i="12"/>
  <c r="Z1248" i="12" s="1"/>
  <c r="AD1245" i="12"/>
  <c r="Y1239" i="12"/>
  <c r="U1239" i="12"/>
  <c r="Q1239" i="12"/>
  <c r="Q1237" i="12" s="1"/>
  <c r="Q1236" i="12" s="1"/>
  <c r="K1241" i="12"/>
  <c r="J1240" i="12"/>
  <c r="AD1231" i="12"/>
  <c r="AI1223" i="12"/>
  <c r="Z1220" i="12"/>
  <c r="AE1215" i="12"/>
  <c r="AD1207" i="12"/>
  <c r="AD1203" i="12"/>
  <c r="P1199" i="12"/>
  <c r="AD1193" i="12"/>
  <c r="K1193" i="12"/>
  <c r="S1176" i="12"/>
  <c r="S1174" i="12" s="1"/>
  <c r="AA1178" i="12"/>
  <c r="K1177" i="12"/>
  <c r="AA1171" i="12"/>
  <c r="K1170" i="12"/>
  <c r="K1169" i="12"/>
  <c r="AD1160" i="12"/>
  <c r="AD1155" i="12"/>
  <c r="K1155" i="12"/>
  <c r="AD1151" i="12"/>
  <c r="K1151" i="12"/>
  <c r="AD1141" i="12"/>
  <c r="X1138" i="12"/>
  <c r="T1138" i="12"/>
  <c r="P1141" i="12"/>
  <c r="P1129" i="12"/>
  <c r="L1128" i="12"/>
  <c r="X1125" i="12"/>
  <c r="AD1116" i="12"/>
  <c r="K1116" i="12"/>
  <c r="AD1099" i="12"/>
  <c r="AD1093" i="12"/>
  <c r="AA1086" i="12"/>
  <c r="K1086" i="12"/>
  <c r="Z1085" i="12"/>
  <c r="Y1084" i="12"/>
  <c r="Z1084" i="12" s="1"/>
  <c r="V1051" i="12"/>
  <c r="R1035" i="12"/>
  <c r="AH1044" i="12"/>
  <c r="W1044" i="12"/>
  <c r="AE1040" i="12"/>
  <c r="P1033" i="12"/>
  <c r="Z1032" i="12"/>
  <c r="T1029" i="12"/>
  <c r="P1029" i="12" s="1"/>
  <c r="AH1018" i="12"/>
  <c r="AH1017" i="12" s="1"/>
  <c r="T1017" i="12"/>
  <c r="P1005" i="12"/>
  <c r="U894" i="12"/>
  <c r="U892" i="12" s="1"/>
  <c r="U859" i="12" s="1"/>
  <c r="P869" i="12"/>
  <c r="V834" i="12"/>
  <c r="V833" i="12" s="1"/>
  <c r="AH799" i="12"/>
  <c r="M755" i="12"/>
  <c r="I755" i="12"/>
  <c r="N621" i="12"/>
  <c r="N617" i="12" s="1"/>
  <c r="N616" i="12" s="1"/>
  <c r="N615" i="12" s="1"/>
  <c r="N613" i="12" s="1"/>
  <c r="N377" i="12"/>
  <c r="N375" i="12" s="1"/>
  <c r="N374" i="12" s="1"/>
  <c r="N372" i="12" s="1"/>
  <c r="M1753" i="12"/>
  <c r="L1754" i="12"/>
  <c r="AB1728" i="12"/>
  <c r="AA1729" i="12"/>
  <c r="AB1709" i="12"/>
  <c r="AA1710" i="12"/>
  <c r="AB1610" i="12"/>
  <c r="AA1611" i="12"/>
  <c r="AB1585" i="12"/>
  <c r="AA1586" i="12"/>
  <c r="M1539" i="12"/>
  <c r="L1540" i="12"/>
  <c r="AI1536" i="12"/>
  <c r="AI1537" i="12"/>
  <c r="AF1507" i="12"/>
  <c r="AE1508" i="12"/>
  <c r="V1483" i="12"/>
  <c r="V1484" i="12"/>
  <c r="AF1467" i="12"/>
  <c r="AE1468" i="12"/>
  <c r="AA1369" i="12"/>
  <c r="AB1368" i="12"/>
  <c r="T1368" i="12"/>
  <c r="P1369" i="12"/>
  <c r="AI1366" i="12"/>
  <c r="AI1367" i="12"/>
  <c r="V1348" i="12"/>
  <c r="AA1349" i="12"/>
  <c r="AA2612" i="12" s="1"/>
  <c r="N1342" i="12"/>
  <c r="P1343" i="12"/>
  <c r="AE1337" i="12"/>
  <c r="AF1335" i="12"/>
  <c r="AI1328" i="12"/>
  <c r="AI1327" i="12"/>
  <c r="AF1322" i="12"/>
  <c r="AE1323" i="12"/>
  <c r="N1290" i="12"/>
  <c r="P1291" i="12"/>
  <c r="AF1288" i="12"/>
  <c r="AE1289" i="12"/>
  <c r="AF1273" i="12"/>
  <c r="AE1273" i="12" s="1"/>
  <c r="AE1274" i="12"/>
  <c r="M1240" i="12"/>
  <c r="L1241" i="12"/>
  <c r="AC1223" i="12"/>
  <c r="AC1224" i="12"/>
  <c r="M1167" i="12"/>
  <c r="L1167" i="12" s="1"/>
  <c r="L1169" i="12"/>
  <c r="AF1115" i="12"/>
  <c r="AE1116" i="12"/>
  <c r="P1115" i="12"/>
  <c r="T1114" i="12"/>
  <c r="AC1112" i="12"/>
  <c r="AC1113" i="12"/>
  <c r="AC1096" i="12"/>
  <c r="AD1098" i="12"/>
  <c r="AF1092" i="12"/>
  <c r="AE1093" i="12"/>
  <c r="J1083" i="12"/>
  <c r="K1083" i="12" s="1"/>
  <c r="K1085" i="12"/>
  <c r="AF1080" i="12"/>
  <c r="AE1081" i="12"/>
  <c r="AH1077" i="12"/>
  <c r="AH1078" i="12"/>
  <c r="P1047" i="12"/>
  <c r="T1046" i="12"/>
  <c r="AF1045" i="12"/>
  <c r="AE1046" i="12"/>
  <c r="L1045" i="12"/>
  <c r="M1043" i="12"/>
  <c r="W1038" i="12"/>
  <c r="W1037" i="12"/>
  <c r="X1037" i="12"/>
  <c r="X1035" i="12" s="1"/>
  <c r="X1038" i="12"/>
  <c r="AB1037" i="12"/>
  <c r="AA1037" i="12" s="1"/>
  <c r="AB1038" i="12"/>
  <c r="AA1038" i="12" s="1"/>
  <c r="AA1039" i="12"/>
  <c r="AD1032" i="12"/>
  <c r="AC1028" i="12"/>
  <c r="M1028" i="12"/>
  <c r="L1032" i="12"/>
  <c r="AF1026" i="12"/>
  <c r="AF1027" i="12"/>
  <c r="Y1023" i="12"/>
  <c r="Z1023" i="12" s="1"/>
  <c r="Z1024" i="12"/>
  <c r="X1015" i="12"/>
  <c r="X1013" i="12" s="1"/>
  <c r="X1016" i="12"/>
  <c r="AA1019" i="12"/>
  <c r="AD1019" i="12"/>
  <c r="AC1017" i="12"/>
  <c r="AG1002" i="12"/>
  <c r="AG1001" i="12"/>
  <c r="O1003" i="12"/>
  <c r="O1001" i="12" s="1"/>
  <c r="O894" i="12" s="1"/>
  <c r="O892" i="12" s="1"/>
  <c r="J1003" i="12"/>
  <c r="J1001" i="12" s="1"/>
  <c r="T1001" i="12"/>
  <c r="P1001" i="12" s="1"/>
  <c r="P1003" i="12"/>
  <c r="Y998" i="12"/>
  <c r="Z999" i="12"/>
  <c r="AF995" i="12"/>
  <c r="AF996" i="12"/>
  <c r="J991" i="12"/>
  <c r="K992" i="12"/>
  <c r="Z986" i="12"/>
  <c r="Y985" i="12"/>
  <c r="T984" i="12"/>
  <c r="P984" i="12" s="1"/>
  <c r="P985" i="12"/>
  <c r="W978" i="12"/>
  <c r="W979" i="12"/>
  <c r="AB980" i="12"/>
  <c r="AA981" i="12"/>
  <c r="T980" i="12"/>
  <c r="P981" i="12"/>
  <c r="K981" i="12"/>
  <c r="J980" i="12"/>
  <c r="AG978" i="12"/>
  <c r="AG979" i="12"/>
  <c r="AF975" i="12"/>
  <c r="AE976" i="12"/>
  <c r="I970" i="12"/>
  <c r="K971" i="12"/>
  <c r="T969" i="12"/>
  <c r="P970" i="12"/>
  <c r="AF958" i="12"/>
  <c r="AE959" i="12"/>
  <c r="AH949" i="12"/>
  <c r="AH950" i="12"/>
  <c r="AB952" i="12"/>
  <c r="AD952" i="12" s="1"/>
  <c r="AA953" i="12"/>
  <c r="AD953" i="12"/>
  <c r="V949" i="12"/>
  <c r="V950" i="12"/>
  <c r="AD947" i="12"/>
  <c r="AC946" i="12"/>
  <c r="I946" i="12"/>
  <c r="I945" i="12" s="1"/>
  <c r="I943" i="12" s="1"/>
  <c r="K947" i="12"/>
  <c r="X937" i="12"/>
  <c r="X939" i="12"/>
  <c r="X938" i="12" s="1"/>
  <c r="P940" i="12"/>
  <c r="T937" i="12"/>
  <c r="P937" i="12" s="1"/>
  <c r="AC939" i="12"/>
  <c r="W931" i="12"/>
  <c r="W932" i="12"/>
  <c r="AB933" i="12"/>
  <c r="AA934" i="12"/>
  <c r="T933" i="12"/>
  <c r="P934" i="12"/>
  <c r="J933" i="12"/>
  <c r="K934" i="12"/>
  <c r="AG931" i="12"/>
  <c r="AG932" i="12"/>
  <c r="AC927" i="12"/>
  <c r="AD928" i="12"/>
  <c r="V919" i="12"/>
  <c r="V918" i="12"/>
  <c r="W918" i="12"/>
  <c r="W919" i="12"/>
  <c r="AF905" i="12"/>
  <c r="AE906" i="12"/>
  <c r="Z905" i="12"/>
  <c r="Y904" i="12"/>
  <c r="T902" i="12"/>
  <c r="P904" i="12"/>
  <c r="I888" i="12"/>
  <c r="I887" i="12" s="1"/>
  <c r="I885" i="12" s="1"/>
  <c r="K889" i="12"/>
  <c r="T887" i="12"/>
  <c r="P888" i="12"/>
  <c r="AA879" i="12"/>
  <c r="AD879" i="12"/>
  <c r="AF874" i="12"/>
  <c r="AE874" i="12" s="1"/>
  <c r="AE875" i="12"/>
  <c r="W864" i="12"/>
  <c r="W863" i="12"/>
  <c r="W862" i="12" s="1"/>
  <c r="W860" i="12" s="1"/>
  <c r="M865" i="12"/>
  <c r="L866" i="12"/>
  <c r="AB841" i="12"/>
  <c r="AA841" i="12" s="1"/>
  <c r="AA842" i="12"/>
  <c r="AD842" i="12"/>
  <c r="AF731" i="12"/>
  <c r="AI661" i="12"/>
  <c r="AI662" i="12"/>
  <c r="AH661" i="12"/>
  <c r="AH662" i="12"/>
  <c r="W449" i="12"/>
  <c r="W450" i="12"/>
  <c r="K452" i="12"/>
  <c r="J451" i="12"/>
  <c r="AF451" i="12"/>
  <c r="AE452" i="12"/>
  <c r="X450" i="12"/>
  <c r="X449" i="12"/>
  <c r="Y450" i="12"/>
  <c r="Y449" i="12"/>
  <c r="Z451" i="12"/>
  <c r="K378" i="12"/>
  <c r="W316" i="12"/>
  <c r="W315" i="12"/>
  <c r="AB315" i="12"/>
  <c r="AB316" i="12"/>
  <c r="U315" i="12"/>
  <c r="U316" i="12"/>
  <c r="AC230" i="12"/>
  <c r="AC231" i="12"/>
  <c r="M230" i="12"/>
  <c r="L232" i="12"/>
  <c r="X1852" i="12"/>
  <c r="Y1846" i="12"/>
  <c r="U1846" i="12"/>
  <c r="Z1742" i="12"/>
  <c r="Y1741" i="12"/>
  <c r="AE1737" i="12"/>
  <c r="Y1728" i="12"/>
  <c r="Z1728" i="12" s="1"/>
  <c r="N1719" i="12"/>
  <c r="N1717" i="12" s="1"/>
  <c r="N1716" i="12" s="1"/>
  <c r="N1714" i="12" s="1"/>
  <c r="AG1703" i="12"/>
  <c r="AE1710" i="12"/>
  <c r="AC1705" i="12"/>
  <c r="AB1694" i="12"/>
  <c r="AE1694" i="12" s="1"/>
  <c r="AC1692" i="12"/>
  <c r="Z1685" i="12"/>
  <c r="Y1684" i="12"/>
  <c r="Z1684" i="12" s="1"/>
  <c r="AH1683" i="12"/>
  <c r="AH1682" i="12" s="1"/>
  <c r="AH1680" i="12" s="1"/>
  <c r="U1670" i="12"/>
  <c r="AD1656" i="12"/>
  <c r="AC1655" i="12"/>
  <c r="AD1646" i="12"/>
  <c r="V1645" i="12"/>
  <c r="AE1627" i="12"/>
  <c r="AE1625" i="12"/>
  <c r="X1621" i="12"/>
  <c r="X1620" i="12" s="1"/>
  <c r="I1610" i="12"/>
  <c r="AD1591" i="12"/>
  <c r="I1585" i="12"/>
  <c r="AC1555" i="12"/>
  <c r="X1555" i="12"/>
  <c r="X1545" i="12" s="1"/>
  <c r="I1555" i="12"/>
  <c r="K1555" i="12" s="1"/>
  <c r="L1556" i="12"/>
  <c r="N1546" i="12"/>
  <c r="N1545" i="12" s="1"/>
  <c r="N1543" i="12" s="1"/>
  <c r="N1542" i="12" s="1"/>
  <c r="N1501" i="12" s="1"/>
  <c r="N1499" i="12" s="1"/>
  <c r="O1545" i="12"/>
  <c r="O1543" i="12" s="1"/>
  <c r="O1542" i="12" s="1"/>
  <c r="Z1532" i="12"/>
  <c r="J1533" i="12"/>
  <c r="Y1511" i="12"/>
  <c r="Z1511" i="12" s="1"/>
  <c r="X1507" i="12"/>
  <c r="X1506" i="12" s="1"/>
  <c r="X1505" i="12" s="1"/>
  <c r="T1507" i="12"/>
  <c r="P1508" i="12"/>
  <c r="AB1496" i="12"/>
  <c r="AE1491" i="12"/>
  <c r="AB1486" i="12"/>
  <c r="AG1457" i="12"/>
  <c r="AG1456" i="12" s="1"/>
  <c r="AC1457" i="12"/>
  <c r="Y1457" i="12"/>
  <c r="U1457" i="12"/>
  <c r="U1456" i="12" s="1"/>
  <c r="AE1441" i="12"/>
  <c r="P1438" i="12"/>
  <c r="W1436" i="12"/>
  <c r="O1436" i="12"/>
  <c r="O1434" i="12" s="1"/>
  <c r="O1365" i="12" s="1"/>
  <c r="AE1402" i="12"/>
  <c r="AF1388" i="12"/>
  <c r="Q1388" i="12"/>
  <c r="Q1387" i="12" s="1"/>
  <c r="Q1385" i="12" s="1"/>
  <c r="AE1355" i="12"/>
  <c r="Y1340" i="12"/>
  <c r="K1333" i="12"/>
  <c r="AD1333" i="12"/>
  <c r="AD1330" i="12"/>
  <c r="V1328" i="12"/>
  <c r="Z1310" i="12"/>
  <c r="AE1304" i="12"/>
  <c r="P1304" i="12"/>
  <c r="AI1288" i="12"/>
  <c r="S1288" i="12"/>
  <c r="S1286" i="12" s="1"/>
  <c r="S1285" i="12" s="1"/>
  <c r="S1283" i="12" s="1"/>
  <c r="X1288" i="12"/>
  <c r="AE1278" i="12"/>
  <c r="AF1276" i="12"/>
  <c r="X1276" i="12"/>
  <c r="P1274" i="12"/>
  <c r="L1273" i="12"/>
  <c r="P1249" i="12"/>
  <c r="AA1248" i="12"/>
  <c r="Q1198" i="12"/>
  <c r="Q1188" i="12" s="1"/>
  <c r="Q1186" i="12" s="1"/>
  <c r="M1198" i="12"/>
  <c r="Y1198" i="12"/>
  <c r="Z1198" i="12" s="1"/>
  <c r="U1198" i="12"/>
  <c r="U1188" i="12" s="1"/>
  <c r="U1186" i="12" s="1"/>
  <c r="U1185" i="12" s="1"/>
  <c r="U1183" i="12" s="1"/>
  <c r="AE1193" i="12"/>
  <c r="W1188" i="12"/>
  <c r="AD1177" i="12"/>
  <c r="AD1170" i="12"/>
  <c r="AC1169" i="12"/>
  <c r="AE1155" i="12"/>
  <c r="AE1151" i="12"/>
  <c r="X1146" i="12"/>
  <c r="T1146" i="12"/>
  <c r="P1146" i="12" s="1"/>
  <c r="P1151" i="12"/>
  <c r="I1146" i="12"/>
  <c r="V1137" i="12"/>
  <c r="Y1127" i="12"/>
  <c r="P1116" i="12"/>
  <c r="Q1110" i="12"/>
  <c r="Q1108" i="12" s="1"/>
  <c r="K1115" i="12"/>
  <c r="R1110" i="12"/>
  <c r="R1108" i="12" s="1"/>
  <c r="J1114" i="12"/>
  <c r="X1089" i="12"/>
  <c r="P1032" i="12"/>
  <c r="P1021" i="12"/>
  <c r="W1001" i="12"/>
  <c r="P941" i="12"/>
  <c r="W894" i="12"/>
  <c r="AE869" i="12"/>
  <c r="W790" i="12"/>
  <c r="O790" i="12"/>
  <c r="O788" i="12" s="1"/>
  <c r="K790" i="12"/>
  <c r="K788" i="12" s="1"/>
  <c r="P452" i="12"/>
  <c r="T1709" i="12"/>
  <c r="P1710" i="12"/>
  <c r="AF1705" i="12"/>
  <c r="AF1703" i="12" s="1"/>
  <c r="M1388" i="12"/>
  <c r="L1392" i="12"/>
  <c r="AF1378" i="12"/>
  <c r="AF1379" i="12"/>
  <c r="AC1368" i="12"/>
  <c r="AD1369" i="12"/>
  <c r="T1338" i="12"/>
  <c r="AB1322" i="12"/>
  <c r="AA1323" i="12"/>
  <c r="W1320" i="12"/>
  <c r="W1321" i="12"/>
  <c r="M1311" i="12"/>
  <c r="L1312" i="12"/>
  <c r="V1223" i="12"/>
  <c r="V1224" i="12"/>
  <c r="Y1190" i="12"/>
  <c r="Z1191" i="12"/>
  <c r="N1181" i="12"/>
  <c r="N1180" i="12" s="1"/>
  <c r="N1176" i="12" s="1"/>
  <c r="N1174" i="12" s="1"/>
  <c r="P1182" i="12"/>
  <c r="AF1180" i="12"/>
  <c r="AE1181" i="12"/>
  <c r="T1176" i="12"/>
  <c r="AF1169" i="12"/>
  <c r="AE1170" i="12"/>
  <c r="AB1127" i="12"/>
  <c r="AD1127" i="12" s="1"/>
  <c r="AA1128" i="12"/>
  <c r="Z1040" i="12"/>
  <c r="Y1039" i="12"/>
  <c r="V1027" i="12"/>
  <c r="V1026" i="12"/>
  <c r="L1018" i="12"/>
  <c r="Z1004" i="12"/>
  <c r="Y1003" i="12"/>
  <c r="V1001" i="12"/>
  <c r="V1002" i="12"/>
  <c r="AA998" i="12"/>
  <c r="AB997" i="12"/>
  <c r="T997" i="12"/>
  <c r="P998" i="12"/>
  <c r="V995" i="12"/>
  <c r="V996" i="12"/>
  <c r="AC992" i="12"/>
  <c r="AD993" i="12"/>
  <c r="AF991" i="12"/>
  <c r="AE992" i="12"/>
  <c r="AG989" i="12"/>
  <c r="AG990" i="12"/>
  <c r="J952" i="12"/>
  <c r="K953" i="12"/>
  <c r="AI950" i="12"/>
  <c r="AI949" i="12"/>
  <c r="Z952" i="12"/>
  <c r="Y951" i="12"/>
  <c r="X949" i="12"/>
  <c r="X950" i="12"/>
  <c r="AI943" i="12"/>
  <c r="AI944" i="12"/>
  <c r="AF945" i="12"/>
  <c r="AE946" i="12"/>
  <c r="V943" i="12"/>
  <c r="V944" i="12"/>
  <c r="M939" i="12"/>
  <c r="L939" i="12" s="1"/>
  <c r="L940" i="12"/>
  <c r="AI924" i="12"/>
  <c r="AI925" i="12"/>
  <c r="Y927" i="12"/>
  <c r="Z928" i="12"/>
  <c r="I927" i="12"/>
  <c r="I926" i="12" s="1"/>
  <c r="I924" i="12" s="1"/>
  <c r="K928" i="12"/>
  <c r="W924" i="12"/>
  <c r="W925" i="12"/>
  <c r="Y897" i="12"/>
  <c r="Z898" i="12"/>
  <c r="V885" i="12"/>
  <c r="V886" i="12"/>
  <c r="AI885" i="12"/>
  <c r="AI886" i="12"/>
  <c r="Y855" i="12"/>
  <c r="Z855" i="12" s="1"/>
  <c r="Z856" i="12"/>
  <c r="AA752" i="12"/>
  <c r="AD752" i="12"/>
  <c r="U744" i="12"/>
  <c r="U745" i="12"/>
  <c r="X707" i="12"/>
  <c r="X708" i="12"/>
  <c r="AG693" i="12"/>
  <c r="AG694" i="12"/>
  <c r="W693" i="12"/>
  <c r="W694" i="12"/>
  <c r="M696" i="12"/>
  <c r="L697" i="12"/>
  <c r="AH693" i="12"/>
  <c r="AH694" i="12"/>
  <c r="AF679" i="12"/>
  <c r="AE680" i="12"/>
  <c r="X678" i="12"/>
  <c r="X676" i="12" s="1"/>
  <c r="X677" i="12"/>
  <c r="AI677" i="12"/>
  <c r="AI678" i="12"/>
  <c r="AI676" i="12" s="1"/>
  <c r="AI674" i="12" s="1"/>
  <c r="I679" i="12"/>
  <c r="I678" i="12" s="1"/>
  <c r="I676" i="12" s="1"/>
  <c r="K680" i="12"/>
  <c r="AI667" i="12"/>
  <c r="AI668" i="12"/>
  <c r="AG601" i="12"/>
  <c r="AG602" i="12"/>
  <c r="AH595" i="12"/>
  <c r="AH596" i="12"/>
  <c r="AC216" i="12"/>
  <c r="AH214" i="12"/>
  <c r="AH212" i="12" s="1"/>
  <c r="AH215" i="12"/>
  <c r="P2218" i="12"/>
  <c r="P2108" i="12"/>
  <c r="AD1883" i="12"/>
  <c r="AD1874" i="12"/>
  <c r="Y1852" i="12"/>
  <c r="U1852" i="12"/>
  <c r="Z1846" i="12"/>
  <c r="V1846" i="12"/>
  <c r="O1754" i="12"/>
  <c r="O1753" i="12" s="1"/>
  <c r="O1751" i="12" s="1"/>
  <c r="P1743" i="12"/>
  <c r="AB1742" i="12"/>
  <c r="AD1742" i="12" s="1"/>
  <c r="J1741" i="12"/>
  <c r="AI1728" i="12"/>
  <c r="AI1719" i="12" s="1"/>
  <c r="AD1729" i="12"/>
  <c r="W1728" i="12"/>
  <c r="W1719" i="12" s="1"/>
  <c r="S1728" i="12"/>
  <c r="S1719" i="12" s="1"/>
  <c r="S1717" i="12" s="1"/>
  <c r="S1716" i="12" s="1"/>
  <c r="S1714" i="12" s="1"/>
  <c r="K1729" i="12"/>
  <c r="AG1720" i="12"/>
  <c r="AG1719" i="12" s="1"/>
  <c r="AC1720" i="12"/>
  <c r="Y1720" i="12"/>
  <c r="U1720" i="12"/>
  <c r="U1719" i="12" s="1"/>
  <c r="J1720" i="12"/>
  <c r="AF1720" i="12"/>
  <c r="X1703" i="12"/>
  <c r="AE1701" i="12"/>
  <c r="AE2610" i="12" s="1"/>
  <c r="AF1700" i="12"/>
  <c r="AE1696" i="12"/>
  <c r="AD1695" i="12"/>
  <c r="AA1687" i="12"/>
  <c r="AA1650" i="12"/>
  <c r="AD1645" i="12"/>
  <c r="P1647" i="12"/>
  <c r="I1645" i="12"/>
  <c r="AD1611" i="12"/>
  <c r="Z1610" i="12"/>
  <c r="Z1606" i="12"/>
  <c r="Z1605" i="12" s="1"/>
  <c r="J1606" i="12"/>
  <c r="W1605" i="12"/>
  <c r="AD1596" i="12"/>
  <c r="AH1590" i="12"/>
  <c r="AH1589" i="12" s="1"/>
  <c r="V1590" i="12"/>
  <c r="V1589" i="12" s="1"/>
  <c r="AD1586" i="12"/>
  <c r="AD1560" i="12"/>
  <c r="K1560" i="12"/>
  <c r="AA1556" i="12"/>
  <c r="P1552" i="12"/>
  <c r="P1547" i="12"/>
  <c r="J1546" i="12"/>
  <c r="AG1537" i="12"/>
  <c r="Z1537" i="12"/>
  <c r="Z1536" i="12"/>
  <c r="Z1534" i="12"/>
  <c r="Z1533" i="12"/>
  <c r="AC1517" i="12"/>
  <c r="AD1517" i="12" s="1"/>
  <c r="Z1512" i="12"/>
  <c r="Z2599" i="12" s="1"/>
  <c r="AD1496" i="12"/>
  <c r="X1486" i="12"/>
  <c r="X1485" i="12" s="1"/>
  <c r="P1489" i="12"/>
  <c r="P1487" i="12"/>
  <c r="AG1484" i="12"/>
  <c r="AH1457" i="12"/>
  <c r="AH1456" i="12" s="1"/>
  <c r="V1456" i="12"/>
  <c r="AA1447" i="12"/>
  <c r="N1446" i="12"/>
  <c r="P1446" i="12" s="1"/>
  <c r="AG1437" i="12"/>
  <c r="AD1437" i="12"/>
  <c r="Y1437" i="12"/>
  <c r="U1437" i="12"/>
  <c r="J1436" i="12"/>
  <c r="AF1437" i="12"/>
  <c r="AC1436" i="12"/>
  <c r="AG1408" i="12"/>
  <c r="AG1407" i="12" s="1"/>
  <c r="AG1406" i="12" s="1"/>
  <c r="AD1399" i="12"/>
  <c r="AG1388" i="12"/>
  <c r="AG1387" i="12" s="1"/>
  <c r="AB1388" i="12"/>
  <c r="P1389" i="12"/>
  <c r="J1388" i="12"/>
  <c r="AE1382" i="12"/>
  <c r="AE1380" i="12"/>
  <c r="AD1363" i="12"/>
  <c r="K1363" i="12"/>
  <c r="K1351" i="12"/>
  <c r="Z1349" i="12"/>
  <c r="J1340" i="12"/>
  <c r="AD1334" i="12"/>
  <c r="Z1334" i="12"/>
  <c r="K1335" i="12"/>
  <c r="K1334" i="12"/>
  <c r="AD1329" i="12"/>
  <c r="P1331" i="12"/>
  <c r="AC1327" i="12"/>
  <c r="AD1327" i="12" s="1"/>
  <c r="M1323" i="12"/>
  <c r="Z1312" i="12"/>
  <c r="AF1309" i="12"/>
  <c r="X1309" i="12"/>
  <c r="AA1298" i="12"/>
  <c r="N1297" i="12"/>
  <c r="P1297" i="12" s="1"/>
  <c r="I1297" i="12"/>
  <c r="L1297" i="12" s="1"/>
  <c r="AD1290" i="12"/>
  <c r="O1289" i="12"/>
  <c r="O1288" i="12" s="1"/>
  <c r="O1286" i="12" s="1"/>
  <c r="O1285" i="12" s="1"/>
  <c r="O1283" i="12" s="1"/>
  <c r="J1289" i="12"/>
  <c r="I1289" i="12"/>
  <c r="I1288" i="12" s="1"/>
  <c r="I1286" i="12" s="1"/>
  <c r="I1285" i="12" s="1"/>
  <c r="I1283" i="12" s="1"/>
  <c r="AA1280" i="12"/>
  <c r="AF1277" i="12"/>
  <c r="M1260" i="12"/>
  <c r="L1260" i="12" s="1"/>
  <c r="AI1248" i="12"/>
  <c r="AI1239" i="12" s="1"/>
  <c r="V1240" i="12"/>
  <c r="V1239" i="12" s="1"/>
  <c r="AD1232" i="12"/>
  <c r="V1231" i="12"/>
  <c r="AC1229" i="12"/>
  <c r="AD1229" i="12" s="1"/>
  <c r="AD1225" i="12"/>
  <c r="AA1221" i="12"/>
  <c r="Z1203" i="12"/>
  <c r="R1198" i="12"/>
  <c r="AI1189" i="12"/>
  <c r="AI1188" i="12" s="1"/>
  <c r="S1189" i="12"/>
  <c r="S1188" i="12" s="1"/>
  <c r="S1186" i="12" s="1"/>
  <c r="O1189" i="12"/>
  <c r="O1188" i="12" s="1"/>
  <c r="O1186" i="12" s="1"/>
  <c r="X1176" i="12"/>
  <c r="P1181" i="12"/>
  <c r="K1181" i="12"/>
  <c r="AI1176" i="12"/>
  <c r="AC1180" i="12"/>
  <c r="AD1178" i="12"/>
  <c r="AE1177" i="12"/>
  <c r="AD1171" i="12"/>
  <c r="T1171" i="12"/>
  <c r="AD1147" i="12"/>
  <c r="Y1146" i="12"/>
  <c r="Z1146" i="12" s="1"/>
  <c r="U1146" i="12"/>
  <c r="U1137" i="12" s="1"/>
  <c r="Q1146" i="12"/>
  <c r="Q1137" i="12" s="1"/>
  <c r="Q1135" i="12" s="1"/>
  <c r="Q1134" i="12" s="1"/>
  <c r="Q1132" i="12" s="1"/>
  <c r="K1147" i="12"/>
  <c r="J1146" i="12"/>
  <c r="AC1137" i="12"/>
  <c r="P1139" i="12"/>
  <c r="I1137" i="12"/>
  <c r="I1135" i="12" s="1"/>
  <c r="AD1115" i="12"/>
  <c r="X1113" i="12"/>
  <c r="AA1105" i="12"/>
  <c r="AG1089" i="12"/>
  <c r="Y1089" i="12"/>
  <c r="P1087" i="12"/>
  <c r="K1087" i="12"/>
  <c r="AD1086" i="12"/>
  <c r="AD1085" i="12"/>
  <c r="AC1084" i="12"/>
  <c r="AD1084" i="12" s="1"/>
  <c r="P1062" i="12"/>
  <c r="AE1056" i="12"/>
  <c r="AI1050" i="12"/>
  <c r="AI1035" i="12" s="1"/>
  <c r="AH1035" i="12"/>
  <c r="P1041" i="12"/>
  <c r="K1041" i="12"/>
  <c r="J1039" i="12"/>
  <c r="AH1028" i="12"/>
  <c r="R1028" i="12"/>
  <c r="R1026" i="12" s="1"/>
  <c r="R1013" i="12" s="1"/>
  <c r="R892" i="12" s="1"/>
  <c r="Z1029" i="12"/>
  <c r="Y1028" i="12"/>
  <c r="U1017" i="12"/>
  <c r="U1015" i="12" s="1"/>
  <c r="U1013" i="12" s="1"/>
  <c r="AI995" i="12"/>
  <c r="S894" i="12"/>
  <c r="P881" i="12"/>
  <c r="V874" i="12"/>
  <c r="Z874" i="12" s="1"/>
  <c r="R874" i="12"/>
  <c r="O862" i="12"/>
  <c r="O860" i="12" s="1"/>
  <c r="Y852" i="12"/>
  <c r="X766" i="12"/>
  <c r="X755" i="12" s="1"/>
  <c r="O755" i="12"/>
  <c r="T747" i="12"/>
  <c r="U699" i="12"/>
  <c r="O674" i="12"/>
  <c r="M744" i="12"/>
  <c r="L746" i="12"/>
  <c r="J743" i="12"/>
  <c r="J740" i="12" s="1"/>
  <c r="K744" i="12"/>
  <c r="K743" i="12" s="1"/>
  <c r="K740" i="12" s="1"/>
  <c r="M735" i="12"/>
  <c r="L735" i="12" s="1"/>
  <c r="L736" i="12"/>
  <c r="AA727" i="12"/>
  <c r="AB726" i="12"/>
  <c r="W724" i="12"/>
  <c r="W725" i="12"/>
  <c r="Y726" i="12"/>
  <c r="Z727" i="12"/>
  <c r="AB701" i="12"/>
  <c r="AB702" i="12"/>
  <c r="AA703" i="12"/>
  <c r="W704" i="12"/>
  <c r="W703" i="12"/>
  <c r="S704" i="12"/>
  <c r="S703" i="12"/>
  <c r="S701" i="12" s="1"/>
  <c r="S699" i="12" s="1"/>
  <c r="AF688" i="12"/>
  <c r="AE688" i="12" s="1"/>
  <c r="AE689" i="12"/>
  <c r="U683" i="12"/>
  <c r="U682" i="12"/>
  <c r="U674" i="12" s="1"/>
  <c r="AF664" i="12"/>
  <c r="AE665" i="12"/>
  <c r="AH644" i="12"/>
  <c r="AH645" i="12"/>
  <c r="AI630" i="12"/>
  <c r="AI631" i="12"/>
  <c r="AI623" i="12"/>
  <c r="AI624" i="12"/>
  <c r="AG608" i="12"/>
  <c r="AG607" i="12"/>
  <c r="V595" i="12"/>
  <c r="V596" i="12"/>
  <c r="AA598" i="12"/>
  <c r="AB597" i="12"/>
  <c r="X584" i="12"/>
  <c r="X585" i="12"/>
  <c r="AA577" i="12"/>
  <c r="AB576" i="12"/>
  <c r="AD577" i="12"/>
  <c r="W573" i="12"/>
  <c r="W574" i="12"/>
  <c r="V555" i="12"/>
  <c r="V554" i="12"/>
  <c r="AG554" i="12"/>
  <c r="AG555" i="12"/>
  <c r="L557" i="12"/>
  <c r="M556" i="12"/>
  <c r="W267" i="12"/>
  <c r="W266" i="12"/>
  <c r="AG267" i="12"/>
  <c r="AG266" i="12"/>
  <c r="AB747" i="12"/>
  <c r="AC746" i="12"/>
  <c r="Z711" i="12"/>
  <c r="I674" i="12"/>
  <c r="Q621" i="12"/>
  <c r="Q617" i="12" s="1"/>
  <c r="Q616" i="12" s="1"/>
  <c r="Q615" i="12" s="1"/>
  <c r="Q613" i="12" s="1"/>
  <c r="V624" i="12"/>
  <c r="R621" i="12"/>
  <c r="R617" i="12" s="1"/>
  <c r="R616" i="12" s="1"/>
  <c r="R615" i="12" s="1"/>
  <c r="R613" i="12" s="1"/>
  <c r="AB1080" i="12"/>
  <c r="AA1081" i="12"/>
  <c r="M1023" i="12"/>
  <c r="L1023" i="12" s="1"/>
  <c r="L1024" i="12"/>
  <c r="Z1018" i="12"/>
  <c r="AF1004" i="12"/>
  <c r="AE1005" i="12"/>
  <c r="M992" i="12"/>
  <c r="L993" i="12"/>
  <c r="AB991" i="12"/>
  <c r="AA992" i="12"/>
  <c r="AB986" i="12"/>
  <c r="AA987" i="12"/>
  <c r="J986" i="12"/>
  <c r="K987" i="12"/>
  <c r="AC974" i="12"/>
  <c r="AD975" i="12"/>
  <c r="M974" i="12"/>
  <c r="L975" i="12"/>
  <c r="AC970" i="12"/>
  <c r="AD971" i="12"/>
  <c r="AF969" i="12"/>
  <c r="AE970" i="12"/>
  <c r="AF964" i="12"/>
  <c r="AE965" i="12"/>
  <c r="Y963" i="12"/>
  <c r="Z964" i="12"/>
  <c r="AC957" i="12"/>
  <c r="AD958" i="12"/>
  <c r="M957" i="12"/>
  <c r="L958" i="12"/>
  <c r="AC951" i="12"/>
  <c r="M951" i="12"/>
  <c r="L952" i="12"/>
  <c r="Z947" i="12"/>
  <c r="Y946" i="12"/>
  <c r="K946" i="12"/>
  <c r="J945" i="12"/>
  <c r="AF940" i="12"/>
  <c r="AE941" i="12"/>
  <c r="Y939" i="12"/>
  <c r="Z940" i="12"/>
  <c r="T928" i="12"/>
  <c r="P929" i="12"/>
  <c r="J926" i="12"/>
  <c r="K927" i="12"/>
  <c r="AF921" i="12"/>
  <c r="AE922" i="12"/>
  <c r="Z921" i="12"/>
  <c r="Y920" i="12"/>
  <c r="J905" i="12"/>
  <c r="K906" i="12"/>
  <c r="AE899" i="12"/>
  <c r="AF898" i="12"/>
  <c r="AC897" i="12"/>
  <c r="AC888" i="12"/>
  <c r="AD889" i="12"/>
  <c r="AF887" i="12"/>
  <c r="AE888" i="12"/>
  <c r="AF866" i="12"/>
  <c r="AE867" i="12"/>
  <c r="Y865" i="12"/>
  <c r="AB851" i="12"/>
  <c r="AA852" i="12"/>
  <c r="AD852" i="12"/>
  <c r="V792" i="12"/>
  <c r="AA793" i="12"/>
  <c r="AA2609" i="12" s="1"/>
  <c r="AE756" i="12"/>
  <c r="AF755" i="12"/>
  <c r="AB732" i="12"/>
  <c r="AB731" i="12" s="1"/>
  <c r="AB730" i="12" s="1"/>
  <c r="AD733" i="12"/>
  <c r="AF721" i="12"/>
  <c r="AE722" i="12"/>
  <c r="AG719" i="12"/>
  <c r="AG718" i="12"/>
  <c r="AF710" i="12"/>
  <c r="AE711" i="12"/>
  <c r="AC701" i="12"/>
  <c r="AC702" i="12"/>
  <c r="AD702" i="12" s="1"/>
  <c r="AD703" i="12"/>
  <c r="M701" i="12"/>
  <c r="L703" i="12"/>
  <c r="Y696" i="12"/>
  <c r="Z697" i="12"/>
  <c r="I696" i="12"/>
  <c r="I695" i="12" s="1"/>
  <c r="I693" i="12" s="1"/>
  <c r="K697" i="12"/>
  <c r="V693" i="12"/>
  <c r="AA693" i="12" s="1"/>
  <c r="V694" i="12"/>
  <c r="L684" i="12"/>
  <c r="M682" i="12"/>
  <c r="L682" i="12" s="1"/>
  <c r="X683" i="12"/>
  <c r="X682" i="12"/>
  <c r="AB679" i="12"/>
  <c r="AA680" i="12"/>
  <c r="V678" i="12"/>
  <c r="V676" i="12" s="1"/>
  <c r="V677" i="12"/>
  <c r="AC679" i="12"/>
  <c r="AD680" i="12"/>
  <c r="M679" i="12"/>
  <c r="L680" i="12"/>
  <c r="AH678" i="12"/>
  <c r="AH676" i="12" s="1"/>
  <c r="AH677" i="12"/>
  <c r="J678" i="12"/>
  <c r="K679" i="12"/>
  <c r="AG667" i="12"/>
  <c r="AG668" i="12"/>
  <c r="AB669" i="12"/>
  <c r="AA670" i="12"/>
  <c r="AC663" i="12"/>
  <c r="AD664" i="12"/>
  <c r="AB657" i="12"/>
  <c r="AA658" i="12"/>
  <c r="M650" i="12"/>
  <c r="L650" i="12" s="1"/>
  <c r="L657" i="12"/>
  <c r="X656" i="12"/>
  <c r="X650" i="12"/>
  <c r="X644" i="12"/>
  <c r="X645" i="12"/>
  <c r="P647" i="12"/>
  <c r="T646" i="12"/>
  <c r="Y646" i="12"/>
  <c r="Z647" i="12"/>
  <c r="AF636" i="12"/>
  <c r="AE637" i="12"/>
  <c r="AG613" i="12"/>
  <c r="AG614" i="12"/>
  <c r="AA604" i="12"/>
  <c r="AB603" i="12"/>
  <c r="W601" i="12"/>
  <c r="W602" i="12"/>
  <c r="Y603" i="12"/>
  <c r="Z604" i="12"/>
  <c r="AA593" i="12"/>
  <c r="AD593" i="12"/>
  <c r="AB586" i="12"/>
  <c r="AE586" i="12" s="1"/>
  <c r="AA587" i="12"/>
  <c r="AF585" i="12"/>
  <c r="AF545" i="12"/>
  <c r="AE546" i="12"/>
  <c r="AC410" i="12"/>
  <c r="AH316" i="12"/>
  <c r="AH315" i="12"/>
  <c r="X241" i="12"/>
  <c r="X240" i="12"/>
  <c r="AH241" i="12"/>
  <c r="AH240" i="12"/>
  <c r="V711" i="10"/>
  <c r="R712" i="10"/>
  <c r="N707" i="10"/>
  <c r="O706" i="10"/>
  <c r="N706" i="10" s="1"/>
  <c r="X666" i="10"/>
  <c r="X665" i="10"/>
  <c r="L1721" i="12"/>
  <c r="AA1711" i="12"/>
  <c r="L1687" i="12"/>
  <c r="AE1678" i="12"/>
  <c r="L1650" i="12"/>
  <c r="T1646" i="12"/>
  <c r="AE1631" i="12"/>
  <c r="AE1560" i="12"/>
  <c r="AA1560" i="12"/>
  <c r="T1555" i="12"/>
  <c r="P1555" i="12" s="1"/>
  <c r="L1547" i="12"/>
  <c r="AE1540" i="12"/>
  <c r="AA1540" i="12"/>
  <c r="T1539" i="12"/>
  <c r="L1533" i="12"/>
  <c r="J1508" i="12"/>
  <c r="AE1489" i="12"/>
  <c r="T1486" i="12"/>
  <c r="L1438" i="12"/>
  <c r="AE1392" i="12"/>
  <c r="AA1392" i="12"/>
  <c r="AE1363" i="12"/>
  <c r="AA1363" i="12"/>
  <c r="T1362" i="12"/>
  <c r="P1362" i="12" s="1"/>
  <c r="Y1347" i="12"/>
  <c r="L1335" i="12"/>
  <c r="T1330" i="12"/>
  <c r="P1325" i="12"/>
  <c r="AE1324" i="12"/>
  <c r="AA1324" i="12"/>
  <c r="AE1312" i="12"/>
  <c r="AA1312" i="12"/>
  <c r="T1311" i="12"/>
  <c r="L1298" i="12"/>
  <c r="P1243" i="12"/>
  <c r="AC1198" i="12"/>
  <c r="J1189" i="12"/>
  <c r="P1073" i="12"/>
  <c r="T1071" i="12"/>
  <c r="P1071" i="12" s="1"/>
  <c r="AD1056" i="12"/>
  <c r="T1056" i="12"/>
  <c r="AE1029" i="12"/>
  <c r="AA1024" i="12"/>
  <c r="AG1017" i="12"/>
  <c r="Q1017" i="12"/>
  <c r="Q1015" i="12" s="1"/>
  <c r="Q1013" i="12" s="1"/>
  <c r="I1017" i="12"/>
  <c r="I1015" i="12" s="1"/>
  <c r="P975" i="12"/>
  <c r="P976" i="12"/>
  <c r="P958" i="12"/>
  <c r="P959" i="12"/>
  <c r="P952" i="12"/>
  <c r="P953" i="12"/>
  <c r="V939" i="12"/>
  <c r="V938" i="12" s="1"/>
  <c r="N939" i="12"/>
  <c r="P939" i="12" s="1"/>
  <c r="P905" i="12"/>
  <c r="AA881" i="12"/>
  <c r="AH874" i="12"/>
  <c r="AH865" i="12" s="1"/>
  <c r="X874" i="12"/>
  <c r="X865" i="12" s="1"/>
  <c r="T874" i="12"/>
  <c r="P875" i="12"/>
  <c r="AD874" i="12"/>
  <c r="L874" i="12"/>
  <c r="AA871" i="12"/>
  <c r="V866" i="12"/>
  <c r="R866" i="12"/>
  <c r="AG865" i="12"/>
  <c r="I865" i="12"/>
  <c r="I863" i="12" s="1"/>
  <c r="AA855" i="12"/>
  <c r="V851" i="12"/>
  <c r="AD841" i="12"/>
  <c r="AE835" i="12"/>
  <c r="M799" i="12"/>
  <c r="I799" i="12"/>
  <c r="AI791" i="12"/>
  <c r="AI790" i="12" s="1"/>
  <c r="L791" i="12"/>
  <c r="L790" i="12" s="1"/>
  <c r="L788" i="12" s="1"/>
  <c r="V747" i="12"/>
  <c r="AI707" i="12"/>
  <c r="K704" i="12"/>
  <c r="R699" i="12"/>
  <c r="AD690" i="12"/>
  <c r="AG656" i="12"/>
  <c r="P648" i="12"/>
  <c r="AE633" i="12"/>
  <c r="L626" i="12"/>
  <c r="Y581" i="12"/>
  <c r="AH574" i="12"/>
  <c r="AE563" i="12"/>
  <c r="AD563" i="12"/>
  <c r="P449" i="12"/>
  <c r="AF1018" i="12"/>
  <c r="AE1021" i="12"/>
  <c r="AF1010" i="12"/>
  <c r="AE1011" i="12"/>
  <c r="AB1004" i="12"/>
  <c r="AA1005" i="12"/>
  <c r="AD1004" i="12"/>
  <c r="AC1003" i="12"/>
  <c r="AC985" i="12"/>
  <c r="M985" i="12"/>
  <c r="L986" i="12"/>
  <c r="AD982" i="12"/>
  <c r="AC981" i="12"/>
  <c r="AF980" i="12"/>
  <c r="AE981" i="12"/>
  <c r="Y970" i="12"/>
  <c r="Z971" i="12"/>
  <c r="J969" i="12"/>
  <c r="AB964" i="12"/>
  <c r="AA965" i="12"/>
  <c r="K965" i="12"/>
  <c r="J964" i="12"/>
  <c r="M946" i="12"/>
  <c r="L947" i="12"/>
  <c r="AB945" i="12"/>
  <c r="AA946" i="12"/>
  <c r="AB940" i="12"/>
  <c r="AA941" i="12"/>
  <c r="K941" i="12"/>
  <c r="J940" i="12"/>
  <c r="AC934" i="12"/>
  <c r="AD935" i="12"/>
  <c r="AF933" i="12"/>
  <c r="AE934" i="12"/>
  <c r="M927" i="12"/>
  <c r="L928" i="12"/>
  <c r="AB926" i="12"/>
  <c r="AA927" i="12"/>
  <c r="AB921" i="12"/>
  <c r="AA922" i="12"/>
  <c r="J921" i="12"/>
  <c r="K922" i="12"/>
  <c r="AD905" i="12"/>
  <c r="AC904" i="12"/>
  <c r="M904" i="12"/>
  <c r="L905" i="12"/>
  <c r="AA899" i="12"/>
  <c r="AB898" i="12"/>
  <c r="Y888" i="12"/>
  <c r="Z889" i="12"/>
  <c r="J887" i="12"/>
  <c r="AB866" i="12"/>
  <c r="AA867" i="12"/>
  <c r="K867" i="12"/>
  <c r="J866" i="12"/>
  <c r="AA839" i="12"/>
  <c r="AB838" i="12"/>
  <c r="AF829" i="12"/>
  <c r="AE829" i="12" s="1"/>
  <c r="AE830" i="12"/>
  <c r="P791" i="12"/>
  <c r="Z773" i="12"/>
  <c r="V766" i="12"/>
  <c r="Z766" i="12" s="1"/>
  <c r="AA773" i="12"/>
  <c r="AD765" i="12"/>
  <c r="AA765" i="12"/>
  <c r="AE765" i="12"/>
  <c r="AF736" i="12"/>
  <c r="AE737" i="12"/>
  <c r="P710" i="12"/>
  <c r="T709" i="12"/>
  <c r="AI704" i="12"/>
  <c r="AI703" i="12"/>
  <c r="Y683" i="12"/>
  <c r="Y682" i="12"/>
  <c r="Z684" i="12"/>
  <c r="AB664" i="12"/>
  <c r="AA665" i="12"/>
  <c r="AD665" i="12"/>
  <c r="AF656" i="12"/>
  <c r="AF650" i="12"/>
  <c r="AF651" i="12"/>
  <c r="AE652" i="12"/>
  <c r="V630" i="12"/>
  <c r="V631" i="12"/>
  <c r="AC632" i="12"/>
  <c r="AD636" i="12"/>
  <c r="AG623" i="12"/>
  <c r="AG624" i="12"/>
  <c r="W623" i="12"/>
  <c r="W624" i="12"/>
  <c r="AB625" i="12"/>
  <c r="AA626" i="12"/>
  <c r="AF615" i="12"/>
  <c r="AC597" i="12"/>
  <c r="AD598" i="12"/>
  <c r="P598" i="12"/>
  <c r="T597" i="12"/>
  <c r="AB580" i="12"/>
  <c r="AA581" i="12"/>
  <c r="AE577" i="12"/>
  <c r="AF576" i="12"/>
  <c r="Y574" i="12"/>
  <c r="Z575" i="12"/>
  <c r="AB562" i="12"/>
  <c r="AA563" i="12"/>
  <c r="U560" i="12"/>
  <c r="U561" i="12"/>
  <c r="M560" i="12"/>
  <c r="L560" i="12" s="1"/>
  <c r="L562" i="12"/>
  <c r="X561" i="12"/>
  <c r="X560" i="12"/>
  <c r="X554" i="12"/>
  <c r="X555" i="12"/>
  <c r="T556" i="12"/>
  <c r="P557" i="12"/>
  <c r="Z557" i="12"/>
  <c r="Y556" i="12"/>
  <c r="AC549" i="12"/>
  <c r="AD549" i="12" s="1"/>
  <c r="AD550" i="12"/>
  <c r="Y544" i="12"/>
  <c r="Y543" i="12"/>
  <c r="U544" i="12"/>
  <c r="U543" i="12"/>
  <c r="AH507" i="12"/>
  <c r="AH505" i="12" s="1"/>
  <c r="AH508" i="12"/>
  <c r="AD510" i="12"/>
  <c r="AC509" i="12"/>
  <c r="V498" i="12"/>
  <c r="V497" i="12"/>
  <c r="K500" i="12"/>
  <c r="J499" i="12"/>
  <c r="AF499" i="12"/>
  <c r="AE500" i="12"/>
  <c r="X497" i="12"/>
  <c r="X498" i="12"/>
  <c r="X222" i="12"/>
  <c r="X220" i="12" s="1"/>
  <c r="X223" i="12"/>
  <c r="T224" i="12"/>
  <c r="P225" i="12"/>
  <c r="AG94" i="12"/>
  <c r="AG95" i="12"/>
  <c r="AB96" i="12"/>
  <c r="AA97" i="12"/>
  <c r="W94" i="12"/>
  <c r="W95" i="12"/>
  <c r="P1711" i="12"/>
  <c r="AA1191" i="12"/>
  <c r="P1080" i="12"/>
  <c r="P1081" i="12"/>
  <c r="AD1075" i="12"/>
  <c r="P1074" i="12"/>
  <c r="W1053" i="12"/>
  <c r="W1052" i="12" s="1"/>
  <c r="S1053" i="12"/>
  <c r="S1052" i="12" s="1"/>
  <c r="S1050" i="12" s="1"/>
  <c r="S1035" i="12" s="1"/>
  <c r="O1053" i="12"/>
  <c r="O1052" i="12" s="1"/>
  <c r="O1050" i="12" s="1"/>
  <c r="O1035" i="12" s="1"/>
  <c r="K1053" i="12"/>
  <c r="K1052" i="12" s="1"/>
  <c r="K1050" i="12" s="1"/>
  <c r="AD1047" i="12"/>
  <c r="AE1030" i="12"/>
  <c r="AE1019" i="12"/>
  <c r="AI1017" i="12"/>
  <c r="S1017" i="12"/>
  <c r="S1015" i="12" s="1"/>
  <c r="S1013" i="12" s="1"/>
  <c r="AE998" i="12"/>
  <c r="P986" i="12"/>
  <c r="P987" i="12"/>
  <c r="T974" i="12"/>
  <c r="T957" i="12"/>
  <c r="T951" i="12"/>
  <c r="AG937" i="12"/>
  <c r="Y937" i="12"/>
  <c r="Z937" i="12" s="1"/>
  <c r="Q937" i="12"/>
  <c r="Q894" i="12" s="1"/>
  <c r="Q892" i="12" s="1"/>
  <c r="Q859" i="12" s="1"/>
  <c r="I937" i="12"/>
  <c r="L937" i="12" s="1"/>
  <c r="P906" i="12"/>
  <c r="AE883" i="12"/>
  <c r="AE879" i="12"/>
  <c r="AI865" i="12"/>
  <c r="S865" i="12"/>
  <c r="S863" i="12" s="1"/>
  <c r="S862" i="12" s="1"/>
  <c r="S860" i="12" s="1"/>
  <c r="AC855" i="12"/>
  <c r="AG851" i="12"/>
  <c r="AG834" i="12"/>
  <c r="AF799" i="12"/>
  <c r="V799" i="12"/>
  <c r="Z799" i="12" s="1"/>
  <c r="M791" i="12"/>
  <c r="M790" i="12" s="1"/>
  <c r="M788" i="12" s="1"/>
  <c r="I791" i="12"/>
  <c r="I790" i="12" s="1"/>
  <c r="I788" i="12" s="1"/>
  <c r="AD791" i="12"/>
  <c r="AI747" i="12"/>
  <c r="AI746" i="12" s="1"/>
  <c r="L737" i="12"/>
  <c r="P711" i="12"/>
  <c r="Y710" i="12"/>
  <c r="AA695" i="12"/>
  <c r="S674" i="12"/>
  <c r="AE670" i="12"/>
  <c r="W631" i="12"/>
  <c r="S621" i="12"/>
  <c r="S617" i="12" s="1"/>
  <c r="S616" i="12" s="1"/>
  <c r="S615" i="12" s="1"/>
  <c r="S613" i="12" s="1"/>
  <c r="AH623" i="12"/>
  <c r="AI607" i="12"/>
  <c r="AB592" i="12"/>
  <c r="AG561" i="12"/>
  <c r="P558" i="12"/>
  <c r="I505" i="12"/>
  <c r="I503" i="12" s="1"/>
  <c r="P226" i="12"/>
  <c r="AF841" i="12"/>
  <c r="AE842" i="12"/>
  <c r="AD836" i="12"/>
  <c r="AC835" i="12"/>
  <c r="AD835" i="12" s="1"/>
  <c r="AB829" i="12"/>
  <c r="AA829" i="12" s="1"/>
  <c r="AA830" i="12"/>
  <c r="AA784" i="12"/>
  <c r="AB783" i="12"/>
  <c r="AD784" i="12"/>
  <c r="Z783" i="12"/>
  <c r="Y782" i="12"/>
  <c r="AB736" i="12"/>
  <c r="AA737" i="12"/>
  <c r="AC730" i="12"/>
  <c r="X724" i="12"/>
  <c r="X725" i="12"/>
  <c r="P727" i="12"/>
  <c r="T726" i="12"/>
  <c r="AC726" i="12"/>
  <c r="AD727" i="12"/>
  <c r="AC720" i="12"/>
  <c r="AD721" i="12"/>
  <c r="M709" i="12"/>
  <c r="L710" i="12"/>
  <c r="AF701" i="12"/>
  <c r="AF702" i="12"/>
  <c r="AE702" i="12" s="1"/>
  <c r="AE703" i="12"/>
  <c r="Y701" i="12"/>
  <c r="Y702" i="12"/>
  <c r="Z703" i="12"/>
  <c r="AC696" i="12"/>
  <c r="AD697" i="12"/>
  <c r="T680" i="12"/>
  <c r="P681" i="12"/>
  <c r="Y679" i="12"/>
  <c r="Z680" i="12"/>
  <c r="AH667" i="12"/>
  <c r="AH668" i="12"/>
  <c r="X667" i="12"/>
  <c r="X668" i="12"/>
  <c r="T669" i="12"/>
  <c r="P670" i="12"/>
  <c r="AG661" i="12"/>
  <c r="AG662" i="12"/>
  <c r="M663" i="12"/>
  <c r="L664" i="12"/>
  <c r="J658" i="12"/>
  <c r="K659" i="12"/>
  <c r="AI656" i="12"/>
  <c r="AI650" i="12"/>
  <c r="AB647" i="12"/>
  <c r="AA648" i="12"/>
  <c r="AD648" i="12"/>
  <c r="AG630" i="12"/>
  <c r="AG631" i="12"/>
  <c r="M632" i="12"/>
  <c r="L636" i="12"/>
  <c r="X623" i="12"/>
  <c r="X624" i="12"/>
  <c r="AB616" i="12"/>
  <c r="AE616" i="12" s="1"/>
  <c r="AD617" i="12"/>
  <c r="AC615" i="12"/>
  <c r="AC610" i="12"/>
  <c r="AD611" i="12"/>
  <c r="AB608" i="12"/>
  <c r="AA608" i="12" s="1"/>
  <c r="AB607" i="12"/>
  <c r="AA607" i="12" s="1"/>
  <c r="AA609" i="12"/>
  <c r="AE604" i="12"/>
  <c r="AF603" i="12"/>
  <c r="V601" i="12"/>
  <c r="V602" i="12"/>
  <c r="AI595" i="12"/>
  <c r="AI596" i="12"/>
  <c r="Y597" i="12"/>
  <c r="Z598" i="12"/>
  <c r="AC591" i="12"/>
  <c r="V584" i="12"/>
  <c r="V585" i="12"/>
  <c r="AI584" i="12"/>
  <c r="AI585" i="12"/>
  <c r="AG573" i="12"/>
  <c r="AG574" i="12"/>
  <c r="X573" i="12"/>
  <c r="X574" i="12"/>
  <c r="W561" i="12"/>
  <c r="W560" i="12"/>
  <c r="AB557" i="12"/>
  <c r="AD557" i="12" s="1"/>
  <c r="AA558" i="12"/>
  <c r="AD558" i="12"/>
  <c r="AG544" i="12"/>
  <c r="AG543" i="12"/>
  <c r="Z543" i="12"/>
  <c r="Z544" i="12"/>
  <c r="AD546" i="12"/>
  <c r="AC545" i="12"/>
  <c r="AH532" i="12"/>
  <c r="AH533" i="12"/>
  <c r="Y534" i="12"/>
  <c r="J535" i="12"/>
  <c r="K536" i="12"/>
  <c r="J521" i="12"/>
  <c r="K521" i="12" s="1"/>
  <c r="K523" i="12"/>
  <c r="AF517" i="12"/>
  <c r="AE518" i="12"/>
  <c r="J478" i="12"/>
  <c r="K481" i="12"/>
  <c r="AB478" i="12"/>
  <c r="AA479" i="12"/>
  <c r="V458" i="12"/>
  <c r="AA466" i="12"/>
  <c r="AE462" i="12"/>
  <c r="AF461" i="12"/>
  <c r="X458" i="12"/>
  <c r="X459" i="12"/>
  <c r="P462" i="12"/>
  <c r="T461" i="12"/>
  <c r="AI458" i="12"/>
  <c r="AI459" i="12"/>
  <c r="V419" i="12"/>
  <c r="AA424" i="12"/>
  <c r="AB419" i="12"/>
  <c r="AA419" i="12" s="1"/>
  <c r="AA420" i="12"/>
  <c r="AC402" i="12"/>
  <c r="AD403" i="12"/>
  <c r="AH360" i="12"/>
  <c r="AH361" i="12"/>
  <c r="AC354" i="12"/>
  <c r="AC355" i="12"/>
  <c r="M354" i="12"/>
  <c r="L356" i="12"/>
  <c r="X330" i="12"/>
  <c r="X331" i="12"/>
  <c r="AA283" i="12"/>
  <c r="V282" i="12"/>
  <c r="X267" i="12"/>
  <c r="X266" i="12"/>
  <c r="AI267" i="12"/>
  <c r="AI266" i="12"/>
  <c r="AB224" i="12"/>
  <c r="AD224" i="12" s="1"/>
  <c r="AA225" i="12"/>
  <c r="AH109" i="12"/>
  <c r="AH110" i="12"/>
  <c r="AA113" i="12"/>
  <c r="AD113" i="12"/>
  <c r="W109" i="12"/>
  <c r="W110" i="12"/>
  <c r="X85" i="12"/>
  <c r="X84" i="12"/>
  <c r="T86" i="12"/>
  <c r="P87" i="12"/>
  <c r="AH61" i="12"/>
  <c r="AH60" i="12"/>
  <c r="AF851" i="12"/>
  <c r="AE852" i="12"/>
  <c r="AE839" i="12"/>
  <c r="AF838" i="12"/>
  <c r="AD829" i="12"/>
  <c r="AE794" i="12"/>
  <c r="AH791" i="12"/>
  <c r="X791" i="12"/>
  <c r="X790" i="12" s="1"/>
  <c r="N755" i="12"/>
  <c r="J755" i="12"/>
  <c r="AE752" i="12"/>
  <c r="AH747" i="12"/>
  <c r="AH746" i="12" s="1"/>
  <c r="K737" i="12"/>
  <c r="AH724" i="12"/>
  <c r="AH699" i="12" s="1"/>
  <c r="AH682" i="12"/>
  <c r="V682" i="12"/>
  <c r="V683" i="12"/>
  <c r="Q674" i="12"/>
  <c r="N674" i="12"/>
  <c r="P659" i="12"/>
  <c r="W645" i="12"/>
  <c r="P626" i="12"/>
  <c r="AG507" i="12"/>
  <c r="AA467" i="12"/>
  <c r="O377" i="12"/>
  <c r="O375" i="12" s="1"/>
  <c r="O374" i="12" s="1"/>
  <c r="O372" i="12" s="1"/>
  <c r="AF339" i="12"/>
  <c r="Y303" i="12"/>
  <c r="AI281" i="12"/>
  <c r="W242" i="12"/>
  <c r="AB112" i="12"/>
  <c r="AD783" i="12"/>
  <c r="AC782" i="12"/>
  <c r="AA758" i="12"/>
  <c r="AD758" i="12"/>
  <c r="AE727" i="12"/>
  <c r="AF726" i="12"/>
  <c r="V724" i="12"/>
  <c r="V725" i="12"/>
  <c r="AC709" i="12"/>
  <c r="AD710" i="12"/>
  <c r="X701" i="12"/>
  <c r="X702" i="12"/>
  <c r="P703" i="12"/>
  <c r="T701" i="12"/>
  <c r="O704" i="12"/>
  <c r="O703" i="12"/>
  <c r="O701" i="12" s="1"/>
  <c r="O699" i="12" s="1"/>
  <c r="AG701" i="12"/>
  <c r="AG699" i="12" s="1"/>
  <c r="AG702" i="12"/>
  <c r="T697" i="12"/>
  <c r="P698" i="12"/>
  <c r="J695" i="12"/>
  <c r="AB684" i="12"/>
  <c r="AA685" i="12"/>
  <c r="AG678" i="12"/>
  <c r="AG676" i="12" s="1"/>
  <c r="AG674" i="12" s="1"/>
  <c r="AG677" i="12"/>
  <c r="AF667" i="12"/>
  <c r="AF668" i="12"/>
  <c r="V667" i="12"/>
  <c r="V668" i="12"/>
  <c r="X661" i="12"/>
  <c r="X662" i="12"/>
  <c r="P664" i="12"/>
  <c r="T663" i="12"/>
  <c r="Y663" i="12"/>
  <c r="Z664" i="12"/>
  <c r="V661" i="12"/>
  <c r="V662" i="12"/>
  <c r="W656" i="12"/>
  <c r="W650" i="12"/>
  <c r="AF647" i="12"/>
  <c r="AE648" i="12"/>
  <c r="AC646" i="12"/>
  <c r="AD647" i="12"/>
  <c r="X630" i="12"/>
  <c r="X631" i="12"/>
  <c r="P636" i="12"/>
  <c r="T632" i="12"/>
  <c r="Y632" i="12"/>
  <c r="Z636" i="12"/>
  <c r="AF625" i="12"/>
  <c r="AE626" i="12"/>
  <c r="P625" i="12"/>
  <c r="T623" i="12"/>
  <c r="AF608" i="12"/>
  <c r="AE608" i="12" s="1"/>
  <c r="AF607" i="12"/>
  <c r="AE607" i="12" s="1"/>
  <c r="AE609" i="12"/>
  <c r="AH601" i="12"/>
  <c r="AH602" i="12"/>
  <c r="X601" i="12"/>
  <c r="X602" i="12"/>
  <c r="P604" i="12"/>
  <c r="T603" i="12"/>
  <c r="AC603" i="12"/>
  <c r="AD604" i="12"/>
  <c r="AG595" i="12"/>
  <c r="AG596" i="12"/>
  <c r="W595" i="12"/>
  <c r="W596" i="12"/>
  <c r="AE598" i="12"/>
  <c r="AF597" i="12"/>
  <c r="AH584" i="12"/>
  <c r="AH585" i="12"/>
  <c r="W584" i="12"/>
  <c r="W585" i="12"/>
  <c r="AF580" i="12"/>
  <c r="AE581" i="12"/>
  <c r="AI573" i="12"/>
  <c r="AI574" i="12"/>
  <c r="AC574" i="12"/>
  <c r="P577" i="12"/>
  <c r="T576" i="12"/>
  <c r="J563" i="12"/>
  <c r="K564" i="12"/>
  <c r="AI561" i="12"/>
  <c r="AI560" i="12"/>
  <c r="AF557" i="12"/>
  <c r="AE558" i="12"/>
  <c r="AC556" i="12"/>
  <c r="AF550" i="12"/>
  <c r="AE551" i="12"/>
  <c r="AI544" i="12"/>
  <c r="AI543" i="12"/>
  <c r="X544" i="12"/>
  <c r="X543" i="12"/>
  <c r="T545" i="12"/>
  <c r="P546" i="12"/>
  <c r="AB539" i="12"/>
  <c r="AA540" i="12"/>
  <c r="AD540" i="12"/>
  <c r="AC539" i="12"/>
  <c r="AB532" i="12"/>
  <c r="AB533" i="12"/>
  <c r="AI522" i="12"/>
  <c r="AI521" i="12"/>
  <c r="W522" i="12"/>
  <c r="W521" i="12"/>
  <c r="W507" i="12"/>
  <c r="W508" i="12"/>
  <c r="X507" i="12"/>
  <c r="X508" i="12"/>
  <c r="M497" i="12"/>
  <c r="L497" i="12" s="1"/>
  <c r="L499" i="12"/>
  <c r="W458" i="12"/>
  <c r="W459" i="12"/>
  <c r="AB411" i="12"/>
  <c r="AD411" i="12" s="1"/>
  <c r="AA412" i="12"/>
  <c r="AD412" i="12"/>
  <c r="AF369" i="12"/>
  <c r="AE370" i="12"/>
  <c r="X369" i="12"/>
  <c r="X368" i="12" s="1"/>
  <c r="X367" i="12" s="1"/>
  <c r="X366" i="12"/>
  <c r="T369" i="12"/>
  <c r="T366" i="12"/>
  <c r="P366" i="12" s="1"/>
  <c r="Y368" i="12"/>
  <c r="Z369" i="12"/>
  <c r="AG330" i="12"/>
  <c r="AG331" i="12"/>
  <c r="AI316" i="12"/>
  <c r="AI315" i="12"/>
  <c r="AH280" i="12"/>
  <c r="Z206" i="12"/>
  <c r="Y195" i="12"/>
  <c r="AF117" i="12"/>
  <c r="AE118" i="12"/>
  <c r="V117" i="12"/>
  <c r="Z118" i="12"/>
  <c r="X851" i="12"/>
  <c r="AH851" i="12"/>
  <c r="T838" i="12"/>
  <c r="P838" i="12" s="1"/>
  <c r="AA836" i="12"/>
  <c r="Y834" i="12"/>
  <c r="Y833" i="12" s="1"/>
  <c r="Z833" i="12" s="1"/>
  <c r="AD830" i="12"/>
  <c r="AA821" i="12"/>
  <c r="AE811" i="12"/>
  <c r="AB799" i="12"/>
  <c r="AF791" i="12"/>
  <c r="AE761" i="12"/>
  <c r="W756" i="12"/>
  <c r="W755" i="12" s="1"/>
  <c r="L755" i="12"/>
  <c r="T755" i="12"/>
  <c r="W752" i="12"/>
  <c r="W747" i="12" s="1"/>
  <c r="W746" i="12" s="1"/>
  <c r="AA750" i="12"/>
  <c r="X747" i="12"/>
  <c r="X746" i="12" s="1"/>
  <c r="AF747" i="12"/>
  <c r="K703" i="12"/>
  <c r="AE704" i="12"/>
  <c r="Q699" i="12"/>
  <c r="AB694" i="12"/>
  <c r="K685" i="12"/>
  <c r="W682" i="12"/>
  <c r="W674" i="12" s="1"/>
  <c r="P665" i="12"/>
  <c r="AD653" i="12"/>
  <c r="AH650" i="12"/>
  <c r="P637" i="12"/>
  <c r="O621" i="12"/>
  <c r="O617" i="12" s="1"/>
  <c r="O616" i="12" s="1"/>
  <c r="O615" i="12" s="1"/>
  <c r="O613" i="12" s="1"/>
  <c r="AA599" i="12"/>
  <c r="X596" i="12"/>
  <c r="AC581" i="12"/>
  <c r="P564" i="12"/>
  <c r="AH560" i="12"/>
  <c r="AI554" i="12"/>
  <c r="P547" i="12"/>
  <c r="Q505" i="12"/>
  <c r="V459" i="12"/>
  <c r="P446" i="12"/>
  <c r="AH378" i="12"/>
  <c r="P370" i="12"/>
  <c r="P362" i="12"/>
  <c r="N352" i="12"/>
  <c r="N350" i="12" s="1"/>
  <c r="V535" i="12"/>
  <c r="Z535" i="12" s="1"/>
  <c r="AA536" i="12"/>
  <c r="M534" i="12"/>
  <c r="L535" i="12"/>
  <c r="AI532" i="12"/>
  <c r="AI533" i="12"/>
  <c r="AF524" i="12"/>
  <c r="AE525" i="12"/>
  <c r="X521" i="12"/>
  <c r="X522" i="12"/>
  <c r="P524" i="12"/>
  <c r="T523" i="12"/>
  <c r="Y523" i="12"/>
  <c r="Z524" i="12"/>
  <c r="Y509" i="12"/>
  <c r="J510" i="12"/>
  <c r="K511" i="12"/>
  <c r="AB507" i="12"/>
  <c r="AB508" i="12"/>
  <c r="W497" i="12"/>
  <c r="W498" i="12"/>
  <c r="Y497" i="12"/>
  <c r="Y498" i="12"/>
  <c r="Z499" i="12"/>
  <c r="J486" i="12"/>
  <c r="K486" i="12" s="1"/>
  <c r="K493" i="12"/>
  <c r="AB486" i="12"/>
  <c r="AA487" i="12"/>
  <c r="AG458" i="12"/>
  <c r="AG459" i="12"/>
  <c r="Y458" i="12"/>
  <c r="Z458" i="12" s="1"/>
  <c r="Z460" i="12"/>
  <c r="AC450" i="12"/>
  <c r="AC449" i="12"/>
  <c r="L451" i="12"/>
  <c r="M449" i="12"/>
  <c r="L449" i="12" s="1"/>
  <c r="AB441" i="12"/>
  <c r="AA441" i="12" s="1"/>
  <c r="AA442" i="12"/>
  <c r="N416" i="12"/>
  <c r="N411" i="12" s="1"/>
  <c r="P417" i="12"/>
  <c r="AE413" i="12"/>
  <c r="AF412" i="12"/>
  <c r="AF401" i="12"/>
  <c r="AE402" i="12"/>
  <c r="AA393" i="12"/>
  <c r="AB386" i="12"/>
  <c r="AA386" i="12" s="1"/>
  <c r="Y378" i="12"/>
  <c r="Z379" i="12"/>
  <c r="AC368" i="12"/>
  <c r="AF363" i="12"/>
  <c r="AE364" i="12"/>
  <c r="AD363" i="12"/>
  <c r="AC362" i="12"/>
  <c r="AB356" i="12"/>
  <c r="AA357" i="12"/>
  <c r="P356" i="12"/>
  <c r="T354" i="12"/>
  <c r="AG354" i="12"/>
  <c r="AG355" i="12"/>
  <c r="AH330" i="12"/>
  <c r="AH331" i="12"/>
  <c r="V330" i="12"/>
  <c r="V331" i="12"/>
  <c r="AC327" i="12"/>
  <c r="AD328" i="12"/>
  <c r="AC318" i="12"/>
  <c r="AD319" i="12"/>
  <c r="M318" i="12"/>
  <c r="L319" i="12"/>
  <c r="J317" i="12"/>
  <c r="K318" i="12"/>
  <c r="AA271" i="12"/>
  <c r="AB270" i="12"/>
  <c r="AD271" i="12"/>
  <c r="K269" i="12"/>
  <c r="J268" i="12"/>
  <c r="AF268" i="12"/>
  <c r="U267" i="12"/>
  <c r="U266" i="12"/>
  <c r="AC252" i="12"/>
  <c r="AD252" i="12" s="1"/>
  <c r="AD253" i="12"/>
  <c r="I247" i="12"/>
  <c r="I243" i="12" s="1"/>
  <c r="L248" i="12"/>
  <c r="K248" i="12"/>
  <c r="AB232" i="12"/>
  <c r="AA233" i="12"/>
  <c r="AG231" i="12"/>
  <c r="AG230" i="12"/>
  <c r="AG228" i="12" s="1"/>
  <c r="AF224" i="12"/>
  <c r="AE225" i="12"/>
  <c r="AH184" i="12"/>
  <c r="AH182" i="12" s="1"/>
  <c r="AH185" i="12"/>
  <c r="AH166" i="12"/>
  <c r="AH164" i="12" s="1"/>
  <c r="AH167" i="12"/>
  <c r="AE154" i="12"/>
  <c r="AF151" i="12"/>
  <c r="T150" i="12"/>
  <c r="P151" i="12"/>
  <c r="AD132" i="12"/>
  <c r="AC131" i="12"/>
  <c r="L135" i="12"/>
  <c r="M132" i="12"/>
  <c r="AF131" i="12"/>
  <c r="AE132" i="12"/>
  <c r="X109" i="12"/>
  <c r="X110" i="12"/>
  <c r="L86" i="12"/>
  <c r="M84" i="12"/>
  <c r="L84" i="12" s="1"/>
  <c r="AF69" i="12"/>
  <c r="AE70" i="12"/>
  <c r="AB62" i="12"/>
  <c r="AA63" i="12"/>
  <c r="Y693" i="10"/>
  <c r="Y694" i="10"/>
  <c r="L738" i="12"/>
  <c r="AC737" i="12"/>
  <c r="Y737" i="12"/>
  <c r="J736" i="12"/>
  <c r="J710" i="12"/>
  <c r="P705" i="12"/>
  <c r="L705" i="12"/>
  <c r="AC704" i="12"/>
  <c r="AD704" i="12" s="1"/>
  <c r="Y704" i="12"/>
  <c r="Z704" i="12" s="1"/>
  <c r="AE696" i="12"/>
  <c r="AA696" i="12"/>
  <c r="AE691" i="12"/>
  <c r="AC689" i="12"/>
  <c r="L686" i="12"/>
  <c r="AC685" i="12"/>
  <c r="J684" i="12"/>
  <c r="AA681" i="12"/>
  <c r="AA2601" i="12" s="1"/>
  <c r="P671" i="12"/>
  <c r="J664" i="12"/>
  <c r="AE659" i="12"/>
  <c r="AA659" i="12"/>
  <c r="T658" i="12"/>
  <c r="L658" i="12"/>
  <c r="AC657" i="12"/>
  <c r="Y657" i="12"/>
  <c r="AE654" i="12"/>
  <c r="AA654" i="12"/>
  <c r="AC652" i="12"/>
  <c r="J647" i="12"/>
  <c r="J636" i="12"/>
  <c r="L627" i="12"/>
  <c r="AC626" i="12"/>
  <c r="Y626" i="12"/>
  <c r="J625" i="12"/>
  <c r="J616" i="12"/>
  <c r="AE610" i="12"/>
  <c r="AA610" i="12"/>
  <c r="AE588" i="12"/>
  <c r="AA588" i="12"/>
  <c r="AC586" i="12"/>
  <c r="Y586" i="12"/>
  <c r="AE570" i="12"/>
  <c r="AE564" i="12"/>
  <c r="AA564" i="12"/>
  <c r="T563" i="12"/>
  <c r="L563" i="12"/>
  <c r="AC562" i="12"/>
  <c r="Y562" i="12"/>
  <c r="J557" i="12"/>
  <c r="AH543" i="12"/>
  <c r="AE547" i="12"/>
  <c r="P534" i="12"/>
  <c r="AA529" i="12"/>
  <c r="AE528" i="12"/>
  <c r="P525" i="12"/>
  <c r="AE511" i="12"/>
  <c r="O505" i="12"/>
  <c r="Z500" i="12"/>
  <c r="AH498" i="12"/>
  <c r="AD486" i="12"/>
  <c r="L486" i="12"/>
  <c r="AI477" i="12"/>
  <c r="AD479" i="12"/>
  <c r="W477" i="12"/>
  <c r="S477" i="12"/>
  <c r="S475" i="12" s="1"/>
  <c r="S474" i="12" s="1"/>
  <c r="S472" i="12" s="1"/>
  <c r="O477" i="12"/>
  <c r="O475" i="12" s="1"/>
  <c r="O474" i="12" s="1"/>
  <c r="O472" i="12" s="1"/>
  <c r="AG477" i="12"/>
  <c r="Q477" i="12"/>
  <c r="Q475" i="12" s="1"/>
  <c r="Q474" i="12" s="1"/>
  <c r="Q472" i="12" s="1"/>
  <c r="AE468" i="12"/>
  <c r="U458" i="12"/>
  <c r="Z461" i="12"/>
  <c r="AH458" i="12"/>
  <c r="Z452" i="12"/>
  <c r="AH450" i="12"/>
  <c r="P447" i="12"/>
  <c r="L428" i="12"/>
  <c r="AD420" i="12"/>
  <c r="AD416" i="12"/>
  <c r="P412" i="12"/>
  <c r="I410" i="12"/>
  <c r="I408" i="12" s="1"/>
  <c r="I407" i="12" s="1"/>
  <c r="I405" i="12" s="1"/>
  <c r="V399" i="12"/>
  <c r="P387" i="12"/>
  <c r="AD381" i="12"/>
  <c r="U377" i="12"/>
  <c r="U375" i="12" s="1"/>
  <c r="Q377" i="12"/>
  <c r="Q375" i="12" s="1"/>
  <c r="Q374" i="12" s="1"/>
  <c r="Q372" i="12" s="1"/>
  <c r="K379" i="12"/>
  <c r="Z366" i="12"/>
  <c r="K369" i="12"/>
  <c r="P364" i="12"/>
  <c r="P363" i="12"/>
  <c r="P360" i="12"/>
  <c r="Q352" i="12"/>
  <c r="Q350" i="12" s="1"/>
  <c r="V355" i="12"/>
  <c r="X316" i="12"/>
  <c r="AC309" i="12"/>
  <c r="AD309" i="12" s="1"/>
  <c r="V302" i="12"/>
  <c r="V301" i="12" s="1"/>
  <c r="AE293" i="12"/>
  <c r="AE291" i="12"/>
  <c r="AF288" i="12"/>
  <c r="AB288" i="12"/>
  <c r="AA288" i="12" s="1"/>
  <c r="W288" i="12"/>
  <c r="W281" i="12" s="1"/>
  <c r="AF282" i="12"/>
  <c r="Z270" i="12"/>
  <c r="AE259" i="12"/>
  <c r="P257" i="12"/>
  <c r="J252" i="12"/>
  <c r="K247" i="12"/>
  <c r="AG242" i="12"/>
  <c r="P232" i="12"/>
  <c r="U195" i="12"/>
  <c r="U186" i="12" s="1"/>
  <c r="U184" i="12" s="1"/>
  <c r="U182" i="12" s="1"/>
  <c r="U180" i="12" s="1"/>
  <c r="Q195" i="12"/>
  <c r="Q186" i="12" s="1"/>
  <c r="Q184" i="12" s="1"/>
  <c r="Q182" i="12" s="1"/>
  <c r="Q180" i="12" s="1"/>
  <c r="V187" i="12"/>
  <c r="R187" i="12"/>
  <c r="R186" i="12" s="1"/>
  <c r="R184" i="12" s="1"/>
  <c r="R182" i="12" s="1"/>
  <c r="R180" i="12" s="1"/>
  <c r="P154" i="12"/>
  <c r="K546" i="12"/>
  <c r="J545" i="12"/>
  <c r="AF539" i="12"/>
  <c r="AE540" i="12"/>
  <c r="AC523" i="12"/>
  <c r="AH521" i="12"/>
  <c r="AH522" i="12"/>
  <c r="V510" i="12"/>
  <c r="Z510" i="12" s="1"/>
  <c r="AA511" i="12"/>
  <c r="M509" i="12"/>
  <c r="L510" i="12"/>
  <c r="AI507" i="12"/>
  <c r="AI508" i="12"/>
  <c r="AF507" i="12"/>
  <c r="AF508" i="12"/>
  <c r="AE508" i="12" s="1"/>
  <c r="AE509" i="12"/>
  <c r="AB499" i="12"/>
  <c r="AA500" i="12"/>
  <c r="P499" i="12"/>
  <c r="T497" i="12"/>
  <c r="P497" i="12" s="1"/>
  <c r="AC497" i="12"/>
  <c r="AC498" i="12"/>
  <c r="V486" i="12"/>
  <c r="Z486" i="12" s="1"/>
  <c r="AA493" i="12"/>
  <c r="V478" i="12"/>
  <c r="AA481" i="12"/>
  <c r="AF478" i="12"/>
  <c r="AE479" i="12"/>
  <c r="P478" i="12"/>
  <c r="AD467" i="12"/>
  <c r="AC466" i="12"/>
  <c r="AC458" i="12" s="1"/>
  <c r="AA462" i="12"/>
  <c r="AB461" i="12"/>
  <c r="AB451" i="12"/>
  <c r="AA452" i="12"/>
  <c r="P451" i="12"/>
  <c r="T450" i="12"/>
  <c r="AG450" i="12"/>
  <c r="AG449" i="12"/>
  <c r="J446" i="12"/>
  <c r="K446" i="12" s="1"/>
  <c r="K447" i="12"/>
  <c r="AF419" i="12"/>
  <c r="AE420" i="12"/>
  <c r="Z411" i="12"/>
  <c r="Y410" i="12"/>
  <c r="J411" i="12"/>
  <c r="K412" i="12"/>
  <c r="AG399" i="12"/>
  <c r="AG400" i="12"/>
  <c r="Y402" i="12"/>
  <c r="Z403" i="12"/>
  <c r="U399" i="12"/>
  <c r="U400" i="12"/>
  <c r="AI400" i="12"/>
  <c r="AI399" i="12"/>
  <c r="J386" i="12"/>
  <c r="K386" i="12" s="1"/>
  <c r="K387" i="12"/>
  <c r="M378" i="12"/>
  <c r="L379" i="12"/>
  <c r="AB369" i="12"/>
  <c r="AA370" i="12"/>
  <c r="AG366" i="12"/>
  <c r="AG367" i="12"/>
  <c r="M368" i="12"/>
  <c r="L368" i="12" s="1"/>
  <c r="L369" i="12"/>
  <c r="AH366" i="12"/>
  <c r="AH352" i="12" s="1"/>
  <c r="AH350" i="12" s="1"/>
  <c r="AH367" i="12"/>
  <c r="Y362" i="12"/>
  <c r="J363" i="12"/>
  <c r="K364" i="12"/>
  <c r="W360" i="12"/>
  <c r="W361" i="12"/>
  <c r="X360" i="12"/>
  <c r="X361" i="12"/>
  <c r="AI354" i="12"/>
  <c r="AI355" i="12"/>
  <c r="AI330" i="12"/>
  <c r="AI331" i="12"/>
  <c r="W330" i="12"/>
  <c r="W331" i="12"/>
  <c r="AF317" i="12"/>
  <c r="AE318" i="12"/>
  <c r="Y267" i="12"/>
  <c r="Y266" i="12"/>
  <c r="Z266" i="12" s="1"/>
  <c r="Z268" i="12"/>
  <c r="Z267" i="12" s="1"/>
  <c r="AF252" i="12"/>
  <c r="AE253" i="12"/>
  <c r="V243" i="12"/>
  <c r="V242" i="12" s="1"/>
  <c r="AA244" i="12"/>
  <c r="J243" i="12"/>
  <c r="K244" i="12"/>
  <c r="AI230" i="12"/>
  <c r="AI228" i="12" s="1"/>
  <c r="AI231" i="12"/>
  <c r="V230" i="12"/>
  <c r="V228" i="12" s="1"/>
  <c r="V231" i="12"/>
  <c r="Z231" i="12" s="1"/>
  <c r="T228" i="12"/>
  <c r="P228" i="12" s="1"/>
  <c r="P230" i="12"/>
  <c r="AI185" i="12"/>
  <c r="AI184" i="12"/>
  <c r="AI182" i="12" s="1"/>
  <c r="W185" i="12"/>
  <c r="W184" i="12"/>
  <c r="W182" i="12" s="1"/>
  <c r="AI166" i="12"/>
  <c r="AI164" i="12" s="1"/>
  <c r="AI167" i="12"/>
  <c r="AG148" i="12"/>
  <c r="AG146" i="12" s="1"/>
  <c r="AG149" i="12"/>
  <c r="M148" i="12"/>
  <c r="L150" i="12"/>
  <c r="X148" i="12"/>
  <c r="X146" i="12" s="1"/>
  <c r="X149" i="12"/>
  <c r="AG129" i="12"/>
  <c r="AG127" i="12" s="1"/>
  <c r="AG130" i="12"/>
  <c r="V94" i="12"/>
  <c r="V95" i="12"/>
  <c r="AH84" i="12"/>
  <c r="AH85" i="12"/>
  <c r="K87" i="12"/>
  <c r="J86" i="12"/>
  <c r="AB85" i="12"/>
  <c r="AB84" i="12"/>
  <c r="V66" i="12"/>
  <c r="V67" i="12"/>
  <c r="AC68" i="12"/>
  <c r="M68" i="12"/>
  <c r="L69" i="12"/>
  <c r="AH66" i="12"/>
  <c r="AH67" i="12"/>
  <c r="AI60" i="12"/>
  <c r="AI61" i="12"/>
  <c r="AG15" i="12"/>
  <c r="AG16" i="12"/>
  <c r="Y833" i="10"/>
  <c r="Y835" i="10"/>
  <c r="Y834" i="10" s="1"/>
  <c r="V818" i="10"/>
  <c r="R819" i="10"/>
  <c r="R655" i="10"/>
  <c r="V654" i="10"/>
  <c r="V653" i="10"/>
  <c r="Q654" i="10"/>
  <c r="Q653" i="10"/>
  <c r="Y643" i="10"/>
  <c r="Y642" i="10"/>
  <c r="X498" i="10"/>
  <c r="X497" i="10"/>
  <c r="AC670" i="12"/>
  <c r="Y670" i="12"/>
  <c r="AC633" i="12"/>
  <c r="AD633" i="12" s="1"/>
  <c r="W554" i="12"/>
  <c r="V543" i="12"/>
  <c r="P535" i="12"/>
  <c r="P532" i="12"/>
  <c r="AE529" i="12"/>
  <c r="R505" i="12"/>
  <c r="S505" i="12"/>
  <c r="U505" i="12"/>
  <c r="P500" i="12"/>
  <c r="P479" i="12"/>
  <c r="U474" i="12"/>
  <c r="U472" i="12" s="1"/>
  <c r="N419" i="12"/>
  <c r="P419" i="12" s="1"/>
  <c r="L419" i="12"/>
  <c r="AF416" i="12"/>
  <c r="AE416" i="12" s="1"/>
  <c r="P416" i="12"/>
  <c r="AG410" i="12"/>
  <c r="U410" i="12"/>
  <c r="Q410" i="12"/>
  <c r="Q408" i="12" s="1"/>
  <c r="Q407" i="12" s="1"/>
  <c r="Q405" i="12" s="1"/>
  <c r="O410" i="12"/>
  <c r="O408" i="12" s="1"/>
  <c r="O407" i="12" s="1"/>
  <c r="O405" i="12" s="1"/>
  <c r="AH386" i="12"/>
  <c r="AE381" i="12"/>
  <c r="AB378" i="12"/>
  <c r="AE378" i="12" s="1"/>
  <c r="U352" i="12"/>
  <c r="U350" i="12" s="1"/>
  <c r="AB332" i="12"/>
  <c r="AI309" i="12"/>
  <c r="AI302" i="12" s="1"/>
  <c r="AI301" i="12" s="1"/>
  <c r="AG288" i="12"/>
  <c r="AG281" i="12"/>
  <c r="AC281" i="12"/>
  <c r="X281" i="12"/>
  <c r="Z269" i="12"/>
  <c r="I252" i="12"/>
  <c r="Q242" i="12"/>
  <c r="Q240" i="12" s="1"/>
  <c r="Q239" i="12" s="1"/>
  <c r="Q237" i="12" s="1"/>
  <c r="N180" i="12"/>
  <c r="AH116" i="12"/>
  <c r="S14" i="12"/>
  <c r="R820" i="10"/>
  <c r="AD535" i="12"/>
  <c r="AC534" i="12"/>
  <c r="W532" i="12"/>
  <c r="W533" i="12"/>
  <c r="X532" i="12"/>
  <c r="X533" i="12"/>
  <c r="AB524" i="12"/>
  <c r="AA525" i="12"/>
  <c r="AG521" i="12"/>
  <c r="AG522" i="12"/>
  <c r="M523" i="12"/>
  <c r="L524" i="12"/>
  <c r="V521" i="12"/>
  <c r="V522" i="12"/>
  <c r="AI497" i="12"/>
  <c r="AI498" i="12"/>
  <c r="AG497" i="12"/>
  <c r="AG498" i="12"/>
  <c r="AF486" i="12"/>
  <c r="AE487" i="12"/>
  <c r="Y477" i="12"/>
  <c r="Z467" i="12"/>
  <c r="Y466" i="12"/>
  <c r="Z466" i="12" s="1"/>
  <c r="U450" i="12"/>
  <c r="U449" i="12"/>
  <c r="V446" i="12"/>
  <c r="AA446" i="12" s="1"/>
  <c r="AA447" i="12"/>
  <c r="AF441" i="12"/>
  <c r="AE442" i="12"/>
  <c r="J419" i="12"/>
  <c r="K419" i="12" s="1"/>
  <c r="K424" i="12"/>
  <c r="M410" i="12"/>
  <c r="L411" i="12"/>
  <c r="AB401" i="12"/>
  <c r="AA402" i="12"/>
  <c r="M402" i="12"/>
  <c r="L403" i="12"/>
  <c r="W400" i="12"/>
  <c r="W399" i="12"/>
  <c r="AE393" i="12"/>
  <c r="AF386" i="12"/>
  <c r="V386" i="12"/>
  <c r="Z386" i="12" s="1"/>
  <c r="AA387" i="12"/>
  <c r="AC378" i="12"/>
  <c r="AD379" i="12"/>
  <c r="V363" i="12"/>
  <c r="Z363" i="12" s="1"/>
  <c r="AA364" i="12"/>
  <c r="M362" i="12"/>
  <c r="L363" i="12"/>
  <c r="AI360" i="12"/>
  <c r="AI361" i="12"/>
  <c r="AB360" i="12"/>
  <c r="AB361" i="12"/>
  <c r="W354" i="12"/>
  <c r="W352" i="12" s="1"/>
  <c r="W350" i="12" s="1"/>
  <c r="W355" i="12"/>
  <c r="K357" i="12"/>
  <c r="J356" i="12"/>
  <c r="AF356" i="12"/>
  <c r="AE357" i="12"/>
  <c r="X354" i="12"/>
  <c r="X352" i="12" s="1"/>
  <c r="X350" i="12" s="1"/>
  <c r="X355" i="12"/>
  <c r="Y354" i="12"/>
  <c r="Y355" i="12"/>
  <c r="Z355" i="12" s="1"/>
  <c r="Z356" i="12"/>
  <c r="AF326" i="12"/>
  <c r="AE327" i="12"/>
  <c r="AA320" i="12"/>
  <c r="V319" i="12"/>
  <c r="AA319" i="12" s="1"/>
  <c r="AA318" i="12" s="1"/>
  <c r="AA317" i="12" s="1"/>
  <c r="Z320" i="12"/>
  <c r="AG315" i="12"/>
  <c r="AG316" i="12"/>
  <c r="Y318" i="12"/>
  <c r="Y317" i="12" s="1"/>
  <c r="AA286" i="12"/>
  <c r="AE286" i="12"/>
  <c r="AD286" i="12"/>
  <c r="AC267" i="12"/>
  <c r="AC266" i="12"/>
  <c r="L268" i="12"/>
  <c r="M266" i="12"/>
  <c r="L266" i="12" s="1"/>
  <c r="Y252" i="12"/>
  <c r="Z253" i="12"/>
  <c r="M242" i="12"/>
  <c r="W230" i="12"/>
  <c r="W228" i="12" s="1"/>
  <c r="W231" i="12"/>
  <c r="K233" i="12"/>
  <c r="J232" i="12"/>
  <c r="AF232" i="12"/>
  <c r="AE233" i="12"/>
  <c r="X230" i="12"/>
  <c r="X228" i="12" s="1"/>
  <c r="X231" i="12"/>
  <c r="AD226" i="12"/>
  <c r="AA226" i="12"/>
  <c r="AG222" i="12"/>
  <c r="AG220" i="12" s="1"/>
  <c r="AG223" i="12"/>
  <c r="AB209" i="12"/>
  <c r="AA209" i="12" s="1"/>
  <c r="AA210" i="12"/>
  <c r="AA178" i="12"/>
  <c r="AE178" i="12"/>
  <c r="AD178" i="12"/>
  <c r="V166" i="12"/>
  <c r="V164" i="12" s="1"/>
  <c r="V167" i="12"/>
  <c r="J169" i="12"/>
  <c r="K170" i="12"/>
  <c r="Y106" i="12"/>
  <c r="Z106" i="12" s="1"/>
  <c r="Z107" i="12"/>
  <c r="U85" i="12"/>
  <c r="U84" i="12"/>
  <c r="W55" i="12"/>
  <c r="W54" i="12"/>
  <c r="X15" i="12"/>
  <c r="X16" i="12"/>
  <c r="V866" i="10"/>
  <c r="R867" i="10"/>
  <c r="Y863" i="10"/>
  <c r="Y860" i="10" s="1"/>
  <c r="Y858" i="10" s="1"/>
  <c r="Y864" i="10"/>
  <c r="L866" i="10"/>
  <c r="M867" i="10"/>
  <c r="N866" i="10"/>
  <c r="O865" i="10"/>
  <c r="AD681" i="12"/>
  <c r="AD552" i="12"/>
  <c r="AD551" i="12"/>
  <c r="AH544" i="12"/>
  <c r="W543" i="12"/>
  <c r="Y540" i="12"/>
  <c r="P536" i="12"/>
  <c r="N505" i="12"/>
  <c r="P510" i="12"/>
  <c r="AD500" i="12"/>
  <c r="AD495" i="12"/>
  <c r="X486" i="12"/>
  <c r="X477" i="12" s="1"/>
  <c r="T486" i="12"/>
  <c r="P487" i="12"/>
  <c r="AE483" i="12"/>
  <c r="I477" i="12"/>
  <c r="I475" i="12" s="1"/>
  <c r="I474" i="12" s="1"/>
  <c r="I472" i="12" s="1"/>
  <c r="I471" i="12" s="1"/>
  <c r="AI452" i="12"/>
  <c r="AI451" i="12" s="1"/>
  <c r="AD452" i="12"/>
  <c r="P442" i="12"/>
  <c r="P437" i="12"/>
  <c r="P428" i="12"/>
  <c r="AH419" i="12"/>
  <c r="P420" i="12"/>
  <c r="P414" i="12"/>
  <c r="AH411" i="12"/>
  <c r="AH410" i="12" s="1"/>
  <c r="R411" i="12"/>
  <c r="R410" i="12" s="1"/>
  <c r="R408" i="12" s="1"/>
  <c r="R407" i="12" s="1"/>
  <c r="R405" i="12" s="1"/>
  <c r="AI410" i="12"/>
  <c r="S410" i="12"/>
  <c r="S408" i="12" s="1"/>
  <c r="S407" i="12" s="1"/>
  <c r="S405" i="12" s="1"/>
  <c r="P386" i="12"/>
  <c r="P393" i="12"/>
  <c r="P391" i="12"/>
  <c r="R386" i="12"/>
  <c r="R377" i="12" s="1"/>
  <c r="R375" i="12" s="1"/>
  <c r="R374" i="12" s="1"/>
  <c r="R372" i="12" s="1"/>
  <c r="L386" i="12"/>
  <c r="P383" i="12"/>
  <c r="V378" i="12"/>
  <c r="V377" i="12" s="1"/>
  <c r="AD370" i="12"/>
  <c r="S352" i="12"/>
  <c r="S350" i="12" s="1"/>
  <c r="P357" i="12"/>
  <c r="AD340" i="12"/>
  <c r="AB339" i="12"/>
  <c r="AE334" i="12"/>
  <c r="AF333" i="12"/>
  <c r="AG303" i="12"/>
  <c r="AG302" i="12" s="1"/>
  <c r="AG301" i="12" s="1"/>
  <c r="X302" i="12"/>
  <c r="X301" i="12" s="1"/>
  <c r="AB285" i="12"/>
  <c r="AD285" i="12" s="1"/>
  <c r="Y281" i="12"/>
  <c r="AD270" i="12"/>
  <c r="T269" i="12"/>
  <c r="AH267" i="12"/>
  <c r="K264" i="12"/>
  <c r="U252" i="12"/>
  <c r="U242" i="12" s="1"/>
  <c r="K253" i="12"/>
  <c r="R243" i="12"/>
  <c r="R242" i="12" s="1"/>
  <c r="R240" i="12" s="1"/>
  <c r="R239" i="12" s="1"/>
  <c r="R237" i="12" s="1"/>
  <c r="R236" i="12" s="1"/>
  <c r="P233" i="12"/>
  <c r="Z232" i="12"/>
  <c r="Y230" i="12"/>
  <c r="AB177" i="12"/>
  <c r="AA177" i="12" s="1"/>
  <c r="AI73" i="12"/>
  <c r="AI72" i="12" s="1"/>
  <c r="X74" i="12"/>
  <c r="X73" i="12" s="1"/>
  <c r="X72" i="12" s="1"/>
  <c r="T74" i="12"/>
  <c r="J73" i="12"/>
  <c r="J72" i="12" s="1"/>
  <c r="O14" i="12"/>
  <c r="AB217" i="12"/>
  <c r="AD217" i="12" s="1"/>
  <c r="AA218" i="12"/>
  <c r="AG214" i="12"/>
  <c r="AG212" i="12" s="1"/>
  <c r="AG215" i="12"/>
  <c r="M216" i="12"/>
  <c r="L217" i="12"/>
  <c r="V214" i="12"/>
  <c r="V212" i="12" s="1"/>
  <c r="V215" i="12"/>
  <c r="J195" i="12"/>
  <c r="K198" i="12"/>
  <c r="AB195" i="12"/>
  <c r="AA195" i="12" s="1"/>
  <c r="AA196" i="12"/>
  <c r="AF187" i="12"/>
  <c r="AE188" i="12"/>
  <c r="P187" i="12"/>
  <c r="T186" i="12"/>
  <c r="Y186" i="12"/>
  <c r="Z187" i="12"/>
  <c r="P172" i="12"/>
  <c r="T170" i="12"/>
  <c r="AC168" i="12"/>
  <c r="M168" i="12"/>
  <c r="L169" i="12"/>
  <c r="AB150" i="12"/>
  <c r="AF142" i="12"/>
  <c r="AE143" i="12"/>
  <c r="AG115" i="12"/>
  <c r="AG116" i="12"/>
  <c r="AB117" i="12"/>
  <c r="AA118" i="12"/>
  <c r="W115" i="12"/>
  <c r="W116" i="12"/>
  <c r="AI109" i="12"/>
  <c r="AI110" i="12"/>
  <c r="AC111" i="12"/>
  <c r="M106" i="12"/>
  <c r="L107" i="12"/>
  <c r="AC97" i="12"/>
  <c r="AD98" i="12"/>
  <c r="I97" i="12"/>
  <c r="K97" i="12" s="1"/>
  <c r="K98" i="12"/>
  <c r="J96" i="12"/>
  <c r="AA91" i="12"/>
  <c r="AA87" i="12" s="1"/>
  <c r="AA86" i="12" s="1"/>
  <c r="AD91" i="12"/>
  <c r="AF86" i="12"/>
  <c r="AE87" i="12"/>
  <c r="AG66" i="12"/>
  <c r="AG67" i="12"/>
  <c r="AC62" i="12"/>
  <c r="AD63" i="12"/>
  <c r="X55" i="12"/>
  <c r="X54" i="12"/>
  <c r="AG48" i="12"/>
  <c r="AG49" i="12"/>
  <c r="W48" i="12"/>
  <c r="W49" i="12"/>
  <c r="AH15" i="12"/>
  <c r="AH16" i="12"/>
  <c r="AE25" i="12"/>
  <c r="AF18" i="12"/>
  <c r="T17" i="12"/>
  <c r="P18" i="12"/>
  <c r="N854" i="10"/>
  <c r="O853" i="10"/>
  <c r="N853" i="10" s="1"/>
  <c r="X739" i="10"/>
  <c r="X740" i="10"/>
  <c r="N743" i="10"/>
  <c r="O742" i="10"/>
  <c r="N711" i="10"/>
  <c r="O709" i="10"/>
  <c r="V644" i="10"/>
  <c r="R645" i="10"/>
  <c r="L536" i="10"/>
  <c r="M537" i="10"/>
  <c r="T466" i="12"/>
  <c r="P466" i="12" s="1"/>
  <c r="AC339" i="12"/>
  <c r="Y339" i="12"/>
  <c r="AC333" i="12"/>
  <c r="Y333" i="12"/>
  <c r="AB303" i="12"/>
  <c r="P272" i="12"/>
  <c r="P249" i="12"/>
  <c r="AB243" i="12"/>
  <c r="AD243" i="12" s="1"/>
  <c r="AD225" i="12"/>
  <c r="AH222" i="12"/>
  <c r="AH220" i="12" s="1"/>
  <c r="AD210" i="12"/>
  <c r="K202" i="12"/>
  <c r="M195" i="12"/>
  <c r="AD192" i="12"/>
  <c r="X186" i="12"/>
  <c r="P188" i="12"/>
  <c r="I186" i="12"/>
  <c r="I184" i="12" s="1"/>
  <c r="I182" i="12" s="1"/>
  <c r="I180" i="12" s="1"/>
  <c r="P175" i="12"/>
  <c r="L151" i="12"/>
  <c r="O132" i="12"/>
  <c r="O131" i="12" s="1"/>
  <c r="O129" i="12" s="1"/>
  <c r="O127" i="12" s="1"/>
  <c r="S132" i="12"/>
  <c r="S131" i="12" s="1"/>
  <c r="S129" i="12" s="1"/>
  <c r="S127" i="12" s="1"/>
  <c r="AD118" i="12"/>
  <c r="AF111" i="12"/>
  <c r="U74" i="12"/>
  <c r="U73" i="12" s="1"/>
  <c r="U72" i="12" s="1"/>
  <c r="Q74" i="12"/>
  <c r="Q73" i="12" s="1"/>
  <c r="Q72" i="12" s="1"/>
  <c r="AF74" i="12"/>
  <c r="I51" i="12"/>
  <c r="I50" i="12" s="1"/>
  <c r="I48" i="12" s="1"/>
  <c r="P25" i="12"/>
  <c r="P736" i="10"/>
  <c r="S703" i="10"/>
  <c r="J522" i="10"/>
  <c r="J518" i="10" s="1"/>
  <c r="J517" i="10" s="1"/>
  <c r="J516" i="10" s="1"/>
  <c r="J514" i="10" s="1"/>
  <c r="AI222" i="12"/>
  <c r="AI220" i="12" s="1"/>
  <c r="AI223" i="12"/>
  <c r="K225" i="12"/>
  <c r="J224" i="12"/>
  <c r="Y222" i="12"/>
  <c r="Y223" i="12"/>
  <c r="Z223" i="12" s="1"/>
  <c r="Z224" i="12"/>
  <c r="J214" i="12"/>
  <c r="K216" i="12"/>
  <c r="AF209" i="12"/>
  <c r="AE209" i="12" s="1"/>
  <c r="AE210" i="12"/>
  <c r="V195" i="12"/>
  <c r="AA198" i="12"/>
  <c r="AC186" i="12"/>
  <c r="L187" i="12"/>
  <c r="W166" i="12"/>
  <c r="W164" i="12" s="1"/>
  <c r="W167" i="12"/>
  <c r="AI129" i="12"/>
  <c r="AI127" i="12" s="1"/>
  <c r="AI130" i="12"/>
  <c r="V132" i="12"/>
  <c r="V131" i="12" s="1"/>
  <c r="AA139" i="12"/>
  <c r="X129" i="12"/>
  <c r="X127" i="12" s="1"/>
  <c r="X130" i="12"/>
  <c r="AC115" i="12"/>
  <c r="AC116" i="12"/>
  <c r="X115" i="12"/>
  <c r="X116" i="12"/>
  <c r="Z112" i="12"/>
  <c r="Y111" i="12"/>
  <c r="Y97" i="12"/>
  <c r="Z98" i="12"/>
  <c r="AB69" i="12"/>
  <c r="AA70" i="12"/>
  <c r="AD70" i="12"/>
  <c r="AE65" i="12"/>
  <c r="AF64" i="12"/>
  <c r="Y61" i="12"/>
  <c r="Y60" i="12"/>
  <c r="U61" i="12"/>
  <c r="U60" i="12"/>
  <c r="AG54" i="12"/>
  <c r="AG55" i="12"/>
  <c r="AD57" i="12"/>
  <c r="AC56" i="12"/>
  <c r="Z57" i="12"/>
  <c r="Y56" i="12"/>
  <c r="U54" i="12"/>
  <c r="U55" i="12"/>
  <c r="AI55" i="12"/>
  <c r="AI54" i="12"/>
  <c r="AH48" i="12"/>
  <c r="AH49" i="12"/>
  <c r="V48" i="12"/>
  <c r="V49" i="12"/>
  <c r="AB33" i="12"/>
  <c r="AA34" i="12"/>
  <c r="M15" i="12"/>
  <c r="L17" i="12"/>
  <c r="R844" i="10"/>
  <c r="V843" i="10"/>
  <c r="O732" i="10"/>
  <c r="N733" i="10"/>
  <c r="K732" i="10"/>
  <c r="K731" i="10" s="1"/>
  <c r="K703" i="10" s="1"/>
  <c r="M733" i="10"/>
  <c r="W718" i="10"/>
  <c r="W717" i="10"/>
  <c r="L719" i="10"/>
  <c r="M720" i="10"/>
  <c r="Y682" i="10"/>
  <c r="Y681" i="10"/>
  <c r="W515" i="10"/>
  <c r="W514" i="10"/>
  <c r="Y478" i="10"/>
  <c r="Y477" i="10"/>
  <c r="V444" i="10"/>
  <c r="R445" i="10"/>
  <c r="AE541" i="12"/>
  <c r="AA541" i="12"/>
  <c r="L536" i="12"/>
  <c r="AC529" i="12"/>
  <c r="Y529" i="12"/>
  <c r="L511" i="12"/>
  <c r="AD462" i="12"/>
  <c r="Z462" i="12"/>
  <c r="L447" i="12"/>
  <c r="AE438" i="12"/>
  <c r="AE433" i="12"/>
  <c r="Z430" i="12"/>
  <c r="K430" i="12"/>
  <c r="AD413" i="12"/>
  <c r="L412" i="12"/>
  <c r="AE403" i="12"/>
  <c r="AA403" i="12"/>
  <c r="T402" i="12"/>
  <c r="L387" i="12"/>
  <c r="AE379" i="12"/>
  <c r="AA379" i="12"/>
  <c r="T378" i="12"/>
  <c r="Z370" i="12"/>
  <c r="I366" i="12"/>
  <c r="L366" i="12" s="1"/>
  <c r="AE365" i="12"/>
  <c r="L364" i="12"/>
  <c r="AE319" i="12"/>
  <c r="T318" i="12"/>
  <c r="AE310" i="12"/>
  <c r="AA310" i="12"/>
  <c r="Z271" i="12"/>
  <c r="AA253" i="12"/>
  <c r="T252" i="12"/>
  <c r="P250" i="12"/>
  <c r="L244" i="12"/>
  <c r="AE226" i="12"/>
  <c r="AD218" i="12"/>
  <c r="P210" i="12"/>
  <c r="L202" i="12"/>
  <c r="AD196" i="12"/>
  <c r="AE192" i="12"/>
  <c r="P190" i="12"/>
  <c r="T177" i="12"/>
  <c r="P177" i="12" s="1"/>
  <c r="AF170" i="12"/>
  <c r="X169" i="12"/>
  <c r="X168" i="12" s="1"/>
  <c r="N169" i="12"/>
  <c r="N168" i="12" s="1"/>
  <c r="N166" i="12" s="1"/>
  <c r="N164" i="12" s="1"/>
  <c r="P160" i="12"/>
  <c r="AH151" i="12"/>
  <c r="AH150" i="12" s="1"/>
  <c r="V151" i="12"/>
  <c r="V150" i="12" s="1"/>
  <c r="R151" i="12"/>
  <c r="R150" i="12" s="1"/>
  <c r="R148" i="12" s="1"/>
  <c r="R146" i="12" s="1"/>
  <c r="N151" i="12"/>
  <c r="N150" i="12" s="1"/>
  <c r="N148" i="12" s="1"/>
  <c r="N146" i="12" s="1"/>
  <c r="Y131" i="12"/>
  <c r="AE113" i="12"/>
  <c r="AI97" i="12"/>
  <c r="AI96" i="12" s="1"/>
  <c r="U97" i="12"/>
  <c r="U96" i="12" s="1"/>
  <c r="U94" i="12" s="1"/>
  <c r="Q97" i="12"/>
  <c r="Q96" i="12" s="1"/>
  <c r="Q94" i="12" s="1"/>
  <c r="N96" i="12"/>
  <c r="N94" i="12" s="1"/>
  <c r="N14" i="12" s="1"/>
  <c r="V85" i="12"/>
  <c r="AA81" i="12"/>
  <c r="AG74" i="12"/>
  <c r="AG73" i="12" s="1"/>
  <c r="AG72" i="12" s="1"/>
  <c r="V73" i="12"/>
  <c r="V72" i="12" s="1"/>
  <c r="R73" i="12"/>
  <c r="R72" i="12" s="1"/>
  <c r="M74" i="12"/>
  <c r="J68" i="12"/>
  <c r="J63" i="12"/>
  <c r="J736" i="10"/>
  <c r="J701" i="10" s="1"/>
  <c r="J699" i="10" s="1"/>
  <c r="J442" i="10"/>
  <c r="J440" i="10" s="1"/>
  <c r="J438" i="10" s="1"/>
  <c r="R446" i="10"/>
  <c r="W222" i="12"/>
  <c r="W220" i="12" s="1"/>
  <c r="W223" i="12"/>
  <c r="AC222" i="12"/>
  <c r="AC223" i="12"/>
  <c r="M222" i="12"/>
  <c r="L224" i="12"/>
  <c r="AF217" i="12"/>
  <c r="AE218" i="12"/>
  <c r="X214" i="12"/>
  <c r="X212" i="12" s="1"/>
  <c r="X215" i="12"/>
  <c r="P217" i="12"/>
  <c r="T216" i="12"/>
  <c r="Y216" i="12"/>
  <c r="Z217" i="12"/>
  <c r="AF195" i="12"/>
  <c r="AE196" i="12"/>
  <c r="AB187" i="12"/>
  <c r="AD187" i="12" s="1"/>
  <c r="AA188" i="12"/>
  <c r="AA170" i="12"/>
  <c r="Z169" i="12"/>
  <c r="Y168" i="12"/>
  <c r="AI148" i="12"/>
  <c r="AI146" i="12" s="1"/>
  <c r="AI149" i="12"/>
  <c r="W148" i="12"/>
  <c r="W146" i="12" s="1"/>
  <c r="W149" i="12"/>
  <c r="W129" i="12"/>
  <c r="W127" i="12" s="1"/>
  <c r="W130" i="12"/>
  <c r="K132" i="12"/>
  <c r="J131" i="12"/>
  <c r="AB131" i="12"/>
  <c r="AE124" i="12"/>
  <c r="AF123" i="12"/>
  <c r="AI115" i="12"/>
  <c r="AI116" i="12"/>
  <c r="Y115" i="12"/>
  <c r="Y116" i="12"/>
  <c r="AG109" i="12"/>
  <c r="AG110" i="12"/>
  <c r="V109" i="12"/>
  <c r="V110" i="12"/>
  <c r="AC106" i="12"/>
  <c r="AD106" i="12" s="1"/>
  <c r="AD107" i="12"/>
  <c r="I106" i="12"/>
  <c r="K107" i="12"/>
  <c r="AF96" i="12"/>
  <c r="AE97" i="12"/>
  <c r="M97" i="12"/>
  <c r="L98" i="12"/>
  <c r="AA77" i="12"/>
  <c r="AE77" i="12"/>
  <c r="X66" i="12"/>
  <c r="X67" i="12"/>
  <c r="P69" i="12"/>
  <c r="T68" i="12"/>
  <c r="Y68" i="12"/>
  <c r="Z69" i="12"/>
  <c r="AG61" i="12"/>
  <c r="AG60" i="12"/>
  <c r="V61" i="12"/>
  <c r="V60" i="12"/>
  <c r="AF55" i="12"/>
  <c r="AF54" i="12"/>
  <c r="AB51" i="12"/>
  <c r="AA52" i="12"/>
  <c r="M50" i="12"/>
  <c r="L51" i="12"/>
  <c r="Y50" i="12"/>
  <c r="Z51" i="12"/>
  <c r="J33" i="12"/>
  <c r="K34" i="12"/>
  <c r="W777" i="10"/>
  <c r="K779" i="10"/>
  <c r="K778" i="10" s="1"/>
  <c r="K771" i="10" s="1"/>
  <c r="N780" i="10"/>
  <c r="V766" i="10"/>
  <c r="R767" i="10"/>
  <c r="X757" i="10"/>
  <c r="X758" i="10"/>
  <c r="L752" i="10"/>
  <c r="Y606" i="10"/>
  <c r="Y605" i="10"/>
  <c r="Y498" i="10"/>
  <c r="Y497" i="10"/>
  <c r="L430" i="12"/>
  <c r="Z225" i="12"/>
  <c r="P218" i="12"/>
  <c r="AD209" i="12"/>
  <c r="P195" i="12"/>
  <c r="P196" i="12"/>
  <c r="AG186" i="12"/>
  <c r="Z117" i="12"/>
  <c r="K106" i="12"/>
  <c r="AH96" i="12"/>
  <c r="R96" i="12"/>
  <c r="R94" i="12" s="1"/>
  <c r="AE91" i="12"/>
  <c r="AG87" i="12"/>
  <c r="AG86" i="12" s="1"/>
  <c r="Z85" i="12"/>
  <c r="AI84" i="12"/>
  <c r="P81" i="12"/>
  <c r="AH74" i="12"/>
  <c r="AH73" i="12" s="1"/>
  <c r="AH72" i="12" s="1"/>
  <c r="AB74" i="12"/>
  <c r="N73" i="12"/>
  <c r="N72" i="12" s="1"/>
  <c r="I73" i="12"/>
  <c r="I72" i="12" s="1"/>
  <c r="P70" i="12"/>
  <c r="Z62" i="12"/>
  <c r="Z61" i="12" s="1"/>
  <c r="X812" i="10"/>
  <c r="T812" i="10"/>
  <c r="T736" i="10" s="1"/>
  <c r="U736" i="10"/>
  <c r="X675" i="10"/>
  <c r="AC34" i="12"/>
  <c r="AD35" i="12"/>
  <c r="AI15" i="12"/>
  <c r="AI16" i="12"/>
  <c r="L854" i="10"/>
  <c r="M855" i="10"/>
  <c r="W840" i="10"/>
  <c r="W842" i="10"/>
  <c r="W841" i="10" s="1"/>
  <c r="Y840" i="10"/>
  <c r="Y842" i="10"/>
  <c r="Y841" i="10" s="1"/>
  <c r="V833" i="10"/>
  <c r="R833" i="10" s="1"/>
  <c r="V835" i="10"/>
  <c r="R835" i="10" s="1"/>
  <c r="R836" i="10"/>
  <c r="X833" i="10"/>
  <c r="X835" i="10"/>
  <c r="X834" i="10" s="1"/>
  <c r="O818" i="10"/>
  <c r="N819" i="10"/>
  <c r="O771" i="10"/>
  <c r="W764" i="10"/>
  <c r="W763" i="10"/>
  <c r="V759" i="10"/>
  <c r="R760" i="10"/>
  <c r="N754" i="10"/>
  <c r="O753" i="10"/>
  <c r="L731" i="10"/>
  <c r="M732" i="10"/>
  <c r="N721" i="10"/>
  <c r="O720" i="10"/>
  <c r="W688" i="10"/>
  <c r="W687" i="10"/>
  <c r="P665" i="10"/>
  <c r="R665" i="10" s="1"/>
  <c r="R667" i="10"/>
  <c r="L649" i="10"/>
  <c r="M650" i="10"/>
  <c r="W631" i="10"/>
  <c r="W632" i="10"/>
  <c r="W599" i="10"/>
  <c r="W600" i="10"/>
  <c r="L556" i="10"/>
  <c r="M557" i="10"/>
  <c r="N557" i="10"/>
  <c r="O556" i="10"/>
  <c r="Y555" i="10"/>
  <c r="Y554" i="10"/>
  <c r="Y522" i="10" s="1"/>
  <c r="W490" i="10"/>
  <c r="W489" i="10"/>
  <c r="W442" i="10" s="1"/>
  <c r="X316" i="10"/>
  <c r="X315" i="10" s="1"/>
  <c r="X313" i="10" s="1"/>
  <c r="X317" i="10"/>
  <c r="AE179" i="12"/>
  <c r="AC151" i="12"/>
  <c r="Y151" i="12"/>
  <c r="AC143" i="12"/>
  <c r="Y143" i="12"/>
  <c r="Y142" i="12" s="1"/>
  <c r="Y141" i="12" s="1"/>
  <c r="AE119" i="12"/>
  <c r="AA119" i="12"/>
  <c r="L88" i="12"/>
  <c r="AC87" i="12"/>
  <c r="Y87" i="12"/>
  <c r="Y86" i="12" s="1"/>
  <c r="AA82" i="12"/>
  <c r="P75" i="12"/>
  <c r="L75" i="12"/>
  <c r="AA64" i="12"/>
  <c r="M63" i="12"/>
  <c r="AD52" i="12"/>
  <c r="K51" i="12"/>
  <c r="J50" i="12"/>
  <c r="AD19" i="12"/>
  <c r="AB18" i="12"/>
  <c r="L18" i="12"/>
  <c r="W803" i="10"/>
  <c r="W802" i="10" s="1"/>
  <c r="S779" i="10"/>
  <c r="S778" i="10" s="1"/>
  <c r="S771" i="10" s="1"/>
  <c r="Y779" i="10"/>
  <c r="Y778" i="10" s="1"/>
  <c r="I736" i="10"/>
  <c r="X764" i="10"/>
  <c r="M760" i="10"/>
  <c r="R742" i="10"/>
  <c r="Y717" i="10"/>
  <c r="I703" i="10"/>
  <c r="I701" i="10" s="1"/>
  <c r="I699" i="10" s="1"/>
  <c r="T703" i="10"/>
  <c r="W693" i="10"/>
  <c r="U500" i="10"/>
  <c r="U499" i="10" s="1"/>
  <c r="U497" i="10" s="1"/>
  <c r="R491" i="10"/>
  <c r="P63" i="12"/>
  <c r="T62" i="12"/>
  <c r="AF51" i="12"/>
  <c r="AE52" i="12"/>
  <c r="P51" i="12"/>
  <c r="T50" i="12"/>
  <c r="AC48" i="12"/>
  <c r="AC49" i="12"/>
  <c r="AF33" i="12"/>
  <c r="AE34" i="12"/>
  <c r="AH31" i="12"/>
  <c r="AH32" i="12"/>
  <c r="AI31" i="12"/>
  <c r="AI32" i="12"/>
  <c r="W864" i="10"/>
  <c r="W863" i="10"/>
  <c r="W860" i="10" s="1"/>
  <c r="W858" i="10" s="1"/>
  <c r="L813" i="10"/>
  <c r="M813" i="10" s="1"/>
  <c r="M814" i="10"/>
  <c r="N814" i="10"/>
  <c r="O813" i="10"/>
  <c r="N813" i="10" s="1"/>
  <c r="L778" i="10"/>
  <c r="W758" i="10"/>
  <c r="W757" i="10"/>
  <c r="V751" i="10"/>
  <c r="R751" i="10" s="1"/>
  <c r="R752" i="10"/>
  <c r="W740" i="10"/>
  <c r="W739" i="10"/>
  <c r="M743" i="10"/>
  <c r="K742" i="10"/>
  <c r="K741" i="10" s="1"/>
  <c r="K739" i="10" s="1"/>
  <c r="V739" i="10"/>
  <c r="R739" i="10" s="1"/>
  <c r="R741" i="10"/>
  <c r="X710" i="10"/>
  <c r="X709" i="10"/>
  <c r="X703" i="10" s="1"/>
  <c r="L711" i="10"/>
  <c r="M712" i="10"/>
  <c r="X687" i="10"/>
  <c r="X688" i="10"/>
  <c r="Y676" i="10"/>
  <c r="Y675" i="10"/>
  <c r="R673" i="10"/>
  <c r="V672" i="10"/>
  <c r="L667" i="10"/>
  <c r="M668" i="10"/>
  <c r="X653" i="10"/>
  <c r="X654" i="10"/>
  <c r="T653" i="10"/>
  <c r="T654" i="10"/>
  <c r="V648" i="10"/>
  <c r="R648" i="10" s="1"/>
  <c r="R649" i="10"/>
  <c r="X643" i="10"/>
  <c r="X642" i="10"/>
  <c r="Y632" i="10"/>
  <c r="Y631" i="10"/>
  <c r="Y626" i="10"/>
  <c r="Y625" i="10"/>
  <c r="X605" i="10"/>
  <c r="X606" i="10"/>
  <c r="N609" i="10"/>
  <c r="O608" i="10"/>
  <c r="O601" i="10"/>
  <c r="N602" i="10"/>
  <c r="K601" i="10"/>
  <c r="K599" i="10" s="1"/>
  <c r="M599" i="10" s="1"/>
  <c r="M602" i="10"/>
  <c r="Y600" i="10"/>
  <c r="Y599" i="10"/>
  <c r="Y570" i="10"/>
  <c r="Y561" i="10"/>
  <c r="P549" i="10"/>
  <c r="P547" i="10" s="1"/>
  <c r="P522" i="10" s="1"/>
  <c r="R550" i="10"/>
  <c r="Y548" i="10"/>
  <c r="Y547" i="10"/>
  <c r="M499" i="10"/>
  <c r="L497" i="10"/>
  <c r="M497" i="10" s="1"/>
  <c r="V483" i="10"/>
  <c r="R483" i="10" s="1"/>
  <c r="R484" i="10"/>
  <c r="X465" i="10"/>
  <c r="X464" i="10"/>
  <c r="T465" i="10"/>
  <c r="T464" i="10"/>
  <c r="N467" i="10"/>
  <c r="O466" i="10"/>
  <c r="I464" i="10"/>
  <c r="I465" i="10"/>
  <c r="R293" i="10"/>
  <c r="V289" i="10"/>
  <c r="W288" i="10"/>
  <c r="W287" i="10"/>
  <c r="W286" i="10" s="1"/>
  <c r="W284" i="10" s="1"/>
  <c r="W283" i="10" s="1"/>
  <c r="AE199" i="12"/>
  <c r="AA172" i="12"/>
  <c r="L170" i="12"/>
  <c r="J151" i="12"/>
  <c r="K135" i="12"/>
  <c r="T106" i="12"/>
  <c r="P106" i="12" s="1"/>
  <c r="T97" i="12"/>
  <c r="P82" i="12"/>
  <c r="Y74" i="12"/>
  <c r="P64" i="12"/>
  <c r="L56" i="12"/>
  <c r="P52" i="12"/>
  <c r="L52" i="12"/>
  <c r="U31" i="12"/>
  <c r="U14" i="12" s="1"/>
  <c r="U11" i="12" s="1"/>
  <c r="J18" i="12"/>
  <c r="AE19" i="12"/>
  <c r="R854" i="10"/>
  <c r="Q812" i="10"/>
  <c r="Q736" i="10" s="1"/>
  <c r="Q701" i="10" s="1"/>
  <c r="Q699" i="10" s="1"/>
  <c r="Y803" i="10"/>
  <c r="Y802" i="10" s="1"/>
  <c r="V779" i="10"/>
  <c r="X778" i="10"/>
  <c r="R593" i="10"/>
  <c r="O335" i="10"/>
  <c r="P312" i="10"/>
  <c r="AG31" i="12"/>
  <c r="AG32" i="12"/>
  <c r="Y34" i="12"/>
  <c r="Z35" i="12"/>
  <c r="M34" i="12"/>
  <c r="L35" i="12"/>
  <c r="V31" i="12"/>
  <c r="V32" i="12"/>
  <c r="W31" i="12"/>
  <c r="W32" i="12"/>
  <c r="W15" i="12"/>
  <c r="W16" i="12"/>
  <c r="X864" i="10"/>
  <c r="X863" i="10"/>
  <c r="X860" i="10" s="1"/>
  <c r="X858" i="10" s="1"/>
  <c r="O759" i="10"/>
  <c r="O757" i="10" s="1"/>
  <c r="N760" i="10"/>
  <c r="M754" i="10"/>
  <c r="K753" i="10"/>
  <c r="K752" i="10" s="1"/>
  <c r="K751" i="10" s="1"/>
  <c r="L741" i="10"/>
  <c r="M742" i="10"/>
  <c r="V732" i="10"/>
  <c r="R733" i="10"/>
  <c r="Y710" i="10"/>
  <c r="Y709" i="10"/>
  <c r="Y703" i="10" s="1"/>
  <c r="W666" i="10"/>
  <c r="W665" i="10"/>
  <c r="P653" i="10"/>
  <c r="P654" i="10"/>
  <c r="L653" i="10"/>
  <c r="M653" i="10" s="1"/>
  <c r="L654" i="10"/>
  <c r="M655" i="10"/>
  <c r="L622" i="10"/>
  <c r="M623" i="10"/>
  <c r="V571" i="10"/>
  <c r="R572" i="10"/>
  <c r="X561" i="10"/>
  <c r="X570" i="10"/>
  <c r="X548" i="10"/>
  <c r="X547" i="10"/>
  <c r="V539" i="10"/>
  <c r="R539" i="10" s="1"/>
  <c r="R541" i="10"/>
  <c r="V499" i="10"/>
  <c r="R500" i="10"/>
  <c r="L471" i="10"/>
  <c r="M472" i="10"/>
  <c r="X412" i="10"/>
  <c r="X411" i="10"/>
  <c r="X410" i="10" s="1"/>
  <c r="X408" i="10" s="1"/>
  <c r="X406" i="10" s="1"/>
  <c r="N418" i="10"/>
  <c r="O417" i="10"/>
  <c r="L54" i="12"/>
  <c r="R14" i="12"/>
  <c r="R734" i="10"/>
  <c r="U703" i="10"/>
  <c r="U701" i="10" s="1"/>
  <c r="U699" i="10" s="1"/>
  <c r="W709" i="10"/>
  <c r="W703" i="10" s="1"/>
  <c r="R589" i="10"/>
  <c r="Q522" i="10"/>
  <c r="R501" i="10"/>
  <c r="X694" i="10"/>
  <c r="X693" i="10"/>
  <c r="L660" i="10"/>
  <c r="M661" i="10"/>
  <c r="N655" i="10"/>
  <c r="O653" i="10"/>
  <c r="N653" i="10" s="1"/>
  <c r="N650" i="10"/>
  <c r="O649" i="10"/>
  <c r="N623" i="10"/>
  <c r="O622" i="10"/>
  <c r="L613" i="10"/>
  <c r="M614" i="10"/>
  <c r="V605" i="10"/>
  <c r="R605" i="10" s="1"/>
  <c r="R607" i="10"/>
  <c r="N594" i="10"/>
  <c r="O593" i="10"/>
  <c r="L530" i="10"/>
  <c r="M531" i="10"/>
  <c r="V518" i="10"/>
  <c r="R521" i="10"/>
  <c r="X515" i="10"/>
  <c r="X514" i="10"/>
  <c r="O499" i="10"/>
  <c r="N500" i="10"/>
  <c r="N492" i="10"/>
  <c r="O491" i="10"/>
  <c r="V464" i="10"/>
  <c r="V465" i="10"/>
  <c r="R465" i="10" s="1"/>
  <c r="R466" i="10"/>
  <c r="Y412" i="10"/>
  <c r="Y411" i="10"/>
  <c r="Y410" i="10" s="1"/>
  <c r="Y408" i="10" s="1"/>
  <c r="Y406" i="10" s="1"/>
  <c r="V413" i="10"/>
  <c r="R417" i="10"/>
  <c r="W368" i="10"/>
  <c r="W358" i="10" s="1"/>
  <c r="W369" i="10"/>
  <c r="L58" i="12"/>
  <c r="AC18" i="12"/>
  <c r="Y18" i="12"/>
  <c r="V813" i="10"/>
  <c r="R813" i="10" s="1"/>
  <c r="N781" i="10"/>
  <c r="R780" i="10"/>
  <c r="R713" i="10"/>
  <c r="W682" i="10"/>
  <c r="X681" i="10"/>
  <c r="Y666" i="10"/>
  <c r="N659" i="10"/>
  <c r="U653" i="10"/>
  <c r="U522" i="10" s="1"/>
  <c r="U518" i="10" s="1"/>
  <c r="U517" i="10" s="1"/>
  <c r="U516" i="10" s="1"/>
  <c r="U514" i="10" s="1"/>
  <c r="U442" i="10" s="1"/>
  <c r="U440" i="10" s="1"/>
  <c r="U438" i="10" s="1"/>
  <c r="U428" i="10" s="1"/>
  <c r="R651" i="10"/>
  <c r="R646" i="10"/>
  <c r="V633" i="10"/>
  <c r="X631" i="10"/>
  <c r="R629" i="10"/>
  <c r="R622" i="10"/>
  <c r="R595" i="10"/>
  <c r="R592" i="10"/>
  <c r="M586" i="10"/>
  <c r="R551" i="10"/>
  <c r="R536" i="10"/>
  <c r="M500" i="10"/>
  <c r="R493" i="10"/>
  <c r="R471" i="10"/>
  <c r="P442" i="10"/>
  <c r="J283" i="10"/>
  <c r="M609" i="10"/>
  <c r="K608" i="10"/>
  <c r="K607" i="10" s="1"/>
  <c r="K605" i="10" s="1"/>
  <c r="L594" i="10"/>
  <c r="M595" i="10"/>
  <c r="W540" i="10"/>
  <c r="W539" i="10"/>
  <c r="L492" i="10"/>
  <c r="M493" i="10"/>
  <c r="L461" i="10"/>
  <c r="M462" i="10"/>
  <c r="V452" i="10"/>
  <c r="R453" i="10"/>
  <c r="L360" i="10"/>
  <c r="M361" i="10"/>
  <c r="W336" i="10"/>
  <c r="W335" i="10"/>
  <c r="L290" i="10"/>
  <c r="M290" i="10" s="1"/>
  <c r="M291" i="10"/>
  <c r="N206" i="10"/>
  <c r="O205" i="10"/>
  <c r="AE35" i="12"/>
  <c r="AA35" i="12"/>
  <c r="T34" i="12"/>
  <c r="R872" i="10"/>
  <c r="M721" i="10"/>
  <c r="R668" i="10"/>
  <c r="O667" i="10"/>
  <c r="N661" i="10"/>
  <c r="N660" i="10"/>
  <c r="P658" i="10"/>
  <c r="S654" i="10"/>
  <c r="K654" i="10"/>
  <c r="N654" i="10" s="1"/>
  <c r="V627" i="10"/>
  <c r="W626" i="10"/>
  <c r="V620" i="10"/>
  <c r="R597" i="10"/>
  <c r="N586" i="10"/>
  <c r="R575" i="10"/>
  <c r="K572" i="10"/>
  <c r="K571" i="10" s="1"/>
  <c r="K561" i="10" s="1"/>
  <c r="W547" i="10"/>
  <c r="R543" i="10"/>
  <c r="R535" i="10"/>
  <c r="Y515" i="10"/>
  <c r="R495" i="10"/>
  <c r="R486" i="10"/>
  <c r="R480" i="10"/>
  <c r="N429" i="10"/>
  <c r="Q337" i="10"/>
  <c r="Q335" i="10" s="1"/>
  <c r="Q327" i="10" s="1"/>
  <c r="Q325" i="10" s="1"/>
  <c r="Q323" i="10" s="1"/>
  <c r="Q312" i="10" s="1"/>
  <c r="I337" i="10"/>
  <c r="I335" i="10" s="1"/>
  <c r="I327" i="10" s="1"/>
  <c r="I325" i="10" s="1"/>
  <c r="I323" i="10" s="1"/>
  <c r="I312" i="10" s="1"/>
  <c r="W606" i="10"/>
  <c r="W605" i="10"/>
  <c r="L607" i="10"/>
  <c r="V601" i="10"/>
  <c r="R602" i="10"/>
  <c r="L572" i="10"/>
  <c r="M575" i="10"/>
  <c r="V547" i="10"/>
  <c r="N536" i="10"/>
  <c r="O535" i="10"/>
  <c r="N471" i="10"/>
  <c r="O470" i="10"/>
  <c r="V469" i="10"/>
  <c r="R469" i="10" s="1"/>
  <c r="R470" i="10"/>
  <c r="W464" i="10"/>
  <c r="W465" i="10"/>
  <c r="S464" i="10"/>
  <c r="S465" i="10"/>
  <c r="L443" i="10"/>
  <c r="M444" i="10"/>
  <c r="N443" i="10"/>
  <c r="W411" i="10"/>
  <c r="W410" i="10" s="1"/>
  <c r="W408" i="10" s="1"/>
  <c r="W406" i="10" s="1"/>
  <c r="W412" i="10"/>
  <c r="Y381" i="10"/>
  <c r="Y380" i="10"/>
  <c r="K331" i="10"/>
  <c r="M332" i="10"/>
  <c r="Y330" i="10"/>
  <c r="Y329" i="10"/>
  <c r="L318" i="10"/>
  <c r="Y288" i="10"/>
  <c r="Y287" i="10"/>
  <c r="Y286" i="10" s="1"/>
  <c r="Y284" i="10" s="1"/>
  <c r="Y283" i="10" s="1"/>
  <c r="R706" i="10"/>
  <c r="R707" i="10"/>
  <c r="W676" i="10"/>
  <c r="N658" i="10"/>
  <c r="Y653" i="10"/>
  <c r="I653" i="10"/>
  <c r="R608" i="10"/>
  <c r="R603" i="10"/>
  <c r="X594" i="10"/>
  <c r="X593" i="10" s="1"/>
  <c r="X592" i="10" s="1"/>
  <c r="T594" i="10"/>
  <c r="T593" i="10" s="1"/>
  <c r="T592" i="10" s="1"/>
  <c r="T522" i="10" s="1"/>
  <c r="T518" i="10" s="1"/>
  <c r="T517" i="10" s="1"/>
  <c r="T516" i="10" s="1"/>
  <c r="T514" i="10" s="1"/>
  <c r="T442" i="10" s="1"/>
  <c r="T440" i="10" s="1"/>
  <c r="T438" i="10" s="1"/>
  <c r="R594" i="10"/>
  <c r="W572" i="10"/>
  <c r="W571" i="10" s="1"/>
  <c r="S572" i="10"/>
  <c r="S571" i="10" s="1"/>
  <c r="S561" i="10" s="1"/>
  <c r="S522" i="10" s="1"/>
  <c r="S518" i="10" s="1"/>
  <c r="S517" i="10" s="1"/>
  <c r="S516" i="10" s="1"/>
  <c r="S514" i="10" s="1"/>
  <c r="S442" i="10" s="1"/>
  <c r="S440" i="10" s="1"/>
  <c r="S438" i="10" s="1"/>
  <c r="X554" i="10"/>
  <c r="X540" i="10"/>
  <c r="R537" i="10"/>
  <c r="R534" i="10"/>
  <c r="I522" i="10"/>
  <c r="W498" i="10"/>
  <c r="X492" i="10"/>
  <c r="X491" i="10" s="1"/>
  <c r="T492" i="10"/>
  <c r="T491" i="10" s="1"/>
  <c r="T489" i="10" s="1"/>
  <c r="R492" i="10"/>
  <c r="W478" i="10"/>
  <c r="R472" i="10"/>
  <c r="Q442" i="10"/>
  <c r="Q440" i="10" s="1"/>
  <c r="Q438" i="10" s="1"/>
  <c r="Q428" i="10" s="1"/>
  <c r="I442" i="10"/>
  <c r="L435" i="10"/>
  <c r="M436" i="10"/>
  <c r="R364" i="10"/>
  <c r="L341" i="10"/>
  <c r="X287" i="10"/>
  <c r="X286" i="10" s="1"/>
  <c r="X284" i="10" s="1"/>
  <c r="X288" i="10"/>
  <c r="N291" i="10"/>
  <c r="O290" i="10"/>
  <c r="N290" i="10" s="1"/>
  <c r="R669" i="10"/>
  <c r="R656" i="10"/>
  <c r="O572" i="10"/>
  <c r="V556" i="10"/>
  <c r="V479" i="10"/>
  <c r="J465" i="10"/>
  <c r="P464" i="10"/>
  <c r="N444" i="10"/>
  <c r="N445" i="10"/>
  <c r="N434" i="10"/>
  <c r="V388" i="10"/>
  <c r="X380" i="10"/>
  <c r="R365" i="10"/>
  <c r="J358" i="10"/>
  <c r="J341" i="10"/>
  <c r="J337" i="10" s="1"/>
  <c r="J335" i="10" s="1"/>
  <c r="J327" i="10" s="1"/>
  <c r="J325" i="10" s="1"/>
  <c r="J323" i="10" s="1"/>
  <c r="J312" i="10" s="1"/>
  <c r="X337" i="10"/>
  <c r="R333" i="10"/>
  <c r="R319" i="10"/>
  <c r="Y316" i="10"/>
  <c r="Y315" i="10" s="1"/>
  <c r="Y313" i="10" s="1"/>
  <c r="V424" i="10"/>
  <c r="R424" i="10" s="1"/>
  <c r="R425" i="10"/>
  <c r="R361" i="10"/>
  <c r="V360" i="10"/>
  <c r="K342" i="10"/>
  <c r="K341" i="10" s="1"/>
  <c r="K337" i="10" s="1"/>
  <c r="K335" i="10" s="1"/>
  <c r="M348" i="10"/>
  <c r="N348" i="10"/>
  <c r="W329" i="10"/>
  <c r="W327" i="10" s="1"/>
  <c r="W325" i="10" s="1"/>
  <c r="W323" i="10" s="1"/>
  <c r="W312" i="10" s="1"/>
  <c r="W330" i="10"/>
  <c r="O332" i="10"/>
  <c r="N333" i="10"/>
  <c r="X306" i="10"/>
  <c r="X298" i="10" s="1"/>
  <c r="X296" i="10" s="1"/>
  <c r="X307" i="10"/>
  <c r="V299" i="10"/>
  <c r="R299" i="10" s="1"/>
  <c r="R300" i="10"/>
  <c r="L289" i="10"/>
  <c r="V269" i="10"/>
  <c r="R271" i="10"/>
  <c r="N461" i="10"/>
  <c r="N436" i="10"/>
  <c r="N435" i="10"/>
  <c r="R426" i="10"/>
  <c r="O424" i="10"/>
  <c r="N424" i="10" s="1"/>
  <c r="R418" i="10"/>
  <c r="J413" i="10"/>
  <c r="J411" i="10" s="1"/>
  <c r="J410" i="10" s="1"/>
  <c r="J408" i="10" s="1"/>
  <c r="J406" i="10" s="1"/>
  <c r="Y371" i="10"/>
  <c r="Y370" i="10" s="1"/>
  <c r="X368" i="10"/>
  <c r="T325" i="10"/>
  <c r="T323" i="10" s="1"/>
  <c r="T312" i="10" s="1"/>
  <c r="R334" i="10"/>
  <c r="T289" i="10"/>
  <c r="T287" i="10" s="1"/>
  <c r="T286" i="10" s="1"/>
  <c r="T284" i="10" s="1"/>
  <c r="T283" i="10" s="1"/>
  <c r="L466" i="10"/>
  <c r="M467" i="10"/>
  <c r="K464" i="10"/>
  <c r="K442" i="10" s="1"/>
  <c r="K465" i="10"/>
  <c r="W433" i="10"/>
  <c r="W432" i="10"/>
  <c r="W431" i="10" s="1"/>
  <c r="W429" i="10" s="1"/>
  <c r="L417" i="10"/>
  <c r="M418" i="10"/>
  <c r="V331" i="10"/>
  <c r="R332" i="10"/>
  <c r="V316" i="10"/>
  <c r="R318" i="10"/>
  <c r="M320" i="10"/>
  <c r="K319" i="10"/>
  <c r="K318" i="10" s="1"/>
  <c r="K316" i="10" s="1"/>
  <c r="K315" i="10" s="1"/>
  <c r="K313" i="10" s="1"/>
  <c r="L300" i="10"/>
  <c r="M301" i="10"/>
  <c r="Y219" i="10"/>
  <c r="Y218" i="10"/>
  <c r="Y212" i="10" s="1"/>
  <c r="Y209" i="10" s="1"/>
  <c r="M221" i="10"/>
  <c r="K220" i="10"/>
  <c r="W177" i="10"/>
  <c r="W176" i="10"/>
  <c r="R454" i="10"/>
  <c r="R455" i="10"/>
  <c r="N431" i="10"/>
  <c r="V342" i="10"/>
  <c r="U337" i="10"/>
  <c r="U335" i="10" s="1"/>
  <c r="U327" i="10" s="1"/>
  <c r="U325" i="10" s="1"/>
  <c r="U323" i="10" s="1"/>
  <c r="U312" i="10" s="1"/>
  <c r="S337" i="10"/>
  <c r="S335" i="10" s="1"/>
  <c r="S327" i="10" s="1"/>
  <c r="R339" i="10"/>
  <c r="W270" i="10"/>
  <c r="W269" i="10"/>
  <c r="W257" i="10" s="1"/>
  <c r="W255" i="10" s="1"/>
  <c r="M264" i="10"/>
  <c r="K263" i="10"/>
  <c r="N264" i="10"/>
  <c r="X249" i="10"/>
  <c r="X248" i="10"/>
  <c r="X247" i="10" s="1"/>
  <c r="X245" i="10" s="1"/>
  <c r="X244" i="10" s="1"/>
  <c r="N241" i="10"/>
  <c r="O240" i="10"/>
  <c r="V238" i="10"/>
  <c r="R238" i="10" s="1"/>
  <c r="R239" i="10"/>
  <c r="L206" i="10"/>
  <c r="M207" i="10"/>
  <c r="R201" i="10"/>
  <c r="V200" i="10"/>
  <c r="W197" i="10"/>
  <c r="W196" i="10"/>
  <c r="V187" i="10"/>
  <c r="R188" i="10"/>
  <c r="Y259" i="10"/>
  <c r="Y258" i="10" s="1"/>
  <c r="J244" i="10"/>
  <c r="P244" i="10"/>
  <c r="P183" i="10"/>
  <c r="R374" i="10"/>
  <c r="V372" i="10"/>
  <c r="N364" i="10"/>
  <c r="K294" i="10"/>
  <c r="N295" i="10"/>
  <c r="N875" i="10" s="1"/>
  <c r="Y249" i="10"/>
  <c r="Y248" i="10"/>
  <c r="Y247" i="10" s="1"/>
  <c r="Y245" i="10" s="1"/>
  <c r="Y244" i="10" s="1"/>
  <c r="Y186" i="10"/>
  <c r="Y185" i="10"/>
  <c r="Y183" i="10" s="1"/>
  <c r="L173" i="10"/>
  <c r="M174" i="10"/>
  <c r="S358" i="10"/>
  <c r="K358" i="10"/>
  <c r="R355" i="10"/>
  <c r="R356" i="10"/>
  <c r="R320" i="10"/>
  <c r="N320" i="10"/>
  <c r="W317" i="10"/>
  <c r="R310" i="10"/>
  <c r="W307" i="10"/>
  <c r="R301" i="10"/>
  <c r="Q301" i="10"/>
  <c r="Q300" i="10" s="1"/>
  <c r="Q299" i="10" s="1"/>
  <c r="Q298" i="10" s="1"/>
  <c r="Q296" i="10" s="1"/>
  <c r="Q283" i="10" s="1"/>
  <c r="I301" i="10"/>
  <c r="I300" i="10" s="1"/>
  <c r="I299" i="10" s="1"/>
  <c r="I298" i="10" s="1"/>
  <c r="N301" i="10"/>
  <c r="I259" i="10"/>
  <c r="I258" i="10" s="1"/>
  <c r="R240" i="10"/>
  <c r="X218" i="10"/>
  <c r="X212" i="10" s="1"/>
  <c r="X209" i="10" s="1"/>
  <c r="O316" i="10"/>
  <c r="L258" i="10"/>
  <c r="M446" i="10"/>
  <c r="Y341" i="10"/>
  <c r="Y337" i="10" s="1"/>
  <c r="V309" i="10"/>
  <c r="M295" i="10"/>
  <c r="R291" i="10"/>
  <c r="I183" i="10"/>
  <c r="V178" i="10"/>
  <c r="M189" i="10"/>
  <c r="K188" i="10"/>
  <c r="K187" i="10" s="1"/>
  <c r="K185" i="10" s="1"/>
  <c r="K183" i="10" s="1"/>
  <c r="K131" i="10" s="1"/>
  <c r="X177" i="10"/>
  <c r="X176" i="10"/>
  <c r="X171" i="10"/>
  <c r="X170" i="10"/>
  <c r="V154" i="10"/>
  <c r="R155" i="10"/>
  <c r="Q183" i="10"/>
  <c r="R156" i="10"/>
  <c r="J151" i="10"/>
  <c r="T151" i="10"/>
  <c r="V259" i="10"/>
  <c r="R260" i="10"/>
  <c r="V250" i="10"/>
  <c r="R251" i="10"/>
  <c r="L250" i="10"/>
  <c r="M251" i="10"/>
  <c r="M241" i="10"/>
  <c r="K240" i="10"/>
  <c r="V218" i="10"/>
  <c r="R220" i="10"/>
  <c r="X197" i="10"/>
  <c r="X196" i="10"/>
  <c r="L199" i="10"/>
  <c r="M200" i="10"/>
  <c r="W186" i="10"/>
  <c r="W185" i="10"/>
  <c r="L187" i="10"/>
  <c r="Y177" i="10"/>
  <c r="Y176" i="10"/>
  <c r="W171" i="10"/>
  <c r="W170" i="10"/>
  <c r="O154" i="10"/>
  <c r="N155" i="10"/>
  <c r="R362" i="10"/>
  <c r="R343" i="10"/>
  <c r="R302" i="10"/>
  <c r="R294" i="10"/>
  <c r="R273" i="10"/>
  <c r="X270" i="10"/>
  <c r="R264" i="10"/>
  <c r="R261" i="10"/>
  <c r="J259" i="10"/>
  <c r="J258" i="10" s="1"/>
  <c r="Q244" i="10"/>
  <c r="S183" i="10"/>
  <c r="U183" i="10"/>
  <c r="R172" i="10"/>
  <c r="R168" i="10"/>
  <c r="X160" i="10"/>
  <c r="P160" i="10"/>
  <c r="P158" i="10" s="1"/>
  <c r="P151" i="10" s="1"/>
  <c r="P131" i="10" s="1"/>
  <c r="P121" i="10" s="1"/>
  <c r="R162" i="10"/>
  <c r="N161" i="10"/>
  <c r="V160" i="10"/>
  <c r="S151" i="10"/>
  <c r="N222" i="10"/>
  <c r="O221" i="10"/>
  <c r="N199" i="10"/>
  <c r="O198" i="10"/>
  <c r="N189" i="10"/>
  <c r="O188" i="10"/>
  <c r="N173" i="10"/>
  <c r="O172" i="10"/>
  <c r="O160" i="10"/>
  <c r="N167" i="10"/>
  <c r="L161" i="10"/>
  <c r="M161" i="10" s="1"/>
  <c r="M162" i="10"/>
  <c r="L153" i="10"/>
  <c r="M154" i="10"/>
  <c r="M333" i="10"/>
  <c r="R281" i="10"/>
  <c r="I244" i="10"/>
  <c r="W248" i="10"/>
  <c r="W247" i="10" s="1"/>
  <c r="W245" i="10" s="1"/>
  <c r="W244" i="10" s="1"/>
  <c r="W224" i="10"/>
  <c r="W219" i="10" s="1"/>
  <c r="R221" i="10"/>
  <c r="R213" i="10"/>
  <c r="X185" i="10"/>
  <c r="X183" i="10" s="1"/>
  <c r="T183" i="10"/>
  <c r="R180" i="10"/>
  <c r="R174" i="10"/>
  <c r="W160" i="10"/>
  <c r="K160" i="10"/>
  <c r="K158" i="10" s="1"/>
  <c r="Y160" i="10"/>
  <c r="Q160" i="10"/>
  <c r="Q158" i="10" s="1"/>
  <c r="Q151" i="10" s="1"/>
  <c r="Q131" i="10" s="1"/>
  <c r="Q121" i="10" s="1"/>
  <c r="I160" i="10"/>
  <c r="I158" i="10" s="1"/>
  <c r="I151" i="10" s="1"/>
  <c r="I131" i="10" s="1"/>
  <c r="I121" i="10" s="1"/>
  <c r="U151" i="10"/>
  <c r="U131" i="10" s="1"/>
  <c r="U121" i="10" s="1"/>
  <c r="M155" i="10"/>
  <c r="Y142" i="10"/>
  <c r="Y141" i="10"/>
  <c r="Y133" i="10" s="1"/>
  <c r="X126" i="10"/>
  <c r="X125" i="10"/>
  <c r="X124" i="10" s="1"/>
  <c r="X122" i="10" s="1"/>
  <c r="L127" i="10"/>
  <c r="M128" i="10"/>
  <c r="N114" i="10"/>
  <c r="O113" i="10"/>
  <c r="X100" i="10"/>
  <c r="X99" i="10"/>
  <c r="X98" i="10" s="1"/>
  <c r="X96" i="10" s="1"/>
  <c r="L101" i="10"/>
  <c r="M102" i="10"/>
  <c r="V78" i="10"/>
  <c r="R78" i="10" s="1"/>
  <c r="M76" i="10"/>
  <c r="L74" i="10"/>
  <c r="W36" i="10"/>
  <c r="W37" i="10"/>
  <c r="R29" i="10"/>
  <c r="V28" i="10"/>
  <c r="L21" i="10"/>
  <c r="M22" i="10"/>
  <c r="R252" i="10"/>
  <c r="S133" i="10"/>
  <c r="J133" i="10"/>
  <c r="J131" i="10" s="1"/>
  <c r="U32" i="10"/>
  <c r="P32" i="10"/>
  <c r="Q9" i="10"/>
  <c r="Q6" i="10" s="1"/>
  <c r="Q5" i="10" s="1"/>
  <c r="O136" i="10"/>
  <c r="N137" i="10"/>
  <c r="Y126" i="10"/>
  <c r="Y125" i="10"/>
  <c r="Y124" i="10" s="1"/>
  <c r="Y122" i="10" s="1"/>
  <c r="W111" i="10"/>
  <c r="W110" i="10"/>
  <c r="W109" i="10" s="1"/>
  <c r="W107" i="10" s="1"/>
  <c r="V102" i="10"/>
  <c r="R103" i="10"/>
  <c r="Y100" i="10"/>
  <c r="Y99" i="10"/>
  <c r="Y98" i="10" s="1"/>
  <c r="Y96" i="10" s="1"/>
  <c r="W48" i="10"/>
  <c r="W47" i="10"/>
  <c r="V38" i="10"/>
  <c r="R39" i="10"/>
  <c r="W27" i="10"/>
  <c r="W26" i="10"/>
  <c r="W20" i="10"/>
  <c r="W19" i="10"/>
  <c r="W9" i="10" s="1"/>
  <c r="W6" i="10" s="1"/>
  <c r="W5" i="10" s="1"/>
  <c r="T133" i="10"/>
  <c r="Q32" i="10"/>
  <c r="K33" i="10"/>
  <c r="I9" i="10"/>
  <c r="I6" i="10" s="1"/>
  <c r="I5" i="10" s="1"/>
  <c r="BI39" i="3"/>
  <c r="BH39" i="3" s="1"/>
  <c r="W142" i="10"/>
  <c r="W141" i="10"/>
  <c r="W133" i="10" s="1"/>
  <c r="L136" i="10"/>
  <c r="M137" i="10"/>
  <c r="V127" i="10"/>
  <c r="R128" i="10"/>
  <c r="X110" i="10"/>
  <c r="X109" i="10" s="1"/>
  <c r="X107" i="10" s="1"/>
  <c r="X111" i="10"/>
  <c r="L112" i="10"/>
  <c r="O74" i="10"/>
  <c r="N76" i="10"/>
  <c r="X48" i="10"/>
  <c r="X47" i="10"/>
  <c r="X37" i="10"/>
  <c r="X36" i="10"/>
  <c r="X35" i="10" s="1"/>
  <c r="X33" i="10" s="1"/>
  <c r="X32" i="10" s="1"/>
  <c r="L38" i="10"/>
  <c r="M39" i="10"/>
  <c r="X26" i="10"/>
  <c r="X27" i="10"/>
  <c r="X19" i="10"/>
  <c r="X9" i="10" s="1"/>
  <c r="X6" i="10" s="1"/>
  <c r="X5" i="10" s="1"/>
  <c r="X20" i="10"/>
  <c r="J121" i="10"/>
  <c r="S32" i="10"/>
  <c r="V144" i="10"/>
  <c r="R138" i="10"/>
  <c r="V113" i="10"/>
  <c r="R105" i="10"/>
  <c r="W79" i="10"/>
  <c r="W78" i="10" s="1"/>
  <c r="W77" i="10" s="1"/>
  <c r="S79" i="10"/>
  <c r="S78" i="10" s="1"/>
  <c r="O79" i="10"/>
  <c r="K79" i="10"/>
  <c r="K78" i="10" s="1"/>
  <c r="V76" i="10"/>
  <c r="J76" i="10"/>
  <c r="J74" i="10" s="1"/>
  <c r="J72" i="10" s="1"/>
  <c r="J32" i="10" s="1"/>
  <c r="R40" i="10"/>
  <c r="N40" i="10"/>
  <c r="R30" i="10"/>
  <c r="V22" i="10"/>
  <c r="R15" i="10"/>
  <c r="AT32" i="3"/>
  <c r="BE27" i="3"/>
  <c r="AS27" i="3"/>
  <c r="K113" i="10"/>
  <c r="K112" i="10" s="1"/>
  <c r="K110" i="10" s="1"/>
  <c r="K109" i="10" s="1"/>
  <c r="K107" i="10" s="1"/>
  <c r="M80" i="10"/>
  <c r="X79" i="10"/>
  <c r="X78" i="10" s="1"/>
  <c r="X77" i="10" s="1"/>
  <c r="T79" i="10"/>
  <c r="T78" i="10" s="1"/>
  <c r="P79" i="10"/>
  <c r="P78" i="10" s="1"/>
  <c r="L79" i="10"/>
  <c r="O22" i="10"/>
  <c r="AN27" i="3"/>
  <c r="G27" i="3"/>
  <c r="R80" i="10"/>
  <c r="Y79" i="10"/>
  <c r="Y78" i="10" s="1"/>
  <c r="Y77" i="10" s="1"/>
  <c r="U79" i="10"/>
  <c r="U78" i="10" s="1"/>
  <c r="Q79" i="10"/>
  <c r="Q78" i="10" s="1"/>
  <c r="I79" i="10"/>
  <c r="I78" i="10" s="1"/>
  <c r="AI32" i="3"/>
  <c r="M144" i="10"/>
  <c r="M40" i="10"/>
  <c r="AA32" i="3"/>
  <c r="F32" i="3"/>
  <c r="AR26" i="3"/>
  <c r="AD26" i="3"/>
  <c r="K483" i="8"/>
  <c r="L534" i="8"/>
  <c r="AB259" i="9"/>
  <c r="AA274" i="9"/>
  <c r="J342" i="8"/>
  <c r="M357" i="8"/>
  <c r="L357" i="8"/>
  <c r="N827" i="8"/>
  <c r="M842" i="8"/>
  <c r="L302" i="8"/>
  <c r="M709" i="8"/>
  <c r="L709" i="8"/>
  <c r="L746" i="8"/>
  <c r="M468" i="8"/>
  <c r="L259" i="9"/>
  <c r="M185" i="9"/>
  <c r="Q317" i="9"/>
  <c r="U308" i="9"/>
  <c r="Q308" i="9" s="1"/>
  <c r="L243" i="8"/>
  <c r="J228" i="8"/>
  <c r="J453" i="8"/>
  <c r="L468" i="8"/>
  <c r="J745" i="8"/>
  <c r="M807" i="8"/>
  <c r="L807" i="8"/>
  <c r="M243" i="8"/>
  <c r="N228" i="8"/>
  <c r="M757" i="8"/>
  <c r="N593" i="8"/>
  <c r="Q371" i="8"/>
  <c r="T221" i="8"/>
  <c r="I446" i="8"/>
  <c r="V745" i="8"/>
  <c r="S281" i="9"/>
  <c r="S252" i="9" s="1"/>
  <c r="P259" i="9"/>
  <c r="P252" i="9" s="1"/>
  <c r="T241" i="9"/>
  <c r="S241" i="9"/>
  <c r="O241" i="9"/>
  <c r="G241" i="9"/>
  <c r="G173" i="9" s="1"/>
  <c r="X217" i="9"/>
  <c r="R185" i="9"/>
  <c r="U789" i="8"/>
  <c r="T757" i="8"/>
  <c r="T745" i="8" s="1"/>
  <c r="H745" i="8"/>
  <c r="I737" i="8"/>
  <c r="I708" i="8" s="1"/>
  <c r="O715" i="8"/>
  <c r="O708" i="8" s="1"/>
  <c r="G715" i="8"/>
  <c r="G684" i="8"/>
  <c r="G633" i="8" s="1"/>
  <c r="T645" i="8"/>
  <c r="T633" i="8" s="1"/>
  <c r="R645" i="8"/>
  <c r="R633" i="8" s="1"/>
  <c r="H622" i="8"/>
  <c r="H609" i="8" s="1"/>
  <c r="O609" i="8"/>
  <c r="I609" i="8"/>
  <c r="S593" i="8"/>
  <c r="H565" i="8"/>
  <c r="H558" i="8" s="1"/>
  <c r="J593" i="8"/>
  <c r="G483" i="8"/>
  <c r="S146" i="8"/>
  <c r="U708" i="8"/>
  <c r="M270" i="8"/>
  <c r="G309" i="9"/>
  <c r="G308" i="9" s="1"/>
  <c r="H259" i="9"/>
  <c r="H252" i="9" s="1"/>
  <c r="S224" i="9"/>
  <c r="H217" i="9"/>
  <c r="H173" i="9" s="1"/>
  <c r="Q185" i="9"/>
  <c r="S174" i="9"/>
  <c r="S827" i="8"/>
  <c r="U827" i="8"/>
  <c r="U820" i="8" s="1"/>
  <c r="S789" i="8"/>
  <c r="S745" i="8" s="1"/>
  <c r="R757" i="8"/>
  <c r="R745" i="8" s="1"/>
  <c r="Q746" i="8"/>
  <c r="Q745" i="8" s="1"/>
  <c r="W737" i="8"/>
  <c r="W708" i="8" s="1"/>
  <c r="R737" i="8"/>
  <c r="W645" i="8"/>
  <c r="W633" i="8" s="1"/>
  <c r="X609" i="8"/>
  <c r="X608" i="8" s="1"/>
  <c r="U609" i="8"/>
  <c r="K587" i="8"/>
  <c r="J217" i="9"/>
  <c r="L594" i="8"/>
  <c r="W146" i="8"/>
  <c r="W145" i="8" s="1"/>
  <c r="U252" i="9"/>
  <c r="U633" i="8"/>
  <c r="S820" i="8"/>
  <c r="P483" i="8"/>
  <c r="M222" i="8"/>
  <c r="G708" i="8"/>
  <c r="Q446" i="8"/>
  <c r="N565" i="8"/>
  <c r="T308" i="9"/>
  <c r="H308" i="9"/>
  <c r="W281" i="9"/>
  <c r="W252" i="9" s="1"/>
  <c r="Q259" i="9"/>
  <c r="Q252" i="9" s="1"/>
  <c r="T259" i="9"/>
  <c r="T252" i="9" s="1"/>
  <c r="X241" i="9"/>
  <c r="Q241" i="9"/>
  <c r="Q217" i="9"/>
  <c r="U185" i="9"/>
  <c r="W185" i="9"/>
  <c r="T185" i="9"/>
  <c r="O185" i="9"/>
  <c r="W174" i="9"/>
  <c r="T174" i="9"/>
  <c r="T173" i="9" s="1"/>
  <c r="Q174" i="9"/>
  <c r="X849" i="8"/>
  <c r="X820" i="8" s="1"/>
  <c r="X744" i="8" s="1"/>
  <c r="P737" i="8"/>
  <c r="P708" i="8" s="1"/>
  <c r="T715" i="8"/>
  <c r="T708" i="8" s="1"/>
  <c r="O677" i="8"/>
  <c r="O633" i="8" s="1"/>
  <c r="R609" i="8"/>
  <c r="S609" i="8"/>
  <c r="P609" i="8"/>
  <c r="W593" i="8"/>
  <c r="Z309" i="9"/>
  <c r="W745" i="8"/>
  <c r="P146" i="8"/>
  <c r="K715" i="8"/>
  <c r="M320" i="8"/>
  <c r="H84" i="8"/>
  <c r="I558" i="8"/>
  <c r="R335" i="8"/>
  <c r="L422" i="8"/>
  <c r="N645" i="8"/>
  <c r="M534" i="8"/>
  <c r="G259" i="9"/>
  <c r="G252" i="9" s="1"/>
  <c r="R259" i="9"/>
  <c r="R252" i="9" s="1"/>
  <c r="O259" i="9"/>
  <c r="O252" i="9" s="1"/>
  <c r="I259" i="9"/>
  <c r="I252" i="9" s="1"/>
  <c r="U241" i="9"/>
  <c r="R217" i="9"/>
  <c r="W827" i="8"/>
  <c r="W820" i="8" s="1"/>
  <c r="J827" i="8"/>
  <c r="L827" i="8" s="1"/>
  <c r="H827" i="8"/>
  <c r="H820" i="8" s="1"/>
  <c r="P746" i="8"/>
  <c r="P745" i="8" s="1"/>
  <c r="U746" i="8"/>
  <c r="R715" i="8"/>
  <c r="X633" i="8"/>
  <c r="X632" i="8" s="1"/>
  <c r="P633" i="8"/>
  <c r="Q594" i="8"/>
  <c r="H593" i="8"/>
  <c r="U565" i="8"/>
  <c r="U558" i="8" s="1"/>
  <c r="W565" i="8"/>
  <c r="W558" i="8" s="1"/>
  <c r="W482" i="8" s="1"/>
  <c r="M213" i="8"/>
  <c r="R437" i="8"/>
  <c r="V383" i="8"/>
  <c r="V371" i="8" s="1"/>
  <c r="T342" i="8"/>
  <c r="T335" i="8" s="1"/>
  <c r="G342" i="8"/>
  <c r="G335" i="8" s="1"/>
  <c r="X259" i="8"/>
  <c r="X119" i="8"/>
  <c r="I75" i="8"/>
  <c r="I9" i="8" s="1"/>
  <c r="T84" i="8"/>
  <c r="I335" i="8"/>
  <c r="V538" i="8"/>
  <c r="U527" i="8"/>
  <c r="U483" i="8" s="1"/>
  <c r="R495" i="8"/>
  <c r="R483" i="8" s="1"/>
  <c r="O453" i="8"/>
  <c r="O446" i="8" s="1"/>
  <c r="G453" i="8"/>
  <c r="G446" i="8" s="1"/>
  <c r="R372" i="8"/>
  <c r="H309" i="8"/>
  <c r="W270" i="8"/>
  <c r="O270" i="8"/>
  <c r="O258" i="8" s="1"/>
  <c r="O250" i="8" s="1"/>
  <c r="O221" i="8" s="1"/>
  <c r="R258" i="8"/>
  <c r="R250" i="8" s="1"/>
  <c r="R228" i="8"/>
  <c r="H228" i="8"/>
  <c r="V75" i="8"/>
  <c r="V534" i="8"/>
  <c r="U475" i="8"/>
  <c r="U446" i="8" s="1"/>
  <c r="X453" i="8"/>
  <c r="X446" i="8" s="1"/>
  <c r="S437" i="8"/>
  <c r="S371" i="8" s="1"/>
  <c r="X383" i="8"/>
  <c r="O383" i="8"/>
  <c r="O371" i="8" s="1"/>
  <c r="X372" i="8"/>
  <c r="U372" i="8"/>
  <c r="U371" i="8" s="1"/>
  <c r="G372" i="8"/>
  <c r="G371" i="8" s="1"/>
  <c r="H270" i="8"/>
  <c r="H258" i="8" s="1"/>
  <c r="H250" i="8" s="1"/>
  <c r="U270" i="8"/>
  <c r="U258" i="8" s="1"/>
  <c r="U250" i="8" s="1"/>
  <c r="U221" i="8" s="1"/>
  <c r="G270" i="8"/>
  <c r="G258" i="8" s="1"/>
  <c r="G250" i="8" s="1"/>
  <c r="S259" i="8"/>
  <c r="S258" i="8" s="1"/>
  <c r="S250" i="8" s="1"/>
  <c r="P259" i="8"/>
  <c r="P258" i="8" s="1"/>
  <c r="P250" i="8" s="1"/>
  <c r="P221" i="8" s="1"/>
  <c r="I228" i="8"/>
  <c r="O212" i="8"/>
  <c r="O146" i="8" s="1"/>
  <c r="G212" i="8"/>
  <c r="G146" i="8" s="1"/>
  <c r="H197" i="8"/>
  <c r="H146" i="8" s="1"/>
  <c r="W113" i="8"/>
  <c r="W84" i="8" s="1"/>
  <c r="V21" i="8"/>
  <c r="V9" i="8" s="1"/>
  <c r="X84" i="8"/>
  <c r="X7" i="8" s="1"/>
  <c r="N453" i="8"/>
  <c r="S342" i="8"/>
  <c r="S335" i="8" s="1"/>
  <c r="W259" i="8"/>
  <c r="I259" i="8"/>
  <c r="I258" i="8" s="1"/>
  <c r="I250" i="8" s="1"/>
  <c r="S228" i="8"/>
  <c r="L218" i="8"/>
  <c r="S119" i="8"/>
  <c r="P21" i="8"/>
  <c r="X302" i="8"/>
  <c r="V113" i="8"/>
  <c r="V84" i="8" s="1"/>
  <c r="L54" i="8"/>
  <c r="T21" i="8"/>
  <c r="T9" i="8" s="1"/>
  <c r="U190" i="8"/>
  <c r="U146" i="8" s="1"/>
  <c r="U91" i="8"/>
  <c r="U84" i="8" s="1"/>
  <c r="R21" i="8"/>
  <c r="R9" i="8" s="1"/>
  <c r="U10" i="8"/>
  <c r="U9" i="8" s="1"/>
  <c r="L236" i="8"/>
  <c r="L52" i="8"/>
  <c r="L51" i="8"/>
  <c r="P10" i="8"/>
  <c r="P9" i="8" s="1"/>
  <c r="G228" i="8"/>
  <c r="M43" i="8"/>
  <c r="U2597" i="12"/>
  <c r="AC2618" i="12"/>
  <c r="AJ2615" i="12"/>
  <c r="AD2615" i="12"/>
  <c r="AC2597" i="12"/>
  <c r="AB2618" i="12" l="1"/>
  <c r="AB2597" i="12"/>
  <c r="AB2596" i="12" s="1"/>
  <c r="AD2610" i="12"/>
  <c r="AI2618" i="12"/>
  <c r="AH2597" i="12"/>
  <c r="AH2596" i="12" s="1"/>
  <c r="V2618" i="12"/>
  <c r="AI2597" i="12"/>
  <c r="AI2596" i="12" s="1"/>
  <c r="AH2618" i="12"/>
  <c r="AG375" i="12"/>
  <c r="AG376" i="12"/>
  <c r="W409" i="12"/>
  <c r="W408" i="12"/>
  <c r="W407" i="12" s="1"/>
  <c r="W405" i="12" s="1"/>
  <c r="N308" i="9"/>
  <c r="M317" i="9"/>
  <c r="J1174" i="12"/>
  <c r="L40" i="9"/>
  <c r="M40" i="9"/>
  <c r="AH301" i="12"/>
  <c r="AH279" i="12"/>
  <c r="T408" i="12"/>
  <c r="T409" i="12"/>
  <c r="X1929" i="12"/>
  <c r="X1864" i="12"/>
  <c r="X1863" i="12" s="1"/>
  <c r="K173" i="9"/>
  <c r="L185" i="9"/>
  <c r="X409" i="12"/>
  <c r="X408" i="12"/>
  <c r="K522" i="10"/>
  <c r="K518" i="10" s="1"/>
  <c r="M601" i="10"/>
  <c r="X522" i="10"/>
  <c r="Q14" i="12"/>
  <c r="Q11" i="12" s="1"/>
  <c r="Q10" i="12" s="1"/>
  <c r="AD177" i="12"/>
  <c r="S503" i="12"/>
  <c r="AE288" i="12"/>
  <c r="AA486" i="12"/>
  <c r="Z498" i="12"/>
  <c r="AH377" i="12"/>
  <c r="AD616" i="12"/>
  <c r="N866" i="12"/>
  <c r="I1013" i="12"/>
  <c r="AC242" i="12"/>
  <c r="AI894" i="12"/>
  <c r="P1180" i="12"/>
  <c r="I1545" i="12"/>
  <c r="I1543" i="12" s="1"/>
  <c r="AB1621" i="12"/>
  <c r="Y1507" i="12"/>
  <c r="O2152" i="12"/>
  <c r="O2150" i="12" s="1"/>
  <c r="V241" i="9"/>
  <c r="Z241" i="9" s="1"/>
  <c r="N174" i="9"/>
  <c r="V460" i="10"/>
  <c r="R461" i="10"/>
  <c r="Y489" i="10"/>
  <c r="Y490" i="10"/>
  <c r="N614" i="10"/>
  <c r="O613" i="10"/>
  <c r="N251" i="10"/>
  <c r="O250" i="10"/>
  <c r="AD64" i="12"/>
  <c r="S186" i="12"/>
  <c r="S184" i="12" s="1"/>
  <c r="S182" i="12" s="1"/>
  <c r="S180" i="12" s="1"/>
  <c r="X377" i="12"/>
  <c r="T54" i="12"/>
  <c r="P54" i="12" s="1"/>
  <c r="P56" i="12"/>
  <c r="O242" i="12"/>
  <c r="O240" i="12" s="1"/>
  <c r="O239" i="12" s="1"/>
  <c r="O237" i="12" s="1"/>
  <c r="O236" i="12" s="1"/>
  <c r="K217" i="12"/>
  <c r="AE1086" i="12"/>
  <c r="AF1085" i="12"/>
  <c r="M545" i="12"/>
  <c r="L546" i="12"/>
  <c r="L1029" i="12"/>
  <c r="Y1605" i="12"/>
  <c r="Y1604" i="12"/>
  <c r="Z1604" i="12" s="1"/>
  <c r="Z1591" i="12"/>
  <c r="Z1590" i="12" s="1"/>
  <c r="Z1589" i="12" s="1"/>
  <c r="W1110" i="12"/>
  <c r="W1108" i="12" s="1"/>
  <c r="AE1591" i="12"/>
  <c r="O1719" i="12"/>
  <c r="O1717" i="12" s="1"/>
  <c r="O1716" i="12" s="1"/>
  <c r="O1714" i="12" s="1"/>
  <c r="AG1618" i="12"/>
  <c r="AG1617" i="12" s="1"/>
  <c r="R1630" i="12"/>
  <c r="R1618" i="12"/>
  <c r="R1617" i="12" s="1"/>
  <c r="AA2164" i="12"/>
  <c r="AD2164" i="12"/>
  <c r="X2215" i="12"/>
  <c r="X2214" i="12"/>
  <c r="M2533" i="12"/>
  <c r="L2534" i="12"/>
  <c r="N1457" i="12"/>
  <c r="AF1989" i="12"/>
  <c r="AE1989" i="12" s="1"/>
  <c r="AF1990" i="12"/>
  <c r="AB2038" i="12"/>
  <c r="AA2039" i="12"/>
  <c r="M2484" i="12"/>
  <c r="L2484" i="12" s="1"/>
  <c r="L2485" i="12"/>
  <c r="AE2465" i="12"/>
  <c r="G291" i="9"/>
  <c r="V291" i="9"/>
  <c r="V290" i="9" s="1"/>
  <c r="L433" i="8"/>
  <c r="N811" i="8"/>
  <c r="M811" i="8" s="1"/>
  <c r="O335" i="8"/>
  <c r="M225" i="8"/>
  <c r="V146" i="8"/>
  <c r="P446" i="8"/>
  <c r="L247" i="9"/>
  <c r="M812" i="8"/>
  <c r="W7" i="8"/>
  <c r="J428" i="10"/>
  <c r="AA151" i="12"/>
  <c r="X699" i="12"/>
  <c r="AD730" i="12"/>
  <c r="S708" i="8"/>
  <c r="M715" i="8"/>
  <c r="AF2596" i="12"/>
  <c r="N258" i="8"/>
  <c r="N250" i="8" s="1"/>
  <c r="R206" i="10"/>
  <c r="V205" i="10"/>
  <c r="V434" i="10"/>
  <c r="R435" i="10"/>
  <c r="L424" i="10"/>
  <c r="M424" i="10" s="1"/>
  <c r="M425" i="10"/>
  <c r="V719" i="10"/>
  <c r="R720" i="10"/>
  <c r="T131" i="12"/>
  <c r="P132" i="12"/>
  <c r="T736" i="12"/>
  <c r="P737" i="12"/>
  <c r="W846" i="12"/>
  <c r="W845" i="12"/>
  <c r="V449" i="12"/>
  <c r="Z449" i="12" s="1"/>
  <c r="V450" i="12"/>
  <c r="I1180" i="12"/>
  <c r="L1181" i="12"/>
  <c r="AF1104" i="12"/>
  <c r="AE1105" i="12"/>
  <c r="Z2379" i="12"/>
  <c r="Y2378" i="12"/>
  <c r="AA149" i="9"/>
  <c r="AB148" i="9"/>
  <c r="AF2448" i="12"/>
  <c r="AE2449" i="12"/>
  <c r="K599" i="8"/>
  <c r="L599" i="8" s="1"/>
  <c r="L600" i="8"/>
  <c r="M2480" i="12"/>
  <c r="L2481" i="12"/>
  <c r="AE2454" i="12"/>
  <c r="Q844" i="8"/>
  <c r="Q827" i="8" s="1"/>
  <c r="Q820" i="8" s="1"/>
  <c r="O827" i="8"/>
  <c r="O820" i="8" s="1"/>
  <c r="U745" i="8"/>
  <c r="V744" i="8"/>
  <c r="V483" i="8"/>
  <c r="V482" i="8" s="1"/>
  <c r="R371" i="8"/>
  <c r="O173" i="9"/>
  <c r="W218" i="10"/>
  <c r="W212" i="10" s="1"/>
  <c r="W209" i="10" s="1"/>
  <c r="N318" i="10"/>
  <c r="K440" i="10"/>
  <c r="K438" i="10" s="1"/>
  <c r="R503" i="12"/>
  <c r="R471" i="12" s="1"/>
  <c r="AD288" i="12"/>
  <c r="R865" i="12"/>
  <c r="R863" i="12" s="1"/>
  <c r="R862" i="12" s="1"/>
  <c r="R860" i="12" s="1"/>
  <c r="Z450" i="12"/>
  <c r="AE2612" i="12"/>
  <c r="W258" i="8"/>
  <c r="W257" i="8" s="1"/>
  <c r="V370" i="8"/>
  <c r="V364" i="8" s="1"/>
  <c r="S173" i="9"/>
  <c r="T131" i="10"/>
  <c r="T121" i="10" s="1"/>
  <c r="W35" i="10"/>
  <c r="W33" i="10" s="1"/>
  <c r="W32" i="10" s="1"/>
  <c r="M188" i="10"/>
  <c r="M608" i="10"/>
  <c r="N779" i="10"/>
  <c r="M779" i="10"/>
  <c r="S736" i="10"/>
  <c r="AB169" i="12"/>
  <c r="AA169" i="12" s="1"/>
  <c r="AE195" i="12"/>
  <c r="AE177" i="12"/>
  <c r="AD195" i="12"/>
  <c r="O11" i="12"/>
  <c r="O10" i="12" s="1"/>
  <c r="L247" i="12"/>
  <c r="AI352" i="12"/>
  <c r="AI350" i="12" s="1"/>
  <c r="AI505" i="12"/>
  <c r="V186" i="12"/>
  <c r="V184" i="12" s="1"/>
  <c r="V182" i="12" s="1"/>
  <c r="V180" i="12" s="1"/>
  <c r="AD386" i="12"/>
  <c r="Z243" i="12"/>
  <c r="AA766" i="12"/>
  <c r="K696" i="12"/>
  <c r="AC302" i="12"/>
  <c r="V755" i="12"/>
  <c r="Z755" i="12" s="1"/>
  <c r="T242" i="12"/>
  <c r="Y1017" i="12"/>
  <c r="K1146" i="12"/>
  <c r="AG1436" i="12"/>
  <c r="O1750" i="12"/>
  <c r="O1748" i="12" s="1"/>
  <c r="O1746" i="12" s="1"/>
  <c r="AG1682" i="12"/>
  <c r="AG1680" i="12" s="1"/>
  <c r="AD2594" i="12"/>
  <c r="V708" i="8"/>
  <c r="V632" i="8" s="1"/>
  <c r="AE2594" i="12"/>
  <c r="AE2606" i="12"/>
  <c r="AA2133" i="12"/>
  <c r="R1750" i="12"/>
  <c r="R1748" i="12" s="1"/>
  <c r="R1746" i="12" s="1"/>
  <c r="H708" i="8"/>
  <c r="N1239" i="12"/>
  <c r="N1237" i="12" s="1"/>
  <c r="N1236" i="12" s="1"/>
  <c r="N1234" i="12" s="1"/>
  <c r="O8" i="9"/>
  <c r="H9" i="8"/>
  <c r="S8" i="9"/>
  <c r="Z2405" i="12"/>
  <c r="J484" i="8"/>
  <c r="L484" i="8" s="1"/>
  <c r="Q258" i="8"/>
  <c r="Q250" i="8" s="1"/>
  <c r="K2481" i="12"/>
  <c r="V145" i="8"/>
  <c r="AF2538" i="12"/>
  <c r="L2554" i="12"/>
  <c r="O299" i="10"/>
  <c r="N300" i="10"/>
  <c r="R531" i="10"/>
  <c r="V530" i="10"/>
  <c r="V659" i="10"/>
  <c r="R660" i="10"/>
  <c r="N531" i="10"/>
  <c r="O530" i="10"/>
  <c r="V16" i="12"/>
  <c r="V15" i="12"/>
  <c r="X94" i="12"/>
  <c r="X95" i="12"/>
  <c r="R850" i="10"/>
  <c r="V849" i="10"/>
  <c r="P703" i="10"/>
  <c r="P701" i="10" s="1"/>
  <c r="P699" i="10" s="1"/>
  <c r="N252" i="12"/>
  <c r="N242" i="12" s="1"/>
  <c r="N240" i="12" s="1"/>
  <c r="N239" i="12" s="1"/>
  <c r="N237" i="12" s="1"/>
  <c r="AF302" i="12"/>
  <c r="AF301" i="12" s="1"/>
  <c r="K368" i="12"/>
  <c r="AF534" i="12"/>
  <c r="AE535" i="12"/>
  <c r="T991" i="12"/>
  <c r="P992" i="12"/>
  <c r="M1085" i="12"/>
  <c r="L1086" i="12"/>
  <c r="S1319" i="12"/>
  <c r="S1317" i="12" s="1"/>
  <c r="S1315" i="12" s="1"/>
  <c r="S1282" i="12" s="1"/>
  <c r="L1274" i="12"/>
  <c r="T1685" i="12"/>
  <c r="P1686" i="12"/>
  <c r="AG1137" i="12"/>
  <c r="AD1248" i="12"/>
  <c r="V1362" i="12"/>
  <c r="Z1363" i="12"/>
  <c r="AI1590" i="12"/>
  <c r="AI1589" i="12" s="1"/>
  <c r="J1669" i="12"/>
  <c r="K1669" i="12" s="1"/>
  <c r="K1670" i="12"/>
  <c r="W2214" i="12"/>
  <c r="W2215" i="12"/>
  <c r="L1170" i="12"/>
  <c r="AE1446" i="12"/>
  <c r="M64" i="8"/>
  <c r="H446" i="8"/>
  <c r="K291" i="9"/>
  <c r="T534" i="8"/>
  <c r="T2204" i="12"/>
  <c r="P2205" i="12"/>
  <c r="P1909" i="12"/>
  <c r="L160" i="10"/>
  <c r="Q2152" i="12"/>
  <c r="Q2150" i="12" s="1"/>
  <c r="AA2606" i="12"/>
  <c r="X6" i="9"/>
  <c r="N746" i="8"/>
  <c r="N745" i="8" s="1"/>
  <c r="M745" i="8" s="1"/>
  <c r="AA1820" i="12"/>
  <c r="M796" i="8"/>
  <c r="I2152" i="12"/>
  <c r="I2150" i="12" s="1"/>
  <c r="P173" i="9"/>
  <c r="AE2499" i="12"/>
  <c r="L95" i="9"/>
  <c r="AA2501" i="12"/>
  <c r="M2548" i="12"/>
  <c r="L2548" i="12" s="1"/>
  <c r="J645" i="8"/>
  <c r="M645" i="8" s="1"/>
  <c r="K2039" i="12"/>
  <c r="AD2465" i="12"/>
  <c r="M789" i="8"/>
  <c r="N460" i="10"/>
  <c r="O459" i="10"/>
  <c r="N459" i="10" s="1"/>
  <c r="N361" i="10"/>
  <c r="O360" i="10"/>
  <c r="M819" i="10"/>
  <c r="L818" i="10"/>
  <c r="AH129" i="12"/>
  <c r="AH127" i="12" s="1"/>
  <c r="AH130" i="12"/>
  <c r="AG167" i="12"/>
  <c r="AG166" i="12"/>
  <c r="AG164" i="12" s="1"/>
  <c r="AI377" i="12"/>
  <c r="J56" i="12"/>
  <c r="K57" i="12"/>
  <c r="L209" i="12"/>
  <c r="AB56" i="12"/>
  <c r="AA57" i="12"/>
  <c r="R477" i="12"/>
  <c r="R475" i="12" s="1"/>
  <c r="R474" i="12" s="1"/>
  <c r="R472" i="12" s="1"/>
  <c r="T507" i="12"/>
  <c r="P507" i="12" s="1"/>
  <c r="P509" i="12"/>
  <c r="V650" i="12"/>
  <c r="V701" i="12"/>
  <c r="V699" i="12" s="1"/>
  <c r="V702" i="12"/>
  <c r="Z702" i="12" s="1"/>
  <c r="AA1040" i="12"/>
  <c r="T945" i="12"/>
  <c r="P946" i="12"/>
  <c r="V573" i="12"/>
  <c r="V574" i="12"/>
  <c r="Z574" i="12" s="1"/>
  <c r="X1239" i="12"/>
  <c r="P1198" i="12"/>
  <c r="L1742" i="12"/>
  <c r="M1741" i="12"/>
  <c r="AG2514" i="12"/>
  <c r="AG2512" i="12" s="1"/>
  <c r="AG2510" i="12" s="1"/>
  <c r="AG2515" i="12"/>
  <c r="AD2013" i="12"/>
  <c r="AC2012" i="12"/>
  <c r="AC2011" i="12" s="1"/>
  <c r="AF1229" i="12"/>
  <c r="AE1229" i="12" s="1"/>
  <c r="AE1230" i="12"/>
  <c r="AB2094" i="12"/>
  <c r="AE2095" i="12"/>
  <c r="Q534" i="8"/>
  <c r="Q483" i="8" s="1"/>
  <c r="T46" i="9"/>
  <c r="T40" i="9" s="1"/>
  <c r="T8" i="9" s="1"/>
  <c r="AE2501" i="12"/>
  <c r="AA244" i="9"/>
  <c r="AB185" i="9"/>
  <c r="AA208" i="9"/>
  <c r="Z282" i="9"/>
  <c r="AA282" i="9"/>
  <c r="K565" i="8"/>
  <c r="L565" i="8" s="1"/>
  <c r="X534" i="8"/>
  <c r="X483" i="8" s="1"/>
  <c r="X482" i="8" s="1"/>
  <c r="AE2517" i="12"/>
  <c r="L208" i="8"/>
  <c r="M208" i="8"/>
  <c r="AA143" i="9"/>
  <c r="AF2618" i="12"/>
  <c r="AG2618" i="12"/>
  <c r="X2618" i="12"/>
  <c r="X475" i="12"/>
  <c r="X474" i="12" s="1"/>
  <c r="X472" i="12" s="1"/>
  <c r="X476" i="12"/>
  <c r="N410" i="12"/>
  <c r="P411" i="12"/>
  <c r="W279" i="12"/>
  <c r="W280" i="12"/>
  <c r="U240" i="12"/>
  <c r="U239" i="12" s="1"/>
  <c r="U237" i="12" s="1"/>
  <c r="U236" i="12" s="1"/>
  <c r="U241" i="12"/>
  <c r="J904" i="12"/>
  <c r="K905" i="12"/>
  <c r="AF963" i="12"/>
  <c r="AE964" i="12"/>
  <c r="AC973" i="12"/>
  <c r="Y1015" i="12"/>
  <c r="Z1017" i="12"/>
  <c r="Y1016" i="12"/>
  <c r="Z1016" i="12" s="1"/>
  <c r="AA576" i="12"/>
  <c r="AD576" i="12"/>
  <c r="AB575" i="12"/>
  <c r="AA701" i="12"/>
  <c r="M743" i="12"/>
  <c r="M740" i="12" s="1"/>
  <c r="L744" i="12"/>
  <c r="L743" i="12" s="1"/>
  <c r="L740" i="12" s="1"/>
  <c r="AG1717" i="12"/>
  <c r="AG1716" i="12" s="1"/>
  <c r="AG1714" i="12" s="1"/>
  <c r="AG1718" i="12"/>
  <c r="AB995" i="12"/>
  <c r="AA995" i="12" s="1"/>
  <c r="AB996" i="12"/>
  <c r="AA996" i="12" s="1"/>
  <c r="AA997" i="12"/>
  <c r="Y1126" i="12"/>
  <c r="Z1127" i="12"/>
  <c r="AC1167" i="12"/>
  <c r="AC1168" i="12"/>
  <c r="AD1169" i="12"/>
  <c r="Y984" i="12"/>
  <c r="Z984" i="12" s="1"/>
  <c r="Z985" i="12"/>
  <c r="Y997" i="12"/>
  <c r="Z998" i="12"/>
  <c r="AF1091" i="12"/>
  <c r="AE1092" i="12"/>
  <c r="AF1114" i="12"/>
  <c r="AE1115" i="12"/>
  <c r="AA1585" i="12"/>
  <c r="AD1585" i="12"/>
  <c r="M1751" i="12"/>
  <c r="L1753" i="12"/>
  <c r="AH1015" i="12"/>
  <c r="AH1016" i="12"/>
  <c r="W1238" i="12"/>
  <c r="W1237" i="12"/>
  <c r="W1236" i="12" s="1"/>
  <c r="W1234" i="12" s="1"/>
  <c r="T1436" i="12"/>
  <c r="AG1543" i="12"/>
  <c r="AG1542" i="12" s="1"/>
  <c r="AG1501" i="12" s="1"/>
  <c r="AG1499" i="12" s="1"/>
  <c r="AG1544" i="12"/>
  <c r="T1705" i="12"/>
  <c r="P1705" i="12" s="1"/>
  <c r="P1706" i="12"/>
  <c r="T1989" i="12"/>
  <c r="P1989" i="12" s="1"/>
  <c r="P1991" i="12"/>
  <c r="T1990" i="12"/>
  <c r="V21" i="10"/>
  <c r="R22" i="10"/>
  <c r="O72" i="10"/>
  <c r="N72" i="10" s="1"/>
  <c r="N74" i="10"/>
  <c r="L135" i="10"/>
  <c r="M135" i="10" s="1"/>
  <c r="M136" i="10"/>
  <c r="V26" i="10"/>
  <c r="R28" i="10"/>
  <c r="M74" i="10"/>
  <c r="L72" i="10"/>
  <c r="M72" i="10" s="1"/>
  <c r="O112" i="10"/>
  <c r="N113" i="10"/>
  <c r="Y158" i="10"/>
  <c r="Y151" i="10" s="1"/>
  <c r="Y159" i="10"/>
  <c r="O170" i="10"/>
  <c r="N170" i="10" s="1"/>
  <c r="N172" i="10"/>
  <c r="O196" i="10"/>
  <c r="N196" i="10" s="1"/>
  <c r="N198" i="10"/>
  <c r="M240" i="10"/>
  <c r="K239" i="10"/>
  <c r="V199" i="10"/>
  <c r="R200" i="10"/>
  <c r="L299" i="10"/>
  <c r="M300" i="10"/>
  <c r="V315" i="10"/>
  <c r="R316" i="10"/>
  <c r="L465" i="10"/>
  <c r="M465" i="10" s="1"/>
  <c r="M466" i="10"/>
  <c r="L464" i="10"/>
  <c r="M464" i="10" s="1"/>
  <c r="V477" i="10"/>
  <c r="R477" i="10" s="1"/>
  <c r="R479" i="10"/>
  <c r="L337" i="10"/>
  <c r="M341" i="10"/>
  <c r="L434" i="10"/>
  <c r="M435" i="10"/>
  <c r="X490" i="10"/>
  <c r="X489" i="10"/>
  <c r="X442" i="10" s="1"/>
  <c r="X440" i="10" s="1"/>
  <c r="X438" i="10" s="1"/>
  <c r="N470" i="10"/>
  <c r="O469" i="10"/>
  <c r="N469" i="10" s="1"/>
  <c r="V615" i="10"/>
  <c r="R620" i="10"/>
  <c r="O665" i="10"/>
  <c r="N665" i="10" s="1"/>
  <c r="N667" i="10"/>
  <c r="P34" i="12"/>
  <c r="T33" i="12"/>
  <c r="L359" i="10"/>
  <c r="M360" i="10"/>
  <c r="M461" i="10"/>
  <c r="L460" i="10"/>
  <c r="Z18" i="12"/>
  <c r="Y17" i="12"/>
  <c r="O489" i="10"/>
  <c r="N491" i="10"/>
  <c r="O592" i="10"/>
  <c r="N592" i="10" s="1"/>
  <c r="N593" i="10"/>
  <c r="O648" i="10"/>
  <c r="N648" i="10" s="1"/>
  <c r="N649" i="10"/>
  <c r="V497" i="10"/>
  <c r="R497" i="10" s="1"/>
  <c r="R499" i="10"/>
  <c r="V561" i="10"/>
  <c r="R561" i="10" s="1"/>
  <c r="R571" i="10"/>
  <c r="X771" i="10"/>
  <c r="X777" i="10"/>
  <c r="P97" i="12"/>
  <c r="T96" i="12"/>
  <c r="M667" i="10"/>
  <c r="L665" i="10"/>
  <c r="M665" i="10" s="1"/>
  <c r="M711" i="10"/>
  <c r="L709" i="10"/>
  <c r="L771" i="10"/>
  <c r="M778" i="10"/>
  <c r="AF31" i="12"/>
  <c r="AF32" i="12"/>
  <c r="AE33" i="12"/>
  <c r="AD87" i="12"/>
  <c r="AC86" i="12"/>
  <c r="M649" i="10"/>
  <c r="L648" i="10"/>
  <c r="M648" i="10" s="1"/>
  <c r="R759" i="10"/>
  <c r="V757" i="10"/>
  <c r="R757" i="10" s="1"/>
  <c r="AF94" i="12"/>
  <c r="AF95" i="12"/>
  <c r="AE96" i="12"/>
  <c r="AB129" i="12"/>
  <c r="AB130" i="12"/>
  <c r="AA131" i="12"/>
  <c r="AD169" i="12"/>
  <c r="AF216" i="12"/>
  <c r="AE217" i="12"/>
  <c r="AF109" i="12"/>
  <c r="AF110" i="12"/>
  <c r="AD333" i="12"/>
  <c r="AC332" i="12"/>
  <c r="N709" i="10"/>
  <c r="AC109" i="12"/>
  <c r="AC110" i="12"/>
  <c r="Y280" i="12"/>
  <c r="AE333" i="12"/>
  <c r="AF332" i="12"/>
  <c r="V375" i="12"/>
  <c r="V374" i="12" s="1"/>
  <c r="V372" i="12" s="1"/>
  <c r="V376" i="12"/>
  <c r="AI409" i="12"/>
  <c r="AI408" i="12"/>
  <c r="O863" i="10"/>
  <c r="N865" i="10"/>
  <c r="AF231" i="12"/>
  <c r="AE232" i="12"/>
  <c r="AF230" i="12"/>
  <c r="Y315" i="12"/>
  <c r="Y316" i="12"/>
  <c r="V318" i="12"/>
  <c r="V317" i="12" s="1"/>
  <c r="Z319" i="12"/>
  <c r="Z318" i="12" s="1"/>
  <c r="Z317" i="12" s="1"/>
  <c r="L362" i="12"/>
  <c r="M360" i="12"/>
  <c r="L360" i="12" s="1"/>
  <c r="AC377" i="12"/>
  <c r="AD378" i="12"/>
  <c r="M401" i="12"/>
  <c r="L402" i="12"/>
  <c r="M408" i="12"/>
  <c r="L410" i="12"/>
  <c r="AD670" i="12"/>
  <c r="AC669" i="12"/>
  <c r="J84" i="12"/>
  <c r="K84" i="12" s="1"/>
  <c r="K86" i="12"/>
  <c r="AF315" i="12"/>
  <c r="AE315" i="12" s="1"/>
  <c r="AF316" i="12"/>
  <c r="AE316" i="12" s="1"/>
  <c r="AE317" i="12"/>
  <c r="J362" i="12"/>
  <c r="K363" i="12"/>
  <c r="M377" i="12"/>
  <c r="L378" i="12"/>
  <c r="Y401" i="12"/>
  <c r="Z402" i="12"/>
  <c r="J410" i="12"/>
  <c r="K411" i="12"/>
  <c r="AB450" i="12"/>
  <c r="AA450" i="12" s="1"/>
  <c r="AA451" i="12"/>
  <c r="AB449" i="12"/>
  <c r="AA449" i="12" s="1"/>
  <c r="AE507" i="12"/>
  <c r="L509" i="12"/>
  <c r="M507" i="12"/>
  <c r="AF538" i="12"/>
  <c r="AE539" i="12"/>
  <c r="AF532" i="12"/>
  <c r="AE532" i="12" s="1"/>
  <c r="I242" i="12"/>
  <c r="I240" i="12" s="1"/>
  <c r="I239" i="12" s="1"/>
  <c r="L243" i="12"/>
  <c r="J315" i="12"/>
  <c r="K315" i="12" s="1"/>
  <c r="K317" i="12"/>
  <c r="AC317" i="12"/>
  <c r="AD318" i="12"/>
  <c r="AB354" i="12"/>
  <c r="AB355" i="12"/>
  <c r="AA355" i="12" s="1"/>
  <c r="AA356" i="12"/>
  <c r="AE363" i="12"/>
  <c r="AF362" i="12"/>
  <c r="Y377" i="12"/>
  <c r="Z378" i="12"/>
  <c r="AF399" i="12"/>
  <c r="AF400" i="12"/>
  <c r="AE401" i="12"/>
  <c r="AF523" i="12"/>
  <c r="AE524" i="12"/>
  <c r="V534" i="12"/>
  <c r="AA535" i="12"/>
  <c r="X744" i="12"/>
  <c r="X745" i="12"/>
  <c r="AF790" i="12"/>
  <c r="AE791" i="12"/>
  <c r="AH845" i="12"/>
  <c r="AH846" i="12"/>
  <c r="AB410" i="12"/>
  <c r="AA411" i="12"/>
  <c r="AD539" i="12"/>
  <c r="AC538" i="12"/>
  <c r="P576" i="12"/>
  <c r="T575" i="12"/>
  <c r="AE597" i="12"/>
  <c r="AF595" i="12"/>
  <c r="AF596" i="12"/>
  <c r="T601" i="12"/>
  <c r="P601" i="12" s="1"/>
  <c r="P603" i="12"/>
  <c r="AF623" i="12"/>
  <c r="AF624" i="12"/>
  <c r="AE625" i="12"/>
  <c r="AC644" i="12"/>
  <c r="AC645" i="12"/>
  <c r="Y661" i="12"/>
  <c r="Z661" i="12" s="1"/>
  <c r="Y662" i="12"/>
  <c r="Z662" i="12" s="1"/>
  <c r="Z663" i="12"/>
  <c r="AB683" i="12"/>
  <c r="AA684" i="12"/>
  <c r="AB682" i="12"/>
  <c r="P697" i="12"/>
  <c r="T696" i="12"/>
  <c r="W241" i="12"/>
  <c r="W240" i="12"/>
  <c r="W239" i="12" s="1"/>
  <c r="W237" i="12" s="1"/>
  <c r="W236" i="12" s="1"/>
  <c r="AC401" i="12"/>
  <c r="AD402" i="12"/>
  <c r="Z419" i="12"/>
  <c r="V410" i="12"/>
  <c r="AB477" i="12"/>
  <c r="AA478" i="12"/>
  <c r="AE517" i="12"/>
  <c r="AF516" i="12"/>
  <c r="AE516" i="12" s="1"/>
  <c r="J534" i="12"/>
  <c r="K535" i="12"/>
  <c r="AC590" i="12"/>
  <c r="AF601" i="12"/>
  <c r="AF602" i="12"/>
  <c r="AE603" i="12"/>
  <c r="AC613" i="12"/>
  <c r="AC614" i="12"/>
  <c r="AB646" i="12"/>
  <c r="AD646" i="12" s="1"/>
  <c r="AA647" i="12"/>
  <c r="J657" i="12"/>
  <c r="K658" i="12"/>
  <c r="Y678" i="12"/>
  <c r="Y677" i="12"/>
  <c r="Z677" i="12" s="1"/>
  <c r="Z679" i="12"/>
  <c r="AC695" i="12"/>
  <c r="AD696" i="12"/>
  <c r="M707" i="12"/>
  <c r="L707" i="12" s="1"/>
  <c r="L709" i="12"/>
  <c r="AD726" i="12"/>
  <c r="AC725" i="12"/>
  <c r="AB735" i="12"/>
  <c r="AA735" i="12" s="1"/>
  <c r="AA736" i="12"/>
  <c r="AE783" i="12"/>
  <c r="AB782" i="12"/>
  <c r="AB746" i="12" s="1"/>
  <c r="AD746" i="12" s="1"/>
  <c r="AA783" i="12"/>
  <c r="AD855" i="12"/>
  <c r="AC851" i="12"/>
  <c r="T956" i="12"/>
  <c r="P956" i="12" s="1"/>
  <c r="P957" i="12"/>
  <c r="AB94" i="12"/>
  <c r="AA94" i="12" s="1"/>
  <c r="AB95" i="12"/>
  <c r="AA95" i="12" s="1"/>
  <c r="AA96" i="12"/>
  <c r="P224" i="12"/>
  <c r="T222" i="12"/>
  <c r="P556" i="12"/>
  <c r="T554" i="12"/>
  <c r="P554" i="12" s="1"/>
  <c r="AF735" i="12"/>
  <c r="AE735" i="12" s="1"/>
  <c r="AE736" i="12"/>
  <c r="AA866" i="12"/>
  <c r="AB865" i="12"/>
  <c r="AD866" i="12"/>
  <c r="Y887" i="12"/>
  <c r="Z888" i="12"/>
  <c r="M902" i="12"/>
  <c r="L904" i="12"/>
  <c r="K921" i="12"/>
  <c r="J920" i="12"/>
  <c r="AA926" i="12"/>
  <c r="AB924" i="12"/>
  <c r="AA924" i="12" s="1"/>
  <c r="AB925" i="12"/>
  <c r="AA925" i="12" s="1"/>
  <c r="AE933" i="12"/>
  <c r="AF932" i="12"/>
  <c r="AF931" i="12"/>
  <c r="AA945" i="12"/>
  <c r="AB943" i="12"/>
  <c r="AA943" i="12" s="1"/>
  <c r="AB944" i="12"/>
  <c r="AA944" i="12" s="1"/>
  <c r="AC980" i="12"/>
  <c r="AD981" i="12"/>
  <c r="AC984" i="12"/>
  <c r="T240" i="12"/>
  <c r="P242" i="12"/>
  <c r="V746" i="12"/>
  <c r="Z747" i="12"/>
  <c r="AH863" i="12"/>
  <c r="AH862" i="12" s="1"/>
  <c r="AH860" i="12" s="1"/>
  <c r="AH864" i="12"/>
  <c r="P1056" i="12"/>
  <c r="T1053" i="12"/>
  <c r="K1189" i="12"/>
  <c r="J1188" i="12"/>
  <c r="P1311" i="12"/>
  <c r="T1310" i="12"/>
  <c r="K926" i="12"/>
  <c r="J924" i="12"/>
  <c r="K924" i="12" s="1"/>
  <c r="Z939" i="12"/>
  <c r="Y938" i="12"/>
  <c r="Z938" i="12" s="1"/>
  <c r="M949" i="12"/>
  <c r="L949" i="12" s="1"/>
  <c r="L951" i="12"/>
  <c r="L957" i="12"/>
  <c r="M956" i="12"/>
  <c r="L956" i="12" s="1"/>
  <c r="Y962" i="12"/>
  <c r="Z962" i="12" s="1"/>
  <c r="Z963" i="12"/>
  <c r="AE969" i="12"/>
  <c r="AF968" i="12"/>
  <c r="L974" i="12"/>
  <c r="M973" i="12"/>
  <c r="L973" i="12" s="1"/>
  <c r="J985" i="12"/>
  <c r="K986" i="12"/>
  <c r="AA991" i="12"/>
  <c r="AB989" i="12"/>
  <c r="AA989" i="12" s="1"/>
  <c r="AB990" i="12"/>
  <c r="AA990" i="12" s="1"/>
  <c r="AF1003" i="12"/>
  <c r="AE1004" i="12"/>
  <c r="AA747" i="12"/>
  <c r="AD747" i="12"/>
  <c r="Z726" i="12"/>
  <c r="Y724" i="12"/>
  <c r="Z724" i="12" s="1"/>
  <c r="Y725" i="12"/>
  <c r="Z725" i="12" s="1"/>
  <c r="Y1026" i="12"/>
  <c r="Z1026" i="12" s="1"/>
  <c r="Y1027" i="12"/>
  <c r="Z1027" i="12" s="1"/>
  <c r="Z1028" i="12"/>
  <c r="K1039" i="12"/>
  <c r="J1037" i="12"/>
  <c r="P1171" i="12"/>
  <c r="T1170" i="12"/>
  <c r="AI1186" i="12"/>
  <c r="AI1185" i="12" s="1"/>
  <c r="AI1183" i="12" s="1"/>
  <c r="AI1187" i="12"/>
  <c r="V1238" i="12"/>
  <c r="V1237" i="12"/>
  <c r="V1236" i="12" s="1"/>
  <c r="V1234" i="12" s="1"/>
  <c r="AB1387" i="12"/>
  <c r="AA1388" i="12"/>
  <c r="AC1435" i="12"/>
  <c r="AC1434" i="12"/>
  <c r="Z1437" i="12"/>
  <c r="Y1436" i="12"/>
  <c r="J1545" i="12"/>
  <c r="K1546" i="12"/>
  <c r="Y1037" i="12"/>
  <c r="Z1037" i="12" s="1"/>
  <c r="Z1039" i="12"/>
  <c r="Y1038" i="12"/>
  <c r="Z1038" i="12" s="1"/>
  <c r="AD1368" i="12"/>
  <c r="AC1366" i="12"/>
  <c r="AC1367" i="12"/>
  <c r="M1387" i="12"/>
  <c r="L1388" i="12"/>
  <c r="P1709" i="12"/>
  <c r="T1703" i="12"/>
  <c r="P1703" i="12" s="1"/>
  <c r="W789" i="12"/>
  <c r="W788" i="12"/>
  <c r="AI1287" i="12"/>
  <c r="AI1286" i="12"/>
  <c r="AI1285" i="12" s="1"/>
  <c r="AI1283" i="12" s="1"/>
  <c r="AE1388" i="12"/>
  <c r="AF1387" i="12"/>
  <c r="AD1457" i="12"/>
  <c r="AC1456" i="12"/>
  <c r="AB1495" i="12"/>
  <c r="AE1496" i="12"/>
  <c r="AD1555" i="12"/>
  <c r="AC1545" i="12"/>
  <c r="V1644" i="12"/>
  <c r="V1618" i="12"/>
  <c r="V1617" i="12" s="1"/>
  <c r="AA1645" i="12"/>
  <c r="AA1644" i="12" s="1"/>
  <c r="U1669" i="12"/>
  <c r="U1653" i="12" s="1"/>
  <c r="U1630" i="12"/>
  <c r="AC1691" i="12"/>
  <c r="AC1690" i="12"/>
  <c r="M228" i="12"/>
  <c r="L228" i="12" s="1"/>
  <c r="L230" i="12"/>
  <c r="J978" i="12"/>
  <c r="K978" i="12" s="1"/>
  <c r="K980" i="12"/>
  <c r="AC1026" i="12"/>
  <c r="AC1027" i="12"/>
  <c r="AD1028" i="12"/>
  <c r="AF1044" i="12"/>
  <c r="AF1043" i="12"/>
  <c r="AE1045" i="12"/>
  <c r="L1240" i="12"/>
  <c r="AF1286" i="12"/>
  <c r="AF1287" i="12"/>
  <c r="AE1288" i="12"/>
  <c r="AF1320" i="12"/>
  <c r="AF1321" i="12"/>
  <c r="AE1322" i="12"/>
  <c r="V1347" i="12"/>
  <c r="Z1347" i="12" s="1"/>
  <c r="AA1348" i="12"/>
  <c r="Z1348" i="12"/>
  <c r="T1366" i="12"/>
  <c r="P1366" i="12" s="1"/>
  <c r="P1368" i="12"/>
  <c r="AE1467" i="12"/>
  <c r="AF1456" i="12"/>
  <c r="AF1506" i="12"/>
  <c r="AE1507" i="12"/>
  <c r="M1538" i="12"/>
  <c r="L1539" i="12"/>
  <c r="AB1606" i="12"/>
  <c r="AA1610" i="12"/>
  <c r="AD1610" i="12"/>
  <c r="AA1728" i="12"/>
  <c r="AD1728" i="12"/>
  <c r="P1138" i="12"/>
  <c r="T1137" i="12"/>
  <c r="Z1239" i="12"/>
  <c r="Z1238" i="12" s="1"/>
  <c r="Y1237" i="12"/>
  <c r="Y1238" i="12"/>
  <c r="J1310" i="12"/>
  <c r="K1311" i="12"/>
  <c r="Y1387" i="12"/>
  <c r="Z1388" i="12"/>
  <c r="AI1455" i="12"/>
  <c r="AI1454" i="12"/>
  <c r="AE1486" i="12"/>
  <c r="AF1485" i="12"/>
  <c r="AF1536" i="12"/>
  <c r="AE1536" i="12" s="1"/>
  <c r="AF1537" i="12"/>
  <c r="AE1537" i="12" s="1"/>
  <c r="AE1538" i="12"/>
  <c r="P1546" i="12"/>
  <c r="T1545" i="12"/>
  <c r="V1545" i="12"/>
  <c r="Z1546" i="12"/>
  <c r="AF1620" i="12"/>
  <c r="AE1621" i="12"/>
  <c r="AF1618" i="12"/>
  <c r="AF1644" i="12"/>
  <c r="AE1644" i="12" s="1"/>
  <c r="AE1645" i="12"/>
  <c r="AA1700" i="12"/>
  <c r="AA1699" i="12" s="1"/>
  <c r="AA1698" i="12" s="1"/>
  <c r="AA1697" i="12" s="1"/>
  <c r="AA2610" i="12"/>
  <c r="P1720" i="12"/>
  <c r="T1719" i="12"/>
  <c r="Z1767" i="12"/>
  <c r="Y1754" i="12"/>
  <c r="P1797" i="12"/>
  <c r="T1796" i="12"/>
  <c r="P2006" i="12"/>
  <c r="T2005" i="12"/>
  <c r="AD799" i="12"/>
  <c r="AC790" i="12"/>
  <c r="K1018" i="12"/>
  <c r="J1017" i="12"/>
  <c r="AA1018" i="12"/>
  <c r="AB1017" i="12"/>
  <c r="AD1018" i="12"/>
  <c r="AB1026" i="12"/>
  <c r="AA1026" i="12" s="1"/>
  <c r="AB1027" i="12"/>
  <c r="AA1027" i="12" s="1"/>
  <c r="AA1028" i="12"/>
  <c r="AE1028" i="12"/>
  <c r="AC1044" i="12"/>
  <c r="AC1043" i="12"/>
  <c r="AD1045" i="12"/>
  <c r="AF1071" i="12"/>
  <c r="AF1072" i="12"/>
  <c r="AE1073" i="12"/>
  <c r="M1137" i="12"/>
  <c r="L1138" i="12"/>
  <c r="AB1176" i="12"/>
  <c r="AA1180" i="12"/>
  <c r="M1329" i="12"/>
  <c r="L1330" i="12"/>
  <c r="M1485" i="12"/>
  <c r="L1486" i="12"/>
  <c r="AF1675" i="12"/>
  <c r="AE1676" i="12"/>
  <c r="AB1697" i="12"/>
  <c r="AD1697" i="12" s="1"/>
  <c r="AD1698" i="12"/>
  <c r="AH1718" i="12"/>
  <c r="AH1717" i="12"/>
  <c r="AH1716" i="12" s="1"/>
  <c r="AH1714" i="12" s="1"/>
  <c r="AH1929" i="12"/>
  <c r="AH1864" i="12"/>
  <c r="AA1990" i="12"/>
  <c r="AE1990" i="12"/>
  <c r="V2083" i="12"/>
  <c r="Z2084" i="12"/>
  <c r="AA2084" i="12"/>
  <c r="L2217" i="12"/>
  <c r="M2216" i="12"/>
  <c r="S221" i="8"/>
  <c r="R708" i="8"/>
  <c r="U874" i="10"/>
  <c r="U876" i="10" s="1"/>
  <c r="S131" i="10"/>
  <c r="S121" i="10" s="1"/>
  <c r="W183" i="10"/>
  <c r="N319" i="10"/>
  <c r="X358" i="10"/>
  <c r="O289" i="10"/>
  <c r="N341" i="10"/>
  <c r="X283" i="10"/>
  <c r="M319" i="10"/>
  <c r="R549" i="10"/>
  <c r="P440" i="10"/>
  <c r="P438" i="10" s="1"/>
  <c r="M654" i="10"/>
  <c r="N337" i="10"/>
  <c r="M731" i="10"/>
  <c r="N778" i="10"/>
  <c r="M753" i="10"/>
  <c r="I352" i="12"/>
  <c r="I350" i="12" s="1"/>
  <c r="N503" i="12"/>
  <c r="N471" i="12" s="1"/>
  <c r="AE441" i="12"/>
  <c r="R654" i="10"/>
  <c r="W180" i="12"/>
  <c r="AE419" i="12"/>
  <c r="K252" i="12"/>
  <c r="AG352" i="12"/>
  <c r="AG350" i="12" s="1"/>
  <c r="Q503" i="12"/>
  <c r="W505" i="12"/>
  <c r="AD356" i="12"/>
  <c r="R859" i="12"/>
  <c r="AG374" i="12"/>
  <c r="AG372" i="12" s="1"/>
  <c r="O859" i="12"/>
  <c r="AE732" i="12"/>
  <c r="AE995" i="12"/>
  <c r="AE1027" i="12"/>
  <c r="AD755" i="12"/>
  <c r="Z1240" i="12"/>
  <c r="AG894" i="12"/>
  <c r="AF1239" i="12"/>
  <c r="V329" i="10"/>
  <c r="R329" i="10" s="1"/>
  <c r="R331" i="10"/>
  <c r="M417" i="10"/>
  <c r="L413" i="10"/>
  <c r="R388" i="10"/>
  <c r="V387" i="10"/>
  <c r="R387" i="10" s="1"/>
  <c r="W570" i="10"/>
  <c r="W561" i="10"/>
  <c r="W522" i="10" s="1"/>
  <c r="W440" i="10" s="1"/>
  <c r="W438" i="10" s="1"/>
  <c r="N79" i="10"/>
  <c r="O78" i="10"/>
  <c r="N78" i="10" s="1"/>
  <c r="V112" i="10"/>
  <c r="R113" i="10"/>
  <c r="V36" i="10"/>
  <c r="R38" i="10"/>
  <c r="N136" i="10"/>
  <c r="O135" i="10"/>
  <c r="L19" i="10"/>
  <c r="M21" i="10"/>
  <c r="M127" i="10"/>
  <c r="L125" i="10"/>
  <c r="L133" i="10"/>
  <c r="M153" i="10"/>
  <c r="O158" i="10"/>
  <c r="N158" i="10" s="1"/>
  <c r="N160" i="10"/>
  <c r="L185" i="10"/>
  <c r="M187" i="10"/>
  <c r="L198" i="10"/>
  <c r="M199" i="10"/>
  <c r="V212" i="10"/>
  <c r="R218" i="10"/>
  <c r="M250" i="10"/>
  <c r="L248" i="10"/>
  <c r="R259" i="10"/>
  <c r="V258" i="10"/>
  <c r="R258" i="10" s="1"/>
  <c r="V153" i="10"/>
  <c r="R154" i="10"/>
  <c r="V308" i="10"/>
  <c r="R309" i="10"/>
  <c r="N316" i="10"/>
  <c r="O315" i="10"/>
  <c r="N294" i="10"/>
  <c r="K293" i="10"/>
  <c r="L205" i="10"/>
  <c r="M206" i="10"/>
  <c r="M263" i="10"/>
  <c r="N263" i="10"/>
  <c r="K259" i="10"/>
  <c r="V257" i="10"/>
  <c r="R269" i="10"/>
  <c r="L287" i="10"/>
  <c r="V359" i="10"/>
  <c r="R360" i="10"/>
  <c r="M160" i="10"/>
  <c r="L158" i="10"/>
  <c r="M158" i="10" s="1"/>
  <c r="L571" i="10"/>
  <c r="M572" i="10"/>
  <c r="L605" i="10"/>
  <c r="M605" i="10" s="1"/>
  <c r="M607" i="10"/>
  <c r="V631" i="10"/>
  <c r="R631" i="10" s="1"/>
  <c r="R633" i="10"/>
  <c r="O497" i="10"/>
  <c r="N497" i="10" s="1"/>
  <c r="N499" i="10"/>
  <c r="R518" i="10"/>
  <c r="V517" i="10"/>
  <c r="L529" i="10"/>
  <c r="M530" i="10"/>
  <c r="L739" i="10"/>
  <c r="M739" i="10" s="1"/>
  <c r="M741" i="10"/>
  <c r="Y33" i="12"/>
  <c r="Z34" i="12"/>
  <c r="N335" i="10"/>
  <c r="K18" i="12"/>
  <c r="J17" i="12"/>
  <c r="K151" i="12"/>
  <c r="J150" i="12"/>
  <c r="O607" i="10"/>
  <c r="N608" i="10"/>
  <c r="P50" i="12"/>
  <c r="T48" i="12"/>
  <c r="P48" i="12" s="1"/>
  <c r="J48" i="12"/>
  <c r="K48" i="12" s="1"/>
  <c r="K50" i="12"/>
  <c r="Y85" i="12"/>
  <c r="Y84" i="12"/>
  <c r="AD151" i="12"/>
  <c r="AC150" i="12"/>
  <c r="O554" i="10"/>
  <c r="N554" i="10" s="1"/>
  <c r="N556" i="10"/>
  <c r="N771" i="10"/>
  <c r="J31" i="12"/>
  <c r="K31" i="12" s="1"/>
  <c r="K33" i="12"/>
  <c r="M48" i="12"/>
  <c r="L48" i="12" s="1"/>
  <c r="L50" i="12"/>
  <c r="P68" i="12"/>
  <c r="T66" i="12"/>
  <c r="P66" i="12" s="1"/>
  <c r="P216" i="12"/>
  <c r="T214" i="12"/>
  <c r="J66" i="12"/>
  <c r="K66" i="12" s="1"/>
  <c r="K68" i="12"/>
  <c r="V149" i="12"/>
  <c r="V148" i="12"/>
  <c r="V146" i="12" s="1"/>
  <c r="X166" i="12"/>
  <c r="X164" i="12" s="1"/>
  <c r="X167" i="12"/>
  <c r="V443" i="10"/>
  <c r="R443" i="10" s="1"/>
  <c r="R444" i="10"/>
  <c r="L717" i="10"/>
  <c r="M717" i="10" s="1"/>
  <c r="M719" i="10"/>
  <c r="AB31" i="12"/>
  <c r="AA31" i="12" s="1"/>
  <c r="AB32" i="12"/>
  <c r="AA32" i="12" s="1"/>
  <c r="AA33" i="12"/>
  <c r="P170" i="12"/>
  <c r="T169" i="12"/>
  <c r="P186" i="12"/>
  <c r="T184" i="12"/>
  <c r="L865" i="10"/>
  <c r="M866" i="10"/>
  <c r="R866" i="10"/>
  <c r="V865" i="10"/>
  <c r="Z252" i="12"/>
  <c r="Y242" i="12"/>
  <c r="AE386" i="12"/>
  <c r="AF377" i="12"/>
  <c r="M521" i="12"/>
  <c r="L521" i="12" s="1"/>
  <c r="L523" i="12"/>
  <c r="AB523" i="12"/>
  <c r="AD523" i="12" s="1"/>
  <c r="AA524" i="12"/>
  <c r="AB377" i="12"/>
  <c r="AA378" i="12"/>
  <c r="Z670" i="12"/>
  <c r="Y669" i="12"/>
  <c r="V812" i="10"/>
  <c r="R812" i="10" s="1"/>
  <c r="R818" i="10"/>
  <c r="AC66" i="12"/>
  <c r="AC67" i="12"/>
  <c r="L148" i="12"/>
  <c r="M146" i="12"/>
  <c r="L146" i="12" s="1"/>
  <c r="J242" i="12"/>
  <c r="K243" i="12"/>
  <c r="AE252" i="12"/>
  <c r="AF242" i="12"/>
  <c r="AD466" i="12"/>
  <c r="AC459" i="12"/>
  <c r="AF477" i="12"/>
  <c r="AE478" i="12"/>
  <c r="AG475" i="12"/>
  <c r="AG474" i="12" s="1"/>
  <c r="AG472" i="12" s="1"/>
  <c r="AG476" i="12"/>
  <c r="AC560" i="12"/>
  <c r="AD562" i="12"/>
  <c r="AC561" i="12"/>
  <c r="K616" i="12"/>
  <c r="J615" i="12"/>
  <c r="K664" i="12"/>
  <c r="J663" i="12"/>
  <c r="AD685" i="12"/>
  <c r="AC684" i="12"/>
  <c r="Z737" i="12"/>
  <c r="Y736" i="12"/>
  <c r="AF68" i="12"/>
  <c r="AE69" i="12"/>
  <c r="P150" i="12"/>
  <c r="T148" i="12"/>
  <c r="AF222" i="12"/>
  <c r="AF223" i="12"/>
  <c r="AE224" i="12"/>
  <c r="AB230" i="12"/>
  <c r="AD230" i="12" s="1"/>
  <c r="AB231" i="12"/>
  <c r="AA231" i="12" s="1"/>
  <c r="AA232" i="12"/>
  <c r="AA694" i="12"/>
  <c r="AE694" i="12"/>
  <c r="AF746" i="12"/>
  <c r="AE747" i="12"/>
  <c r="V116" i="12"/>
  <c r="V115" i="12"/>
  <c r="V14" i="12" s="1"/>
  <c r="Y367" i="12"/>
  <c r="Z367" i="12" s="1"/>
  <c r="Z368" i="12"/>
  <c r="AB538" i="12"/>
  <c r="AA538" i="12" s="1"/>
  <c r="AA539" i="12"/>
  <c r="AF549" i="12"/>
  <c r="AE549" i="12" s="1"/>
  <c r="AE550" i="12"/>
  <c r="AF556" i="12"/>
  <c r="AE557" i="12"/>
  <c r="J562" i="12"/>
  <c r="K563" i="12"/>
  <c r="AF579" i="12"/>
  <c r="AE580" i="12"/>
  <c r="AD603" i="12"/>
  <c r="AC602" i="12"/>
  <c r="AC601" i="12"/>
  <c r="P632" i="12"/>
  <c r="T630" i="12"/>
  <c r="P630" i="12" s="1"/>
  <c r="AA112" i="12"/>
  <c r="AB111" i="12"/>
  <c r="AE111" i="12" s="1"/>
  <c r="AE339" i="12"/>
  <c r="AF338" i="12"/>
  <c r="AH745" i="12"/>
  <c r="AH744" i="12"/>
  <c r="X788" i="12"/>
  <c r="X789" i="12"/>
  <c r="AF834" i="12"/>
  <c r="AE838" i="12"/>
  <c r="AC301" i="12"/>
  <c r="AA592" i="12"/>
  <c r="AB591" i="12"/>
  <c r="AD591" i="12" s="1"/>
  <c r="Y709" i="12"/>
  <c r="Z710" i="12"/>
  <c r="W745" i="12"/>
  <c r="W744" i="12"/>
  <c r="W743" i="12" s="1"/>
  <c r="W740" i="12" s="1"/>
  <c r="J968" i="12"/>
  <c r="AE980" i="12"/>
  <c r="AF979" i="12"/>
  <c r="AF978" i="12"/>
  <c r="L985" i="12"/>
  <c r="M984" i="12"/>
  <c r="L984" i="12" s="1"/>
  <c r="AE1010" i="12"/>
  <c r="AF1009" i="12"/>
  <c r="V845" i="12"/>
  <c r="V846" i="12"/>
  <c r="N865" i="12"/>
  <c r="N863" i="12" s="1"/>
  <c r="N862" i="12" s="1"/>
  <c r="N860" i="12" s="1"/>
  <c r="N859" i="12" s="1"/>
  <c r="P866" i="12"/>
  <c r="X863" i="12"/>
  <c r="X862" i="12" s="1"/>
  <c r="X860" i="12" s="1"/>
  <c r="X864" i="12"/>
  <c r="P1486" i="12"/>
  <c r="T1485" i="12"/>
  <c r="P1539" i="12"/>
  <c r="T1538" i="12"/>
  <c r="P1646" i="12"/>
  <c r="T1645" i="12"/>
  <c r="AC240" i="12"/>
  <c r="AC241" i="12"/>
  <c r="AD701" i="12"/>
  <c r="V791" i="12"/>
  <c r="AA792" i="12"/>
  <c r="Z792" i="12"/>
  <c r="Y863" i="12"/>
  <c r="Y864" i="12"/>
  <c r="AE887" i="12"/>
  <c r="AF886" i="12"/>
  <c r="AF885" i="12"/>
  <c r="AE898" i="12"/>
  <c r="AF897" i="12"/>
  <c r="Y918" i="12"/>
  <c r="Z918" i="12" s="1"/>
  <c r="Y919" i="12"/>
  <c r="Z919" i="12" s="1"/>
  <c r="Z920" i="12"/>
  <c r="K945" i="12"/>
  <c r="J943" i="12"/>
  <c r="K943" i="12" s="1"/>
  <c r="AC744" i="12"/>
  <c r="AC745" i="12"/>
  <c r="S1183" i="12"/>
  <c r="S1185" i="12"/>
  <c r="L1323" i="12"/>
  <c r="M1322" i="12"/>
  <c r="K1340" i="12"/>
  <c r="J1338" i="12"/>
  <c r="K1338" i="12" s="1"/>
  <c r="J1604" i="12"/>
  <c r="I1618" i="12"/>
  <c r="I1617" i="12" s="1"/>
  <c r="I1630" i="12"/>
  <c r="U1717" i="12"/>
  <c r="U1716" i="12" s="1"/>
  <c r="U1714" i="12" s="1"/>
  <c r="U1718" i="12"/>
  <c r="AI1718" i="12"/>
  <c r="AI1717" i="12"/>
  <c r="AI1716" i="12" s="1"/>
  <c r="AI1714" i="12" s="1"/>
  <c r="AC214" i="12"/>
  <c r="AC215" i="12"/>
  <c r="V1136" i="12"/>
  <c r="V1135" i="12"/>
  <c r="V1134" i="12" s="1"/>
  <c r="V1132" i="12" s="1"/>
  <c r="W1434" i="12"/>
  <c r="W1435" i="12"/>
  <c r="Z1457" i="12"/>
  <c r="Y1456" i="12"/>
  <c r="X1503" i="12"/>
  <c r="X1504" i="12"/>
  <c r="X1544" i="12"/>
  <c r="X1543" i="12"/>
  <c r="X1542" i="12" s="1"/>
  <c r="I1606" i="12"/>
  <c r="I1604" i="12" s="1"/>
  <c r="I1542" i="12" s="1"/>
  <c r="I1501" i="12" s="1"/>
  <c r="I1499" i="12" s="1"/>
  <c r="K1610" i="12"/>
  <c r="L1610" i="12"/>
  <c r="AC1704" i="12"/>
  <c r="AC228" i="12"/>
  <c r="J449" i="12"/>
  <c r="K449" i="12" s="1"/>
  <c r="K451" i="12"/>
  <c r="AE731" i="12"/>
  <c r="AF730" i="12"/>
  <c r="AE730" i="12" s="1"/>
  <c r="AD927" i="12"/>
  <c r="AC926" i="12"/>
  <c r="J931" i="12"/>
  <c r="K931" i="12" s="1"/>
  <c r="K933" i="12"/>
  <c r="AB931" i="12"/>
  <c r="AA931" i="12" s="1"/>
  <c r="AB932" i="12"/>
  <c r="AA932" i="12" s="1"/>
  <c r="AA933" i="12"/>
  <c r="AB951" i="12"/>
  <c r="AA952" i="12"/>
  <c r="AE958" i="12"/>
  <c r="AF957" i="12"/>
  <c r="I969" i="12"/>
  <c r="I968" i="12" s="1"/>
  <c r="I894" i="12" s="1"/>
  <c r="I892" i="12" s="1"/>
  <c r="K970" i="12"/>
  <c r="P980" i="12"/>
  <c r="T978" i="12"/>
  <c r="P978" i="12" s="1"/>
  <c r="J1239" i="12"/>
  <c r="K1240" i="12"/>
  <c r="U1238" i="12"/>
  <c r="U1237" i="12"/>
  <c r="U1236" i="12" s="1"/>
  <c r="U1234" i="12" s="1"/>
  <c r="AD1289" i="12"/>
  <c r="AC1288" i="12"/>
  <c r="X1344" i="12"/>
  <c r="X1319" i="12" s="1"/>
  <c r="X1345" i="12"/>
  <c r="M1436" i="12"/>
  <c r="L1437" i="12"/>
  <c r="AI1503" i="12"/>
  <c r="AI1504" i="12"/>
  <c r="AB1705" i="12"/>
  <c r="AB1703" i="12" s="1"/>
  <c r="AA1706" i="12"/>
  <c r="K1754" i="12"/>
  <c r="J1753" i="12"/>
  <c r="P1804" i="12"/>
  <c r="T1802" i="12"/>
  <c r="P1802" i="12" s="1"/>
  <c r="P1822" i="12"/>
  <c r="T1821" i="12"/>
  <c r="P2039" i="12"/>
  <c r="T2038" i="12"/>
  <c r="Z591" i="12"/>
  <c r="Y590" i="12"/>
  <c r="Z590" i="12" s="1"/>
  <c r="AA1240" i="12"/>
  <c r="AB1239" i="12"/>
  <c r="AC1739" i="12"/>
  <c r="AC1740" i="12"/>
  <c r="X1751" i="12"/>
  <c r="X1750" i="12" s="1"/>
  <c r="X1748" i="12" s="1"/>
  <c r="X1746" i="12" s="1"/>
  <c r="X1752" i="12"/>
  <c r="Z2039" i="12"/>
  <c r="Y2038" i="12"/>
  <c r="K2066" i="12"/>
  <c r="J2065" i="12"/>
  <c r="T2080" i="12"/>
  <c r="P2080" i="12" s="1"/>
  <c r="P2082" i="12"/>
  <c r="AD2135" i="12"/>
  <c r="AC2134" i="12"/>
  <c r="AG2234" i="12"/>
  <c r="AG2285" i="12"/>
  <c r="Y2329" i="12"/>
  <c r="Z2330" i="12"/>
  <c r="W2234" i="12"/>
  <c r="W2233" i="12" s="1"/>
  <c r="W2285" i="12"/>
  <c r="W173" i="9"/>
  <c r="R79" i="10"/>
  <c r="S325" i="10"/>
  <c r="S323" i="10" s="1"/>
  <c r="S312" i="10" s="1"/>
  <c r="M342" i="10"/>
  <c r="R464" i="10"/>
  <c r="W14" i="12"/>
  <c r="W11" i="12" s="1"/>
  <c r="W10" i="12" s="1"/>
  <c r="N11" i="12"/>
  <c r="N10" i="12" s="1"/>
  <c r="K736" i="10"/>
  <c r="AA132" i="12"/>
  <c r="K701" i="10"/>
  <c r="K699" i="10" s="1"/>
  <c r="K428" i="10" s="1"/>
  <c r="AE2598" i="12"/>
  <c r="AE486" i="12"/>
  <c r="AD419" i="12"/>
  <c r="R653" i="10"/>
  <c r="P755" i="12"/>
  <c r="AG505" i="12"/>
  <c r="K366" i="12"/>
  <c r="X407" i="12"/>
  <c r="X405" i="12" s="1"/>
  <c r="U1436" i="12"/>
  <c r="U1434" i="12" s="1"/>
  <c r="Q1365" i="12"/>
  <c r="J377" i="12"/>
  <c r="AE996" i="12"/>
  <c r="O1501" i="12"/>
  <c r="O1499" i="12" s="1"/>
  <c r="AG1288" i="12"/>
  <c r="O1317" i="12"/>
  <c r="O1315" i="12" s="1"/>
  <c r="AC1703" i="12"/>
  <c r="AC1682" i="12" s="1"/>
  <c r="L383" i="8"/>
  <c r="M38" i="10"/>
  <c r="L36" i="10"/>
  <c r="L110" i="10"/>
  <c r="M112" i="10"/>
  <c r="V125" i="10"/>
  <c r="R127" i="10"/>
  <c r="V158" i="10"/>
  <c r="R158" i="10" s="1"/>
  <c r="R160" i="10"/>
  <c r="V176" i="10"/>
  <c r="R176" i="10" s="1"/>
  <c r="R178" i="10"/>
  <c r="R372" i="10"/>
  <c r="V371" i="10"/>
  <c r="O239" i="10"/>
  <c r="N240" i="10"/>
  <c r="O534" i="10"/>
  <c r="N534" i="10" s="1"/>
  <c r="N535" i="10"/>
  <c r="R452" i="10"/>
  <c r="O621" i="10"/>
  <c r="N622" i="10"/>
  <c r="M471" i="10"/>
  <c r="L470" i="10"/>
  <c r="AF50" i="12"/>
  <c r="AE51" i="12"/>
  <c r="M556" i="10"/>
  <c r="L554" i="10"/>
  <c r="M554" i="10" s="1"/>
  <c r="N818" i="10"/>
  <c r="O812" i="10"/>
  <c r="N812" i="10" s="1"/>
  <c r="AG85" i="12"/>
  <c r="AG84" i="12"/>
  <c r="AG14" i="12" s="1"/>
  <c r="AG11" i="12" s="1"/>
  <c r="AA85" i="12"/>
  <c r="AA84" i="12"/>
  <c r="AD529" i="12"/>
  <c r="AC528" i="12"/>
  <c r="AC521" i="12" s="1"/>
  <c r="V840" i="10"/>
  <c r="R840" i="10" s="1"/>
  <c r="V842" i="10"/>
  <c r="R842" i="10" s="1"/>
  <c r="R843" i="10"/>
  <c r="AC54" i="12"/>
  <c r="AD56" i="12"/>
  <c r="AC55" i="12"/>
  <c r="V130" i="12"/>
  <c r="V129" i="12"/>
  <c r="V127" i="12" s="1"/>
  <c r="AH408" i="12"/>
  <c r="AH407" i="12" s="1"/>
  <c r="AH405" i="12" s="1"/>
  <c r="AH409" i="12"/>
  <c r="P486" i="12"/>
  <c r="T477" i="12"/>
  <c r="Z540" i="12"/>
  <c r="Y539" i="12"/>
  <c r="Y532" i="12" s="1"/>
  <c r="AC522" i="12"/>
  <c r="AG240" i="12"/>
  <c r="AG241" i="12"/>
  <c r="W476" i="12"/>
  <c r="W475" i="12"/>
  <c r="W474" i="12" s="1"/>
  <c r="W472" i="12" s="1"/>
  <c r="AD652" i="12"/>
  <c r="AC651" i="12"/>
  <c r="AD651" i="12" s="1"/>
  <c r="J682" i="12"/>
  <c r="K684" i="12"/>
  <c r="K736" i="12"/>
  <c r="J735" i="12"/>
  <c r="K735" i="12" s="1"/>
  <c r="J266" i="12"/>
  <c r="K266" i="12" s="1"/>
  <c r="K268" i="12"/>
  <c r="M317" i="12"/>
  <c r="L318" i="12"/>
  <c r="Y522" i="12"/>
  <c r="Z522" i="12" s="1"/>
  <c r="Z523" i="12"/>
  <c r="Y630" i="12"/>
  <c r="Z630" i="12" s="1"/>
  <c r="Y631" i="12"/>
  <c r="Z631" i="12" s="1"/>
  <c r="Z632" i="12"/>
  <c r="AF646" i="12"/>
  <c r="AE647" i="12"/>
  <c r="J693" i="12"/>
  <c r="K693" i="12" s="1"/>
  <c r="K695" i="12"/>
  <c r="Z303" i="12"/>
  <c r="Y302" i="12"/>
  <c r="AF845" i="12"/>
  <c r="AE851" i="12"/>
  <c r="AF846" i="12"/>
  <c r="AC609" i="12"/>
  <c r="AD610" i="12"/>
  <c r="M661" i="12"/>
  <c r="L661" i="12" s="1"/>
  <c r="L663" i="12"/>
  <c r="P680" i="12"/>
  <c r="T679" i="12"/>
  <c r="AE701" i="12"/>
  <c r="AI745" i="12"/>
  <c r="AI744" i="12"/>
  <c r="AG833" i="12"/>
  <c r="AG788" i="12"/>
  <c r="AI1016" i="12"/>
  <c r="AI1015" i="12"/>
  <c r="AI1013" i="12" s="1"/>
  <c r="AI892" i="12" s="1"/>
  <c r="AF497" i="12"/>
  <c r="AF498" i="12"/>
  <c r="AE499" i="12"/>
  <c r="AB561" i="12"/>
  <c r="AA562" i="12"/>
  <c r="AB560" i="12"/>
  <c r="AE562" i="12"/>
  <c r="P597" i="12"/>
  <c r="T595" i="12"/>
  <c r="P595" i="12" s="1"/>
  <c r="Z682" i="12"/>
  <c r="Z683" i="12"/>
  <c r="K887" i="12"/>
  <c r="J885" i="12"/>
  <c r="K885" i="12" s="1"/>
  <c r="AA921" i="12"/>
  <c r="AB920" i="12"/>
  <c r="AD921" i="12"/>
  <c r="AC933" i="12"/>
  <c r="AD934" i="12"/>
  <c r="AA964" i="12"/>
  <c r="AB963" i="12"/>
  <c r="AD964" i="12"/>
  <c r="AI789" i="12"/>
  <c r="AI788" i="12"/>
  <c r="P874" i="12"/>
  <c r="T865" i="12"/>
  <c r="AF544" i="12"/>
  <c r="AE544" i="12" s="1"/>
  <c r="AE545" i="12"/>
  <c r="AF543" i="12"/>
  <c r="AE543" i="12" s="1"/>
  <c r="Z603" i="12"/>
  <c r="Y601" i="12"/>
  <c r="Z601" i="12" s="1"/>
  <c r="Y602" i="12"/>
  <c r="Z602" i="12" s="1"/>
  <c r="AF632" i="12"/>
  <c r="AE636" i="12"/>
  <c r="AB656" i="12"/>
  <c r="AA656" i="12" s="1"/>
  <c r="AA657" i="12"/>
  <c r="AA650" i="12" s="1"/>
  <c r="AB650" i="12"/>
  <c r="AE650" i="12" s="1"/>
  <c r="AB667" i="12"/>
  <c r="AA667" i="12" s="1"/>
  <c r="AB668" i="12"/>
  <c r="AA668" i="12" s="1"/>
  <c r="AA669" i="12"/>
  <c r="AE669" i="12"/>
  <c r="J676" i="12"/>
  <c r="K676" i="12" s="1"/>
  <c r="K678" i="12"/>
  <c r="M678" i="12"/>
  <c r="L679" i="12"/>
  <c r="Y695" i="12"/>
  <c r="Z696" i="12"/>
  <c r="AC896" i="12"/>
  <c r="AF920" i="12"/>
  <c r="AE921" i="12"/>
  <c r="AF937" i="12"/>
  <c r="AF939" i="12"/>
  <c r="AE940" i="12"/>
  <c r="AC956" i="12"/>
  <c r="AA986" i="12"/>
  <c r="AB985" i="12"/>
  <c r="AD985" i="12" s="1"/>
  <c r="W701" i="12"/>
  <c r="W699" i="12" s="1"/>
  <c r="W702" i="12"/>
  <c r="J1719" i="12"/>
  <c r="K1720" i="12"/>
  <c r="Y950" i="12"/>
  <c r="Z950" i="12" s="1"/>
  <c r="Z951" i="12"/>
  <c r="Y949" i="12"/>
  <c r="Z949" i="12" s="1"/>
  <c r="Y1002" i="12"/>
  <c r="Z1002" i="12" s="1"/>
  <c r="Z1003" i="12"/>
  <c r="Y1001" i="12"/>
  <c r="Z1001" i="12" s="1"/>
  <c r="Q1183" i="12"/>
  <c r="Q1131" i="12" s="1"/>
  <c r="Q1185" i="12"/>
  <c r="AC938" i="12"/>
  <c r="AD939" i="12"/>
  <c r="AE1080" i="12"/>
  <c r="AF1079" i="12"/>
  <c r="N1289" i="12"/>
  <c r="P1290" i="12"/>
  <c r="AA1709" i="12"/>
  <c r="AE1709" i="12"/>
  <c r="AD1508" i="12"/>
  <c r="AC1507" i="12"/>
  <c r="M1545" i="12"/>
  <c r="L1546" i="12"/>
  <c r="J974" i="12"/>
  <c r="K975" i="12"/>
  <c r="T701" i="10"/>
  <c r="T699" i="10" s="1"/>
  <c r="T428" i="10" s="1"/>
  <c r="T874" i="10" s="1"/>
  <c r="T876" i="10" s="1"/>
  <c r="AI180" i="12"/>
  <c r="AD449" i="12"/>
  <c r="AE997" i="12"/>
  <c r="L78" i="10"/>
  <c r="M78" i="10" s="1"/>
  <c r="M79" i="10"/>
  <c r="W159" i="10"/>
  <c r="W158" i="10"/>
  <c r="W151" i="10" s="1"/>
  <c r="W131" i="10" s="1"/>
  <c r="W121" i="10" s="1"/>
  <c r="O187" i="10"/>
  <c r="N188" i="10"/>
  <c r="O220" i="10"/>
  <c r="N221" i="10"/>
  <c r="X159" i="10"/>
  <c r="X158" i="10"/>
  <c r="X151" i="10" s="1"/>
  <c r="Y335" i="10"/>
  <c r="Y336" i="10"/>
  <c r="O571" i="10"/>
  <c r="N572" i="10"/>
  <c r="V625" i="10"/>
  <c r="R625" i="10" s="1"/>
  <c r="R627" i="10"/>
  <c r="L491" i="10"/>
  <c r="M492" i="10"/>
  <c r="L593" i="10"/>
  <c r="M594" i="10"/>
  <c r="V411" i="10"/>
  <c r="R413" i="10"/>
  <c r="M622" i="10"/>
  <c r="L621" i="10"/>
  <c r="Z74" i="12"/>
  <c r="Y73" i="12"/>
  <c r="O599" i="10"/>
  <c r="N599" i="10" s="1"/>
  <c r="N601" i="10"/>
  <c r="P62" i="12"/>
  <c r="T60" i="12"/>
  <c r="P60" i="12" s="1"/>
  <c r="M62" i="12"/>
  <c r="L63" i="12"/>
  <c r="Z151" i="12"/>
  <c r="Y150" i="12"/>
  <c r="Y66" i="12"/>
  <c r="Z66" i="12" s="1"/>
  <c r="Y67" i="12"/>
  <c r="Z67" i="12" s="1"/>
  <c r="Z68" i="12"/>
  <c r="M96" i="12"/>
  <c r="L97" i="12"/>
  <c r="AB186" i="12"/>
  <c r="AA187" i="12"/>
  <c r="Y214" i="12"/>
  <c r="Y215" i="12"/>
  <c r="Z215" i="12" s="1"/>
  <c r="Z216" i="12"/>
  <c r="M220" i="12"/>
  <c r="L220" i="12" s="1"/>
  <c r="L222" i="12"/>
  <c r="K63" i="12"/>
  <c r="J62" i="12"/>
  <c r="AI94" i="12"/>
  <c r="AI14" i="12" s="1"/>
  <c r="AI11" i="12" s="1"/>
  <c r="AI10" i="12" s="1"/>
  <c r="AI95" i="12"/>
  <c r="AA316" i="12"/>
  <c r="AA315" i="12"/>
  <c r="AF63" i="12"/>
  <c r="AE64" i="12"/>
  <c r="AB68" i="12"/>
  <c r="AA69" i="12"/>
  <c r="Y220" i="12"/>
  <c r="Z220" i="12" s="1"/>
  <c r="Z222" i="12"/>
  <c r="AB302" i="12"/>
  <c r="AA303" i="12"/>
  <c r="AD303" i="12"/>
  <c r="AE303" i="12"/>
  <c r="AD339" i="12"/>
  <c r="AC338" i="12"/>
  <c r="O741" i="10"/>
  <c r="N742" i="10"/>
  <c r="AF17" i="12"/>
  <c r="AE18" i="12"/>
  <c r="AC166" i="12"/>
  <c r="AC167" i="12"/>
  <c r="AI449" i="12"/>
  <c r="AI450" i="12"/>
  <c r="Z354" i="12"/>
  <c r="AF354" i="12"/>
  <c r="AF355" i="12"/>
  <c r="AE355" i="12" s="1"/>
  <c r="AE356" i="12"/>
  <c r="AG279" i="12"/>
  <c r="AG280" i="12"/>
  <c r="AB368" i="12"/>
  <c r="AD368" i="12" s="1"/>
  <c r="AA369" i="12"/>
  <c r="V509" i="12"/>
  <c r="AA510" i="12"/>
  <c r="AF281" i="12"/>
  <c r="Y560" i="12"/>
  <c r="Z562" i="12"/>
  <c r="Y561" i="12"/>
  <c r="AD586" i="12"/>
  <c r="AC584" i="12"/>
  <c r="AC585" i="12"/>
  <c r="AD626" i="12"/>
  <c r="AC625" i="12"/>
  <c r="AC650" i="12"/>
  <c r="AD650" i="12" s="1"/>
  <c r="AD657" i="12"/>
  <c r="AC656" i="12"/>
  <c r="AD656" i="12" s="1"/>
  <c r="M131" i="12"/>
  <c r="L132" i="12"/>
  <c r="AC326" i="12"/>
  <c r="AD327" i="12"/>
  <c r="AC366" i="12"/>
  <c r="AC367" i="12"/>
  <c r="J509" i="12"/>
  <c r="K510" i="12"/>
  <c r="AC708" i="12"/>
  <c r="P86" i="12"/>
  <c r="T84" i="12"/>
  <c r="P84" i="12" s="1"/>
  <c r="AD354" i="12"/>
  <c r="K478" i="12"/>
  <c r="J477" i="12"/>
  <c r="T667" i="12"/>
  <c r="P667" i="12" s="1"/>
  <c r="P669" i="12"/>
  <c r="AC719" i="12"/>
  <c r="AC718" i="12"/>
  <c r="AI864" i="12"/>
  <c r="AI863" i="12"/>
  <c r="AI862" i="12" s="1"/>
  <c r="AI860" i="12" s="1"/>
  <c r="W1050" i="12"/>
  <c r="W1035" i="12" s="1"/>
  <c r="W1051" i="12"/>
  <c r="AE576" i="12"/>
  <c r="AF575" i="12"/>
  <c r="L927" i="12"/>
  <c r="M926" i="12"/>
  <c r="AB937" i="12"/>
  <c r="AA940" i="12"/>
  <c r="AB939" i="12"/>
  <c r="AD940" i="12"/>
  <c r="L946" i="12"/>
  <c r="M945" i="12"/>
  <c r="Z581" i="12"/>
  <c r="Y580" i="12"/>
  <c r="AG863" i="12"/>
  <c r="AG862" i="12" s="1"/>
  <c r="AG860" i="12" s="1"/>
  <c r="AG864" i="12"/>
  <c r="P1330" i="12"/>
  <c r="T1329" i="12"/>
  <c r="V709" i="10"/>
  <c r="R711" i="10"/>
  <c r="AB585" i="12"/>
  <c r="AA585" i="12" s="1"/>
  <c r="AA586" i="12"/>
  <c r="AB845" i="12"/>
  <c r="AB846" i="12"/>
  <c r="AA851" i="12"/>
  <c r="P928" i="12"/>
  <c r="T927" i="12"/>
  <c r="AC969" i="12"/>
  <c r="AD970" i="12"/>
  <c r="M991" i="12"/>
  <c r="L992" i="12"/>
  <c r="AA1080" i="12"/>
  <c r="AB1079" i="12"/>
  <c r="AD1080" i="12"/>
  <c r="AA597" i="12"/>
  <c r="AB596" i="12"/>
  <c r="AA596" i="12" s="1"/>
  <c r="AB595" i="12"/>
  <c r="AA595" i="12" s="1"/>
  <c r="AF1699" i="12"/>
  <c r="AE1700" i="12"/>
  <c r="X1286" i="12"/>
  <c r="X1285" i="12" s="1"/>
  <c r="X1283" i="12" s="1"/>
  <c r="X1287" i="12"/>
  <c r="N1341" i="12"/>
  <c r="P1342" i="12"/>
  <c r="Y1506" i="12"/>
  <c r="Z1507" i="12"/>
  <c r="M1719" i="12"/>
  <c r="L1720" i="12"/>
  <c r="AC1794" i="12"/>
  <c r="AD1794" i="12" s="1"/>
  <c r="AD1796" i="12"/>
  <c r="AC1795" i="12"/>
  <c r="AD1795" i="12" s="1"/>
  <c r="AD1821" i="12"/>
  <c r="AC1819" i="12"/>
  <c r="AD1819" i="12" s="1"/>
  <c r="AC1820" i="12"/>
  <c r="AD1820" i="12" s="1"/>
  <c r="AD2005" i="12"/>
  <c r="AC2004" i="12"/>
  <c r="AD2004" i="12" s="1"/>
  <c r="AC2003" i="12"/>
  <c r="AD2003" i="12" s="1"/>
  <c r="M475" i="12"/>
  <c r="L477" i="12"/>
  <c r="L623" i="12"/>
  <c r="J957" i="12"/>
  <c r="K958" i="12"/>
  <c r="AC1008" i="12"/>
  <c r="AD1009" i="12"/>
  <c r="I1043" i="12"/>
  <c r="I1035" i="12" s="1"/>
  <c r="K1045" i="12"/>
  <c r="AC1071" i="12"/>
  <c r="AC1072" i="12"/>
  <c r="AD1073" i="12"/>
  <c r="AF1126" i="12"/>
  <c r="AE1127" i="12"/>
  <c r="AF1225" i="12"/>
  <c r="AE1226" i="12"/>
  <c r="AE1225" i="12" s="1"/>
  <c r="T1322" i="12"/>
  <c r="P1323" i="12"/>
  <c r="Y1366" i="12"/>
  <c r="Z1366" i="12" s="1"/>
  <c r="Y1367" i="12"/>
  <c r="Z1367" i="12" s="1"/>
  <c r="Z1368" i="12"/>
  <c r="M1645" i="12"/>
  <c r="L1646" i="12"/>
  <c r="AG1237" i="12"/>
  <c r="AG1236" i="12" s="1"/>
  <c r="AG1234" i="12" s="1"/>
  <c r="AG1238" i="12"/>
  <c r="AC1338" i="12"/>
  <c r="AC1339" i="12"/>
  <c r="I1719" i="12"/>
  <c r="I1717" i="12" s="1"/>
  <c r="I1716" i="12" s="1"/>
  <c r="I1714" i="12" s="1"/>
  <c r="L1728" i="12"/>
  <c r="P1754" i="12"/>
  <c r="T1753" i="12"/>
  <c r="AH1794" i="12"/>
  <c r="AH1795" i="12"/>
  <c r="AI1929" i="12"/>
  <c r="AI1864" i="12"/>
  <c r="AI1863" i="12" s="1"/>
  <c r="Z2117" i="12"/>
  <c r="Y2116" i="12"/>
  <c r="AB2216" i="12"/>
  <c r="AA2217" i="12"/>
  <c r="AE2217" i="12"/>
  <c r="O21" i="10"/>
  <c r="N22" i="10"/>
  <c r="V74" i="10"/>
  <c r="R76" i="10"/>
  <c r="V143" i="10"/>
  <c r="R144" i="10"/>
  <c r="V101" i="10"/>
  <c r="R102" i="10"/>
  <c r="M101" i="10"/>
  <c r="L99" i="10"/>
  <c r="O153" i="10"/>
  <c r="N154" i="10"/>
  <c r="V248" i="10"/>
  <c r="R250" i="10"/>
  <c r="L172" i="10"/>
  <c r="M173" i="10"/>
  <c r="V185" i="10"/>
  <c r="R187" i="10"/>
  <c r="V341" i="10"/>
  <c r="R342" i="10"/>
  <c r="K218" i="10"/>
  <c r="M220" i="10"/>
  <c r="Y369" i="10"/>
  <c r="Y368" i="10"/>
  <c r="Y358" i="10" s="1"/>
  <c r="O331" i="10"/>
  <c r="N332" i="10"/>
  <c r="X336" i="10"/>
  <c r="X335" i="10"/>
  <c r="X327" i="10" s="1"/>
  <c r="X325" i="10" s="1"/>
  <c r="X323" i="10" s="1"/>
  <c r="X312" i="10" s="1"/>
  <c r="V554" i="10"/>
  <c r="R556" i="10"/>
  <c r="L316" i="10"/>
  <c r="M318" i="10"/>
  <c r="K329" i="10"/>
  <c r="M329" i="10" s="1"/>
  <c r="M331" i="10"/>
  <c r="M443" i="10"/>
  <c r="V599" i="10"/>
  <c r="R599" i="10" s="1"/>
  <c r="R601" i="10"/>
  <c r="O204" i="10"/>
  <c r="N204" i="10" s="1"/>
  <c r="N205" i="10"/>
  <c r="AD18" i="12"/>
  <c r="AC17" i="12"/>
  <c r="L612" i="10"/>
  <c r="M612" i="10" s="1"/>
  <c r="M613" i="10"/>
  <c r="L659" i="10"/>
  <c r="M660" i="10"/>
  <c r="O413" i="10"/>
  <c r="N417" i="10"/>
  <c r="V731" i="10"/>
  <c r="R731" i="10" s="1"/>
  <c r="R732" i="10"/>
  <c r="M33" i="12"/>
  <c r="L34" i="12"/>
  <c r="V778" i="10"/>
  <c r="R779" i="10"/>
  <c r="V287" i="10"/>
  <c r="R289" i="10"/>
  <c r="O464" i="10"/>
  <c r="N464" i="10" s="1"/>
  <c r="O465" i="10"/>
  <c r="N465" i="10" s="1"/>
  <c r="N466" i="10"/>
  <c r="V671" i="10"/>
  <c r="R671" i="10" s="1"/>
  <c r="R672" i="10"/>
  <c r="Y771" i="10"/>
  <c r="Y736" i="10" s="1"/>
  <c r="Y699" i="10" s="1"/>
  <c r="Y701" i="10" s="1"/>
  <c r="Y777" i="10"/>
  <c r="AB17" i="12"/>
  <c r="AA18" i="12"/>
  <c r="AD143" i="12"/>
  <c r="AC142" i="12"/>
  <c r="O719" i="10"/>
  <c r="N720" i="10"/>
  <c r="O752" i="10"/>
  <c r="N753" i="10"/>
  <c r="L853" i="10"/>
  <c r="M853" i="10" s="1"/>
  <c r="M854" i="10"/>
  <c r="AC33" i="12"/>
  <c r="AD34" i="12"/>
  <c r="AB73" i="12"/>
  <c r="AA74" i="12"/>
  <c r="AH94" i="12"/>
  <c r="AH14" i="12" s="1"/>
  <c r="AH95" i="12"/>
  <c r="AG184" i="12"/>
  <c r="AG182" i="12" s="1"/>
  <c r="AG180" i="12" s="1"/>
  <c r="AG185" i="12"/>
  <c r="L751" i="10"/>
  <c r="M751" i="10" s="1"/>
  <c r="M752" i="10"/>
  <c r="V765" i="10"/>
  <c r="R766" i="10"/>
  <c r="Y48" i="12"/>
  <c r="Z48" i="12" s="1"/>
  <c r="Y49" i="12"/>
  <c r="Z49" i="12" s="1"/>
  <c r="Z50" i="12"/>
  <c r="AB50" i="12"/>
  <c r="AA51" i="12"/>
  <c r="AD51" i="12"/>
  <c r="AF122" i="12"/>
  <c r="AE123" i="12"/>
  <c r="K131" i="12"/>
  <c r="J129" i="12"/>
  <c r="Z168" i="12"/>
  <c r="Y167" i="12"/>
  <c r="Z167" i="12" s="1"/>
  <c r="Y166" i="12"/>
  <c r="AC220" i="12"/>
  <c r="P318" i="12"/>
  <c r="T317" i="12"/>
  <c r="Z529" i="12"/>
  <c r="Y528" i="12"/>
  <c r="Y521" i="12" s="1"/>
  <c r="Z521" i="12" s="1"/>
  <c r="N732" i="10"/>
  <c r="O731" i="10"/>
  <c r="N731" i="10" s="1"/>
  <c r="L15" i="12"/>
  <c r="Z111" i="12"/>
  <c r="Y109" i="12"/>
  <c r="Z109" i="12" s="1"/>
  <c r="Y110" i="12"/>
  <c r="Z110" i="12" s="1"/>
  <c r="AC184" i="12"/>
  <c r="AC185" i="12"/>
  <c r="AD186" i="12"/>
  <c r="AE74" i="12"/>
  <c r="AF73" i="12"/>
  <c r="L195" i="12"/>
  <c r="M186" i="12"/>
  <c r="Z339" i="12"/>
  <c r="Y338" i="12"/>
  <c r="L535" i="10"/>
  <c r="M536" i="10"/>
  <c r="P17" i="12"/>
  <c r="T15" i="12"/>
  <c r="AC61" i="12"/>
  <c r="AC60" i="12"/>
  <c r="AD62" i="12"/>
  <c r="AF85" i="12"/>
  <c r="AE85" i="12" s="1"/>
  <c r="AE86" i="12"/>
  <c r="AF84" i="12"/>
  <c r="AE84" i="12" s="1"/>
  <c r="J94" i="12"/>
  <c r="AC96" i="12"/>
  <c r="AD97" i="12"/>
  <c r="AF141" i="12"/>
  <c r="AE141" i="12" s="1"/>
  <c r="AE142" i="12"/>
  <c r="M166" i="12"/>
  <c r="L168" i="12"/>
  <c r="T73" i="12"/>
  <c r="P74" i="12"/>
  <c r="AA285" i="12"/>
  <c r="AE285" i="12"/>
  <c r="M240" i="12"/>
  <c r="Y475" i="12"/>
  <c r="Y476" i="12"/>
  <c r="AC279" i="12"/>
  <c r="AC280" i="12"/>
  <c r="AA332" i="12"/>
  <c r="AB331" i="12"/>
  <c r="AA331" i="12" s="1"/>
  <c r="U408" i="12"/>
  <c r="U407" i="12" s="1"/>
  <c r="U405" i="12" s="1"/>
  <c r="U409" i="12"/>
  <c r="V477" i="12"/>
  <c r="Z477" i="12" s="1"/>
  <c r="Z478" i="12"/>
  <c r="AB497" i="12"/>
  <c r="AA497" i="12" s="1"/>
  <c r="AB498" i="12"/>
  <c r="AA498" i="12" s="1"/>
  <c r="AA499" i="12"/>
  <c r="AD499" i="12"/>
  <c r="K557" i="12"/>
  <c r="J556" i="12"/>
  <c r="P563" i="12"/>
  <c r="T562" i="12"/>
  <c r="Z586" i="12"/>
  <c r="Y585" i="12"/>
  <c r="Z585" i="12" s="1"/>
  <c r="Y584" i="12"/>
  <c r="Z584" i="12" s="1"/>
  <c r="Z626" i="12"/>
  <c r="Y625" i="12"/>
  <c r="K647" i="12"/>
  <c r="J646" i="12"/>
  <c r="Y650" i="12"/>
  <c r="Z650" i="12" s="1"/>
  <c r="Z657" i="12"/>
  <c r="Y656" i="12"/>
  <c r="Z656" i="12" s="1"/>
  <c r="AD689" i="12"/>
  <c r="AC688" i="12"/>
  <c r="AD688" i="12" s="1"/>
  <c r="K710" i="12"/>
  <c r="J709" i="12"/>
  <c r="AB61" i="12"/>
  <c r="AB60" i="12"/>
  <c r="AA60" i="12" s="1"/>
  <c r="AA62" i="12"/>
  <c r="AA61" i="12" s="1"/>
  <c r="AF129" i="12"/>
  <c r="AF130" i="12"/>
  <c r="AE131" i="12"/>
  <c r="AF267" i="12"/>
  <c r="AF266" i="12"/>
  <c r="AB269" i="12"/>
  <c r="AA270" i="12"/>
  <c r="AE270" i="12"/>
  <c r="T352" i="12"/>
  <c r="P354" i="12"/>
  <c r="AD362" i="12"/>
  <c r="AC361" i="12"/>
  <c r="AD361" i="12" s="1"/>
  <c r="AC360" i="12"/>
  <c r="AD360" i="12" s="1"/>
  <c r="AF411" i="12"/>
  <c r="AE412" i="12"/>
  <c r="AH375" i="12"/>
  <c r="AH374" i="12" s="1"/>
  <c r="AH372" i="12" s="1"/>
  <c r="AH376" i="12"/>
  <c r="AD581" i="12"/>
  <c r="AC580" i="12"/>
  <c r="AA799" i="12"/>
  <c r="AB790" i="12"/>
  <c r="X845" i="12"/>
  <c r="X846" i="12"/>
  <c r="AF115" i="12"/>
  <c r="AF116" i="12"/>
  <c r="AE117" i="12"/>
  <c r="P369" i="12"/>
  <c r="T368" i="12"/>
  <c r="P368" i="12" s="1"/>
  <c r="AF368" i="12"/>
  <c r="AE369" i="12"/>
  <c r="P545" i="12"/>
  <c r="T543" i="12"/>
  <c r="P543" i="12" s="1"/>
  <c r="AC554" i="12"/>
  <c r="AC555" i="12"/>
  <c r="AD556" i="12"/>
  <c r="AI279" i="12"/>
  <c r="AI280" i="12"/>
  <c r="V281" i="12"/>
  <c r="Z282" i="12"/>
  <c r="Z534" i="12"/>
  <c r="Y533" i="12"/>
  <c r="AC544" i="12"/>
  <c r="AD544" i="12" s="1"/>
  <c r="AC543" i="12"/>
  <c r="AD543" i="12" s="1"/>
  <c r="AD545" i="12"/>
  <c r="AB556" i="12"/>
  <c r="AA557" i="12"/>
  <c r="T724" i="12"/>
  <c r="P724" i="12" s="1"/>
  <c r="P726" i="12"/>
  <c r="Z782" i="12"/>
  <c r="Y746" i="12"/>
  <c r="T973" i="12"/>
  <c r="P973" i="12" s="1"/>
  <c r="P974" i="12"/>
  <c r="Y554" i="12"/>
  <c r="Z554" i="12" s="1"/>
  <c r="Y555" i="12"/>
  <c r="Z555" i="12" s="1"/>
  <c r="Z556" i="12"/>
  <c r="AB579" i="12"/>
  <c r="AA579" i="12" s="1"/>
  <c r="AA580" i="12"/>
  <c r="AC595" i="12"/>
  <c r="AD595" i="12" s="1"/>
  <c r="AC596" i="12"/>
  <c r="AD597" i="12"/>
  <c r="AB623" i="12"/>
  <c r="AB624" i="12"/>
  <c r="AA624" i="12" s="1"/>
  <c r="AA625" i="12"/>
  <c r="AB663" i="12"/>
  <c r="AD663" i="12" s="1"/>
  <c r="AA664" i="12"/>
  <c r="AI701" i="12"/>
  <c r="AI699" i="12" s="1"/>
  <c r="AI503" i="12" s="1"/>
  <c r="AI702" i="12"/>
  <c r="K866" i="12"/>
  <c r="J865" i="12"/>
  <c r="AB897" i="12"/>
  <c r="AD897" i="12" s="1"/>
  <c r="AA898" i="12"/>
  <c r="AD898" i="12"/>
  <c r="AC902" i="12"/>
  <c r="AC903" i="12"/>
  <c r="Y969" i="12"/>
  <c r="Z970" i="12"/>
  <c r="AA1004" i="12"/>
  <c r="AB1003" i="12"/>
  <c r="AF1017" i="12"/>
  <c r="AE1018" i="12"/>
  <c r="AB601" i="12"/>
  <c r="AA601" i="12" s="1"/>
  <c r="AB602" i="12"/>
  <c r="AA602" i="12" s="1"/>
  <c r="AA603" i="12"/>
  <c r="P646" i="12"/>
  <c r="T644" i="12"/>
  <c r="P644" i="12" s="1"/>
  <c r="AF709" i="12"/>
  <c r="AE710" i="12"/>
  <c r="AF720" i="12"/>
  <c r="AE721" i="12"/>
  <c r="AF865" i="12"/>
  <c r="AE866" i="12"/>
  <c r="AC887" i="12"/>
  <c r="AD888" i="12"/>
  <c r="M554" i="12"/>
  <c r="L554" i="12" s="1"/>
  <c r="L556" i="12"/>
  <c r="AC1135" i="12"/>
  <c r="AC1136" i="12"/>
  <c r="U1135" i="12"/>
  <c r="U1134" i="12" s="1"/>
  <c r="U1132" i="12" s="1"/>
  <c r="U1131" i="12" s="1"/>
  <c r="U1136" i="12"/>
  <c r="AC1176" i="12"/>
  <c r="AD1180" i="12"/>
  <c r="X1174" i="12"/>
  <c r="X1175" i="12"/>
  <c r="AI1238" i="12"/>
  <c r="AI1237" i="12"/>
  <c r="AI1236" i="12" s="1"/>
  <c r="AI1234" i="12" s="1"/>
  <c r="AG1385" i="12"/>
  <c r="AG1386" i="12"/>
  <c r="AE1437" i="12"/>
  <c r="AF1436" i="12"/>
  <c r="V1454" i="12"/>
  <c r="V1455" i="12"/>
  <c r="AE1720" i="12"/>
  <c r="AF1719" i="12"/>
  <c r="AD1720" i="12"/>
  <c r="AC1719" i="12"/>
  <c r="W1718" i="12"/>
  <c r="W1717" i="12"/>
  <c r="W1716" i="12" s="1"/>
  <c r="W1714" i="12" s="1"/>
  <c r="AB1741" i="12"/>
  <c r="AD1741" i="12" s="1"/>
  <c r="AA1742" i="12"/>
  <c r="AE1742" i="12"/>
  <c r="AF678" i="12"/>
  <c r="AE679" i="12"/>
  <c r="AF677" i="12"/>
  <c r="M695" i="12"/>
  <c r="L696" i="12"/>
  <c r="Y926" i="12"/>
  <c r="Z927" i="12"/>
  <c r="AF943" i="12"/>
  <c r="AE943" i="12" s="1"/>
  <c r="AF944" i="12"/>
  <c r="AE945" i="12"/>
  <c r="AC991" i="12"/>
  <c r="AD992" i="12"/>
  <c r="T995" i="12"/>
  <c r="P995" i="12" s="1"/>
  <c r="P997" i="12"/>
  <c r="AF1167" i="12"/>
  <c r="AF1168" i="12"/>
  <c r="AE1169" i="12"/>
  <c r="AF1176" i="12"/>
  <c r="AE1180" i="12"/>
  <c r="Z1190" i="12"/>
  <c r="Y1189" i="12"/>
  <c r="M1310" i="12"/>
  <c r="L1311" i="12"/>
  <c r="AB1320" i="12"/>
  <c r="AA1320" i="12" s="1"/>
  <c r="AB1321" i="12"/>
  <c r="AA1321" i="12" s="1"/>
  <c r="AA1322" i="12"/>
  <c r="J1112" i="12"/>
  <c r="K1114" i="12"/>
  <c r="W1187" i="12"/>
  <c r="W1186" i="12"/>
  <c r="W1185" i="12" s="1"/>
  <c r="W1183" i="12" s="1"/>
  <c r="L1198" i="12"/>
  <c r="M1188" i="12"/>
  <c r="Y1338" i="12"/>
  <c r="Z1338" i="12" s="1"/>
  <c r="Y1339" i="12"/>
  <c r="Z1339" i="12" s="1"/>
  <c r="Z1340" i="12"/>
  <c r="AG1454" i="12"/>
  <c r="AG1455" i="12"/>
  <c r="J1532" i="12"/>
  <c r="K1532" i="12" s="1"/>
  <c r="K1533" i="12"/>
  <c r="K1585" i="12"/>
  <c r="L1585" i="12"/>
  <c r="AA1621" i="12"/>
  <c r="AB1620" i="12"/>
  <c r="AA1620" i="12" s="1"/>
  <c r="M863" i="12"/>
  <c r="L865" i="12"/>
  <c r="P887" i="12"/>
  <c r="T885" i="12"/>
  <c r="P885" i="12" s="1"/>
  <c r="P902" i="12"/>
  <c r="AF904" i="12"/>
  <c r="AE905" i="12"/>
  <c r="P933" i="12"/>
  <c r="T931" i="12"/>
  <c r="P931" i="12" s="1"/>
  <c r="AC1016" i="12"/>
  <c r="AD1017" i="12"/>
  <c r="AC1015" i="12"/>
  <c r="T1045" i="12"/>
  <c r="P1046" i="12"/>
  <c r="AB1366" i="12"/>
  <c r="AA1366" i="12" s="1"/>
  <c r="AB1367" i="12"/>
  <c r="AA1367" i="12" s="1"/>
  <c r="AA1368" i="12"/>
  <c r="T1015" i="12"/>
  <c r="P1017" i="12"/>
  <c r="V1288" i="12"/>
  <c r="AA1289" i="12"/>
  <c r="AE1329" i="12"/>
  <c r="AE592" i="12"/>
  <c r="AF591" i="12"/>
  <c r="AB632" i="12"/>
  <c r="AA636" i="12"/>
  <c r="AB885" i="12"/>
  <c r="AA885" i="12" s="1"/>
  <c r="AB886" i="12"/>
  <c r="AA886" i="12" s="1"/>
  <c r="AA887" i="12"/>
  <c r="M918" i="12"/>
  <c r="L918" i="12" s="1"/>
  <c r="L920" i="12"/>
  <c r="M933" i="12"/>
  <c r="L934" i="12"/>
  <c r="Y956" i="12"/>
  <c r="Z956" i="12" s="1"/>
  <c r="Z957" i="12"/>
  <c r="M962" i="12"/>
  <c r="L962" i="12" s="1"/>
  <c r="L963" i="12"/>
  <c r="Y973" i="12"/>
  <c r="Z973" i="12" s="1"/>
  <c r="Z974" i="12"/>
  <c r="M980" i="12"/>
  <c r="L981" i="12"/>
  <c r="AC997" i="12"/>
  <c r="AD998" i="12"/>
  <c r="AA1029" i="12"/>
  <c r="AD1029" i="12"/>
  <c r="Z1053" i="12"/>
  <c r="Z1052" i="12" s="1"/>
  <c r="Y1052" i="12"/>
  <c r="AG1186" i="12"/>
  <c r="AG1185" i="12" s="1"/>
  <c r="AG1183" i="12" s="1"/>
  <c r="AG1187" i="12"/>
  <c r="W1287" i="12"/>
  <c r="W1286" i="12"/>
  <c r="W1285" i="12" s="1"/>
  <c r="W1283" i="12" s="1"/>
  <c r="AH2234" i="12"/>
  <c r="AH2285" i="12"/>
  <c r="X173" i="9"/>
  <c r="J874" i="10"/>
  <c r="J876" i="10" s="1"/>
  <c r="Y131" i="10"/>
  <c r="Y121" i="10" s="1"/>
  <c r="Y327" i="10"/>
  <c r="Y325" i="10" s="1"/>
  <c r="Y323" i="10" s="1"/>
  <c r="Y312" i="10" s="1"/>
  <c r="U10" i="12"/>
  <c r="Z115" i="12"/>
  <c r="U503" i="12"/>
  <c r="AD69" i="12"/>
  <c r="Q471" i="12"/>
  <c r="AE656" i="12"/>
  <c r="V674" i="12"/>
  <c r="I221" i="8"/>
  <c r="X371" i="8"/>
  <c r="X370" i="8" s="1"/>
  <c r="X364" i="8" s="1"/>
  <c r="Q173" i="9"/>
  <c r="M113" i="10"/>
  <c r="Q874" i="10"/>
  <c r="Q876" i="10" s="1"/>
  <c r="M294" i="10"/>
  <c r="N342" i="10"/>
  <c r="I440" i="10"/>
  <c r="I438" i="10" s="1"/>
  <c r="I428" i="10" s="1"/>
  <c r="I874" i="10" s="1"/>
  <c r="I876" i="10" s="1"/>
  <c r="R547" i="10"/>
  <c r="R11" i="12"/>
  <c r="R10" i="12" s="1"/>
  <c r="AA2598" i="12"/>
  <c r="W771" i="10"/>
  <c r="W736" i="10" s="1"/>
  <c r="W699" i="10" s="1"/>
  <c r="W701" i="10" s="1"/>
  <c r="Z116" i="12"/>
  <c r="S701" i="10"/>
  <c r="S699" i="10" s="1"/>
  <c r="S428" i="10" s="1"/>
  <c r="AE112" i="12"/>
  <c r="Z132" i="12"/>
  <c r="X736" i="10"/>
  <c r="X699" i="10" s="1"/>
  <c r="X701" i="10" s="1"/>
  <c r="AD112" i="12"/>
  <c r="AD524" i="12"/>
  <c r="AB282" i="12"/>
  <c r="AE282" i="12" s="1"/>
  <c r="S471" i="12"/>
  <c r="O503" i="12"/>
  <c r="AH180" i="12"/>
  <c r="AD369" i="12"/>
  <c r="AD451" i="12"/>
  <c r="Y459" i="12"/>
  <c r="Z459" i="12" s="1"/>
  <c r="AD441" i="12"/>
  <c r="AD732" i="12"/>
  <c r="AD355" i="12"/>
  <c r="AD592" i="12"/>
  <c r="X621" i="12"/>
  <c r="X617" i="12" s="1"/>
  <c r="X616" i="12" s="1"/>
  <c r="X615" i="12" s="1"/>
  <c r="AD731" i="12"/>
  <c r="AH621" i="12"/>
  <c r="AE799" i="12"/>
  <c r="K1046" i="12"/>
  <c r="AG621" i="12"/>
  <c r="V621" i="12"/>
  <c r="V617" i="12" s="1"/>
  <c r="AE657" i="12"/>
  <c r="K888" i="12"/>
  <c r="AD986" i="12"/>
  <c r="AI621" i="12"/>
  <c r="S892" i="12"/>
  <c r="S859" i="12" s="1"/>
  <c r="U743" i="12"/>
  <c r="U740" i="12" s="1"/>
  <c r="U471" i="12" s="1"/>
  <c r="M1017" i="12"/>
  <c r="AE1379" i="12"/>
  <c r="AE1706" i="12"/>
  <c r="AD232" i="12"/>
  <c r="AE1026" i="12"/>
  <c r="L1043" i="12"/>
  <c r="T799" i="12"/>
  <c r="L1046" i="12"/>
  <c r="X1137" i="12"/>
  <c r="AE1240" i="12"/>
  <c r="I1317" i="12"/>
  <c r="I1315" i="12" s="1"/>
  <c r="AF683" i="12"/>
  <c r="AE683" i="12" s="1"/>
  <c r="AE684" i="12"/>
  <c r="AF682" i="12"/>
  <c r="AE682" i="12" s="1"/>
  <c r="T962" i="12"/>
  <c r="P962" i="12" s="1"/>
  <c r="P963" i="12"/>
  <c r="AB974" i="12"/>
  <c r="AA975" i="12"/>
  <c r="Y991" i="12"/>
  <c r="Z992" i="12"/>
  <c r="Y1223" i="12"/>
  <c r="Z1223" i="12" s="1"/>
  <c r="Y1224" i="12"/>
  <c r="Z1224" i="12" s="1"/>
  <c r="Z1225" i="12"/>
  <c r="AD1279" i="12"/>
  <c r="AC1278" i="12"/>
  <c r="AC1387" i="12"/>
  <c r="AD1388" i="12"/>
  <c r="M1505" i="12"/>
  <c r="L1506" i="12"/>
  <c r="AD1683" i="12"/>
  <c r="AA1907" i="12"/>
  <c r="Y1996" i="12"/>
  <c r="Z1996" i="12" s="1"/>
  <c r="Z1998" i="12"/>
  <c r="Y1997" i="12"/>
  <c r="Z1997" i="12" s="1"/>
  <c r="AC2051" i="12"/>
  <c r="AC2052" i="12"/>
  <c r="AD2053" i="12"/>
  <c r="AC2071" i="12"/>
  <c r="Z2101" i="12"/>
  <c r="Y2100" i="12"/>
  <c r="AE2129" i="12"/>
  <c r="AF2128" i="12"/>
  <c r="AE2211" i="12"/>
  <c r="AF2210" i="12"/>
  <c r="J1329" i="12"/>
  <c r="K1330" i="12"/>
  <c r="AF1544" i="12"/>
  <c r="AF1543" i="12"/>
  <c r="AH1751" i="12"/>
  <c r="AH1750" i="12" s="1"/>
  <c r="AH1752" i="12"/>
  <c r="P1864" i="12"/>
  <c r="AF2003" i="12"/>
  <c r="AE2003" i="12" s="1"/>
  <c r="AF2004" i="12"/>
  <c r="AE2004" i="12" s="1"/>
  <c r="AE2005" i="12"/>
  <c r="AD2158" i="12"/>
  <c r="AC2157" i="12"/>
  <c r="AH2155" i="12"/>
  <c r="AH2154" i="12" s="1"/>
  <c r="AH2156" i="12"/>
  <c r="T2208" i="12"/>
  <c r="P2208" i="12" s="1"/>
  <c r="P2210" i="12"/>
  <c r="AG2215" i="12"/>
  <c r="AG2214" i="12"/>
  <c r="AG2154" i="12" s="1"/>
  <c r="L888" i="12"/>
  <c r="M887" i="12"/>
  <c r="Y1112" i="12"/>
  <c r="Y1113" i="12"/>
  <c r="Z1113" i="12" s="1"/>
  <c r="Z1114" i="12"/>
  <c r="AF1157" i="12"/>
  <c r="AE1157" i="12" s="1"/>
  <c r="AE1158" i="12"/>
  <c r="AB1340" i="12"/>
  <c r="AD1340" i="12" s="1"/>
  <c r="AA1341" i="12"/>
  <c r="AB1378" i="12"/>
  <c r="AB1379" i="12"/>
  <c r="AD1380" i="12"/>
  <c r="AA1380" i="12"/>
  <c r="L1606" i="12"/>
  <c r="M1604" i="12"/>
  <c r="L1604" i="12" s="1"/>
  <c r="AF1655" i="12"/>
  <c r="AE1656" i="12"/>
  <c r="J1690" i="12"/>
  <c r="K1690" i="12" s="1"/>
  <c r="K1692" i="12"/>
  <c r="AB1753" i="12"/>
  <c r="AA1754" i="12"/>
  <c r="K1909" i="12"/>
  <c r="J1908" i="12"/>
  <c r="AB2011" i="12"/>
  <c r="AA2011" i="12" s="1"/>
  <c r="AA2012" i="12"/>
  <c r="AA2054" i="12"/>
  <c r="AB2053" i="12"/>
  <c r="AE2100" i="12"/>
  <c r="AF2098" i="12"/>
  <c r="AF2099" i="12"/>
  <c r="P2102" i="12"/>
  <c r="T2101" i="12"/>
  <c r="AF2122" i="12"/>
  <c r="AE2123" i="12"/>
  <c r="AA2204" i="12"/>
  <c r="AB2203" i="12"/>
  <c r="AA2203" i="12" s="1"/>
  <c r="AB2202" i="12"/>
  <c r="AA2202" i="12" s="1"/>
  <c r="AI1136" i="12"/>
  <c r="AI1135" i="12"/>
  <c r="M1338" i="12"/>
  <c r="L1338" i="12" s="1"/>
  <c r="L1340" i="12"/>
  <c r="L1350" i="12"/>
  <c r="M1346" i="12"/>
  <c r="AI1544" i="12"/>
  <c r="AI1543" i="12"/>
  <c r="AI1542" i="12" s="1"/>
  <c r="W1864" i="12"/>
  <c r="W1863" i="12" s="1"/>
  <c r="W1907" i="12"/>
  <c r="M2038" i="12"/>
  <c r="L2039" i="12"/>
  <c r="AA2065" i="12"/>
  <c r="AB2064" i="12"/>
  <c r="Z2107" i="12"/>
  <c r="Y2106" i="12"/>
  <c r="AB2286" i="12"/>
  <c r="AA2287" i="12"/>
  <c r="Y1691" i="12"/>
  <c r="Y1690" i="12"/>
  <c r="Z1692" i="12"/>
  <c r="W1751" i="12"/>
  <c r="W1752" i="12"/>
  <c r="AI1802" i="12"/>
  <c r="AI1803" i="12"/>
  <c r="Z2013" i="12"/>
  <c r="Y2012" i="12"/>
  <c r="AA2077" i="12"/>
  <c r="AB2076" i="12"/>
  <c r="AE2077" i="12"/>
  <c r="AE568" i="12"/>
  <c r="AF567" i="12"/>
  <c r="AE567" i="12" s="1"/>
  <c r="M1174" i="12"/>
  <c r="Z1180" i="12"/>
  <c r="Y1176" i="12"/>
  <c r="Z1289" i="12"/>
  <c r="Y1288" i="12"/>
  <c r="AF2011" i="12"/>
  <c r="AE2011" i="12" s="1"/>
  <c r="AE2012" i="12"/>
  <c r="M2057" i="12"/>
  <c r="L2057" i="12" s="1"/>
  <c r="L2059" i="12"/>
  <c r="AB2157" i="12"/>
  <c r="M2208" i="12"/>
  <c r="L2208" i="12" s="1"/>
  <c r="L2210" i="12"/>
  <c r="AB2223" i="12"/>
  <c r="AB2222" i="12"/>
  <c r="AA2224" i="12"/>
  <c r="AE2295" i="12"/>
  <c r="AE2294" i="12" s="1"/>
  <c r="AA2295" i="12"/>
  <c r="V10" i="10"/>
  <c r="R10" i="10" s="1"/>
  <c r="R11" i="10"/>
  <c r="AB709" i="12"/>
  <c r="AD709" i="12" s="1"/>
  <c r="AA710" i="12"/>
  <c r="AE952" i="12"/>
  <c r="AF951" i="12"/>
  <c r="L970" i="12"/>
  <c r="M969" i="12"/>
  <c r="P1127" i="12"/>
  <c r="T1126" i="12"/>
  <c r="AB1223" i="12"/>
  <c r="AA1223" i="12" s="1"/>
  <c r="AB1224" i="12"/>
  <c r="AA1224" i="12" s="1"/>
  <c r="AA1225" i="12"/>
  <c r="AC1346" i="12"/>
  <c r="AF1366" i="12"/>
  <c r="AF1367" i="12"/>
  <c r="AE1368" i="12"/>
  <c r="V1717" i="12"/>
  <c r="V1716" i="12" s="1"/>
  <c r="V1714" i="12" s="1"/>
  <c r="V1718" i="12"/>
  <c r="AC2081" i="12"/>
  <c r="L9" i="9"/>
  <c r="K8" i="9"/>
  <c r="AB224" i="9"/>
  <c r="AA224" i="9" s="1"/>
  <c r="AA228" i="9"/>
  <c r="AE2378" i="12"/>
  <c r="AF2377" i="12"/>
  <c r="AF2376" i="12"/>
  <c r="AC2412" i="12"/>
  <c r="AD2413" i="12"/>
  <c r="V2490" i="12"/>
  <c r="Z2490" i="12" s="1"/>
  <c r="AA2491" i="12"/>
  <c r="AA2524" i="12"/>
  <c r="AB2516" i="12"/>
  <c r="K336" i="8"/>
  <c r="L339" i="8"/>
  <c r="M272" i="9"/>
  <c r="N259" i="9"/>
  <c r="Y154" i="9"/>
  <c r="Z154" i="9" s="1"/>
  <c r="Z155" i="9"/>
  <c r="N447" i="8"/>
  <c r="M447" i="8" s="1"/>
  <c r="M448" i="8"/>
  <c r="AB174" i="9"/>
  <c r="AA175" i="9"/>
  <c r="AA292" i="9"/>
  <c r="AB291" i="9"/>
  <c r="M372" i="8"/>
  <c r="AF2478" i="12"/>
  <c r="AF2479" i="12"/>
  <c r="AE2480" i="12"/>
  <c r="AA156" i="9"/>
  <c r="AB155" i="9"/>
  <c r="AB2098" i="12"/>
  <c r="AA2098" i="12" s="1"/>
  <c r="AB2099" i="12"/>
  <c r="AA2099" i="12" s="1"/>
  <c r="AA2100" i="12"/>
  <c r="P2106" i="12"/>
  <c r="T2104" i="12"/>
  <c r="P2104" i="12" s="1"/>
  <c r="P2216" i="12"/>
  <c r="T2214" i="12"/>
  <c r="P2214" i="12" s="1"/>
  <c r="AF2388" i="12"/>
  <c r="AE2389" i="12"/>
  <c r="AB2398" i="12"/>
  <c r="AA2398" i="12" s="1"/>
  <c r="AB2399" i="12"/>
  <c r="AA2399" i="12" s="1"/>
  <c r="AA2400" i="12"/>
  <c r="AB2411" i="12"/>
  <c r="AA2411" i="12" s="1"/>
  <c r="AA2412" i="12"/>
  <c r="AI2410" i="12"/>
  <c r="AI2422" i="12"/>
  <c r="AB2478" i="12"/>
  <c r="AB2479" i="12"/>
  <c r="AA2479" i="12" s="1"/>
  <c r="AA2480" i="12"/>
  <c r="AD2516" i="12"/>
  <c r="AC2515" i="12"/>
  <c r="AC2514" i="12"/>
  <c r="AF2531" i="12"/>
  <c r="AF2532" i="12"/>
  <c r="AE2532" i="12" s="1"/>
  <c r="AE2533" i="12"/>
  <c r="AC2579" i="12"/>
  <c r="M86" i="8"/>
  <c r="J85" i="8"/>
  <c r="L181" i="8"/>
  <c r="M181" i="8"/>
  <c r="M470" i="8"/>
  <c r="L470" i="8"/>
  <c r="Y119" i="9"/>
  <c r="Z120" i="9"/>
  <c r="V174" i="9"/>
  <c r="AA180" i="9"/>
  <c r="Z180" i="9"/>
  <c r="Z218" i="9"/>
  <c r="V217" i="9"/>
  <c r="Z217" i="9" s="1"/>
  <c r="V317" i="9"/>
  <c r="AA317" i="9" s="1"/>
  <c r="AA318" i="9"/>
  <c r="AF2202" i="12"/>
  <c r="AE2202" i="12" s="1"/>
  <c r="AF2203" i="12"/>
  <c r="AE2204" i="12"/>
  <c r="AF2411" i="12"/>
  <c r="AE2411" i="12" s="1"/>
  <c r="AE2412" i="12"/>
  <c r="Y2423" i="12"/>
  <c r="Z2424" i="12"/>
  <c r="K2480" i="12"/>
  <c r="J2478" i="12"/>
  <c r="L2516" i="12"/>
  <c r="M2514" i="12"/>
  <c r="L450" i="8"/>
  <c r="K447" i="8"/>
  <c r="Y2081" i="12"/>
  <c r="AB2365" i="12"/>
  <c r="AA2365" i="12" s="1"/>
  <c r="AA2366" i="12"/>
  <c r="AB2364" i="12"/>
  <c r="AA2364" i="12" s="1"/>
  <c r="T2458" i="12"/>
  <c r="T2457" i="12"/>
  <c r="P2457" i="12" s="1"/>
  <c r="P2459" i="12"/>
  <c r="AD2478" i="12"/>
  <c r="M2550" i="12"/>
  <c r="L2550" i="12" s="1"/>
  <c r="L2552" i="12"/>
  <c r="Y2579" i="12"/>
  <c r="L225" i="8"/>
  <c r="K222" i="8"/>
  <c r="L222" i="8" s="1"/>
  <c r="L325" i="8"/>
  <c r="J324" i="8"/>
  <c r="L610" i="8"/>
  <c r="Z291" i="9"/>
  <c r="Y290" i="9"/>
  <c r="Z10" i="9"/>
  <c r="Y9" i="9"/>
  <c r="AI1365" i="12"/>
  <c r="L1555" i="12"/>
  <c r="AC2244" i="12"/>
  <c r="V1013" i="12"/>
  <c r="M1248" i="12"/>
  <c r="L1248" i="12" s="1"/>
  <c r="AF1930" i="12"/>
  <c r="AD1083" i="12"/>
  <c r="R1188" i="12"/>
  <c r="R1186" i="12" s="1"/>
  <c r="N1748" i="12"/>
  <c r="N1746" i="12" s="1"/>
  <c r="AA1930" i="12"/>
  <c r="AA1929" i="12" s="1"/>
  <c r="L2294" i="12"/>
  <c r="AH894" i="12"/>
  <c r="AE2132" i="12"/>
  <c r="K1043" i="12"/>
  <c r="AG1110" i="12"/>
  <c r="AG1108" i="12" s="1"/>
  <c r="AE1341" i="12"/>
  <c r="AC1753" i="12"/>
  <c r="Q1317" i="12"/>
  <c r="Q1315" i="12" s="1"/>
  <c r="W370" i="8"/>
  <c r="W364" i="8" s="1"/>
  <c r="Q47" i="9"/>
  <c r="M746" i="8"/>
  <c r="Y2618" i="12"/>
  <c r="AG1319" i="12"/>
  <c r="K757" i="8"/>
  <c r="L710" i="8"/>
  <c r="R2154" i="12"/>
  <c r="R2152" i="12" s="1"/>
  <c r="R2150" i="12" s="1"/>
  <c r="Z2236" i="12"/>
  <c r="Z2235" i="12" s="1"/>
  <c r="L1908" i="12"/>
  <c r="Z2491" i="12"/>
  <c r="X2234" i="12"/>
  <c r="L677" i="8"/>
  <c r="P2492" i="12"/>
  <c r="Q146" i="8"/>
  <c r="N91" i="8"/>
  <c r="M91" i="8" s="1"/>
  <c r="V257" i="8"/>
  <c r="L86" i="8"/>
  <c r="AB2010" i="12"/>
  <c r="AA2010" i="12" s="1"/>
  <c r="AE2197" i="12"/>
  <c r="AE2537" i="12"/>
  <c r="L158" i="8"/>
  <c r="L789" i="8"/>
  <c r="K821" i="8"/>
  <c r="L684" i="8"/>
  <c r="X2512" i="12"/>
  <c r="X2510" i="12" s="1"/>
  <c r="AB720" i="12"/>
  <c r="AA721" i="12"/>
  <c r="AC864" i="12"/>
  <c r="AD865" i="12"/>
  <c r="AC863" i="12"/>
  <c r="AB957" i="12"/>
  <c r="AD957" i="12" s="1"/>
  <c r="AA958" i="12"/>
  <c r="T1083" i="12"/>
  <c r="P1083" i="12" s="1"/>
  <c r="P1085" i="12"/>
  <c r="AF1188" i="12"/>
  <c r="AE1189" i="12"/>
  <c r="AB1436" i="12"/>
  <c r="AA1437" i="12"/>
  <c r="L1683" i="12"/>
  <c r="AF1691" i="12"/>
  <c r="AC1991" i="12"/>
  <c r="AD1992" i="12"/>
  <c r="AF1997" i="12"/>
  <c r="AF1996" i="12"/>
  <c r="M2051" i="12"/>
  <c r="L2051" i="12" s="1"/>
  <c r="L2053" i="12"/>
  <c r="Y2057" i="12"/>
  <c r="Z2057" i="12" s="1"/>
  <c r="Y2058" i="12"/>
  <c r="Z2059" i="12"/>
  <c r="Z2058" i="12" s="1"/>
  <c r="AA2073" i="12"/>
  <c r="AB2072" i="12"/>
  <c r="AE2073" i="12"/>
  <c r="Z2287" i="12"/>
  <c r="Y2286" i="12"/>
  <c r="AH1136" i="12"/>
  <c r="AH1135" i="12"/>
  <c r="AH1134" i="12" s="1"/>
  <c r="AH1132" i="12" s="1"/>
  <c r="T1237" i="12"/>
  <c r="P1239" i="12"/>
  <c r="AI1751" i="12"/>
  <c r="AI1750" i="12" s="1"/>
  <c r="AI1748" i="12" s="1"/>
  <c r="AI1746" i="12" s="1"/>
  <c r="AI1752" i="12"/>
  <c r="X2156" i="12"/>
  <c r="X2155" i="12"/>
  <c r="X2154" i="12" s="1"/>
  <c r="V2215" i="12"/>
  <c r="V2214" i="12"/>
  <c r="P2401" i="12"/>
  <c r="T2400" i="12"/>
  <c r="AC1038" i="12"/>
  <c r="AD1038" i="12" s="1"/>
  <c r="AD1039" i="12"/>
  <c r="AC1037" i="12"/>
  <c r="AD1037" i="12" s="1"/>
  <c r="AB1050" i="12"/>
  <c r="AB1051" i="12"/>
  <c r="AB1350" i="12"/>
  <c r="AD1350" i="12" s="1"/>
  <c r="AA1351" i="12"/>
  <c r="J1685" i="12"/>
  <c r="K1686" i="12"/>
  <c r="AC2286" i="12"/>
  <c r="AD2287" i="12"/>
  <c r="X1186" i="12"/>
  <c r="X1185" i="12" s="1"/>
  <c r="X1183" i="12" s="1"/>
  <c r="X1187" i="12"/>
  <c r="AG1751" i="12"/>
  <c r="AG1750" i="12" s="1"/>
  <c r="AG1752" i="12"/>
  <c r="Z2096" i="12"/>
  <c r="Y2095" i="12"/>
  <c r="Z2217" i="12"/>
  <c r="Y2216" i="12"/>
  <c r="T2234" i="12"/>
  <c r="AI2234" i="12"/>
  <c r="AI2233" i="12" s="1"/>
  <c r="AI2285" i="12"/>
  <c r="AC2504" i="12"/>
  <c r="AD2506" i="12"/>
  <c r="AC2505" i="12"/>
  <c r="AC1866" i="12"/>
  <c r="AD1867" i="12"/>
  <c r="AB1066" i="12"/>
  <c r="AE1066" i="12" s="1"/>
  <c r="AE1067" i="12"/>
  <c r="AD1079" i="12"/>
  <c r="AC1078" i="12"/>
  <c r="AC1077" i="12"/>
  <c r="Y1103" i="12"/>
  <c r="Z1103" i="12" s="1"/>
  <c r="Z1104" i="12"/>
  <c r="M1112" i="12"/>
  <c r="L1114" i="12"/>
  <c r="AC1125" i="12"/>
  <c r="AC1124" i="12"/>
  <c r="AB1167" i="12"/>
  <c r="AA1167" i="12" s="1"/>
  <c r="AB1168" i="12"/>
  <c r="AA1168" i="12" s="1"/>
  <c r="AA1169" i="12"/>
  <c r="P1188" i="12"/>
  <c r="T1186" i="12"/>
  <c r="P1278" i="12"/>
  <c r="T1276" i="12"/>
  <c r="P1276" i="12" s="1"/>
  <c r="T1286" i="12"/>
  <c r="Y1485" i="12"/>
  <c r="Z1486" i="12"/>
  <c r="AA1618" i="12"/>
  <c r="AB1851" i="12"/>
  <c r="AB1852" i="12"/>
  <c r="AE1852" i="12" s="1"/>
  <c r="AE1853" i="12"/>
  <c r="AB1858" i="12"/>
  <c r="AE1858" i="12" s="1"/>
  <c r="AB1857" i="12"/>
  <c r="AE1857" i="12" s="1"/>
  <c r="AE1859" i="12"/>
  <c r="Y2051" i="12"/>
  <c r="Z2051" i="12" s="1"/>
  <c r="Y2052" i="12"/>
  <c r="Z2053" i="12"/>
  <c r="Z2052" i="12" s="1"/>
  <c r="AB2120" i="12"/>
  <c r="AA2120" i="12" s="1"/>
  <c r="AB2121" i="12"/>
  <c r="AA2121" i="12" s="1"/>
  <c r="AA2122" i="12"/>
  <c r="J2202" i="12"/>
  <c r="K2202" i="12" s="1"/>
  <c r="K2204" i="12"/>
  <c r="AA2330" i="12"/>
  <c r="AB2329" i="12"/>
  <c r="O36" i="10"/>
  <c r="N38" i="10"/>
  <c r="O125" i="10"/>
  <c r="N127" i="10"/>
  <c r="V135" i="10"/>
  <c r="R136" i="10"/>
  <c r="O141" i="10"/>
  <c r="N141" i="10" s="1"/>
  <c r="N143" i="10"/>
  <c r="M644" i="12"/>
  <c r="L644" i="12" s="1"/>
  <c r="L646" i="12"/>
  <c r="AC1052" i="12"/>
  <c r="AD1053" i="12"/>
  <c r="Y1073" i="12"/>
  <c r="Z1074" i="12"/>
  <c r="AA1278" i="12"/>
  <c r="AA1277" i="12" s="1"/>
  <c r="AB1277" i="12"/>
  <c r="AE1277" i="12" s="1"/>
  <c r="AB1276" i="12"/>
  <c r="AA1276" i="12" s="1"/>
  <c r="V1378" i="12"/>
  <c r="Z1378" i="12" s="1"/>
  <c r="V1379" i="12"/>
  <c r="Z1379" i="12" s="1"/>
  <c r="Z1380" i="12"/>
  <c r="AB1455" i="12"/>
  <c r="AA1455" i="12" s="1"/>
  <c r="AA1456" i="12"/>
  <c r="AB1454" i="12"/>
  <c r="J1653" i="12"/>
  <c r="K1653" i="12" s="1"/>
  <c r="K1655" i="12"/>
  <c r="J1802" i="12"/>
  <c r="K1802" i="12" s="1"/>
  <c r="K1804" i="12"/>
  <c r="Y1804" i="12"/>
  <c r="Z1805" i="12"/>
  <c r="AD1909" i="12"/>
  <c r="AC1908" i="12"/>
  <c r="AD1984" i="12"/>
  <c r="AC1930" i="12"/>
  <c r="J2059" i="12"/>
  <c r="K2060" i="12"/>
  <c r="V2540" i="12"/>
  <c r="AA2541" i="12"/>
  <c r="Z2541" i="12"/>
  <c r="Q9" i="9"/>
  <c r="Y85" i="9"/>
  <c r="Z85" i="9" s="1"/>
  <c r="Z86" i="9"/>
  <c r="L372" i="8"/>
  <c r="K371" i="8"/>
  <c r="Z1670" i="12"/>
  <c r="Y1669" i="12"/>
  <c r="Z1669" i="12" s="1"/>
  <c r="AC2400" i="12"/>
  <c r="AD2401" i="12"/>
  <c r="Z2438" i="12"/>
  <c r="Y2437" i="12"/>
  <c r="Z2437" i="12" s="1"/>
  <c r="Y2515" i="12"/>
  <c r="Y2514" i="12"/>
  <c r="L10" i="8"/>
  <c r="L116" i="8"/>
  <c r="K113" i="8"/>
  <c r="L113" i="8" s="1"/>
  <c r="N622" i="8"/>
  <c r="M625" i="8"/>
  <c r="Y32" i="9"/>
  <c r="Z32" i="9" s="1"/>
  <c r="Z33" i="9"/>
  <c r="AB118" i="9"/>
  <c r="AA118" i="9" s="1"/>
  <c r="AA119" i="9"/>
  <c r="Z264" i="9"/>
  <c r="AA264" i="9"/>
  <c r="M2488" i="12"/>
  <c r="L2488" i="12" s="1"/>
  <c r="L2490" i="12"/>
  <c r="M2537" i="12"/>
  <c r="L2537" i="12" s="1"/>
  <c r="L2539" i="12"/>
  <c r="K2583" i="12"/>
  <c r="J2581" i="12"/>
  <c r="V6" i="9"/>
  <c r="V7" i="9"/>
  <c r="AF2505" i="12"/>
  <c r="AE2506" i="12"/>
  <c r="AF2504" i="12"/>
  <c r="L1864" i="12"/>
  <c r="AF2104" i="12"/>
  <c r="AE2104" i="12" s="1"/>
  <c r="AE2106" i="12"/>
  <c r="AF2105" i="12"/>
  <c r="AE2105" i="12" s="1"/>
  <c r="AF2214" i="12"/>
  <c r="AE2216" i="12"/>
  <c r="AF2215" i="12"/>
  <c r="J2222" i="12"/>
  <c r="K2222" i="12" s="1"/>
  <c r="K2224" i="12"/>
  <c r="AC2366" i="12"/>
  <c r="AD2367" i="12"/>
  <c r="AF2371" i="12"/>
  <c r="AE2372" i="12"/>
  <c r="AF2370" i="12"/>
  <c r="AE2370" i="12" s="1"/>
  <c r="Y2489" i="12"/>
  <c r="Y2488" i="12"/>
  <c r="Y2538" i="12"/>
  <c r="Y2537" i="12"/>
  <c r="P2540" i="12"/>
  <c r="T2539" i="12"/>
  <c r="T2550" i="12"/>
  <c r="P2550" i="12" s="1"/>
  <c r="P2552" i="12"/>
  <c r="AB2548" i="12"/>
  <c r="AA2548" i="12" s="1"/>
  <c r="AB2552" i="12"/>
  <c r="AB2553" i="12"/>
  <c r="AA2553" i="12" s="1"/>
  <c r="AA2554" i="12"/>
  <c r="Y40" i="9"/>
  <c r="Z41" i="9"/>
  <c r="M490" i="8"/>
  <c r="N484" i="8"/>
  <c r="N2488" i="12"/>
  <c r="P2490" i="12"/>
  <c r="AB2505" i="12"/>
  <c r="AA2505" i="12" s="1"/>
  <c r="AA2506" i="12"/>
  <c r="AB2504" i="12"/>
  <c r="AA2504" i="12" s="1"/>
  <c r="AF2286" i="12"/>
  <c r="AE2287" i="12"/>
  <c r="Y2412" i="12"/>
  <c r="Z2413" i="12"/>
  <c r="AD2449" i="12"/>
  <c r="AC2448" i="12"/>
  <c r="AG2488" i="12"/>
  <c r="AG2476" i="12" s="1"/>
  <c r="AG2474" i="12" s="1"/>
  <c r="AG2489" i="12"/>
  <c r="AC2550" i="12"/>
  <c r="K135" i="8"/>
  <c r="L136" i="8"/>
  <c r="AG1035" i="12"/>
  <c r="AA2104" i="12"/>
  <c r="AE2446" i="12"/>
  <c r="AI239" i="12"/>
  <c r="AI237" i="12" s="1"/>
  <c r="AI236" i="12" s="1"/>
  <c r="AE1037" i="12"/>
  <c r="S1134" i="12"/>
  <c r="S1132" i="12" s="1"/>
  <c r="K2294" i="12"/>
  <c r="AD2012" i="12"/>
  <c r="AE561" i="12"/>
  <c r="W1013" i="12"/>
  <c r="W892" i="12" s="1"/>
  <c r="W859" i="12" s="1"/>
  <c r="K1297" i="12"/>
  <c r="W1319" i="12"/>
  <c r="AE1589" i="12"/>
  <c r="X1682" i="12"/>
  <c r="X1680" i="12" s="1"/>
  <c r="AE1728" i="12"/>
  <c r="AE2133" i="12"/>
  <c r="L1146" i="12"/>
  <c r="AA1334" i="12"/>
  <c r="AI1319" i="12"/>
  <c r="AI1317" i="12" s="1"/>
  <c r="AI1315" i="12" s="1"/>
  <c r="T1350" i="12"/>
  <c r="AE1585" i="12"/>
  <c r="U1617" i="12"/>
  <c r="AD1754" i="12"/>
  <c r="L2158" i="12"/>
  <c r="Q125" i="8"/>
  <c r="P371" i="8"/>
  <c r="L518" i="8"/>
  <c r="Q633" i="8"/>
  <c r="AB46" i="9"/>
  <c r="J8" i="9"/>
  <c r="Q95" i="9"/>
  <c r="S291" i="9"/>
  <c r="Q301" i="9"/>
  <c r="AA1819" i="12"/>
  <c r="AA278" i="9"/>
  <c r="Z2175" i="12"/>
  <c r="L700" i="8"/>
  <c r="U292" i="9"/>
  <c r="W1131" i="12"/>
  <c r="P2217" i="12"/>
  <c r="AD2582" i="12"/>
  <c r="X2476" i="12"/>
  <c r="X2474" i="12" s="1"/>
  <c r="AE2498" i="12"/>
  <c r="M422" i="8"/>
  <c r="Y2236" i="12"/>
  <c r="Y2235" i="12" s="1"/>
  <c r="V259" i="9"/>
  <c r="Z259" i="9" s="1"/>
  <c r="AA2367" i="12"/>
  <c r="AG2410" i="12"/>
  <c r="AE2488" i="12"/>
  <c r="AE2538" i="12"/>
  <c r="M587" i="8"/>
  <c r="Z11" i="9"/>
  <c r="M318" i="9"/>
  <c r="P684" i="12"/>
  <c r="T682" i="12"/>
  <c r="P682" i="12" s="1"/>
  <c r="Y788" i="12"/>
  <c r="Y789" i="12"/>
  <c r="Z934" i="12"/>
  <c r="Y933" i="12"/>
  <c r="AF1050" i="12"/>
  <c r="AF1051" i="12"/>
  <c r="AE1052" i="12"/>
  <c r="AF1138" i="12"/>
  <c r="AE1139" i="12"/>
  <c r="I1183" i="12"/>
  <c r="I1185" i="12"/>
  <c r="AB1286" i="12"/>
  <c r="AB1287" i="12"/>
  <c r="AA1288" i="12"/>
  <c r="Y1321" i="12"/>
  <c r="Z1321" i="12" s="1"/>
  <c r="Z1322" i="12"/>
  <c r="Y1320" i="12"/>
  <c r="Z1320" i="12" s="1"/>
  <c r="AB1506" i="12"/>
  <c r="AA1507" i="12"/>
  <c r="J1536" i="12"/>
  <c r="K1536" i="12" s="1"/>
  <c r="K1538" i="12"/>
  <c r="AF1683" i="12"/>
  <c r="AF1684" i="12"/>
  <c r="AE1684" i="12" s="1"/>
  <c r="AE1685" i="12"/>
  <c r="AB2082" i="12"/>
  <c r="AA2083" i="12"/>
  <c r="Y2128" i="12"/>
  <c r="Z2129" i="12"/>
  <c r="AE2141" i="12"/>
  <c r="AF2140" i="12"/>
  <c r="J1137" i="12"/>
  <c r="K1138" i="12"/>
  <c r="Y1167" i="12"/>
  <c r="Z1167" i="12" s="1"/>
  <c r="Y1168" i="12"/>
  <c r="Z1168" i="12" s="1"/>
  <c r="Z1169" i="12"/>
  <c r="AA1310" i="12"/>
  <c r="AB1308" i="12"/>
  <c r="AB1309" i="12"/>
  <c r="AE1309" i="12" s="1"/>
  <c r="Y1654" i="12"/>
  <c r="Z1655" i="12"/>
  <c r="W1802" i="12"/>
  <c r="W1803" i="12"/>
  <c r="AH2010" i="12"/>
  <c r="AH2037" i="12"/>
  <c r="T2057" i="12"/>
  <c r="P2057" i="12" s="1"/>
  <c r="P2059" i="12"/>
  <c r="P2158" i="12"/>
  <c r="T2157" i="12"/>
  <c r="P2424" i="12"/>
  <c r="T2423" i="12"/>
  <c r="K1032" i="12"/>
  <c r="J1028" i="12"/>
  <c r="T1037" i="12"/>
  <c r="P1037" i="12" s="1"/>
  <c r="P1039" i="12"/>
  <c r="AA1050" i="12"/>
  <c r="AA1051" i="12"/>
  <c r="M1288" i="12"/>
  <c r="L1289" i="12"/>
  <c r="T1455" i="12"/>
  <c r="T1454" i="12"/>
  <c r="AC1538" i="12"/>
  <c r="AD1539" i="12"/>
  <c r="J2053" i="12"/>
  <c r="K2054" i="12"/>
  <c r="AF2082" i="12"/>
  <c r="AE2083" i="12"/>
  <c r="AC2100" i="12"/>
  <c r="AD2101" i="12"/>
  <c r="Z2123" i="12"/>
  <c r="Y2122" i="12"/>
  <c r="L2157" i="12"/>
  <c r="M2155" i="12"/>
  <c r="M2204" i="12"/>
  <c r="L2205" i="12"/>
  <c r="AB1188" i="12"/>
  <c r="AA1189" i="12"/>
  <c r="J1645" i="12"/>
  <c r="K1646" i="12"/>
  <c r="V1751" i="12"/>
  <c r="V1750" i="12" s="1"/>
  <c r="V1752" i="12"/>
  <c r="AD2117" i="12"/>
  <c r="AC2116" i="12"/>
  <c r="AB2438" i="12"/>
  <c r="AA2439" i="12"/>
  <c r="AB9" i="9"/>
  <c r="AA10" i="9"/>
  <c r="AB126" i="9"/>
  <c r="AA127" i="9"/>
  <c r="K317" i="9"/>
  <c r="L317" i="9" s="1"/>
  <c r="L318" i="9"/>
  <c r="AA905" i="12"/>
  <c r="AB904" i="12"/>
  <c r="AD904" i="12" s="1"/>
  <c r="AF924" i="12"/>
  <c r="AE924" i="12" s="1"/>
  <c r="AF925" i="12"/>
  <c r="AE925" i="12" s="1"/>
  <c r="AE926" i="12"/>
  <c r="AB1043" i="12"/>
  <c r="AB1044" i="12"/>
  <c r="AA1044" i="12" s="1"/>
  <c r="AA1045" i="12"/>
  <c r="Y1543" i="12"/>
  <c r="Y1542" i="12" s="1"/>
  <c r="Z1545" i="12"/>
  <c r="Y1544" i="12"/>
  <c r="J2005" i="12"/>
  <c r="K2006" i="12"/>
  <c r="AF2053" i="12"/>
  <c r="AE2054" i="12"/>
  <c r="AC2057" i="12"/>
  <c r="AC2058" i="12"/>
  <c r="AD2059" i="12"/>
  <c r="J2157" i="12"/>
  <c r="K2197" i="12"/>
  <c r="M2224" i="12"/>
  <c r="L2225" i="12"/>
  <c r="M2286" i="12"/>
  <c r="M2234" i="12" s="1"/>
  <c r="L2287" i="12"/>
  <c r="L2286" i="12" s="1"/>
  <c r="N11" i="10"/>
  <c r="O10" i="10"/>
  <c r="AC962" i="12"/>
  <c r="AD963" i="12"/>
  <c r="AF985" i="12"/>
  <c r="AE986" i="12"/>
  <c r="AB1071" i="12"/>
  <c r="AA1071" i="12" s="1"/>
  <c r="AB1072" i="12"/>
  <c r="AA1072" i="12" s="1"/>
  <c r="AA1073" i="12"/>
  <c r="L1126" i="12"/>
  <c r="M1124" i="12"/>
  <c r="L1124" i="12" s="1"/>
  <c r="P1606" i="12"/>
  <c r="T1604" i="12"/>
  <c r="P1604" i="12" s="1"/>
  <c r="Y1645" i="12"/>
  <c r="Z1646" i="12"/>
  <c r="AB1654" i="12"/>
  <c r="AA1654" i="12" s="1"/>
  <c r="AA1655" i="12"/>
  <c r="AF1753" i="12"/>
  <c r="AE1754" i="12"/>
  <c r="AB2059" i="12"/>
  <c r="AA2060" i="12"/>
  <c r="AB2210" i="12"/>
  <c r="AA2211" i="12"/>
  <c r="M2423" i="12"/>
  <c r="L2424" i="12"/>
  <c r="Y2446" i="12"/>
  <c r="Z2446" i="12" s="1"/>
  <c r="Z2449" i="12"/>
  <c r="Y2448" i="12"/>
  <c r="J2490" i="12"/>
  <c r="K2491" i="12"/>
  <c r="J2516" i="12"/>
  <c r="K2517" i="12"/>
  <c r="M76" i="8"/>
  <c r="J75" i="8"/>
  <c r="L75" i="8" s="1"/>
  <c r="M81" i="8"/>
  <c r="L81" i="8"/>
  <c r="M138" i="8"/>
  <c r="N135" i="8"/>
  <c r="J364" i="8"/>
  <c r="L364" i="8" s="1"/>
  <c r="L365" i="8"/>
  <c r="M528" i="8"/>
  <c r="J527" i="8"/>
  <c r="L603" i="8"/>
  <c r="K602" i="8"/>
  <c r="N217" i="9"/>
  <c r="M217" i="9" s="1"/>
  <c r="M218" i="9"/>
  <c r="L438" i="8"/>
  <c r="J437" i="8"/>
  <c r="Z101" i="9"/>
  <c r="Y95" i="9"/>
  <c r="Z127" i="9"/>
  <c r="Y126" i="9"/>
  <c r="AF2398" i="12"/>
  <c r="AE2398" i="12" s="1"/>
  <c r="AF2399" i="12"/>
  <c r="AE2399" i="12" s="1"/>
  <c r="AE2400" i="12"/>
  <c r="AF2410" i="12"/>
  <c r="AF2422" i="12"/>
  <c r="AE2422" i="12" s="1"/>
  <c r="Y2550" i="12"/>
  <c r="Z2550" i="12" s="1"/>
  <c r="Z2552" i="12"/>
  <c r="AF2581" i="12"/>
  <c r="AF2582" i="12"/>
  <c r="AE2582" i="12" s="1"/>
  <c r="AE2583" i="12"/>
  <c r="K324" i="8"/>
  <c r="L327" i="8"/>
  <c r="M440" i="8"/>
  <c r="N437" i="8"/>
  <c r="N371" i="8" s="1"/>
  <c r="K309" i="9"/>
  <c r="L310" i="9"/>
  <c r="AG2010" i="12"/>
  <c r="AG2037" i="12"/>
  <c r="Z2395" i="12"/>
  <c r="Y2394" i="12"/>
  <c r="T2583" i="12"/>
  <c r="P2584" i="12"/>
  <c r="W6" i="9"/>
  <c r="W7" i="9"/>
  <c r="K128" i="8"/>
  <c r="L129" i="8"/>
  <c r="Y2157" i="12"/>
  <c r="J2104" i="12"/>
  <c r="K2104" i="12" s="1"/>
  <c r="K2106" i="12"/>
  <c r="AE2158" i="12"/>
  <c r="AF2157" i="12"/>
  <c r="J2214" i="12"/>
  <c r="K2214" i="12" s="1"/>
  <c r="K2216" i="12"/>
  <c r="P2407" i="12"/>
  <c r="T2406" i="12"/>
  <c r="AC2423" i="12"/>
  <c r="AD2424" i="12"/>
  <c r="AB2581" i="12"/>
  <c r="AB2582" i="12"/>
  <c r="AB217" i="9"/>
  <c r="AA218" i="9"/>
  <c r="AB241" i="9"/>
  <c r="AA241" i="9" s="1"/>
  <c r="AA247" i="9"/>
  <c r="AB1669" i="12"/>
  <c r="AB1653" i="12" s="1"/>
  <c r="AA1670" i="12"/>
  <c r="AA1669" i="12" s="1"/>
  <c r="J2210" i="12"/>
  <c r="K2211" i="12"/>
  <c r="AF2329" i="12"/>
  <c r="AE2330" i="12"/>
  <c r="AF2365" i="12"/>
  <c r="AE2365" i="12" s="1"/>
  <c r="AF2364" i="12"/>
  <c r="AE2366" i="12"/>
  <c r="AB2371" i="12"/>
  <c r="AA2371" i="12" s="1"/>
  <c r="AA2372" i="12"/>
  <c r="AB2370" i="12"/>
  <c r="AA2370" i="12" s="1"/>
  <c r="AF2395" i="12"/>
  <c r="AE2396" i="12"/>
  <c r="M2400" i="12"/>
  <c r="M2398" i="12" s="1"/>
  <c r="L2401" i="12"/>
  <c r="J2410" i="12"/>
  <c r="K2410" i="12" s="1"/>
  <c r="K2423" i="12"/>
  <c r="Z2501" i="12"/>
  <c r="Y2500" i="12"/>
  <c r="V2516" i="12"/>
  <c r="Z2516" i="12" s="1"/>
  <c r="AA2517" i="12"/>
  <c r="AB2531" i="12"/>
  <c r="AA2531" i="12" s="1"/>
  <c r="AB2532" i="12"/>
  <c r="AA2532" i="12" s="1"/>
  <c r="AA2533" i="12"/>
  <c r="K2554" i="12"/>
  <c r="J2548" i="12"/>
  <c r="K2548" i="12" s="1"/>
  <c r="J2552" i="12"/>
  <c r="J475" i="8"/>
  <c r="L475" i="8" s="1"/>
  <c r="L478" i="8"/>
  <c r="L625" i="8"/>
  <c r="J622" i="8"/>
  <c r="L622" i="8" s="1"/>
  <c r="AF2437" i="12"/>
  <c r="AE2438" i="12"/>
  <c r="AA2378" i="12"/>
  <c r="AA2377" i="12" s="1"/>
  <c r="AB2377" i="12"/>
  <c r="AD2377" i="12" s="1"/>
  <c r="AB2376" i="12"/>
  <c r="AA2376" i="12" s="1"/>
  <c r="Y2400" i="12"/>
  <c r="Z2401" i="12"/>
  <c r="AD2453" i="12"/>
  <c r="AC2452" i="12"/>
  <c r="AD2452" i="12" s="1"/>
  <c r="AB2458" i="12"/>
  <c r="AB2457" i="12"/>
  <c r="AA2457" i="12" s="1"/>
  <c r="AA2459" i="12"/>
  <c r="AD2464" i="12"/>
  <c r="AC2463" i="12"/>
  <c r="AD2463" i="12" s="1"/>
  <c r="AF2469" i="12"/>
  <c r="AF2468" i="12"/>
  <c r="AE2470" i="12"/>
  <c r="AD2490" i="12"/>
  <c r="AC2488" i="12"/>
  <c r="AD2488" i="12" s="1"/>
  <c r="AC2489" i="12"/>
  <c r="AD2489" i="12" s="1"/>
  <c r="N120" i="8"/>
  <c r="M121" i="8"/>
  <c r="M78" i="8"/>
  <c r="N75" i="8"/>
  <c r="N190" i="8"/>
  <c r="M190" i="8" s="1"/>
  <c r="M191" i="8"/>
  <c r="L552" i="8"/>
  <c r="J549" i="8"/>
  <c r="L740" i="8"/>
  <c r="K737" i="8"/>
  <c r="Y252" i="9"/>
  <c r="Z253" i="9"/>
  <c r="Q221" i="8"/>
  <c r="AA874" i="12"/>
  <c r="T1028" i="12"/>
  <c r="U1748" i="12"/>
  <c r="U1746" i="12" s="1"/>
  <c r="N2286" i="12"/>
  <c r="N2234" i="12" s="1"/>
  <c r="N2233" i="12" s="1"/>
  <c r="N2152" i="12" s="1"/>
  <c r="N2150" i="12" s="1"/>
  <c r="L252" i="12"/>
  <c r="AE1038" i="12"/>
  <c r="V1110" i="12"/>
  <c r="V1108" i="12" s="1"/>
  <c r="N1437" i="12"/>
  <c r="N1436" i="12" s="1"/>
  <c r="N1434" i="12" s="1"/>
  <c r="AE1851" i="12"/>
  <c r="R1317" i="12"/>
  <c r="R1315" i="12" s="1"/>
  <c r="S1750" i="12"/>
  <c r="S1748" i="12" s="1"/>
  <c r="S1746" i="12" s="1"/>
  <c r="AA2236" i="12"/>
  <c r="AA2235" i="12" s="1"/>
  <c r="R1501" i="12"/>
  <c r="R1499" i="12" s="1"/>
  <c r="L1115" i="12"/>
  <c r="AH1236" i="12"/>
  <c r="AH1234" i="12" s="1"/>
  <c r="AE1590" i="12"/>
  <c r="AA2003" i="12"/>
  <c r="V894" i="12"/>
  <c r="W1682" i="12"/>
  <c r="W1680" i="12" s="1"/>
  <c r="L1789" i="12"/>
  <c r="K1805" i="12"/>
  <c r="AF2010" i="12"/>
  <c r="V2158" i="12"/>
  <c r="V2157" i="12" s="1"/>
  <c r="M8" i="9"/>
  <c r="AD2439" i="12"/>
  <c r="N708" i="8"/>
  <c r="W2476" i="12"/>
  <c r="W2474" i="12" s="1"/>
  <c r="AE2224" i="12"/>
  <c r="AD2484" i="12"/>
  <c r="T483" i="8"/>
  <c r="P558" i="8"/>
  <c r="AA281" i="9"/>
  <c r="M158" i="8"/>
  <c r="Q318" i="9"/>
  <c r="Y165" i="9"/>
  <c r="L270" i="8"/>
  <c r="X1716" i="12"/>
  <c r="X1714" i="12" s="1"/>
  <c r="AD2480" i="12"/>
  <c r="AE2484" i="12"/>
  <c r="AE2489" i="12"/>
  <c r="AG2597" i="12"/>
  <c r="AG2596" i="12" s="1"/>
  <c r="L147" i="8"/>
  <c r="M365" i="8"/>
  <c r="W1365" i="12"/>
  <c r="K2286" i="12"/>
  <c r="Z87" i="9"/>
  <c r="AH2410" i="12"/>
  <c r="X2410" i="12"/>
  <c r="M73" i="12"/>
  <c r="L74" i="12"/>
  <c r="Y129" i="12"/>
  <c r="Y130" i="12"/>
  <c r="Z130" i="12" s="1"/>
  <c r="Z131" i="12"/>
  <c r="AH149" i="12"/>
  <c r="AH148" i="12"/>
  <c r="AH146" i="12" s="1"/>
  <c r="AF169" i="12"/>
  <c r="AE170" i="12"/>
  <c r="P378" i="12"/>
  <c r="T377" i="12"/>
  <c r="P402" i="12"/>
  <c r="T401" i="12"/>
  <c r="Y54" i="12"/>
  <c r="Z54" i="12" s="1"/>
  <c r="Z56" i="12"/>
  <c r="Z55" i="12" s="1"/>
  <c r="Y55" i="12"/>
  <c r="Y96" i="12"/>
  <c r="Z97" i="12"/>
  <c r="J212" i="12"/>
  <c r="K212" i="12" s="1"/>
  <c r="K214" i="12"/>
  <c r="K224" i="12"/>
  <c r="J222" i="12"/>
  <c r="X184" i="12"/>
  <c r="X182" i="12" s="1"/>
  <c r="X180" i="12" s="1"/>
  <c r="X185" i="12"/>
  <c r="AB242" i="12"/>
  <c r="AE243" i="12"/>
  <c r="AA243" i="12"/>
  <c r="Z333" i="12"/>
  <c r="Y332" i="12"/>
  <c r="V642" i="10"/>
  <c r="R642" i="10" s="1"/>
  <c r="R644" i="10"/>
  <c r="AB115" i="12"/>
  <c r="AA115" i="12" s="1"/>
  <c r="AB116" i="12"/>
  <c r="AA116" i="12" s="1"/>
  <c r="AA117" i="12"/>
  <c r="AD117" i="12"/>
  <c r="AB148" i="12"/>
  <c r="AB149" i="12"/>
  <c r="AA149" i="12" s="1"/>
  <c r="AA150" i="12"/>
  <c r="Y184" i="12"/>
  <c r="Y185" i="12"/>
  <c r="Z186" i="12"/>
  <c r="AF186" i="12"/>
  <c r="AE187" i="12"/>
  <c r="K195" i="12"/>
  <c r="J186" i="12"/>
  <c r="M214" i="12"/>
  <c r="L216" i="12"/>
  <c r="AB216" i="12"/>
  <c r="AD216" i="12" s="1"/>
  <c r="AA217" i="12"/>
  <c r="Y228" i="12"/>
  <c r="Z228" i="12" s="1"/>
  <c r="Z230" i="12"/>
  <c r="T268" i="12"/>
  <c r="P269" i="12"/>
  <c r="AA339" i="12"/>
  <c r="AB338" i="12"/>
  <c r="AB330" i="12" s="1"/>
  <c r="AA330" i="12" s="1"/>
  <c r="J168" i="12"/>
  <c r="K169" i="12"/>
  <c r="K232" i="12"/>
  <c r="J230" i="12"/>
  <c r="AF325" i="12"/>
  <c r="AE325" i="12" s="1"/>
  <c r="AE326" i="12"/>
  <c r="K356" i="12"/>
  <c r="J354" i="12"/>
  <c r="V362" i="12"/>
  <c r="AA363" i="12"/>
  <c r="AB399" i="12"/>
  <c r="AA399" i="12" s="1"/>
  <c r="AB400" i="12"/>
  <c r="AA400" i="12" s="1"/>
  <c r="AA401" i="12"/>
  <c r="AD534" i="12"/>
  <c r="AC532" i="12"/>
  <c r="AD532" i="12" s="1"/>
  <c r="AC533" i="12"/>
  <c r="AD533" i="12" s="1"/>
  <c r="X279" i="12"/>
  <c r="X239" i="12" s="1"/>
  <c r="X237" i="12" s="1"/>
  <c r="X236" i="12" s="1"/>
  <c r="X280" i="12"/>
  <c r="AG408" i="12"/>
  <c r="AG407" i="12" s="1"/>
  <c r="AG405" i="12" s="1"/>
  <c r="AG409" i="12"/>
  <c r="M66" i="12"/>
  <c r="L66" i="12" s="1"/>
  <c r="L68" i="12"/>
  <c r="V241" i="12"/>
  <c r="V240" i="12"/>
  <c r="Z362" i="12"/>
  <c r="Y361" i="12"/>
  <c r="Y360" i="12"/>
  <c r="Y352" i="12" s="1"/>
  <c r="Y408" i="12"/>
  <c r="Z410" i="12"/>
  <c r="Y409" i="12"/>
  <c r="AA461" i="12"/>
  <c r="AB460" i="12"/>
  <c r="AD461" i="12"/>
  <c r="J543" i="12"/>
  <c r="K543" i="12" s="1"/>
  <c r="K545" i="12"/>
  <c r="AI476" i="12"/>
  <c r="AI475" i="12"/>
  <c r="AI474" i="12" s="1"/>
  <c r="AI472" i="12" s="1"/>
  <c r="K625" i="12"/>
  <c r="J623" i="12"/>
  <c r="K623" i="12" s="1"/>
  <c r="K636" i="12"/>
  <c r="J632" i="12"/>
  <c r="P658" i="12"/>
  <c r="T657" i="12"/>
  <c r="AD737" i="12"/>
  <c r="AC736" i="12"/>
  <c r="AC129" i="12"/>
  <c r="AC130" i="12"/>
  <c r="AD130" i="12" s="1"/>
  <c r="AD131" i="12"/>
  <c r="AF150" i="12"/>
  <c r="AE151" i="12"/>
  <c r="Z509" i="12"/>
  <c r="Y507" i="12"/>
  <c r="Y508" i="12"/>
  <c r="P523" i="12"/>
  <c r="T521" i="12"/>
  <c r="M532" i="12"/>
  <c r="L532" i="12" s="1"/>
  <c r="L534" i="12"/>
  <c r="P623" i="12"/>
  <c r="P663" i="12"/>
  <c r="T661" i="12"/>
  <c r="P661" i="12" s="1"/>
  <c r="P701" i="12"/>
  <c r="AF725" i="12"/>
  <c r="AE726" i="12"/>
  <c r="AB222" i="12"/>
  <c r="AB223" i="12"/>
  <c r="AA223" i="12" s="1"/>
  <c r="AA224" i="12"/>
  <c r="M352" i="12"/>
  <c r="L354" i="12"/>
  <c r="P461" i="12"/>
  <c r="T460" i="12"/>
  <c r="AE461" i="12"/>
  <c r="AF460" i="12"/>
  <c r="Y595" i="12"/>
  <c r="Z595" i="12" s="1"/>
  <c r="Y596" i="12"/>
  <c r="Z596" i="12" s="1"/>
  <c r="Z597" i="12"/>
  <c r="AB615" i="12"/>
  <c r="M630" i="12"/>
  <c r="L630" i="12" s="1"/>
  <c r="L632" i="12"/>
  <c r="Z701" i="12"/>
  <c r="AG846" i="12"/>
  <c r="AG845" i="12"/>
  <c r="AG743" i="12" s="1"/>
  <c r="AG740" i="12" s="1"/>
  <c r="T949" i="12"/>
  <c r="P949" i="12" s="1"/>
  <c r="P951" i="12"/>
  <c r="K499" i="12"/>
  <c r="J497" i="12"/>
  <c r="K497" i="12" s="1"/>
  <c r="AD509" i="12"/>
  <c r="AC508" i="12"/>
  <c r="AD508" i="12" s="1"/>
  <c r="AC507" i="12"/>
  <c r="AF613" i="12"/>
  <c r="AF614" i="12"/>
  <c r="AE615" i="12"/>
  <c r="AC630" i="12"/>
  <c r="AC631" i="12"/>
  <c r="AD632" i="12"/>
  <c r="P709" i="12"/>
  <c r="T707" i="12"/>
  <c r="P707" i="12" s="1"/>
  <c r="AB834" i="12"/>
  <c r="AA838" i="12"/>
  <c r="AD838" i="12"/>
  <c r="J937" i="12"/>
  <c r="K937" i="12" s="1"/>
  <c r="K940" i="12"/>
  <c r="J939" i="12"/>
  <c r="K939" i="12" s="1"/>
  <c r="K964" i="12"/>
  <c r="J963" i="12"/>
  <c r="AC1001" i="12"/>
  <c r="AD1003" i="12"/>
  <c r="AC1002" i="12"/>
  <c r="AG1015" i="12"/>
  <c r="AG1013" i="12" s="1"/>
  <c r="AG1016" i="12"/>
  <c r="AD1198" i="12"/>
  <c r="AC1188" i="12"/>
  <c r="K1508" i="12"/>
  <c r="J1507" i="12"/>
  <c r="AC408" i="12"/>
  <c r="AD410" i="12"/>
  <c r="AC409" i="12"/>
  <c r="Y644" i="12"/>
  <c r="Z644" i="12" s="1"/>
  <c r="Y645" i="12"/>
  <c r="Z645" i="12" s="1"/>
  <c r="Z646" i="12"/>
  <c r="AC661" i="12"/>
  <c r="AC662" i="12"/>
  <c r="AC678" i="12"/>
  <c r="AC677" i="12"/>
  <c r="AD679" i="12"/>
  <c r="AB678" i="12"/>
  <c r="AA679" i="12"/>
  <c r="AB677" i="12"/>
  <c r="AA677" i="12" s="1"/>
  <c r="M699" i="12"/>
  <c r="L701" i="12"/>
  <c r="Y945" i="12"/>
  <c r="Z946" i="12"/>
  <c r="AC949" i="12"/>
  <c r="AC950" i="12"/>
  <c r="AD951" i="12"/>
  <c r="AF663" i="12"/>
  <c r="AE664" i="12"/>
  <c r="AB725" i="12"/>
  <c r="AA726" i="12"/>
  <c r="T746" i="12"/>
  <c r="P747" i="12"/>
  <c r="Z852" i="12"/>
  <c r="Y851" i="12"/>
  <c r="AH1026" i="12"/>
  <c r="AH1027" i="12"/>
  <c r="AI1175" i="12"/>
  <c r="AI1174" i="12"/>
  <c r="O1185" i="12"/>
  <c r="O1183" i="12"/>
  <c r="O1131" i="12" s="1"/>
  <c r="K1289" i="12"/>
  <c r="J1288" i="12"/>
  <c r="J1387" i="12"/>
  <c r="K1388" i="12"/>
  <c r="K1436" i="12"/>
  <c r="J1434" i="12"/>
  <c r="K1434" i="12" s="1"/>
  <c r="AG1435" i="12"/>
  <c r="AG1434" i="12"/>
  <c r="AH1454" i="12"/>
  <c r="AH1365" i="12" s="1"/>
  <c r="AH1317" i="12" s="1"/>
  <c r="AH1315" i="12" s="1"/>
  <c r="AH1455" i="12"/>
  <c r="X1483" i="12"/>
  <c r="X1484" i="12"/>
  <c r="Z1720" i="12"/>
  <c r="Y1719" i="12"/>
  <c r="K1741" i="12"/>
  <c r="J1739" i="12"/>
  <c r="K1739" i="12" s="1"/>
  <c r="Y896" i="12"/>
  <c r="Z896" i="12" s="1"/>
  <c r="Z897" i="12"/>
  <c r="J951" i="12"/>
  <c r="K952" i="12"/>
  <c r="AF989" i="12"/>
  <c r="AE989" i="12" s="1"/>
  <c r="AF990" i="12"/>
  <c r="AE990" i="12" s="1"/>
  <c r="AE991" i="12"/>
  <c r="AB1126" i="12"/>
  <c r="AA1127" i="12"/>
  <c r="P1176" i="12"/>
  <c r="T1174" i="12"/>
  <c r="P1174" i="12" s="1"/>
  <c r="AF1704" i="12"/>
  <c r="AE1705" i="12"/>
  <c r="U1454" i="12"/>
  <c r="U1455" i="12"/>
  <c r="AB1485" i="12"/>
  <c r="AD1486" i="12"/>
  <c r="AA1486" i="12"/>
  <c r="P1507" i="12"/>
  <c r="T1506" i="12"/>
  <c r="AC1654" i="12"/>
  <c r="AC1653" i="12"/>
  <c r="AD1655" i="12"/>
  <c r="AD1694" i="12"/>
  <c r="AB1693" i="12"/>
  <c r="AA1694" i="12"/>
  <c r="Y1739" i="12"/>
  <c r="Z1739" i="12" s="1"/>
  <c r="Y1740" i="12"/>
  <c r="Z1740" i="12" s="1"/>
  <c r="Z1741" i="12"/>
  <c r="AF450" i="12"/>
  <c r="AE450" i="12" s="1"/>
  <c r="AE451" i="12"/>
  <c r="AF449" i="12"/>
  <c r="AE449" i="12" s="1"/>
  <c r="Y903" i="12"/>
  <c r="Z903" i="12" s="1"/>
  <c r="Z904" i="12"/>
  <c r="Y902" i="12"/>
  <c r="AC945" i="12"/>
  <c r="AD946" i="12"/>
  <c r="P969" i="12"/>
  <c r="T968" i="12"/>
  <c r="P968" i="12" s="1"/>
  <c r="AE975" i="12"/>
  <c r="AF974" i="12"/>
  <c r="AB978" i="12"/>
  <c r="AA978" i="12" s="1"/>
  <c r="AB979" i="12"/>
  <c r="AA979" i="12" s="1"/>
  <c r="AA980" i="12"/>
  <c r="J989" i="12"/>
  <c r="K989" i="12" s="1"/>
  <c r="K991" i="12"/>
  <c r="M1026" i="12"/>
  <c r="L1026" i="12" s="1"/>
  <c r="L1028" i="12"/>
  <c r="P1114" i="12"/>
  <c r="T1112" i="12"/>
  <c r="AF1334" i="12"/>
  <c r="AE1335" i="12"/>
  <c r="AH1286" i="12"/>
  <c r="AH1285" i="12" s="1"/>
  <c r="AH1283" i="12" s="1"/>
  <c r="AH1287" i="12"/>
  <c r="W1503" i="12"/>
  <c r="W1504" i="12"/>
  <c r="AB1545" i="12"/>
  <c r="AE1545" i="12" s="1"/>
  <c r="AE1546" i="12"/>
  <c r="AA1546" i="12"/>
  <c r="AH1543" i="12"/>
  <c r="AH1542" i="12" s="1"/>
  <c r="AH1501" i="12" s="1"/>
  <c r="AH1499" i="12" s="1"/>
  <c r="AH1544" i="12"/>
  <c r="T1655" i="12"/>
  <c r="P1656" i="12"/>
  <c r="T1692" i="12"/>
  <c r="P1693" i="12"/>
  <c r="L1710" i="12"/>
  <c r="M1709" i="12"/>
  <c r="AB1719" i="12"/>
  <c r="AA1720" i="12"/>
  <c r="Y1794" i="12"/>
  <c r="Z1794" i="12" s="1"/>
  <c r="Z1796" i="12"/>
  <c r="Y1795" i="12"/>
  <c r="Z1795" i="12" s="1"/>
  <c r="AA1795" i="12"/>
  <c r="AA1794" i="12"/>
  <c r="Z1821" i="12"/>
  <c r="Y1820" i="12"/>
  <c r="Z1820" i="12" s="1"/>
  <c r="Y1819" i="12"/>
  <c r="Z1819" i="12" s="1"/>
  <c r="Z2005" i="12"/>
  <c r="Y2003" i="12"/>
  <c r="Z2003" i="12" s="1"/>
  <c r="Y2004" i="12"/>
  <c r="Z2004" i="12" s="1"/>
  <c r="J399" i="12"/>
  <c r="K399" i="12" s="1"/>
  <c r="K401" i="12"/>
  <c r="AC475" i="12"/>
  <c r="AC476" i="12"/>
  <c r="AD477" i="12"/>
  <c r="P898" i="12"/>
  <c r="T897" i="12"/>
  <c r="AB968" i="12"/>
  <c r="AA968" i="12" s="1"/>
  <c r="AA969" i="12"/>
  <c r="Y1045" i="12"/>
  <c r="Z1046" i="12"/>
  <c r="P1388" i="12"/>
  <c r="T1387" i="12"/>
  <c r="V1187" i="12"/>
  <c r="V1186" i="12"/>
  <c r="V1185" i="12" s="1"/>
  <c r="V1183" i="12" s="1"/>
  <c r="X1385" i="12"/>
  <c r="X1386" i="12"/>
  <c r="W1544" i="12"/>
  <c r="W1543" i="12"/>
  <c r="W1542" i="12" s="1"/>
  <c r="Y1704" i="12"/>
  <c r="Z1704" i="12" s="1"/>
  <c r="Z1705" i="12"/>
  <c r="Z1909" i="12"/>
  <c r="Y1908" i="12"/>
  <c r="AA1999" i="12"/>
  <c r="AB1998" i="12"/>
  <c r="L2107" i="12"/>
  <c r="M2106" i="12"/>
  <c r="W2155" i="12"/>
  <c r="W2154" i="12" s="1"/>
  <c r="W2152" i="12" s="1"/>
  <c r="W2150" i="12" s="1"/>
  <c r="W2156" i="12"/>
  <c r="P1741" i="12"/>
  <c r="T1739" i="12"/>
  <c r="P1739" i="12" s="1"/>
  <c r="J1796" i="12"/>
  <c r="K1797" i="12"/>
  <c r="AC1804" i="12"/>
  <c r="AD1805" i="12"/>
  <c r="AB1907" i="12"/>
  <c r="AB1864" i="12"/>
  <c r="AE2060" i="12"/>
  <c r="AF2059" i="12"/>
  <c r="Y2209" i="12"/>
  <c r="Z2209" i="12" s="1"/>
  <c r="Z2210" i="12"/>
  <c r="Y2208" i="12"/>
  <c r="Z2208" i="12" s="1"/>
  <c r="AC2224" i="12"/>
  <c r="AD2225" i="12"/>
  <c r="N1183" i="12"/>
  <c r="N1185" i="12"/>
  <c r="J1485" i="12"/>
  <c r="K1486" i="12"/>
  <c r="J292" i="9"/>
  <c r="L295" i="9"/>
  <c r="AC918" i="12"/>
  <c r="AC919" i="12"/>
  <c r="AD920" i="12"/>
  <c r="AC1090" i="12"/>
  <c r="AD1090" i="12" s="1"/>
  <c r="AD1091" i="12"/>
  <c r="AC1089" i="12"/>
  <c r="AD1089" i="12" s="1"/>
  <c r="AC1157" i="12"/>
  <c r="AD1157" i="12" s="1"/>
  <c r="AD1158" i="12"/>
  <c r="AC1322" i="12"/>
  <c r="AD1323" i="12"/>
  <c r="AA1683" i="12"/>
  <c r="AF1804" i="12"/>
  <c r="AE1805" i="12"/>
  <c r="AE1913" i="12"/>
  <c r="AF1909" i="12"/>
  <c r="AB2126" i="12"/>
  <c r="AA2126" i="12" s="1"/>
  <c r="AB2127" i="12"/>
  <c r="AA2127" i="12" s="1"/>
  <c r="AA2128" i="12"/>
  <c r="J1346" i="12"/>
  <c r="K1350" i="12"/>
  <c r="K1710" i="12"/>
  <c r="J1709" i="12"/>
  <c r="AG1907" i="12"/>
  <c r="AD2039" i="12"/>
  <c r="AC2038" i="12"/>
  <c r="Z2111" i="12"/>
  <c r="Y2110" i="12"/>
  <c r="Z2110" i="12" s="1"/>
  <c r="AE2244" i="12"/>
  <c r="AF2236" i="12"/>
  <c r="U40" i="9"/>
  <c r="Q40" i="9" s="1"/>
  <c r="Q46" i="9"/>
  <c r="Y1346" i="12"/>
  <c r="Z1350" i="12"/>
  <c r="V1503" i="12"/>
  <c r="V1504" i="12"/>
  <c r="AF1819" i="12"/>
  <c r="AE1819" i="12" s="1"/>
  <c r="AF1820" i="12"/>
  <c r="AE1820" i="12" s="1"/>
  <c r="AE1821" i="12"/>
  <c r="P920" i="12"/>
  <c r="T918" i="12"/>
  <c r="P918" i="12" s="1"/>
  <c r="Z981" i="12"/>
  <c r="Y980" i="12"/>
  <c r="Y1077" i="12"/>
  <c r="Z1077" i="12" s="1"/>
  <c r="Y1078" i="12"/>
  <c r="Z1078" i="12" s="1"/>
  <c r="Z1079" i="12"/>
  <c r="AB1114" i="12"/>
  <c r="AA1115" i="12"/>
  <c r="Y1137" i="12"/>
  <c r="Z1138" i="12"/>
  <c r="AC1239" i="12"/>
  <c r="AD1240" i="12"/>
  <c r="Y1329" i="12"/>
  <c r="Z1330" i="12"/>
  <c r="AF1494" i="12"/>
  <c r="AE1495" i="12"/>
  <c r="AC1605" i="12"/>
  <c r="AC1604" i="12"/>
  <c r="AD1606" i="12"/>
  <c r="Y1709" i="12"/>
  <c r="Z1710" i="12"/>
  <c r="AF1739" i="12"/>
  <c r="AF1740" i="12"/>
  <c r="AE1741" i="12"/>
  <c r="M1804" i="12"/>
  <c r="L1805" i="12"/>
  <c r="Y2071" i="12"/>
  <c r="Z2072" i="12"/>
  <c r="Y2204" i="12"/>
  <c r="Z2205" i="12"/>
  <c r="AC2209" i="12"/>
  <c r="AD2210" i="12"/>
  <c r="AC2208" i="12"/>
  <c r="AC2328" i="12"/>
  <c r="AD2329" i="12"/>
  <c r="O99" i="10"/>
  <c r="N101" i="10"/>
  <c r="M1037" i="12"/>
  <c r="L1039" i="12"/>
  <c r="AB1097" i="12"/>
  <c r="AD1097" i="12" s="1"/>
  <c r="AB1096" i="12"/>
  <c r="AD1096" i="12" s="1"/>
  <c r="AB1137" i="12"/>
  <c r="AD1138" i="12"/>
  <c r="AA1138" i="12"/>
  <c r="AF1338" i="12"/>
  <c r="AF1339" i="12"/>
  <c r="AE1340" i="12"/>
  <c r="AF1346" i="12"/>
  <c r="V1434" i="12"/>
  <c r="V1435" i="12"/>
  <c r="AC1493" i="12"/>
  <c r="AF1606" i="12"/>
  <c r="AE1610" i="12"/>
  <c r="AB1828" i="12"/>
  <c r="AB1827" i="12"/>
  <c r="AE1827" i="12" s="1"/>
  <c r="AE1829" i="12"/>
  <c r="AF1866" i="12"/>
  <c r="AE1867" i="12"/>
  <c r="Y1991" i="12"/>
  <c r="Z1992" i="12"/>
  <c r="AD2395" i="12"/>
  <c r="AC2394" i="12"/>
  <c r="AI2514" i="12"/>
  <c r="AI2512" i="12" s="1"/>
  <c r="AI2510" i="12" s="1"/>
  <c r="AI2515" i="12"/>
  <c r="AF2069" i="12"/>
  <c r="AF2070" i="12"/>
  <c r="AB2114" i="12"/>
  <c r="AA2114" i="12" s="1"/>
  <c r="AB2115" i="12"/>
  <c r="AA2115" i="12" s="1"/>
  <c r="AA2116" i="12"/>
  <c r="AE2116" i="12"/>
  <c r="Y2224" i="12"/>
  <c r="Z2225" i="12"/>
  <c r="AB2393" i="12"/>
  <c r="AA2393" i="12" s="1"/>
  <c r="AA2394" i="12"/>
  <c r="AD2438" i="12"/>
  <c r="AC2437" i="12"/>
  <c r="AF2458" i="12"/>
  <c r="AF2457" i="12"/>
  <c r="AE2457" i="12" s="1"/>
  <c r="AE2459" i="12"/>
  <c r="J2539" i="12"/>
  <c r="K2540" i="12"/>
  <c r="L44" i="8"/>
  <c r="K21" i="8"/>
  <c r="L21" i="8" s="1"/>
  <c r="L141" i="8"/>
  <c r="J135" i="8"/>
  <c r="J134" i="8" s="1"/>
  <c r="AA95" i="9"/>
  <c r="AB94" i="9"/>
  <c r="Z149" i="9"/>
  <c r="Y148" i="9"/>
  <c r="L91" i="8"/>
  <c r="K634" i="8"/>
  <c r="L640" i="8"/>
  <c r="AA186" i="9"/>
  <c r="V185" i="9"/>
  <c r="AA185" i="9" s="1"/>
  <c r="AA166" i="9"/>
  <c r="AB165" i="9"/>
  <c r="L315" i="9"/>
  <c r="K314" i="9"/>
  <c r="L314" i="9" s="1"/>
  <c r="M628" i="8"/>
  <c r="L628" i="8"/>
  <c r="AD2095" i="12"/>
  <c r="AC2094" i="12"/>
  <c r="AI2215" i="12"/>
  <c r="AI2214" i="12"/>
  <c r="AI2154" i="12" s="1"/>
  <c r="AI2152" i="12" s="1"/>
  <c r="AI2150" i="12" s="1"/>
  <c r="V2234" i="12"/>
  <c r="V2233" i="12" s="1"/>
  <c r="V2285" i="12"/>
  <c r="W2514" i="12"/>
  <c r="W2512" i="12" s="1"/>
  <c r="W2510" i="12" s="1"/>
  <c r="W2515" i="12"/>
  <c r="P2065" i="12"/>
  <c r="T2064" i="12"/>
  <c r="P2064" i="12" s="1"/>
  <c r="Z2135" i="12"/>
  <c r="Y2134" i="12"/>
  <c r="K2389" i="12"/>
  <c r="J2387" i="12"/>
  <c r="K2387" i="12" s="1"/>
  <c r="AB2469" i="12"/>
  <c r="AA2469" i="12" s="1"/>
  <c r="AB2468" i="12"/>
  <c r="AA2468" i="12" s="1"/>
  <c r="AA2470" i="12"/>
  <c r="T2476" i="12"/>
  <c r="P2478" i="12"/>
  <c r="AD2501" i="12"/>
  <c r="AC2500" i="12"/>
  <c r="K2533" i="12"/>
  <c r="J2531" i="12"/>
  <c r="K2531" i="12" s="1"/>
  <c r="L2581" i="12"/>
  <c r="M2579" i="12"/>
  <c r="V2584" i="12"/>
  <c r="AA2585" i="12"/>
  <c r="M147" i="8"/>
  <c r="L88" i="9"/>
  <c r="M88" i="9"/>
  <c r="M174" i="9"/>
  <c r="K281" i="9"/>
  <c r="L282" i="9"/>
  <c r="M738" i="8"/>
  <c r="J737" i="8"/>
  <c r="L738" i="8"/>
  <c r="K849" i="8"/>
  <c r="L849" i="8" s="1"/>
  <c r="L850" i="8"/>
  <c r="AB2387" i="12"/>
  <c r="AA2387" i="12" s="1"/>
  <c r="AB2388" i="12"/>
  <c r="AA2388" i="12" s="1"/>
  <c r="AA2389" i="12"/>
  <c r="AA2407" i="12"/>
  <c r="AB2406" i="12"/>
  <c r="Z2478" i="12"/>
  <c r="AF2548" i="12"/>
  <c r="AE2548" i="12" s="1"/>
  <c r="AF2552" i="12"/>
  <c r="AF2553" i="12"/>
  <c r="AE2554" i="12"/>
  <c r="T2514" i="12"/>
  <c r="P2516" i="12"/>
  <c r="AA2423" i="12"/>
  <c r="AA2422" i="12" s="1"/>
  <c r="AB2410" i="12"/>
  <c r="AA2410" i="12" s="1"/>
  <c r="AB2422" i="12"/>
  <c r="AD2470" i="12"/>
  <c r="AC2468" i="12"/>
  <c r="AC2469" i="12"/>
  <c r="AD2469" i="12" s="1"/>
  <c r="AE2524" i="12"/>
  <c r="AF2516" i="12"/>
  <c r="AD2539" i="12"/>
  <c r="AC2537" i="12"/>
  <c r="AD2537" i="12" s="1"/>
  <c r="AC2538" i="12"/>
  <c r="AD2538" i="12" s="1"/>
  <c r="L215" i="8"/>
  <c r="K212" i="8"/>
  <c r="M364" i="8"/>
  <c r="N335" i="8"/>
  <c r="AC2204" i="12"/>
  <c r="AD2205" i="12"/>
  <c r="Q121" i="8"/>
  <c r="U120" i="8"/>
  <c r="M218" i="8"/>
  <c r="J212" i="8"/>
  <c r="M212" i="8" s="1"/>
  <c r="O599" i="8"/>
  <c r="Q600" i="8"/>
  <c r="Y442" i="10"/>
  <c r="Y440" i="10" s="1"/>
  <c r="Y438" i="10" s="1"/>
  <c r="Z60" i="12"/>
  <c r="I96" i="12"/>
  <c r="I94" i="12" s="1"/>
  <c r="I14" i="12" s="1"/>
  <c r="I11" i="12" s="1"/>
  <c r="I10" i="12" s="1"/>
  <c r="L106" i="12"/>
  <c r="X14" i="12"/>
  <c r="X11" i="12" s="1"/>
  <c r="X10" i="12" s="1"/>
  <c r="S11" i="12"/>
  <c r="S10" i="12" s="1"/>
  <c r="Q236" i="12"/>
  <c r="Z446" i="12"/>
  <c r="U374" i="12"/>
  <c r="U372" i="12" s="1"/>
  <c r="O471" i="12"/>
  <c r="AD450" i="12"/>
  <c r="Z497" i="12"/>
  <c r="Z195" i="12"/>
  <c r="X505" i="12"/>
  <c r="AD782" i="12"/>
  <c r="AH790" i="12"/>
  <c r="AE841" i="12"/>
  <c r="W621" i="12"/>
  <c r="W617" i="12" s="1"/>
  <c r="W616" i="12" s="1"/>
  <c r="W615" i="12" s="1"/>
  <c r="AE651" i="12"/>
  <c r="N236" i="12"/>
  <c r="I862" i="12"/>
  <c r="I860" i="12" s="1"/>
  <c r="V865" i="12"/>
  <c r="AH239" i="12"/>
  <c r="AH237" i="12" s="1"/>
  <c r="AH236" i="12" s="1"/>
  <c r="AH674" i="12"/>
  <c r="AE755" i="12"/>
  <c r="Z866" i="12"/>
  <c r="X674" i="12"/>
  <c r="AE1378" i="12"/>
  <c r="AD231" i="12"/>
  <c r="AA1555" i="12"/>
  <c r="X894" i="12"/>
  <c r="X892" i="12" s="1"/>
  <c r="N1134" i="12"/>
  <c r="N1132" i="12" s="1"/>
  <c r="Q1713" i="12"/>
  <c r="V1035" i="12"/>
  <c r="AD1589" i="12"/>
  <c r="AD2073" i="12"/>
  <c r="Q1288" i="12"/>
  <c r="Q1286" i="12" s="1"/>
  <c r="Q1285" i="12" s="1"/>
  <c r="Q1283" i="12" s="1"/>
  <c r="Q1282" i="12" s="1"/>
  <c r="I1750" i="12"/>
  <c r="I1748" i="12" s="1"/>
  <c r="I1746" i="12" s="1"/>
  <c r="AE1828" i="12"/>
  <c r="AG1940" i="12"/>
  <c r="AG1930" i="12" s="1"/>
  <c r="AG1929" i="12" s="1"/>
  <c r="K1728" i="12"/>
  <c r="AD1341" i="12"/>
  <c r="S2286" i="12"/>
  <c r="S2234" i="12" s="1"/>
  <c r="S2233" i="12" s="1"/>
  <c r="S2152" i="12" s="1"/>
  <c r="S2150" i="12" s="1"/>
  <c r="R1713" i="12"/>
  <c r="V1864" i="12"/>
  <c r="AE560" i="12"/>
  <c r="U1542" i="12"/>
  <c r="U1501" i="12" s="1"/>
  <c r="U1499" i="12" s="1"/>
  <c r="AD1546" i="12"/>
  <c r="AA2004" i="12"/>
  <c r="X131" i="10"/>
  <c r="X121" i="10" s="1"/>
  <c r="AD1351" i="12"/>
  <c r="U2234" i="12"/>
  <c r="U2233" i="12" s="1"/>
  <c r="U2152" i="12" s="1"/>
  <c r="U2150" i="12" s="1"/>
  <c r="Z46" i="9"/>
  <c r="M224" i="9"/>
  <c r="I820" i="8"/>
  <c r="AD2339" i="12"/>
  <c r="AD2531" i="12"/>
  <c r="J308" i="9"/>
  <c r="M308" i="9" s="1"/>
  <c r="Z186" i="9"/>
  <c r="AD2524" i="12"/>
  <c r="L241" i="9"/>
  <c r="M634" i="8"/>
  <c r="AE2339" i="12"/>
  <c r="J495" i="8"/>
  <c r="M495" i="8" s="1"/>
  <c r="K342" i="8"/>
  <c r="L342" i="8" s="1"/>
  <c r="AE2439" i="12"/>
  <c r="Z2585" i="12"/>
  <c r="M438" i="8"/>
  <c r="AE2452" i="12"/>
  <c r="AE2463" i="12"/>
  <c r="AD2554" i="12"/>
  <c r="K146" i="8"/>
  <c r="J2286" i="12"/>
  <c r="J2234" i="12" s="1"/>
  <c r="Z254" i="9"/>
  <c r="K559" i="8"/>
  <c r="L559" i="8" s="1"/>
  <c r="L796" i="8"/>
  <c r="N446" i="8"/>
  <c r="M453" i="8"/>
  <c r="K558" i="8"/>
  <c r="L558" i="8" s="1"/>
  <c r="L587" i="8"/>
  <c r="L228" i="8"/>
  <c r="AB252" i="9"/>
  <c r="AA259" i="9"/>
  <c r="G221" i="8"/>
  <c r="H221" i="8"/>
  <c r="W744" i="8"/>
  <c r="M593" i="8"/>
  <c r="M565" i="8"/>
  <c r="N558" i="8"/>
  <c r="M558" i="8" s="1"/>
  <c r="L217" i="9"/>
  <c r="L453" i="8"/>
  <c r="V7" i="8"/>
  <c r="V5" i="8" s="1"/>
  <c r="W632" i="8"/>
  <c r="W5" i="8" s="1"/>
  <c r="R173" i="9"/>
  <c r="J173" i="9"/>
  <c r="M827" i="8"/>
  <c r="N820" i="8"/>
  <c r="U173" i="9"/>
  <c r="L715" i="8"/>
  <c r="K708" i="8"/>
  <c r="M228" i="8"/>
  <c r="N221" i="8"/>
  <c r="M342" i="8"/>
  <c r="R221" i="8"/>
  <c r="X258" i="8"/>
  <c r="X257" i="8" s="1"/>
  <c r="N633" i="8"/>
  <c r="J820" i="8"/>
  <c r="AC2596" i="12"/>
  <c r="AD2597" i="12" l="1"/>
  <c r="AA1653" i="12"/>
  <c r="AB1617" i="12"/>
  <c r="AA1617" i="12" s="1"/>
  <c r="AD2376" i="12"/>
  <c r="AD60" i="12"/>
  <c r="AD54" i="12"/>
  <c r="AE668" i="12"/>
  <c r="V11" i="12"/>
  <c r="V10" i="12" s="1"/>
  <c r="AD498" i="12"/>
  <c r="AB2093" i="12"/>
  <c r="AE2094" i="12"/>
  <c r="AA2094" i="12"/>
  <c r="L812" i="10"/>
  <c r="M812" i="10" s="1"/>
  <c r="M818" i="10"/>
  <c r="AG1135" i="12"/>
  <c r="AG1134" i="12" s="1"/>
  <c r="AG1132" i="12" s="1"/>
  <c r="AG1131" i="12" s="1"/>
  <c r="AG1136" i="12"/>
  <c r="P991" i="12"/>
  <c r="T989" i="12"/>
  <c r="P989" i="12" s="1"/>
  <c r="V658" i="10"/>
  <c r="R658" i="10" s="1"/>
  <c r="R659" i="10"/>
  <c r="N299" i="10"/>
  <c r="O298" i="10"/>
  <c r="AF1103" i="12"/>
  <c r="AE1103" i="12" s="1"/>
  <c r="AE1104" i="12"/>
  <c r="P736" i="12"/>
  <c r="T735" i="12"/>
  <c r="P735" i="12" s="1"/>
  <c r="R719" i="10"/>
  <c r="V717" i="10"/>
  <c r="R717" i="10" s="1"/>
  <c r="V432" i="10"/>
  <c r="R434" i="10"/>
  <c r="L645" i="8"/>
  <c r="M2531" i="12"/>
  <c r="L2531" i="12" s="1"/>
  <c r="L2533" i="12"/>
  <c r="L545" i="12"/>
  <c r="M543" i="12"/>
  <c r="L543" i="12" s="1"/>
  <c r="N613" i="10"/>
  <c r="O612" i="10"/>
  <c r="N612" i="10" s="1"/>
  <c r="J633" i="8"/>
  <c r="S1713" i="12"/>
  <c r="M633" i="8"/>
  <c r="J446" i="8"/>
  <c r="Z317" i="9"/>
  <c r="AD2388" i="12"/>
  <c r="R1282" i="12"/>
  <c r="AE1097" i="12"/>
  <c r="AE2468" i="12"/>
  <c r="AE2364" i="12"/>
  <c r="Y1653" i="12"/>
  <c r="Z1653" i="12" s="1"/>
  <c r="AC2446" i="12"/>
  <c r="AD2446" i="12" s="1"/>
  <c r="AD2504" i="12"/>
  <c r="P2286" i="12"/>
  <c r="AE2479" i="12"/>
  <c r="AE2376" i="12"/>
  <c r="AE944" i="12"/>
  <c r="AE130" i="12"/>
  <c r="AB584" i="12"/>
  <c r="AA584" i="12" s="1"/>
  <c r="AD585" i="12"/>
  <c r="O1282" i="12"/>
  <c r="O2593" i="12" s="1"/>
  <c r="O2595" i="12" s="1"/>
  <c r="P428" i="10"/>
  <c r="P874" i="10" s="1"/>
  <c r="P876" i="10" s="1"/>
  <c r="V185" i="12"/>
  <c r="Z185" i="12" s="1"/>
  <c r="AB168" i="12"/>
  <c r="AD168" i="12" s="1"/>
  <c r="P2204" i="12"/>
  <c r="T2202" i="12"/>
  <c r="P2202" i="12" s="1"/>
  <c r="N530" i="10"/>
  <c r="O529" i="10"/>
  <c r="N529" i="10" s="1"/>
  <c r="V529" i="10"/>
  <c r="R529" i="10" s="1"/>
  <c r="R530" i="10"/>
  <c r="AA702" i="12"/>
  <c r="Z2378" i="12"/>
  <c r="Z2377" i="12" s="1"/>
  <c r="Y2377" i="12"/>
  <c r="Y2376" i="12"/>
  <c r="Z2376" i="12" s="1"/>
  <c r="V204" i="10"/>
  <c r="R204" i="10" s="1"/>
  <c r="R205" i="10"/>
  <c r="AF1083" i="12"/>
  <c r="AE1083" i="12" s="1"/>
  <c r="AF1084" i="12"/>
  <c r="AE1084" i="12" s="1"/>
  <c r="AE1085" i="12"/>
  <c r="V459" i="10"/>
  <c r="R459" i="10" s="1"/>
  <c r="R460" i="10"/>
  <c r="Z2158" i="12"/>
  <c r="AE1051" i="12"/>
  <c r="AE2388" i="12"/>
  <c r="N84" i="8"/>
  <c r="AE1366" i="12"/>
  <c r="AE2099" i="12"/>
  <c r="AA1378" i="12"/>
  <c r="AH503" i="12"/>
  <c r="AD116" i="12"/>
  <c r="AE116" i="12"/>
  <c r="AH11" i="12"/>
  <c r="AH10" i="12" s="1"/>
  <c r="AD1223" i="12"/>
  <c r="AD602" i="12"/>
  <c r="AD560" i="12"/>
  <c r="X1237" i="12"/>
  <c r="X1236" i="12" s="1"/>
  <c r="X1234" i="12" s="1"/>
  <c r="X1238" i="12"/>
  <c r="T943" i="12"/>
  <c r="P943" i="12" s="1"/>
  <c r="P945" i="12"/>
  <c r="J54" i="12"/>
  <c r="K54" i="12" s="1"/>
  <c r="K56" i="12"/>
  <c r="O359" i="10"/>
  <c r="N360" i="10"/>
  <c r="AA1362" i="12"/>
  <c r="Z1362" i="12"/>
  <c r="T1683" i="12"/>
  <c r="P1683" i="12" s="1"/>
  <c r="P1685" i="12"/>
  <c r="M1083" i="12"/>
  <c r="L1083" i="12" s="1"/>
  <c r="L1085" i="12"/>
  <c r="AF533" i="12"/>
  <c r="AE533" i="12" s="1"/>
  <c r="AE534" i="12"/>
  <c r="O1713" i="12"/>
  <c r="M2478" i="12"/>
  <c r="L2480" i="12"/>
  <c r="AE2448" i="12"/>
  <c r="AF2447" i="12"/>
  <c r="AE2447" i="12" s="1"/>
  <c r="I1176" i="12"/>
  <c r="L1180" i="12"/>
  <c r="K1180" i="12"/>
  <c r="P131" i="12"/>
  <c r="T129" i="12"/>
  <c r="N1456" i="12"/>
  <c r="P1457" i="12"/>
  <c r="N250" i="10"/>
  <c r="O248" i="10"/>
  <c r="P252" i="12"/>
  <c r="Q2593" i="12"/>
  <c r="Q2595" i="12" s="1"/>
  <c r="X5" i="8"/>
  <c r="L495" i="8"/>
  <c r="N1131" i="12"/>
  <c r="M475" i="8"/>
  <c r="AD1066" i="12"/>
  <c r="AD2468" i="12"/>
  <c r="AE2553" i="12"/>
  <c r="N173" i="9"/>
  <c r="M173" i="9" s="1"/>
  <c r="N146" i="8"/>
  <c r="V1365" i="12"/>
  <c r="AD2553" i="12"/>
  <c r="V308" i="9"/>
  <c r="Z185" i="9"/>
  <c r="J483" i="8"/>
  <c r="L483" i="8" s="1"/>
  <c r="AD2548" i="12"/>
  <c r="J9" i="8"/>
  <c r="U8" i="9"/>
  <c r="Q8" i="9" s="1"/>
  <c r="AA1454" i="12"/>
  <c r="AD2505" i="12"/>
  <c r="AH1131" i="12"/>
  <c r="AE2203" i="12"/>
  <c r="AH2233" i="12"/>
  <c r="L242" i="12"/>
  <c r="U1365" i="12"/>
  <c r="U1317" i="12" s="1"/>
  <c r="U1315" i="12" s="1"/>
  <c r="I1282" i="12"/>
  <c r="AE885" i="12"/>
  <c r="M1739" i="12"/>
  <c r="L1739" i="12" s="1"/>
  <c r="L1741" i="12"/>
  <c r="AA56" i="12"/>
  <c r="AA55" i="12" s="1"/>
  <c r="AE56" i="12"/>
  <c r="AB54" i="12"/>
  <c r="AB55" i="12"/>
  <c r="AE55" i="12" s="1"/>
  <c r="AI376" i="12"/>
  <c r="AI375" i="12"/>
  <c r="AI374" i="12" s="1"/>
  <c r="AI372" i="12" s="1"/>
  <c r="R849" i="10"/>
  <c r="V847" i="10"/>
  <c r="R847" i="10" s="1"/>
  <c r="AA148" i="9"/>
  <c r="AB147" i="9"/>
  <c r="AA147" i="9" s="1"/>
  <c r="AA2038" i="12"/>
  <c r="AB2037" i="12"/>
  <c r="AE2038" i="12"/>
  <c r="X376" i="12"/>
  <c r="X375" i="12"/>
  <c r="X374" i="12" s="1"/>
  <c r="X372" i="12" s="1"/>
  <c r="AA755" i="12"/>
  <c r="W428" i="10"/>
  <c r="W874" i="10" s="1"/>
  <c r="W876" i="10" s="1"/>
  <c r="AC1680" i="12"/>
  <c r="U1282" i="12"/>
  <c r="Y350" i="12"/>
  <c r="AA1703" i="12"/>
  <c r="AE1703" i="12"/>
  <c r="S874" i="10"/>
  <c r="S876" i="10" s="1"/>
  <c r="AH788" i="12"/>
  <c r="AH789" i="12"/>
  <c r="AA2406" i="12"/>
  <c r="AB2405" i="12"/>
  <c r="AB2404" i="12"/>
  <c r="AD2406" i="12"/>
  <c r="AE2406" i="12"/>
  <c r="M737" i="8"/>
  <c r="J708" i="8"/>
  <c r="M708" i="8" s="1"/>
  <c r="L2579" i="12"/>
  <c r="M2577" i="12"/>
  <c r="L2577" i="12" s="1"/>
  <c r="AC2498" i="12"/>
  <c r="AD2498" i="12" s="1"/>
  <c r="AC2499" i="12"/>
  <c r="AD2499" i="12" s="1"/>
  <c r="AD2500" i="12"/>
  <c r="Y1989" i="12"/>
  <c r="Z1989" i="12" s="1"/>
  <c r="Z1991" i="12"/>
  <c r="Y1990" i="12"/>
  <c r="Z1990" i="12" s="1"/>
  <c r="AF1345" i="12"/>
  <c r="AF1344" i="12"/>
  <c r="P1692" i="12"/>
  <c r="T1690" i="12"/>
  <c r="AC943" i="12"/>
  <c r="AD943" i="12" s="1"/>
  <c r="AC944" i="12"/>
  <c r="AD944" i="12" s="1"/>
  <c r="AD945" i="12"/>
  <c r="P1506" i="12"/>
  <c r="T1505" i="12"/>
  <c r="AA834" i="12"/>
  <c r="AB833" i="12"/>
  <c r="AD834" i="12"/>
  <c r="N10" i="10"/>
  <c r="AA1043" i="12"/>
  <c r="M1286" i="12"/>
  <c r="L1288" i="12"/>
  <c r="AE1683" i="12"/>
  <c r="AA46" i="9"/>
  <c r="AB40" i="9"/>
  <c r="AE2286" i="12"/>
  <c r="AF2234" i="12"/>
  <c r="AF2285" i="12"/>
  <c r="AB2550" i="12"/>
  <c r="AA2550" i="12" s="1"/>
  <c r="AA2552" i="12"/>
  <c r="T2537" i="12"/>
  <c r="P2537" i="12" s="1"/>
  <c r="P2539" i="12"/>
  <c r="AC2364" i="12"/>
  <c r="AD2364" i="12" s="1"/>
  <c r="AC2365" i="12"/>
  <c r="AD2365" i="12" s="1"/>
  <c r="AD2366" i="12"/>
  <c r="J2579" i="12"/>
  <c r="K2581" i="12"/>
  <c r="AD2400" i="12"/>
  <c r="AC2399" i="12"/>
  <c r="AD2399" i="12" s="1"/>
  <c r="AC2398" i="12"/>
  <c r="AD2398" i="12" s="1"/>
  <c r="AC1907" i="12"/>
  <c r="AD1907" i="12" s="1"/>
  <c r="AC1864" i="12"/>
  <c r="AD1908" i="12"/>
  <c r="N125" i="10"/>
  <c r="O124" i="10"/>
  <c r="M1110" i="12"/>
  <c r="L1112" i="12"/>
  <c r="K1685" i="12"/>
  <c r="J1683" i="12"/>
  <c r="T2398" i="12"/>
  <c r="P2398" i="12" s="1"/>
  <c r="P2400" i="12"/>
  <c r="Y2234" i="12"/>
  <c r="Y2285" i="12"/>
  <c r="Z2285" i="12" s="1"/>
  <c r="Z2286" i="12"/>
  <c r="AB719" i="12"/>
  <c r="AA719" i="12" s="1"/>
  <c r="AA720" i="12"/>
  <c r="AB718" i="12"/>
  <c r="AA718" i="12" s="1"/>
  <c r="R1183" i="12"/>
  <c r="R1131" i="12" s="1"/>
  <c r="R1185" i="12"/>
  <c r="AC2236" i="12"/>
  <c r="AD2244" i="12"/>
  <c r="Y8" i="9"/>
  <c r="Z9" i="9"/>
  <c r="Z2423" i="12"/>
  <c r="Z2422" i="12" s="1"/>
  <c r="Y2410" i="12"/>
  <c r="Z2410" i="12" s="1"/>
  <c r="Y2422" i="12"/>
  <c r="V173" i="9"/>
  <c r="Z173" i="9" s="1"/>
  <c r="Z174" i="9"/>
  <c r="AB290" i="9"/>
  <c r="AA291" i="9"/>
  <c r="AB2514" i="12"/>
  <c r="AB2515" i="12"/>
  <c r="AA2516" i="12"/>
  <c r="AC1344" i="12"/>
  <c r="AC1345" i="12"/>
  <c r="T1124" i="12"/>
  <c r="P1124" i="12" s="1"/>
  <c r="P1126" i="12"/>
  <c r="T1125" i="12"/>
  <c r="AF949" i="12"/>
  <c r="AF950" i="12"/>
  <c r="AE951" i="12"/>
  <c r="AA2076" i="12"/>
  <c r="AB2075" i="12"/>
  <c r="AE2076" i="12"/>
  <c r="Z1690" i="12"/>
  <c r="Z1691" i="12"/>
  <c r="AB2234" i="12"/>
  <c r="AB2285" i="12"/>
  <c r="AA2285" i="12" s="1"/>
  <c r="AA2286" i="12"/>
  <c r="M885" i="12"/>
  <c r="L885" i="12" s="1"/>
  <c r="L887" i="12"/>
  <c r="AC2155" i="12"/>
  <c r="AC2156" i="12"/>
  <c r="AD2157" i="12"/>
  <c r="AE2128" i="12"/>
  <c r="AF2127" i="12"/>
  <c r="AE2127" i="12" s="1"/>
  <c r="AF2126" i="12"/>
  <c r="AE2126" i="12" s="1"/>
  <c r="AC2069" i="12"/>
  <c r="AC2070" i="12"/>
  <c r="AC1277" i="12"/>
  <c r="AD1277" i="12" s="1"/>
  <c r="AD1278" i="12"/>
  <c r="AC1276" i="12"/>
  <c r="AD1276" i="12" s="1"/>
  <c r="AB973" i="12"/>
  <c r="AA973" i="12" s="1"/>
  <c r="AA974" i="12"/>
  <c r="U119" i="8"/>
  <c r="Q119" i="8" s="1"/>
  <c r="Q120" i="8"/>
  <c r="L281" i="9"/>
  <c r="K252" i="9"/>
  <c r="L252" i="9" s="1"/>
  <c r="V2583" i="12"/>
  <c r="AA2584" i="12"/>
  <c r="Z2584" i="12"/>
  <c r="T2474" i="12"/>
  <c r="AD2094" i="12"/>
  <c r="AC2093" i="12"/>
  <c r="AD2093" i="12" s="1"/>
  <c r="AB93" i="9"/>
  <c r="AA93" i="9" s="1"/>
  <c r="AA94" i="9"/>
  <c r="Y2223" i="12"/>
  <c r="Z2223" i="12" s="1"/>
  <c r="Y2222" i="12"/>
  <c r="Z2222" i="12" s="1"/>
  <c r="Z2224" i="12"/>
  <c r="AF1604" i="12"/>
  <c r="AE1606" i="12"/>
  <c r="AF1605" i="12"/>
  <c r="AB1135" i="12"/>
  <c r="AA1137" i="12"/>
  <c r="AB1136" i="12"/>
  <c r="L1037" i="12"/>
  <c r="L1035" i="12" s="1"/>
  <c r="M1035" i="12"/>
  <c r="AF2235" i="12"/>
  <c r="AE2235" i="12" s="1"/>
  <c r="AE2236" i="12"/>
  <c r="AC2037" i="12"/>
  <c r="AD2037" i="12" s="1"/>
  <c r="AD2038" i="12"/>
  <c r="AC2010" i="12"/>
  <c r="AD2010" i="12" s="1"/>
  <c r="K1709" i="12"/>
  <c r="J1703" i="12"/>
  <c r="K1703" i="12" s="1"/>
  <c r="J291" i="9"/>
  <c r="M292" i="9"/>
  <c r="L292" i="9"/>
  <c r="AA1998" i="12"/>
  <c r="AB1996" i="12"/>
  <c r="AA1996" i="12" s="1"/>
  <c r="AB1997" i="12"/>
  <c r="AA1997" i="12" s="1"/>
  <c r="T1385" i="12"/>
  <c r="P1385" i="12" s="1"/>
  <c r="P1387" i="12"/>
  <c r="AB1544" i="12"/>
  <c r="AA1545" i="12"/>
  <c r="AB1543" i="12"/>
  <c r="AF973" i="12"/>
  <c r="AE973" i="12" s="1"/>
  <c r="AE974" i="12"/>
  <c r="AB1692" i="12"/>
  <c r="AA1693" i="12"/>
  <c r="AE1693" i="12"/>
  <c r="AD1693" i="12"/>
  <c r="AB724" i="12"/>
  <c r="AA724" i="12" s="1"/>
  <c r="AA725" i="12"/>
  <c r="AA678" i="12"/>
  <c r="AB676" i="12"/>
  <c r="AC407" i="12"/>
  <c r="AB613" i="12"/>
  <c r="AB614" i="12"/>
  <c r="AE460" i="12"/>
  <c r="AF458" i="12"/>
  <c r="AF459" i="12"/>
  <c r="AB220" i="12"/>
  <c r="AA220" i="12" s="1"/>
  <c r="AA222" i="12"/>
  <c r="AD129" i="12"/>
  <c r="AC127" i="12"/>
  <c r="J184" i="12"/>
  <c r="K186" i="12"/>
  <c r="Z332" i="12"/>
  <c r="Y330" i="12"/>
  <c r="Z330" i="12" s="1"/>
  <c r="Y331" i="12"/>
  <c r="Z331" i="12" s="1"/>
  <c r="AB241" i="12"/>
  <c r="AA242" i="12"/>
  <c r="AA241" i="12" s="1"/>
  <c r="AB240" i="12"/>
  <c r="Z96" i="12"/>
  <c r="Y94" i="12"/>
  <c r="Z94" i="12" s="1"/>
  <c r="Y95" i="12"/>
  <c r="Z95" i="12" s="1"/>
  <c r="T399" i="12"/>
  <c r="P399" i="12" s="1"/>
  <c r="P401" i="12"/>
  <c r="T400" i="12"/>
  <c r="M72" i="12"/>
  <c r="L72" i="12" s="1"/>
  <c r="L73" i="12"/>
  <c r="Z308" i="9"/>
  <c r="AA308" i="9"/>
  <c r="T1026" i="12"/>
  <c r="P1026" i="12" s="1"/>
  <c r="P1028" i="12"/>
  <c r="K2210" i="12"/>
  <c r="J2208" i="12"/>
  <c r="K2208" i="12" s="1"/>
  <c r="T2405" i="12"/>
  <c r="P2406" i="12"/>
  <c r="T2404" i="12"/>
  <c r="P2404" i="12" s="1"/>
  <c r="AF2156" i="12"/>
  <c r="AE2157" i="12"/>
  <c r="AF2155" i="12"/>
  <c r="Y2156" i="12"/>
  <c r="Z2157" i="12"/>
  <c r="Y2155" i="12"/>
  <c r="Z2394" i="12"/>
  <c r="Y2393" i="12"/>
  <c r="Z2393" i="12" s="1"/>
  <c r="Y2387" i="12"/>
  <c r="Z2387" i="12" s="1"/>
  <c r="AF2579" i="12"/>
  <c r="AE2581" i="12"/>
  <c r="Y125" i="9"/>
  <c r="Z125" i="9" s="1"/>
  <c r="Z126" i="9"/>
  <c r="M437" i="8"/>
  <c r="L437" i="8"/>
  <c r="J371" i="8"/>
  <c r="L602" i="8"/>
  <c r="K593" i="8"/>
  <c r="L593" i="8" s="1"/>
  <c r="Y2447" i="12"/>
  <c r="Z2447" i="12" s="1"/>
  <c r="Z2448" i="12"/>
  <c r="M2410" i="12"/>
  <c r="L2410" i="12" s="1"/>
  <c r="L2423" i="12"/>
  <c r="AB2058" i="12"/>
  <c r="AA2059" i="12"/>
  <c r="AA2058" i="12" s="1"/>
  <c r="AB2057" i="12"/>
  <c r="AA2057" i="12" s="1"/>
  <c r="AF984" i="12"/>
  <c r="AE985" i="12"/>
  <c r="L2234" i="12"/>
  <c r="J2155" i="12"/>
  <c r="K2157" i="12"/>
  <c r="AA9" i="9"/>
  <c r="AB8" i="9"/>
  <c r="J1630" i="12"/>
  <c r="K1630" i="12" s="1"/>
  <c r="K1645" i="12"/>
  <c r="J1618" i="12"/>
  <c r="M2202" i="12"/>
  <c r="L2202" i="12" s="1"/>
  <c r="L2204" i="12"/>
  <c r="AF2081" i="12"/>
  <c r="AE2082" i="12"/>
  <c r="AD1538" i="12"/>
  <c r="AC1536" i="12"/>
  <c r="AD1536" i="12" s="1"/>
  <c r="AC1537" i="12"/>
  <c r="AD1537" i="12" s="1"/>
  <c r="P2423" i="12"/>
  <c r="T2410" i="12"/>
  <c r="P2410" i="12" s="1"/>
  <c r="J1135" i="12"/>
  <c r="K1137" i="12"/>
  <c r="Y2127" i="12"/>
  <c r="Z2127" i="12" s="1"/>
  <c r="Z2128" i="12"/>
  <c r="Y2126" i="12"/>
  <c r="Z2126" i="12" s="1"/>
  <c r="U291" i="9"/>
  <c r="Q291" i="9" s="1"/>
  <c r="Q292" i="9"/>
  <c r="V2539" i="12"/>
  <c r="AA2540" i="12"/>
  <c r="Z2540" i="12"/>
  <c r="Z1804" i="12"/>
  <c r="Y1802" i="12"/>
  <c r="Z1802" i="12" s="1"/>
  <c r="Y1803" i="12"/>
  <c r="Z1803" i="12" s="1"/>
  <c r="AB2328" i="12"/>
  <c r="AA2328" i="12" s="1"/>
  <c r="AA2329" i="12"/>
  <c r="P1186" i="12"/>
  <c r="T1185" i="12"/>
  <c r="T2233" i="12"/>
  <c r="P2233" i="12" s="1"/>
  <c r="P2234" i="12"/>
  <c r="Z2095" i="12"/>
  <c r="Y2094" i="12"/>
  <c r="AB2071" i="12"/>
  <c r="AD2071" i="12" s="1"/>
  <c r="AA2072" i="12"/>
  <c r="AE2072" i="12"/>
  <c r="AF1186" i="12"/>
  <c r="AF1187" i="12"/>
  <c r="AE1188" i="12"/>
  <c r="AB956" i="12"/>
  <c r="AA956" i="12" s="1"/>
  <c r="AA957" i="12"/>
  <c r="K820" i="8"/>
  <c r="L821" i="8"/>
  <c r="AC1751" i="12"/>
  <c r="AC1752" i="12"/>
  <c r="AD1753" i="12"/>
  <c r="L2514" i="12"/>
  <c r="M2512" i="12"/>
  <c r="J84" i="8"/>
  <c r="L85" i="8"/>
  <c r="AB2476" i="12"/>
  <c r="AA2478" i="12"/>
  <c r="AA174" i="9"/>
  <c r="AB173" i="9"/>
  <c r="AA173" i="9" s="1"/>
  <c r="V2488" i="12"/>
  <c r="V2489" i="12"/>
  <c r="AA2489" i="12" s="1"/>
  <c r="AA2490" i="12"/>
  <c r="AB708" i="12"/>
  <c r="AA709" i="12"/>
  <c r="Y1286" i="12"/>
  <c r="Y1287" i="12"/>
  <c r="Z1288" i="12"/>
  <c r="AA2064" i="12"/>
  <c r="AE2064" i="12"/>
  <c r="M1344" i="12"/>
  <c r="L1346" i="12"/>
  <c r="AB2052" i="12"/>
  <c r="AA2053" i="12"/>
  <c r="AA2052" i="12" s="1"/>
  <c r="AB2051" i="12"/>
  <c r="AA2051" i="12" s="1"/>
  <c r="J1864" i="12"/>
  <c r="K1908" i="12"/>
  <c r="Z1112" i="12"/>
  <c r="AD1387" i="12"/>
  <c r="AC1385" i="12"/>
  <c r="AC1386" i="12"/>
  <c r="P799" i="12"/>
  <c r="T790" i="12"/>
  <c r="V616" i="12"/>
  <c r="AA617" i="12"/>
  <c r="AB630" i="12"/>
  <c r="AA630" i="12" s="1"/>
  <c r="AB631" i="12"/>
  <c r="AA631" i="12" s="1"/>
  <c r="AA632" i="12"/>
  <c r="J1110" i="12"/>
  <c r="K1112" i="12"/>
  <c r="AD991" i="12"/>
  <c r="AC989" i="12"/>
  <c r="AD989" i="12" s="1"/>
  <c r="AC990" i="12"/>
  <c r="AD990" i="12" s="1"/>
  <c r="AC1717" i="12"/>
  <c r="AD1719" i="12"/>
  <c r="AC1718" i="12"/>
  <c r="AD887" i="12"/>
  <c r="AC885" i="12"/>
  <c r="AD885" i="12" s="1"/>
  <c r="AC886" i="12"/>
  <c r="AD886" i="12" s="1"/>
  <c r="AF719" i="12"/>
  <c r="AE719" i="12" s="1"/>
  <c r="AE720" i="12"/>
  <c r="AF718" i="12"/>
  <c r="AE718" i="12" s="1"/>
  <c r="J863" i="12"/>
  <c r="K865" i="12"/>
  <c r="AA623" i="12"/>
  <c r="AB554" i="12"/>
  <c r="AA554" i="12" s="1"/>
  <c r="AB555" i="12"/>
  <c r="AA555" i="12" s="1"/>
  <c r="AA556" i="12"/>
  <c r="V279" i="12"/>
  <c r="V280" i="12"/>
  <c r="AF410" i="12"/>
  <c r="AE411" i="12"/>
  <c r="AB268" i="12"/>
  <c r="AA269" i="12"/>
  <c r="AD269" i="12"/>
  <c r="AE269" i="12"/>
  <c r="T560" i="12"/>
  <c r="P560" i="12" s="1"/>
  <c r="P562" i="12"/>
  <c r="Y474" i="12"/>
  <c r="L166" i="12"/>
  <c r="M164" i="12"/>
  <c r="L164" i="12" s="1"/>
  <c r="AD96" i="12"/>
  <c r="AC94" i="12"/>
  <c r="AD94" i="12" s="1"/>
  <c r="AC95" i="12"/>
  <c r="AD95" i="12" s="1"/>
  <c r="L534" i="10"/>
  <c r="M534" i="10" s="1"/>
  <c r="M535" i="10"/>
  <c r="AD50" i="12"/>
  <c r="AA50" i="12"/>
  <c r="AB48" i="12"/>
  <c r="AB49" i="12"/>
  <c r="R778" i="10"/>
  <c r="V771" i="10"/>
  <c r="L658" i="10"/>
  <c r="M658" i="10" s="1"/>
  <c r="M659" i="10"/>
  <c r="R554" i="10"/>
  <c r="V522" i="10"/>
  <c r="R522" i="10" s="1"/>
  <c r="O329" i="10"/>
  <c r="N331" i="10"/>
  <c r="R341" i="10"/>
  <c r="V337" i="10"/>
  <c r="M172" i="10"/>
  <c r="L170" i="10"/>
  <c r="M170" i="10" s="1"/>
  <c r="O151" i="10"/>
  <c r="N153" i="10"/>
  <c r="V99" i="10"/>
  <c r="R101" i="10"/>
  <c r="R74" i="10"/>
  <c r="V72" i="10"/>
  <c r="R72" i="10" s="1"/>
  <c r="P1753" i="12"/>
  <c r="T1751" i="12"/>
  <c r="AE1224" i="12"/>
  <c r="AE1223" i="12"/>
  <c r="J956" i="12"/>
  <c r="K956" i="12" s="1"/>
  <c r="K957" i="12"/>
  <c r="M474" i="12"/>
  <c r="L475" i="12"/>
  <c r="T926" i="12"/>
  <c r="P927" i="12"/>
  <c r="M943" i="12"/>
  <c r="L943" i="12" s="1"/>
  <c r="L945" i="12"/>
  <c r="AE575" i="12"/>
  <c r="AF573" i="12"/>
  <c r="AF574" i="12"/>
  <c r="K509" i="12"/>
  <c r="J507" i="12"/>
  <c r="AF279" i="12"/>
  <c r="AF280" i="12"/>
  <c r="AB366" i="12"/>
  <c r="AA366" i="12" s="1"/>
  <c r="AB367" i="12"/>
  <c r="AA367" i="12" s="1"/>
  <c r="AA368" i="12"/>
  <c r="AF15" i="12"/>
  <c r="AF16" i="12"/>
  <c r="AE17" i="12"/>
  <c r="AB301" i="12"/>
  <c r="AA302" i="12"/>
  <c r="AE302" i="12"/>
  <c r="AB66" i="12"/>
  <c r="AA66" i="12" s="1"/>
  <c r="AB67" i="12"/>
  <c r="AA67" i="12" s="1"/>
  <c r="AA68" i="12"/>
  <c r="L62" i="12"/>
  <c r="M60" i="12"/>
  <c r="L60" i="12" s="1"/>
  <c r="L592" i="10"/>
  <c r="M592" i="10" s="1"/>
  <c r="M593" i="10"/>
  <c r="O218" i="10"/>
  <c r="N220" i="10"/>
  <c r="AC1506" i="12"/>
  <c r="AD1507" i="12"/>
  <c r="K1719" i="12"/>
  <c r="J1717" i="12"/>
  <c r="AF938" i="12"/>
  <c r="AE939" i="12"/>
  <c r="AF630" i="12"/>
  <c r="AE630" i="12" s="1"/>
  <c r="AF631" i="12"/>
  <c r="AE631" i="12" s="1"/>
  <c r="AE632" i="12"/>
  <c r="AB962" i="12"/>
  <c r="AA962" i="12" s="1"/>
  <c r="AA963" i="12"/>
  <c r="P679" i="12"/>
  <c r="T678" i="12"/>
  <c r="J674" i="12"/>
  <c r="K674" i="12" s="1"/>
  <c r="K682" i="12"/>
  <c r="P477" i="12"/>
  <c r="T475" i="12"/>
  <c r="AD528" i="12"/>
  <c r="AC527" i="12"/>
  <c r="AD527" i="12" s="1"/>
  <c r="L469" i="10"/>
  <c r="M469" i="10" s="1"/>
  <c r="M470" i="10"/>
  <c r="V370" i="10"/>
  <c r="R371" i="10"/>
  <c r="J375" i="12"/>
  <c r="K377" i="12"/>
  <c r="T1819" i="12"/>
  <c r="P1819" i="12" s="1"/>
  <c r="P1821" i="12"/>
  <c r="J1751" i="12"/>
  <c r="K1753" i="12"/>
  <c r="AF956" i="12"/>
  <c r="AE956" i="12" s="1"/>
  <c r="AE957" i="12"/>
  <c r="AD240" i="12"/>
  <c r="AE338" i="12"/>
  <c r="AF337" i="12"/>
  <c r="K562" i="12"/>
  <c r="J560" i="12"/>
  <c r="K560" i="12" s="1"/>
  <c r="AE746" i="12"/>
  <c r="AF744" i="12"/>
  <c r="AF745" i="12"/>
  <c r="AF220" i="12"/>
  <c r="AE220" i="12" s="1"/>
  <c r="AE222" i="12"/>
  <c r="AF66" i="12"/>
  <c r="AE66" i="12" s="1"/>
  <c r="AF67" i="12"/>
  <c r="AE68" i="12"/>
  <c r="AB375" i="12"/>
  <c r="AB376" i="12"/>
  <c r="AA376" i="12" s="1"/>
  <c r="AA377" i="12"/>
  <c r="M865" i="10"/>
  <c r="L863" i="10"/>
  <c r="K150" i="12"/>
  <c r="J148" i="12"/>
  <c r="V516" i="10"/>
  <c r="R517" i="10"/>
  <c r="V306" i="10"/>
  <c r="R308" i="10"/>
  <c r="V209" i="10"/>
  <c r="R209" i="10" s="1"/>
  <c r="R212" i="10"/>
  <c r="L183" i="10"/>
  <c r="M183" i="10" s="1"/>
  <c r="M185" i="10"/>
  <c r="M133" i="10"/>
  <c r="M19" i="10"/>
  <c r="M9" i="10" s="1"/>
  <c r="L9" i="10"/>
  <c r="L6" i="10" s="1"/>
  <c r="V35" i="10"/>
  <c r="R36" i="10"/>
  <c r="O287" i="10"/>
  <c r="T1543" i="12"/>
  <c r="P1545" i="12"/>
  <c r="J1308" i="12"/>
  <c r="K1308" i="12" s="1"/>
  <c r="K1310" i="12"/>
  <c r="T1135" i="12"/>
  <c r="P1137" i="12"/>
  <c r="L1538" i="12"/>
  <c r="M1536" i="12"/>
  <c r="L1536" i="12" s="1"/>
  <c r="AC1543" i="12"/>
  <c r="AD1545" i="12"/>
  <c r="AC1544" i="12"/>
  <c r="AD1544" i="12" s="1"/>
  <c r="AC1454" i="12"/>
  <c r="AD1454" i="12" s="1"/>
  <c r="AD1456" i="12"/>
  <c r="AC1455" i="12"/>
  <c r="AD1455" i="12" s="1"/>
  <c r="AB1385" i="12"/>
  <c r="AA1385" i="12" s="1"/>
  <c r="AB1386" i="12"/>
  <c r="AA1386" i="12" s="1"/>
  <c r="AA1387" i="12"/>
  <c r="K985" i="12"/>
  <c r="J984" i="12"/>
  <c r="K984" i="12" s="1"/>
  <c r="V745" i="12"/>
  <c r="V744" i="12"/>
  <c r="K920" i="12"/>
  <c r="J918" i="12"/>
  <c r="K918" i="12" s="1"/>
  <c r="AC846" i="12"/>
  <c r="AD846" i="12" s="1"/>
  <c r="AD851" i="12"/>
  <c r="AC845" i="12"/>
  <c r="AD845" i="12" s="1"/>
  <c r="AD695" i="12"/>
  <c r="AC693" i="12"/>
  <c r="AD693" i="12" s="1"/>
  <c r="AC694" i="12"/>
  <c r="AD694" i="12" s="1"/>
  <c r="P696" i="12"/>
  <c r="T695" i="12"/>
  <c r="AB409" i="12"/>
  <c r="AA410" i="12"/>
  <c r="AB408" i="12"/>
  <c r="AF788" i="12"/>
  <c r="AF789" i="12"/>
  <c r="AE790" i="12"/>
  <c r="V532" i="12"/>
  <c r="AA532" i="12" s="1"/>
  <c r="V533" i="12"/>
  <c r="AA533" i="12" s="1"/>
  <c r="AA534" i="12"/>
  <c r="AC315" i="12"/>
  <c r="AD315" i="12" s="1"/>
  <c r="AD317" i="12"/>
  <c r="AC316" i="12"/>
  <c r="AD316" i="12" s="1"/>
  <c r="Y399" i="12"/>
  <c r="Z399" i="12" s="1"/>
  <c r="Z401" i="12"/>
  <c r="Y400" i="12"/>
  <c r="Z400" i="12" s="1"/>
  <c r="K362" i="12"/>
  <c r="J360" i="12"/>
  <c r="K360" i="12" s="1"/>
  <c r="Z316" i="12"/>
  <c r="Z315" i="12"/>
  <c r="AE230" i="12"/>
  <c r="AF228" i="12"/>
  <c r="O860" i="10"/>
  <c r="N863" i="10"/>
  <c r="L459" i="10"/>
  <c r="M459" i="10" s="1"/>
  <c r="M460" i="10"/>
  <c r="P33" i="12"/>
  <c r="T31" i="12"/>
  <c r="P31" i="12" s="1"/>
  <c r="R315" i="10"/>
  <c r="V313" i="10"/>
  <c r="R199" i="10"/>
  <c r="V198" i="10"/>
  <c r="V19" i="10"/>
  <c r="R19" i="10" s="1"/>
  <c r="R21" i="10"/>
  <c r="T1434" i="12"/>
  <c r="P1434" i="12" s="1"/>
  <c r="P1436" i="12"/>
  <c r="AA575" i="12"/>
  <c r="AB573" i="12"/>
  <c r="AA573" i="12" s="1"/>
  <c r="AB574" i="12"/>
  <c r="AD575" i="12"/>
  <c r="AE613" i="12"/>
  <c r="AE1997" i="12"/>
  <c r="AD2051" i="12"/>
  <c r="AA252" i="9"/>
  <c r="AE1276" i="12"/>
  <c r="I859" i="12"/>
  <c r="X503" i="12"/>
  <c r="K84" i="8"/>
  <c r="L84" i="8" s="1"/>
  <c r="AD2328" i="12"/>
  <c r="AH1282" i="12"/>
  <c r="AD1654" i="12"/>
  <c r="AE614" i="12"/>
  <c r="T699" i="12"/>
  <c r="P699" i="12" s="1"/>
  <c r="AD2370" i="12"/>
  <c r="AE2010" i="12"/>
  <c r="V892" i="12"/>
  <c r="AE2469" i="12"/>
  <c r="AE2410" i="12"/>
  <c r="V252" i="9"/>
  <c r="Z252" i="9" s="1"/>
  <c r="J146" i="8"/>
  <c r="AD2550" i="12"/>
  <c r="AE2504" i="12"/>
  <c r="AE1998" i="12"/>
  <c r="AD2532" i="12"/>
  <c r="AC2476" i="12"/>
  <c r="AD2515" i="12"/>
  <c r="K9" i="8"/>
  <c r="L9" i="8" s="1"/>
  <c r="M85" i="8"/>
  <c r="AE2377" i="12"/>
  <c r="L8" i="9"/>
  <c r="W1750" i="12"/>
  <c r="W1748" i="12" s="1"/>
  <c r="W1746" i="12" s="1"/>
  <c r="AI1134" i="12"/>
  <c r="AI1132" i="12" s="1"/>
  <c r="AI1131" i="12" s="1"/>
  <c r="AA1379" i="12"/>
  <c r="AH2152" i="12"/>
  <c r="AH2150" i="12" s="1"/>
  <c r="AE1544" i="12"/>
  <c r="AD2052" i="12"/>
  <c r="AD1379" i="12"/>
  <c r="AD497" i="12"/>
  <c r="AD1378" i="12"/>
  <c r="AE1167" i="12"/>
  <c r="AE677" i="12"/>
  <c r="AD1137" i="12"/>
  <c r="Z532" i="12"/>
  <c r="AD555" i="12"/>
  <c r="AD61" i="12"/>
  <c r="AC1110" i="12"/>
  <c r="AI859" i="12"/>
  <c r="AD719" i="12"/>
  <c r="AI743" i="12"/>
  <c r="AI740" i="12" s="1"/>
  <c r="AI471" i="12" s="1"/>
  <c r="AE845" i="12"/>
  <c r="AG2233" i="12"/>
  <c r="AG2152" i="12" s="1"/>
  <c r="AG2150" i="12" s="1"/>
  <c r="S1131" i="12"/>
  <c r="AE886" i="12"/>
  <c r="X859" i="12"/>
  <c r="K969" i="12"/>
  <c r="AD301" i="12"/>
  <c r="AD68" i="12"/>
  <c r="AG892" i="12"/>
  <c r="AE585" i="12"/>
  <c r="AE1071" i="12"/>
  <c r="AE1320" i="12"/>
  <c r="AE1044" i="12"/>
  <c r="AD1367" i="12"/>
  <c r="AD615" i="12"/>
  <c r="AE602" i="12"/>
  <c r="AE624" i="12"/>
  <c r="AE596" i="12"/>
  <c r="I237" i="12"/>
  <c r="Z280" i="12"/>
  <c r="AD111" i="12"/>
  <c r="X428" i="10"/>
  <c r="X874" i="10" s="1"/>
  <c r="X876" i="10" s="1"/>
  <c r="AD1167" i="12"/>
  <c r="AF2550" i="12"/>
  <c r="AE2550" i="12" s="1"/>
  <c r="AE2552" i="12"/>
  <c r="Y2202" i="12"/>
  <c r="Z2202" i="12" s="1"/>
  <c r="Y2203" i="12"/>
  <c r="Z2203" i="12" s="1"/>
  <c r="Z2204" i="12"/>
  <c r="Z1137" i="12"/>
  <c r="Y1136" i="12"/>
  <c r="Y1135" i="12"/>
  <c r="J1794" i="12"/>
  <c r="K1794" i="12" s="1"/>
  <c r="K1796" i="12"/>
  <c r="AB1718" i="12"/>
  <c r="AA1719" i="12"/>
  <c r="AA1718" i="12" s="1"/>
  <c r="AB1717" i="12"/>
  <c r="M350" i="12"/>
  <c r="L350" i="12" s="1"/>
  <c r="L352" i="12"/>
  <c r="AF148" i="12"/>
  <c r="AF149" i="12"/>
  <c r="AE149" i="12" s="1"/>
  <c r="AE150" i="12"/>
  <c r="AC735" i="12"/>
  <c r="AD735" i="12" s="1"/>
  <c r="AD736" i="12"/>
  <c r="AA2458" i="12"/>
  <c r="AD2458" i="12"/>
  <c r="AB2579" i="12"/>
  <c r="K308" i="9"/>
  <c r="L308" i="9" s="1"/>
  <c r="L309" i="9"/>
  <c r="K2516" i="12"/>
  <c r="J2514" i="12"/>
  <c r="AF2052" i="12"/>
  <c r="AE2052" i="12" s="1"/>
  <c r="AE2053" i="12"/>
  <c r="AF2051" i="12"/>
  <c r="AE2051" i="12" s="1"/>
  <c r="AF2139" i="12"/>
  <c r="AE2139" i="12" s="1"/>
  <c r="AE2140" i="12"/>
  <c r="AF2138" i="12"/>
  <c r="AE2138" i="12" s="1"/>
  <c r="AA1506" i="12"/>
  <c r="AB1505" i="12"/>
  <c r="AC1051" i="12"/>
  <c r="AD1051" i="12" s="1"/>
  <c r="AC1050" i="12"/>
  <c r="AD1050" i="12" s="1"/>
  <c r="AD1052" i="12"/>
  <c r="V863" i="12"/>
  <c r="V862" i="12" s="1"/>
  <c r="V860" i="12" s="1"/>
  <c r="V859" i="12" s="1"/>
  <c r="V864" i="12"/>
  <c r="AC2202" i="12"/>
  <c r="AD2202" i="12" s="1"/>
  <c r="AC2203" i="12"/>
  <c r="AD2203" i="12" s="1"/>
  <c r="AD2204" i="12"/>
  <c r="AF2514" i="12"/>
  <c r="AF2515" i="12"/>
  <c r="AE2515" i="12" s="1"/>
  <c r="AE2516" i="12"/>
  <c r="K2539" i="12"/>
  <c r="J2537" i="12"/>
  <c r="K2537" i="12" s="1"/>
  <c r="AF1493" i="12"/>
  <c r="Y978" i="12"/>
  <c r="Z978" i="12" s="1"/>
  <c r="Y979" i="12"/>
  <c r="Z979" i="12" s="1"/>
  <c r="Z980" i="12"/>
  <c r="AF1908" i="12"/>
  <c r="AE1909" i="12"/>
  <c r="AE1908" i="12" s="1"/>
  <c r="Y1044" i="12"/>
  <c r="Z1044" i="12" s="1"/>
  <c r="Y1043" i="12"/>
  <c r="Z1045" i="12"/>
  <c r="Y1717" i="12"/>
  <c r="Z1719" i="12"/>
  <c r="Z1718" i="12" s="1"/>
  <c r="Y1718" i="12"/>
  <c r="K1288" i="12"/>
  <c r="J1286" i="12"/>
  <c r="Y846" i="12"/>
  <c r="Z851" i="12"/>
  <c r="Y845" i="12"/>
  <c r="AD678" i="12"/>
  <c r="AC676" i="12"/>
  <c r="T650" i="12"/>
  <c r="P657" i="12"/>
  <c r="M212" i="12"/>
  <c r="L212" i="12" s="1"/>
  <c r="L214" i="12"/>
  <c r="V2155" i="12"/>
  <c r="V2154" i="12" s="1"/>
  <c r="V2152" i="12" s="1"/>
  <c r="V2150" i="12" s="1"/>
  <c r="V2156" i="12"/>
  <c r="M75" i="8"/>
  <c r="N9" i="8"/>
  <c r="M9" i="8" s="1"/>
  <c r="K2552" i="12"/>
  <c r="J2550" i="12"/>
  <c r="K2550" i="12" s="1"/>
  <c r="Y2498" i="12"/>
  <c r="Y2499" i="12"/>
  <c r="Z2499" i="12" s="1"/>
  <c r="Z2500" i="12"/>
  <c r="AD2423" i="12"/>
  <c r="AC2410" i="12"/>
  <c r="AD2410" i="12" s="1"/>
  <c r="AC2422" i="12"/>
  <c r="AD2422" i="12" s="1"/>
  <c r="P2583" i="12"/>
  <c r="T2581" i="12"/>
  <c r="Y2121" i="12"/>
  <c r="Z2121" i="12" s="1"/>
  <c r="Z2122" i="12"/>
  <c r="Y2120" i="12"/>
  <c r="Z2120" i="12" s="1"/>
  <c r="AB1285" i="12"/>
  <c r="AE1138" i="12"/>
  <c r="AF1137" i="12"/>
  <c r="Z933" i="12"/>
  <c r="Y931" i="12"/>
  <c r="Z931" i="12" s="1"/>
  <c r="Y932" i="12"/>
  <c r="Z932" i="12" s="1"/>
  <c r="AC2447" i="12"/>
  <c r="AD2447" i="12" s="1"/>
  <c r="AD2448" i="12"/>
  <c r="Z2412" i="12"/>
  <c r="Y2411" i="12"/>
  <c r="Z2411" i="12" s="1"/>
  <c r="M484" i="8"/>
  <c r="N483" i="8"/>
  <c r="M483" i="8" s="1"/>
  <c r="Y2512" i="12"/>
  <c r="AC1929" i="12"/>
  <c r="AD1929" i="12" s="1"/>
  <c r="AD1930" i="12"/>
  <c r="Y1071" i="12"/>
  <c r="Z1071" i="12" s="1"/>
  <c r="Y1072" i="12"/>
  <c r="Z1072" i="12" s="1"/>
  <c r="Z1073" i="12"/>
  <c r="R135" i="10"/>
  <c r="N36" i="10"/>
  <c r="O35" i="10"/>
  <c r="Z1485" i="12"/>
  <c r="Y1483" i="12"/>
  <c r="Y1484" i="12"/>
  <c r="Z1484" i="12" s="1"/>
  <c r="AC2234" i="12"/>
  <c r="AC2285" i="12"/>
  <c r="AD2285" i="12" s="1"/>
  <c r="AD2286" i="12"/>
  <c r="AA1350" i="12"/>
  <c r="AB1346" i="12"/>
  <c r="AE1346" i="12" s="1"/>
  <c r="AC1989" i="12"/>
  <c r="AD1989" i="12" s="1"/>
  <c r="AD1991" i="12"/>
  <c r="AC1990" i="12"/>
  <c r="AD1990" i="12" s="1"/>
  <c r="L757" i="8"/>
  <c r="K745" i="8"/>
  <c r="L745" i="8" s="1"/>
  <c r="AF1929" i="12"/>
  <c r="AE1929" i="12" s="1"/>
  <c r="AE1930" i="12"/>
  <c r="M324" i="8"/>
  <c r="J258" i="8"/>
  <c r="Y2577" i="12"/>
  <c r="Y118" i="9"/>
  <c r="Z118" i="9" s="1"/>
  <c r="Z119" i="9"/>
  <c r="AD2579" i="12"/>
  <c r="AC2577" i="12"/>
  <c r="AD2514" i="12"/>
  <c r="AC2512" i="12"/>
  <c r="M259" i="9"/>
  <c r="N252" i="9"/>
  <c r="M252" i="9" s="1"/>
  <c r="M968" i="12"/>
  <c r="L968" i="12" s="1"/>
  <c r="L969" i="12"/>
  <c r="AA2223" i="12"/>
  <c r="AE2223" i="12"/>
  <c r="AB2156" i="12"/>
  <c r="AA2157" i="12"/>
  <c r="AB2155" i="12"/>
  <c r="Z2012" i="12"/>
  <c r="Y2011" i="12"/>
  <c r="Z2011" i="12" s="1"/>
  <c r="M2010" i="12"/>
  <c r="L2038" i="12"/>
  <c r="T2100" i="12"/>
  <c r="P2101" i="12"/>
  <c r="AA1753" i="12"/>
  <c r="AB1751" i="12"/>
  <c r="AB1752" i="12"/>
  <c r="AA1752" i="12" s="1"/>
  <c r="AF1654" i="12"/>
  <c r="AE1654" i="12" s="1"/>
  <c r="AE1655" i="12"/>
  <c r="AF1653" i="12"/>
  <c r="AE1653" i="12" s="1"/>
  <c r="AB1338" i="12"/>
  <c r="AA1338" i="12" s="1"/>
  <c r="AB1339" i="12"/>
  <c r="AA1339" i="12" s="1"/>
  <c r="AA1340" i="12"/>
  <c r="AF2208" i="12"/>
  <c r="AF2209" i="12"/>
  <c r="AE2210" i="12"/>
  <c r="Z2100" i="12"/>
  <c r="Y2098" i="12"/>
  <c r="Z2098" i="12" s="1"/>
  <c r="Y2099" i="12"/>
  <c r="Z2099" i="12" s="1"/>
  <c r="Z991" i="12"/>
  <c r="Y989" i="12"/>
  <c r="Z989" i="12" s="1"/>
  <c r="Y990" i="12"/>
  <c r="Z990" i="12" s="1"/>
  <c r="L1017" i="12"/>
  <c r="M1015" i="12"/>
  <c r="X613" i="12"/>
  <c r="X614" i="12"/>
  <c r="Z1050" i="12"/>
  <c r="Z1051" i="12"/>
  <c r="AC996" i="12"/>
  <c r="AD996" i="12" s="1"/>
  <c r="AC995" i="12"/>
  <c r="AD995" i="12" s="1"/>
  <c r="AD997" i="12"/>
  <c r="V1287" i="12"/>
  <c r="V1286" i="12"/>
  <c r="V1285" i="12" s="1"/>
  <c r="V1283" i="12" s="1"/>
  <c r="AC1013" i="12"/>
  <c r="M862" i="12"/>
  <c r="L863" i="12"/>
  <c r="M1186" i="12"/>
  <c r="L1188" i="12"/>
  <c r="M693" i="12"/>
  <c r="L693" i="12" s="1"/>
  <c r="L695" i="12"/>
  <c r="AC1174" i="12"/>
  <c r="AC1175" i="12"/>
  <c r="AD1176" i="12"/>
  <c r="AC1134" i="12"/>
  <c r="AD1135" i="12"/>
  <c r="AA897" i="12"/>
  <c r="AB896" i="12"/>
  <c r="AA896" i="12" s="1"/>
  <c r="Y744" i="12"/>
  <c r="Z746" i="12"/>
  <c r="Y745" i="12"/>
  <c r="Z745" i="12" s="1"/>
  <c r="AD580" i="12"/>
  <c r="AC579" i="12"/>
  <c r="AD579" i="12" s="1"/>
  <c r="AC573" i="12"/>
  <c r="AD573" i="12" s="1"/>
  <c r="Y623" i="12"/>
  <c r="Y624" i="12"/>
  <c r="Z624" i="12" s="1"/>
  <c r="Z625" i="12"/>
  <c r="M184" i="12"/>
  <c r="L186" i="12"/>
  <c r="T315" i="12"/>
  <c r="P315" i="12" s="1"/>
  <c r="P317" i="12"/>
  <c r="T316" i="12"/>
  <c r="Z166" i="12"/>
  <c r="Y164" i="12"/>
  <c r="Z164" i="12" s="1"/>
  <c r="AD33" i="12"/>
  <c r="AC31" i="12"/>
  <c r="AD31" i="12" s="1"/>
  <c r="AC32" i="12"/>
  <c r="AD32" i="12" s="1"/>
  <c r="O751" i="10"/>
  <c r="N751" i="10" s="1"/>
  <c r="N752" i="10"/>
  <c r="AC15" i="12"/>
  <c r="AC16" i="12"/>
  <c r="AD17" i="12"/>
  <c r="T1320" i="12"/>
  <c r="P1320" i="12" s="1"/>
  <c r="P1322" i="12"/>
  <c r="AF1124" i="12"/>
  <c r="AE1126" i="12"/>
  <c r="AF1125" i="12"/>
  <c r="M1717" i="12"/>
  <c r="L1719" i="12"/>
  <c r="N1340" i="12"/>
  <c r="P1341" i="12"/>
  <c r="AD969" i="12"/>
  <c r="AC968" i="12"/>
  <c r="AD968" i="12" s="1"/>
  <c r="AB938" i="12"/>
  <c r="AA938" i="12" s="1"/>
  <c r="AA939" i="12"/>
  <c r="J475" i="12"/>
  <c r="K477" i="12"/>
  <c r="M129" i="12"/>
  <c r="L131" i="12"/>
  <c r="AC623" i="12"/>
  <c r="AC624" i="12"/>
  <c r="AD624" i="12" s="1"/>
  <c r="AD625" i="12"/>
  <c r="AC164" i="12"/>
  <c r="AD338" i="12"/>
  <c r="AC337" i="12"/>
  <c r="J60" i="12"/>
  <c r="K60" i="12" s="1"/>
  <c r="K62" i="12"/>
  <c r="AB184" i="12"/>
  <c r="AB185" i="12"/>
  <c r="AA185" i="12" s="1"/>
  <c r="AA186" i="12"/>
  <c r="L620" i="10"/>
  <c r="M620" i="10" s="1"/>
  <c r="M621" i="10"/>
  <c r="M1543" i="12"/>
  <c r="L1545" i="12"/>
  <c r="AF1077" i="12"/>
  <c r="AF1078" i="12"/>
  <c r="AE1079" i="12"/>
  <c r="AB984" i="12"/>
  <c r="AA984" i="12" s="1"/>
  <c r="AA985" i="12"/>
  <c r="AF919" i="12"/>
  <c r="AE920" i="12"/>
  <c r="AF918" i="12"/>
  <c r="Z695" i="12"/>
  <c r="Y693" i="12"/>
  <c r="Z693" i="12" s="1"/>
  <c r="Y694" i="12"/>
  <c r="Z694" i="12" s="1"/>
  <c r="T863" i="12"/>
  <c r="P865" i="12"/>
  <c r="AD933" i="12"/>
  <c r="AC931" i="12"/>
  <c r="AD931" i="12" s="1"/>
  <c r="AC932" i="12"/>
  <c r="AD932" i="12" s="1"/>
  <c r="AA561" i="12"/>
  <c r="AA560" i="12"/>
  <c r="AF48" i="12"/>
  <c r="AE48" i="12" s="1"/>
  <c r="AF49" i="12"/>
  <c r="AE49" i="12" s="1"/>
  <c r="AE50" i="12"/>
  <c r="N621" i="10"/>
  <c r="O620" i="10"/>
  <c r="N620" i="10" s="1"/>
  <c r="O238" i="10"/>
  <c r="N239" i="10"/>
  <c r="V124" i="10"/>
  <c r="R125" i="10"/>
  <c r="AG1286" i="12"/>
  <c r="AG1285" i="12" s="1"/>
  <c r="AG1283" i="12" s="1"/>
  <c r="AG1287" i="12"/>
  <c r="Y2010" i="12"/>
  <c r="Z2010" i="12" s="1"/>
  <c r="Y2037" i="12"/>
  <c r="Z2037" i="12" s="1"/>
  <c r="Z2038" i="12"/>
  <c r="AB1704" i="12"/>
  <c r="AA1704" i="12" s="1"/>
  <c r="AA1705" i="12"/>
  <c r="M1434" i="12"/>
  <c r="L1434" i="12" s="1"/>
  <c r="L1436" i="12"/>
  <c r="J1237" i="12"/>
  <c r="K1239" i="12"/>
  <c r="AB949" i="12"/>
  <c r="AA949" i="12" s="1"/>
  <c r="AB950" i="12"/>
  <c r="AA950" i="12" s="1"/>
  <c r="AA951" i="12"/>
  <c r="V790" i="12"/>
  <c r="Z791" i="12"/>
  <c r="AA791" i="12"/>
  <c r="P1538" i="12"/>
  <c r="T1536" i="12"/>
  <c r="P1536" i="12" s="1"/>
  <c r="AF833" i="12"/>
  <c r="AE833" i="12" s="1"/>
  <c r="AE834" i="12"/>
  <c r="AC683" i="12"/>
  <c r="AD683" i="12" s="1"/>
  <c r="AC682" i="12"/>
  <c r="AD682" i="12" s="1"/>
  <c r="AD684" i="12"/>
  <c r="J613" i="12"/>
  <c r="K613" i="12" s="1"/>
  <c r="K615" i="12"/>
  <c r="AF475" i="12"/>
  <c r="AF476" i="12"/>
  <c r="AE477" i="12"/>
  <c r="Y240" i="12"/>
  <c r="Z242" i="12"/>
  <c r="Z241" i="12" s="1"/>
  <c r="Y241" i="12"/>
  <c r="P169" i="12"/>
  <c r="T168" i="12"/>
  <c r="O605" i="10"/>
  <c r="N605" i="10" s="1"/>
  <c r="N607" i="10"/>
  <c r="Z33" i="12"/>
  <c r="Y31" i="12"/>
  <c r="Z31" i="12" s="1"/>
  <c r="Y32" i="12"/>
  <c r="Z32" i="12" s="1"/>
  <c r="M529" i="10"/>
  <c r="L286" i="10"/>
  <c r="K289" i="10"/>
  <c r="N289" i="10" s="1"/>
  <c r="N293" i="10"/>
  <c r="M293" i="10"/>
  <c r="L2216" i="12"/>
  <c r="M2214" i="12"/>
  <c r="L2214" i="12" s="1"/>
  <c r="V2082" i="12"/>
  <c r="Z2083" i="12"/>
  <c r="L1485" i="12"/>
  <c r="M1483" i="12"/>
  <c r="AB1174" i="12"/>
  <c r="AA1174" i="12" s="1"/>
  <c r="AB1175" i="12"/>
  <c r="AA1175" i="12" s="1"/>
  <c r="AA1176" i="12"/>
  <c r="J1015" i="12"/>
  <c r="K1017" i="12"/>
  <c r="T2003" i="12"/>
  <c r="P2005" i="12"/>
  <c r="Y1753" i="12"/>
  <c r="Z1754" i="12"/>
  <c r="AF1617" i="12"/>
  <c r="AE1617" i="12" s="1"/>
  <c r="AE1618" i="12"/>
  <c r="V1543" i="12"/>
  <c r="V1542" i="12" s="1"/>
  <c r="V1544" i="12"/>
  <c r="AF1455" i="12"/>
  <c r="AE1455" i="12" s="1"/>
  <c r="AE1456" i="12"/>
  <c r="AF1454" i="12"/>
  <c r="AE1454" i="12" s="1"/>
  <c r="AE1286" i="12"/>
  <c r="AF1285" i="12"/>
  <c r="AE1043" i="12"/>
  <c r="AB1494" i="12"/>
  <c r="AD1495" i="12"/>
  <c r="L1387" i="12"/>
  <c r="M1385" i="12"/>
  <c r="L1385" i="12" s="1"/>
  <c r="K1037" i="12"/>
  <c r="K1035" i="12" s="1"/>
  <c r="J1035" i="12"/>
  <c r="AF1001" i="12"/>
  <c r="AF1002" i="12"/>
  <c r="AE1003" i="12"/>
  <c r="P1310" i="12"/>
  <c r="T1308" i="12"/>
  <c r="P1308" i="12" s="1"/>
  <c r="T1052" i="12"/>
  <c r="P1053" i="12"/>
  <c r="L902" i="12"/>
  <c r="AB863" i="12"/>
  <c r="AD863" i="12" s="1"/>
  <c r="AB864" i="12"/>
  <c r="AA864" i="12" s="1"/>
  <c r="AA865" i="12"/>
  <c r="AA782" i="12"/>
  <c r="AE782" i="12"/>
  <c r="AD725" i="12"/>
  <c r="AC724" i="12"/>
  <c r="AD724" i="12" s="1"/>
  <c r="Z678" i="12"/>
  <c r="Y676" i="12"/>
  <c r="AB644" i="12"/>
  <c r="AA644" i="12" s="1"/>
  <c r="AB645" i="12"/>
  <c r="AA645" i="12" s="1"/>
  <c r="AA646" i="12"/>
  <c r="AA683" i="12"/>
  <c r="AA682" i="12"/>
  <c r="P575" i="12"/>
  <c r="T573" i="12"/>
  <c r="P573" i="12" s="1"/>
  <c r="M399" i="12"/>
  <c r="L399" i="12" s="1"/>
  <c r="L401" i="12"/>
  <c r="AD332" i="12"/>
  <c r="AC330" i="12"/>
  <c r="AD330" i="12" s="1"/>
  <c r="AC331" i="12"/>
  <c r="AD331" i="12" s="1"/>
  <c r="AB166" i="12"/>
  <c r="AD166" i="12" s="1"/>
  <c r="AB167" i="12"/>
  <c r="AA167" i="12" s="1"/>
  <c r="AA168" i="12"/>
  <c r="AB127" i="12"/>
  <c r="AA127" i="12" s="1"/>
  <c r="AA129" i="12"/>
  <c r="AC85" i="12"/>
  <c r="AD85" i="12" s="1"/>
  <c r="AC84" i="12"/>
  <c r="AD84" i="12" s="1"/>
  <c r="AD86" i="12"/>
  <c r="L358" i="10"/>
  <c r="M358" i="10" s="1"/>
  <c r="M359" i="10"/>
  <c r="L432" i="10"/>
  <c r="M434" i="10"/>
  <c r="L1751" i="12"/>
  <c r="AF1112" i="12"/>
  <c r="AF1113" i="12"/>
  <c r="AE1114" i="12"/>
  <c r="Z997" i="12"/>
  <c r="Y996" i="12"/>
  <c r="Z996" i="12" s="1"/>
  <c r="Y995" i="12"/>
  <c r="Z995" i="12" s="1"/>
  <c r="K904" i="12"/>
  <c r="J902" i="12"/>
  <c r="L708" i="8"/>
  <c r="S2593" i="12"/>
  <c r="S2595" i="12" s="1"/>
  <c r="M146" i="8"/>
  <c r="AE1338" i="12"/>
  <c r="J335" i="8"/>
  <c r="L173" i="9"/>
  <c r="L146" i="8"/>
  <c r="W1317" i="12"/>
  <c r="W1315" i="12" s="1"/>
  <c r="AE2115" i="12"/>
  <c r="AD2552" i="12"/>
  <c r="Z2489" i="12"/>
  <c r="AE2371" i="12"/>
  <c r="AE1996" i="12"/>
  <c r="AD864" i="12"/>
  <c r="M84" i="8"/>
  <c r="AC2080" i="12"/>
  <c r="AE1168" i="12"/>
  <c r="I1713" i="12"/>
  <c r="AD718" i="12"/>
  <c r="AD366" i="12"/>
  <c r="AE497" i="12"/>
  <c r="W471" i="12"/>
  <c r="AI1713" i="12"/>
  <c r="Z864" i="12"/>
  <c r="AD242" i="12"/>
  <c r="AE223" i="12"/>
  <c r="W503" i="12"/>
  <c r="AD223" i="12"/>
  <c r="AE1072" i="12"/>
  <c r="AD1044" i="12"/>
  <c r="AE1321" i="12"/>
  <c r="AD1026" i="12"/>
  <c r="AE968" i="12"/>
  <c r="AD984" i="12"/>
  <c r="AE932" i="12"/>
  <c r="AE399" i="12"/>
  <c r="Z281" i="12"/>
  <c r="AE31" i="12"/>
  <c r="AD1168" i="12"/>
  <c r="AD973" i="12"/>
  <c r="O593" i="8"/>
  <c r="Q593" i="8" s="1"/>
  <c r="Q599" i="8"/>
  <c r="M1802" i="12"/>
  <c r="L1802" i="12" s="1"/>
  <c r="L1804" i="12"/>
  <c r="Z1329" i="12"/>
  <c r="Z1328" i="12" s="1"/>
  <c r="Y1328" i="12"/>
  <c r="Y1327" i="12"/>
  <c r="Z1327" i="12" s="1"/>
  <c r="Y1344" i="12"/>
  <c r="Y1345" i="12"/>
  <c r="AA1485" i="12"/>
  <c r="AB1483" i="12"/>
  <c r="AB1484" i="12"/>
  <c r="AD1485" i="12"/>
  <c r="AB1124" i="12"/>
  <c r="AA1124" i="12" s="1"/>
  <c r="AB1125" i="12"/>
  <c r="AA1125" i="12" s="1"/>
  <c r="AA1126" i="12"/>
  <c r="K1507" i="12"/>
  <c r="J1506" i="12"/>
  <c r="J630" i="12"/>
  <c r="K630" i="12" s="1"/>
  <c r="K632" i="12"/>
  <c r="V360" i="12"/>
  <c r="V361" i="12"/>
  <c r="AA361" i="12" s="1"/>
  <c r="AA362" i="12"/>
  <c r="K168" i="12"/>
  <c r="J166" i="12"/>
  <c r="P268" i="12"/>
  <c r="T266" i="12"/>
  <c r="P266" i="12" s="1"/>
  <c r="AB214" i="12"/>
  <c r="AB215" i="12"/>
  <c r="AA215" i="12" s="1"/>
  <c r="AA216" i="12"/>
  <c r="AB146" i="12"/>
  <c r="AA146" i="12" s="1"/>
  <c r="AA148" i="12"/>
  <c r="AF168" i="12"/>
  <c r="AE169" i="12"/>
  <c r="Z2400" i="12"/>
  <c r="Y2399" i="12"/>
  <c r="Z2399" i="12" s="1"/>
  <c r="Y2398" i="12"/>
  <c r="Z2398" i="12" s="1"/>
  <c r="L324" i="8"/>
  <c r="K258" i="8"/>
  <c r="Z1543" i="12"/>
  <c r="Z1542" i="12" s="1"/>
  <c r="Z1544" i="12"/>
  <c r="AB902" i="12"/>
  <c r="AB903" i="12"/>
  <c r="AA903" i="12" s="1"/>
  <c r="AA904" i="12"/>
  <c r="L2155" i="12"/>
  <c r="AA1309" i="12"/>
  <c r="AD1309" i="12"/>
  <c r="W613" i="12"/>
  <c r="W614" i="12"/>
  <c r="K633" i="8"/>
  <c r="L633" i="8" s="1"/>
  <c r="L634" i="8"/>
  <c r="AF1865" i="12"/>
  <c r="AE1865" i="12" s="1"/>
  <c r="AE1866" i="12"/>
  <c r="Y2069" i="12"/>
  <c r="Z2069" i="12" s="1"/>
  <c r="Y2070" i="12"/>
  <c r="Z2070" i="12" s="1"/>
  <c r="Z2071" i="12"/>
  <c r="AD1239" i="12"/>
  <c r="AC1238" i="12"/>
  <c r="AC1237" i="12"/>
  <c r="AA1114" i="12"/>
  <c r="AB1112" i="12"/>
  <c r="AB1113" i="12"/>
  <c r="AD1114" i="12"/>
  <c r="J1344" i="12"/>
  <c r="K1346" i="12"/>
  <c r="AD1804" i="12"/>
  <c r="AC1802" i="12"/>
  <c r="AD1802" i="12" s="1"/>
  <c r="AC1803" i="12"/>
  <c r="AD1803" i="12" s="1"/>
  <c r="P1655" i="12"/>
  <c r="T1653" i="12"/>
  <c r="P1653" i="12" s="1"/>
  <c r="P1112" i="12"/>
  <c r="T1110" i="12"/>
  <c r="AD1653" i="12"/>
  <c r="AC1617" i="12"/>
  <c r="AD1617" i="12" s="1"/>
  <c r="Y943" i="12"/>
  <c r="Z943" i="12" s="1"/>
  <c r="Y944" i="12"/>
  <c r="Z944" i="12" s="1"/>
  <c r="Z945" i="12"/>
  <c r="AC1186" i="12"/>
  <c r="AC1187" i="12"/>
  <c r="AD1188" i="12"/>
  <c r="P521" i="12"/>
  <c r="T505" i="12"/>
  <c r="AF184" i="12"/>
  <c r="AF185" i="12"/>
  <c r="AE185" i="12" s="1"/>
  <c r="AE186" i="12"/>
  <c r="K222" i="12"/>
  <c r="J220" i="12"/>
  <c r="K220" i="12" s="1"/>
  <c r="Y164" i="9"/>
  <c r="Z164" i="9" s="1"/>
  <c r="Z165" i="9"/>
  <c r="M549" i="8"/>
  <c r="L549" i="8"/>
  <c r="L128" i="8"/>
  <c r="K119" i="8"/>
  <c r="L119" i="8" s="1"/>
  <c r="K2490" i="12"/>
  <c r="J2488" i="12"/>
  <c r="K2488" i="12" s="1"/>
  <c r="Z1645" i="12"/>
  <c r="Z1644" i="12" s="1"/>
  <c r="Y1618" i="12"/>
  <c r="Y1644" i="12"/>
  <c r="Y1621" i="12"/>
  <c r="K2005" i="12"/>
  <c r="J2003" i="12"/>
  <c r="K2003" i="12" s="1"/>
  <c r="AD2116" i="12"/>
  <c r="AC2115" i="12"/>
  <c r="AD2115" i="12" s="1"/>
  <c r="AC2114" i="12"/>
  <c r="AD2114" i="12" s="1"/>
  <c r="J2233" i="12"/>
  <c r="K2234" i="12"/>
  <c r="K2233" i="12" s="1"/>
  <c r="T2512" i="12"/>
  <c r="P2514" i="12"/>
  <c r="Z2134" i="12"/>
  <c r="Y2133" i="12"/>
  <c r="Z2133" i="12" s="1"/>
  <c r="Y2132" i="12"/>
  <c r="Z2132" i="12" s="1"/>
  <c r="AA165" i="9"/>
  <c r="AB164" i="9"/>
  <c r="AA164" i="9" s="1"/>
  <c r="Y147" i="9"/>
  <c r="Z147" i="9" s="1"/>
  <c r="Z148" i="9"/>
  <c r="AD2394" i="12"/>
  <c r="AC2393" i="12"/>
  <c r="AD2393" i="12" s="1"/>
  <c r="AC2387" i="12"/>
  <c r="AD2387" i="12" s="1"/>
  <c r="N99" i="10"/>
  <c r="O98" i="10"/>
  <c r="Y1703" i="12"/>
  <c r="Z1703" i="12" s="1"/>
  <c r="Z1709" i="12"/>
  <c r="AF1802" i="12"/>
  <c r="AE1802" i="12" s="1"/>
  <c r="AF1803" i="12"/>
  <c r="AE1803" i="12" s="1"/>
  <c r="AE1804" i="12"/>
  <c r="AC1321" i="12"/>
  <c r="AD1321" i="12" s="1"/>
  <c r="AD1322" i="12"/>
  <c r="AC1320" i="12"/>
  <c r="AD1320" i="12" s="1"/>
  <c r="J1483" i="12"/>
  <c r="K1485" i="12"/>
  <c r="AC2223" i="12"/>
  <c r="AD2223" i="12" s="1"/>
  <c r="AC2222" i="12"/>
  <c r="AD2222" i="12" s="1"/>
  <c r="AD2224" i="12"/>
  <c r="AF2058" i="12"/>
  <c r="AE2058" i="12" s="1"/>
  <c r="AE2059" i="12"/>
  <c r="AF2057" i="12"/>
  <c r="AE2057" i="12" s="1"/>
  <c r="L2106" i="12"/>
  <c r="M2104" i="12"/>
  <c r="L2104" i="12" s="1"/>
  <c r="Y1907" i="12"/>
  <c r="Z1907" i="12" s="1"/>
  <c r="Y1864" i="12"/>
  <c r="Z1908" i="12"/>
  <c r="Z1864" i="12" s="1"/>
  <c r="P897" i="12"/>
  <c r="T896" i="12"/>
  <c r="P896" i="12" s="1"/>
  <c r="AC474" i="12"/>
  <c r="M1703" i="12"/>
  <c r="L1709" i="12"/>
  <c r="AF1333" i="12"/>
  <c r="AE1334" i="12"/>
  <c r="Z902" i="12"/>
  <c r="K951" i="12"/>
  <c r="J949" i="12"/>
  <c r="K949" i="12" s="1"/>
  <c r="J1385" i="12"/>
  <c r="K1385" i="12" s="1"/>
  <c r="K1387" i="12"/>
  <c r="P746" i="12"/>
  <c r="T744" i="12"/>
  <c r="T745" i="12"/>
  <c r="AF661" i="12"/>
  <c r="AF662" i="12"/>
  <c r="AE663" i="12"/>
  <c r="J962" i="12"/>
  <c r="K962" i="12" s="1"/>
  <c r="K963" i="12"/>
  <c r="AD507" i="12"/>
  <c r="P460" i="12"/>
  <c r="T458" i="12"/>
  <c r="AF724" i="12"/>
  <c r="AE724" i="12" s="1"/>
  <c r="AE725" i="12"/>
  <c r="AA460" i="12"/>
  <c r="AB458" i="12"/>
  <c r="AB459" i="12"/>
  <c r="AA459" i="12" s="1"/>
  <c r="AD460" i="12"/>
  <c r="Y407" i="12"/>
  <c r="K354" i="12"/>
  <c r="J352" i="12"/>
  <c r="K230" i="12"/>
  <c r="J228" i="12"/>
  <c r="K228" i="12" s="1"/>
  <c r="AA338" i="12"/>
  <c r="AB337" i="12"/>
  <c r="AA337" i="12" s="1"/>
  <c r="Y182" i="12"/>
  <c r="Z184" i="12"/>
  <c r="P377" i="12"/>
  <c r="T375" i="12"/>
  <c r="Y127" i="12"/>
  <c r="Z127" i="12" s="1"/>
  <c r="Z129" i="12"/>
  <c r="M120" i="8"/>
  <c r="N119" i="8"/>
  <c r="M119" i="8" s="1"/>
  <c r="V2514" i="12"/>
  <c r="V2515" i="12"/>
  <c r="Z2515" i="12" s="1"/>
  <c r="AF2394" i="12"/>
  <c r="AE2395" i="12"/>
  <c r="AF2328" i="12"/>
  <c r="AE2328" i="12" s="1"/>
  <c r="AE2329" i="12"/>
  <c r="Y94" i="9"/>
  <c r="Z95" i="9"/>
  <c r="M527" i="8"/>
  <c r="L527" i="8"/>
  <c r="M135" i="8"/>
  <c r="N134" i="8"/>
  <c r="M134" i="8" s="1"/>
  <c r="AB2208" i="12"/>
  <c r="AA2208" i="12" s="1"/>
  <c r="AB2209" i="12"/>
  <c r="AA2209" i="12" s="1"/>
  <c r="AA2210" i="12"/>
  <c r="AF1751" i="12"/>
  <c r="AF1752" i="12"/>
  <c r="AE1752" i="12" s="1"/>
  <c r="AE1753" i="12"/>
  <c r="L2224" i="12"/>
  <c r="M2222" i="12"/>
  <c r="L2222" i="12" s="1"/>
  <c r="AA126" i="9"/>
  <c r="AB125" i="9"/>
  <c r="AA125" i="9" s="1"/>
  <c r="AB2437" i="12"/>
  <c r="AA2437" i="12" s="1"/>
  <c r="AA2438" i="12"/>
  <c r="AB1186" i="12"/>
  <c r="AB1187" i="12"/>
  <c r="AA1187" i="12" s="1"/>
  <c r="AA1188" i="12"/>
  <c r="AD2100" i="12"/>
  <c r="AC2098" i="12"/>
  <c r="AD2098" i="12" s="1"/>
  <c r="AC2099" i="12"/>
  <c r="AD2099" i="12" s="1"/>
  <c r="K2053" i="12"/>
  <c r="J2051" i="12"/>
  <c r="K2051" i="12" s="1"/>
  <c r="K1028" i="12"/>
  <c r="J1026" i="12"/>
  <c r="K1026" i="12" s="1"/>
  <c r="T2156" i="12"/>
  <c r="T2155" i="12"/>
  <c r="P2157" i="12"/>
  <c r="AA1308" i="12"/>
  <c r="AE1308" i="12"/>
  <c r="AD1308" i="12"/>
  <c r="AB2080" i="12"/>
  <c r="AB2081" i="12"/>
  <c r="AD2081" i="12" s="1"/>
  <c r="AA2082" i="12"/>
  <c r="P1350" i="12"/>
  <c r="T1346" i="12"/>
  <c r="L135" i="8"/>
  <c r="K134" i="8"/>
  <c r="N2476" i="12"/>
  <c r="N2474" i="12" s="1"/>
  <c r="N1713" i="12" s="1"/>
  <c r="P2488" i="12"/>
  <c r="Z40" i="9"/>
  <c r="Y39" i="9"/>
  <c r="N609" i="8"/>
  <c r="M622" i="8"/>
  <c r="K2059" i="12"/>
  <c r="J2057" i="12"/>
  <c r="K2057" i="12" s="1"/>
  <c r="AC1865" i="12"/>
  <c r="AD1865" i="12" s="1"/>
  <c r="AD1866" i="12"/>
  <c r="Y2214" i="12"/>
  <c r="Z2214" i="12" s="1"/>
  <c r="Z2216" i="12"/>
  <c r="Y2215" i="12"/>
  <c r="Z2215" i="12" s="1"/>
  <c r="P1237" i="12"/>
  <c r="T1236" i="12"/>
  <c r="AB1434" i="12"/>
  <c r="AA1434" i="12" s="1"/>
  <c r="AB1435" i="12"/>
  <c r="AA1435" i="12" s="1"/>
  <c r="AA1436" i="12"/>
  <c r="L447" i="8"/>
  <c r="K446" i="8"/>
  <c r="J2476" i="12"/>
  <c r="K2478" i="12"/>
  <c r="AB154" i="9"/>
  <c r="AA154" i="9" s="1"/>
  <c r="AA155" i="9"/>
  <c r="AF2476" i="12"/>
  <c r="AE2478" i="12"/>
  <c r="K335" i="8"/>
  <c r="L336" i="8"/>
  <c r="AD2412" i="12"/>
  <c r="AC2411" i="12"/>
  <c r="AD2411" i="12" s="1"/>
  <c r="AA2222" i="12"/>
  <c r="AE2222" i="12"/>
  <c r="Y1174" i="12"/>
  <c r="Z1174" i="12" s="1"/>
  <c r="Y1175" i="12"/>
  <c r="Z1175" i="12" s="1"/>
  <c r="Z1176" i="12"/>
  <c r="Y2104" i="12"/>
  <c r="Z2104" i="12" s="1"/>
  <c r="Z2106" i="12"/>
  <c r="Y2105" i="12"/>
  <c r="Z2105" i="12" s="1"/>
  <c r="AE2122" i="12"/>
  <c r="AF2121" i="12"/>
  <c r="AE2121" i="12" s="1"/>
  <c r="AF2120" i="12"/>
  <c r="AE2120" i="12" s="1"/>
  <c r="AE1543" i="12"/>
  <c r="AF1542" i="12"/>
  <c r="J1327" i="12"/>
  <c r="K1327" i="12" s="1"/>
  <c r="K1329" i="12"/>
  <c r="M1503" i="12"/>
  <c r="L1505" i="12"/>
  <c r="X1135" i="12"/>
  <c r="X1134" i="12" s="1"/>
  <c r="X1132" i="12" s="1"/>
  <c r="X1131" i="12" s="1"/>
  <c r="X1136" i="12"/>
  <c r="AB281" i="12"/>
  <c r="AE281" i="12" s="1"/>
  <c r="AA282" i="12"/>
  <c r="AD282" i="12"/>
  <c r="Y1051" i="12"/>
  <c r="Y1050" i="12"/>
  <c r="P1045" i="12"/>
  <c r="T1044" i="12"/>
  <c r="T1043" i="12"/>
  <c r="Z1189" i="12"/>
  <c r="Y1188" i="12"/>
  <c r="AF676" i="12"/>
  <c r="AE678" i="12"/>
  <c r="AF1718" i="12"/>
  <c r="AE1718" i="12" s="1"/>
  <c r="AE1719" i="12"/>
  <c r="AF1717" i="12"/>
  <c r="AF1434" i="12"/>
  <c r="AF1435" i="12"/>
  <c r="AE1436" i="12"/>
  <c r="AF863" i="12"/>
  <c r="AF864" i="12"/>
  <c r="AE864" i="12" s="1"/>
  <c r="AE865" i="12"/>
  <c r="AF708" i="12"/>
  <c r="AE709" i="12"/>
  <c r="AB1001" i="12"/>
  <c r="AA1001" i="12" s="1"/>
  <c r="AB1002" i="12"/>
  <c r="AA1002" i="12" s="1"/>
  <c r="AA1003" i="12"/>
  <c r="AF127" i="12"/>
  <c r="AE127" i="12" s="1"/>
  <c r="AE129" i="12"/>
  <c r="J707" i="12"/>
  <c r="K707" i="12" s="1"/>
  <c r="K709" i="12"/>
  <c r="K556" i="12"/>
  <c r="J554" i="12"/>
  <c r="K554" i="12" s="1"/>
  <c r="L240" i="12"/>
  <c r="T72" i="12"/>
  <c r="P72" i="12" s="1"/>
  <c r="P73" i="12"/>
  <c r="J127" i="12"/>
  <c r="K127" i="12" s="1"/>
  <c r="K129" i="12"/>
  <c r="AC141" i="12"/>
  <c r="AD141" i="12" s="1"/>
  <c r="AD142" i="12"/>
  <c r="V286" i="10"/>
  <c r="R287" i="10"/>
  <c r="M31" i="12"/>
  <c r="L33" i="12"/>
  <c r="O411" i="10"/>
  <c r="N413" i="10"/>
  <c r="L315" i="10"/>
  <c r="M316" i="10"/>
  <c r="K212" i="10"/>
  <c r="K209" i="10" s="1"/>
  <c r="K121" i="10" s="1"/>
  <c r="M218" i="10"/>
  <c r="M212" i="10" s="1"/>
  <c r="M209" i="10" s="1"/>
  <c r="R185" i="10"/>
  <c r="R248" i="10"/>
  <c r="V247" i="10"/>
  <c r="V141" i="10"/>
  <c r="R141" i="10" s="1"/>
  <c r="R143" i="10"/>
  <c r="O19" i="10"/>
  <c r="N19" i="10" s="1"/>
  <c r="N21" i="10"/>
  <c r="Z2116" i="12"/>
  <c r="Y2115" i="12"/>
  <c r="Z2115" i="12" s="1"/>
  <c r="Y2114" i="12"/>
  <c r="Z2114" i="12" s="1"/>
  <c r="L1645" i="12"/>
  <c r="M1630" i="12"/>
  <c r="L1630" i="12" s="1"/>
  <c r="M1618" i="12"/>
  <c r="AC1007" i="12"/>
  <c r="AD1007" i="12" s="1"/>
  <c r="AD1008" i="12"/>
  <c r="AB1077" i="12"/>
  <c r="AA1077" i="12" s="1"/>
  <c r="AA1079" i="12"/>
  <c r="AB1078" i="12"/>
  <c r="AA1078" i="12" s="1"/>
  <c r="AA846" i="12"/>
  <c r="AA845" i="12"/>
  <c r="T1327" i="12"/>
  <c r="P1327" i="12" s="1"/>
  <c r="P1329" i="12"/>
  <c r="Z580" i="12"/>
  <c r="Y579" i="12"/>
  <c r="Z579" i="12" s="1"/>
  <c r="Y573" i="12"/>
  <c r="Z573" i="12" s="1"/>
  <c r="M924" i="12"/>
  <c r="L924" i="12" s="1"/>
  <c r="L926" i="12"/>
  <c r="AD708" i="12"/>
  <c r="AC707" i="12"/>
  <c r="V507" i="12"/>
  <c r="Z507" i="12" s="1"/>
  <c r="V508" i="12"/>
  <c r="AA508" i="12" s="1"/>
  <c r="AA509" i="12"/>
  <c r="O739" i="10"/>
  <c r="N741" i="10"/>
  <c r="AF62" i="12"/>
  <c r="AE63" i="12"/>
  <c r="V410" i="10"/>
  <c r="R411" i="10"/>
  <c r="M491" i="10"/>
  <c r="L489" i="10"/>
  <c r="O561" i="10"/>
  <c r="N571" i="10"/>
  <c r="O185" i="10"/>
  <c r="N187" i="10"/>
  <c r="N1288" i="12"/>
  <c r="P1289" i="12"/>
  <c r="AF644" i="12"/>
  <c r="AE644" i="12" s="1"/>
  <c r="AF645" i="12"/>
  <c r="AE645" i="12" s="1"/>
  <c r="AE646" i="12"/>
  <c r="M315" i="12"/>
  <c r="L315" i="12" s="1"/>
  <c r="L317" i="12"/>
  <c r="Z539" i="12"/>
  <c r="Y538" i="12"/>
  <c r="Z538" i="12" s="1"/>
  <c r="L35" i="10"/>
  <c r="M36" i="10"/>
  <c r="Z2329" i="12"/>
  <c r="Y2328" i="12"/>
  <c r="Z2328" i="12" s="1"/>
  <c r="AB1237" i="12"/>
  <c r="AA1239" i="12"/>
  <c r="AA1238" i="12" s="1"/>
  <c r="AB1238" i="12"/>
  <c r="T2010" i="12"/>
  <c r="P2010" i="12" s="1"/>
  <c r="P2038" i="12"/>
  <c r="AC1286" i="12"/>
  <c r="AC1287" i="12"/>
  <c r="AD1287" i="12" s="1"/>
  <c r="AD1288" i="12"/>
  <c r="Y1454" i="12"/>
  <c r="Z1454" i="12" s="1"/>
  <c r="Z1456" i="12"/>
  <c r="Y1455" i="12"/>
  <c r="Z1455" i="12" s="1"/>
  <c r="AC212" i="12"/>
  <c r="AD214" i="12"/>
  <c r="AA591" i="12"/>
  <c r="AB590" i="12"/>
  <c r="AA590" i="12" s="1"/>
  <c r="AA111" i="12"/>
  <c r="AB109" i="12"/>
  <c r="AA109" i="12" s="1"/>
  <c r="AB110" i="12"/>
  <c r="AA110" i="12" s="1"/>
  <c r="AF554" i="12"/>
  <c r="AE554" i="12" s="1"/>
  <c r="AF555" i="12"/>
  <c r="AE555" i="12" s="1"/>
  <c r="AE556" i="12"/>
  <c r="AF241" i="12"/>
  <c r="AE241" i="12" s="1"/>
  <c r="AE242" i="12"/>
  <c r="AF240" i="12"/>
  <c r="AB521" i="12"/>
  <c r="AB522" i="12"/>
  <c r="AA522" i="12" s="1"/>
  <c r="AA523" i="12"/>
  <c r="T212" i="12"/>
  <c r="P212" i="12" s="1"/>
  <c r="P214" i="12"/>
  <c r="AC148" i="12"/>
  <c r="AC149" i="12"/>
  <c r="AD149" i="12" s="1"/>
  <c r="AD150" i="12"/>
  <c r="K17" i="12"/>
  <c r="J15" i="12"/>
  <c r="K258" i="10"/>
  <c r="N259" i="10"/>
  <c r="M259" i="10"/>
  <c r="L204" i="10"/>
  <c r="M204" i="10" s="1"/>
  <c r="M205" i="10"/>
  <c r="R153" i="10"/>
  <c r="V151" i="10"/>
  <c r="R151" i="10" s="1"/>
  <c r="M198" i="10"/>
  <c r="L196" i="10"/>
  <c r="M196" i="10" s="1"/>
  <c r="V110" i="10"/>
  <c r="R112" i="10"/>
  <c r="AF1237" i="12"/>
  <c r="AF1238" i="12"/>
  <c r="AE1238" i="12" s="1"/>
  <c r="AE1239" i="12"/>
  <c r="AC1035" i="12"/>
  <c r="AD1043" i="12"/>
  <c r="Z1387" i="12"/>
  <c r="Y1385" i="12"/>
  <c r="Z1385" i="12" s="1"/>
  <c r="Y1386" i="12"/>
  <c r="Z1386" i="12" s="1"/>
  <c r="Y1236" i="12"/>
  <c r="Z1237" i="12"/>
  <c r="AB1605" i="12"/>
  <c r="AD1605" i="12" s="1"/>
  <c r="AB1604" i="12"/>
  <c r="AA1604" i="12" s="1"/>
  <c r="AA1606" i="12"/>
  <c r="AA1605" i="12" s="1"/>
  <c r="AF1505" i="12"/>
  <c r="AE1506" i="12"/>
  <c r="AE1387" i="12"/>
  <c r="AF1385" i="12"/>
  <c r="AE1385" i="12" s="1"/>
  <c r="AF1386" i="12"/>
  <c r="AE1386" i="12" s="1"/>
  <c r="Z1436" i="12"/>
  <c r="Y1435" i="12"/>
  <c r="Z1435" i="12" s="1"/>
  <c r="Y1434" i="12"/>
  <c r="Z1434" i="12" s="1"/>
  <c r="P240" i="12"/>
  <c r="T239" i="12"/>
  <c r="AC978" i="12"/>
  <c r="AD978" i="12" s="1"/>
  <c r="AC979" i="12"/>
  <c r="AD979" i="12" s="1"/>
  <c r="AD980" i="12"/>
  <c r="V408" i="12"/>
  <c r="V407" i="12" s="1"/>
  <c r="V405" i="12" s="1"/>
  <c r="V409" i="12"/>
  <c r="Z409" i="12" s="1"/>
  <c r="AF521" i="12"/>
  <c r="AF522" i="12"/>
  <c r="AE523" i="12"/>
  <c r="AF360" i="12"/>
  <c r="AE360" i="12" s="1"/>
  <c r="AF361" i="12"/>
  <c r="AE361" i="12" s="1"/>
  <c r="AE362" i="12"/>
  <c r="AB352" i="12"/>
  <c r="AA354" i="12"/>
  <c r="L507" i="12"/>
  <c r="M505" i="12"/>
  <c r="J408" i="12"/>
  <c r="K410" i="12"/>
  <c r="M375" i="12"/>
  <c r="L377" i="12"/>
  <c r="AD669" i="12"/>
  <c r="AC667" i="12"/>
  <c r="AD667" i="12" s="1"/>
  <c r="AC668" i="12"/>
  <c r="AD668" i="12" s="1"/>
  <c r="L703" i="10"/>
  <c r="M709" i="10"/>
  <c r="P96" i="12"/>
  <c r="T94" i="12"/>
  <c r="P94" i="12" s="1"/>
  <c r="Y15" i="12"/>
  <c r="Y16" i="12"/>
  <c r="Z16" i="12" s="1"/>
  <c r="Z17" i="12"/>
  <c r="L298" i="10"/>
  <c r="M299" i="10"/>
  <c r="O110" i="10"/>
  <c r="N112" i="10"/>
  <c r="V9" i="10"/>
  <c r="R26" i="10"/>
  <c r="Y1125" i="12"/>
  <c r="Z1125" i="12" s="1"/>
  <c r="Y1124" i="12"/>
  <c r="Z1124" i="12" s="1"/>
  <c r="Z1126" i="12"/>
  <c r="N408" i="12"/>
  <c r="P410" i="12"/>
  <c r="AD2208" i="12"/>
  <c r="AD631" i="12"/>
  <c r="L737" i="8"/>
  <c r="Y428" i="10"/>
  <c r="Y874" i="10" s="1"/>
  <c r="Y876" i="10" s="1"/>
  <c r="V1501" i="12"/>
  <c r="V1499" i="12" s="1"/>
  <c r="Z360" i="12"/>
  <c r="AD2057" i="12"/>
  <c r="L820" i="8"/>
  <c r="L446" i="8"/>
  <c r="L212" i="8"/>
  <c r="L134" i="8"/>
  <c r="AE2458" i="12"/>
  <c r="AE1350" i="12"/>
  <c r="AG1864" i="12"/>
  <c r="AG1863" i="12" s="1"/>
  <c r="AG1748" i="12" s="1"/>
  <c r="AG1746" i="12" s="1"/>
  <c r="AG1713" i="12" s="1"/>
  <c r="W1501" i="12"/>
  <c r="W1499" i="12" s="1"/>
  <c r="X1365" i="12"/>
  <c r="AD677" i="12"/>
  <c r="AD409" i="12"/>
  <c r="AD630" i="12"/>
  <c r="AE2437" i="12"/>
  <c r="AA217" i="9"/>
  <c r="AD962" i="12"/>
  <c r="AD2058" i="12"/>
  <c r="AA1287" i="12"/>
  <c r="AE1050" i="12"/>
  <c r="AD2479" i="12"/>
  <c r="AD2371" i="12"/>
  <c r="Z2488" i="12"/>
  <c r="AE2505" i="12"/>
  <c r="AD1126" i="12"/>
  <c r="X2233" i="12"/>
  <c r="X2152" i="12" s="1"/>
  <c r="X2150" i="12" s="1"/>
  <c r="X1713" i="12" s="1"/>
  <c r="AD2457" i="12"/>
  <c r="AE1096" i="12"/>
  <c r="AE2114" i="12"/>
  <c r="J609" i="8"/>
  <c r="L609" i="8" s="1"/>
  <c r="AD2581" i="12"/>
  <c r="AE2531" i="12"/>
  <c r="AD2082" i="12"/>
  <c r="AE1367" i="12"/>
  <c r="AA2158" i="12"/>
  <c r="Y1682" i="12"/>
  <c r="AE2098" i="12"/>
  <c r="AD2072" i="12"/>
  <c r="AA1864" i="12"/>
  <c r="R2593" i="12"/>
  <c r="R2595" i="12" s="1"/>
  <c r="AD2011" i="12"/>
  <c r="W1282" i="12"/>
  <c r="W2593" i="12" s="1"/>
  <c r="W2595" i="12" s="1"/>
  <c r="W1713" i="12"/>
  <c r="AD1136" i="12"/>
  <c r="AD903" i="12"/>
  <c r="AD596" i="12"/>
  <c r="AE115" i="12"/>
  <c r="K94" i="12"/>
  <c r="AD220" i="12"/>
  <c r="AD1338" i="12"/>
  <c r="AD1071" i="12"/>
  <c r="M621" i="12"/>
  <c r="M617" i="12" s="1"/>
  <c r="AD720" i="12"/>
  <c r="AC352" i="12"/>
  <c r="AD367" i="12"/>
  <c r="AD584" i="12"/>
  <c r="AD167" i="12"/>
  <c r="AD938" i="12"/>
  <c r="AD956" i="12"/>
  <c r="AE498" i="12"/>
  <c r="AE846" i="12"/>
  <c r="AG239" i="12"/>
  <c r="AG237" i="12" s="1"/>
  <c r="AG236" i="12" s="1"/>
  <c r="AG503" i="12"/>
  <c r="AG10" i="12"/>
  <c r="K327" i="10"/>
  <c r="K325" i="10" s="1"/>
  <c r="K323" i="10" s="1"/>
  <c r="K312" i="10" s="1"/>
  <c r="AD1704" i="12"/>
  <c r="V1131" i="12"/>
  <c r="U1713" i="12"/>
  <c r="U2593" i="12" s="1"/>
  <c r="U2595" i="12" s="1"/>
  <c r="K1604" i="12"/>
  <c r="Z865" i="12"/>
  <c r="AD241" i="12"/>
  <c r="AE979" i="12"/>
  <c r="AH743" i="12"/>
  <c r="AH740" i="12" s="1"/>
  <c r="AH471" i="12" s="1"/>
  <c r="AD601" i="12"/>
  <c r="AE579" i="12"/>
  <c r="AD66" i="12"/>
  <c r="AE667" i="12"/>
  <c r="AH1863" i="12"/>
  <c r="AH1748" i="12" s="1"/>
  <c r="AH1746" i="12" s="1"/>
  <c r="AH1713" i="12" s="1"/>
  <c r="AE1287" i="12"/>
  <c r="AD1027" i="12"/>
  <c r="AD1436" i="12"/>
  <c r="AE931" i="12"/>
  <c r="AD613" i="12"/>
  <c r="AD644" i="12"/>
  <c r="X743" i="12"/>
  <c r="X740" i="12" s="1"/>
  <c r="AE400" i="12"/>
  <c r="AE231" i="12"/>
  <c r="AE109" i="12"/>
  <c r="AA130" i="12"/>
  <c r="AE94" i="12"/>
  <c r="AE32" i="12"/>
  <c r="AD974" i="12"/>
  <c r="AA2618" i="12"/>
  <c r="AA2597" i="12"/>
  <c r="AA2596" i="12" s="1"/>
  <c r="M978" i="12"/>
  <c r="L978" i="12" s="1"/>
  <c r="L980" i="12"/>
  <c r="M931" i="12"/>
  <c r="L931" i="12" s="1"/>
  <c r="L933" i="12"/>
  <c r="AE591" i="12"/>
  <c r="AF590" i="12"/>
  <c r="AE590" i="12" s="1"/>
  <c r="AF584" i="12"/>
  <c r="AE584" i="12" s="1"/>
  <c r="T1013" i="12"/>
  <c r="P1013" i="12" s="1"/>
  <c r="P1015" i="12"/>
  <c r="AF902" i="12"/>
  <c r="AF903" i="12"/>
  <c r="AE903" i="12" s="1"/>
  <c r="AE904" i="12"/>
  <c r="M1308" i="12"/>
  <c r="L1308" i="12" s="1"/>
  <c r="L1310" i="12"/>
  <c r="AF1174" i="12"/>
  <c r="AE1174" i="12" s="1"/>
  <c r="AF1175" i="12"/>
  <c r="AE1175" i="12" s="1"/>
  <c r="AE1176" i="12"/>
  <c r="Z926" i="12"/>
  <c r="Y924" i="12"/>
  <c r="Z924" i="12" s="1"/>
  <c r="Y925" i="12"/>
  <c r="Z925" i="12" s="1"/>
  <c r="AB1739" i="12"/>
  <c r="AA1739" i="12" s="1"/>
  <c r="AB1740" i="12"/>
  <c r="AA1740" i="12" s="1"/>
  <c r="AA1741" i="12"/>
  <c r="AF1015" i="12"/>
  <c r="AF1016" i="12"/>
  <c r="AE1017" i="12"/>
  <c r="Z969" i="12"/>
  <c r="Y968" i="12"/>
  <c r="Z968" i="12" s="1"/>
  <c r="AB661" i="12"/>
  <c r="AA661" i="12" s="1"/>
  <c r="AB662" i="12"/>
  <c r="AA662" i="12" s="1"/>
  <c r="AA663" i="12"/>
  <c r="AF366" i="12"/>
  <c r="AE366" i="12" s="1"/>
  <c r="AF367" i="12"/>
  <c r="AE367" i="12" s="1"/>
  <c r="AE368" i="12"/>
  <c r="AB788" i="12"/>
  <c r="AB789" i="12"/>
  <c r="AA790" i="12"/>
  <c r="T350" i="12"/>
  <c r="P350" i="12" s="1"/>
  <c r="P352" i="12"/>
  <c r="J644" i="12"/>
  <c r="K644" i="12" s="1"/>
  <c r="K646" i="12"/>
  <c r="V475" i="12"/>
  <c r="V474" i="12" s="1"/>
  <c r="V472" i="12" s="1"/>
  <c r="V476" i="12"/>
  <c r="Z476" i="12" s="1"/>
  <c r="P15" i="12"/>
  <c r="T14" i="12"/>
  <c r="Z338" i="12"/>
  <c r="Y337" i="12"/>
  <c r="Z337" i="12" s="1"/>
  <c r="AE73" i="12"/>
  <c r="AF72" i="12"/>
  <c r="AC182" i="12"/>
  <c r="AD184" i="12"/>
  <c r="Z528" i="12"/>
  <c r="Y527" i="12"/>
  <c r="Z527" i="12" s="1"/>
  <c r="AF121" i="12"/>
  <c r="AE121" i="12" s="1"/>
  <c r="AE122" i="12"/>
  <c r="R765" i="10"/>
  <c r="V763" i="10"/>
  <c r="R763" i="10" s="1"/>
  <c r="AB72" i="12"/>
  <c r="AA72" i="12" s="1"/>
  <c r="AA73" i="12"/>
  <c r="O717" i="10"/>
  <c r="N719" i="10"/>
  <c r="AB15" i="12"/>
  <c r="AB16" i="12"/>
  <c r="AA16" i="12" s="1"/>
  <c r="AA17" i="12"/>
  <c r="L98" i="10"/>
  <c r="M99" i="10"/>
  <c r="AB2215" i="12"/>
  <c r="AA2215" i="12" s="1"/>
  <c r="AB2214" i="12"/>
  <c r="AA2214" i="12" s="1"/>
  <c r="AA2216" i="12"/>
  <c r="AF1224" i="12"/>
  <c r="AF1223" i="12"/>
  <c r="Y1505" i="12"/>
  <c r="Z1506" i="12"/>
  <c r="AF1698" i="12"/>
  <c r="AE1699" i="12"/>
  <c r="M989" i="12"/>
  <c r="L989" i="12" s="1"/>
  <c r="L991" i="12"/>
  <c r="R709" i="10"/>
  <c r="V703" i="10"/>
  <c r="AA937" i="12"/>
  <c r="AD937" i="12"/>
  <c r="AD326" i="12"/>
  <c r="AC325" i="12"/>
  <c r="AD325" i="12" s="1"/>
  <c r="Z561" i="12"/>
  <c r="Z560" i="12"/>
  <c r="AF352" i="12"/>
  <c r="AE354" i="12"/>
  <c r="Y212" i="12"/>
  <c r="Z212" i="12" s="1"/>
  <c r="Z214" i="12"/>
  <c r="M94" i="12"/>
  <c r="L94" i="12" s="1"/>
  <c r="L96" i="12"/>
  <c r="Y148" i="12"/>
  <c r="Y149" i="12"/>
  <c r="Z149" i="12" s="1"/>
  <c r="Z150" i="12"/>
  <c r="Y72" i="12"/>
  <c r="Z73" i="12"/>
  <c r="J973" i="12"/>
  <c r="K973" i="12" s="1"/>
  <c r="K974" i="12"/>
  <c r="M676" i="12"/>
  <c r="L678" i="12"/>
  <c r="AB919" i="12"/>
  <c r="AA919" i="12" s="1"/>
  <c r="AA920" i="12"/>
  <c r="AB918" i="12"/>
  <c r="AA918" i="12" s="1"/>
  <c r="AC608" i="12"/>
  <c r="AD608" i="12" s="1"/>
  <c r="AC607" i="12"/>
  <c r="AD607" i="12" s="1"/>
  <c r="AD609" i="12"/>
  <c r="Z302" i="12"/>
  <c r="Y301" i="12"/>
  <c r="Z301" i="12" s="1"/>
  <c r="L109" i="10"/>
  <c r="L107" i="10" s="1"/>
  <c r="M107" i="10" s="1"/>
  <c r="M110" i="10"/>
  <c r="M109" i="10" s="1"/>
  <c r="AE2618" i="12"/>
  <c r="AE2597" i="12"/>
  <c r="AE2596" i="12" s="1"/>
  <c r="AD2134" i="12"/>
  <c r="AC2133" i="12"/>
  <c r="AD2133" i="12" s="1"/>
  <c r="AC2132" i="12"/>
  <c r="AD2132" i="12" s="1"/>
  <c r="K2065" i="12"/>
  <c r="J2064" i="12"/>
  <c r="K2064" i="12" s="1"/>
  <c r="AD926" i="12"/>
  <c r="AC924" i="12"/>
  <c r="AD924" i="12" s="1"/>
  <c r="AC925" i="12"/>
  <c r="AD925" i="12" s="1"/>
  <c r="L1322" i="12"/>
  <c r="M1320" i="12"/>
  <c r="L1320" i="12" s="1"/>
  <c r="AF896" i="12"/>
  <c r="AE896" i="12" s="1"/>
  <c r="AE897" i="12"/>
  <c r="T1618" i="12"/>
  <c r="T1630" i="12"/>
  <c r="P1630" i="12" s="1"/>
  <c r="P1645" i="12"/>
  <c r="P1485" i="12"/>
  <c r="T1483" i="12"/>
  <c r="AF1008" i="12"/>
  <c r="AE1009" i="12"/>
  <c r="Y707" i="12"/>
  <c r="Y708" i="12"/>
  <c r="Z708" i="12" s="1"/>
  <c r="Z709" i="12"/>
  <c r="AA230" i="12"/>
  <c r="AB228" i="12"/>
  <c r="AA228" i="12" s="1"/>
  <c r="T146" i="12"/>
  <c r="P146" i="12" s="1"/>
  <c r="P148" i="12"/>
  <c r="Y735" i="12"/>
  <c r="Z735" i="12" s="1"/>
  <c r="Z736" i="12"/>
  <c r="J661" i="12"/>
  <c r="K661" i="12" s="1"/>
  <c r="K663" i="12"/>
  <c r="K242" i="12"/>
  <c r="J240" i="12"/>
  <c r="Z669" i="12"/>
  <c r="Y667" i="12"/>
  <c r="Z667" i="12" s="1"/>
  <c r="Y668" i="12"/>
  <c r="Z668" i="12" s="1"/>
  <c r="AF375" i="12"/>
  <c r="AF376" i="12"/>
  <c r="AE376" i="12" s="1"/>
  <c r="AE377" i="12"/>
  <c r="V863" i="10"/>
  <c r="R865" i="10"/>
  <c r="T182" i="12"/>
  <c r="P184" i="12"/>
  <c r="L561" i="10"/>
  <c r="M561" i="10" s="1"/>
  <c r="M571" i="10"/>
  <c r="R359" i="10"/>
  <c r="V255" i="10"/>
  <c r="R255" i="10" s="1"/>
  <c r="R257" i="10"/>
  <c r="N315" i="10"/>
  <c r="O313" i="10"/>
  <c r="L247" i="10"/>
  <c r="M248" i="10"/>
  <c r="L124" i="10"/>
  <c r="M125" i="10"/>
  <c r="O133" i="10"/>
  <c r="N135" i="10"/>
  <c r="M413" i="10"/>
  <c r="L411" i="10"/>
  <c r="AF1674" i="12"/>
  <c r="AE1675" i="12"/>
  <c r="M1327" i="12"/>
  <c r="L1327" i="12" s="1"/>
  <c r="L1329" i="12"/>
  <c r="M1135" i="12"/>
  <c r="L1137" i="12"/>
  <c r="AB1015" i="12"/>
  <c r="AB1016" i="12"/>
  <c r="AA1016" i="12" s="1"/>
  <c r="AA1017" i="12"/>
  <c r="AD790" i="12"/>
  <c r="AC788" i="12"/>
  <c r="AD788" i="12" s="1"/>
  <c r="AC789" i="12"/>
  <c r="T1795" i="12"/>
  <c r="T1794" i="12"/>
  <c r="P1794" i="12" s="1"/>
  <c r="P1796" i="12"/>
  <c r="T1717" i="12"/>
  <c r="P1719" i="12"/>
  <c r="AF1483" i="12"/>
  <c r="AF1484" i="12"/>
  <c r="AE1484" i="12" s="1"/>
  <c r="AE1485" i="12"/>
  <c r="AA1347" i="12"/>
  <c r="V1346" i="12"/>
  <c r="K1545" i="12"/>
  <c r="J1543" i="12"/>
  <c r="T1169" i="12"/>
  <c r="P1170" i="12"/>
  <c r="AB744" i="12"/>
  <c r="AD744" i="12" s="1"/>
  <c r="AA746" i="12"/>
  <c r="AB745" i="12"/>
  <c r="AA745" i="12" s="1"/>
  <c r="K1188" i="12"/>
  <c r="J1186" i="12"/>
  <c r="Z887" i="12"/>
  <c r="Y885" i="12"/>
  <c r="Z885" i="12" s="1"/>
  <c r="Y886" i="12"/>
  <c r="Z886" i="12" s="1"/>
  <c r="T220" i="12"/>
  <c r="P220" i="12" s="1"/>
  <c r="P222" i="12"/>
  <c r="K657" i="12"/>
  <c r="J650" i="12"/>
  <c r="K650" i="12" s="1"/>
  <c r="K534" i="12"/>
  <c r="J532" i="12"/>
  <c r="K532" i="12" s="1"/>
  <c r="AB475" i="12"/>
  <c r="AB476" i="12"/>
  <c r="AA476" i="12" s="1"/>
  <c r="AA477" i="12"/>
  <c r="AC399" i="12"/>
  <c r="AD399" i="12" s="1"/>
  <c r="AD401" i="12"/>
  <c r="AC400" i="12"/>
  <c r="AD400" i="12" s="1"/>
  <c r="AF621" i="12"/>
  <c r="AE623" i="12"/>
  <c r="Z377" i="12"/>
  <c r="Y375" i="12"/>
  <c r="Y376" i="12"/>
  <c r="Z376" i="12" s="1"/>
  <c r="M407" i="12"/>
  <c r="M405" i="12" s="1"/>
  <c r="L405" i="12" s="1"/>
  <c r="L408" i="12"/>
  <c r="L407" i="12" s="1"/>
  <c r="AD377" i="12"/>
  <c r="AC375" i="12"/>
  <c r="AC376" i="12"/>
  <c r="AD376" i="12" s="1"/>
  <c r="V316" i="12"/>
  <c r="V315" i="12"/>
  <c r="V239" i="12" s="1"/>
  <c r="V237" i="12" s="1"/>
  <c r="AE332" i="12"/>
  <c r="AF330" i="12"/>
  <c r="AE330" i="12" s="1"/>
  <c r="AF331" i="12"/>
  <c r="AE331" i="12" s="1"/>
  <c r="AF214" i="12"/>
  <c r="AF215" i="12"/>
  <c r="AE215" i="12" s="1"/>
  <c r="AE216" i="12"/>
  <c r="M771" i="10"/>
  <c r="M736" i="10" s="1"/>
  <c r="L736" i="10"/>
  <c r="N489" i="10"/>
  <c r="N442" i="10" s="1"/>
  <c r="O442" i="10"/>
  <c r="V614" i="10"/>
  <c r="R615" i="10"/>
  <c r="M337" i="10"/>
  <c r="L335" i="10"/>
  <c r="K238" i="10"/>
  <c r="M238" i="10" s="1"/>
  <c r="M239" i="10"/>
  <c r="AF1090" i="12"/>
  <c r="AE1090" i="12" s="1"/>
  <c r="AE1091" i="12"/>
  <c r="AF1089" i="12"/>
  <c r="AE1089" i="12" s="1"/>
  <c r="Z1015" i="12"/>
  <c r="Y1013" i="12"/>
  <c r="Z1013" i="12" s="1"/>
  <c r="AF962" i="12"/>
  <c r="AE962" i="12" s="1"/>
  <c r="AE963" i="12"/>
  <c r="AD115" i="12"/>
  <c r="AD1016" i="12"/>
  <c r="AG1365" i="12"/>
  <c r="AG1317" i="12" s="1"/>
  <c r="AG1315" i="12" s="1"/>
  <c r="Z533" i="12"/>
  <c r="AD554" i="12"/>
  <c r="K96" i="12"/>
  <c r="AD222" i="12"/>
  <c r="AD1339" i="12"/>
  <c r="AD1072" i="12"/>
  <c r="AG859" i="12"/>
  <c r="AE937" i="12"/>
  <c r="AD521" i="12"/>
  <c r="AD1703" i="12"/>
  <c r="AD1739" i="12"/>
  <c r="AI1501" i="12"/>
  <c r="AI1499" i="12" s="1"/>
  <c r="AI1282" i="12" s="1"/>
  <c r="X1317" i="12"/>
  <c r="X1315" i="12" s="1"/>
  <c r="X1282" i="12" s="1"/>
  <c r="AD1705" i="12"/>
  <c r="X1501" i="12"/>
  <c r="X1499" i="12" s="1"/>
  <c r="AD215" i="12"/>
  <c r="K1606" i="12"/>
  <c r="AE978" i="12"/>
  <c r="K968" i="12"/>
  <c r="AD302" i="12"/>
  <c r="AD561" i="12"/>
  <c r="AG471" i="12"/>
  <c r="AD67" i="12"/>
  <c r="AE1620" i="12"/>
  <c r="M1239" i="12"/>
  <c r="AD1366" i="12"/>
  <c r="AD1435" i="12"/>
  <c r="AD614" i="12"/>
  <c r="AE601" i="12"/>
  <c r="AD645" i="12"/>
  <c r="AE595" i="12"/>
  <c r="AD538" i="12"/>
  <c r="AE538" i="12"/>
  <c r="AI407" i="12"/>
  <c r="AI405" i="12" s="1"/>
  <c r="AI2593" i="12" s="1"/>
  <c r="AI2595" i="12" s="1"/>
  <c r="Y279" i="12"/>
  <c r="Z279" i="12" s="1"/>
  <c r="AE110" i="12"/>
  <c r="AE95" i="12"/>
  <c r="P1437" i="12"/>
  <c r="AH1013" i="12"/>
  <c r="AH892" i="12" s="1"/>
  <c r="AH859" i="12" s="1"/>
  <c r="L335" i="8"/>
  <c r="M335" i="8"/>
  <c r="M446" i="8"/>
  <c r="M820" i="8"/>
  <c r="AD745" i="12" l="1"/>
  <c r="AE522" i="12"/>
  <c r="AE1435" i="12"/>
  <c r="Y505" i="12"/>
  <c r="AE2037" i="12"/>
  <c r="AA2037" i="12"/>
  <c r="N248" i="10"/>
  <c r="O247" i="10"/>
  <c r="T127" i="12"/>
  <c r="P127" i="12" s="1"/>
  <c r="P129" i="12"/>
  <c r="I1174" i="12"/>
  <c r="L1176" i="12"/>
  <c r="K1176" i="12"/>
  <c r="L2478" i="12"/>
  <c r="M2476" i="12"/>
  <c r="AD55" i="12"/>
  <c r="V431" i="10"/>
  <c r="R432" i="10"/>
  <c r="AA54" i="12"/>
  <c r="AE54" i="12"/>
  <c r="AD789" i="12"/>
  <c r="AE2214" i="12"/>
  <c r="AD1174" i="12"/>
  <c r="X471" i="12"/>
  <c r="X2593" i="12" s="1"/>
  <c r="X2595" i="12" s="1"/>
  <c r="N1454" i="12"/>
  <c r="P1456" i="12"/>
  <c r="N359" i="10"/>
  <c r="O358" i="10"/>
  <c r="N358" i="10" s="1"/>
  <c r="O296" i="10"/>
  <c r="N298" i="10"/>
  <c r="N296" i="10" s="1"/>
  <c r="AA2093" i="12"/>
  <c r="AE2093" i="12"/>
  <c r="AH2593" i="12"/>
  <c r="AH2595" i="12" s="1"/>
  <c r="J1542" i="12"/>
  <c r="K1542" i="12" s="1"/>
  <c r="K1543" i="12"/>
  <c r="P1717" i="12"/>
  <c r="T1716" i="12"/>
  <c r="L410" i="10"/>
  <c r="M411" i="10"/>
  <c r="N313" i="10"/>
  <c r="V613" i="10"/>
  <c r="R614" i="10"/>
  <c r="AB474" i="12"/>
  <c r="AA475" i="12"/>
  <c r="P1169" i="12"/>
  <c r="T1167" i="12"/>
  <c r="P1167" i="12" s="1"/>
  <c r="M1134" i="12"/>
  <c r="L1135" i="12"/>
  <c r="AF1673" i="12"/>
  <c r="AE1673" i="12" s="1"/>
  <c r="AE1674" i="12"/>
  <c r="N133" i="10"/>
  <c r="M247" i="10"/>
  <c r="L245" i="10"/>
  <c r="V860" i="10"/>
  <c r="R863" i="10"/>
  <c r="M674" i="12"/>
  <c r="L674" i="12" s="1"/>
  <c r="L676" i="12"/>
  <c r="R703" i="10"/>
  <c r="Y1680" i="12"/>
  <c r="Z1680" i="12" s="1"/>
  <c r="Z1682" i="12"/>
  <c r="O109" i="10"/>
  <c r="O107" i="10" s="1"/>
  <c r="N107" i="10" s="1"/>
  <c r="N110" i="10"/>
  <c r="N109" i="10" s="1"/>
  <c r="J407" i="12"/>
  <c r="J405" i="12" s="1"/>
  <c r="K405" i="12" s="1"/>
  <c r="K408" i="12"/>
  <c r="K407" i="12" s="1"/>
  <c r="AB350" i="12"/>
  <c r="P239" i="12"/>
  <c r="T237" i="12"/>
  <c r="V109" i="10"/>
  <c r="R110" i="10"/>
  <c r="AF239" i="12"/>
  <c r="AE240" i="12"/>
  <c r="N1286" i="12"/>
  <c r="P1288" i="12"/>
  <c r="N561" i="10"/>
  <c r="N522" i="10" s="1"/>
  <c r="N518" i="10" s="1"/>
  <c r="O522" i="10"/>
  <c r="O518" i="10" s="1"/>
  <c r="O517" i="10" s="1"/>
  <c r="O516" i="10" s="1"/>
  <c r="O514" i="10" s="1"/>
  <c r="R410" i="10"/>
  <c r="V408" i="10"/>
  <c r="N739" i="10"/>
  <c r="N736" i="10" s="1"/>
  <c r="O736" i="10"/>
  <c r="AC699" i="12"/>
  <c r="M1617" i="12"/>
  <c r="L1617" i="12" s="1"/>
  <c r="L1618" i="12"/>
  <c r="P1043" i="12"/>
  <c r="AF2474" i="12"/>
  <c r="AE2476" i="12"/>
  <c r="K2476" i="12"/>
  <c r="J2474" i="12"/>
  <c r="K2474" i="12" s="1"/>
  <c r="P2155" i="12"/>
  <c r="T2154" i="12"/>
  <c r="AF1750" i="12"/>
  <c r="AE1751" i="12"/>
  <c r="T374" i="12"/>
  <c r="P375" i="12"/>
  <c r="K352" i="12"/>
  <c r="J350" i="12"/>
  <c r="K350" i="12" s="1"/>
  <c r="P458" i="12"/>
  <c r="T407" i="12"/>
  <c r="T2510" i="12"/>
  <c r="P2510" i="12" s="1"/>
  <c r="P2512" i="12"/>
  <c r="Y1620" i="12"/>
  <c r="Z1620" i="12" s="1"/>
  <c r="Z1621" i="12"/>
  <c r="AF182" i="12"/>
  <c r="AE184" i="12"/>
  <c r="AC1236" i="12"/>
  <c r="AD1237" i="12"/>
  <c r="AB212" i="12"/>
  <c r="AA212" i="12" s="1"/>
  <c r="AA214" i="12"/>
  <c r="AA1484" i="12"/>
  <c r="AD1484" i="12"/>
  <c r="Y1319" i="12"/>
  <c r="AB164" i="12"/>
  <c r="AA164" i="12" s="1"/>
  <c r="AA166" i="12"/>
  <c r="AB1493" i="12"/>
  <c r="AD1493" i="12" s="1"/>
  <c r="AD1494" i="12"/>
  <c r="V2080" i="12"/>
  <c r="V1863" i="12" s="1"/>
  <c r="V1748" i="12" s="1"/>
  <c r="V1746" i="12" s="1"/>
  <c r="V2081" i="12"/>
  <c r="Z2081" i="12" s="1"/>
  <c r="Z2082" i="12"/>
  <c r="R124" i="10"/>
  <c r="V122" i="10"/>
  <c r="AB182" i="12"/>
  <c r="AA184" i="12"/>
  <c r="Y621" i="12"/>
  <c r="Y617" i="12" s="1"/>
  <c r="Z623" i="12"/>
  <c r="Z621" i="12" s="1"/>
  <c r="P2100" i="12"/>
  <c r="T2098" i="12"/>
  <c r="P2098" i="12" s="1"/>
  <c r="Y2510" i="12"/>
  <c r="AD676" i="12"/>
  <c r="AC674" i="12"/>
  <c r="AF2512" i="12"/>
  <c r="AE2514" i="12"/>
  <c r="AB1716" i="12"/>
  <c r="AA1717" i="12"/>
  <c r="R313" i="10"/>
  <c r="L5" i="10"/>
  <c r="M6" i="10"/>
  <c r="J146" i="12"/>
  <c r="K146" i="12" s="1"/>
  <c r="K148" i="12"/>
  <c r="V368" i="10"/>
  <c r="R370" i="10"/>
  <c r="AE15" i="12"/>
  <c r="R337" i="10"/>
  <c r="V335" i="10"/>
  <c r="AA49" i="12"/>
  <c r="AD49" i="12"/>
  <c r="AF409" i="12"/>
  <c r="AE409" i="12" s="1"/>
  <c r="AE410" i="12"/>
  <c r="AF408" i="12"/>
  <c r="AC1716" i="12"/>
  <c r="AD1717" i="12"/>
  <c r="L1344" i="12"/>
  <c r="M1319" i="12"/>
  <c r="AF1185" i="12"/>
  <c r="AE1186" i="12"/>
  <c r="Z2094" i="12"/>
  <c r="Y2093" i="12"/>
  <c r="Z2093" i="12" s="1"/>
  <c r="Y2080" i="12"/>
  <c r="P1185" i="12"/>
  <c r="T1183" i="12"/>
  <c r="P1183" i="12" s="1"/>
  <c r="K1618" i="12"/>
  <c r="J1617" i="12"/>
  <c r="K1617" i="12" s="1"/>
  <c r="AF2577" i="12"/>
  <c r="AE2579" i="12"/>
  <c r="Z2155" i="12"/>
  <c r="Y2154" i="12"/>
  <c r="AD2155" i="12"/>
  <c r="AC2154" i="12"/>
  <c r="AE2234" i="12"/>
  <c r="P1690" i="12"/>
  <c r="T1682" i="12"/>
  <c r="O440" i="10"/>
  <c r="AD590" i="12"/>
  <c r="AD661" i="12"/>
  <c r="AD918" i="12"/>
  <c r="Z508" i="12"/>
  <c r="AD212" i="12"/>
  <c r="AE1434" i="12"/>
  <c r="M609" i="8"/>
  <c r="AE661" i="12"/>
  <c r="Z894" i="12"/>
  <c r="AD1187" i="12"/>
  <c r="AD2080" i="12"/>
  <c r="AD2437" i="12"/>
  <c r="AE1704" i="12"/>
  <c r="M1750" i="12"/>
  <c r="L522" i="10"/>
  <c r="L518" i="10" s="1"/>
  <c r="AE919" i="12"/>
  <c r="AE1078" i="12"/>
  <c r="AE1124" i="12"/>
  <c r="AD16" i="12"/>
  <c r="AD1175" i="12"/>
  <c r="AE2209" i="12"/>
  <c r="AD522" i="12"/>
  <c r="AE2215" i="12"/>
  <c r="Z361" i="12"/>
  <c r="AD950" i="12"/>
  <c r="AD1604" i="12"/>
  <c r="AD1124" i="12"/>
  <c r="AD949" i="12"/>
  <c r="AE228" i="12"/>
  <c r="AE789" i="12"/>
  <c r="AA409" i="12"/>
  <c r="AE67" i="12"/>
  <c r="AE745" i="12"/>
  <c r="AC239" i="12"/>
  <c r="Z475" i="12"/>
  <c r="Y1110" i="12"/>
  <c r="Z1287" i="12"/>
  <c r="AD1752" i="12"/>
  <c r="L2233" i="12"/>
  <c r="AE984" i="12"/>
  <c r="AE458" i="12"/>
  <c r="AE1605" i="12"/>
  <c r="AE950" i="12"/>
  <c r="AB1035" i="12"/>
  <c r="AA1035" i="12" s="1"/>
  <c r="AD375" i="12"/>
  <c r="AC374" i="12"/>
  <c r="M335" i="10"/>
  <c r="L327" i="10"/>
  <c r="AF1007" i="12"/>
  <c r="AE1007" i="12" s="1"/>
  <c r="AE1008" i="12"/>
  <c r="AF350" i="12"/>
  <c r="AE350" i="12" s="1"/>
  <c r="AE352" i="12"/>
  <c r="AF212" i="12"/>
  <c r="AE212" i="12" s="1"/>
  <c r="AE214" i="12"/>
  <c r="Z375" i="12"/>
  <c r="Y374" i="12"/>
  <c r="V1344" i="12"/>
  <c r="V1319" i="12" s="1"/>
  <c r="V1317" i="12" s="1"/>
  <c r="V1315" i="12" s="1"/>
  <c r="V1345" i="12"/>
  <c r="AE1483" i="12"/>
  <c r="AF1365" i="12"/>
  <c r="AF374" i="12"/>
  <c r="AE375" i="12"/>
  <c r="J239" i="12"/>
  <c r="K240" i="12"/>
  <c r="Z707" i="12"/>
  <c r="Y699" i="12"/>
  <c r="Z699" i="12" s="1"/>
  <c r="Z148" i="12"/>
  <c r="Y146" i="12"/>
  <c r="Z146" i="12" s="1"/>
  <c r="Z1505" i="12"/>
  <c r="Y1503" i="12"/>
  <c r="Y1504" i="12"/>
  <c r="Z1504" i="12" s="1"/>
  <c r="N717" i="10"/>
  <c r="O703" i="10"/>
  <c r="AF1013" i="12"/>
  <c r="AE1015" i="12"/>
  <c r="M616" i="12"/>
  <c r="L617" i="12"/>
  <c r="AA521" i="12"/>
  <c r="AB505" i="12"/>
  <c r="AB1236" i="12"/>
  <c r="AA1237" i="12"/>
  <c r="L33" i="10"/>
  <c r="M33" i="10" s="1"/>
  <c r="M35" i="10"/>
  <c r="V505" i="12"/>
  <c r="V503" i="12" s="1"/>
  <c r="AA507" i="12"/>
  <c r="N411" i="10"/>
  <c r="O410" i="10"/>
  <c r="R286" i="10"/>
  <c r="V284" i="10"/>
  <c r="AB279" i="12"/>
  <c r="AB280" i="12"/>
  <c r="AA281" i="12"/>
  <c r="AD281" i="12"/>
  <c r="L1503" i="12"/>
  <c r="P1346" i="12"/>
  <c r="T1344" i="12"/>
  <c r="AA1186" i="12"/>
  <c r="AB1185" i="12"/>
  <c r="Y180" i="12"/>
  <c r="Z180" i="12" s="1"/>
  <c r="Z182" i="12"/>
  <c r="AE1333" i="12"/>
  <c r="AF1327" i="12"/>
  <c r="AE1327" i="12" s="1"/>
  <c r="AF1328" i="12"/>
  <c r="AE1328" i="12" s="1"/>
  <c r="N98" i="10"/>
  <c r="O96" i="10"/>
  <c r="N96" i="10" s="1"/>
  <c r="T1108" i="12"/>
  <c r="P1108" i="12" s="1"/>
  <c r="P1110" i="12"/>
  <c r="K1344" i="12"/>
  <c r="J1319" i="12"/>
  <c r="AF166" i="12"/>
  <c r="AF167" i="12"/>
  <c r="AE167" i="12" s="1"/>
  <c r="AE168" i="12"/>
  <c r="K166" i="12"/>
  <c r="J164" i="12"/>
  <c r="K164" i="12" s="1"/>
  <c r="V352" i="12"/>
  <c r="AA360" i="12"/>
  <c r="K902" i="12"/>
  <c r="K894" i="12" s="1"/>
  <c r="J894" i="12"/>
  <c r="AE1285" i="12"/>
  <c r="AF1283" i="12"/>
  <c r="P2003" i="12"/>
  <c r="T1863" i="12"/>
  <c r="P1863" i="12" s="1"/>
  <c r="L284" i="10"/>
  <c r="T166" i="12"/>
  <c r="P168" i="12"/>
  <c r="Y239" i="12"/>
  <c r="Z240" i="12"/>
  <c r="M1542" i="12"/>
  <c r="L1542" i="12" s="1"/>
  <c r="L1543" i="12"/>
  <c r="L129" i="12"/>
  <c r="M127" i="12"/>
  <c r="L127" i="12" s="1"/>
  <c r="N1338" i="12"/>
  <c r="P1340" i="12"/>
  <c r="M860" i="12"/>
  <c r="L862" i="12"/>
  <c r="L1015" i="12"/>
  <c r="M1013" i="12"/>
  <c r="L1013" i="12" s="1"/>
  <c r="AB1344" i="12"/>
  <c r="AB1345" i="12"/>
  <c r="AA1345" i="12" s="1"/>
  <c r="AA1346" i="12"/>
  <c r="AC2233" i="12"/>
  <c r="AD2234" i="12"/>
  <c r="N35" i="10"/>
  <c r="O33" i="10"/>
  <c r="AF1135" i="12"/>
  <c r="AF1136" i="12"/>
  <c r="AE1136" i="12" s="1"/>
  <c r="AE1137" i="12"/>
  <c r="P650" i="12"/>
  <c r="T621" i="12"/>
  <c r="Z845" i="12"/>
  <c r="Z846" i="12"/>
  <c r="Y1035" i="12"/>
  <c r="Z1035" i="12" s="1"/>
  <c r="Z1043" i="12"/>
  <c r="Z1136" i="12"/>
  <c r="Z1135" i="12"/>
  <c r="Z1134" i="12" s="1"/>
  <c r="AA574" i="12"/>
  <c r="AD574" i="12"/>
  <c r="O858" i="10"/>
  <c r="N858" i="10" s="1"/>
  <c r="N860" i="10"/>
  <c r="AC1542" i="12"/>
  <c r="AD1543" i="12"/>
  <c r="P1135" i="12"/>
  <c r="T1134" i="12"/>
  <c r="P1543" i="12"/>
  <c r="T1542" i="12"/>
  <c r="P1542" i="12" s="1"/>
  <c r="R35" i="10"/>
  <c r="V33" i="10"/>
  <c r="R516" i="10"/>
  <c r="V514" i="10"/>
  <c r="O212" i="10"/>
  <c r="O209" i="10" s="1"/>
  <c r="N218" i="10"/>
  <c r="N212" i="10" s="1"/>
  <c r="N209" i="10" s="1"/>
  <c r="J505" i="12"/>
  <c r="K507" i="12"/>
  <c r="P926" i="12"/>
  <c r="T924" i="12"/>
  <c r="V98" i="10"/>
  <c r="R99" i="10"/>
  <c r="Z474" i="12"/>
  <c r="Y472" i="12"/>
  <c r="T788" i="12"/>
  <c r="P790" i="12"/>
  <c r="K1864" i="12"/>
  <c r="K1863" i="12" s="1"/>
  <c r="K1823" i="12" s="1"/>
  <c r="J1863" i="12"/>
  <c r="J1823" i="12" s="1"/>
  <c r="AB707" i="12"/>
  <c r="AD707" i="12" s="1"/>
  <c r="AA708" i="12"/>
  <c r="AB2069" i="12"/>
  <c r="AB2070" i="12"/>
  <c r="AA2071" i="12"/>
  <c r="AE2071" i="12"/>
  <c r="V2537" i="12"/>
  <c r="V2538" i="12"/>
  <c r="AA2539" i="12"/>
  <c r="Z2539" i="12"/>
  <c r="AB7" i="9"/>
  <c r="AA7" i="9" s="1"/>
  <c r="AA8" i="9"/>
  <c r="AE2155" i="12"/>
  <c r="AF2154" i="12"/>
  <c r="AA240" i="12"/>
  <c r="AA676" i="12"/>
  <c r="AB674" i="12"/>
  <c r="AA674" i="12" s="1"/>
  <c r="M291" i="9"/>
  <c r="L291" i="9"/>
  <c r="Z8" i="9"/>
  <c r="Y6" i="9"/>
  <c r="Z6" i="9" s="1"/>
  <c r="Y7" i="9"/>
  <c r="Z7" i="9" s="1"/>
  <c r="Y2233" i="12"/>
  <c r="Z2233" i="12" s="1"/>
  <c r="Z2234" i="12"/>
  <c r="K2579" i="12"/>
  <c r="J2577" i="12"/>
  <c r="K2577" i="12" s="1"/>
  <c r="M1285" i="12"/>
  <c r="L1286" i="12"/>
  <c r="P1505" i="12"/>
  <c r="T1503" i="12"/>
  <c r="AD110" i="12"/>
  <c r="AD1035" i="12"/>
  <c r="M239" i="12"/>
  <c r="AA2080" i="12"/>
  <c r="V2512" i="12"/>
  <c r="V2510" i="12" s="1"/>
  <c r="Z408" i="12"/>
  <c r="AC505" i="12"/>
  <c r="AE662" i="12"/>
  <c r="AD475" i="12"/>
  <c r="Y1863" i="12"/>
  <c r="M2154" i="12"/>
  <c r="Z1345" i="12"/>
  <c r="AD2209" i="12"/>
  <c r="AD662" i="12"/>
  <c r="L1750" i="12"/>
  <c r="M894" i="12"/>
  <c r="M892" i="12" s="1"/>
  <c r="AC743" i="12"/>
  <c r="AD337" i="12"/>
  <c r="AA2156" i="12"/>
  <c r="AE1493" i="12"/>
  <c r="AD459" i="12"/>
  <c r="AE1339" i="12"/>
  <c r="AD1078" i="12"/>
  <c r="L131" i="10"/>
  <c r="M131" i="10" s="1"/>
  <c r="AE16" i="12"/>
  <c r="AB621" i="12"/>
  <c r="AE621" i="12" s="1"/>
  <c r="AC894" i="12"/>
  <c r="AE1187" i="12"/>
  <c r="M2233" i="12"/>
  <c r="AD127" i="12"/>
  <c r="AE459" i="12"/>
  <c r="AB1134" i="12"/>
  <c r="AB1132" i="12" s="1"/>
  <c r="P2474" i="12"/>
  <c r="AD2156" i="12"/>
  <c r="AD1346" i="12"/>
  <c r="AC862" i="12"/>
  <c r="AE2285" i="12"/>
  <c r="N9" i="10"/>
  <c r="AE1345" i="12"/>
  <c r="L1239" i="12"/>
  <c r="M1237" i="12"/>
  <c r="J1183" i="12"/>
  <c r="K1183" i="12" s="1"/>
  <c r="J1185" i="12"/>
  <c r="K1185" i="12" s="1"/>
  <c r="K1186" i="12"/>
  <c r="AB743" i="12"/>
  <c r="AA744" i="12"/>
  <c r="AB1013" i="12"/>
  <c r="AA1013" i="12" s="1"/>
  <c r="AA1015" i="12"/>
  <c r="L122" i="10"/>
  <c r="M124" i="10"/>
  <c r="T180" i="12"/>
  <c r="P180" i="12" s="1"/>
  <c r="P182" i="12"/>
  <c r="T1365" i="12"/>
  <c r="P1483" i="12"/>
  <c r="P1618" i="12"/>
  <c r="T1617" i="12"/>
  <c r="P1617" i="12" s="1"/>
  <c r="L96" i="10"/>
  <c r="M96" i="10" s="1"/>
  <c r="M98" i="10"/>
  <c r="P14" i="12"/>
  <c r="V6" i="10"/>
  <c r="R9" i="10"/>
  <c r="L296" i="10"/>
  <c r="M298" i="10"/>
  <c r="M296" i="10" s="1"/>
  <c r="M374" i="12"/>
  <c r="L375" i="12"/>
  <c r="AE521" i="12"/>
  <c r="AF505" i="12"/>
  <c r="Y1234" i="12"/>
  <c r="Z1234" i="12" s="1"/>
  <c r="Z1236" i="12"/>
  <c r="AF1236" i="12"/>
  <c r="AE1237" i="12"/>
  <c r="J14" i="12"/>
  <c r="J11" i="12" s="1"/>
  <c r="K15" i="12"/>
  <c r="K14" i="12" s="1"/>
  <c r="AC146" i="12"/>
  <c r="AD146" i="12" s="1"/>
  <c r="AD148" i="12"/>
  <c r="AC1285" i="12"/>
  <c r="AD1286" i="12"/>
  <c r="O183" i="10"/>
  <c r="N183" i="10" s="1"/>
  <c r="N185" i="10"/>
  <c r="AE62" i="12"/>
  <c r="AF61" i="12"/>
  <c r="AE61" i="12" s="1"/>
  <c r="AF60" i="12"/>
  <c r="AE60" i="12" s="1"/>
  <c r="V245" i="10"/>
  <c r="R247" i="10"/>
  <c r="AF707" i="12"/>
  <c r="AE708" i="12"/>
  <c r="Y1186" i="12"/>
  <c r="Y1187" i="12"/>
  <c r="Z1187" i="12" s="1"/>
  <c r="Z1188" i="12"/>
  <c r="T1234" i="12"/>
  <c r="P1234" i="12" s="1"/>
  <c r="P1236" i="12"/>
  <c r="Z407" i="12"/>
  <c r="Y405" i="12"/>
  <c r="Z405" i="12" s="1"/>
  <c r="AA458" i="12"/>
  <c r="AD458" i="12"/>
  <c r="T743" i="12"/>
  <c r="P744" i="12"/>
  <c r="AD474" i="12"/>
  <c r="AC472" i="12"/>
  <c r="K1483" i="12"/>
  <c r="J1365" i="12"/>
  <c r="K1365" i="12" s="1"/>
  <c r="Y1617" i="12"/>
  <c r="Z1617" i="12" s="1"/>
  <c r="Z1618" i="12"/>
  <c r="AB1110" i="12"/>
  <c r="AA1112" i="12"/>
  <c r="AD1112" i="12"/>
  <c r="AA902" i="12"/>
  <c r="AA894" i="12" s="1"/>
  <c r="AB894" i="12"/>
  <c r="AB892" i="12" s="1"/>
  <c r="AA892" i="12" s="1"/>
  <c r="J1505" i="12"/>
  <c r="K1506" i="12"/>
  <c r="AF1110" i="12"/>
  <c r="AE1112" i="12"/>
  <c r="M432" i="10"/>
  <c r="L431" i="10"/>
  <c r="AE475" i="12"/>
  <c r="AF474" i="12"/>
  <c r="V788" i="12"/>
  <c r="Z788" i="12" s="1"/>
  <c r="V789" i="12"/>
  <c r="Z789" i="12" s="1"/>
  <c r="Z790" i="12"/>
  <c r="P863" i="12"/>
  <c r="T862" i="12"/>
  <c r="Z744" i="12"/>
  <c r="Y743" i="12"/>
  <c r="AC1132" i="12"/>
  <c r="L2010" i="12"/>
  <c r="L1863" i="12" s="1"/>
  <c r="L1823" i="12" s="1"/>
  <c r="M1863" i="12"/>
  <c r="M1823" i="12" s="1"/>
  <c r="M1822" i="12" s="1"/>
  <c r="M1821" i="12" s="1"/>
  <c r="M1819" i="12" s="1"/>
  <c r="AC2510" i="12"/>
  <c r="J250" i="8"/>
  <c r="M258" i="8"/>
  <c r="AB1283" i="12"/>
  <c r="AA1285" i="12"/>
  <c r="T2579" i="12"/>
  <c r="P2581" i="12"/>
  <c r="AF1907" i="12"/>
  <c r="AE1907" i="12" s="1"/>
  <c r="AF1864" i="12"/>
  <c r="AB2577" i="12"/>
  <c r="AD2476" i="12"/>
  <c r="AC2474" i="12"/>
  <c r="R198" i="10"/>
  <c r="V196" i="10"/>
  <c r="AB407" i="12"/>
  <c r="AA408" i="12"/>
  <c r="M863" i="10"/>
  <c r="L860" i="10"/>
  <c r="AB374" i="12"/>
  <c r="AA375" i="12"/>
  <c r="J1750" i="12"/>
  <c r="J1748" i="12" s="1"/>
  <c r="K1751" i="12"/>
  <c r="K1750" i="12" s="1"/>
  <c r="K375" i="12"/>
  <c r="J374" i="12"/>
  <c r="J1716" i="12"/>
  <c r="K1717" i="12"/>
  <c r="P1751" i="12"/>
  <c r="T1750" i="12"/>
  <c r="V736" i="10"/>
  <c r="R736" i="10" s="1"/>
  <c r="R771" i="10"/>
  <c r="AB267" i="12"/>
  <c r="AA268" i="12"/>
  <c r="AA267" i="12" s="1"/>
  <c r="AB266" i="12"/>
  <c r="AD268" i="12"/>
  <c r="AE268" i="12"/>
  <c r="V615" i="12"/>
  <c r="AA616" i="12"/>
  <c r="AD1385" i="12"/>
  <c r="AC1365" i="12"/>
  <c r="V2476" i="12"/>
  <c r="V2474" i="12" s="1"/>
  <c r="AA2488" i="12"/>
  <c r="AB2474" i="12"/>
  <c r="K1135" i="12"/>
  <c r="J1134" i="12"/>
  <c r="J2154" i="12"/>
  <c r="K2155" i="12"/>
  <c r="L371" i="8"/>
  <c r="M371" i="8"/>
  <c r="K184" i="12"/>
  <c r="J182" i="12"/>
  <c r="AB1691" i="12"/>
  <c r="AA1692" i="12"/>
  <c r="AB1690" i="12"/>
  <c r="AD1692" i="12"/>
  <c r="AE1692" i="12"/>
  <c r="AA1544" i="12"/>
  <c r="AA1543" i="12"/>
  <c r="AA1542" i="12" s="1"/>
  <c r="AA1136" i="12"/>
  <c r="AA1135" i="12"/>
  <c r="AA1134" i="12" s="1"/>
  <c r="V2581" i="12"/>
  <c r="V2582" i="12"/>
  <c r="Z2583" i="12"/>
  <c r="AA2583" i="12"/>
  <c r="AD1344" i="12"/>
  <c r="AC1319" i="12"/>
  <c r="AB2512" i="12"/>
  <c r="AA2514" i="12"/>
  <c r="K1683" i="12"/>
  <c r="J1682" i="12"/>
  <c r="N124" i="10"/>
  <c r="O122" i="10"/>
  <c r="AB39" i="9"/>
  <c r="AA40" i="9"/>
  <c r="AF1319" i="12"/>
  <c r="AE1344" i="12"/>
  <c r="AA2405" i="12"/>
  <c r="AD2405" i="12"/>
  <c r="AE2405" i="12"/>
  <c r="AE72" i="12"/>
  <c r="AE1016" i="12"/>
  <c r="AA2081" i="12"/>
  <c r="AD1125" i="12"/>
  <c r="AE1740" i="12"/>
  <c r="AD1001" i="12"/>
  <c r="L894" i="12"/>
  <c r="L892" i="12" s="1"/>
  <c r="AE1001" i="12"/>
  <c r="AG1282" i="12"/>
  <c r="AG2593" i="12" s="1"/>
  <c r="AG2595" i="12" s="1"/>
  <c r="N238" i="10"/>
  <c r="AE918" i="12"/>
  <c r="AE1125" i="12"/>
  <c r="V1282" i="12"/>
  <c r="AE1494" i="12"/>
  <c r="AD1740" i="12"/>
  <c r="AD185" i="12"/>
  <c r="Z863" i="12"/>
  <c r="AE279" i="12"/>
  <c r="AE573" i="12"/>
  <c r="AA621" i="12"/>
  <c r="AD902" i="12"/>
  <c r="AD1718" i="12"/>
  <c r="T1285" i="12"/>
  <c r="Z2156" i="12"/>
  <c r="AD408" i="12"/>
  <c r="AE1604" i="12"/>
  <c r="P2476" i="12"/>
  <c r="AD2069" i="12"/>
  <c r="O9" i="10"/>
  <c r="O6" i="10" s="1"/>
  <c r="AF1697" i="12"/>
  <c r="AE1697" i="12" s="1"/>
  <c r="AE1698" i="12"/>
  <c r="AF1690" i="12"/>
  <c r="AB14" i="12"/>
  <c r="AB11" i="12" s="1"/>
  <c r="AA15" i="12"/>
  <c r="AD182" i="12"/>
  <c r="AC180" i="12"/>
  <c r="AF894" i="12"/>
  <c r="AE902" i="12"/>
  <c r="AC350" i="12"/>
  <c r="AD350" i="12" s="1"/>
  <c r="AD352" i="12"/>
  <c r="N407" i="12"/>
  <c r="N405" i="12" s="1"/>
  <c r="P408" i="12"/>
  <c r="Y14" i="12"/>
  <c r="Y11" i="12" s="1"/>
  <c r="Z15" i="12"/>
  <c r="Z14" i="12" s="1"/>
  <c r="M703" i="10"/>
  <c r="L701" i="10"/>
  <c r="M503" i="12"/>
  <c r="L503" i="12" s="1"/>
  <c r="L505" i="12"/>
  <c r="AF1503" i="12"/>
  <c r="AF1504" i="12"/>
  <c r="AE1505" i="12"/>
  <c r="N258" i="10"/>
  <c r="M258" i="10"/>
  <c r="M489" i="10"/>
  <c r="M442" i="10" s="1"/>
  <c r="L442" i="10"/>
  <c r="L440" i="10" s="1"/>
  <c r="L313" i="10"/>
  <c r="M315" i="10"/>
  <c r="L31" i="12"/>
  <c r="L14" i="12" s="1"/>
  <c r="M14" i="12"/>
  <c r="M11" i="12" s="1"/>
  <c r="AE863" i="12"/>
  <c r="AF862" i="12"/>
  <c r="AE1717" i="12"/>
  <c r="AF1716" i="12"/>
  <c r="AE676" i="12"/>
  <c r="AF674" i="12"/>
  <c r="AE674" i="12" s="1"/>
  <c r="Y38" i="9"/>
  <c r="Z38" i="9" s="1"/>
  <c r="Z39" i="9"/>
  <c r="Y93" i="9"/>
  <c r="Z93" i="9" s="1"/>
  <c r="Z94" i="9"/>
  <c r="AF2393" i="12"/>
  <c r="AE2393" i="12" s="1"/>
  <c r="AE2394" i="12"/>
  <c r="AF2387" i="12"/>
  <c r="AE2387" i="12" s="1"/>
  <c r="Z505" i="12"/>
  <c r="L1703" i="12"/>
  <c r="M1682" i="12"/>
  <c r="P505" i="12"/>
  <c r="AC1185" i="12"/>
  <c r="AD1186" i="12"/>
  <c r="AA1113" i="12"/>
  <c r="AD1113" i="12"/>
  <c r="K250" i="8"/>
  <c r="L258" i="8"/>
  <c r="AA1483" i="12"/>
  <c r="AB1365" i="12"/>
  <c r="AA1365" i="12" s="1"/>
  <c r="AD1483" i="12"/>
  <c r="Z676" i="12"/>
  <c r="Y674" i="12"/>
  <c r="Z674" i="12" s="1"/>
  <c r="AB862" i="12"/>
  <c r="AA863" i="12"/>
  <c r="P1052" i="12"/>
  <c r="T1050" i="12"/>
  <c r="P1050" i="12" s="1"/>
  <c r="Y1751" i="12"/>
  <c r="Y1752" i="12"/>
  <c r="Z1752" i="12" s="1"/>
  <c r="Z1753" i="12"/>
  <c r="J1013" i="12"/>
  <c r="K1013" i="12" s="1"/>
  <c r="K1015" i="12"/>
  <c r="M1365" i="12"/>
  <c r="L1365" i="12" s="1"/>
  <c r="L1483" i="12"/>
  <c r="K287" i="10"/>
  <c r="M289" i="10"/>
  <c r="K1237" i="12"/>
  <c r="J1236" i="12"/>
  <c r="AC621" i="12"/>
  <c r="AD621" i="12" s="1"/>
  <c r="AD623" i="12"/>
  <c r="J474" i="12"/>
  <c r="K475" i="12"/>
  <c r="M1716" i="12"/>
  <c r="L1717" i="12"/>
  <c r="AC14" i="12"/>
  <c r="AD15" i="12"/>
  <c r="M182" i="12"/>
  <c r="L184" i="12"/>
  <c r="M1183" i="12"/>
  <c r="L1183" i="12" s="1"/>
  <c r="M1185" i="12"/>
  <c r="L1185" i="12" s="1"/>
  <c r="L1186" i="12"/>
  <c r="AA1751" i="12"/>
  <c r="AA1750" i="12" s="1"/>
  <c r="AB1750" i="12"/>
  <c r="AB2154" i="12"/>
  <c r="AA2155" i="12"/>
  <c r="Y1365" i="12"/>
  <c r="Z1365" i="12" s="1"/>
  <c r="Z1483" i="12"/>
  <c r="Z2498" i="12"/>
  <c r="Y2476" i="12"/>
  <c r="J1285" i="12"/>
  <c r="K1286" i="12"/>
  <c r="Y1716" i="12"/>
  <c r="Z1717" i="12"/>
  <c r="AA1505" i="12"/>
  <c r="AB1503" i="12"/>
  <c r="AB1504" i="12"/>
  <c r="AA1504" i="12" s="1"/>
  <c r="K2514" i="12"/>
  <c r="J2512" i="12"/>
  <c r="AF146" i="12"/>
  <c r="AE146" i="12" s="1"/>
  <c r="AE148" i="12"/>
  <c r="AD1110" i="12"/>
  <c r="AC1108" i="12"/>
  <c r="P695" i="12"/>
  <c r="T693" i="12"/>
  <c r="P693" i="12" s="1"/>
  <c r="O286" i="10"/>
  <c r="N287" i="10"/>
  <c r="V298" i="10"/>
  <c r="R306" i="10"/>
  <c r="AF743" i="12"/>
  <c r="AE744" i="12"/>
  <c r="P475" i="12"/>
  <c r="T474" i="12"/>
  <c r="P678" i="12"/>
  <c r="T676" i="12"/>
  <c r="AC1505" i="12"/>
  <c r="AD1506" i="12"/>
  <c r="AA301" i="12"/>
  <c r="AE301" i="12"/>
  <c r="M472" i="12"/>
  <c r="L474" i="12"/>
  <c r="N329" i="10"/>
  <c r="O327" i="10"/>
  <c r="AA48" i="12"/>
  <c r="AD48" i="12"/>
  <c r="J862" i="12"/>
  <c r="K863" i="12"/>
  <c r="J1108" i="12"/>
  <c r="K1108" i="12" s="1"/>
  <c r="K1110" i="12"/>
  <c r="Y1285" i="12"/>
  <c r="Z1286" i="12"/>
  <c r="L2512" i="12"/>
  <c r="M2510" i="12"/>
  <c r="L2510" i="12" s="1"/>
  <c r="AD1751" i="12"/>
  <c r="AC1750" i="12"/>
  <c r="AF2080" i="12"/>
  <c r="AE2080" i="12" s="1"/>
  <c r="AE2081" i="12"/>
  <c r="AD407" i="12"/>
  <c r="AC405" i="12"/>
  <c r="AB2233" i="12"/>
  <c r="AA2233" i="12" s="1"/>
  <c r="AA2234" i="12"/>
  <c r="AA2075" i="12"/>
  <c r="AE2075" i="12"/>
  <c r="AD2236" i="12"/>
  <c r="AC2235" i="12"/>
  <c r="AD2235" i="12" s="1"/>
  <c r="M1108" i="12"/>
  <c r="L1108" i="12" s="1"/>
  <c r="L1110" i="12"/>
  <c r="AD1864" i="12"/>
  <c r="AC1863" i="12"/>
  <c r="AA833" i="12"/>
  <c r="AD833" i="12"/>
  <c r="AA2404" i="12"/>
  <c r="AE2404" i="12"/>
  <c r="AD2404" i="12"/>
  <c r="Y894" i="12"/>
  <c r="Y892" i="12" s="1"/>
  <c r="Z892" i="12" s="1"/>
  <c r="AD1238" i="12"/>
  <c r="Z1346" i="12"/>
  <c r="AD109" i="12"/>
  <c r="AD1002" i="12"/>
  <c r="AD919" i="12"/>
  <c r="AE1113" i="12"/>
  <c r="AE1002" i="12"/>
  <c r="AF1035" i="12"/>
  <c r="AE1035" i="12" s="1"/>
  <c r="M522" i="10"/>
  <c r="M518" i="10" s="1"/>
  <c r="AE476" i="12"/>
  <c r="AE1077" i="12"/>
  <c r="AD164" i="12"/>
  <c r="AD1015" i="12"/>
  <c r="AE2208" i="12"/>
  <c r="V133" i="10"/>
  <c r="Z2514" i="12"/>
  <c r="AA1286" i="12"/>
  <c r="Y1134" i="12"/>
  <c r="Y1132" i="12" s="1"/>
  <c r="AD1434" i="12"/>
  <c r="AD228" i="12"/>
  <c r="AD1077" i="12"/>
  <c r="AE1739" i="12"/>
  <c r="AD476" i="12"/>
  <c r="AE788" i="12"/>
  <c r="AE337" i="12"/>
  <c r="Y862" i="12"/>
  <c r="AE938" i="12"/>
  <c r="AE280" i="12"/>
  <c r="AE574" i="12"/>
  <c r="AD1386" i="12"/>
  <c r="AE2156" i="12"/>
  <c r="AB1542" i="12"/>
  <c r="AE1542" i="12" s="1"/>
  <c r="AD2070" i="12"/>
  <c r="AE949" i="12"/>
  <c r="AD1345" i="12"/>
  <c r="AA2515" i="12"/>
  <c r="O245" i="10" l="1"/>
  <c r="N247" i="10"/>
  <c r="AA2476" i="12"/>
  <c r="M2474" i="12"/>
  <c r="L2474" i="12" s="1"/>
  <c r="L2476" i="12"/>
  <c r="I1134" i="12"/>
  <c r="I1132" i="12" s="1"/>
  <c r="I1131" i="12" s="1"/>
  <c r="I2593" i="12" s="1"/>
  <c r="I2595" i="12" s="1"/>
  <c r="K1174" i="12"/>
  <c r="L1174" i="12"/>
  <c r="AD1134" i="12"/>
  <c r="P1365" i="12"/>
  <c r="Z2080" i="12"/>
  <c r="Z1863" i="12" s="1"/>
  <c r="N1365" i="12"/>
  <c r="P1454" i="12"/>
  <c r="R431" i="10"/>
  <c r="V429" i="10"/>
  <c r="R429" i="10" s="1"/>
  <c r="M471" i="12"/>
  <c r="L471" i="12" s="1"/>
  <c r="L472" i="12"/>
  <c r="AD1505" i="12"/>
  <c r="AC1503" i="12"/>
  <c r="AC1504" i="12"/>
  <c r="AD1504" i="12" s="1"/>
  <c r="R298" i="10"/>
  <c r="V296" i="10"/>
  <c r="R296" i="10" s="1"/>
  <c r="AA1503" i="12"/>
  <c r="AB1501" i="12"/>
  <c r="AC11" i="12"/>
  <c r="AD14" i="12"/>
  <c r="K474" i="12"/>
  <c r="J472" i="12"/>
  <c r="L250" i="8"/>
  <c r="K221" i="8"/>
  <c r="AD1185" i="12"/>
  <c r="AC1183" i="12"/>
  <c r="AF1714" i="12"/>
  <c r="AE1716" i="12"/>
  <c r="L11" i="12"/>
  <c r="L438" i="10"/>
  <c r="M438" i="10" s="1"/>
  <c r="M440" i="10"/>
  <c r="Y10" i="12"/>
  <c r="Z11" i="12"/>
  <c r="T1283" i="12"/>
  <c r="N122" i="10"/>
  <c r="AE1691" i="12"/>
  <c r="AD1691" i="12"/>
  <c r="V613" i="12"/>
  <c r="AA613" i="12" s="1"/>
  <c r="V614" i="12"/>
  <c r="AA614" i="12" s="1"/>
  <c r="AA615" i="12"/>
  <c r="T1748" i="12"/>
  <c r="P1750" i="12"/>
  <c r="K374" i="12"/>
  <c r="J372" i="12"/>
  <c r="K372" i="12" s="1"/>
  <c r="AF1863" i="12"/>
  <c r="AE1864" i="12"/>
  <c r="T860" i="12"/>
  <c r="P862" i="12"/>
  <c r="J1503" i="12"/>
  <c r="K1505" i="12"/>
  <c r="AE707" i="12"/>
  <c r="AF699" i="12"/>
  <c r="AC892" i="12"/>
  <c r="AD892" i="12" s="1"/>
  <c r="AD894" i="12"/>
  <c r="AE2154" i="12"/>
  <c r="AA2537" i="12"/>
  <c r="Z2537" i="12"/>
  <c r="AA2069" i="12"/>
  <c r="AA1863" i="12" s="1"/>
  <c r="AE2069" i="12"/>
  <c r="AB1863" i="12"/>
  <c r="AB1319" i="12"/>
  <c r="AA1344" i="12"/>
  <c r="M859" i="12"/>
  <c r="L859" i="12" s="1"/>
  <c r="L860" i="12"/>
  <c r="Z239" i="12"/>
  <c r="Y237" i="12"/>
  <c r="V350" i="12"/>
  <c r="Z352" i="12"/>
  <c r="AB1234" i="12"/>
  <c r="AA1234" i="12" s="1"/>
  <c r="AA1236" i="12"/>
  <c r="M615" i="12"/>
  <c r="L616" i="12"/>
  <c r="Y372" i="12"/>
  <c r="Z372" i="12" s="1"/>
  <c r="Z374" i="12"/>
  <c r="M327" i="10"/>
  <c r="L325" i="10"/>
  <c r="R368" i="10"/>
  <c r="V358" i="10"/>
  <c r="R358" i="10" s="1"/>
  <c r="M5" i="10"/>
  <c r="AA1716" i="12"/>
  <c r="AB1714" i="12"/>
  <c r="AB180" i="12"/>
  <c r="AA180" i="12" s="1"/>
  <c r="AA182" i="12"/>
  <c r="P407" i="12"/>
  <c r="T405" i="12"/>
  <c r="P405" i="12" s="1"/>
  <c r="T2152" i="12"/>
  <c r="P2154" i="12"/>
  <c r="T236" i="12"/>
  <c r="P236" i="12" s="1"/>
  <c r="P237" i="12"/>
  <c r="L244" i="10"/>
  <c r="M244" i="10" s="1"/>
  <c r="M245" i="10"/>
  <c r="AB1748" i="12"/>
  <c r="AD2474" i="12"/>
  <c r="V743" i="12"/>
  <c r="V740" i="12" s="1"/>
  <c r="V471" i="12" s="1"/>
  <c r="L283" i="10"/>
  <c r="AA788" i="12"/>
  <c r="AE2577" i="12"/>
  <c r="Z862" i="12"/>
  <c r="Y860" i="12"/>
  <c r="Z1132" i="12"/>
  <c r="T472" i="12"/>
  <c r="P474" i="12"/>
  <c r="Z1716" i="12"/>
  <c r="Y1714" i="12"/>
  <c r="AA2154" i="12"/>
  <c r="AB2152" i="12"/>
  <c r="J1234" i="12"/>
  <c r="K1236" i="12"/>
  <c r="K1234" i="12" s="1"/>
  <c r="M1680" i="12"/>
  <c r="L1680" i="12" s="1"/>
  <c r="L1682" i="12"/>
  <c r="M313" i="10"/>
  <c r="AE1690" i="12"/>
  <c r="AF1682" i="12"/>
  <c r="AA39" i="9"/>
  <c r="AB38" i="9"/>
  <c r="AA38" i="9" s="1"/>
  <c r="V2579" i="12"/>
  <c r="Z2581" i="12"/>
  <c r="AA2581" i="12"/>
  <c r="AA1691" i="12"/>
  <c r="AA1690" i="12"/>
  <c r="K1134" i="12"/>
  <c r="K1132" i="12" s="1"/>
  <c r="K1131" i="12" s="1"/>
  <c r="J1132" i="12"/>
  <c r="J1131" i="12" s="1"/>
  <c r="AA266" i="12"/>
  <c r="AD266" i="12"/>
  <c r="AE266" i="12"/>
  <c r="J1714" i="12"/>
  <c r="K1716" i="12"/>
  <c r="K1748" i="12"/>
  <c r="J1746" i="12"/>
  <c r="K1746" i="12" s="1"/>
  <c r="T2577" i="12"/>
  <c r="P2577" i="12" s="1"/>
  <c r="P2579" i="12"/>
  <c r="J221" i="8"/>
  <c r="M221" i="8" s="1"/>
  <c r="M250" i="8"/>
  <c r="L429" i="10"/>
  <c r="M431" i="10"/>
  <c r="AF1234" i="12"/>
  <c r="AE1236" i="12"/>
  <c r="AD743" i="12"/>
  <c r="AC740" i="12"/>
  <c r="T1501" i="12"/>
  <c r="P1503" i="12"/>
  <c r="AA2538" i="12"/>
  <c r="Z2538" i="12"/>
  <c r="AA2070" i="12"/>
  <c r="AE2070" i="12"/>
  <c r="Z472" i="12"/>
  <c r="P924" i="12"/>
  <c r="P894" i="12" s="1"/>
  <c r="T894" i="12"/>
  <c r="V32" i="10"/>
  <c r="R32" i="10" s="1"/>
  <c r="R33" i="10"/>
  <c r="T1132" i="12"/>
  <c r="P1134" i="12"/>
  <c r="AE1283" i="12"/>
  <c r="T1319" i="12"/>
  <c r="P1344" i="12"/>
  <c r="V283" i="10"/>
  <c r="R283" i="10" s="1"/>
  <c r="R284" i="10"/>
  <c r="O701" i="10"/>
  <c r="N703" i="10"/>
  <c r="AF372" i="12"/>
  <c r="AE374" i="12"/>
  <c r="AC237" i="12"/>
  <c r="P1682" i="12"/>
  <c r="T1680" i="12"/>
  <c r="P1680" i="12" s="1"/>
  <c r="AC2152" i="12"/>
  <c r="AD2154" i="12"/>
  <c r="V327" i="10"/>
  <c r="R335" i="10"/>
  <c r="AF180" i="12"/>
  <c r="AE180" i="12" s="1"/>
  <c r="AE182" i="12"/>
  <c r="AE1750" i="12"/>
  <c r="AF1748" i="12"/>
  <c r="N1285" i="12"/>
  <c r="N1283" i="12" s="1"/>
  <c r="P1286" i="12"/>
  <c r="R109" i="10"/>
  <c r="V107" i="10"/>
  <c r="R107" i="10" s="1"/>
  <c r="R860" i="10"/>
  <c r="V858" i="10"/>
  <c r="R858" i="10" s="1"/>
  <c r="M1132" i="12"/>
  <c r="L1134" i="12"/>
  <c r="L1132" i="12" s="1"/>
  <c r="AB472" i="12"/>
  <c r="AD472" i="12" s="1"/>
  <c r="AA474" i="12"/>
  <c r="AD180" i="12"/>
  <c r="AE505" i="12"/>
  <c r="AB239" i="12"/>
  <c r="AD1013" i="12"/>
  <c r="AD674" i="12"/>
  <c r="Z1344" i="12"/>
  <c r="T1035" i="12"/>
  <c r="P1035" i="12" s="1"/>
  <c r="AA350" i="12"/>
  <c r="V701" i="10"/>
  <c r="R133" i="10"/>
  <c r="Z1285" i="12"/>
  <c r="Y1283" i="12"/>
  <c r="K862" i="12"/>
  <c r="J860" i="12"/>
  <c r="AF740" i="12"/>
  <c r="AE743" i="12"/>
  <c r="O284" i="10"/>
  <c r="O283" i="10" s="1"/>
  <c r="Z2476" i="12"/>
  <c r="Y2474" i="12"/>
  <c r="Z2474" i="12" s="1"/>
  <c r="L182" i="12"/>
  <c r="M180" i="12"/>
  <c r="L180" i="12" s="1"/>
  <c r="L1716" i="12"/>
  <c r="M1714" i="12"/>
  <c r="K286" i="10"/>
  <c r="M287" i="10"/>
  <c r="AF860" i="12"/>
  <c r="AE862" i="12"/>
  <c r="AE1503" i="12"/>
  <c r="AF1501" i="12"/>
  <c r="AF892" i="12"/>
  <c r="AE892" i="12" s="1"/>
  <c r="AE894" i="12"/>
  <c r="AB10" i="12"/>
  <c r="AA11" i="12"/>
  <c r="N6" i="10"/>
  <c r="O5" i="10"/>
  <c r="J1680" i="12"/>
  <c r="K1680" i="12" s="1"/>
  <c r="K1682" i="12"/>
  <c r="AC1317" i="12"/>
  <c r="AD1319" i="12"/>
  <c r="Z2582" i="12"/>
  <c r="AA2582" i="12"/>
  <c r="AB1682" i="12"/>
  <c r="AD1690" i="12"/>
  <c r="K2154" i="12"/>
  <c r="J2152" i="12"/>
  <c r="L858" i="10"/>
  <c r="M858" i="10" s="1"/>
  <c r="M860" i="10"/>
  <c r="R196" i="10"/>
  <c r="V183" i="10"/>
  <c r="R183" i="10" s="1"/>
  <c r="Z743" i="12"/>
  <c r="Y740" i="12"/>
  <c r="Z740" i="12" s="1"/>
  <c r="AF1108" i="12"/>
  <c r="AE1110" i="12"/>
  <c r="Y1185" i="12"/>
  <c r="Z1186" i="12"/>
  <c r="V244" i="10"/>
  <c r="R244" i="10" s="1"/>
  <c r="R245" i="10"/>
  <c r="AC860" i="12"/>
  <c r="AD862" i="12"/>
  <c r="AA1132" i="12"/>
  <c r="L1285" i="12"/>
  <c r="M1283" i="12"/>
  <c r="AA707" i="12"/>
  <c r="AB699" i="12"/>
  <c r="AA699" i="12" s="1"/>
  <c r="R98" i="10"/>
  <c r="V96" i="10"/>
  <c r="R96" i="10" s="1"/>
  <c r="K505" i="12"/>
  <c r="J503" i="12"/>
  <c r="K503" i="12" s="1"/>
  <c r="O32" i="10"/>
  <c r="N33" i="10"/>
  <c r="N1319" i="12"/>
  <c r="N1317" i="12" s="1"/>
  <c r="N1315" i="12" s="1"/>
  <c r="P1338" i="12"/>
  <c r="T164" i="12"/>
  <c r="P166" i="12"/>
  <c r="K1319" i="12"/>
  <c r="J1317" i="12"/>
  <c r="AA279" i="12"/>
  <c r="AD279" i="12"/>
  <c r="Z1503" i="12"/>
  <c r="Y1501" i="12"/>
  <c r="AC372" i="12"/>
  <c r="AD374" i="12"/>
  <c r="L1319" i="12"/>
  <c r="M1317" i="12"/>
  <c r="AF407" i="12"/>
  <c r="AE408" i="12"/>
  <c r="AF2510" i="12"/>
  <c r="AE2512" i="12"/>
  <c r="Z617" i="12"/>
  <c r="Y616" i="12"/>
  <c r="Z1319" i="12"/>
  <c r="Y1317" i="12"/>
  <c r="R408" i="10"/>
  <c r="V406" i="10"/>
  <c r="R406" i="10" s="1"/>
  <c r="P1716" i="12"/>
  <c r="T1714" i="12"/>
  <c r="AA2474" i="12"/>
  <c r="AF503" i="12"/>
  <c r="AA789" i="12"/>
  <c r="AB6" i="9"/>
  <c r="AA6" i="9" s="1"/>
  <c r="AD1542" i="12"/>
  <c r="K892" i="12"/>
  <c r="AE1013" i="12"/>
  <c r="M1748" i="12"/>
  <c r="AF2233" i="12"/>
  <c r="AF2152" i="12" s="1"/>
  <c r="AF14" i="12"/>
  <c r="Z2512" i="12"/>
  <c r="AD699" i="12"/>
  <c r="AA352" i="12"/>
  <c r="O131" i="10"/>
  <c r="N131" i="10" s="1"/>
  <c r="AD1750" i="12"/>
  <c r="AC1748" i="12"/>
  <c r="O325" i="10"/>
  <c r="N327" i="10"/>
  <c r="P676" i="12"/>
  <c r="T674" i="12"/>
  <c r="K2512" i="12"/>
  <c r="J2510" i="12"/>
  <c r="K2510" i="12" s="1"/>
  <c r="J1283" i="12"/>
  <c r="K1285" i="12"/>
  <c r="Z1751" i="12"/>
  <c r="Y1750" i="12"/>
  <c r="AB860" i="12"/>
  <c r="AA862" i="12"/>
  <c r="L699" i="10"/>
  <c r="M699" i="10" s="1"/>
  <c r="M701" i="10"/>
  <c r="AF1317" i="12"/>
  <c r="AE1319" i="12"/>
  <c r="AB2510" i="12"/>
  <c r="AA2510" i="12" s="1"/>
  <c r="AA2512" i="12"/>
  <c r="J180" i="12"/>
  <c r="K182" i="12"/>
  <c r="K180" i="12" s="1"/>
  <c r="AD267" i="12"/>
  <c r="AE267" i="12"/>
  <c r="AB372" i="12"/>
  <c r="AA372" i="12" s="1"/>
  <c r="AA374" i="12"/>
  <c r="AA407" i="12"/>
  <c r="AB405" i="12"/>
  <c r="AA405" i="12" s="1"/>
  <c r="AA1283" i="12"/>
  <c r="AD1132" i="12"/>
  <c r="AF472" i="12"/>
  <c r="AE474" i="12"/>
  <c r="AB1108" i="12"/>
  <c r="AA1108" i="12" s="1"/>
  <c r="AA1110" i="12"/>
  <c r="T740" i="12"/>
  <c r="P740" i="12" s="1"/>
  <c r="P743" i="12"/>
  <c r="AD1285" i="12"/>
  <c r="AC1283" i="12"/>
  <c r="J10" i="12"/>
  <c r="K11" i="12"/>
  <c r="M372" i="12"/>
  <c r="L372" i="12" s="1"/>
  <c r="L374" i="12"/>
  <c r="V5" i="10"/>
  <c r="R6" i="10"/>
  <c r="L121" i="10"/>
  <c r="M121" i="10" s="1"/>
  <c r="M122" i="10"/>
  <c r="AB740" i="12"/>
  <c r="AA740" i="12" s="1"/>
  <c r="AA743" i="12"/>
  <c r="M1236" i="12"/>
  <c r="L1237" i="12"/>
  <c r="M2152" i="12"/>
  <c r="L2154" i="12"/>
  <c r="AD505" i="12"/>
  <c r="AC503" i="12"/>
  <c r="M237" i="12"/>
  <c r="L239" i="12"/>
  <c r="R514" i="10"/>
  <c r="V442" i="10"/>
  <c r="P621" i="12"/>
  <c r="T617" i="12"/>
  <c r="AF1134" i="12"/>
  <c r="AE1135" i="12"/>
  <c r="AF164" i="12"/>
  <c r="AE164" i="12" s="1"/>
  <c r="AE166" i="12"/>
  <c r="AB1183" i="12"/>
  <c r="AA1183" i="12" s="1"/>
  <c r="AA1185" i="12"/>
  <c r="AA280" i="12"/>
  <c r="AD280" i="12"/>
  <c r="O408" i="10"/>
  <c r="N410" i="10"/>
  <c r="AB503" i="12"/>
  <c r="AA503" i="12" s="1"/>
  <c r="AA505" i="12"/>
  <c r="J237" i="12"/>
  <c r="K237" i="12" s="1"/>
  <c r="K239" i="12"/>
  <c r="Z1110" i="12"/>
  <c r="Y1108" i="12"/>
  <c r="Z1108" i="12" s="1"/>
  <c r="N440" i="10"/>
  <c r="O438" i="10"/>
  <c r="Y2152" i="12"/>
  <c r="Z2154" i="12"/>
  <c r="AF1183" i="12"/>
  <c r="AE1183" i="12" s="1"/>
  <c r="AE1185" i="12"/>
  <c r="AD1716" i="12"/>
  <c r="AC1714" i="12"/>
  <c r="R122" i="10"/>
  <c r="AC1234" i="12"/>
  <c r="AD1234" i="12" s="1"/>
  <c r="AD1236" i="12"/>
  <c r="P374" i="12"/>
  <c r="T372" i="12"/>
  <c r="P372" i="12" s="1"/>
  <c r="AF237" i="12"/>
  <c r="AE239" i="12"/>
  <c r="R613" i="10"/>
  <c r="V612" i="10"/>
  <c r="R612" i="10" s="1"/>
  <c r="M410" i="10"/>
  <c r="L408" i="10"/>
  <c r="AD1863" i="12"/>
  <c r="AD1108" i="12"/>
  <c r="Y503" i="12"/>
  <c r="Z503" i="12" s="1"/>
  <c r="AE1504" i="12"/>
  <c r="AA14" i="12"/>
  <c r="AD1365" i="12"/>
  <c r="AD2512" i="12"/>
  <c r="AD2233" i="12"/>
  <c r="J892" i="12"/>
  <c r="M1501" i="12"/>
  <c r="AE1365" i="12"/>
  <c r="AD2577" i="12"/>
  <c r="AE2233" i="12"/>
  <c r="AE14" i="12"/>
  <c r="Z2510" i="12"/>
  <c r="AE2474" i="12"/>
  <c r="AE1234" i="12" l="1"/>
  <c r="AD503" i="12"/>
  <c r="O244" i="10"/>
  <c r="N244" i="10" s="1"/>
  <c r="N245" i="10"/>
  <c r="AF2150" i="12"/>
  <c r="AE2152" i="12"/>
  <c r="N408" i="10"/>
  <c r="O406" i="10"/>
  <c r="N406" i="10" s="1"/>
  <c r="AF1132" i="12"/>
  <c r="AE1134" i="12"/>
  <c r="M1234" i="12"/>
  <c r="L1236" i="12"/>
  <c r="L1234" i="12" s="1"/>
  <c r="N325" i="10"/>
  <c r="O323" i="10"/>
  <c r="Y615" i="12"/>
  <c r="Z616" i="12"/>
  <c r="L1283" i="12"/>
  <c r="K2152" i="12"/>
  <c r="J2150" i="12"/>
  <c r="K2150" i="12" s="1"/>
  <c r="AE1501" i="12"/>
  <c r="AF1499" i="12"/>
  <c r="J859" i="12"/>
  <c r="K859" i="12" s="1"/>
  <c r="K860" i="12"/>
  <c r="AA239" i="12"/>
  <c r="AB237" i="12"/>
  <c r="V325" i="10"/>
  <c r="R327" i="10"/>
  <c r="L428" i="10"/>
  <c r="M428" i="10" s="1"/>
  <c r="M429" i="10"/>
  <c r="K1714" i="12"/>
  <c r="J1713" i="12"/>
  <c r="K1713" i="12" s="1"/>
  <c r="AA1714" i="12"/>
  <c r="Z237" i="12"/>
  <c r="Y236" i="12"/>
  <c r="P860" i="12"/>
  <c r="K472" i="12"/>
  <c r="J471" i="12"/>
  <c r="K471" i="12" s="1"/>
  <c r="AA1501" i="12"/>
  <c r="AB1499" i="12"/>
  <c r="AA1499" i="12" s="1"/>
  <c r="AC1131" i="12"/>
  <c r="V131" i="10"/>
  <c r="AD405" i="12"/>
  <c r="M1131" i="12"/>
  <c r="AE372" i="12"/>
  <c r="Y471" i="12"/>
  <c r="Z471" i="12" s="1"/>
  <c r="AD1183" i="12"/>
  <c r="L1501" i="12"/>
  <c r="M1499" i="12"/>
  <c r="L1499" i="12" s="1"/>
  <c r="N438" i="10"/>
  <c r="V440" i="10"/>
  <c r="R442" i="10"/>
  <c r="AD1283" i="12"/>
  <c r="Z1750" i="12"/>
  <c r="Y1748" i="12"/>
  <c r="AA1682" i="12"/>
  <c r="AB1680" i="12"/>
  <c r="AD1682" i="12"/>
  <c r="AC1315" i="12"/>
  <c r="AF859" i="12"/>
  <c r="AE860" i="12"/>
  <c r="AF1746" i="12"/>
  <c r="AE1748" i="12"/>
  <c r="Z1714" i="12"/>
  <c r="T2150" i="12"/>
  <c r="P2150" i="12" s="1"/>
  <c r="P2152" i="12"/>
  <c r="M613" i="12"/>
  <c r="L613" i="12" s="1"/>
  <c r="L615" i="12"/>
  <c r="V236" i="12"/>
  <c r="Z350" i="12"/>
  <c r="P1283" i="12"/>
  <c r="AF1713" i="12"/>
  <c r="AE1714" i="12"/>
  <c r="AC10" i="12"/>
  <c r="AD11" i="12"/>
  <c r="AF11" i="12"/>
  <c r="AE503" i="12"/>
  <c r="AE2510" i="12"/>
  <c r="AC471" i="12"/>
  <c r="AE740" i="12"/>
  <c r="L1131" i="12"/>
  <c r="AD740" i="12"/>
  <c r="AD2510" i="12"/>
  <c r="AE699" i="12"/>
  <c r="AF236" i="12"/>
  <c r="AE237" i="12"/>
  <c r="Y2150" i="12"/>
  <c r="Z2150" i="12" s="1"/>
  <c r="Z2152" i="12"/>
  <c r="M236" i="12"/>
  <c r="L237" i="12"/>
  <c r="M2150" i="12"/>
  <c r="L2150" i="12" s="1"/>
  <c r="L2152" i="12"/>
  <c r="R5" i="10"/>
  <c r="K10" i="12"/>
  <c r="AF471" i="12"/>
  <c r="AE472" i="12"/>
  <c r="AF1315" i="12"/>
  <c r="AA860" i="12"/>
  <c r="AB859" i="12"/>
  <c r="AA859" i="12" s="1"/>
  <c r="K1283" i="12"/>
  <c r="P1714" i="12"/>
  <c r="Y1315" i="12"/>
  <c r="Z1315" i="12" s="1"/>
  <c r="Z1317" i="12"/>
  <c r="M1315" i="12"/>
  <c r="L1315" i="12" s="1"/>
  <c r="L1317" i="12"/>
  <c r="Z1501" i="12"/>
  <c r="Y1499" i="12"/>
  <c r="Z1499" i="12" s="1"/>
  <c r="K1317" i="12"/>
  <c r="J1315" i="12"/>
  <c r="K1315" i="12" s="1"/>
  <c r="N5" i="10"/>
  <c r="L1714" i="12"/>
  <c r="Z1283" i="12"/>
  <c r="Y1282" i="12"/>
  <c r="Z1282" i="12" s="1"/>
  <c r="R701" i="10"/>
  <c r="V699" i="10"/>
  <c r="R699" i="10" s="1"/>
  <c r="AB471" i="12"/>
  <c r="AA471" i="12" s="1"/>
  <c r="AA472" i="12"/>
  <c r="AC2150" i="12"/>
  <c r="AD2152" i="12"/>
  <c r="N701" i="10"/>
  <c r="O699" i="10"/>
  <c r="N699" i="10" s="1"/>
  <c r="T1317" i="12"/>
  <c r="P1319" i="12"/>
  <c r="P1132" i="12"/>
  <c r="T1131" i="12"/>
  <c r="P1131" i="12" s="1"/>
  <c r="T1499" i="12"/>
  <c r="P1499" i="12" s="1"/>
  <c r="P1501" i="12"/>
  <c r="V2577" i="12"/>
  <c r="Z2579" i="12"/>
  <c r="AA2579" i="12"/>
  <c r="P472" i="12"/>
  <c r="L323" i="10"/>
  <c r="M325" i="10"/>
  <c r="K1503" i="12"/>
  <c r="J1501" i="12"/>
  <c r="T1746" i="12"/>
  <c r="P1746" i="12" s="1"/>
  <c r="P1748" i="12"/>
  <c r="AB1131" i="12"/>
  <c r="AA1131" i="12" s="1"/>
  <c r="N1282" i="12"/>
  <c r="N2593" i="12" s="1"/>
  <c r="N2595" i="12" s="1"/>
  <c r="AD239" i="12"/>
  <c r="AE1863" i="12"/>
  <c r="P1285" i="12"/>
  <c r="L221" i="8"/>
  <c r="L406" i="10"/>
  <c r="M406" i="10" s="1"/>
  <c r="M408" i="10"/>
  <c r="AD1714" i="12"/>
  <c r="T616" i="12"/>
  <c r="P617" i="12"/>
  <c r="P674" i="12"/>
  <c r="T503" i="12"/>
  <c r="P503" i="12" s="1"/>
  <c r="AD1748" i="12"/>
  <c r="AC1746" i="12"/>
  <c r="AC1713" i="12" s="1"/>
  <c r="L1748" i="12"/>
  <c r="M1746" i="12"/>
  <c r="L1746" i="12" s="1"/>
  <c r="AE407" i="12"/>
  <c r="AF405" i="12"/>
  <c r="AE405" i="12" s="1"/>
  <c r="P164" i="12"/>
  <c r="T11" i="12"/>
  <c r="AC859" i="12"/>
  <c r="AD859" i="12" s="1"/>
  <c r="AD860" i="12"/>
  <c r="Z1185" i="12"/>
  <c r="Y1183" i="12"/>
  <c r="AA10" i="12"/>
  <c r="K284" i="10"/>
  <c r="K283" i="10" s="1"/>
  <c r="K874" i="10" s="1"/>
  <c r="K876" i="10" s="1"/>
  <c r="M286" i="10"/>
  <c r="M284" i="10" s="1"/>
  <c r="M283" i="10" s="1"/>
  <c r="AD237" i="12"/>
  <c r="AC236" i="12"/>
  <c r="AF1680" i="12"/>
  <c r="AE1680" i="12" s="1"/>
  <c r="AE1682" i="12"/>
  <c r="AB2150" i="12"/>
  <c r="AA2150" i="12" s="1"/>
  <c r="AA2152" i="12"/>
  <c r="Y859" i="12"/>
  <c r="Z859" i="12" s="1"/>
  <c r="Z860" i="12"/>
  <c r="AB1746" i="12"/>
  <c r="AA1746" i="12" s="1"/>
  <c r="AA1748" i="12"/>
  <c r="AB1317" i="12"/>
  <c r="AA1319" i="12"/>
  <c r="Z10" i="12"/>
  <c r="AD1503" i="12"/>
  <c r="AC1501" i="12"/>
  <c r="AD372" i="12"/>
  <c r="AE1108" i="12"/>
  <c r="N286" i="10"/>
  <c r="N284" i="10" s="1"/>
  <c r="N283" i="10" s="1"/>
  <c r="T892" i="12"/>
  <c r="P892" i="12" s="1"/>
  <c r="O121" i="10"/>
  <c r="N121" i="10" s="1"/>
  <c r="M10" i="12"/>
  <c r="AB1315" i="12" l="1"/>
  <c r="AA1317" i="12"/>
  <c r="AD1501" i="12"/>
  <c r="AC1499" i="12"/>
  <c r="AD1499" i="12" s="1"/>
  <c r="L10" i="12"/>
  <c r="AD10" i="12"/>
  <c r="AA1680" i="12"/>
  <c r="AD1680" i="12"/>
  <c r="AF1131" i="12"/>
  <c r="AE1131" i="12" s="1"/>
  <c r="AE1132" i="12"/>
  <c r="AD1746" i="12"/>
  <c r="AE859" i="12"/>
  <c r="O428" i="10"/>
  <c r="N428" i="10" s="1"/>
  <c r="AB1713" i="12"/>
  <c r="AE2150" i="12"/>
  <c r="K1501" i="12"/>
  <c r="J1499" i="12"/>
  <c r="Z2577" i="12"/>
  <c r="AA2577" i="12"/>
  <c r="V1713" i="12"/>
  <c r="AE1315" i="12"/>
  <c r="AF1282" i="12"/>
  <c r="R440" i="10"/>
  <c r="V438" i="10"/>
  <c r="AB236" i="12"/>
  <c r="AA237" i="12"/>
  <c r="N323" i="10"/>
  <c r="O312" i="10"/>
  <c r="N312" i="10" s="1"/>
  <c r="N874" i="10" s="1"/>
  <c r="T471" i="12"/>
  <c r="P471" i="12" s="1"/>
  <c r="AD471" i="12"/>
  <c r="T859" i="12"/>
  <c r="P859" i="12" s="1"/>
  <c r="AE1499" i="12"/>
  <c r="M1282" i="12"/>
  <c r="L1282" i="12" s="1"/>
  <c r="Z1183" i="12"/>
  <c r="Y1131" i="12"/>
  <c r="Z1131" i="12" s="1"/>
  <c r="P11" i="12"/>
  <c r="T10" i="12"/>
  <c r="M323" i="10"/>
  <c r="L312" i="10"/>
  <c r="AF10" i="12"/>
  <c r="AE11" i="12"/>
  <c r="Z1748" i="12"/>
  <c r="Y1746" i="12"/>
  <c r="R325" i="10"/>
  <c r="V323" i="10"/>
  <c r="Y613" i="12"/>
  <c r="Z613" i="12" s="1"/>
  <c r="Y614" i="12"/>
  <c r="Z614" i="12" s="1"/>
  <c r="Z615" i="12"/>
  <c r="AD1713" i="12"/>
  <c r="O874" i="10"/>
  <c r="O876" i="10" s="1"/>
  <c r="AE1317" i="12"/>
  <c r="AE1713" i="12"/>
  <c r="V2593" i="12"/>
  <c r="V2595" i="12" s="1"/>
  <c r="AE1746" i="12"/>
  <c r="AD1315" i="12"/>
  <c r="AD1131" i="12"/>
  <c r="P616" i="12"/>
  <c r="T615" i="12"/>
  <c r="P1317" i="12"/>
  <c r="T1315" i="12"/>
  <c r="R131" i="10"/>
  <c r="V121" i="10"/>
  <c r="AD2150" i="12"/>
  <c r="M1713" i="12"/>
  <c r="L1713" i="12" s="1"/>
  <c r="T1713" i="12"/>
  <c r="P1713" i="12" s="1"/>
  <c r="AE471" i="12"/>
  <c r="AE236" i="12"/>
  <c r="AD1317" i="12"/>
  <c r="Z236" i="12"/>
  <c r="AA1713" i="12" l="1"/>
  <c r="P1315" i="12"/>
  <c r="T1282" i="12"/>
  <c r="P1282" i="12" s="1"/>
  <c r="AE10" i="12"/>
  <c r="AF2593" i="12"/>
  <c r="AA236" i="12"/>
  <c r="K1499" i="12"/>
  <c r="J1282" i="12"/>
  <c r="AC1282" i="12"/>
  <c r="R323" i="10"/>
  <c r="V312" i="10"/>
  <c r="R312" i="10" s="1"/>
  <c r="P10" i="12"/>
  <c r="T2593" i="12"/>
  <c r="AA1315" i="12"/>
  <c r="AB1282" i="12"/>
  <c r="AA1282" i="12" s="1"/>
  <c r="AD236" i="12"/>
  <c r="L2593" i="12"/>
  <c r="P615" i="12"/>
  <c r="T613" i="12"/>
  <c r="P613" i="12" s="1"/>
  <c r="M2593" i="12"/>
  <c r="M2595" i="12" s="1"/>
  <c r="R121" i="10"/>
  <c r="Z1746" i="12"/>
  <c r="Y1713" i="12"/>
  <c r="M312" i="10"/>
  <c r="L874" i="10"/>
  <c r="R438" i="10"/>
  <c r="V428" i="10"/>
  <c r="R428" i="10" s="1"/>
  <c r="AE1282" i="12" l="1"/>
  <c r="T2595" i="12"/>
  <c r="P2595" i="12" s="1"/>
  <c r="P2593" i="12"/>
  <c r="AD1282" i="12"/>
  <c r="AC2593" i="12"/>
  <c r="AB2593" i="12"/>
  <c r="Z1713" i="12"/>
  <c r="Y2593" i="12"/>
  <c r="L876" i="10"/>
  <c r="M874" i="10"/>
  <c r="M876" i="10" s="1"/>
  <c r="V874" i="10"/>
  <c r="K1282" i="12"/>
  <c r="J2593" i="12"/>
  <c r="AF2595" i="12"/>
  <c r="AB2595" i="12" l="1"/>
  <c r="AA2595" i="12" s="1"/>
  <c r="AA2593" i="12"/>
  <c r="V876" i="10"/>
  <c r="R876" i="10" s="1"/>
  <c r="R874" i="10"/>
  <c r="Z2593" i="12"/>
  <c r="Y2595" i="12"/>
  <c r="AE2593" i="12"/>
  <c r="J2595" i="12"/>
  <c r="K2593" i="12"/>
  <c r="K2595" i="12" s="1"/>
  <c r="AD2593" i="12"/>
  <c r="AC2595" i="12"/>
  <c r="AE2595" i="12" l="1"/>
  <c r="BJ21" i="3"/>
  <c r="BJ27" i="3" s="1"/>
  <c r="BK23" i="3"/>
  <c r="BK21" i="3" s="1"/>
  <c r="BK27" i="3" s="1"/>
  <c r="BK39" i="3" s="1"/>
  <c r="BJ36" i="3" l="1"/>
  <c r="BJ39" i="3" s="1"/>
</calcChain>
</file>

<file path=xl/comments1.xml><?xml version="1.0" encoding="utf-8"?>
<comments xmlns="http://schemas.openxmlformats.org/spreadsheetml/2006/main">
  <authors>
    <author>Robertina Zdjelar</author>
    <author>Financije</author>
  </authors>
  <commentList>
    <comment ref="BG39" authorId="0">
      <text>
        <r>
          <rPr>
            <b/>
            <sz val="9"/>
            <color indexed="81"/>
            <rFont val="Tahoma"/>
            <family val="2"/>
            <charset val="238"/>
          </rPr>
          <t xml:space="preserve">
1500000  dom zdravlja
3846732 zavod za jz
700000 neizvršeni projekti u 2016
80000 javna ustanova za zaštitu okoliša
354441,45 škole
694989,36 Lovstvo
55900000 manjak bolnice koji se u cijelosti prenosi u sljedeće razdoblje</t>
        </r>
      </text>
    </comment>
    <comment ref="BG41" authorId="1">
      <text>
        <r>
          <rPr>
            <b/>
            <sz val="9"/>
            <color indexed="81"/>
            <rFont val="Segoe UI"/>
            <family val="2"/>
            <charset val="238"/>
          </rPr>
          <t>Financije:</t>
        </r>
        <r>
          <rPr>
            <sz val="9"/>
            <color indexed="81"/>
            <rFont val="Segoe UI"/>
            <family val="2"/>
            <charset val="238"/>
          </rPr>
          <t xml:space="preserve">
bolnica</t>
        </r>
      </text>
    </comment>
  </commentList>
</comments>
</file>

<file path=xl/comments2.xml><?xml version="1.0" encoding="utf-8"?>
<comments xmlns="http://schemas.openxmlformats.org/spreadsheetml/2006/main">
  <authors>
    <author>Robertina</author>
  </authors>
  <commentList>
    <comment ref="AG93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8000 kn za javno priznanje ; Marina 18.10.2013 MAIL http://www.dzs.hr/</t>
        </r>
      </text>
    </comment>
    <comment ref="AH93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8000 kn za javno priznanje ; Marina 18.10.2013 MAIL http://www.dzs.hr/</t>
        </r>
      </text>
    </comment>
    <comment ref="AI93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8000 kn za javno priznanje ; Marina 18.10.2013 MAIL http://www.dzs.hr/</t>
        </r>
      </text>
    </comment>
    <comment ref="AG23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povećano za najam prostora kod sve tri manjine</t>
        </r>
      </text>
    </comment>
    <comment ref="H236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umetni novi razdjel: Jedinstveni upravni odjel za ______ (SS + SUZ)</t>
        </r>
      </text>
    </comment>
    <comment ref="AG24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TAMARA + EMA</t>
        </r>
      </text>
    </comment>
    <comment ref="AH24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TAMARA + EMA</t>
        </r>
      </text>
    </comment>
    <comment ref="AI24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TAMARA + EMA</t>
        </r>
      </text>
    </comment>
    <comment ref="AG248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BEHIN OTPREMNINA, JUBILARNE</t>
        </r>
      </text>
    </comment>
    <comment ref="AG25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DODALA EMINE PUTNE</t>
        </r>
      </text>
    </comment>
    <comment ref="AG38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LAURA KOEFICIJENT</t>
        </r>
      </text>
    </comment>
    <comment ref="AG415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Vera otpremnina</t>
        </r>
      </text>
    </comment>
    <comment ref="AG43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TRAKASTE ZAVJESE I TEPISON U SOBI 6 ĐURĐEVAC</t>
        </r>
      </text>
    </comment>
    <comment ref="AC457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ŠTO JE OVO?</t>
        </r>
      </text>
    </comment>
    <comment ref="AG469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=71318,89*4*7,619719</t>
        </r>
      </text>
    </comment>
    <comment ref="AH469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=71318,89*4*7,619719</t>
        </r>
      </text>
    </comment>
    <comment ref="AI469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=71318,89*4*7,619719</t>
        </r>
      </text>
    </comment>
    <comment ref="H471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spojiti GOSPODARSTVO I POLJOPRIVREDU</t>
        </r>
      </text>
    </comment>
    <comment ref="AG87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ĐOPAR OTPREMNINA</t>
        </r>
      </text>
    </comment>
    <comment ref="AG114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POVEĆATI ZA 4 VSS ZA 6 MJESECI O 8 VSS ZA 6 MJESECI</t>
        </r>
      </text>
    </comment>
    <comment ref="AH114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POVEĆATI ZA 4 VSS ZA 6 MJESECI O 8 VSS ZA 6 MJESECI</t>
        </r>
      </text>
    </comment>
    <comment ref="AI1140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POVEĆATI ZA 4 VSS ZA 6 MJESECI O 8 VSS ZA 6 MJESECI</t>
        </r>
      </text>
    </comment>
    <comment ref="AC1172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ZAŠTO JE ODVOJENO</t>
        </r>
      </text>
    </comment>
    <comment ref="AG1244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MARTA LENAC JUBILARKA 4.600 BRUTO</t>
        </r>
      </text>
    </comment>
    <comment ref="AG1291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KOEFICIJENT mb5,7 ZAMJENIK
</t>
        </r>
      </text>
    </comment>
    <comment ref="AF2392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GLAVNI PROJEKT NAŠ DIO UČEŠĆA JE 50% ODNOSNO 130.500 kn kao i od grada, a ostalo je rezrva </t>
        </r>
      </text>
    </comment>
    <comment ref="E2462" authorId="0">
      <text>
        <r>
          <rPr>
            <b/>
            <sz val="9"/>
            <color indexed="81"/>
            <rFont val="Tahoma"/>
            <family val="2"/>
            <charset val="238"/>
          </rPr>
          <t>Robertina:</t>
        </r>
        <r>
          <rPr>
            <sz val="9"/>
            <color indexed="81"/>
            <rFont val="Tahoma"/>
            <family val="2"/>
            <charset val="238"/>
          </rPr>
          <t xml:space="preserve">
R2383 nisu dvije pozicije</t>
        </r>
      </text>
    </comment>
  </commentList>
</comments>
</file>

<file path=xl/sharedStrings.xml><?xml version="1.0" encoding="utf-8"?>
<sst xmlns="http://schemas.openxmlformats.org/spreadsheetml/2006/main" count="5577" uniqueCount="1077">
  <si>
    <t>T xxxxxx Prevencija ovisnosti i izvanbolničko liječenje ovisnika - ZZJZ K-K županije</t>
  </si>
  <si>
    <t>T xxxxxx Lokalni projekt razvoja malog gospodarstva "Mikrokreditiranje 2010."</t>
  </si>
  <si>
    <t xml:space="preserve">T 100001 Poticanje razvoja poduzetništva subvencioniranjem kamata </t>
  </si>
  <si>
    <t>T 100003 Lokalni projekt razvoja malog gospodarstva</t>
  </si>
  <si>
    <t>T 100004 Poticanje izgradnje gospodarskih građevina sufinanciranjem glavnih građevinskih projekata</t>
  </si>
  <si>
    <t xml:space="preserve">T 100007 Monitoring kakvoće vode za piće </t>
  </si>
  <si>
    <t>T 100009 Poticanje razvoja poljoprivredne proizvodnje subvencioniranjem kamata</t>
  </si>
  <si>
    <t>T 100010 Poticanje podizanja novih višegodišnjih nasada</t>
  </si>
  <si>
    <t>T 100011 Poticanje nabave mreže za zaštitu od tuče</t>
  </si>
  <si>
    <t xml:space="preserve">T 100013 Poticanje proizvodnje povrća i cvijeća u zaštićenom prostoru </t>
  </si>
  <si>
    <t>T 100014 Poticanje navodnjavanja na otvorenom poljoprivrednom zemljištu</t>
  </si>
  <si>
    <t>1031 Program iznad zakonskog standarda Doma za starije i nemoćne osobe</t>
  </si>
  <si>
    <t xml:space="preserve">T 100015 Poticanje osiguranja u poljoprivredi </t>
  </si>
  <si>
    <t>T 100016 Poticanje registracije objekata za proizvodnju sira - obiteljskih sirana</t>
  </si>
  <si>
    <t>Tepuća pomoć unutar općeg proračuna- COO"Podravsko sunce", logopedska služba</t>
  </si>
  <si>
    <t>IZVOR VLASTITI PRIHODI</t>
  </si>
  <si>
    <t>IZVOR OPĆI PRIHODI PRIMICI</t>
  </si>
  <si>
    <t>661</t>
  </si>
  <si>
    <t>6615</t>
  </si>
  <si>
    <t>Prihodi od pruženih usluge-škole</t>
  </si>
  <si>
    <t>K 100043 Opremanje zdravstvenih ustanova</t>
  </si>
  <si>
    <t>Prihodi od pruženih usluga-Dom za starije i nemoće osobe Koprivnica</t>
  </si>
  <si>
    <t>T 100017 Poticanje kontrole plodnosti tla</t>
  </si>
  <si>
    <t>T 100018 Poticanje kontrole zemljopisnog porijekla vina</t>
  </si>
  <si>
    <t>T 100019 Poticanje utvrđivanje kvalitete stočne hrane</t>
  </si>
  <si>
    <t>T 100020  Unapređenje lovnog gospodarstva</t>
  </si>
  <si>
    <t>Sitni inventar  - školski sportski klubovi</t>
  </si>
  <si>
    <t>Zdravstvene i veterinarske usluge - mrtvozorstvo</t>
  </si>
  <si>
    <t>Dnevnice za službeni put u zemlji - Centar izvrsnosti Gimnazije "Fran Galović" Koprivnica</t>
  </si>
  <si>
    <t>Ostale usluge za komunikaciju i prijevoz - Centar izvrsnosti Gimnazije "Fran Galović" Koprivnica</t>
  </si>
  <si>
    <t>A 100073 Poticanje razvoja gospodarstva - rudarstvo</t>
  </si>
  <si>
    <t>A 100074 Uspostava baze podataka o potrošnji energije u zgradarstvu - donacija UNDP</t>
  </si>
  <si>
    <t>A 100075 Sufinanciranje djelatnosti Hrvatskog instituta za povijest, Podružnica za povijest sjeverozapadne Hrvatske u Koprivnici</t>
  </si>
  <si>
    <t xml:space="preserve">Intelektualne i osobne usluge - Plan energetskog razvoja županije </t>
  </si>
  <si>
    <t>Ostale usluge - Tiskanje Županijskog biltena</t>
  </si>
  <si>
    <t>Intelektualne i osobne usluge - ispitivanje kvalitete stočne hrane</t>
  </si>
  <si>
    <t>Intelektualne i osobne usluge - kontrola kvalitete meda</t>
  </si>
  <si>
    <t>Intelektualne i osobne usluge - Ispitivanje kvalitete mlijeka</t>
  </si>
  <si>
    <t>Ostali nespomenuti rashodi poslovanja - Rashodi za provedbu Zakona o lovu</t>
  </si>
  <si>
    <t>Kamate za primljene kredite i zajmove od kreditnih i ostalih financijskih institucija u janom sektoru</t>
  </si>
  <si>
    <t>ŽRS 1-6 Razvoj selektivnih oblika turizma, uključujući ruralni turizam</t>
  </si>
  <si>
    <t>ŽRS 2-3 Unapređenje zdravlja stanovništva</t>
  </si>
  <si>
    <t>ŽRS 2-5 Razvoj socijalnih usluga</t>
  </si>
  <si>
    <t>ŽRS 4-4 Razvoj i korištenje obnovljivih izvora energije</t>
  </si>
  <si>
    <t xml:space="preserve">K 100020 Opremanje Doma </t>
  </si>
  <si>
    <t>K 100029 Opremanje OŠ</t>
  </si>
  <si>
    <t>ŽRS 2-6 Razvoj civilnog društva</t>
  </si>
  <si>
    <t>812</t>
  </si>
  <si>
    <t>8121</t>
  </si>
  <si>
    <t>Primici (povrati) glavnice zajmova danih neprofitnim organizacijama, građanima i kućanstvima</t>
  </si>
  <si>
    <t>Tekuće pomoći Ministarstva financija-PHARE</t>
  </si>
  <si>
    <t>Tekuće pomoći Ministarstva financija-prijevoz učenika</t>
  </si>
  <si>
    <t>Tekuća pomoć Ministarstva financija - za prostorno uređenje, gradnju i zaštitu okoliša</t>
  </si>
  <si>
    <t>Tekuća pomoć Ministarstva vanjskih poslova i europskih integracija - Savjet za europske integracije</t>
  </si>
  <si>
    <t>Ostale tekuće pomoći iz državnog proračuna</t>
  </si>
  <si>
    <t>Tekuće pomoći za izravnanje decentraliziranih funkcija</t>
  </si>
  <si>
    <t>63313</t>
  </si>
  <si>
    <t>6429</t>
  </si>
  <si>
    <t>Ostali prihodi od nefinancijske imovine</t>
  </si>
  <si>
    <t>Tekuće pomoći iz gradskog proračuna</t>
  </si>
  <si>
    <t>63314</t>
  </si>
  <si>
    <t>Tekuće pomoći iz općinskog proračuna</t>
  </si>
  <si>
    <t>6332</t>
  </si>
  <si>
    <t>Kapitalne pomoći iz proračuna</t>
  </si>
  <si>
    <t>63322</t>
  </si>
  <si>
    <t>Kapitalna pomoć iz županijskog proračuna</t>
  </si>
  <si>
    <t>63323</t>
  </si>
  <si>
    <t>Kapitalne pomoći iz gradskog proračuna</t>
  </si>
  <si>
    <t>63324</t>
  </si>
  <si>
    <t>Kapitalne pomoći iz općinskog proračuna</t>
  </si>
  <si>
    <t>6333</t>
  </si>
  <si>
    <t xml:space="preserve">Materijal i sirovine </t>
  </si>
  <si>
    <t>Tekuće pomoći od proračunskih korisnika temeljem prijenosa sredstava EU</t>
  </si>
  <si>
    <t>6334</t>
  </si>
  <si>
    <t>Kapitalne pomoći od proračunskih korisnika temeljem prijenosa sredstava EU</t>
  </si>
  <si>
    <t>634</t>
  </si>
  <si>
    <t>Pomoći od ostalih subjekata unutar općeg proračuna</t>
  </si>
  <si>
    <t>6341</t>
  </si>
  <si>
    <t>63411</t>
  </si>
  <si>
    <t>Tekuća pomoć Ministarstva gospodarstva, rada i poduzetništva</t>
  </si>
  <si>
    <t>Tekuća pomoć Ministarstva obitelji, branitelja i međugeneracijske solodarnosti</t>
  </si>
  <si>
    <t>Tekuće pomoći Ministarstva poljoprivrede, ribarstva i ruralnog razvoja</t>
  </si>
  <si>
    <t>Tekuće pomoći Ministarstva obitelji, branitelja i međugeneracijske solidarnosti</t>
  </si>
  <si>
    <t>NOVI PLAN ZA 2014. GODINU (II)</t>
  </si>
  <si>
    <t>Ostvareno / Izvršeno od 1.1. do 30.06.0214</t>
  </si>
  <si>
    <t>Tekuće iz gradskih proračuna</t>
  </si>
  <si>
    <t>Tekuće iz općinskih proračuna</t>
  </si>
  <si>
    <t>Kapitalno iz gradskih proračuna</t>
  </si>
  <si>
    <t>Kapitalno iz općinskih proračuna</t>
  </si>
  <si>
    <t>OŠ</t>
  </si>
  <si>
    <t>Grgur Karlovčan Đurđevac</t>
  </si>
  <si>
    <t>SŠ</t>
  </si>
  <si>
    <t>OŠ općinske</t>
  </si>
  <si>
    <t>IZVOR 55 PREKO ŠKOLA</t>
  </si>
  <si>
    <t>IZVOR 55 PREKO KKŽ</t>
  </si>
  <si>
    <t>PRIHOD U OVOJ GODINI POVEĆAN ZA 130500, JER JE GRAD KC UPLATIO U OVOJ GODINI, ZA RASHODE OD 2014</t>
  </si>
  <si>
    <t>NOVI PLAN ZA 2014. GODINU (I)</t>
  </si>
  <si>
    <t>Tekuće pomoći izravnanja za decentralizirane funkcije za prijevoz učenika srednjih škola</t>
  </si>
  <si>
    <t>Tekuća pomoć iz državnog proračuna za prijevoz učenika SŠ</t>
  </si>
  <si>
    <t>A 100064 Povrat otplaćene glavnice zajmova i kamata</t>
  </si>
  <si>
    <t>Usluge tekućeg i investicijskog održavanja-za potrebe Srednjeg medicinskog smjera</t>
  </si>
  <si>
    <t>1041 Odgoj, obrazovanje, kultura i drugi interesi građana</t>
  </si>
  <si>
    <t>Ostali nespomenuti financijski rashodi - nagrade učenicima i mentorima</t>
  </si>
  <si>
    <t>1036 Zakonski standard u srednjem školstvu</t>
  </si>
  <si>
    <t>1034 Zakonski standard u osnovnom školstvu</t>
  </si>
  <si>
    <t xml:space="preserve">1037  Potrebe iznad zakonskog standarda u srednjem školstvu </t>
  </si>
  <si>
    <t>1035 Javne potrebe iznad zakonskog standarda u osnovnom školstvu</t>
  </si>
  <si>
    <t>Intelektualne i osobne usluge - prijevod Županijske web stranice na engleski</t>
  </si>
  <si>
    <t>Intelektualne i osobne usluge - edukacija o internoj komunikaciji</t>
  </si>
  <si>
    <t>Ovaj Proračun objavit će se u "Službenom glasniku Koprivničko-križevačke županije",  a stupa na snagu 1. siječnja 2014. godine</t>
  </si>
  <si>
    <t>KLASA: 400-06/13-01/35</t>
  </si>
  <si>
    <t>URBROJ: 2137/1-03/02-13-___</t>
  </si>
  <si>
    <t>T 100002 Poticanje poduzetništva subvencioniranjem kamata - "Poduzetništvo 2008." i mikrokreditiranje 2008., i 2009.</t>
  </si>
  <si>
    <t>Programi s kapitalnim i tekućim projektima korisnika Proračuna nalaze se u prilogu Proračuna. Rashodi poslovanja i rashodi za nabavu nefinancijske imovine u Proračunu za 2014. godinu u ukupnoj vrijednosti 153.205.598,00 kuna i izdaci za nefinancijsku imovinu i otplate zajmova u svoti 10.000.000,00 raspoređuju se po korisnicima i programima kako slijedi:</t>
  </si>
  <si>
    <t>A 100075 Izbor članova vijeća i predstavnika nacionalnih manjina</t>
  </si>
  <si>
    <t>K 100058 OŠ Koprivnički Ivanec Izgradnja nove školske zgrade i športske dvorane</t>
  </si>
  <si>
    <t>Tekuće donacije Rukometnom savezu</t>
  </si>
  <si>
    <t>1040 Sport i tehnička kultura</t>
  </si>
  <si>
    <t>Tekuća pomoć unutar općeg proračuna- sufinanciranje  asistenata u nastavi</t>
  </si>
  <si>
    <t>T 100031 Sufinanciranje poslovnih udruživanja (e-burza, klasteri, zadruge, gospodarsko interesna udruženja i sl.)</t>
  </si>
  <si>
    <t>Tekuće donacije u novcu - CROMA - Mostar</t>
  </si>
  <si>
    <t>Porez i prirez na dohodak utvrđen u postupku nadzora za prethodne godine</t>
  </si>
  <si>
    <t>612</t>
  </si>
  <si>
    <t>Porez na dobit</t>
  </si>
  <si>
    <t>6121</t>
  </si>
  <si>
    <t>Porez na dobit od poduzetnika</t>
  </si>
  <si>
    <t>6122</t>
  </si>
  <si>
    <t>Plan 2013. (rebalans siječanj)</t>
  </si>
  <si>
    <t>Novi plan 2013. listopad</t>
  </si>
  <si>
    <t>Porez na dobit po odbitku na naknade za korištenje prava i za usluge</t>
  </si>
  <si>
    <t>6123</t>
  </si>
  <si>
    <t>Zdrastvene i veterinarske usluge</t>
  </si>
  <si>
    <t>Porez na dobit po odbitku na kamate, dividende i udjele u dobiti</t>
  </si>
  <si>
    <t>613</t>
  </si>
  <si>
    <t>Porezi na imovinu</t>
  </si>
  <si>
    <t>6132</t>
  </si>
  <si>
    <t>Porez na nasljedstva i darove</t>
  </si>
  <si>
    <t>614</t>
  </si>
  <si>
    <t>Porezi na robu i usluge</t>
  </si>
  <si>
    <t>6144</t>
  </si>
  <si>
    <t>Porezi i naknade od igara na sreću i zabavnih igara</t>
  </si>
  <si>
    <t>6145</t>
  </si>
  <si>
    <t>002 SLUŽBA UREDA ŽUPANA</t>
  </si>
  <si>
    <t>63</t>
  </si>
  <si>
    <t xml:space="preserve">Tekuće donacije u novcu -  Zajednica za tehničku kulturu Županije </t>
  </si>
  <si>
    <t xml:space="preserve">K 100049 Dogradnja zgrade OŠ "Prof. Blaž Mađer" Novigrad Podravski </t>
  </si>
  <si>
    <t>Tekuće donacije u novcu udrugama proizašlih iz Domovinskog rata</t>
  </si>
  <si>
    <t>Tekuće donacije u novcu udrugama iz područja zdravstva i brige o osobama s invaliditetom</t>
  </si>
  <si>
    <t>Tekuće donacije u novcu udrugama iz područja gospodarstva</t>
  </si>
  <si>
    <t xml:space="preserve">Kapitalne donacije neprofitnim organizacijama </t>
  </si>
  <si>
    <t>K 100003 Opremanje Službe ureda župana</t>
  </si>
  <si>
    <t>K 100004 Nabava vatrogasne opreme i vatrogasnih vozila</t>
  </si>
  <si>
    <t>K 100005 Opremanje Stručne službe</t>
  </si>
  <si>
    <t>K 100006 Opremanje Upravnog odjela za financije i proračun</t>
  </si>
  <si>
    <t>Naknade za koncesije za obavljanje javne zdravstvene službe i ostale koncesije zdravstva</t>
  </si>
  <si>
    <t>K 100007 Opremanje Upravnog odjela za gospodarstvo i komunalne djelatnosti</t>
  </si>
  <si>
    <t xml:space="preserve">K 100008 Poduzetničke zone </t>
  </si>
  <si>
    <t xml:space="preserve">K 100009 Gospodarenje otpadom sjeverozapadne Hrvatske "Piškornica" </t>
  </si>
  <si>
    <t>K 100010  Izgradnja komunalne infrastrukture - plinoopskrba</t>
  </si>
  <si>
    <t>K 100012 Navodnjavanje Županije - "Pilot projekt navodnjavanja Koljak i akumulacija Sirova Katalena"</t>
  </si>
  <si>
    <t>K 100015 Opremanje Upravnog odjela za poljoprivredu, ruralni razvoj i turizam</t>
  </si>
  <si>
    <t>K 100016 Opremanje Upravnog odjela za prostorno uređenje, gradnju i zaštitu okoliša</t>
  </si>
  <si>
    <t>K 100017 Opremanje Upravnog odjela za zdravstvo i socijalnu skrb</t>
  </si>
  <si>
    <t>K 100018 Dodatna ulaganja u zdravstvene ustanove</t>
  </si>
  <si>
    <t>K 100019 Opremanje zdravstvenih ustanova</t>
  </si>
  <si>
    <t xml:space="preserve">K 100021 Opremanje Doma </t>
  </si>
  <si>
    <t>66</t>
  </si>
  <si>
    <t>663</t>
  </si>
  <si>
    <t>6631</t>
  </si>
  <si>
    <t>72</t>
  </si>
  <si>
    <t>Prihodi od prodaje proizvedene dugotrajne imovine</t>
  </si>
  <si>
    <t>723</t>
  </si>
  <si>
    <t>Prihodi od prodaje prijevoznih sredstava</t>
  </si>
  <si>
    <t>7231</t>
  </si>
  <si>
    <t xml:space="preserve"> Tekuća pomoć Ministarstvo socijalne politike i mladih - pomoć u kući starijim osobama</t>
  </si>
  <si>
    <t>Tekuće pomoći Ministarstvo poduzetništva i obrta</t>
  </si>
  <si>
    <t>Donacije od pravnih i fizičkih osoba izvan općeg proračuna</t>
  </si>
  <si>
    <t>Prihodi od prodaje proizvoda i robe te pruženih usluga i prihoda od donacije</t>
  </si>
  <si>
    <t>Tekuće donacije u novcu udrugama iz područja brige o starijim osobama</t>
  </si>
  <si>
    <t>Tekuće donacije u novcu udrugama žena</t>
  </si>
  <si>
    <t xml:space="preserve"> Tekuće donacije u novcu udrugama iz područja brige o djeci i mladima</t>
  </si>
  <si>
    <t>Tekuće donacije u novcu udrugama iz drugih područja</t>
  </si>
  <si>
    <t>A 100073 EU projekt -  DRAVIS 3</t>
  </si>
  <si>
    <t>Kapitalne donacije neprofitnim organizacijama za nabavu nefinancijske imovine</t>
  </si>
  <si>
    <t>Poslovni objekti - školska športska dvorana OŠ Grgura Karlovčana Đurđevac</t>
  </si>
  <si>
    <t>Poslovni objekti - Školska športska dvorana OŠ Koprivnički Bregi</t>
  </si>
  <si>
    <t>Poslovni objekti - izgradnja škole i športske dvorane (projekti) Legrad</t>
  </si>
  <si>
    <t>Naknade za korištenje privatnog automobila u službene svrhe</t>
  </si>
  <si>
    <t>Usluge telefon, pošte i prijevoza</t>
  </si>
  <si>
    <t>Naknada troškova osobama izvan radnog odnosa</t>
  </si>
  <si>
    <t>Poslovni objekti - izgradnja zgrade PŠ Gregurovec</t>
  </si>
  <si>
    <t>Poslovni objekti - Sportske dvorane i rekreacijski objekti</t>
  </si>
  <si>
    <t>Poslovni objekti - Zgrade znanstvanih i obrazovnih institucija (fakulteti, škole, vrtići i sli.)</t>
  </si>
  <si>
    <t>Ostali građevinski objekti - projektno tehnička dokumentacija</t>
  </si>
  <si>
    <t>Dionice i udjeli u glavnici trgovačkih društava u javnom sektoru - Osnivački kapital trgovačkog društva "Geopodravina" Kutnjak</t>
  </si>
  <si>
    <t>1004 Program srpske nacionalne manjine</t>
  </si>
  <si>
    <t>A 100010 Djelatnost Vijeća srpske nacionalne manjine</t>
  </si>
  <si>
    <t>Rashodi za zaposlene</t>
  </si>
  <si>
    <t>Plaće (bruto)</t>
  </si>
  <si>
    <t>Plaće za redovan rad</t>
  </si>
  <si>
    <t>Ostali rashodi za zaposlene</t>
  </si>
  <si>
    <t>Doprinosi na plaće</t>
  </si>
  <si>
    <t>Doprinosi za obvezno zdravstveno osiguranje</t>
  </si>
  <si>
    <t>Doprinosi za obvezno osiguranje u slučaju nezaposlenosti</t>
  </si>
  <si>
    <t>Energija</t>
  </si>
  <si>
    <t>Sitni inventar i auto gume</t>
  </si>
  <si>
    <t>Usluge telefona, pošte i prijevoza</t>
  </si>
  <si>
    <t>Usluge tekućeg i investicijskog održavanja</t>
  </si>
  <si>
    <t>Financijski rashodi</t>
  </si>
  <si>
    <t>Ostali financijski rashodi</t>
  </si>
  <si>
    <t>Kapitalna pomoć - Fond za zaštitu okoliša i energetsku učinkovitost za srednju školu u Križevcima i za Dom za starije i nemoćne Koprivnica</t>
  </si>
  <si>
    <t>Bankarske usluge i usluge platnog prometa</t>
  </si>
  <si>
    <t>Rashodi za nabavu proizvedene dugotrajne imovine</t>
  </si>
  <si>
    <t>1005 Program mađarske nacionalne manjine</t>
  </si>
  <si>
    <t>A 100011 Djelatnost predstavnika mađarske nacionalne manjine</t>
  </si>
  <si>
    <t>Tekuće donacije u novcu</t>
  </si>
  <si>
    <t>1006 Program albanske nacionalne manjine</t>
  </si>
  <si>
    <t>A 100012 Djelatnost albanske nacionalne manjine</t>
  </si>
  <si>
    <t>00201 Služba ureda župana</t>
  </si>
  <si>
    <t>Plaće u naravi</t>
  </si>
  <si>
    <t>Naknade za prijevoz, za rad na terenu i odvojeni život</t>
  </si>
  <si>
    <t>Stručno usavršavanje zaposlenika</t>
  </si>
  <si>
    <t>Intelektualne i osobne usluge - plan zaštite i spašavanja</t>
  </si>
  <si>
    <t>Prijevozna sredstva</t>
  </si>
  <si>
    <t>Prijevozna sredstva u cestovnom prometu</t>
  </si>
  <si>
    <t xml:space="preserve">00202 Vatrogasna zajednica Županije </t>
  </si>
  <si>
    <t xml:space="preserve"> 03 Javni red i sigurnost</t>
  </si>
  <si>
    <t>Kapitalne pomoći unutar općeg proračuna</t>
  </si>
  <si>
    <t>03</t>
  </si>
  <si>
    <t>A 100070 Sufinanciranje prijevoza učenika SŠ</t>
  </si>
  <si>
    <t>Kapitalne donacije</t>
  </si>
  <si>
    <t>003 STRUČNA SLUŽBA</t>
  </si>
  <si>
    <t>Prihodi od kamata na dane zajmove neprofitnim organizacijama, građanima i kućanstvima</t>
  </si>
  <si>
    <t>Poslovni objekti - Izgradnja i opremanje zgrade područne škole i ambulante u Gregurovcu</t>
  </si>
  <si>
    <t>Otplata glavnice primljenih kredita  od kreditnih  institucija u javnom sektoru</t>
  </si>
  <si>
    <t>004 UPRAVNI ODJEL ZA FINANCIJE I PRORAČUN</t>
  </si>
  <si>
    <t>1010 Redovna djelatnost</t>
  </si>
  <si>
    <t>A 100018 Administracija i upravljanje</t>
  </si>
  <si>
    <t>Komunalne usluge</t>
  </si>
  <si>
    <t>Novi plan 2013. nakon preraspodjele</t>
  </si>
  <si>
    <t>IZVRŠENJE 01.01. DO 31.12.2013</t>
  </si>
  <si>
    <t xml:space="preserve">PRORAČUN ZA 2014. </t>
  </si>
  <si>
    <t>T 100033 Uvođenje 9001 ISO standarda</t>
  </si>
  <si>
    <t>Intelektualne i osobne usluge - Županijska natjecanja</t>
  </si>
  <si>
    <t xml:space="preserve">Ostale usluge - škola plivanja </t>
  </si>
  <si>
    <t xml:space="preserve">Intelektualne i osobne usluge - Sufinanciranje E-burze za poljoprivredne proizvođače </t>
  </si>
  <si>
    <t>Najamnine za poslovni prostor</t>
  </si>
  <si>
    <t>K 100050 Dodatna ulaganja na građevinskim objektima Opće bolnice dr. Tomislav Bardek, Koprivnica-sanacija dijela krova, projektna dokumentacija za odjel palijative i pedijatrije, te projekata za prijavu za EU fondove i energetsku učinkovitost</t>
  </si>
  <si>
    <t>1042 Program smještaja izvan vlastite obitelji za starije osobe</t>
  </si>
  <si>
    <t xml:space="preserve">Naknade građanima i kućanstvima u naravi - prijevoz učenika </t>
  </si>
  <si>
    <t xml:space="preserve">Tekuće donacije u novcu - Političkim strankama </t>
  </si>
  <si>
    <t>A 100074 Tekuća donacija - Zaklada Vaša pošta "Dobri ljudi-djeci Hrvatske"</t>
  </si>
  <si>
    <t>Tekuće donacije u novcu- Zaklada Vaša pošta "Dobri ljudi-djeci Hrvatske"</t>
  </si>
  <si>
    <t>Tekuće donacije u novcu - Elementarne nepogode</t>
  </si>
  <si>
    <t>Tekuće donacije u novcu - Sponzorstva</t>
  </si>
  <si>
    <t>Kapitalne donacije neprofitnim organizacijama - donacija UNDP</t>
  </si>
  <si>
    <t>Tekuće pomoći proračunskim korisnicima temeljem prijenosa sredstava EU</t>
  </si>
  <si>
    <t>Kapitalne pomoći proračunskim korisnicima temeljem prijenosa sredstava EU</t>
  </si>
  <si>
    <t>Intelektualne i osobne usluge - usluge odvjetnika</t>
  </si>
  <si>
    <t>Tekuća pomoć unutar općeg proračuna-Centar za kulturu Đurđevac, glazbena škola</t>
  </si>
  <si>
    <t>Kapitalna pomoć proračunskim korisnicima temeljem prijenosa sredstava EU -Obrtnička škola Koprivnica</t>
  </si>
  <si>
    <t>Tekuće donacije u novcu - Vatrogasnoj zajednici županije</t>
  </si>
  <si>
    <t>Tekuće donacije u novcu - DVD-ima</t>
  </si>
  <si>
    <t xml:space="preserve">Tekuće donacije u novcu - županijski obrtnički i gospodarski sajam u Križevcima </t>
  </si>
  <si>
    <t>Tekuće donacije u novcu - Sufinanciranje turističkih događanja županijskog značaja "Picokijada", "Križevačko spravišće", "Podravski motivi"</t>
  </si>
  <si>
    <t>Tekuće donacije u novcu - Turistička signalizacija</t>
  </si>
  <si>
    <t>Milica Fuček, ing.građ.</t>
  </si>
  <si>
    <t>1016  Sustavno gospodarenje energijom u Županiji</t>
  </si>
  <si>
    <t>K 100044 Opremanje javne ustanove za upravljanje zaštićenim prirodnim vrijednostima na području Koprivničko-križevačke županije</t>
  </si>
  <si>
    <t>Tekuće donacije u novcu - Volim Hrvatsku</t>
  </si>
  <si>
    <t>Tekuće donacije u novcu - Tematski putevi i vinske ceste</t>
  </si>
  <si>
    <t>Tekuće donacije u novcu - Županijska izložba vina</t>
  </si>
  <si>
    <t>Tekuće donacije u novcu - Promidžbeni materijali</t>
  </si>
  <si>
    <t>Tekuće donacije u novcu - "Posebne turističke prezentacije"</t>
  </si>
  <si>
    <t>Tekuće donacije u novcu - za rashode poslovanja Županijske turističke zajednice</t>
  </si>
  <si>
    <t>Tekuće donacije u novcu: Društvo Crvenog križa Županije</t>
  </si>
  <si>
    <t>Tekuće donacije u novcu - Klubu za starije osobe "MARIŠKA" Koprivnica</t>
  </si>
  <si>
    <t>Tekuće donacije u novcu za rashode poslovanja Županijske turističke zajednice</t>
  </si>
  <si>
    <t>Tekuće donacije u novcu za projekt Drava Gastrolobby</t>
  </si>
  <si>
    <t>Tekuće donacije u novcu - Opremanje i edukacija Županijskog interventnog tima</t>
  </si>
  <si>
    <t>Tekuće donacije u novcu - Društvu Crvenog križa Križevci</t>
  </si>
  <si>
    <t>Tekuće donacije u novcu - galerijska i muzejska djelatnost</t>
  </si>
  <si>
    <t>Tekuće donacije u novcu - zaštita spomenika kulture i sakralnih objekata</t>
  </si>
  <si>
    <t>Tekuće donacije u novcu - županijske i državne manifestacije</t>
  </si>
  <si>
    <t>A 100071  Predfinanciranje EU projekti</t>
  </si>
  <si>
    <t xml:space="preserve">Tekuće donacije u novcu - Županijska zajednica KUD-ova </t>
  </si>
  <si>
    <t>Tekuće donacije u novcu - Zajednica sportova Koprivničko-križevačke županije</t>
  </si>
  <si>
    <t>K 100066  Izgradnja igrališta u PŠ Glogovac</t>
  </si>
  <si>
    <t>Pomoći iz inozemstva (darovnice) i od subjekata unutar općeg proračuna</t>
  </si>
  <si>
    <t>633</t>
  </si>
  <si>
    <t>Pomoći iz proračuna</t>
  </si>
  <si>
    <t>K 100053 Izgradnja sportske dvorane OŠ Kloštar Podravski</t>
  </si>
  <si>
    <t>A 100069  Predfinanciranje EU projekti</t>
  </si>
  <si>
    <t>K 100048 Poticanje izgradnje skladišnih prostora, hladnjača, aukcijskih dvorana ili sličnih objekata u JLS</t>
  </si>
  <si>
    <t>Rashodi za nabavu nefinacijske imovine</t>
  </si>
  <si>
    <t xml:space="preserve"> Plan razvojnih programa, koji čine rashodi Proračuna za nefinancijsku imovinu (investicije), kapitalne pomoći i kapitalne donacije nalazi se u prilogu i sastavni je dio Proračuna.</t>
  </si>
  <si>
    <t>Ovaj Proračun objavit će se u "Službenom glasniku Koprivničko-križevačke županije", a stupa na snagu 1. siječnja 2013. godine</t>
  </si>
  <si>
    <t>Članak 5.</t>
  </si>
  <si>
    <t>A 100072 Sufinanciranje djelatnosti HAZU, Zavod u Križevcima</t>
  </si>
  <si>
    <t>6331</t>
  </si>
  <si>
    <t>Tekuće pomoći iz proračuna</t>
  </si>
  <si>
    <t>63311</t>
  </si>
  <si>
    <t xml:space="preserve">Tekuća pomoć Ministarstva financija </t>
  </si>
  <si>
    <t>Tekuća pomoć Ministarstva financija -prijevoz učenika SŠ i smještaj u učenički dom</t>
  </si>
  <si>
    <t>06 Usluge unaprjeđenje stanovanja i zajednice</t>
  </si>
  <si>
    <t>T 100012 Poticanje ekološke proizvodnje</t>
  </si>
  <si>
    <t>ŽRS 2-1 Upravljanje znanjem za razvoj ljudskih resursa</t>
  </si>
  <si>
    <t xml:space="preserve">Podizanje matičnog nasada plemki sorte Kleščec </t>
  </si>
  <si>
    <t xml:space="preserve">NorFor – nordijski sustav procjene hranidbene vrijednosti za goveda </t>
  </si>
  <si>
    <t>Tekuće donacije u novcu udrugama iz područja poljoprivrede</t>
  </si>
  <si>
    <t>Aktivnost 100076 EU članstva i projekti</t>
  </si>
  <si>
    <t>K 100056 Sufinanciranje gradnje vodne i komunalne infrastrukture za investicije u JLS od posebnog prioriteta prema ŽRS</t>
  </si>
  <si>
    <t>T 100034 Lokalni projekt razvoja 2014.</t>
  </si>
  <si>
    <t>A 100077 Djelatnost udruga građana iz područja gospodarstva i poljoprivrede</t>
  </si>
  <si>
    <t>T 100035  Prevencija rizika određenih čimbenicima okoliša</t>
  </si>
  <si>
    <t>K 100057 Nabava opreme za Prevenciju rizika određenih čimbenicima okoliša</t>
  </si>
  <si>
    <t>K 100059 OŠ Fran Kancelak Drnje Dogradnja zgrade PŠ Hlebine</t>
  </si>
  <si>
    <t xml:space="preserve">K 100059 OŠ Fran Kancelak Drnje Dogradnja zgrade PŠ Hlebine </t>
  </si>
  <si>
    <t>T 100036 Svjetsko rukometno prvenstvo</t>
  </si>
  <si>
    <t>A 100078 Antikorupcijsko povjerenstvo</t>
  </si>
  <si>
    <t>A 100075 Sufinaciranje smještaja u Domu za starije osobe</t>
  </si>
  <si>
    <t>Tekući plan 2013.</t>
  </si>
  <si>
    <t>I. OPĆI DIO</t>
  </si>
  <si>
    <t xml:space="preserve">Subvencije kreditnim i ostalim financijskim institucijama u javnom sektoru  - kamate za studentske kredite  </t>
  </si>
  <si>
    <t>Subvencije poljoprivrednicima i obrtnicima</t>
  </si>
  <si>
    <t>T 100021 Uređenje i opremanje smještajnih kapaciteta za razvitak turizma na području Županije</t>
  </si>
  <si>
    <t xml:space="preserve">Subvencije poljoprivrednicima i obrtnicima - Subvencija kamata po kreditima za primarnu poljoprivrednu proizvodnju </t>
  </si>
  <si>
    <t>Subvencije poljoprivrednicima i obrtnicima - Subvencije kamata po projektu " Lokalni projekt razvoja malog gospodarstva 2009." u 2010. godini</t>
  </si>
  <si>
    <t>Subvencije poljoprivrednicima i obrtnicima - Subvencija kamata po poduzetničkim kreditima - "Poduzetnik 2008." i mikrokreditiranje 2008.</t>
  </si>
  <si>
    <t>Subvencije poljoprivrednicima i obrtnicima - Subvencije kamata po projektu "Lokalnom projektu razvoja - Poduzetnik"</t>
  </si>
  <si>
    <t>Subvencije poljoprivrednicima i obrtnicima - Subvencije kamata po projektu "Lokalnom projektu razvoja - Mikrokreditiranje 2011. godine"</t>
  </si>
  <si>
    <t>Tekuće pomoći unutar općeg proračuna</t>
  </si>
  <si>
    <t>Tekuća pomoć Ministarstva branitelja - subvencije kamata</t>
  </si>
  <si>
    <t xml:space="preserve">Tekuća pomoć Ministarstva poduzetništva i obrta - pomoć za obrtnički i gospodarski sajam u Križevcima i ostale manifestacije </t>
  </si>
  <si>
    <t>Tekuće pomoći unutar općeg proračuna  - katastarska izmjera zemljišta JLS</t>
  </si>
  <si>
    <t>Intelektualne i osobne usluge - Studija razvoja lovstva</t>
  </si>
  <si>
    <t>K 100011 Sufinanciranje projekta gradnje objekata gospodarenja otpadom u procesu sanacije službenih odlagališta komunalnog otpada u Županiji</t>
  </si>
  <si>
    <t>Doprinosi na obvezno zdravstveno osiguranje u slučaju nezaposlenosti</t>
  </si>
  <si>
    <t>Naknade za prijevoz za rad na terenu i odvojeni život</t>
  </si>
  <si>
    <t>Materijal i dijelovi za tekuće investicijsko održavanje</t>
  </si>
  <si>
    <t>Službena radna i zaštitna odječa i obuća</t>
  </si>
  <si>
    <t>Usluge telefona pošte i prijevoza</t>
  </si>
  <si>
    <t>A 100002 Tekuće donacije županijskim političkim strankama</t>
  </si>
  <si>
    <t>Naknade za rad predstavničkih i izvršnih tijela i slično</t>
  </si>
  <si>
    <t>Ostvarenje u 2011.</t>
  </si>
  <si>
    <t>Porezi na korištenje dobara ili izvođenje aktivnosti - porez na cestovna motorna vozila</t>
  </si>
  <si>
    <t>Tekuće pomoći izravnanja za decentralizirane funkcije</t>
  </si>
  <si>
    <t>Kapitalne pomoći izravnanja za decentralizirane funkcije</t>
  </si>
  <si>
    <t>Prihodi od zakupa i iznajmljivanja imovine</t>
  </si>
  <si>
    <t>Naknada za korištenje nefinancijske imovine - Lovozakupnina</t>
  </si>
  <si>
    <t>Naknada za korištenje nefinancijske imovine - eksploatacija mineralnih sirovina - nafte i plina</t>
  </si>
  <si>
    <t>Prihodi od upravnih i administrativnih pristojbi, pristojbi po posebnim propisima i naknada</t>
  </si>
  <si>
    <t>Izvršenje 1.1. do 31.8.2012</t>
  </si>
  <si>
    <t>Ostvarenje 1.1. do 31.8.2012.</t>
  </si>
  <si>
    <t>Primici zajmova danih neprofitnim organizacijama, građanima i kućanstvima u tuzemstvu</t>
  </si>
  <si>
    <t>Primljeni krediti od kreditnih institucija u javnom sektoru</t>
  </si>
  <si>
    <t>Primljeni krediti od tuzemnih kreditnih institucija izvan javnog sektora</t>
  </si>
  <si>
    <t>Primljeni krediti i zajmovi od kreditnih i ostalih financijskih institucija izvan javnog sektora</t>
  </si>
  <si>
    <t>Kamate za primljene kredite i zajmove od kreditnih i ostalih financijskih institucija u javnom sektoru</t>
  </si>
  <si>
    <t>Tekuće pomoći unutar općeg proračuna - obrana od tuče</t>
  </si>
  <si>
    <t>Tekuće pomoći unutar općeg proračuna - Izrada i ažuriranje službenih prostornih podloga državne izmjere i katastra nekretnina</t>
  </si>
  <si>
    <t>Tekuće pomoći unutar općeg proračuna - pomoć za ogrjev JLS</t>
  </si>
  <si>
    <t>Tekuće pomoći unutar općeg proračuna - galerijska i muzejska</t>
  </si>
  <si>
    <t>Tekuće pomoći unutar općeg proračuna - sufinanciranje bibliobusa Knjižnice "Fran Galović" Koprivnica</t>
  </si>
  <si>
    <t>Uredski materijali i ostali materijalni rashodi</t>
  </si>
  <si>
    <t>Tekuće pomoći unutar općeg proračuna - sufinanciranje bibliobusa Knjižnice "Franjo Marković" Križevci</t>
  </si>
  <si>
    <t>Kapitalne pomoći unutar općeg proračuna - komunalna infrastruktura - vodoopskrba</t>
  </si>
  <si>
    <t>Kapitalne pomoći unutar općeg proračuna - komunalna infrastruktura - plinoopskrba</t>
  </si>
  <si>
    <t>Postojenja i oprema</t>
  </si>
  <si>
    <t>00203 DRAVIS 2</t>
  </si>
  <si>
    <t>03 Javni red i sigurnost</t>
  </si>
  <si>
    <t>xxx Program zaštite</t>
  </si>
  <si>
    <t>K xxxxxx DRAVIS 2</t>
  </si>
  <si>
    <t>Uredska oprema i namještaj-DRAVIS 2</t>
  </si>
  <si>
    <t>Ulaganja u računalne programe-DRAVIS 2</t>
  </si>
  <si>
    <t>Ostale usluge-Županijska razvojna strategija tiskanje</t>
  </si>
  <si>
    <t>Izvršeno I - IX 2013</t>
  </si>
  <si>
    <t>Plan 2014</t>
  </si>
  <si>
    <t>Projekcija 2015</t>
  </si>
  <si>
    <t>Projekcija 2016</t>
  </si>
  <si>
    <t xml:space="preserve">Tekući plan 2013. </t>
  </si>
  <si>
    <t>K xxxxxx II faza rekonstrukcije "stare interne"- zavod za javno zdrastvo Županije</t>
  </si>
  <si>
    <t>Projekcije 2014.</t>
  </si>
  <si>
    <t>Projekcije 2015.</t>
  </si>
  <si>
    <t>Novi plan 2012.</t>
  </si>
  <si>
    <t>Plan 2013.</t>
  </si>
  <si>
    <t>Uređaji, strojevi, oprema za ostale namjene</t>
  </si>
  <si>
    <t>Kapitalne pomoći unutar općeg proračuna - Odvodnja i pročišćavanje otpadnih voda</t>
  </si>
  <si>
    <t>Kapitalne pomoći unutar općeg proračuna - Sufinanciranje gradnje vodne i komunalne infrastrukture za investicije u JLS od posebnog prioriteta prema ŽRS</t>
  </si>
  <si>
    <t>Kapitalne pomoći unutar općeg proračuna - Sufinanciranje gradnje vodne i komunalne infrastrukture u poduzetničkim zonama</t>
  </si>
  <si>
    <t>Kapitalne pomoći unutar općeg proračuna - dogradnja škole u Koprivničkim Bregima</t>
  </si>
  <si>
    <t>Kapitalne pomoći unutar općeg proračuna - Dodatna ulaganja na gradskim i općinskim ustanovama kulture</t>
  </si>
  <si>
    <t>Kapitalne pomoći unutar općeg proračuna -  nabava knjiga općinskim i gradskim knjižnicama</t>
  </si>
  <si>
    <t>Naknade građanima i kućanstvima u novcu - lovozakupnina</t>
  </si>
  <si>
    <t xml:space="preserve">Naknade građanima i kućanstvima u naravi - karte za prijevoz učenika </t>
  </si>
  <si>
    <t xml:space="preserve">Ostali nespomenuti rashodi poslovanja </t>
  </si>
  <si>
    <t>Kapitalne pomoći unutar općeg proračuna - izgradnja škole u Koprivničkim Bregima</t>
  </si>
  <si>
    <t>A XXXXOdgojno obrazovno i administrativno tehničko osoblje- Glazbena škola Đurđevac</t>
  </si>
  <si>
    <t>Računalne usluge</t>
  </si>
  <si>
    <t>Premije osiguranja</t>
  </si>
  <si>
    <t>Pristojbe i naknade</t>
  </si>
  <si>
    <t>Kamate za primljene kredite i zajmove</t>
  </si>
  <si>
    <t>Zatezne kamate</t>
  </si>
  <si>
    <t>Ostali nespomenuti financijski rashodi</t>
  </si>
  <si>
    <t>K100045 Rekonstrukcija zgrade Srednje škole Koprivnica</t>
  </si>
  <si>
    <t>K100046 Rekonstrukcija zgrade Učenički dom Križevci</t>
  </si>
  <si>
    <t>A 100075 Sufinaciranje smještaja u Domu za starije osobe, Križevci</t>
  </si>
  <si>
    <t>K 100051 Izgradnja sportske dvorane OŠ "Ivan Lacković Croata" Kalinovac</t>
  </si>
  <si>
    <t>K 100052  Izgradnja sportske dvorane OŠ "Grigor Vitez" Sv. Ivan Žabno</t>
  </si>
  <si>
    <t>K 100047 Opremanje Glazbene škole "Fortunat Pintarić" Koprivnica</t>
  </si>
  <si>
    <t>Naknade građanima i kućanstvima na temelju osiguranja i druge naknade</t>
  </si>
  <si>
    <t>Ostale naknade građanima i kućanstvima iz proračuna</t>
  </si>
  <si>
    <t>Naknade građanima i kućanstvima u novcu</t>
  </si>
  <si>
    <t>Uređaji, strojevi i oprema za ostale namjene</t>
  </si>
  <si>
    <t>Doprinosi za plaće</t>
  </si>
  <si>
    <t>Izdaci za financijsku imovinu i otplate zajmova</t>
  </si>
  <si>
    <t>Izdaci za otplatu glavnice primljenih kredita i zajmova</t>
  </si>
  <si>
    <t>Izvršenje 1.1. do 31.8. 2012.</t>
  </si>
  <si>
    <t>Naknade građanima i kućanstvima u naravi-prijevoz učenika</t>
  </si>
  <si>
    <t>005 UPRAVNI ODJEL ZA GOSPODARSTVO I KOMUNALNE DJELATNOSTI</t>
  </si>
  <si>
    <t>00501 Upravni odjel za gospodarstvo i komunalne djelatnosti</t>
  </si>
  <si>
    <t xml:space="preserve">04 Ekonomski poslovi </t>
  </si>
  <si>
    <t>1011 Redovna djelatnost</t>
  </si>
  <si>
    <t>A 100019 Administracija i upravljanje</t>
  </si>
  <si>
    <t>04</t>
  </si>
  <si>
    <t>00502 Gospodarstvo</t>
  </si>
  <si>
    <t>00503  "PORA" Razvojna agencija Podravine i Prigorja</t>
  </si>
  <si>
    <t>Tekuće donacije u novcu - Savjet za sigurnost prometa Županije</t>
  </si>
  <si>
    <t>A xxxxxx Osnivački kapital "Geopodravina" i "Piškornica"</t>
  </si>
  <si>
    <t>Izdaci za dionice i udjele u glavnici</t>
  </si>
  <si>
    <t>Dionice i udjeli u glavnici trgovačkih društva u javnom sektoru</t>
  </si>
  <si>
    <t>Poslovni objekti - izgradnja školske športske dvorane OŠ Grgura Karlovčana Đurđevac</t>
  </si>
  <si>
    <t>Sportska i glazbena oprema</t>
  </si>
  <si>
    <t>PREDSJEDNICA</t>
  </si>
  <si>
    <t>T 100023  Zdrava Županija - prevencija ovisnosti za djecu i mlade i prevencija kriminaliteta</t>
  </si>
  <si>
    <t>00703 Javna ustanova za upravljanje zaštićenim prirodnim vrijednostima na području Koprivničko-križevačke županije</t>
  </si>
  <si>
    <t>A 100043 Pregled umrlih izvan zdravstvenih ustanova i javnozdravstvene mjere</t>
  </si>
  <si>
    <t>Knjige u knjižnicama</t>
  </si>
  <si>
    <t>Uredski materijal i ostali materijalni rashodi - knjige</t>
  </si>
  <si>
    <t>Materijal i sirovine - natjecanja učenika</t>
  </si>
  <si>
    <t>Sitni inventar - školski sportski klubovi</t>
  </si>
  <si>
    <t>Tekuća pomoć iz državnog proračuna za popis stanovništva</t>
  </si>
  <si>
    <t>Intelektualne i osobne usluge - županijska natjecanja učenika i izvannastavne aktivnosti</t>
  </si>
  <si>
    <t>ŽRS 1-3 Razvojna potpora malom i srednjem poduzetništvu</t>
  </si>
  <si>
    <t>ŽRS 3-2 Razvoj komunalne infrastrukture</t>
  </si>
  <si>
    <t>K xxxxxx  Izgradnja PŠ Gregurovec i knjižnice OŠ Molve</t>
  </si>
  <si>
    <t xml:space="preserve">K xxxxxx Izgradnja škole i športske dvorane u Legradu </t>
  </si>
  <si>
    <t>Knjige, umjetnička djela i ostale izložbene vrijednosti</t>
  </si>
  <si>
    <t xml:space="preserve">Ulaganja u računalne programe </t>
  </si>
  <si>
    <t>08</t>
  </si>
  <si>
    <t>K xxxxxx Izgradnja školske športske dvorane OŠ Gola</t>
  </si>
  <si>
    <t>K 100028 Izgradnja školske športske dvorane u Svetom Petru Orehovec</t>
  </si>
  <si>
    <t>Poslovni objekti - izgradnja škole i športske dvorane OŠ Sveti Petar Orehovec</t>
  </si>
  <si>
    <t>PREDSJEDNIK:</t>
  </si>
  <si>
    <t>Damir Felak, dipl.ing.</t>
  </si>
  <si>
    <t>Koprivnica,                    2013.</t>
  </si>
  <si>
    <t>12</t>
  </si>
  <si>
    <t>13</t>
  </si>
  <si>
    <t>14</t>
  </si>
  <si>
    <t>15</t>
  </si>
  <si>
    <t>16</t>
  </si>
  <si>
    <t>17</t>
  </si>
  <si>
    <t>18</t>
  </si>
  <si>
    <t>31</t>
  </si>
  <si>
    <t>41</t>
  </si>
  <si>
    <t>42</t>
  </si>
  <si>
    <t>51</t>
  </si>
  <si>
    <t>52</t>
  </si>
  <si>
    <t>54</t>
  </si>
  <si>
    <t>55</t>
  </si>
  <si>
    <t>K xxxxxx Sanacija krovišta zgrade OŠ Molve</t>
  </si>
  <si>
    <t>Materijalna imovina-prirodna bogatstva</t>
  </si>
  <si>
    <t>00903 Javne ustanove u srednjem školstvu</t>
  </si>
  <si>
    <t>E 05  Srednjoškolsko obrazovanje</t>
  </si>
  <si>
    <t>Materijal i sirovine</t>
  </si>
  <si>
    <t xml:space="preserve">Usluge telefona, pošte i prijevoza </t>
  </si>
  <si>
    <t>Plaće za prekovremeni rad</t>
  </si>
  <si>
    <t xml:space="preserve">Intelektualne i osobne usluge </t>
  </si>
  <si>
    <t>K 100033 Izgradnja zgrade Obrtničke škole u Koprivnici</t>
  </si>
  <si>
    <t>K xxxxxx Opremanje srednjoškolskih praktikuma za ugostiteljstvo i turizam</t>
  </si>
  <si>
    <t>00904 Visoka naobrazba</t>
  </si>
  <si>
    <t>Povećanje/ Smanjenje</t>
  </si>
  <si>
    <t>Indeks</t>
  </si>
  <si>
    <t>Povećanje / Smanjenje</t>
  </si>
  <si>
    <t>Tekuće donacije u novcu - Zaklada HGK za stipendiranje učenika i studenata</t>
  </si>
  <si>
    <t>Izdaci za dane zajmove neprofitnim organizacijama, građanima i kućanstvima</t>
  </si>
  <si>
    <t>00905 Programska djelatnost u kulturi</t>
  </si>
  <si>
    <t>08 Rekreacija, kultura i religija</t>
  </si>
  <si>
    <t>Projekcije za 2013.</t>
  </si>
  <si>
    <t xml:space="preserve">Plan za 2011. </t>
  </si>
  <si>
    <t>Subvencije trgovačkim društvima izvan javnog sektora -Poslovna udruživanja (klasteri, zadruge, gospodarsko interesna udruženja i sl.)</t>
  </si>
  <si>
    <t>Intelektualne i osobne usluge - Energetski pregledi i certifikati zgrada u vlasništvu županije</t>
  </si>
  <si>
    <t xml:space="preserve">Izvršeno 2010. </t>
  </si>
  <si>
    <t xml:space="preserve">Izvršeno 2009. </t>
  </si>
  <si>
    <t>00906 Programska djelatnost športa i tehnička kultura</t>
  </si>
  <si>
    <t>00907 Županijske udruge građana</t>
  </si>
  <si>
    <t>UKUPNO RASHODI I IZDACI po razdjelima</t>
  </si>
  <si>
    <t>po kontima</t>
  </si>
  <si>
    <t>Subvencije trgovačkim društvima izvan javnog sektora</t>
  </si>
  <si>
    <t>Uredska oprema i namještaj-modul za monitor</t>
  </si>
  <si>
    <t>A 100042 Djelatnost Zavoda za hitnu medicinu KKŽ</t>
  </si>
  <si>
    <t>Izvršenje 01.01. do 30.09.2011.</t>
  </si>
  <si>
    <t>ŽUPANIJSKA SKUPŠTINA</t>
  </si>
  <si>
    <t>KOPRIVNIČKO-KRIŽEVAČKE ŽUPANIJE</t>
  </si>
  <si>
    <t>Kapitalne pomoći Ministarstva gospodarstva, rada i poduzetništva - Hrvatske vode</t>
  </si>
  <si>
    <t>K 100047 Opremanje Umjetničke škole Fortunat Pintarić Koprivnica</t>
  </si>
  <si>
    <t>Intelektualne i osobne usluge - Izrada rudarsko-geološke studije potencijala i gospodarenje mineralnim sirovinama Koprivničko-križevačke županije</t>
  </si>
  <si>
    <t>Intelektualne i osobne usluge- Centar izvrsnosti Gimnazije "Fran Galović" Koprivnica</t>
  </si>
  <si>
    <t>Projekcija za 2014.</t>
  </si>
  <si>
    <t>Članak 3.</t>
  </si>
  <si>
    <t>Skupina</t>
  </si>
  <si>
    <t>Podskupina</t>
  </si>
  <si>
    <t>Odjeljak</t>
  </si>
  <si>
    <t>Broj konta</t>
  </si>
  <si>
    <t>Izvor financiranja</t>
  </si>
  <si>
    <t xml:space="preserve">funkcijska </t>
  </si>
  <si>
    <t>Rashodi i izdaci</t>
  </si>
  <si>
    <t>Plan za 2011. godinu</t>
  </si>
  <si>
    <t xml:space="preserve">001 ŽUPANIJSKA SKUPŠTINA </t>
  </si>
  <si>
    <t xml:space="preserve">00101 Županijska skupština </t>
  </si>
  <si>
    <t xml:space="preserve"> 01 Opće javne usluge</t>
  </si>
  <si>
    <t>A 01 Glavni program Županijske skupštine</t>
  </si>
  <si>
    <t>1000 Program Županijske skupštine i izvršnih tijela</t>
  </si>
  <si>
    <t>A 100001 Djelatnost Županijske skupštine i izvršnih tijela</t>
  </si>
  <si>
    <t>Rashodi poslovanja</t>
  </si>
  <si>
    <t>Materijalni rashodi</t>
  </si>
  <si>
    <t>Rashodi za usluge</t>
  </si>
  <si>
    <t>01</t>
  </si>
  <si>
    <t>Usluge promidžbe i informiranja</t>
  </si>
  <si>
    <t>Ostale usluge</t>
  </si>
  <si>
    <t>Naknade troškova osobama izvan radnog odnosa</t>
  </si>
  <si>
    <t>Ostali nespomenuti rashodi poslovanja</t>
  </si>
  <si>
    <t>Naknade za rad predstavničkih i izvršnih tijela, povjerenstava i slično</t>
  </si>
  <si>
    <t>Reprezentacija</t>
  </si>
  <si>
    <t>Članarina</t>
  </si>
  <si>
    <t>K 100001 Poticanje ravnomjernog razvoja Županije</t>
  </si>
  <si>
    <t>Pomoći unutar općeg proračuna</t>
  </si>
  <si>
    <t>05</t>
  </si>
  <si>
    <t>Kapitalne pomoći unutar općeg proračuna - JLS</t>
  </si>
  <si>
    <t>Ostali rashodi</t>
  </si>
  <si>
    <t>Tekuće donacije</t>
  </si>
  <si>
    <t>A 100003 Pomoći za elementarne nepogode</t>
  </si>
  <si>
    <t>A 100004 Sponzorstva</t>
  </si>
  <si>
    <t>Subvencije trgovačkim društvima izvan javnog sektora - E- burze za poljoprivredne proizvođače</t>
  </si>
  <si>
    <t>A 100005 Izvanredni i nepredviđeni rashodi</t>
  </si>
  <si>
    <t>Izvanredni rashodi</t>
  </si>
  <si>
    <t>Proračunska zaliha</t>
  </si>
  <si>
    <t>Rashodi za materijal i energiju</t>
  </si>
  <si>
    <t>Uredski materijal i ostali materijalni rashodi</t>
  </si>
  <si>
    <t>Tekuće donacije u novcu - Naknada troškova izborne promidžbe političkim strankama</t>
  </si>
  <si>
    <t>A 100006 Dan Županije</t>
  </si>
  <si>
    <t>Ostali nespomenuti rashodi poslovanja  (nagrade  i sl.)</t>
  </si>
  <si>
    <t>Rashodi za nabavu nefinancijske imovine</t>
  </si>
  <si>
    <t>Nematerijalna imovina</t>
  </si>
  <si>
    <t>Licence</t>
  </si>
  <si>
    <t>Postrojenja i oprema</t>
  </si>
  <si>
    <t>Izvršeno 2010.</t>
  </si>
  <si>
    <t>Izvršeno 2011.</t>
  </si>
  <si>
    <t>Uredska oprema i namještaj</t>
  </si>
  <si>
    <t>Komunikacijska oprema</t>
  </si>
  <si>
    <t>Nematerijalna proizvedena imovina</t>
  </si>
  <si>
    <t>Ulaganja u računalne programe</t>
  </si>
  <si>
    <t>1001 Program Savjeta europskih integracija Županije</t>
  </si>
  <si>
    <t>A 100007 Djelatnost Savjeta za europske integracije Županije</t>
  </si>
  <si>
    <t>Naknade troškova zaposlenima</t>
  </si>
  <si>
    <t>Službena putovanja</t>
  </si>
  <si>
    <t>Intelektualne i osobne usluge</t>
  </si>
  <si>
    <t>Članarine</t>
  </si>
  <si>
    <t>A 100008 Županijski savjet mladih</t>
  </si>
  <si>
    <t>Intelektualne i osobne usluge-izrada projekta i programa</t>
  </si>
  <si>
    <t>1003 Program Povjerenstva za ravnopravnost spolova</t>
  </si>
  <si>
    <t>A 100009 Povjerenstvo za ravnopravnost spolova</t>
  </si>
  <si>
    <t>00102 Nacionalne manjine</t>
  </si>
  <si>
    <t>01 Opće javne usluge</t>
  </si>
  <si>
    <t>A xxxxxx Popis stanovništva 2011</t>
  </si>
  <si>
    <t>A 100035 Administracija i upravljanje</t>
  </si>
  <si>
    <t>A 100013 Djelatnost romske nacionalne manjine</t>
  </si>
  <si>
    <t xml:space="preserve">A 100014 Administracija i upravljanje </t>
  </si>
  <si>
    <t>A 100015 Županijska promidžba i informiranje</t>
  </si>
  <si>
    <t>A 100016 Osnovna djelatnost Vatrogasne zajednice Županije</t>
  </si>
  <si>
    <t xml:space="preserve">A 100017 Obljetnice DVD-a Županije </t>
  </si>
  <si>
    <t>A 100020 Administracija i upravljanje</t>
  </si>
  <si>
    <t>A 100021 Županijski obrtnički i gospodarski sajmovi</t>
  </si>
  <si>
    <t>A 100022 Savjet za sigurnost prometa Županije</t>
  </si>
  <si>
    <t xml:space="preserve">A 100023 Poticanje razvoja gospodarstva </t>
  </si>
  <si>
    <t>A 100025 Poticanje razvoja malog gospodarstva u Županiji</t>
  </si>
  <si>
    <t>A 100026 Administracija i upravljanje</t>
  </si>
  <si>
    <t>A 100027 Poticanje razvoja poljoprivrede</t>
  </si>
  <si>
    <t>A 100033 Turističke manifestacije</t>
  </si>
  <si>
    <t>A 100034  Osnovna djelatnost Županijske turističke zajednice</t>
  </si>
  <si>
    <t>A 100037  Administracija i upravljanje</t>
  </si>
  <si>
    <t>A 100038 Administracija i upravljanje</t>
  </si>
  <si>
    <t>A 100039 Tekuće i investicijsko održavanje zdravstvenih ustanova</t>
  </si>
  <si>
    <t>A 100040 Otplata dugoročnog kredita Opća bolnica "Dr. T. Bardek" Koprivnica</t>
  </si>
  <si>
    <t>A 100041 Djelatnost Doma zdravlja Koprivničko-križevačke županije</t>
  </si>
  <si>
    <t>A 100045  Pomoć za ogrijev</t>
  </si>
  <si>
    <t>A 100047 Administracija i upravljanje</t>
  </si>
  <si>
    <t>A 100048 Djelatnost Društva crvenog križa Županije</t>
  </si>
  <si>
    <t>A 100049 Pomoć u kući osobama starije životne dobi</t>
  </si>
  <si>
    <t>T 100022 Izrada i ažuriranje službenih prostornih podloga državne izmjere i katastra nekretnina -Državna geodetska uprava</t>
  </si>
  <si>
    <t>T xxxxxx Informatičko opismenjavanje djece -E-KIDS program</t>
  </si>
  <si>
    <t>K xxxxxx Opremanje Javne ustanove</t>
  </si>
  <si>
    <t>K xxxxxx Izgradnja objekata osnovnih škola</t>
  </si>
  <si>
    <t>K xxxxxx Izgradnja športskih dvorana</t>
  </si>
  <si>
    <t>K xxxxxx Izgradnja i opremanje zgrade područne škole i ambulante u Gregurovcu</t>
  </si>
  <si>
    <t>K xxxxxx Dodatna ulaganja na OŠ</t>
  </si>
  <si>
    <t>K xxxxxx Izgradnja zgrade Srednje škole "Ivan Seljanec"</t>
  </si>
  <si>
    <t>A 100067 Otplata dugoročnog kredita</t>
  </si>
  <si>
    <t>A 100068 Županijska razvojna strategija 2014.-2020.</t>
  </si>
  <si>
    <t>K 100023 Izgradnja škole i športske dvorane OŠ Sokolovac</t>
  </si>
  <si>
    <t>K 100024 Dogradnja zgrade PŠ Hlebine</t>
  </si>
  <si>
    <t>K 100025 Izgradnja školske športske dvorane OŠ Kalnik</t>
  </si>
  <si>
    <t>K 100026 Dodatna ulaganja u OŠ</t>
  </si>
  <si>
    <t>K 100027 Opremanje OŠ</t>
  </si>
  <si>
    <t>K 100030 Dodatna ulaganja OŠ</t>
  </si>
  <si>
    <t>K 100032 Izgradnja zgrade područne škole Cirkvena</t>
  </si>
  <si>
    <t>K 100034 Dogradnja zgrade područne škole Sigetec</t>
  </si>
  <si>
    <t>K 100035 Izgradnja škole i športske dvorane OŠ Legrad</t>
  </si>
  <si>
    <t>K 100036 Dodatna ulaganja SŠ</t>
  </si>
  <si>
    <t>K 100037 Opremanje srednjih škola</t>
  </si>
  <si>
    <t>K 100038 Dogradnja zgrade Gimnazije Dr. Ivan Kranjčev Đurđevac</t>
  </si>
  <si>
    <t>K 100040 Opremanje SŠ</t>
  </si>
  <si>
    <t>K 100041 Proširenje prostora gradskih i općinskih ustanova kulture i knjižnog fonda</t>
  </si>
  <si>
    <t xml:space="preserve">Tekuće donacije u novcu </t>
  </si>
  <si>
    <t xml:space="preserve">008 UPRAVNI ODJEL ZA ZDRAVSTVO I SOCIJALNU SKRB </t>
  </si>
  <si>
    <t>00801 Upravni odjel za zdravstvo i socijalnu skrb</t>
  </si>
  <si>
    <t>07 Zdravstvo</t>
  </si>
  <si>
    <t>A 100036 Administracija i upravljanje</t>
  </si>
  <si>
    <t>Oprema za održavanje i zaštitu</t>
  </si>
  <si>
    <t>00802 Javne ustanove u zdravstvu</t>
  </si>
  <si>
    <t>B 02  Glavni program djelatnosti zdravstva</t>
  </si>
  <si>
    <t>Kamate na primljene kredite i zajmove</t>
  </si>
  <si>
    <t>Tekuće donacije u novcu- Savjet za sigurnost prometa Županije</t>
  </si>
  <si>
    <t>Otplata glavnice primljenih kredita i zajmova od kreditnih i ostalih financijskih institucija u javnom sektoru</t>
  </si>
  <si>
    <t>Otplata glavnice primljenih kredita od kreditnih institucija u javnom sektoru</t>
  </si>
  <si>
    <t xml:space="preserve"> Plan za 2012. godinu</t>
  </si>
  <si>
    <t>Plan za 2012. godinu</t>
  </si>
  <si>
    <t xml:space="preserve">Plan 2012. </t>
  </si>
  <si>
    <t>Medicinska i laboratorijska oprema</t>
  </si>
  <si>
    <t>Dodatna ulaganja na postrojenjima i opremi</t>
  </si>
  <si>
    <t>Zakupnine i najamnine</t>
  </si>
  <si>
    <t xml:space="preserve">00803 Javne ustanove u socijalnoj skrbi </t>
  </si>
  <si>
    <t>Sitni inventar i autogume</t>
  </si>
  <si>
    <t>Plaće za posebne uvjete rada</t>
  </si>
  <si>
    <t>K 100014 Nabava opreme za razvojnu agenciju</t>
  </si>
  <si>
    <t>Uredska oprema i namještaj- EU projekti</t>
  </si>
  <si>
    <t>Službena radna i zaštitna odjeća i obuća</t>
  </si>
  <si>
    <t>Naknade građanima i kućanstvima u naravi</t>
  </si>
  <si>
    <t>Usluge promidžbe i informiranja (službeni oglasi, objave)</t>
  </si>
  <si>
    <t>Poslovni objekti</t>
  </si>
  <si>
    <t xml:space="preserve">00804 Humanitarna skrb </t>
  </si>
  <si>
    <t>Ostvarenje 01.01.-30.09.2011</t>
  </si>
  <si>
    <t>009 UPRAVNI ODJEL ZA PROSVJETU, KULTURU, ZNANOST I ŠPORT</t>
  </si>
  <si>
    <t>00901 Upravni odjel za prosvjetu, kulturu, znanost i šport</t>
  </si>
  <si>
    <t>09 Obrazovanje</t>
  </si>
  <si>
    <t>A. RAČUN PRIHODA I RASHODA</t>
  </si>
  <si>
    <t>PRIHODI POSLOVANJA</t>
  </si>
  <si>
    <t>Izvor</t>
  </si>
  <si>
    <t>Prihodi/primici i rashodi/izdaci</t>
  </si>
  <si>
    <t>Ostvarenje 2009. godine</t>
  </si>
  <si>
    <t>Ostvarenje 2010. godina</t>
  </si>
  <si>
    <t>Ostvarenje 2010. godine</t>
  </si>
  <si>
    <t>Projekcija za 2013. godinu</t>
  </si>
  <si>
    <t>Projekcija za 2014. godinu</t>
  </si>
  <si>
    <t>1</t>
  </si>
  <si>
    <t>6</t>
  </si>
  <si>
    <t>Prihodi poslovanja</t>
  </si>
  <si>
    <t>61</t>
  </si>
  <si>
    <t>Prihodi od poreza</t>
  </si>
  <si>
    <t>611</t>
  </si>
  <si>
    <t xml:space="preserve">Porez i prirez na dohodak </t>
  </si>
  <si>
    <t>6111</t>
  </si>
  <si>
    <t>Porez i prirez na dohodak od nesamostalnog rada</t>
  </si>
  <si>
    <t>61111</t>
  </si>
  <si>
    <t>Rashod za materijal i energiju</t>
  </si>
  <si>
    <t>Porez i prirez na dohodak od nesamostalnog rada 
- za redovnu djelatnost</t>
  </si>
  <si>
    <t>Plan 2013. početni</t>
  </si>
  <si>
    <t>Porez i prirez na dohodak od nesamostalnog rada, za decentralizirane funkcije</t>
  </si>
  <si>
    <t>6112</t>
  </si>
  <si>
    <t>Porez i prirez na dohodak od samostalnih djelatnosti</t>
  </si>
  <si>
    <t>6113</t>
  </si>
  <si>
    <t>Porez i prirez na dohodak od imovine i imovinskih prava</t>
  </si>
  <si>
    <t>6114</t>
  </si>
  <si>
    <t>Porez i prirez na dohodak od kapitala</t>
  </si>
  <si>
    <t>6115</t>
  </si>
  <si>
    <t>Porez i prirez na dohodak po godišnjoj prijavi</t>
  </si>
  <si>
    <t>6116</t>
  </si>
  <si>
    <t>T 100005 "Piškornica" d.o.o. sufinanciranje provedbe investicije RCGO sjeverozapadne Hrvatske</t>
  </si>
  <si>
    <t xml:space="preserve">T 100006 Katastarska izmjera zemljišta </t>
  </si>
  <si>
    <t>T 100008 Sustavno gospodarenje energijom - sufinanciranje korištenja solarnih kolektora</t>
  </si>
  <si>
    <t>A 100028 Obrana od tuče</t>
  </si>
  <si>
    <t xml:space="preserve">A 100029  Provođenje Zakona o lovu  </t>
  </si>
  <si>
    <t>A 100030 Sufinanciranje djelatnosti Istraživačkog centra šumarskog instituta, Centar za urbane i privatne šume Varaždin</t>
  </si>
  <si>
    <t>632</t>
  </si>
  <si>
    <t>Pomoći od međunarodnih organizacija te institucija i tijela EU</t>
  </si>
  <si>
    <t>6323</t>
  </si>
  <si>
    <t>Tekuće pomoći od institucija i tijela EU</t>
  </si>
  <si>
    <t>63231</t>
  </si>
  <si>
    <t>6324</t>
  </si>
  <si>
    <t>Kapitalne pomoći o institucija i tijela EU</t>
  </si>
  <si>
    <t>63241</t>
  </si>
  <si>
    <t>Kapitalne pomoći od institucija i tijela EU</t>
  </si>
  <si>
    <t>K 100054 EU projekt- Nabava opreme za DRAVIS 3</t>
  </si>
  <si>
    <t>Doprinosi za obezno zdravstveno u slučaju nezaposlenosti</t>
  </si>
  <si>
    <t>Doprinosi za obvezno zdrastveno u slučaju nezaposlenosti</t>
  </si>
  <si>
    <t>A 100031 Poljoprivredna i turistička događanja županijskog značaja</t>
  </si>
  <si>
    <t>1007 Program romske nacionalne manjine</t>
  </si>
  <si>
    <t xml:space="preserve">1008 Redovna djelatnost </t>
  </si>
  <si>
    <t xml:space="preserve">1009 Program zaštite od požara </t>
  </si>
  <si>
    <t>1012 Redovna djelatnost</t>
  </si>
  <si>
    <t>1013 Konkurentno gospodarstvo</t>
  </si>
  <si>
    <t>1014 Komunalno gospodarstvo</t>
  </si>
  <si>
    <t>1015  Vodno gospodarstvo</t>
  </si>
  <si>
    <t>1017  Poticanje razvoja obrta, malog i srednjeg poduzetništva, te regionalni razvoj Županije</t>
  </si>
  <si>
    <t>1018 Redovna djelatnost</t>
  </si>
  <si>
    <t>1019 Razvoj poljoprivrede</t>
  </si>
  <si>
    <t>1020 Lovno gospodarstvo</t>
  </si>
  <si>
    <t>1021 Razvoj ruralnog turizma</t>
  </si>
  <si>
    <t>1022 Program turističkih događanja</t>
  </si>
  <si>
    <t>1023  Redovna djelatnost</t>
  </si>
  <si>
    <t>1024  Redovna djelatnost</t>
  </si>
  <si>
    <t>1025  Zaštita, održavanje i promicanje zaštićenih dijelova prirode Županije</t>
  </si>
  <si>
    <t>1027 Zakonski standard u zdravstvu</t>
  </si>
  <si>
    <t>1028 Potrebe iznad zakonskog standarda</t>
  </si>
  <si>
    <t>1030  Zakonski standard Doma za starije i nemoćne osobe</t>
  </si>
  <si>
    <t>Kapitalna donacija -  nabava knjiga općinskim i gradskim knjižnicama</t>
  </si>
  <si>
    <t>Uredski materijal i ostali materijalni rashodi - OŠ Koprivnički Ivanec u osnivanju</t>
  </si>
  <si>
    <t>Usluge tekućeg i investicijskog održavanja - OŠ Koprivnički Ivanec u osnivanju</t>
  </si>
  <si>
    <t>Ostali nespomenuti rashodi poslovanja (sudski postupak)</t>
  </si>
  <si>
    <t>Dodatna ulaganja na građevinskim objektima - Fond za zaštitu okoliša i energetsku učinkovitost</t>
  </si>
  <si>
    <t>6148</t>
  </si>
  <si>
    <t>Naknade za priređivanje igara na sreću</t>
  </si>
  <si>
    <t>Kapitalna pomoć - Fond za zaštitu okoliša i energetsku učinkovitost za sufinanciranje projekata energetske učinkovitosti u zgradarstvu</t>
  </si>
  <si>
    <t>Ostali nespomenuti rashodi poslovanja - špricanje komaraca</t>
  </si>
  <si>
    <t>Kapitalne donacije građanima i kućanstvima</t>
  </si>
  <si>
    <t>Kapitalna donacija -Dodatna ulaganja na gradskim i općinskim ustanovama kulture</t>
  </si>
  <si>
    <t>68</t>
  </si>
  <si>
    <t>Kazne, upravne mjere i ostali prihodi</t>
  </si>
  <si>
    <t>683</t>
  </si>
  <si>
    <t>Ostali prihodi</t>
  </si>
  <si>
    <t>6831</t>
  </si>
  <si>
    <t xml:space="preserve">1032  Humanitarna skrb </t>
  </si>
  <si>
    <t>1033 Redovna djelatnost</t>
  </si>
  <si>
    <t>1038 Javne županijske potrebe visoke naobrazbe</t>
  </si>
  <si>
    <t>1039 Program javnih potreba u kulturi</t>
  </si>
  <si>
    <t>Osnivački kapital trgovačkog društva "Geopodravina" Kutnjak</t>
  </si>
  <si>
    <t>07</t>
  </si>
  <si>
    <t xml:space="preserve">Subvencije </t>
  </si>
  <si>
    <t>Subvencije trgovačkim društvima, poljoprivrednicima i obrtnicima izvan javnog sektora</t>
  </si>
  <si>
    <t>Subvencije</t>
  </si>
  <si>
    <t>Izdaci za dane zajmove</t>
  </si>
  <si>
    <t>Pomoći dane u inozemstvo i unutar općeg proračuna</t>
  </si>
  <si>
    <t>Subvencije trgovačkim društvima u javnom sektoru</t>
  </si>
  <si>
    <t>Rashodi za nabavu neproizvedene dugotrajne imovine</t>
  </si>
  <si>
    <t>Materijalna imovina - prirodna bogatstva</t>
  </si>
  <si>
    <t>Zemljište</t>
  </si>
  <si>
    <t>Rashodi za nabavu prizvedene dugotrajne imovine</t>
  </si>
  <si>
    <t>Poslovni objekt - izgradnja škole i športske dvorane OŠ Sveti Petar Orehovec</t>
  </si>
  <si>
    <t>Tekuće donacije u novcu - Studijska putovanja i  nastupi na sajmovima</t>
  </si>
  <si>
    <t>Građevinski objekti</t>
  </si>
  <si>
    <t>A 100032 Poljoprivredne turističke manifestacije- Dani travnjaka, Dan povrća, Dani voća, Tradicija naših starih</t>
  </si>
  <si>
    <t>007 UPRAVNI ODJEL ZA PROSTORNO UREĐENJE, GRADNJU I ZAŠTITU OKOLIŠA</t>
  </si>
  <si>
    <t>1002 Program Županijskog savjeta mladih</t>
  </si>
  <si>
    <t xml:space="preserve">Intelektualne i osobne usluge  </t>
  </si>
  <si>
    <t>ŽRS 4-2 Očuvanje kulturne baštine i poticanje kulturnog stvaralaštva</t>
  </si>
  <si>
    <t>06 Usluge unapređenja stanovanja i zajednice</t>
  </si>
  <si>
    <t>FUNKCIJSKA KLASIFIKACIJA                            03 JAVNI RED I SIGURNOST</t>
  </si>
  <si>
    <t>FUNKCIJSKA KLASIFIKACIJA                            05 ZAŠTITA OKOLIŠA</t>
  </si>
  <si>
    <t>FUNKCIJSKA KLASIFIKACIJA                            04 EKONOMSKI POSLOVI</t>
  </si>
  <si>
    <t>3</t>
  </si>
  <si>
    <t>FUNKCIJSKA KLASIFIKACIJA                                01 OPĆE JAVNE USLUGE</t>
  </si>
  <si>
    <t>Izvršenje 1.1. do 31.5. 2013.</t>
  </si>
  <si>
    <t xml:space="preserve">Novi plan 2013. </t>
  </si>
  <si>
    <t>Ostvarenje 1.1. do 31.5.2013.</t>
  </si>
  <si>
    <t>Novi plan 2013.</t>
  </si>
  <si>
    <t>Izvršenje 1.1. do 31.5.2013</t>
  </si>
  <si>
    <t xml:space="preserve">FUNKCIJSKA KLASIFIKACIJA                            06 USLUGE UNAPRJEĐENJE STANOVANJA I ZAJEDNICE                                                             </t>
  </si>
  <si>
    <t>FUNKCIJSKA KLASIFIKACIJA                            08 REKREACIJA, KULTURA I RELIGIJA</t>
  </si>
  <si>
    <t>32</t>
  </si>
  <si>
    <t>FUNKCIJSKA KLASIFIKACIJA                            09 OBRAZOVANJE</t>
  </si>
  <si>
    <t>FUNKCIJSKA KLASIFIKACIJA                            10 SOCIJALNA SKRB</t>
  </si>
  <si>
    <t>FUNKCIJSKA KLASIFIKACIJA                            07 ZDRAVSTVO</t>
  </si>
  <si>
    <t>UKUPNO RASHODI/IZDACI</t>
  </si>
  <si>
    <t>FUNKCIJSKA KLASIFIKACIJA PRORAČUNA KOPRIVNIČKO-KRIŽEVAČKE ŽUPANIJE ZA 2013. GODINU I PROJEKCIJA ZA 2014. I 2015. GODINU</t>
  </si>
  <si>
    <t xml:space="preserve"> Rashodi/izdaci</t>
  </si>
  <si>
    <t>Projekcija 2014.</t>
  </si>
  <si>
    <t>Projekcija 2015.</t>
  </si>
  <si>
    <t>Porez i prirez na dohodak</t>
  </si>
  <si>
    <t>Prihodi polovanja</t>
  </si>
  <si>
    <t>PRIHODI ZA POSEBNE NAMJENE</t>
  </si>
  <si>
    <t>IZVOR DECENTRALIZIRANA SREDSTVA (porez na dohodak)</t>
  </si>
  <si>
    <t>PLAN RAZVOJNIH PROGRAMA</t>
  </si>
  <si>
    <t>Projekcije za 2014. godinu</t>
  </si>
  <si>
    <t>Plan za2013. godinu</t>
  </si>
  <si>
    <t>T 100029 Tematski turistički putovi</t>
  </si>
  <si>
    <t>T 100030 Poticanje opremanja objekata za preradu i kušanje poljoprivrednih proizvoda: sirevi, vino, mesne prerađevine, rakije i med</t>
  </si>
  <si>
    <t>T 100027 Utvrđivanje genetske sposobnosti putem analize mlijeka</t>
  </si>
  <si>
    <t>T 100028 Poticanje utvrđivanja kvalitete meda</t>
  </si>
  <si>
    <t>T 100032 Subvencije poljoprivrednicima - izrada dokumentacije za legalizaciju izrađenih gospodarskih objekata u poljoprivredi</t>
  </si>
  <si>
    <t>T 100026 Financijska potpora fizičkim osobama za investicije u sunčeve toplinske sustave i ostale mjere energetske učinkovitosti</t>
  </si>
  <si>
    <t>T 100024 Lokalni projekt razvoja 2013.</t>
  </si>
  <si>
    <t>T 100025 Osnivanje klastera</t>
  </si>
  <si>
    <t>Projekcija za 2015. godinu</t>
  </si>
  <si>
    <t>06</t>
  </si>
  <si>
    <t xml:space="preserve">Tekuće donacije u novcu za rashode poslovanja </t>
  </si>
  <si>
    <t>Tekuća pomoć iz državnog proračuna za JPP</t>
  </si>
  <si>
    <t>Tekuće donacije u novcu za rashode poslovanja  - Program IPA</t>
  </si>
  <si>
    <t>ŽRS 1-2 Potpora razvoju konkurentne primarne poljoprivrede i unapređenje ruralnog razvoja</t>
  </si>
  <si>
    <t>Rashodi za dodatna ulaganja na nefinancijskoj imovini</t>
  </si>
  <si>
    <t>Dodatna ulaganja na građevinskim objektima</t>
  </si>
  <si>
    <t>00601 Upravni odjel za poljoprivredu, ruralni razvoj i turizam</t>
  </si>
  <si>
    <t xml:space="preserve">Tekuće donacije u novcu -- Inozemni investicijski sajmovi </t>
  </si>
  <si>
    <t>00602 Poljoprivreda i turizam</t>
  </si>
  <si>
    <t>K 100042 Dogradnja odjela pedijatrije Opće bolnice "dr. T. Bardek" Koprivnica</t>
  </si>
  <si>
    <t>10 Socijalna skrb</t>
  </si>
  <si>
    <t>C 03 Centri za socijalnu skrb za socijalnu skrb i Dom za starije i nemoćne osobe Koprivnica</t>
  </si>
  <si>
    <t>1029 Zakonski standard centara za socijalnu skrb i pomoć za ogrijev</t>
  </si>
  <si>
    <t>A 100044 Centri za socijalnu skrb</t>
  </si>
  <si>
    <t>Intelektualne i osobne usluge - obrazovanje specijaliziranih zanimanja u poljoprivredi pri obrazovnim ustanovama (edukacija, seminari, projekti i stručna putovanja)</t>
  </si>
  <si>
    <t>Intelektualne i osobne usluge-provedba Zakona o poljoprivrednom zemljištu prema Zakonu o poljoprivrednom zemljištu</t>
  </si>
  <si>
    <t>Intelektualne i osobne usluge - izrada dizajna i tiska markice vizualne identifikacije kvalitete -kkq</t>
  </si>
  <si>
    <t>Intelektualne i osobne usluge-sufinanciranje VIP projekta</t>
  </si>
  <si>
    <t>Knjige</t>
  </si>
  <si>
    <t>Tekuće donacije u novcu-promidžba i izložba primarne poljoprivredne proizvodnje (sajmovi, manifestacije natjecanja)</t>
  </si>
  <si>
    <t>IZVOR OPĆI PRIHODI I PRIMICI</t>
  </si>
  <si>
    <t>IZVOR POMOĆI</t>
  </si>
  <si>
    <t>IZVOR PRIHODI OD PRODAJE IMOVINE</t>
  </si>
  <si>
    <t>IZVOR PRIHODI ZA POSEBNE NAMJENE</t>
  </si>
  <si>
    <t>IZVOR DONACIJE</t>
  </si>
  <si>
    <t>IZVOR  POMOĆI</t>
  </si>
  <si>
    <t>IZVOR DECENTRALIZIRANA SREDSTVA (pomoći)</t>
  </si>
  <si>
    <t>IZVOR DECENTRALIZIRANA SREDSTVA (porez na dohodak i pomoći)</t>
  </si>
  <si>
    <t>IZVOR DECENTRALIZIRANA SREDSTVA ( pomoći)</t>
  </si>
  <si>
    <t>T xxxxxx Poticanje OPG prijavom u sustav PDV-a</t>
  </si>
  <si>
    <t>Članak 4.</t>
  </si>
  <si>
    <t>PREDSJEDNICA:</t>
  </si>
  <si>
    <t>Tekuće donacije u novcu lovačkim organizacijama za provođenje Zakona o lovu</t>
  </si>
  <si>
    <t xml:space="preserve">K xxxxxx Turistička infrastruktura </t>
  </si>
  <si>
    <t>Ostala prava</t>
  </si>
  <si>
    <t>Višegodišnji nasadi i osnovno stado</t>
  </si>
  <si>
    <t xml:space="preserve">Višegodišnji nasadi </t>
  </si>
  <si>
    <t>00603 Županijska turistička zajednica</t>
  </si>
  <si>
    <t xml:space="preserve"> 04 Ekonomski poslovi </t>
  </si>
  <si>
    <t>Zdravstvene i veterinarske usluge</t>
  </si>
  <si>
    <t>Instrumenti, uređaji i strojevi</t>
  </si>
  <si>
    <t>Službena, radna i zaštitna odjeća i obuća</t>
  </si>
  <si>
    <t xml:space="preserve"> 007 UPRAVNI ODJEL ZA PROSTORNO UREĐENJE, GRADNJU I ZAŠTITU OKOLIŠA</t>
  </si>
  <si>
    <t>00701 Upravni odjel za prostorno uređenje, gradnju i zaštitu okoliša</t>
  </si>
  <si>
    <t>00702 Zavod za prostorno uređenje Koprivničko-križevačke županije</t>
  </si>
  <si>
    <t xml:space="preserve"> 06 Usluge unapređenja stanovanja i zajednice</t>
  </si>
  <si>
    <t>1026  Redovna djelatnost</t>
  </si>
  <si>
    <t>05  Zaštita okoliša</t>
  </si>
  <si>
    <t>Ostale naknade troškova zaposlenima</t>
  </si>
  <si>
    <t>Materijal i dijelovi za tekuće i investicijsko održavanje</t>
  </si>
  <si>
    <t>A 100050 Sigurna kuća za žrtve obiteljskog nasilja</t>
  </si>
  <si>
    <t>Poslovni objekt</t>
  </si>
  <si>
    <t>A 100051 Administracija i upravljanje</t>
  </si>
  <si>
    <t>A 100052 Odgojnoobrazovno, administrativno i tehničko osoblje</t>
  </si>
  <si>
    <t>A 100053 Županijske javne potrebe u osnovnom školstvu</t>
  </si>
  <si>
    <t>A 100054 Odgojnoobrazovno i administrativno tehničko osoblje</t>
  </si>
  <si>
    <t>rashodi po izvorima</t>
  </si>
  <si>
    <t>pirhodi - rashodi</t>
  </si>
  <si>
    <t>A 100055 Odgojno obrazovno i administrativno tehničko osoblje -Glazbena škola "Albert Štriga" Križevci</t>
  </si>
  <si>
    <t>A 100056 Odgojno obrazovno i administrativno tehničko osoblje -Glazbena škola "Fortunat Pintarić" Koprivnica</t>
  </si>
  <si>
    <t>A 100057 Županijske javne potrebe u SŠ</t>
  </si>
  <si>
    <t xml:space="preserve">A 100058 Kreditiranje studenata </t>
  </si>
  <si>
    <t>A 100059 Subvencioniranje kamate za studentske kredite</t>
  </si>
  <si>
    <t>A 100060 Djelatnost udruga i ustanova u kulturi</t>
  </si>
  <si>
    <t>A 100061 Sufinanciranje izdavačke djelatnosti od interesa za Županiju - otkup knjiga</t>
  </si>
  <si>
    <t>Izvršenje u 2011.</t>
  </si>
  <si>
    <t xml:space="preserve">Novi plan 2012. </t>
  </si>
  <si>
    <t>Novi plan za 2012. godinu</t>
  </si>
  <si>
    <t>A 100062 Djelatnost Zajednice sportova Županije i Zajednice za tehničku kulturu Županije</t>
  </si>
  <si>
    <t>A 100063 Djelatnost udruga građana iz područja odgoja, obrazovanja i kulture</t>
  </si>
  <si>
    <t>A 100024 Sustavno gospodarenje energijom u Županiji-energetski pregledi</t>
  </si>
  <si>
    <t>T 1000XX Poticanje razvoja poslovnog udruživanja (klasteri, zadruge, gospodarska interesna udruženja i sl.)</t>
  </si>
  <si>
    <t>K 100022 Opremanje Upravnog odjela za prosvjetu, kulturu, znanost i šport</t>
  </si>
  <si>
    <t xml:space="preserve">A 100065 Lokalni izbori </t>
  </si>
  <si>
    <t>A 100066  Donacija HGSS-Stanica Bjelovar za redovnu djelatnost na području Županije</t>
  </si>
  <si>
    <t>Tekuće pomoći od ostalih proračunskih korisnika</t>
  </si>
  <si>
    <t>6342</t>
  </si>
  <si>
    <t>KLASA: 400-06/12-01/24</t>
  </si>
  <si>
    <t>URBROJ: 2137/1-03/01-12-35</t>
  </si>
  <si>
    <t>IZDACI ZA FINANCIJSKU IMOVINU I OTPLATE ZAJMOVA</t>
  </si>
  <si>
    <t>Naknade za koncesije za ekspoataciju neenergetskih mineralnih sirovina</t>
  </si>
  <si>
    <t>Kapitalne pomoći - Fond za zaštitu okoliša i energetsku učinkovitost - Piškornica</t>
  </si>
  <si>
    <t>6514</t>
  </si>
  <si>
    <t>Ostale pristojbe i naknade</t>
  </si>
  <si>
    <t>6118</t>
  </si>
  <si>
    <t>Dio poreza na doghodak dobiven kroz potpore izravnavanja</t>
  </si>
  <si>
    <t>Kapitalna pomoć - Fond za regionalni razvoj - izgradnja akumulacije Sirova Katalena</t>
  </si>
  <si>
    <t>635</t>
  </si>
  <si>
    <t>Pomoći izravnanja za decentralizirane funkcije</t>
  </si>
  <si>
    <t>6351</t>
  </si>
  <si>
    <t>6352</t>
  </si>
  <si>
    <t>64</t>
  </si>
  <si>
    <t>Prihodi od imovine</t>
  </si>
  <si>
    <t>641</t>
  </si>
  <si>
    <t>Prihodi od financijske imovine</t>
  </si>
  <si>
    <t>6411</t>
  </si>
  <si>
    <t>Prihodi od kamata na dane zajmove</t>
  </si>
  <si>
    <t>6413</t>
  </si>
  <si>
    <t>Kamate na oročena sredstva i depozite po viđenju</t>
  </si>
  <si>
    <t>6414</t>
  </si>
  <si>
    <t>Prihodi od zateznih kamata</t>
  </si>
  <si>
    <t>11</t>
  </si>
  <si>
    <t>6416</t>
  </si>
  <si>
    <t>Prihodi od dividendi</t>
  </si>
  <si>
    <t>642</t>
  </si>
  <si>
    <t>Prihodi od nefinancijske imovine</t>
  </si>
  <si>
    <t>6421</t>
  </si>
  <si>
    <t xml:space="preserve">Naknade za koncesije </t>
  </si>
  <si>
    <t>UKUPNO PRIHODI POSLOVANJA</t>
  </si>
  <si>
    <t>Naknade za koncesije  - distribucija plina</t>
  </si>
  <si>
    <t>Naknade za koncesije za pravo na lov</t>
  </si>
  <si>
    <t>Plaće (Bruto)</t>
  </si>
  <si>
    <t>III. ZAVRŠNA ODREDBA</t>
  </si>
  <si>
    <t>K 100002 Poslovni prostor za Obrtničku komoru Koprivničko-križevačke županije</t>
  </si>
  <si>
    <t>006 UPRAVNI ODJEL ZA POLJOPRIVREDU, RURALNI RAZVOJ I TURIZAM</t>
  </si>
  <si>
    <t>Materijal i sirovine - županijska natjecanja i smotre učenika</t>
  </si>
  <si>
    <t>Materijal i sirovine - pamučne majice za maturante</t>
  </si>
  <si>
    <t>Usluge telefona, pošte i prijevoza - suradnja s drugim županijama</t>
  </si>
  <si>
    <t>Kapitalne pomoći unutar općeg proračuna dodatna ulaganja na gradskim i općim ustanovama kulture</t>
  </si>
  <si>
    <t>Nepredviđeni rashodi do visine proračunske pričuve</t>
  </si>
  <si>
    <t>Usluge telefona, pošte i prijevoza - županijska natjecanja i smotre učenika</t>
  </si>
  <si>
    <t>Usluge telefona, pošte i prijevoza - predškola za romsku djecu</t>
  </si>
  <si>
    <t xml:space="preserve">Naknade za rad predstavničkih i izvršnih tijela, povjerenstava i slično - izborna povjerenstava i ostale naknade </t>
  </si>
  <si>
    <t>Naknade za rad predstavničkih i izvršnih tijela, povjerenstava i slično - naknade popisivačima i instruktorima i dr. - popis stanovništva</t>
  </si>
  <si>
    <t>Subvencije trgovačim društvima u javnom sektoru - sufinanciranje provedbe investicije</t>
  </si>
  <si>
    <t>Kapitalne donacije neprofitnim organizacijama - DVD-ima Županije</t>
  </si>
  <si>
    <t>Kapitalne donacije neprofitnim organizacijama - za nabavu nefinancijske imovine</t>
  </si>
  <si>
    <t>Ostvareno / izvršeno I-IX 2013</t>
  </si>
  <si>
    <t>Izvršenje 2012.godine</t>
  </si>
  <si>
    <t>Ostvareno / izvršeno 2012. godina</t>
  </si>
  <si>
    <t>POMOĆI</t>
  </si>
  <si>
    <t>K 100002 Poslovni prostor za Obrtničku komoru KKŽ</t>
  </si>
  <si>
    <t>Tekuće donacije u novcu za rashode poslovanja</t>
  </si>
  <si>
    <t>Usluge tekućeg i investicijskog odrţavanja</t>
  </si>
  <si>
    <t>Naknade za rad predstavničkih i izvršnih tijela,</t>
  </si>
  <si>
    <t>povjerenstava i slično</t>
  </si>
  <si>
    <t>PRIHODI PO POSEBNIM PROPISIMA</t>
  </si>
  <si>
    <t>Oprema za odrţavanje i zaštitu</t>
  </si>
  <si>
    <t xml:space="preserve">K 100024 Dogradnja zgrade OŠ Kalnik </t>
  </si>
  <si>
    <t>OPĆI PRIHODI I PRIMICI</t>
  </si>
  <si>
    <t>Knjige, umjetnička djela i ostale izloţbene vrijednosti</t>
  </si>
  <si>
    <t>Knjige u knjiţnicama</t>
  </si>
  <si>
    <t>Plaće za prekovreni rad</t>
  </si>
  <si>
    <t xml:space="preserve">Uredski materijal i ostali materijalni rashodi </t>
  </si>
  <si>
    <t>Sitni inventar</t>
  </si>
  <si>
    <t>Intelektualni i osobne usluge</t>
  </si>
  <si>
    <t>Ostala nematerijalna proizvedena imovina - glavni projekti-investicijsko tehnička dokumentacija</t>
  </si>
  <si>
    <t>Ostala nematerijalna proizvedena imovina - glavni projekti</t>
  </si>
  <si>
    <t>Dani zajmovi neprofitnim organizacijama, građanima i kućanstvima u tuzemstvu  - Kreditiranje studenata</t>
  </si>
  <si>
    <t>Naknade za koncesije na vodama i javnom vodnom dobru</t>
  </si>
  <si>
    <t>K 100050 Dodatna ulaganja na građevinskim objektima Opće bolnice-odjel za palijativnu skrb i izgradnju garaža</t>
  </si>
  <si>
    <t>K 100039 Dogradnja zgrade Gimnazije I.Z. Dijankovečkoga Križevci</t>
  </si>
  <si>
    <t>Rahodi za nabavu nefinancijske imovine</t>
  </si>
  <si>
    <t>K 100055 Izgradnja školske sportske dvorane OŠ "Mihovil Pavlek Miškina" Đelekovec</t>
  </si>
  <si>
    <t>Naknade za koncesije ambalažni otpad</t>
  </si>
  <si>
    <t>6422</t>
  </si>
  <si>
    <t>6423</t>
  </si>
  <si>
    <t>643</t>
  </si>
  <si>
    <t>6432</t>
  </si>
  <si>
    <t>6436</t>
  </si>
  <si>
    <t>Prihodi od kamata na dane zajmove trgovačkim društvima i obrtnicima izvan javnog sektora</t>
  </si>
  <si>
    <t>65</t>
  </si>
  <si>
    <t>651</t>
  </si>
  <si>
    <t>Upravne i administrativne pristojbe</t>
  </si>
  <si>
    <t>6512</t>
  </si>
  <si>
    <t xml:space="preserve">PREDSJEDNICA: </t>
  </si>
  <si>
    <t>Županijske, gradske i općinske pristojbe i naknade</t>
  </si>
  <si>
    <t>6513</t>
  </si>
  <si>
    <t>Ostale upravne pristojbe i naknade</t>
  </si>
  <si>
    <t>652</t>
  </si>
  <si>
    <t>Prihodi po posebnim propisima</t>
  </si>
  <si>
    <t>6526</t>
  </si>
  <si>
    <t>Ostali nespomenuti prihodi po posebnim propisima - Dom za starije i nemoćne Koprivnica</t>
  </si>
  <si>
    <t xml:space="preserve">K 100031  Izgradnja škole u Koprivničkim Bregima </t>
  </si>
  <si>
    <t>Ostali nespomenuti prihodi za posebne namjene - škole</t>
  </si>
  <si>
    <t>Povećanje/ smanjenje</t>
  </si>
  <si>
    <t xml:space="preserve">Ostali nespomenuti prihodi </t>
  </si>
  <si>
    <t>PRIHODI OD PRODAJE NEFINANCIJSKE IMOVINE</t>
  </si>
  <si>
    <t>7</t>
  </si>
  <si>
    <t>Prihodi od prodaje nefinancijske imovine</t>
  </si>
  <si>
    <t>71</t>
  </si>
  <si>
    <t>Prihodi od prodaje neproizvedene dugotrajne imovine</t>
  </si>
  <si>
    <t>711</t>
  </si>
  <si>
    <t xml:space="preserve">Ostali nespomenuti financijski rashodi </t>
  </si>
  <si>
    <t>Prihodi od prodaje materijalne imovine - prirodnih bogatstava</t>
  </si>
  <si>
    <t>7111</t>
  </si>
  <si>
    <t>B. RAČUN FINANCIRANJA</t>
  </si>
  <si>
    <t>PRIMICI OD FINANCIJSKE IMOVINE I ZADUŽIVANJA</t>
  </si>
  <si>
    <t>8</t>
  </si>
  <si>
    <t>Primici od financijske imovine i zaduživanja</t>
  </si>
  <si>
    <t>81</t>
  </si>
  <si>
    <t>Primljene otplate (povrati) glavnice danih zajmova</t>
  </si>
  <si>
    <t>816</t>
  </si>
  <si>
    <t>Primici (povrati) glavnice zajmova danih trgovačkim društvima i obrtnicima izvan javnog sektora</t>
  </si>
  <si>
    <t>8163</t>
  </si>
  <si>
    <t>Povrat zajmova danih tuzemnim trgovačkim društvima izvan javnog sektora</t>
  </si>
  <si>
    <t>8164</t>
  </si>
  <si>
    <t>Povrat zajmova danih tuzemnim obrtnicima</t>
  </si>
  <si>
    <t>83</t>
  </si>
  <si>
    <t xml:space="preserve">Primici od prodaje dionica i udjela u glavnici </t>
  </si>
  <si>
    <t>832</t>
  </si>
  <si>
    <t>Primici od prodaje dionica i udjela u glavnici trgovačkih društava u javnom sektoru</t>
  </si>
  <si>
    <t>8321</t>
  </si>
  <si>
    <t>K 100013  Izgradnja komunalne vodne infrastrukture</t>
  </si>
  <si>
    <t>Dionice i udjeli u glavnici trgovačkih društava u javnom sektoru</t>
  </si>
  <si>
    <t>84</t>
  </si>
  <si>
    <t>Primici od zaduživanja</t>
  </si>
  <si>
    <t>842</t>
  </si>
  <si>
    <t>Primljeni krediti i zajmovi od kreditnih i ostalih financijskih institucija u javnom sektoru</t>
  </si>
  <si>
    <t>8422</t>
  </si>
  <si>
    <t>844</t>
  </si>
  <si>
    <t>8443</t>
  </si>
  <si>
    <t>RASHODI POSLOVANJA</t>
  </si>
  <si>
    <t xml:space="preserve">Ostale usluge </t>
  </si>
  <si>
    <t>351</t>
  </si>
  <si>
    <t>Naknade građanima i kućanstvima u naravi-karte za prijevoz</t>
  </si>
  <si>
    <t>Kapitalne donacije neprofitnim organizacijama</t>
  </si>
  <si>
    <t>RASHODI ZA NABAVU NEFINANCIJSKE IMOVINE</t>
  </si>
  <si>
    <t>411</t>
  </si>
  <si>
    <t>4124</t>
  </si>
  <si>
    <t xml:space="preserve">Ostala prava </t>
  </si>
  <si>
    <t xml:space="preserve">Poslovni objekti </t>
  </si>
  <si>
    <t>Ceste</t>
  </si>
  <si>
    <t>Ostali građevinski objekti</t>
  </si>
  <si>
    <t>Prijevoza sredstva u cestovnom prometu</t>
  </si>
  <si>
    <t>4251</t>
  </si>
  <si>
    <t>Ostala nematerijalna proizvedena imovina</t>
  </si>
  <si>
    <t>IZDACI ZA FINANCIJSKU IMOVNU I OTPLATE ZAJMOVA</t>
  </si>
  <si>
    <t>Dani zajmovi neprofitnim organizacijama, građanima i kućanstvima u tuzemstvu</t>
  </si>
  <si>
    <t>Koprivnica,                    2012.</t>
  </si>
  <si>
    <t>Izdaci za dane zajmove trgovačkim društvima, obrtnicima, malom i srednjem poduzetništvu izvan javnog sektora</t>
  </si>
  <si>
    <t>Dani zajmovi tuzemnim trgovačkim društvima, obrtnicima, malom i srednjem poduzetništvu izvan javnog sektora</t>
  </si>
  <si>
    <t>53</t>
  </si>
  <si>
    <t>532</t>
  </si>
  <si>
    <t>A 100046 Administracija i upravljanje</t>
  </si>
  <si>
    <t>Plaća za redovan rad</t>
  </si>
  <si>
    <t>09</t>
  </si>
  <si>
    <t>00902 Javne ustanove u osnovnom školstvu</t>
  </si>
  <si>
    <t>D 04  Osnovnoškolsko obrazovanje</t>
  </si>
  <si>
    <t>Usluge prijevoza učenika</t>
  </si>
  <si>
    <t xml:space="preserve">Usluge telefona, pošte </t>
  </si>
  <si>
    <t>Poslovni objekti - izgradnja škole i športske dvorane OŠ Legrad</t>
  </si>
  <si>
    <t>Ostvareno / Izvršeno od 1.1. do 31.08.0214</t>
  </si>
  <si>
    <t>Indeks (ostvareno / izvršeno)</t>
  </si>
  <si>
    <t>5=(4/3)*100</t>
  </si>
  <si>
    <t>PRORAČUN ZA 2015.</t>
  </si>
  <si>
    <t>Ostvareno / Izvršeno od 1.1. do 30.09.2014</t>
  </si>
  <si>
    <t>Ostvareno / Izvršeno od 1.1. do 31.10.0214</t>
  </si>
  <si>
    <t>NOVI PLAN ZA 2014. GODINU (III)</t>
  </si>
  <si>
    <t>Ostvareno / Izvršeno od 1.1. do 31.12.2014</t>
  </si>
  <si>
    <t xml:space="preserve">NOVI PLAN ZA 2015. GODINU </t>
  </si>
  <si>
    <t>Ostvareno / Izvršeno od 1.1. do 31.3.2015</t>
  </si>
  <si>
    <t>Ostvareno / Izvršeno od 1.1. do 30.6.2015</t>
  </si>
  <si>
    <t xml:space="preserve">NOVI PLAN II A 2015. GODINU </t>
  </si>
  <si>
    <t>Ostvareno / Izvršeno od 1.1. do 31.8.2015</t>
  </si>
  <si>
    <t>PLAN PRORAČUNA ZA 2017.</t>
  </si>
  <si>
    <t>C) PRENESENA SREDSTVA</t>
  </si>
  <si>
    <t>D) UKUPNO</t>
  </si>
  <si>
    <t>POVEĆANJE / SMANJENJE</t>
  </si>
  <si>
    <t>POVEĆANJE/SMANJENJE</t>
  </si>
  <si>
    <t>PLAN PRORAČUNA ZA 2018.</t>
  </si>
  <si>
    <t>ZA 2018. GODINU I PROJEKCIJE ZA 2019. I 2020. GODINU</t>
  </si>
  <si>
    <t>Ukupno prihodi</t>
  </si>
  <si>
    <t>Ukupno rashodi</t>
  </si>
  <si>
    <t>Razlika - višak / manjak</t>
  </si>
  <si>
    <t>UKUPAN DONOS VIŠKA/MANJKA IZ PRETHODNE(IH) GODINA</t>
  </si>
  <si>
    <t>Višak / manjak + neto financiranje</t>
  </si>
  <si>
    <t>Neto financiranje</t>
  </si>
  <si>
    <t>NOVI PLAN ZA 2018.</t>
  </si>
  <si>
    <t>A) RAČUN PRIHODA I RASHODA</t>
  </si>
  <si>
    <t>B) RAČUN FINANCIRANJA</t>
  </si>
  <si>
    <t>VIŠAK/MANJAK IZ PRETHODNE(IH) GODINA KOJI ĆE SE POKRITI/RASPOREDITI U RAZDOBLJU 2018.-2020.</t>
  </si>
  <si>
    <t xml:space="preserve">IZMJENE I DOPUNE FINANCIJSKOG PLANA SREDNJE GOSPODARSKE ŠKOLE KRIŽEVCI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</si>
</sst>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k_n_-;\-* #,##0.00\ _k_n_-;_-* &quot;-&quot;??\ _k_n_-;_-@_-"/>
  </numFmts>
  <fonts count="111" x14ac:knownFonts="1">
    <font>
      <sz val="10"/>
      <name val="Arial"/>
      <charset val="238"/>
    </font>
    <font>
      <sz val="10"/>
      <name val="Arial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2"/>
      <color indexed="8"/>
      <name val="Arial"/>
      <family val="2"/>
      <charset val="238"/>
    </font>
    <font>
      <sz val="12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indexed="8"/>
      <name val="Arial"/>
      <family val="2"/>
    </font>
    <font>
      <b/>
      <sz val="12"/>
      <color indexed="8"/>
      <name val="Arial CE"/>
      <family val="2"/>
      <charset val="238"/>
    </font>
    <font>
      <b/>
      <sz val="12"/>
      <color indexed="8"/>
      <name val="Arial CE"/>
      <charset val="238"/>
    </font>
    <font>
      <sz val="12"/>
      <color indexed="8"/>
      <name val="Arial CE"/>
      <family val="2"/>
      <charset val="238"/>
    </font>
    <font>
      <i/>
      <sz val="12"/>
      <color indexed="8"/>
      <name val="Arial CE"/>
      <family val="2"/>
      <charset val="238"/>
    </font>
    <font>
      <b/>
      <sz val="12"/>
      <name val="Arial CE"/>
      <family val="2"/>
      <charset val="238"/>
    </font>
    <font>
      <sz val="12"/>
      <color indexed="8"/>
      <name val="Arial CE"/>
      <charset val="238"/>
    </font>
    <font>
      <sz val="12"/>
      <name val="Arial CE"/>
      <family val="2"/>
      <charset val="238"/>
    </font>
    <font>
      <i/>
      <sz val="12"/>
      <color indexed="8"/>
      <name val="Arial CE"/>
      <charset val="238"/>
    </font>
    <font>
      <sz val="12"/>
      <name val="Arial CE"/>
      <charset val="238"/>
    </font>
    <font>
      <i/>
      <sz val="12"/>
      <name val="Arial CE"/>
      <family val="2"/>
      <charset val="238"/>
    </font>
    <font>
      <sz val="14"/>
      <color indexed="8"/>
      <name val="Arial"/>
      <family val="2"/>
    </font>
    <font>
      <sz val="12"/>
      <name val="Arial"/>
      <family val="2"/>
    </font>
    <font>
      <b/>
      <sz val="14"/>
      <color indexed="8"/>
      <name val="Arial"/>
      <family val="2"/>
    </font>
    <font>
      <sz val="14"/>
      <name val="Arial"/>
      <family val="2"/>
      <charset val="238"/>
    </font>
    <font>
      <sz val="14"/>
      <color indexed="12"/>
      <name val="Arial"/>
      <family val="2"/>
    </font>
    <font>
      <sz val="14"/>
      <color indexed="23"/>
      <name val="Arial"/>
      <family val="2"/>
    </font>
    <font>
      <sz val="14"/>
      <color indexed="10"/>
      <name val="Arial"/>
      <family val="2"/>
    </font>
    <font>
      <sz val="14"/>
      <color indexed="12"/>
      <name val="Arial"/>
      <family val="2"/>
      <charset val="238"/>
    </font>
    <font>
      <b/>
      <sz val="14"/>
      <color indexed="57"/>
      <name val="Arial"/>
      <family val="2"/>
      <charset val="238"/>
    </font>
    <font>
      <sz val="14"/>
      <name val="Arial"/>
      <family val="2"/>
    </font>
    <font>
      <b/>
      <sz val="14"/>
      <name val="Arial"/>
      <family val="2"/>
    </font>
    <font>
      <sz val="14"/>
      <color indexed="59"/>
      <name val="Arial"/>
      <family val="2"/>
    </font>
    <font>
      <b/>
      <sz val="14"/>
      <color indexed="8"/>
      <name val="Arial"/>
      <family val="2"/>
      <charset val="238"/>
    </font>
    <font>
      <sz val="14"/>
      <color indexed="8"/>
      <name val="Arial"/>
      <family val="2"/>
      <charset val="238"/>
    </font>
    <font>
      <sz val="14"/>
      <color indexed="8"/>
      <name val="Arial CE"/>
      <family val="2"/>
      <charset val="238"/>
    </font>
    <font>
      <b/>
      <sz val="12"/>
      <name val="Arial"/>
      <family val="2"/>
    </font>
    <font>
      <sz val="12"/>
      <color indexed="10"/>
      <name val="Arial"/>
      <family val="2"/>
    </font>
    <font>
      <sz val="12"/>
      <color indexed="52"/>
      <name val="Arial"/>
      <family val="2"/>
    </font>
    <font>
      <i/>
      <sz val="12"/>
      <color indexed="8"/>
      <name val="Arial"/>
      <family val="2"/>
    </font>
    <font>
      <i/>
      <sz val="12"/>
      <name val="Arial"/>
      <family val="2"/>
    </font>
    <font>
      <b/>
      <sz val="12"/>
      <color indexed="10"/>
      <name val="Arial"/>
      <family val="2"/>
    </font>
    <font>
      <b/>
      <sz val="12"/>
      <color indexed="52"/>
      <name val="Arial"/>
      <family val="2"/>
    </font>
    <font>
      <b/>
      <sz val="12"/>
      <name val="Arial"/>
      <family val="2"/>
      <charset val="238"/>
    </font>
    <font>
      <b/>
      <sz val="12"/>
      <color indexed="8"/>
      <name val="Arial"/>
      <family val="2"/>
      <charset val="238"/>
    </font>
    <font>
      <b/>
      <sz val="12"/>
      <color indexed="10"/>
      <name val="Arial CE"/>
      <family val="2"/>
      <charset val="238"/>
    </font>
    <font>
      <i/>
      <sz val="9"/>
      <color indexed="8"/>
      <name val="Arial CE"/>
      <family val="2"/>
      <charset val="238"/>
    </font>
    <font>
      <u/>
      <sz val="14"/>
      <name val="Arial"/>
      <family val="2"/>
      <charset val="238"/>
    </font>
    <font>
      <b/>
      <sz val="12"/>
      <name val="Arial CE"/>
      <charset val="238"/>
    </font>
    <font>
      <sz val="12"/>
      <name val="Arial"/>
      <family val="2"/>
      <charset val="238"/>
    </font>
    <font>
      <i/>
      <sz val="12"/>
      <name val="Arial CE"/>
      <charset val="238"/>
    </font>
    <font>
      <sz val="12"/>
      <color indexed="9"/>
      <name val="Arial"/>
      <family val="2"/>
      <charset val="238"/>
    </font>
    <font>
      <b/>
      <sz val="12"/>
      <color indexed="8"/>
      <name val="Arial"/>
      <family val="2"/>
    </font>
    <font>
      <b/>
      <i/>
      <sz val="12"/>
      <name val="Arial CE"/>
      <charset val="238"/>
    </font>
    <font>
      <b/>
      <sz val="14"/>
      <name val="Arial"/>
      <family val="2"/>
      <charset val="238"/>
    </font>
    <font>
      <b/>
      <u/>
      <sz val="14"/>
      <name val="Arial"/>
      <family val="2"/>
      <charset val="238"/>
    </font>
    <font>
      <b/>
      <sz val="12"/>
      <name val="Arial"/>
      <family val="2"/>
      <charset val="238"/>
    </font>
    <font>
      <b/>
      <i/>
      <sz val="12"/>
      <color indexed="8"/>
      <name val="Arial CE"/>
      <family val="2"/>
      <charset val="238"/>
    </font>
    <font>
      <b/>
      <sz val="14"/>
      <color indexed="10"/>
      <name val="Arial"/>
      <family val="2"/>
      <charset val="238"/>
    </font>
    <font>
      <b/>
      <sz val="14"/>
      <color indexed="12"/>
      <name val="Arial"/>
      <family val="2"/>
      <charset val="238"/>
    </font>
    <font>
      <sz val="14"/>
      <color indexed="57"/>
      <name val="Arial"/>
      <family val="2"/>
      <charset val="238"/>
    </font>
    <font>
      <b/>
      <sz val="14"/>
      <color indexed="10"/>
      <name val="Arial"/>
      <family val="2"/>
    </font>
    <font>
      <b/>
      <sz val="14"/>
      <color indexed="12"/>
      <name val="Arial"/>
      <family val="2"/>
    </font>
    <font>
      <b/>
      <sz val="14"/>
      <color indexed="23"/>
      <name val="Arial"/>
      <family val="2"/>
    </font>
    <font>
      <b/>
      <sz val="14"/>
      <color indexed="57"/>
      <name val="Arial"/>
      <family val="2"/>
    </font>
    <font>
      <i/>
      <sz val="12"/>
      <color indexed="10"/>
      <name val="Arial"/>
      <family val="2"/>
    </font>
    <font>
      <i/>
      <sz val="12"/>
      <color indexed="52"/>
      <name val="Arial"/>
      <family val="2"/>
    </font>
    <font>
      <i/>
      <sz val="12"/>
      <name val="Arial"/>
      <family val="2"/>
      <charset val="238"/>
    </font>
    <font>
      <b/>
      <i/>
      <sz val="12"/>
      <color indexed="8"/>
      <name val="Arial CE"/>
      <charset val="238"/>
    </font>
    <font>
      <b/>
      <i/>
      <sz val="12"/>
      <name val="Arial CE"/>
      <family val="2"/>
      <charset val="238"/>
    </font>
    <font>
      <i/>
      <sz val="12"/>
      <color indexed="8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12"/>
      <color indexed="10"/>
      <name val="Arial CE"/>
      <family val="2"/>
      <charset val="238"/>
    </font>
    <font>
      <sz val="10"/>
      <name val="Arial"/>
      <family val="2"/>
      <charset val="238"/>
    </font>
    <font>
      <sz val="9"/>
      <color indexed="8"/>
      <name val="Arial CE"/>
      <family val="2"/>
      <charset val="238"/>
    </font>
    <font>
      <sz val="12"/>
      <color indexed="10"/>
      <name val="Arial CE"/>
      <charset val="238"/>
    </font>
    <font>
      <sz val="12"/>
      <color indexed="8"/>
      <name val="Arial CE"/>
      <family val="2"/>
      <charset val="238"/>
    </font>
    <font>
      <b/>
      <sz val="12"/>
      <color indexed="8"/>
      <name val="Arial CE"/>
      <family val="2"/>
      <charset val="238"/>
    </font>
    <font>
      <i/>
      <sz val="12"/>
      <color indexed="16"/>
      <name val="Arial CE"/>
      <family val="2"/>
      <charset val="238"/>
    </font>
    <font>
      <sz val="12"/>
      <color indexed="53"/>
      <name val="Arial CE"/>
      <family val="2"/>
      <charset val="238"/>
    </font>
    <font>
      <sz val="12"/>
      <color indexed="10"/>
      <name val="Arial CE"/>
      <family val="2"/>
      <charset val="238"/>
    </font>
    <font>
      <sz val="12"/>
      <color indexed="8"/>
      <name val="Arial CE"/>
      <family val="2"/>
      <charset val="238"/>
    </font>
    <font>
      <b/>
      <sz val="12"/>
      <color indexed="8"/>
      <name val="Arial CE"/>
      <family val="2"/>
      <charset val="238"/>
    </font>
    <font>
      <b/>
      <sz val="12"/>
      <color indexed="10"/>
      <name val="Arial CE"/>
      <family val="2"/>
      <charset val="238"/>
    </font>
    <font>
      <sz val="12"/>
      <color indexed="10"/>
      <name val="Arial"/>
      <family val="2"/>
    </font>
    <font>
      <sz val="12"/>
      <color indexed="10"/>
      <name val="Arial CE"/>
      <charset val="238"/>
    </font>
    <font>
      <sz val="12"/>
      <color indexed="8"/>
      <name val="Arial CE"/>
      <family val="2"/>
      <charset val="238"/>
    </font>
    <font>
      <sz val="12"/>
      <color indexed="10"/>
      <name val="Arial CE"/>
      <family val="2"/>
      <charset val="238"/>
    </font>
    <font>
      <i/>
      <sz val="12"/>
      <color indexed="8"/>
      <name val="Arial CE"/>
      <charset val="238"/>
    </font>
    <font>
      <sz val="12"/>
      <color indexed="8"/>
      <name val="Arial"/>
      <family val="2"/>
    </font>
    <font>
      <i/>
      <sz val="12"/>
      <color indexed="8"/>
      <name val="Arial CE"/>
      <family val="2"/>
      <charset val="238"/>
    </font>
    <font>
      <b/>
      <sz val="12"/>
      <color indexed="8"/>
      <name val="Arial CE"/>
      <family val="2"/>
      <charset val="238"/>
    </font>
    <font>
      <sz val="12"/>
      <color indexed="10"/>
      <name val="Arial CE"/>
      <family val="2"/>
      <charset val="238"/>
    </font>
    <font>
      <sz val="8"/>
      <name val="Arial"/>
      <family val="2"/>
      <charset val="238"/>
    </font>
    <font>
      <sz val="14"/>
      <color indexed="53"/>
      <name val="Arial"/>
      <family val="2"/>
      <charset val="238"/>
    </font>
    <font>
      <sz val="14"/>
      <color indexed="9"/>
      <name val="Arial"/>
      <family val="2"/>
      <charset val="238"/>
    </font>
    <font>
      <sz val="9"/>
      <color indexed="81"/>
      <name val="Segoe UI"/>
      <family val="2"/>
      <charset val="238"/>
    </font>
    <font>
      <b/>
      <sz val="9"/>
      <color indexed="81"/>
      <name val="Segoe UI"/>
      <family val="2"/>
      <charset val="238"/>
    </font>
    <font>
      <sz val="14"/>
      <color indexed="8"/>
      <name val="Arial"/>
      <family val="2"/>
      <charset val="238"/>
    </font>
    <font>
      <b/>
      <sz val="14"/>
      <color indexed="53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5" fillId="20" borderId="1" applyNumberFormat="0" applyAlignment="0" applyProtection="0"/>
    <xf numFmtId="0" fontId="4" fillId="3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3" fillId="22" borderId="0" applyNumberFormat="0" applyBorder="0" applyAlignment="0" applyProtection="0"/>
    <xf numFmtId="0" fontId="110" fillId="0" borderId="0"/>
    <xf numFmtId="0" fontId="82" fillId="0" borderId="0"/>
    <xf numFmtId="0" fontId="82" fillId="0" borderId="0"/>
    <xf numFmtId="0" fontId="12" fillId="0" borderId="6" applyNumberFormat="0" applyFill="0" applyAlignment="0" applyProtection="0"/>
    <xf numFmtId="0" fontId="6" fillId="21" borderId="2" applyNumberFormat="0" applyAlignment="0" applyProtection="0"/>
    <xf numFmtId="0" fontId="7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1" fillId="7" borderId="1" applyNumberFormat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109" fillId="0" borderId="0" applyFont="0" applyFill="0" applyBorder="0" applyAlignment="0" applyProtection="0"/>
  </cellStyleXfs>
  <cellXfs count="786">
    <xf numFmtId="0" fontId="0" fillId="0" borderId="0" xfId="0"/>
    <xf numFmtId="0" fontId="38" fillId="0" borderId="0" xfId="0" applyFont="1" applyAlignment="1">
      <alignment horizontal="center" wrapText="1"/>
    </xf>
    <xf numFmtId="0" fontId="38" fillId="0" borderId="0" xfId="0" applyFont="1" applyAlignment="1">
      <alignment horizontal="left" wrapText="1"/>
    </xf>
    <xf numFmtId="0" fontId="16" fillId="23" borderId="0" xfId="0" applyFont="1" applyFill="1" applyAlignment="1">
      <alignment horizontal="left" vertical="justify" wrapText="1"/>
    </xf>
    <xf numFmtId="0" fontId="15" fillId="23" borderId="0" xfId="0" applyFont="1" applyFill="1" applyAlignment="1">
      <alignment horizontal="left" vertical="justify" wrapText="1"/>
    </xf>
    <xf numFmtId="0" fontId="17" fillId="0" borderId="0" xfId="0" applyFont="1" applyAlignment="1">
      <alignment horizontal="left" vertical="justify" wrapText="1"/>
    </xf>
    <xf numFmtId="0" fontId="15" fillId="0" borderId="0" xfId="0" applyFont="1"/>
    <xf numFmtId="0" fontId="15" fillId="0" borderId="0" xfId="0" applyFont="1" applyAlignment="1">
      <alignment wrapText="1"/>
    </xf>
    <xf numFmtId="39" fontId="18" fillId="23" borderId="8" xfId="0" applyNumberFormat="1" applyFont="1" applyFill="1" applyBorder="1" applyAlignment="1">
      <alignment horizontal="center" vertical="center" wrapText="1"/>
    </xf>
    <xf numFmtId="39" fontId="18" fillId="0" borderId="8" xfId="0" applyNumberFormat="1" applyFont="1" applyBorder="1" applyAlignment="1">
      <alignment horizontal="center" vertical="center" wrapText="1"/>
    </xf>
    <xf numFmtId="0" fontId="15" fillId="24" borderId="8" xfId="0" applyFont="1" applyFill="1" applyBorder="1" applyAlignment="1">
      <alignment horizontal="center" wrapText="1"/>
    </xf>
    <xf numFmtId="49" fontId="19" fillId="25" borderId="8" xfId="0" applyNumberFormat="1" applyFont="1" applyFill="1" applyBorder="1" applyAlignment="1">
      <alignment horizontal="left" vertical="top" wrapText="1"/>
    </xf>
    <xf numFmtId="49" fontId="20" fillId="26" borderId="8" xfId="0" applyNumberFormat="1" applyFont="1" applyFill="1" applyBorder="1" applyAlignment="1">
      <alignment horizontal="left" vertical="center" wrapText="1"/>
    </xf>
    <xf numFmtId="49" fontId="19" fillId="26" borderId="8" xfId="0" applyNumberFormat="1" applyFont="1" applyFill="1" applyBorder="1" applyAlignment="1">
      <alignment horizontal="left" vertical="center" wrapText="1"/>
    </xf>
    <xf numFmtId="49" fontId="21" fillId="27" borderId="8" xfId="0" applyNumberFormat="1" applyFont="1" applyFill="1" applyBorder="1" applyAlignment="1">
      <alignment horizontal="left" vertical="center" wrapText="1"/>
    </xf>
    <xf numFmtId="49" fontId="22" fillId="0" borderId="8" xfId="0" applyNumberFormat="1" applyFont="1" applyFill="1" applyBorder="1" applyAlignment="1">
      <alignment horizontal="left" vertical="center" wrapText="1"/>
    </xf>
    <xf numFmtId="49" fontId="21" fillId="0" borderId="8" xfId="0" applyNumberFormat="1" applyFont="1" applyFill="1" applyBorder="1" applyAlignment="1">
      <alignment horizontal="left" vertical="center" wrapText="1"/>
    </xf>
    <xf numFmtId="4" fontId="21" fillId="23" borderId="8" xfId="0" applyNumberFormat="1" applyFont="1" applyFill="1" applyBorder="1" applyAlignment="1">
      <alignment horizontal="right" vertical="center" wrapText="1"/>
    </xf>
    <xf numFmtId="4" fontId="21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19" fillId="26" borderId="8" xfId="0" applyNumberFormat="1" applyFont="1" applyFill="1" applyBorder="1" applyAlignment="1">
      <alignment horizontal="right" vertical="center" wrapText="1"/>
    </xf>
    <xf numFmtId="4" fontId="21" fillId="27" borderId="8" xfId="0" applyNumberFormat="1" applyFont="1" applyFill="1" applyBorder="1" applyAlignment="1">
      <alignment horizontal="right" vertical="center" wrapText="1"/>
    </xf>
    <xf numFmtId="49" fontId="19" fillId="25" borderId="8" xfId="0" applyNumberFormat="1" applyFont="1" applyFill="1" applyBorder="1" applyAlignment="1">
      <alignment horizontal="left" vertical="center" wrapText="1"/>
    </xf>
    <xf numFmtId="4" fontId="22" fillId="23" borderId="8" xfId="0" applyNumberFormat="1" applyFont="1" applyFill="1" applyBorder="1" applyAlignment="1">
      <alignment horizontal="right" vertical="center" wrapText="1"/>
    </xf>
    <xf numFmtId="49" fontId="24" fillId="0" borderId="8" xfId="0" applyNumberFormat="1" applyFont="1" applyFill="1" applyBorder="1" applyAlignment="1">
      <alignment horizontal="left" vertical="center" wrapText="1"/>
    </xf>
    <xf numFmtId="4" fontId="19" fillId="25" borderId="8" xfId="0" applyNumberFormat="1" applyFont="1" applyFill="1" applyBorder="1" applyAlignment="1">
      <alignment horizontal="left" vertical="center" wrapText="1"/>
    </xf>
    <xf numFmtId="0" fontId="20" fillId="26" borderId="8" xfId="0" applyFont="1" applyFill="1" applyBorder="1" applyAlignment="1">
      <alignment vertical="center" wrapText="1"/>
    </xf>
    <xf numFmtId="4" fontId="25" fillId="23" borderId="8" xfId="0" applyNumberFormat="1" applyFont="1" applyFill="1" applyBorder="1" applyAlignment="1">
      <alignment horizontal="right" vertical="center" wrapText="1"/>
    </xf>
    <xf numFmtId="4" fontId="25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8" xfId="0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vertical="center" wrapText="1"/>
    </xf>
    <xf numFmtId="49" fontId="24" fillId="23" borderId="8" xfId="0" applyNumberFormat="1" applyFont="1" applyFill="1" applyBorder="1" applyAlignment="1">
      <alignment horizontal="left" vertical="center" wrapText="1"/>
    </xf>
    <xf numFmtId="1" fontId="19" fillId="26" borderId="8" xfId="0" applyNumberFormat="1" applyFont="1" applyFill="1" applyBorder="1" applyAlignment="1">
      <alignment horizontal="left" vertical="center" wrapText="1"/>
    </xf>
    <xf numFmtId="1" fontId="19" fillId="25" borderId="8" xfId="0" applyNumberFormat="1" applyFont="1" applyFill="1" applyBorder="1" applyAlignment="1">
      <alignment horizontal="left" vertical="center" wrapText="1"/>
    </xf>
    <xf numFmtId="4" fontId="21" fillId="0" borderId="8" xfId="0" applyNumberFormat="1" applyFont="1" applyFill="1" applyBorder="1" applyAlignment="1">
      <alignment horizontal="left" vertical="center" wrapText="1"/>
    </xf>
    <xf numFmtId="4" fontId="21" fillId="23" borderId="8" xfId="0" applyNumberFormat="1" applyFont="1" applyFill="1" applyBorder="1" applyAlignment="1">
      <alignment vertical="center" wrapText="1"/>
    </xf>
    <xf numFmtId="0" fontId="19" fillId="26" borderId="8" xfId="0" applyFont="1" applyFill="1" applyBorder="1" applyAlignment="1">
      <alignment vertical="center" wrapText="1"/>
    </xf>
    <xf numFmtId="49" fontId="24" fillId="27" borderId="8" xfId="0" applyNumberFormat="1" applyFont="1" applyFill="1" applyBorder="1" applyAlignment="1">
      <alignment horizontal="left" vertical="center" wrapText="1"/>
    </xf>
    <xf numFmtId="4" fontId="24" fillId="27" borderId="8" xfId="0" applyNumberFormat="1" applyFont="1" applyFill="1" applyBorder="1" applyAlignment="1">
      <alignment horizontal="right" vertical="center" wrapText="1"/>
    </xf>
    <xf numFmtId="4" fontId="28" fillId="23" borderId="8" xfId="0" applyNumberFormat="1" applyFont="1" applyFill="1" applyBorder="1" applyAlignment="1">
      <alignment horizontal="right" vertical="center" wrapText="1"/>
    </xf>
    <xf numFmtId="49" fontId="26" fillId="0" borderId="8" xfId="0" applyNumberFormat="1" applyFont="1" applyFill="1" applyBorder="1" applyAlignment="1">
      <alignment horizontal="left" vertical="center" wrapText="1"/>
    </xf>
    <xf numFmtId="0" fontId="21" fillId="0" borderId="8" xfId="0" applyNumberFormat="1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left" vertical="center" wrapText="1"/>
    </xf>
    <xf numFmtId="0" fontId="22" fillId="0" borderId="8" xfId="0" applyFont="1" applyFill="1" applyBorder="1" applyAlignment="1">
      <alignment horizontal="left" vertical="center" wrapText="1"/>
    </xf>
    <xf numFmtId="49" fontId="18" fillId="0" borderId="8" xfId="0" applyNumberFormat="1" applyFont="1" applyBorder="1" applyAlignment="1">
      <alignment horizontal="left" vertical="top" wrapText="1"/>
    </xf>
    <xf numFmtId="43" fontId="21" fillId="0" borderId="8" xfId="40" applyFont="1" applyFill="1" applyBorder="1" applyAlignment="1">
      <alignment horizontal="left" vertical="center" wrapText="1"/>
    </xf>
    <xf numFmtId="4" fontId="25" fillId="23" borderId="8" xfId="0" applyNumberFormat="1" applyFont="1" applyFill="1" applyBorder="1" applyAlignment="1">
      <alignment vertical="center" wrapText="1"/>
    </xf>
    <xf numFmtId="1" fontId="21" fillId="0" borderId="8" xfId="0" applyNumberFormat="1" applyFont="1" applyFill="1" applyBorder="1" applyAlignment="1">
      <alignment horizontal="left" vertical="center" wrapText="1"/>
    </xf>
    <xf numFmtId="4" fontId="16" fillId="23" borderId="8" xfId="0" quotePrefix="1" applyNumberFormat="1" applyFont="1" applyFill="1" applyBorder="1" applyAlignment="1">
      <alignment horizontal="right" vertical="center"/>
    </xf>
    <xf numFmtId="0" fontId="15" fillId="23" borderId="0" xfId="0" applyFont="1" applyFill="1" applyAlignment="1">
      <alignment horizontal="center"/>
    </xf>
    <xf numFmtId="0" fontId="16" fillId="23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4" fontId="30" fillId="23" borderId="0" xfId="0" applyNumberFormat="1" applyFont="1" applyFill="1" applyAlignment="1">
      <alignment horizontal="center" vertical="center"/>
    </xf>
    <xf numFmtId="0" fontId="30" fillId="0" borderId="0" xfId="0" applyFont="1"/>
    <xf numFmtId="4" fontId="23" fillId="26" borderId="8" xfId="0" applyNumberFormat="1" applyFont="1" applyFill="1" applyBorder="1" applyAlignment="1">
      <alignment horizontal="right" vertical="center" wrapText="1"/>
    </xf>
    <xf numFmtId="4" fontId="27" fillId="27" borderId="8" xfId="0" applyNumberFormat="1" applyFont="1" applyFill="1" applyBorder="1" applyAlignment="1">
      <alignment horizontal="right" vertical="center" wrapText="1"/>
    </xf>
    <xf numFmtId="4" fontId="25" fillId="27" borderId="8" xfId="0" applyNumberFormat="1" applyFont="1" applyFill="1" applyBorder="1" applyAlignment="1">
      <alignment horizontal="right" vertical="center" wrapText="1"/>
    </xf>
    <xf numFmtId="39" fontId="18" fillId="0" borderId="9" xfId="0" applyNumberFormat="1" applyFont="1" applyBorder="1" applyAlignment="1">
      <alignment horizontal="center" vertical="center" wrapText="1"/>
    </xf>
    <xf numFmtId="0" fontId="29" fillId="0" borderId="0" xfId="0" applyFont="1"/>
    <xf numFmtId="0" fontId="31" fillId="0" borderId="0" xfId="0" applyFont="1" applyBorder="1"/>
    <xf numFmtId="0" fontId="29" fillId="0" borderId="0" xfId="0" applyFont="1" applyBorder="1"/>
    <xf numFmtId="0" fontId="32" fillId="0" borderId="0" xfId="0" applyFont="1" applyFill="1"/>
    <xf numFmtId="0" fontId="32" fillId="0" borderId="0" xfId="0" applyFont="1"/>
    <xf numFmtId="0" fontId="29" fillId="0" borderId="10" xfId="0" applyFont="1" applyBorder="1"/>
    <xf numFmtId="0" fontId="29" fillId="0" borderId="0" xfId="0" quotePrefix="1" applyFont="1" applyAlignment="1">
      <alignment horizontal="right"/>
    </xf>
    <xf numFmtId="49" fontId="29" fillId="0" borderId="8" xfId="0" applyNumberFormat="1" applyFont="1" applyBorder="1" applyAlignment="1">
      <alignment horizontal="center" vertical="center" textRotation="180" wrapText="1"/>
    </xf>
    <xf numFmtId="39" fontId="29" fillId="0" borderId="8" xfId="0" applyNumberFormat="1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 wrapText="1"/>
    </xf>
    <xf numFmtId="0" fontId="29" fillId="28" borderId="8" xfId="0" applyFont="1" applyFill="1" applyBorder="1" applyAlignment="1">
      <alignment horizontal="center" wrapText="1"/>
    </xf>
    <xf numFmtId="0" fontId="29" fillId="28" borderId="0" xfId="0" applyFont="1" applyFill="1" applyBorder="1" applyAlignment="1">
      <alignment horizontal="center" wrapText="1"/>
    </xf>
    <xf numFmtId="0" fontId="33" fillId="28" borderId="8" xfId="0" applyFont="1" applyFill="1" applyBorder="1"/>
    <xf numFmtId="0" fontId="33" fillId="28" borderId="0" xfId="0" applyFont="1" applyFill="1"/>
    <xf numFmtId="49" fontId="31" fillId="28" borderId="8" xfId="0" applyNumberFormat="1" applyFont="1" applyFill="1" applyBorder="1" applyAlignment="1">
      <alignment horizontal="center" vertical="center" wrapText="1"/>
    </xf>
    <xf numFmtId="49" fontId="31" fillId="28" borderId="8" xfId="0" applyNumberFormat="1" applyFont="1" applyFill="1" applyBorder="1" applyAlignment="1">
      <alignment horizontal="left" vertical="top" wrapText="1"/>
    </xf>
    <xf numFmtId="4" fontId="31" fillId="28" borderId="8" xfId="0" applyNumberFormat="1" applyFont="1" applyFill="1" applyBorder="1" applyAlignment="1">
      <alignment wrapText="1"/>
    </xf>
    <xf numFmtId="49" fontId="31" fillId="24" borderId="8" xfId="0" applyNumberFormat="1" applyFont="1" applyFill="1" applyBorder="1" applyAlignment="1">
      <alignment horizontal="center" vertical="top" wrapText="1"/>
    </xf>
    <xf numFmtId="49" fontId="31" fillId="24" borderId="8" xfId="0" applyNumberFormat="1" applyFont="1" applyFill="1" applyBorder="1" applyAlignment="1">
      <alignment horizontal="left" vertical="top" wrapText="1"/>
    </xf>
    <xf numFmtId="4" fontId="31" fillId="24" borderId="8" xfId="0" applyNumberFormat="1" applyFont="1" applyFill="1" applyBorder="1" applyAlignment="1">
      <alignment wrapText="1"/>
    </xf>
    <xf numFmtId="4" fontId="31" fillId="24" borderId="9" xfId="0" applyNumberFormat="1" applyFont="1" applyFill="1" applyBorder="1" applyAlignment="1">
      <alignment wrapText="1"/>
    </xf>
    <xf numFmtId="0" fontId="33" fillId="24" borderId="0" xfId="0" applyFont="1" applyFill="1"/>
    <xf numFmtId="49" fontId="29" fillId="0" borderId="8" xfId="0" quotePrefix="1" applyNumberFormat="1" applyFont="1" applyBorder="1" applyAlignment="1">
      <alignment horizontal="center" vertical="top" wrapText="1"/>
    </xf>
    <xf numFmtId="49" fontId="29" fillId="0" borderId="8" xfId="0" applyNumberFormat="1" applyFont="1" applyBorder="1" applyAlignment="1">
      <alignment horizontal="center" vertical="top" wrapText="1"/>
    </xf>
    <xf numFmtId="49" fontId="29" fillId="0" borderId="8" xfId="0" applyNumberFormat="1" applyFont="1" applyBorder="1" applyAlignment="1">
      <alignment horizontal="left" vertical="top" wrapText="1"/>
    </xf>
    <xf numFmtId="4" fontId="29" fillId="0" borderId="8" xfId="0" applyNumberFormat="1" applyFont="1" applyBorder="1" applyAlignment="1">
      <alignment wrapText="1"/>
    </xf>
    <xf numFmtId="4" fontId="29" fillId="23" borderId="8" xfId="0" applyNumberFormat="1" applyFont="1" applyFill="1" applyBorder="1" applyAlignment="1">
      <alignment wrapText="1"/>
    </xf>
    <xf numFmtId="4" fontId="29" fillId="0" borderId="9" xfId="0" applyNumberFormat="1" applyFont="1" applyBorder="1" applyAlignment="1">
      <alignment wrapText="1"/>
    </xf>
    <xf numFmtId="0" fontId="33" fillId="0" borderId="0" xfId="0" applyFont="1"/>
    <xf numFmtId="4" fontId="29" fillId="0" borderId="8" xfId="0" applyNumberFormat="1" applyFont="1" applyBorder="1" applyAlignment="1">
      <alignment horizontal="right" wrapText="1"/>
    </xf>
    <xf numFmtId="0" fontId="34" fillId="0" borderId="0" xfId="0" applyFont="1"/>
    <xf numFmtId="0" fontId="35" fillId="0" borderId="0" xfId="0" applyFont="1"/>
    <xf numFmtId="0" fontId="36" fillId="0" borderId="0" xfId="0" applyFont="1"/>
    <xf numFmtId="0" fontId="37" fillId="0" borderId="0" xfId="0" applyFont="1"/>
    <xf numFmtId="0" fontId="35" fillId="24" borderId="0" xfId="0" applyFont="1" applyFill="1"/>
    <xf numFmtId="4" fontId="29" fillId="0" borderId="8" xfId="0" applyNumberFormat="1" applyFont="1" applyFill="1" applyBorder="1" applyAlignment="1">
      <alignment horizontal="right" wrapText="1"/>
    </xf>
    <xf numFmtId="49" fontId="35" fillId="0" borderId="8" xfId="0" applyNumberFormat="1" applyFont="1" applyBorder="1" applyAlignment="1">
      <alignment horizontal="left" vertical="top" wrapText="1"/>
    </xf>
    <xf numFmtId="49" fontId="38" fillId="23" borderId="8" xfId="0" applyNumberFormat="1" applyFont="1" applyFill="1" applyBorder="1" applyAlignment="1">
      <alignment horizontal="left" vertical="top" wrapText="1"/>
    </xf>
    <xf numFmtId="0" fontId="39" fillId="24" borderId="0" xfId="0" applyFont="1" applyFill="1"/>
    <xf numFmtId="0" fontId="39" fillId="23" borderId="0" xfId="0" applyFont="1" applyFill="1"/>
    <xf numFmtId="49" fontId="40" fillId="23" borderId="8" xfId="0" applyNumberFormat="1" applyFont="1" applyFill="1" applyBorder="1" applyAlignment="1">
      <alignment horizontal="left" vertical="top" wrapText="1"/>
    </xf>
    <xf numFmtId="0" fontId="37" fillId="24" borderId="0" xfId="0" applyFont="1" applyFill="1"/>
    <xf numFmtId="4" fontId="29" fillId="0" borderId="0" xfId="0" applyNumberFormat="1" applyFont="1" applyFill="1" applyBorder="1"/>
    <xf numFmtId="49" fontId="29" fillId="0" borderId="8" xfId="0" applyNumberFormat="1" applyFont="1" applyFill="1" applyBorder="1" applyAlignment="1">
      <alignment horizontal="center" vertical="top" wrapText="1"/>
    </xf>
    <xf numFmtId="49" fontId="29" fillId="0" borderId="8" xfId="0" applyNumberFormat="1" applyFont="1" applyFill="1" applyBorder="1" applyAlignment="1">
      <alignment horizontal="left" vertical="top" wrapText="1"/>
    </xf>
    <xf numFmtId="4" fontId="29" fillId="0" borderId="8" xfId="0" applyNumberFormat="1" applyFont="1" applyFill="1" applyBorder="1" applyAlignment="1">
      <alignment wrapText="1"/>
    </xf>
    <xf numFmtId="4" fontId="29" fillId="0" borderId="0" xfId="0" applyNumberFormat="1" applyFont="1" applyFill="1" applyBorder="1" applyAlignment="1">
      <alignment wrapText="1"/>
    </xf>
    <xf numFmtId="0" fontId="31" fillId="0" borderId="0" xfId="0" applyFont="1"/>
    <xf numFmtId="49" fontId="31" fillId="28" borderId="8" xfId="0" applyNumberFormat="1" applyFont="1" applyFill="1" applyBorder="1" applyAlignment="1">
      <alignment horizontal="center" vertical="top" wrapText="1"/>
    </xf>
    <xf numFmtId="0" fontId="32" fillId="28" borderId="0" xfId="0" applyFont="1" applyFill="1"/>
    <xf numFmtId="0" fontId="32" fillId="24" borderId="0" xfId="0" applyFont="1" applyFill="1"/>
    <xf numFmtId="49" fontId="29" fillId="0" borderId="0" xfId="0" applyNumberFormat="1" applyFont="1" applyBorder="1" applyAlignment="1">
      <alignment horizontal="center" vertical="top" wrapText="1"/>
    </xf>
    <xf numFmtId="49" fontId="29" fillId="0" borderId="0" xfId="0" applyNumberFormat="1" applyFont="1" applyBorder="1" applyAlignment="1">
      <alignment horizontal="left" vertical="top" wrapText="1"/>
    </xf>
    <xf numFmtId="4" fontId="29" fillId="0" borderId="0" xfId="0" applyNumberFormat="1" applyFont="1" applyBorder="1" applyAlignment="1">
      <alignment wrapText="1"/>
    </xf>
    <xf numFmtId="0" fontId="29" fillId="0" borderId="0" xfId="0" applyFont="1" applyAlignment="1">
      <alignment wrapText="1"/>
    </xf>
    <xf numFmtId="4" fontId="31" fillId="0" borderId="0" xfId="0" applyNumberFormat="1" applyFont="1" applyFill="1" applyBorder="1" applyAlignment="1">
      <alignment wrapText="1"/>
    </xf>
    <xf numFmtId="0" fontId="32" fillId="0" borderId="0" xfId="0" applyFont="1" applyFill="1" applyBorder="1" applyAlignment="1">
      <alignment wrapText="1"/>
    </xf>
    <xf numFmtId="0" fontId="29" fillId="0" borderId="0" xfId="0" applyFont="1" applyFill="1" applyBorder="1" applyAlignment="1">
      <alignment wrapText="1"/>
    </xf>
    <xf numFmtId="49" fontId="29" fillId="24" borderId="8" xfId="0" applyNumberFormat="1" applyFont="1" applyFill="1" applyBorder="1" applyAlignment="1">
      <alignment horizontal="center" vertical="top" wrapText="1"/>
    </xf>
    <xf numFmtId="49" fontId="41" fillId="24" borderId="8" xfId="0" applyNumberFormat="1" applyFont="1" applyFill="1" applyBorder="1" applyAlignment="1">
      <alignment horizontal="center" vertical="top" wrapText="1"/>
    </xf>
    <xf numFmtId="49" fontId="41" fillId="24" borderId="8" xfId="0" applyNumberFormat="1" applyFont="1" applyFill="1" applyBorder="1" applyAlignment="1">
      <alignment horizontal="left" vertical="top" wrapText="1"/>
    </xf>
    <xf numFmtId="4" fontId="29" fillId="24" borderId="8" xfId="0" applyNumberFormat="1" applyFont="1" applyFill="1" applyBorder="1" applyAlignment="1">
      <alignment wrapText="1"/>
    </xf>
    <xf numFmtId="49" fontId="41" fillId="0" borderId="8" xfId="0" applyNumberFormat="1" applyFont="1" applyBorder="1" applyAlignment="1">
      <alignment horizontal="center" vertical="top" wrapText="1"/>
    </xf>
    <xf numFmtId="49" fontId="42" fillId="0" borderId="8" xfId="0" applyNumberFormat="1" applyFont="1" applyBorder="1" applyAlignment="1">
      <alignment horizontal="left" vertical="top" wrapText="1"/>
    </xf>
    <xf numFmtId="49" fontId="35" fillId="0" borderId="8" xfId="0" applyNumberFormat="1" applyFont="1" applyBorder="1" applyAlignment="1">
      <alignment horizontal="center" vertical="top" wrapText="1"/>
    </xf>
    <xf numFmtId="49" fontId="29" fillId="0" borderId="11" xfId="0" applyNumberFormat="1" applyFont="1" applyBorder="1" applyAlignment="1">
      <alignment horizontal="center" vertical="top" wrapText="1"/>
    </xf>
    <xf numFmtId="49" fontId="29" fillId="0" borderId="0" xfId="0" applyNumberFormat="1" applyFont="1" applyAlignment="1">
      <alignment horizontal="center" vertical="top"/>
    </xf>
    <xf numFmtId="49" fontId="29" fillId="0" borderId="0" xfId="0" applyNumberFormat="1" applyFont="1" applyAlignment="1">
      <alignment horizontal="left" vertical="top" wrapText="1"/>
    </xf>
    <xf numFmtId="49" fontId="31" fillId="0" borderId="8" xfId="0" applyNumberFormat="1" applyFont="1" applyBorder="1" applyAlignment="1">
      <alignment horizontal="center" vertical="top" wrapText="1"/>
    </xf>
    <xf numFmtId="49" fontId="31" fillId="0" borderId="8" xfId="0" applyNumberFormat="1" applyFont="1" applyBorder="1" applyAlignment="1">
      <alignment horizontal="left" vertical="top" wrapText="1"/>
    </xf>
    <xf numFmtId="4" fontId="31" fillId="23" borderId="8" xfId="0" applyNumberFormat="1" applyFont="1" applyFill="1" applyBorder="1" applyAlignment="1">
      <alignment wrapText="1"/>
    </xf>
    <xf numFmtId="4" fontId="32" fillId="0" borderId="0" xfId="0" applyNumberFormat="1" applyFont="1" applyFill="1"/>
    <xf numFmtId="4" fontId="29" fillId="23" borderId="9" xfId="0" applyNumberFormat="1" applyFont="1" applyFill="1" applyBorder="1" applyAlignment="1">
      <alignment wrapText="1"/>
    </xf>
    <xf numFmtId="4" fontId="31" fillId="0" borderId="8" xfId="0" applyNumberFormat="1" applyFont="1" applyBorder="1" applyAlignment="1">
      <alignment horizontal="right" wrapText="1"/>
    </xf>
    <xf numFmtId="1" fontId="43" fillId="0" borderId="8" xfId="0" applyNumberFormat="1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vertical="center" wrapText="1"/>
    </xf>
    <xf numFmtId="49" fontId="29" fillId="0" borderId="12" xfId="0" applyNumberFormat="1" applyFont="1" applyBorder="1" applyAlignment="1">
      <alignment horizontal="center" vertical="top" wrapText="1"/>
    </xf>
    <xf numFmtId="49" fontId="29" fillId="0" borderId="12" xfId="0" applyNumberFormat="1" applyFont="1" applyBorder="1" applyAlignment="1">
      <alignment horizontal="left" vertical="top" wrapText="1"/>
    </xf>
    <xf numFmtId="4" fontId="31" fillId="0" borderId="8" xfId="0" applyNumberFormat="1" applyFont="1" applyBorder="1" applyAlignment="1">
      <alignment wrapText="1"/>
    </xf>
    <xf numFmtId="49" fontId="29" fillId="0" borderId="13" xfId="0" applyNumberFormat="1" applyFont="1" applyFill="1" applyBorder="1" applyAlignment="1">
      <alignment horizontal="center" vertical="top" wrapText="1"/>
    </xf>
    <xf numFmtId="4" fontId="41" fillId="0" borderId="8" xfId="0" applyNumberFormat="1" applyFont="1" applyBorder="1" applyAlignment="1">
      <alignment wrapText="1"/>
    </xf>
    <xf numFmtId="0" fontId="38" fillId="0" borderId="0" xfId="0" applyFont="1" applyFill="1"/>
    <xf numFmtId="0" fontId="38" fillId="0" borderId="0" xfId="0" applyFont="1"/>
    <xf numFmtId="49" fontId="43" fillId="0" borderId="8" xfId="0" applyNumberFormat="1" applyFont="1" applyFill="1" applyBorder="1" applyAlignment="1">
      <alignment horizontal="left" vertical="center" wrapText="1"/>
    </xf>
    <xf numFmtId="0" fontId="15" fillId="0" borderId="8" xfId="0" applyFont="1" applyBorder="1" applyAlignment="1">
      <alignment wrapText="1"/>
    </xf>
    <xf numFmtId="49" fontId="21" fillId="0" borderId="8" xfId="0" applyNumberFormat="1" applyFont="1" applyBorder="1" applyAlignment="1">
      <alignment vertical="top" wrapText="1"/>
    </xf>
    <xf numFmtId="49" fontId="21" fillId="0" borderId="8" xfId="0" applyNumberFormat="1" applyFont="1" applyBorder="1" applyAlignment="1">
      <alignment horizontal="center" vertical="center" wrapText="1"/>
    </xf>
    <xf numFmtId="4" fontId="0" fillId="0" borderId="0" xfId="0" applyNumberFormat="1"/>
    <xf numFmtId="0" fontId="46" fillId="0" borderId="0" xfId="0" applyFont="1"/>
    <xf numFmtId="0" fontId="16" fillId="0" borderId="0" xfId="0" applyFont="1"/>
    <xf numFmtId="11" fontId="30" fillId="0" borderId="0" xfId="0" applyNumberFormat="1" applyFont="1" applyFill="1" applyBorder="1"/>
    <xf numFmtId="0" fontId="30" fillId="0" borderId="0" xfId="0" applyFont="1" applyFill="1" applyBorder="1" applyAlignment="1">
      <alignment vertical="center"/>
    </xf>
    <xf numFmtId="0" fontId="15" fillId="0" borderId="0" xfId="0" applyFont="1" applyAlignment="1">
      <alignment horizontal="center" vertical="center"/>
    </xf>
    <xf numFmtId="4" fontId="18" fillId="23" borderId="0" xfId="0" applyNumberFormat="1" applyFont="1" applyFill="1" applyAlignment="1">
      <alignment horizontal="right" vertical="center"/>
    </xf>
    <xf numFmtId="4" fontId="30" fillId="23" borderId="0" xfId="0" applyNumberFormat="1" applyFont="1" applyFill="1" applyAlignment="1">
      <alignment horizontal="left" vertical="center"/>
    </xf>
    <xf numFmtId="4" fontId="18" fillId="23" borderId="0" xfId="0" applyNumberFormat="1" applyFont="1" applyFill="1" applyAlignment="1">
      <alignment horizontal="left" vertical="center"/>
    </xf>
    <xf numFmtId="4" fontId="18" fillId="0" borderId="0" xfId="0" applyNumberFormat="1" applyFont="1" applyAlignment="1">
      <alignment horizontal="left" vertical="center"/>
    </xf>
    <xf numFmtId="49" fontId="18" fillId="0" borderId="8" xfId="0" applyNumberFormat="1" applyFont="1" applyBorder="1" applyAlignment="1">
      <alignment horizontal="center" vertical="center" textRotation="180" wrapText="1"/>
    </xf>
    <xf numFmtId="49" fontId="17" fillId="0" borderId="8" xfId="0" applyNumberFormat="1" applyFont="1" applyBorder="1" applyAlignment="1">
      <alignment horizontal="center" vertical="center" textRotation="180" wrapText="1"/>
    </xf>
    <xf numFmtId="39" fontId="30" fillId="23" borderId="8" xfId="0" applyNumberFormat="1" applyFont="1" applyFill="1" applyBorder="1" applyAlignment="1">
      <alignment horizontal="center" vertical="center" wrapText="1"/>
    </xf>
    <xf numFmtId="0" fontId="15" fillId="24" borderId="8" xfId="0" applyFont="1" applyFill="1" applyBorder="1" applyAlignment="1">
      <alignment horizontal="center" vertical="center" wrapText="1"/>
    </xf>
    <xf numFmtId="0" fontId="17" fillId="24" borderId="8" xfId="0" applyFont="1" applyFill="1" applyBorder="1" applyAlignment="1">
      <alignment horizontal="center" wrapText="1"/>
    </xf>
    <xf numFmtId="49" fontId="19" fillId="25" borderId="8" xfId="0" applyNumberFormat="1" applyFont="1" applyFill="1" applyBorder="1" applyAlignment="1">
      <alignment horizontal="center" vertical="center" wrapText="1"/>
    </xf>
    <xf numFmtId="4" fontId="19" fillId="25" borderId="8" xfId="0" applyNumberFormat="1" applyFont="1" applyFill="1" applyBorder="1" applyAlignment="1">
      <alignment horizontal="right" vertical="top" wrapText="1"/>
    </xf>
    <xf numFmtId="4" fontId="21" fillId="25" borderId="8" xfId="0" applyNumberFormat="1" applyFont="1" applyFill="1" applyBorder="1" applyAlignment="1">
      <alignment horizontal="right" vertical="top" wrapText="1"/>
    </xf>
    <xf numFmtId="4" fontId="19" fillId="25" borderId="0" xfId="0" applyNumberFormat="1" applyFont="1" applyFill="1" applyBorder="1" applyAlignment="1">
      <alignment horizontal="right" vertical="top" wrapText="1"/>
    </xf>
    <xf numFmtId="4" fontId="46" fillId="25" borderId="0" xfId="0" applyNumberFormat="1" applyFont="1" applyFill="1"/>
    <xf numFmtId="0" fontId="16" fillId="25" borderId="0" xfId="0" applyFont="1" applyFill="1"/>
    <xf numFmtId="0" fontId="46" fillId="25" borderId="0" xfId="0" applyFont="1" applyFill="1"/>
    <xf numFmtId="0" fontId="16" fillId="25" borderId="0" xfId="0" applyFont="1" applyFill="1" applyAlignment="1">
      <alignment horizontal="center"/>
    </xf>
    <xf numFmtId="0" fontId="19" fillId="25" borderId="8" xfId="0" applyNumberFormat="1" applyFont="1" applyFill="1" applyBorder="1" applyAlignment="1">
      <alignment horizontal="center" vertical="center" wrapText="1"/>
    </xf>
    <xf numFmtId="1" fontId="19" fillId="26" borderId="8" xfId="0" applyNumberFormat="1" applyFont="1" applyFill="1" applyBorder="1" applyAlignment="1">
      <alignment horizontal="center" vertical="center" wrapText="1"/>
    </xf>
    <xf numFmtId="4" fontId="21" fillId="26" borderId="8" xfId="0" applyNumberFormat="1" applyFont="1" applyFill="1" applyBorder="1" applyAlignment="1">
      <alignment horizontal="right" vertical="center" wrapText="1"/>
    </xf>
    <xf numFmtId="0" fontId="46" fillId="26" borderId="0" xfId="0" applyFont="1" applyFill="1"/>
    <xf numFmtId="0" fontId="16" fillId="26" borderId="0" xfId="0" applyFont="1" applyFill="1"/>
    <xf numFmtId="1" fontId="21" fillId="27" borderId="8" xfId="0" applyNumberFormat="1" applyFont="1" applyFill="1" applyBorder="1" applyAlignment="1">
      <alignment horizontal="center" vertical="center" wrapText="1"/>
    </xf>
    <xf numFmtId="0" fontId="46" fillId="27" borderId="0" xfId="0" applyFont="1" applyFill="1"/>
    <xf numFmtId="0" fontId="16" fillId="27" borderId="0" xfId="0" applyFont="1" applyFill="1"/>
    <xf numFmtId="1" fontId="22" fillId="0" borderId="8" xfId="0" applyNumberFormat="1" applyFont="1" applyFill="1" applyBorder="1" applyAlignment="1">
      <alignment horizontal="center" vertical="center" wrapText="1"/>
    </xf>
    <xf numFmtId="0" fontId="16" fillId="0" borderId="8" xfId="0" quotePrefix="1" applyFont="1" applyBorder="1" applyAlignment="1">
      <alignment horizontal="center" vertical="center"/>
    </xf>
    <xf numFmtId="1" fontId="21" fillId="0" borderId="8" xfId="0" applyNumberFormat="1" applyFont="1" applyFill="1" applyBorder="1" applyAlignment="1">
      <alignment horizontal="center" vertical="center" wrapText="1"/>
    </xf>
    <xf numFmtId="4" fontId="21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30" fillId="0" borderId="0" xfId="0" applyFont="1" applyFill="1" applyAlignment="1">
      <alignment vertical="center"/>
    </xf>
    <xf numFmtId="0" fontId="16" fillId="0" borderId="8" xfId="0" applyFont="1" applyBorder="1" applyAlignment="1">
      <alignment horizontal="center" vertical="center"/>
    </xf>
    <xf numFmtId="4" fontId="21" fillId="0" borderId="8" xfId="0" applyNumberFormat="1" applyFont="1" applyFill="1" applyBorder="1" applyAlignment="1">
      <alignment horizontal="right" vertical="center" wrapText="1"/>
    </xf>
    <xf numFmtId="4" fontId="16" fillId="0" borderId="8" xfId="0" applyNumberFormat="1" applyFont="1" applyBorder="1"/>
    <xf numFmtId="4" fontId="22" fillId="0" borderId="8" xfId="0" applyNumberFormat="1" applyFont="1" applyFill="1" applyBorder="1" applyAlignment="1">
      <alignment horizontal="right" vertical="center" wrapText="1"/>
    </xf>
    <xf numFmtId="4" fontId="21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18" fillId="27" borderId="8" xfId="0" applyNumberFormat="1" applyFont="1" applyFill="1" applyBorder="1" applyAlignment="1">
      <alignment vertical="center"/>
    </xf>
    <xf numFmtId="4" fontId="47" fillId="23" borderId="8" xfId="0" applyNumberFormat="1" applyFont="1" applyFill="1" applyBorder="1" applyAlignment="1">
      <alignment vertical="center"/>
    </xf>
    <xf numFmtId="4" fontId="48" fillId="23" borderId="8" xfId="0" applyNumberFormat="1" applyFont="1" applyFill="1" applyBorder="1" applyAlignment="1">
      <alignment vertical="center"/>
    </xf>
    <xf numFmtId="4" fontId="18" fillId="23" borderId="8" xfId="0" applyNumberFormat="1" applyFont="1" applyFill="1" applyBorder="1" applyAlignment="1">
      <alignment horizontal="right" vertical="center"/>
    </xf>
    <xf numFmtId="4" fontId="30" fillId="23" borderId="8" xfId="0" applyNumberFormat="1" applyFont="1" applyFill="1" applyBorder="1" applyAlignment="1">
      <alignment horizontal="right" vertical="center"/>
    </xf>
    <xf numFmtId="4" fontId="23" fillId="25" borderId="8" xfId="0" applyNumberFormat="1" applyFont="1" applyFill="1" applyBorder="1" applyAlignment="1">
      <alignment horizontal="right" vertical="top" wrapText="1"/>
    </xf>
    <xf numFmtId="4" fontId="22" fillId="23" borderId="8" xfId="0" quotePrefix="1" applyNumberFormat="1" applyFont="1" applyFill="1" applyBorder="1" applyAlignment="1">
      <alignment horizontal="right" vertical="center" wrapText="1"/>
    </xf>
    <xf numFmtId="4" fontId="28" fillId="23" borderId="8" xfId="0" quotePrefix="1" applyNumberFormat="1" applyFont="1" applyFill="1" applyBorder="1" applyAlignment="1">
      <alignment horizontal="right" vertical="center" wrapText="1"/>
    </xf>
    <xf numFmtId="1" fontId="19" fillId="25" borderId="8" xfId="0" applyNumberFormat="1" applyFont="1" applyFill="1" applyBorder="1" applyAlignment="1">
      <alignment horizontal="center" vertical="center" wrapText="1"/>
    </xf>
    <xf numFmtId="4" fontId="19" fillId="25" borderId="8" xfId="0" applyNumberFormat="1" applyFont="1" applyFill="1" applyBorder="1" applyAlignment="1">
      <alignment horizontal="right" vertical="center" wrapText="1"/>
    </xf>
    <xf numFmtId="4" fontId="21" fillId="25" borderId="8" xfId="0" applyNumberFormat="1" applyFont="1" applyFill="1" applyBorder="1" applyAlignment="1">
      <alignment horizontal="right" vertical="center" wrapText="1"/>
    </xf>
    <xf numFmtId="4" fontId="23" fillId="25" borderId="8" xfId="0" applyNumberFormat="1" applyFont="1" applyFill="1" applyBorder="1" applyAlignment="1">
      <alignment horizontal="right" vertical="center" wrapText="1"/>
    </xf>
    <xf numFmtId="4" fontId="46" fillId="0" borderId="0" xfId="0" applyNumberFormat="1" applyFont="1"/>
    <xf numFmtId="1" fontId="19" fillId="23" borderId="8" xfId="0" applyNumberFormat="1" applyFont="1" applyFill="1" applyBorder="1" applyAlignment="1">
      <alignment horizontal="center" vertical="center" wrapText="1"/>
    </xf>
    <xf numFmtId="1" fontId="24" fillId="23" borderId="8" xfId="0" applyNumberFormat="1" applyFont="1" applyFill="1" applyBorder="1" applyAlignment="1">
      <alignment horizontal="center" vertical="center" wrapText="1"/>
    </xf>
    <xf numFmtId="4" fontId="19" fillId="23" borderId="8" xfId="0" applyNumberFormat="1" applyFont="1" applyFill="1" applyBorder="1" applyAlignment="1">
      <alignment horizontal="right" vertical="center" wrapText="1"/>
    </xf>
    <xf numFmtId="4" fontId="23" fillId="23" borderId="8" xfId="0" applyNumberFormat="1" applyFont="1" applyFill="1" applyBorder="1" applyAlignment="1">
      <alignment horizontal="right" vertical="center" wrapText="1"/>
    </xf>
    <xf numFmtId="4" fontId="24" fillId="23" borderId="8" xfId="0" applyNumberFormat="1" applyFont="1" applyFill="1" applyBorder="1" applyAlignment="1">
      <alignment horizontal="right" vertical="center" wrapText="1"/>
    </xf>
    <xf numFmtId="4" fontId="27" fillId="23" borderId="8" xfId="0" applyNumberFormat="1" applyFont="1" applyFill="1" applyBorder="1" applyAlignment="1">
      <alignment horizontal="right" vertical="center" wrapText="1"/>
    </xf>
    <xf numFmtId="4" fontId="25" fillId="26" borderId="8" xfId="0" applyNumberFormat="1" applyFont="1" applyFill="1" applyBorder="1" applyAlignment="1">
      <alignment horizontal="right" vertical="center" wrapText="1"/>
    </xf>
    <xf numFmtId="0" fontId="50" fillId="26" borderId="0" xfId="0" applyFont="1" applyFill="1"/>
    <xf numFmtId="0" fontId="51" fillId="26" borderId="0" xfId="0" applyFont="1" applyFill="1"/>
    <xf numFmtId="11" fontId="30" fillId="0" borderId="0" xfId="0" applyNumberFormat="1" applyFont="1" applyFill="1"/>
    <xf numFmtId="1" fontId="21" fillId="26" borderId="8" xfId="0" applyNumberFormat="1" applyFont="1" applyFill="1" applyBorder="1" applyAlignment="1">
      <alignment horizontal="center" vertical="center" wrapText="1"/>
    </xf>
    <xf numFmtId="4" fontId="18" fillId="23" borderId="8" xfId="0" applyNumberFormat="1" applyFont="1" applyFill="1" applyBorder="1" applyAlignment="1" applyProtection="1">
      <alignment vertical="center"/>
      <protection locked="0"/>
    </xf>
    <xf numFmtId="4" fontId="30" fillId="23" borderId="8" xfId="0" applyNumberFormat="1" applyFont="1" applyFill="1" applyBorder="1" applyAlignment="1" applyProtection="1">
      <alignment vertical="center"/>
      <protection locked="0"/>
    </xf>
    <xf numFmtId="1" fontId="24" fillId="0" borderId="8" xfId="0" applyNumberFormat="1" applyFont="1" applyFill="1" applyBorder="1" applyAlignment="1">
      <alignment horizontal="center" vertical="center" wrapText="1"/>
    </xf>
    <xf numFmtId="4" fontId="24" fillId="0" borderId="8" xfId="0" applyNumberFormat="1" applyFont="1" applyFill="1" applyBorder="1" applyAlignment="1">
      <alignment horizontal="right" vertical="center" wrapText="1"/>
    </xf>
    <xf numFmtId="4" fontId="27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0" xfId="0" applyNumberFormat="1" applyFont="1" applyAlignment="1">
      <alignment horizontal="right" vertical="center"/>
    </xf>
    <xf numFmtId="4" fontId="46" fillId="26" borderId="0" xfId="0" applyNumberFormat="1" applyFont="1" applyFill="1"/>
    <xf numFmtId="0" fontId="16" fillId="26" borderId="8" xfId="0" quotePrefix="1" applyFont="1" applyFill="1" applyBorder="1" applyAlignment="1">
      <alignment horizontal="center" vertical="center"/>
    </xf>
    <xf numFmtId="0" fontId="16" fillId="27" borderId="8" xfId="0" quotePrefix="1" applyFont="1" applyFill="1" applyBorder="1" applyAlignment="1">
      <alignment horizontal="center" vertical="center"/>
    </xf>
    <xf numFmtId="0" fontId="16" fillId="23" borderId="8" xfId="0" quotePrefix="1" applyFont="1" applyFill="1" applyBorder="1" applyAlignment="1">
      <alignment horizontal="center" vertical="center"/>
    </xf>
    <xf numFmtId="0" fontId="30" fillId="25" borderId="0" xfId="0" applyFont="1" applyFill="1" applyAlignment="1">
      <alignment vertical="center"/>
    </xf>
    <xf numFmtId="49" fontId="21" fillId="0" borderId="8" xfId="0" applyNumberFormat="1" applyFont="1" applyBorder="1" applyAlignment="1">
      <alignment horizontal="center" vertical="top"/>
    </xf>
    <xf numFmtId="49" fontId="21" fillId="0" borderId="8" xfId="0" applyNumberFormat="1" applyFont="1" applyBorder="1" applyAlignment="1">
      <alignment horizontal="center" vertical="center"/>
    </xf>
    <xf numFmtId="49" fontId="21" fillId="0" borderId="8" xfId="0" applyNumberFormat="1" applyFont="1" applyBorder="1" applyAlignment="1">
      <alignment horizontal="left" vertical="top" wrapText="1"/>
    </xf>
    <xf numFmtId="4" fontId="21" fillId="23" borderId="8" xfId="0" applyNumberFormat="1" applyFont="1" applyFill="1" applyBorder="1" applyAlignment="1">
      <alignment horizontal="right" vertical="top" wrapText="1"/>
    </xf>
    <xf numFmtId="4" fontId="52" fillId="23" borderId="8" xfId="0" applyNumberFormat="1" applyFont="1" applyFill="1" applyBorder="1"/>
    <xf numFmtId="4" fontId="15" fillId="23" borderId="8" xfId="0" applyNumberFormat="1" applyFont="1" applyFill="1" applyBorder="1"/>
    <xf numFmtId="4" fontId="15" fillId="23" borderId="8" xfId="0" applyNumberFormat="1" applyFont="1" applyFill="1" applyBorder="1" applyAlignment="1">
      <alignment horizontal="left" wrapText="1"/>
    </xf>
    <xf numFmtId="4" fontId="16" fillId="23" borderId="8" xfId="0" applyNumberFormat="1" applyFont="1" applyFill="1" applyBorder="1" applyAlignment="1">
      <alignment horizontal="left" wrapText="1"/>
    </xf>
    <xf numFmtId="49" fontId="17" fillId="0" borderId="0" xfId="0" applyNumberFormat="1" applyFont="1" applyAlignment="1">
      <alignment vertical="top" wrapText="1"/>
    </xf>
    <xf numFmtId="49" fontId="17" fillId="0" borderId="0" xfId="0" applyNumberFormat="1" applyFont="1" applyAlignment="1">
      <alignment horizontal="center" vertical="center" wrapText="1"/>
    </xf>
    <xf numFmtId="49" fontId="17" fillId="23" borderId="0" xfId="0" applyNumberFormat="1" applyFont="1" applyFill="1" applyAlignment="1">
      <alignment horizontal="center" vertical="top" wrapText="1"/>
    </xf>
    <xf numFmtId="4" fontId="25" fillId="23" borderId="0" xfId="0" applyNumberFormat="1" applyFont="1" applyFill="1" applyBorder="1" applyAlignment="1">
      <alignment horizontal="right" vertical="top" wrapText="1"/>
    </xf>
    <xf numFmtId="4" fontId="21" fillId="23" borderId="0" xfId="0" applyNumberFormat="1" applyFont="1" applyFill="1" applyBorder="1" applyAlignment="1">
      <alignment horizontal="right" vertical="top" wrapText="1"/>
    </xf>
    <xf numFmtId="4" fontId="21" fillId="0" borderId="0" xfId="0" applyNumberFormat="1" applyFont="1" applyBorder="1" applyAlignment="1">
      <alignment horizontal="right" vertical="top" wrapText="1"/>
    </xf>
    <xf numFmtId="4" fontId="30" fillId="23" borderId="0" xfId="0" applyNumberFormat="1" applyFont="1" applyFill="1" applyAlignment="1">
      <alignment horizontal="right" vertical="center"/>
    </xf>
    <xf numFmtId="0" fontId="16" fillId="0" borderId="0" xfId="0" applyFont="1" applyAlignment="1"/>
    <xf numFmtId="0" fontId="15" fillId="0" borderId="0" xfId="0" applyFont="1" applyAlignment="1"/>
    <xf numFmtId="4" fontId="16" fillId="23" borderId="0" xfId="0" applyNumberFormat="1" applyFont="1" applyFill="1"/>
    <xf numFmtId="4" fontId="17" fillId="0" borderId="0" xfId="0" applyNumberFormat="1" applyFont="1"/>
    <xf numFmtId="4" fontId="21" fillId="26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26" borderId="8" xfId="0" applyNumberFormat="1" applyFont="1" applyFill="1" applyBorder="1" applyAlignment="1" applyProtection="1">
      <alignment horizontal="right" vertical="center" wrapText="1"/>
      <protection locked="0"/>
    </xf>
    <xf numFmtId="0" fontId="20" fillId="26" borderId="8" xfId="0" applyFont="1" applyFill="1" applyBorder="1" applyAlignment="1">
      <alignment horizontal="left" vertical="center" wrapText="1"/>
    </xf>
    <xf numFmtId="4" fontId="27" fillId="26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26" borderId="8" xfId="0" applyNumberFormat="1" applyFont="1" applyFill="1" applyBorder="1" applyAlignment="1" applyProtection="1">
      <alignment horizontal="right" vertical="center" wrapText="1"/>
      <protection locked="0"/>
    </xf>
    <xf numFmtId="1" fontId="24" fillId="27" borderId="8" xfId="0" applyNumberFormat="1" applyFont="1" applyFill="1" applyBorder="1" applyAlignment="1">
      <alignment horizontal="center" vertical="center" wrapText="1"/>
    </xf>
    <xf numFmtId="4" fontId="27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27" borderId="8" xfId="0" applyNumberFormat="1" applyFont="1" applyFill="1" applyBorder="1" applyAlignment="1" applyProtection="1">
      <alignment horizontal="right" vertical="center" wrapText="1"/>
      <protection locked="0"/>
    </xf>
    <xf numFmtId="1" fontId="21" fillId="23" borderId="8" xfId="0" applyNumberFormat="1" applyFont="1" applyFill="1" applyBorder="1" applyAlignment="1">
      <alignment horizontal="center" vertical="center" wrapText="1"/>
    </xf>
    <xf numFmtId="0" fontId="46" fillId="23" borderId="0" xfId="0" applyFont="1" applyFill="1"/>
    <xf numFmtId="0" fontId="16" fillId="23" borderId="0" xfId="0" applyFont="1" applyFill="1"/>
    <xf numFmtId="0" fontId="15" fillId="0" borderId="0" xfId="0" applyNumberFormat="1" applyFont="1" applyAlignment="1">
      <alignment wrapText="1"/>
    </xf>
    <xf numFmtId="0" fontId="18" fillId="0" borderId="8" xfId="0" applyNumberFormat="1" applyFont="1" applyBorder="1" applyAlignment="1">
      <alignment horizontal="center" vertical="center" wrapText="1"/>
    </xf>
    <xf numFmtId="0" fontId="15" fillId="24" borderId="8" xfId="0" applyNumberFormat="1" applyFont="1" applyFill="1" applyBorder="1" applyAlignment="1">
      <alignment horizontal="center" wrapText="1"/>
    </xf>
    <xf numFmtId="0" fontId="21" fillId="0" borderId="8" xfId="0" applyNumberFormat="1" applyFont="1" applyFill="1" applyBorder="1" applyAlignment="1">
      <alignment vertical="center" wrapText="1"/>
    </xf>
    <xf numFmtId="0" fontId="0" fillId="0" borderId="0" xfId="0" applyAlignment="1">
      <alignment wrapText="1"/>
    </xf>
    <xf numFmtId="49" fontId="31" fillId="24" borderId="12" xfId="0" applyNumberFormat="1" applyFont="1" applyFill="1" applyBorder="1" applyAlignment="1">
      <alignment horizontal="center" vertical="top" wrapText="1"/>
    </xf>
    <xf numFmtId="0" fontId="45" fillId="0" borderId="0" xfId="0" applyFont="1" applyFill="1" applyAlignment="1">
      <alignment horizontal="center" vertical="center"/>
    </xf>
    <xf numFmtId="1" fontId="19" fillId="0" borderId="8" xfId="0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vertical="center" wrapText="1"/>
    </xf>
    <xf numFmtId="4" fontId="19" fillId="0" borderId="8" xfId="0" applyNumberFormat="1" applyFont="1" applyFill="1" applyBorder="1" applyAlignment="1">
      <alignment horizontal="right" vertical="center" wrapText="1"/>
    </xf>
    <xf numFmtId="0" fontId="46" fillId="0" borderId="0" xfId="0" applyFont="1" applyFill="1"/>
    <xf numFmtId="0" fontId="16" fillId="0" borderId="0" xfId="0" applyFont="1" applyFill="1"/>
    <xf numFmtId="0" fontId="16" fillId="0" borderId="8" xfId="0" quotePrefix="1" applyFont="1" applyFill="1" applyBorder="1" applyAlignment="1">
      <alignment horizontal="center" vertical="center"/>
    </xf>
    <xf numFmtId="4" fontId="25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3" fillId="25" borderId="8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/>
    <xf numFmtId="0" fontId="29" fillId="0" borderId="0" xfId="0" applyFont="1" applyBorder="1" applyAlignment="1">
      <alignment wrapText="1"/>
    </xf>
    <xf numFmtId="1" fontId="19" fillId="29" borderId="8" xfId="0" applyNumberFormat="1" applyFont="1" applyFill="1" applyBorder="1" applyAlignment="1">
      <alignment horizontal="center" vertical="center" wrapText="1"/>
    </xf>
    <xf numFmtId="49" fontId="20" fillId="29" borderId="8" xfId="0" applyNumberFormat="1" applyFont="1" applyFill="1" applyBorder="1" applyAlignment="1">
      <alignment horizontal="left" vertical="center" wrapText="1"/>
    </xf>
    <xf numFmtId="4" fontId="19" fillId="29" borderId="8" xfId="0" applyNumberFormat="1" applyFont="1" applyFill="1" applyBorder="1" applyAlignment="1">
      <alignment horizontal="right" vertical="center" wrapText="1"/>
    </xf>
    <xf numFmtId="4" fontId="21" fillId="29" borderId="8" xfId="0" applyNumberFormat="1" applyFont="1" applyFill="1" applyBorder="1" applyAlignment="1">
      <alignment horizontal="right" vertical="center" wrapText="1"/>
    </xf>
    <xf numFmtId="49" fontId="19" fillId="29" borderId="8" xfId="0" applyNumberFormat="1" applyFont="1" applyFill="1" applyBorder="1" applyAlignment="1">
      <alignment horizontal="left" vertical="center" wrapText="1"/>
    </xf>
    <xf numFmtId="4" fontId="23" fillId="29" borderId="8" xfId="0" applyNumberFormat="1" applyFont="1" applyFill="1" applyBorder="1" applyAlignment="1">
      <alignment horizontal="right" vertical="center" wrapText="1"/>
    </xf>
    <xf numFmtId="0" fontId="20" fillId="29" borderId="8" xfId="0" applyFont="1" applyFill="1" applyBorder="1" applyAlignment="1">
      <alignment vertical="center" wrapText="1"/>
    </xf>
    <xf numFmtId="1" fontId="19" fillId="29" borderId="8" xfId="0" applyNumberFormat="1" applyFont="1" applyFill="1" applyBorder="1" applyAlignment="1">
      <alignment horizontal="left" vertical="center" wrapText="1"/>
    </xf>
    <xf numFmtId="49" fontId="19" fillId="29" borderId="8" xfId="0" applyNumberFormat="1" applyFont="1" applyFill="1" applyBorder="1" applyAlignment="1">
      <alignment horizontal="center" vertical="center" wrapText="1"/>
    </xf>
    <xf numFmtId="49" fontId="19" fillId="29" borderId="8" xfId="0" applyNumberFormat="1" applyFont="1" applyFill="1" applyBorder="1" applyAlignment="1">
      <alignment horizontal="left" vertical="top" wrapText="1"/>
    </xf>
    <xf numFmtId="1" fontId="21" fillId="29" borderId="8" xfId="0" applyNumberFormat="1" applyFont="1" applyFill="1" applyBorder="1" applyAlignment="1">
      <alignment horizontal="center" vertical="center" wrapText="1"/>
    </xf>
    <xf numFmtId="4" fontId="25" fillId="29" borderId="8" xfId="0" applyNumberFormat="1" applyFont="1" applyFill="1" applyBorder="1" applyAlignment="1">
      <alignment horizontal="right" vertical="center" wrapText="1"/>
    </xf>
    <xf numFmtId="0" fontId="19" fillId="29" borderId="8" xfId="0" applyFont="1" applyFill="1" applyBorder="1" applyAlignment="1">
      <alignment vertical="center" wrapText="1"/>
    </xf>
    <xf numFmtId="4" fontId="19" fillId="29" borderId="8" xfId="0" applyNumberFormat="1" applyFont="1" applyFill="1" applyBorder="1" applyAlignment="1">
      <alignment horizontal="right" vertical="top" wrapText="1"/>
    </xf>
    <xf numFmtId="4" fontId="23" fillId="29" borderId="8" xfId="0" applyNumberFormat="1" applyFont="1" applyFill="1" applyBorder="1" applyAlignment="1">
      <alignment horizontal="right" vertical="top" wrapText="1"/>
    </xf>
    <xf numFmtId="4" fontId="21" fillId="29" borderId="8" xfId="0" applyNumberFormat="1" applyFont="1" applyFill="1" applyBorder="1" applyAlignment="1">
      <alignment horizontal="right" vertical="top" wrapText="1"/>
    </xf>
    <xf numFmtId="4" fontId="50" fillId="25" borderId="0" xfId="0" applyNumberFormat="1" applyFont="1" applyFill="1"/>
    <xf numFmtId="0" fontId="51" fillId="25" borderId="0" xfId="0" applyFont="1" applyFill="1"/>
    <xf numFmtId="0" fontId="50" fillId="25" borderId="0" xfId="0" applyFont="1" applyFill="1"/>
    <xf numFmtId="1" fontId="54" fillId="0" borderId="8" xfId="0" applyNumberFormat="1" applyFont="1" applyFill="1" applyBorder="1" applyAlignment="1">
      <alignment horizontal="center" vertical="center" wrapText="1"/>
    </xf>
    <xf numFmtId="0" fontId="46" fillId="29" borderId="0" xfId="0" applyFont="1" applyFill="1"/>
    <xf numFmtId="0" fontId="16" fillId="29" borderId="0" xfId="0" applyFont="1" applyFill="1"/>
    <xf numFmtId="0" fontId="0" fillId="0" borderId="8" xfId="0" quotePrefix="1" applyBorder="1" applyAlignment="1">
      <alignment horizontal="center" vertical="center"/>
    </xf>
    <xf numFmtId="4" fontId="16" fillId="0" borderId="0" xfId="0" applyNumberFormat="1" applyFont="1"/>
    <xf numFmtId="4" fontId="18" fillId="0" borderId="0" xfId="0" applyNumberFormat="1" applyFont="1" applyAlignment="1">
      <alignment horizontal="center" vertical="center"/>
    </xf>
    <xf numFmtId="0" fontId="33" fillId="23" borderId="0" xfId="0" applyFont="1" applyFill="1"/>
    <xf numFmtId="0" fontId="35" fillId="23" borderId="0" xfId="0" applyFont="1" applyFill="1"/>
    <xf numFmtId="0" fontId="37" fillId="23" borderId="0" xfId="0" applyFont="1" applyFill="1"/>
    <xf numFmtId="0" fontId="32" fillId="23" borderId="0" xfId="0" applyFont="1" applyFill="1"/>
    <xf numFmtId="0" fontId="36" fillId="23" borderId="0" xfId="0" applyFont="1" applyFill="1"/>
    <xf numFmtId="0" fontId="55" fillId="0" borderId="0" xfId="0" applyFont="1" applyFill="1"/>
    <xf numFmtId="4" fontId="20" fillId="26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26" borderId="8" xfId="0" applyNumberFormat="1" applyFont="1" applyFill="1" applyBorder="1" applyAlignment="1">
      <alignment horizontal="right" vertical="center" wrapText="1"/>
    </xf>
    <xf numFmtId="4" fontId="56" fillId="26" borderId="8" xfId="0" applyNumberFormat="1" applyFont="1" applyFill="1" applyBorder="1" applyAlignment="1">
      <alignment horizontal="right" vertical="center" wrapText="1"/>
    </xf>
    <xf numFmtId="4" fontId="20" fillId="29" borderId="8" xfId="0" applyNumberFormat="1" applyFont="1" applyFill="1" applyBorder="1" applyAlignment="1">
      <alignment horizontal="right" vertical="center" wrapText="1"/>
    </xf>
    <xf numFmtId="4" fontId="56" fillId="26" borderId="8" xfId="0" applyNumberFormat="1" applyFont="1" applyFill="1" applyBorder="1" applyAlignment="1" applyProtection="1">
      <alignment horizontal="right" vertical="center" wrapText="1"/>
      <protection locked="0"/>
    </xf>
    <xf numFmtId="1" fontId="25" fillId="0" borderId="8" xfId="0" applyNumberFormat="1" applyFont="1" applyFill="1" applyBorder="1" applyAlignment="1">
      <alignment horizontal="center" vertical="center" wrapText="1"/>
    </xf>
    <xf numFmtId="4" fontId="25" fillId="0" borderId="8" xfId="0" applyNumberFormat="1" applyFont="1" applyFill="1" applyBorder="1" applyAlignment="1">
      <alignment horizontal="right" vertical="center" wrapText="1"/>
    </xf>
    <xf numFmtId="4" fontId="19" fillId="26" borderId="8" xfId="0" applyNumberFormat="1" applyFont="1" applyFill="1" applyBorder="1" applyAlignment="1" applyProtection="1">
      <alignment horizontal="right" vertical="center" wrapText="1"/>
      <protection locked="0"/>
    </xf>
    <xf numFmtId="0" fontId="57" fillId="0" borderId="8" xfId="0" quotePrefix="1" applyFont="1" applyBorder="1" applyAlignment="1">
      <alignment horizontal="center" vertical="center"/>
    </xf>
    <xf numFmtId="4" fontId="31" fillId="24" borderId="8" xfId="0" applyNumberFormat="1" applyFont="1" applyFill="1" applyBorder="1" applyAlignment="1">
      <alignment horizontal="right" wrapText="1"/>
    </xf>
    <xf numFmtId="4" fontId="41" fillId="24" borderId="9" xfId="0" applyNumberFormat="1" applyFont="1" applyFill="1" applyBorder="1" applyAlignment="1">
      <alignment wrapText="1"/>
    </xf>
    <xf numFmtId="4" fontId="41" fillId="24" borderId="8" xfId="0" applyNumberFormat="1" applyFont="1" applyFill="1" applyBorder="1" applyAlignment="1">
      <alignment wrapText="1"/>
    </xf>
    <xf numFmtId="4" fontId="31" fillId="28" borderId="9" xfId="0" applyNumberFormat="1" applyFont="1" applyFill="1" applyBorder="1" applyAlignment="1">
      <alignment wrapText="1"/>
    </xf>
    <xf numFmtId="1" fontId="26" fillId="0" borderId="8" xfId="0" applyNumberFormat="1" applyFont="1" applyFill="1" applyBorder="1" applyAlignment="1">
      <alignment horizontal="center" vertical="center" wrapText="1"/>
    </xf>
    <xf numFmtId="4" fontId="26" fillId="23" borderId="8" xfId="0" applyNumberFormat="1" applyFont="1" applyFill="1" applyBorder="1" applyAlignment="1">
      <alignment horizontal="right" vertical="center" wrapText="1"/>
    </xf>
    <xf numFmtId="4" fontId="58" fillId="23" borderId="8" xfId="0" applyNumberFormat="1" applyFont="1" applyFill="1" applyBorder="1" applyAlignment="1">
      <alignment horizontal="right" vertical="center" wrapText="1"/>
    </xf>
    <xf numFmtId="4" fontId="26" fillId="0" borderId="8" xfId="0" applyNumberFormat="1" applyFont="1" applyFill="1" applyBorder="1" applyAlignment="1">
      <alignment horizontal="right" vertical="center" wrapText="1"/>
    </xf>
    <xf numFmtId="4" fontId="26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8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59" fillId="23" borderId="0" xfId="0" applyFont="1" applyFill="1" applyAlignment="1">
      <alignment horizontal="left" vertical="justify" wrapText="1"/>
    </xf>
    <xf numFmtId="39" fontId="30" fillId="0" borderId="8" xfId="0" applyNumberFormat="1" applyFont="1" applyBorder="1" applyAlignment="1">
      <alignment horizontal="center" vertical="center" wrapText="1"/>
    </xf>
    <xf numFmtId="0" fontId="51" fillId="26" borderId="8" xfId="0" quotePrefix="1" applyFont="1" applyFill="1" applyBorder="1" applyAlignment="1">
      <alignment horizontal="center" vertical="center"/>
    </xf>
    <xf numFmtId="4" fontId="23" fillId="26" borderId="8" xfId="0" applyNumberFormat="1" applyFont="1" applyFill="1" applyBorder="1" applyAlignment="1" applyProtection="1">
      <alignment horizontal="right" vertical="center" wrapText="1"/>
      <protection locked="0"/>
    </xf>
    <xf numFmtId="1" fontId="21" fillId="25" borderId="8" xfId="0" applyNumberFormat="1" applyFont="1" applyFill="1" applyBorder="1" applyAlignment="1">
      <alignment horizontal="center" vertical="center" wrapText="1"/>
    </xf>
    <xf numFmtId="0" fontId="16" fillId="25" borderId="8" xfId="0" quotePrefix="1" applyFont="1" applyFill="1" applyBorder="1" applyAlignment="1">
      <alignment horizontal="center" vertical="center"/>
    </xf>
    <xf numFmtId="4" fontId="21" fillId="25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25" borderId="8" xfId="0" applyNumberFormat="1" applyFont="1" applyFill="1" applyBorder="1" applyAlignment="1" applyProtection="1">
      <alignment horizontal="right" vertical="center" wrapText="1"/>
      <protection locked="0"/>
    </xf>
    <xf numFmtId="49" fontId="20" fillId="25" borderId="8" xfId="0" applyNumberFormat="1" applyFont="1" applyFill="1" applyBorder="1" applyAlignment="1">
      <alignment horizontal="left" vertical="center" wrapText="1"/>
    </xf>
    <xf numFmtId="4" fontId="56" fillId="25" borderId="8" xfId="0" applyNumberFormat="1" applyFont="1" applyFill="1" applyBorder="1" applyAlignment="1" applyProtection="1">
      <alignment horizontal="right" vertical="center" wrapText="1"/>
      <protection locked="0"/>
    </xf>
    <xf numFmtId="4" fontId="20" fillId="25" borderId="8" xfId="0" applyNumberFormat="1" applyFont="1" applyFill="1" applyBorder="1" applyAlignment="1">
      <alignment horizontal="right" vertical="center" wrapText="1"/>
    </xf>
    <xf numFmtId="0" fontId="21" fillId="27" borderId="8" xfId="0" applyFont="1" applyFill="1" applyBorder="1" applyAlignment="1">
      <alignment vertical="center" wrapText="1"/>
    </xf>
    <xf numFmtId="4" fontId="18" fillId="27" borderId="8" xfId="0" applyNumberFormat="1" applyFont="1" applyFill="1" applyBorder="1" applyAlignment="1" applyProtection="1">
      <alignment vertical="center"/>
      <protection locked="0"/>
    </xf>
    <xf numFmtId="4" fontId="30" fillId="27" borderId="8" xfId="0" applyNumberFormat="1" applyFont="1" applyFill="1" applyBorder="1" applyAlignment="1" applyProtection="1">
      <alignment vertical="center"/>
      <protection locked="0"/>
    </xf>
    <xf numFmtId="4" fontId="60" fillId="26" borderId="8" xfId="0" applyNumberFormat="1" applyFont="1" applyFill="1" applyBorder="1" applyAlignment="1" applyProtection="1">
      <alignment vertical="center"/>
      <protection locked="0"/>
    </xf>
    <xf numFmtId="4" fontId="44" fillId="26" borderId="8" xfId="0" applyNumberFormat="1" applyFont="1" applyFill="1" applyBorder="1" applyAlignment="1" applyProtection="1">
      <alignment vertical="center"/>
      <protection locked="0"/>
    </xf>
    <xf numFmtId="4" fontId="56" fillId="29" borderId="8" xfId="0" applyNumberFormat="1" applyFont="1" applyFill="1" applyBorder="1" applyAlignment="1">
      <alignment horizontal="right" vertical="center" wrapText="1"/>
    </xf>
    <xf numFmtId="0" fontId="57" fillId="0" borderId="0" xfId="0" applyFont="1" applyAlignment="1">
      <alignment horizontal="left" vertical="justify" wrapText="1"/>
    </xf>
    <xf numFmtId="4" fontId="30" fillId="0" borderId="0" xfId="0" applyNumberFormat="1" applyFont="1" applyAlignment="1">
      <alignment horizontal="left" vertical="center"/>
    </xf>
    <xf numFmtId="0" fontId="57" fillId="24" borderId="8" xfId="0" applyFont="1" applyFill="1" applyBorder="1" applyAlignment="1">
      <alignment horizontal="center" wrapText="1"/>
    </xf>
    <xf numFmtId="4" fontId="28" fillId="0" borderId="8" xfId="0" applyNumberFormat="1" applyFont="1" applyFill="1" applyBorder="1" applyAlignment="1">
      <alignment horizontal="right" vertical="center" wrapText="1"/>
    </xf>
    <xf numFmtId="4" fontId="58" fillId="0" borderId="8" xfId="0" applyNumberFormat="1" applyFont="1" applyFill="1" applyBorder="1" applyAlignment="1">
      <alignment horizontal="right" vertical="center" wrapText="1"/>
    </xf>
    <xf numFmtId="4" fontId="23" fillId="0" borderId="8" xfId="0" applyNumberFormat="1" applyFont="1" applyFill="1" applyBorder="1" applyAlignment="1">
      <alignment horizontal="right" vertical="center" wrapText="1"/>
    </xf>
    <xf numFmtId="4" fontId="27" fillId="0" borderId="8" xfId="0" applyNumberFormat="1" applyFont="1" applyFill="1" applyBorder="1" applyAlignment="1">
      <alignment horizontal="right" vertical="center" wrapText="1"/>
    </xf>
    <xf numFmtId="4" fontId="27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1" fillId="23" borderId="8" xfId="0" applyNumberFormat="1" applyFont="1" applyFill="1" applyBorder="1"/>
    <xf numFmtId="4" fontId="25" fillId="0" borderId="0" xfId="0" applyNumberFormat="1" applyFont="1" applyBorder="1" applyAlignment="1">
      <alignment horizontal="right" vertical="top" wrapText="1"/>
    </xf>
    <xf numFmtId="0" fontId="57" fillId="0" borderId="0" xfId="0" applyFont="1" applyAlignment="1">
      <alignment horizontal="center"/>
    </xf>
    <xf numFmtId="4" fontId="30" fillId="0" borderId="0" xfId="0" applyNumberFormat="1" applyFont="1" applyAlignment="1">
      <alignment horizontal="right" vertical="center"/>
    </xf>
    <xf numFmtId="4" fontId="57" fillId="0" borderId="0" xfId="0" applyNumberFormat="1" applyFont="1"/>
    <xf numFmtId="4" fontId="56" fillId="25" borderId="8" xfId="0" applyNumberFormat="1" applyFont="1" applyFill="1" applyBorder="1" applyAlignment="1">
      <alignment horizontal="right" vertical="top" wrapText="1"/>
    </xf>
    <xf numFmtId="4" fontId="56" fillId="25" borderId="8" xfId="0" applyNumberFormat="1" applyFont="1" applyFill="1" applyBorder="1" applyAlignment="1">
      <alignment horizontal="right" vertical="center" wrapText="1"/>
    </xf>
    <xf numFmtId="4" fontId="27" fillId="25" borderId="8" xfId="0" applyNumberFormat="1" applyFont="1" applyFill="1" applyBorder="1" applyAlignment="1">
      <alignment horizontal="right" vertical="center" wrapText="1"/>
    </xf>
    <xf numFmtId="4" fontId="25" fillId="25" borderId="8" xfId="0" applyNumberFormat="1" applyFont="1" applyFill="1" applyBorder="1" applyAlignment="1">
      <alignment horizontal="right" vertical="center" wrapText="1"/>
    </xf>
    <xf numFmtId="4" fontId="61" fillId="26" borderId="8" xfId="0" applyNumberFormat="1" applyFont="1" applyFill="1" applyBorder="1" applyAlignment="1">
      <alignment horizontal="right" vertical="center" wrapText="1"/>
    </xf>
    <xf numFmtId="4" fontId="62" fillId="28" borderId="8" xfId="0" applyNumberFormat="1" applyFont="1" applyFill="1" applyBorder="1" applyAlignment="1">
      <alignment wrapText="1"/>
    </xf>
    <xf numFmtId="4" fontId="62" fillId="24" borderId="8" xfId="0" applyNumberFormat="1" applyFont="1" applyFill="1" applyBorder="1" applyAlignment="1">
      <alignment wrapText="1"/>
    </xf>
    <xf numFmtId="4" fontId="32" fillId="0" borderId="8" xfId="0" applyNumberFormat="1" applyFont="1" applyBorder="1" applyAlignment="1">
      <alignment wrapText="1"/>
    </xf>
    <xf numFmtId="4" fontId="32" fillId="0" borderId="8" xfId="0" applyNumberFormat="1" applyFont="1" applyBorder="1" applyAlignment="1">
      <alignment horizontal="right" wrapText="1"/>
    </xf>
    <xf numFmtId="4" fontId="32" fillId="0" borderId="8" xfId="0" applyNumberFormat="1" applyFont="1" applyFill="1" applyBorder="1" applyAlignment="1">
      <alignment horizontal="right" wrapText="1"/>
    </xf>
    <xf numFmtId="4" fontId="32" fillId="0" borderId="8" xfId="0" applyNumberFormat="1" applyFont="1" applyFill="1" applyBorder="1" applyAlignment="1">
      <alignment wrapText="1"/>
    </xf>
    <xf numFmtId="4" fontId="32" fillId="0" borderId="0" xfId="0" applyNumberFormat="1" applyFont="1" applyBorder="1" applyAlignment="1">
      <alignment wrapText="1"/>
    </xf>
    <xf numFmtId="4" fontId="32" fillId="0" borderId="0" xfId="0" applyNumberFormat="1" applyFont="1" applyFill="1" applyBorder="1" applyAlignment="1">
      <alignment wrapText="1"/>
    </xf>
    <xf numFmtId="4" fontId="32" fillId="23" borderId="8" xfId="0" applyNumberFormat="1" applyFont="1" applyFill="1" applyBorder="1" applyAlignment="1">
      <alignment wrapText="1"/>
    </xf>
    <xf numFmtId="4" fontId="62" fillId="24" borderId="8" xfId="0" applyNumberFormat="1" applyFont="1" applyFill="1" applyBorder="1" applyAlignment="1">
      <alignment horizontal="right" wrapText="1"/>
    </xf>
    <xf numFmtId="4" fontId="32" fillId="24" borderId="8" xfId="0" applyNumberFormat="1" applyFont="1" applyFill="1" applyBorder="1" applyAlignment="1">
      <alignment wrapText="1"/>
    </xf>
    <xf numFmtId="4" fontId="62" fillId="23" borderId="8" xfId="0" applyNumberFormat="1" applyFont="1" applyFill="1" applyBorder="1" applyAlignment="1">
      <alignment wrapText="1"/>
    </xf>
    <xf numFmtId="4" fontId="32" fillId="24" borderId="0" xfId="0" applyNumberFormat="1" applyFont="1" applyFill="1" applyBorder="1" applyAlignment="1">
      <alignment wrapText="1"/>
    </xf>
    <xf numFmtId="49" fontId="41" fillId="0" borderId="8" xfId="0" applyNumberFormat="1" applyFont="1" applyBorder="1" applyAlignment="1">
      <alignment horizontal="left" vertical="top" wrapText="1"/>
    </xf>
    <xf numFmtId="4" fontId="41" fillId="0" borderId="9" xfId="0" applyNumberFormat="1" applyFont="1" applyBorder="1" applyAlignment="1">
      <alignment wrapText="1"/>
    </xf>
    <xf numFmtId="4" fontId="41" fillId="0" borderId="8" xfId="0" applyNumberFormat="1" applyFont="1" applyFill="1" applyBorder="1" applyAlignment="1">
      <alignment wrapText="1"/>
    </xf>
    <xf numFmtId="4" fontId="62" fillId="0" borderId="8" xfId="0" applyNumberFormat="1" applyFont="1" applyBorder="1" applyAlignment="1">
      <alignment wrapText="1"/>
    </xf>
    <xf numFmtId="0" fontId="62" fillId="0" borderId="0" xfId="0" applyFont="1" applyFill="1"/>
    <xf numFmtId="0" fontId="62" fillId="0" borderId="0" xfId="0" applyFont="1"/>
    <xf numFmtId="4" fontId="62" fillId="0" borderId="9" xfId="0" applyNumberFormat="1" applyFont="1" applyBorder="1" applyAlignment="1">
      <alignment wrapText="1"/>
    </xf>
    <xf numFmtId="0" fontId="62" fillId="0" borderId="10" xfId="0" applyFont="1" applyFill="1" applyBorder="1"/>
    <xf numFmtId="0" fontId="62" fillId="0" borderId="10" xfId="0" applyFont="1" applyBorder="1"/>
    <xf numFmtId="0" fontId="63" fillId="0" borderId="10" xfId="0" applyFont="1" applyFill="1" applyBorder="1"/>
    <xf numFmtId="0" fontId="49" fillId="0" borderId="0" xfId="0" applyFont="1" applyFill="1" applyAlignment="1">
      <alignment horizontal="center" vertical="center"/>
    </xf>
    <xf numFmtId="0" fontId="0" fillId="26" borderId="8" xfId="0" quotePrefix="1" applyFill="1" applyBorder="1" applyAlignment="1">
      <alignment horizontal="center" vertical="center"/>
    </xf>
    <xf numFmtId="0" fontId="0" fillId="27" borderId="8" xfId="0" quotePrefix="1" applyFill="1" applyBorder="1" applyAlignment="1">
      <alignment horizontal="center" vertical="center"/>
    </xf>
    <xf numFmtId="49" fontId="21" fillId="23" borderId="8" xfId="0" applyNumberFormat="1" applyFont="1" applyFill="1" applyBorder="1" applyAlignment="1">
      <alignment horizontal="left" vertical="center" wrapText="1"/>
    </xf>
    <xf numFmtId="1" fontId="25" fillId="26" borderId="8" xfId="0" applyNumberFormat="1" applyFont="1" applyFill="1" applyBorder="1" applyAlignment="1">
      <alignment horizontal="center" vertical="center" wrapText="1"/>
    </xf>
    <xf numFmtId="49" fontId="56" fillId="26" borderId="8" xfId="0" applyNumberFormat="1" applyFont="1" applyFill="1" applyBorder="1" applyAlignment="1">
      <alignment horizontal="left" vertical="center" wrapText="1"/>
    </xf>
    <xf numFmtId="4" fontId="39" fillId="28" borderId="8" xfId="0" applyNumberFormat="1" applyFont="1" applyFill="1" applyBorder="1" applyAlignment="1">
      <alignment wrapText="1"/>
    </xf>
    <xf numFmtId="4" fontId="39" fillId="24" borderId="8" xfId="0" applyNumberFormat="1" applyFont="1" applyFill="1" applyBorder="1" applyAlignment="1">
      <alignment wrapText="1"/>
    </xf>
    <xf numFmtId="4" fontId="38" fillId="0" borderId="8" xfId="0" applyNumberFormat="1" applyFont="1" applyBorder="1" applyAlignment="1">
      <alignment wrapText="1"/>
    </xf>
    <xf numFmtId="4" fontId="38" fillId="0" borderId="0" xfId="0" applyNumberFormat="1" applyFont="1" applyBorder="1" applyAlignment="1">
      <alignment wrapText="1"/>
    </xf>
    <xf numFmtId="4" fontId="38" fillId="0" borderId="0" xfId="0" applyNumberFormat="1" applyFont="1" applyFill="1" applyBorder="1" applyAlignment="1">
      <alignment wrapText="1"/>
    </xf>
    <xf numFmtId="4" fontId="38" fillId="23" borderId="9" xfId="0" applyNumberFormat="1" applyFont="1" applyFill="1" applyBorder="1" applyAlignment="1">
      <alignment wrapText="1"/>
    </xf>
    <xf numFmtId="4" fontId="38" fillId="0" borderId="9" xfId="0" applyNumberFormat="1" applyFont="1" applyBorder="1" applyAlignment="1">
      <alignment wrapText="1"/>
    </xf>
    <xf numFmtId="4" fontId="39" fillId="24" borderId="8" xfId="0" applyNumberFormat="1" applyFont="1" applyFill="1" applyBorder="1" applyAlignment="1">
      <alignment horizontal="right" wrapText="1"/>
    </xf>
    <xf numFmtId="4" fontId="39" fillId="0" borderId="9" xfId="0" applyNumberFormat="1" applyFont="1" applyBorder="1" applyAlignment="1">
      <alignment wrapText="1"/>
    </xf>
    <xf numFmtId="4" fontId="39" fillId="0" borderId="8" xfId="0" applyNumberFormat="1" applyFont="1" applyBorder="1" applyAlignment="1">
      <alignment wrapText="1"/>
    </xf>
    <xf numFmtId="4" fontId="38" fillId="23" borderId="14" xfId="0" applyNumberFormat="1" applyFont="1" applyFill="1" applyBorder="1" applyAlignment="1">
      <alignment wrapText="1"/>
    </xf>
    <xf numFmtId="4" fontId="38" fillId="23" borderId="0" xfId="0" applyNumberFormat="1" applyFont="1" applyFill="1" applyBorder="1" applyAlignment="1">
      <alignment wrapText="1"/>
    </xf>
    <xf numFmtId="4" fontId="38" fillId="23" borderId="15" xfId="0" applyNumberFormat="1" applyFont="1" applyFill="1" applyBorder="1" applyAlignment="1">
      <alignment wrapText="1"/>
    </xf>
    <xf numFmtId="4" fontId="39" fillId="28" borderId="9" xfId="0" applyNumberFormat="1" applyFont="1" applyFill="1" applyBorder="1" applyAlignment="1">
      <alignment wrapText="1"/>
    </xf>
    <xf numFmtId="4" fontId="38" fillId="24" borderId="9" xfId="0" applyNumberFormat="1" applyFont="1" applyFill="1" applyBorder="1" applyAlignment="1">
      <alignment wrapText="1"/>
    </xf>
    <xf numFmtId="4" fontId="38" fillId="23" borderId="8" xfId="0" applyNumberFormat="1" applyFont="1" applyFill="1" applyBorder="1" applyAlignment="1">
      <alignment wrapText="1"/>
    </xf>
    <xf numFmtId="4" fontId="39" fillId="24" borderId="9" xfId="0" applyNumberFormat="1" applyFont="1" applyFill="1" applyBorder="1" applyAlignment="1">
      <alignment wrapText="1"/>
    </xf>
    <xf numFmtId="1" fontId="20" fillId="26" borderId="8" xfId="0" applyNumberFormat="1" applyFont="1" applyFill="1" applyBorder="1" applyAlignment="1">
      <alignment horizontal="center" vertical="center" wrapText="1"/>
    </xf>
    <xf numFmtId="4" fontId="24" fillId="0" borderId="8" xfId="0" applyNumberFormat="1" applyFont="1" applyFill="1" applyBorder="1" applyAlignment="1">
      <alignment horizontal="left" vertical="center" wrapText="1"/>
    </xf>
    <xf numFmtId="49" fontId="19" fillId="26" borderId="8" xfId="0" applyNumberFormat="1" applyFont="1" applyFill="1" applyBorder="1" applyAlignment="1">
      <alignment horizontal="center" vertical="center" wrapText="1"/>
    </xf>
    <xf numFmtId="1" fontId="24" fillId="26" borderId="8" xfId="0" applyNumberFormat="1" applyFont="1" applyFill="1" applyBorder="1" applyAlignment="1">
      <alignment horizontal="center" vertical="center" wrapText="1"/>
    </xf>
    <xf numFmtId="49" fontId="19" fillId="0" borderId="8" xfId="0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right" vertical="center" wrapText="1"/>
    </xf>
    <xf numFmtId="4" fontId="19" fillId="26" borderId="8" xfId="0" applyNumberFormat="1" applyFont="1" applyFill="1" applyBorder="1" applyAlignment="1">
      <alignment horizontal="left" vertical="center" wrapText="1"/>
    </xf>
    <xf numFmtId="49" fontId="19" fillId="27" borderId="8" xfId="0" applyNumberFormat="1" applyFont="1" applyFill="1" applyBorder="1" applyAlignment="1">
      <alignment horizontal="center" vertical="center" wrapText="1"/>
    </xf>
    <xf numFmtId="4" fontId="19" fillId="27" borderId="8" xfId="0" applyNumberFormat="1" applyFont="1" applyFill="1" applyBorder="1" applyAlignment="1">
      <alignment horizontal="right" vertical="center" wrapText="1"/>
    </xf>
    <xf numFmtId="49" fontId="29" fillId="25" borderId="8" xfId="0" applyNumberFormat="1" applyFont="1" applyFill="1" applyBorder="1" applyAlignment="1">
      <alignment horizontal="center" vertical="top" wrapText="1"/>
    </xf>
    <xf numFmtId="4" fontId="25" fillId="27" borderId="8" xfId="0" applyNumberFormat="1" applyFont="1" applyFill="1" applyBorder="1" applyAlignment="1">
      <alignment horizontal="center" vertical="center" wrapText="1"/>
    </xf>
    <xf numFmtId="4" fontId="39" fillId="28" borderId="12" xfId="0" applyNumberFormat="1" applyFont="1" applyFill="1" applyBorder="1" applyAlignment="1">
      <alignment wrapText="1"/>
    </xf>
    <xf numFmtId="0" fontId="38" fillId="28" borderId="8" xfId="0" applyFont="1" applyFill="1" applyBorder="1" applyAlignment="1">
      <alignment horizontal="center"/>
    </xf>
    <xf numFmtId="0" fontId="32" fillId="28" borderId="8" xfId="0" applyFont="1" applyFill="1" applyBorder="1" applyAlignment="1">
      <alignment horizontal="center"/>
    </xf>
    <xf numFmtId="4" fontId="64" fillId="23" borderId="8" xfId="0" applyNumberFormat="1" applyFont="1" applyFill="1" applyBorder="1"/>
    <xf numFmtId="4" fontId="30" fillId="0" borderId="8" xfId="0" applyNumberFormat="1" applyFont="1" applyFill="1" applyBorder="1" applyAlignment="1">
      <alignment horizontal="right" vertical="center"/>
    </xf>
    <xf numFmtId="4" fontId="19" fillId="0" borderId="0" xfId="0" applyNumberFormat="1" applyFont="1" applyFill="1" applyBorder="1" applyAlignment="1">
      <alignment horizontal="right" vertical="top" wrapText="1"/>
    </xf>
    <xf numFmtId="4" fontId="19" fillId="26" borderId="0" xfId="0" applyNumberFormat="1" applyFont="1" applyFill="1" applyBorder="1" applyAlignment="1">
      <alignment horizontal="right" vertical="top" wrapText="1"/>
    </xf>
    <xf numFmtId="4" fontId="21" fillId="25" borderId="0" xfId="0" applyNumberFormat="1" applyFont="1" applyFill="1" applyBorder="1" applyAlignment="1">
      <alignment horizontal="right" vertical="top" wrapText="1"/>
    </xf>
    <xf numFmtId="49" fontId="21" fillId="25" borderId="8" xfId="0" applyNumberFormat="1" applyFont="1" applyFill="1" applyBorder="1" applyAlignment="1">
      <alignment horizontal="left" vertical="center" wrapText="1"/>
    </xf>
    <xf numFmtId="4" fontId="24" fillId="27" borderId="8" xfId="0" applyNumberFormat="1" applyFont="1" applyFill="1" applyBorder="1" applyAlignment="1">
      <alignment horizontal="left" vertical="center" wrapText="1"/>
    </xf>
    <xf numFmtId="4" fontId="23" fillId="27" borderId="8" xfId="0" applyNumberFormat="1" applyFont="1" applyFill="1" applyBorder="1" applyAlignment="1">
      <alignment horizontal="right" vertical="center" wrapText="1"/>
    </xf>
    <xf numFmtId="0" fontId="51" fillId="25" borderId="8" xfId="0" quotePrefix="1" applyFont="1" applyFill="1" applyBorder="1" applyAlignment="1">
      <alignment horizontal="center" vertical="center"/>
    </xf>
    <xf numFmtId="4" fontId="19" fillId="25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25" borderId="8" xfId="0" applyNumberFormat="1" applyFont="1" applyFill="1" applyBorder="1" applyAlignment="1" applyProtection="1">
      <alignment horizontal="right" vertical="center" wrapText="1"/>
      <protection locked="0"/>
    </xf>
    <xf numFmtId="49" fontId="21" fillId="27" borderId="8" xfId="0" applyNumberFormat="1" applyFont="1" applyFill="1" applyBorder="1" applyAlignment="1">
      <alignment horizontal="center" vertical="center" wrapText="1"/>
    </xf>
    <xf numFmtId="4" fontId="21" fillId="27" borderId="8" xfId="0" applyNumberFormat="1" applyFont="1" applyFill="1" applyBorder="1" applyAlignment="1">
      <alignment horizontal="left" vertical="center" wrapText="1"/>
    </xf>
    <xf numFmtId="4" fontId="32" fillId="0" borderId="8" xfId="0" quotePrefix="1" applyNumberFormat="1" applyFont="1" applyBorder="1" applyAlignment="1">
      <alignment wrapText="1"/>
    </xf>
    <xf numFmtId="4" fontId="16" fillId="0" borderId="12" xfId="0" applyNumberFormat="1" applyFont="1" applyBorder="1"/>
    <xf numFmtId="4" fontId="56" fillId="0" borderId="8" xfId="0" applyNumberFormat="1" applyFont="1" applyFill="1" applyBorder="1" applyAlignment="1" applyProtection="1">
      <alignment horizontal="right" vertical="center" wrapText="1"/>
      <protection locked="0"/>
    </xf>
    <xf numFmtId="49" fontId="18" fillId="0" borderId="0" xfId="0" applyNumberFormat="1" applyFont="1" applyFill="1" applyAlignment="1">
      <alignment vertical="top" wrapText="1"/>
    </xf>
    <xf numFmtId="49" fontId="31" fillId="0" borderId="8" xfId="0" applyNumberFormat="1" applyFont="1" applyFill="1" applyBorder="1" applyAlignment="1">
      <alignment horizontal="center" vertical="top" wrapText="1"/>
    </xf>
    <xf numFmtId="4" fontId="31" fillId="0" borderId="8" xfId="0" applyNumberFormat="1" applyFont="1" applyFill="1" applyBorder="1" applyAlignment="1">
      <alignment wrapText="1"/>
    </xf>
    <xf numFmtId="4" fontId="39" fillId="0" borderId="8" xfId="0" applyNumberFormat="1" applyFont="1" applyFill="1" applyBorder="1" applyAlignment="1">
      <alignment wrapText="1"/>
    </xf>
    <xf numFmtId="4" fontId="62" fillId="0" borderId="8" xfId="0" applyNumberFormat="1" applyFont="1" applyFill="1" applyBorder="1" applyAlignment="1">
      <alignment wrapText="1"/>
    </xf>
    <xf numFmtId="0" fontId="35" fillId="0" borderId="0" xfId="0" applyFont="1" applyFill="1"/>
    <xf numFmtId="4" fontId="38" fillId="0" borderId="8" xfId="0" applyNumberFormat="1" applyFont="1" applyFill="1" applyBorder="1" applyAlignment="1">
      <alignment wrapText="1"/>
    </xf>
    <xf numFmtId="4" fontId="51" fillId="26" borderId="8" xfId="0" applyNumberFormat="1" applyFont="1" applyFill="1" applyBorder="1"/>
    <xf numFmtId="4" fontId="16" fillId="27" borderId="8" xfId="0" applyNumberFormat="1" applyFont="1" applyFill="1" applyBorder="1"/>
    <xf numFmtId="49" fontId="19" fillId="0" borderId="8" xfId="0" applyNumberFormat="1" applyFont="1" applyFill="1" applyBorder="1" applyAlignment="1">
      <alignment horizontal="left" vertical="center" wrapText="1"/>
    </xf>
    <xf numFmtId="49" fontId="20" fillId="0" borderId="8" xfId="0" applyNumberFormat="1" applyFont="1" applyFill="1" applyBorder="1" applyAlignment="1">
      <alignment horizontal="left" vertical="center" wrapText="1"/>
    </xf>
    <xf numFmtId="0" fontId="51" fillId="0" borderId="8" xfId="0" quotePrefix="1" applyFont="1" applyFill="1" applyBorder="1" applyAlignment="1">
      <alignment horizontal="center" vertical="center"/>
    </xf>
    <xf numFmtId="4" fontId="1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0" borderId="8" xfId="0" applyNumberFormat="1" applyFont="1" applyFill="1" applyBorder="1" applyAlignment="1">
      <alignment horizontal="right" vertical="center" wrapText="1"/>
    </xf>
    <xf numFmtId="0" fontId="50" fillId="0" borderId="0" xfId="0" applyFont="1" applyFill="1"/>
    <xf numFmtId="0" fontId="51" fillId="0" borderId="0" xfId="0" applyFont="1" applyFill="1"/>
    <xf numFmtId="0" fontId="51" fillId="0" borderId="8" xfId="0" quotePrefix="1" applyFont="1" applyBorder="1" applyAlignment="1">
      <alignment horizontal="center" vertical="center"/>
    </xf>
    <xf numFmtId="4" fontId="19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3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3" borderId="8" xfId="0" applyNumberFormat="1" applyFont="1" applyFill="1" applyBorder="1" applyAlignment="1">
      <alignment horizontal="right" vertical="center" wrapText="1"/>
    </xf>
    <xf numFmtId="0" fontId="50" fillId="0" borderId="0" xfId="0" applyFont="1"/>
    <xf numFmtId="0" fontId="51" fillId="0" borderId="0" xfId="0" applyFont="1"/>
    <xf numFmtId="0" fontId="17" fillId="25" borderId="0" xfId="0" applyFont="1" applyFill="1" applyBorder="1" applyAlignment="1">
      <alignment horizontal="center" wrapText="1"/>
    </xf>
    <xf numFmtId="4" fontId="18" fillId="25" borderId="0" xfId="0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justify" wrapText="1"/>
    </xf>
    <xf numFmtId="0" fontId="17" fillId="0" borderId="0" xfId="0" applyFont="1" applyFill="1" applyBorder="1" applyAlignment="1">
      <alignment horizontal="center" vertical="justify" wrapText="1"/>
    </xf>
    <xf numFmtId="4" fontId="18" fillId="0" borderId="0" xfId="0" applyNumberFormat="1" applyFont="1" applyFill="1" applyBorder="1" applyAlignment="1">
      <alignment horizontal="left" vertical="center"/>
    </xf>
    <xf numFmtId="39" fontId="18" fillId="0" borderId="0" xfId="0" applyNumberFormat="1" applyFont="1" applyFill="1" applyBorder="1" applyAlignment="1">
      <alignment horizontal="center" vertical="center" wrapText="1"/>
    </xf>
    <xf numFmtId="0" fontId="19" fillId="0" borderId="8" xfId="0" applyNumberFormat="1" applyFont="1" applyFill="1" applyBorder="1" applyAlignment="1">
      <alignment vertical="center" wrapText="1"/>
    </xf>
    <xf numFmtId="0" fontId="21" fillId="27" borderId="8" xfId="0" applyNumberFormat="1" applyFont="1" applyFill="1" applyBorder="1" applyAlignment="1">
      <alignment vertical="center" wrapText="1"/>
    </xf>
    <xf numFmtId="4" fontId="20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1" fillId="23" borderId="12" xfId="0" applyNumberFormat="1" applyFont="1" applyFill="1" applyBorder="1" applyAlignment="1" applyProtection="1">
      <alignment horizontal="right" vertical="center" wrapText="1"/>
      <protection locked="0"/>
    </xf>
    <xf numFmtId="4" fontId="25" fillId="23" borderId="12" xfId="0" applyNumberFormat="1" applyFont="1" applyFill="1" applyBorder="1" applyAlignment="1" applyProtection="1">
      <alignment horizontal="right" vertical="center" wrapText="1"/>
      <protection locked="0"/>
    </xf>
    <xf numFmtId="4" fontId="25" fillId="23" borderId="12" xfId="0" applyNumberFormat="1" applyFont="1" applyFill="1" applyBorder="1" applyAlignment="1">
      <alignment horizontal="right" vertical="center" wrapText="1"/>
    </xf>
    <xf numFmtId="49" fontId="56" fillId="0" borderId="8" xfId="0" applyNumberFormat="1" applyFont="1" applyFill="1" applyBorder="1" applyAlignment="1">
      <alignment horizontal="left" vertical="center" wrapText="1"/>
    </xf>
    <xf numFmtId="0" fontId="0" fillId="0" borderId="8" xfId="0" quotePrefix="1" applyFill="1" applyBorder="1" applyAlignment="1">
      <alignment horizontal="center" vertical="center"/>
    </xf>
    <xf numFmtId="4" fontId="19" fillId="0" borderId="8" xfId="0" applyNumberFormat="1" applyFont="1" applyFill="1" applyBorder="1" applyAlignment="1">
      <alignment horizontal="left" vertical="center" wrapText="1"/>
    </xf>
    <xf numFmtId="1" fontId="20" fillId="0" borderId="8" xfId="0" applyNumberFormat="1" applyFont="1" applyFill="1" applyBorder="1" applyAlignment="1">
      <alignment horizontal="center" vertical="center" wrapText="1"/>
    </xf>
    <xf numFmtId="4" fontId="20" fillId="0" borderId="8" xfId="0" applyNumberFormat="1" applyFont="1" applyFill="1" applyBorder="1" applyAlignment="1">
      <alignment horizontal="left" vertical="center" wrapText="1"/>
    </xf>
    <xf numFmtId="1" fontId="19" fillId="0" borderId="8" xfId="0" applyNumberFormat="1" applyFont="1" applyFill="1" applyBorder="1" applyAlignment="1">
      <alignment horizontal="left" vertical="center" wrapText="1"/>
    </xf>
    <xf numFmtId="4" fontId="61" fillId="0" borderId="8" xfId="0" applyNumberFormat="1" applyFont="1" applyFill="1" applyBorder="1" applyAlignment="1">
      <alignment horizontal="right" vertical="center" wrapText="1"/>
    </xf>
    <xf numFmtId="0" fontId="19" fillId="0" borderId="8" xfId="0" applyFont="1" applyFill="1" applyBorder="1" applyAlignment="1">
      <alignment vertical="center" wrapText="1"/>
    </xf>
    <xf numFmtId="1" fontId="22" fillId="27" borderId="8" xfId="0" applyNumberFormat="1" applyFont="1" applyFill="1" applyBorder="1" applyAlignment="1">
      <alignment horizontal="center" vertical="center" wrapText="1"/>
    </xf>
    <xf numFmtId="1" fontId="65" fillId="0" borderId="8" xfId="0" applyNumberFormat="1" applyFont="1" applyFill="1" applyBorder="1" applyAlignment="1">
      <alignment horizontal="center" vertical="center" wrapText="1"/>
    </xf>
    <xf numFmtId="4" fontId="20" fillId="23" borderId="8" xfId="0" applyNumberFormat="1" applyFont="1" applyFill="1" applyBorder="1" applyAlignment="1">
      <alignment horizontal="right" vertical="center" wrapText="1"/>
    </xf>
    <xf numFmtId="0" fontId="20" fillId="0" borderId="8" xfId="0" applyFont="1" applyFill="1" applyBorder="1" applyAlignment="1">
      <alignment horizontal="left" vertical="center" wrapText="1"/>
    </xf>
    <xf numFmtId="0" fontId="30" fillId="25" borderId="0" xfId="0" applyFont="1" applyFill="1"/>
    <xf numFmtId="0" fontId="15" fillId="0" borderId="0" xfId="0" applyFont="1" applyAlignment="1">
      <alignment horizontal="center"/>
    </xf>
    <xf numFmtId="1" fontId="28" fillId="0" borderId="8" xfId="0" applyNumberFormat="1" applyFont="1" applyFill="1" applyBorder="1" applyAlignment="1">
      <alignment horizontal="center" vertical="center" wrapText="1"/>
    </xf>
    <xf numFmtId="4" fontId="18" fillId="0" borderId="0" xfId="0" applyNumberFormat="1" applyFont="1" applyFill="1" applyAlignment="1">
      <alignment horizontal="right" vertical="center"/>
    </xf>
    <xf numFmtId="4" fontId="30" fillId="25" borderId="8" xfId="0" applyNumberFormat="1" applyFont="1" applyFill="1" applyBorder="1" applyAlignment="1">
      <alignment horizontal="right" vertical="center"/>
    </xf>
    <xf numFmtId="0" fontId="30" fillId="0" borderId="0" xfId="0" applyFont="1" applyFill="1" applyAlignment="1">
      <alignment horizontal="center" vertical="center"/>
    </xf>
    <xf numFmtId="4" fontId="18" fillId="25" borderId="8" xfId="0" applyNumberFormat="1" applyFont="1" applyFill="1" applyBorder="1" applyAlignment="1">
      <alignment horizontal="right" vertical="center"/>
    </xf>
    <xf numFmtId="4" fontId="18" fillId="0" borderId="8" xfId="0" applyNumberFormat="1" applyFont="1" applyFill="1" applyBorder="1" applyAlignment="1">
      <alignment horizontal="right" vertical="center"/>
    </xf>
    <xf numFmtId="4" fontId="46" fillId="0" borderId="0" xfId="0" applyNumberFormat="1" applyFont="1" applyFill="1"/>
    <xf numFmtId="4" fontId="46" fillId="27" borderId="0" xfId="0" applyNumberFormat="1" applyFont="1" applyFill="1"/>
    <xf numFmtId="4" fontId="50" fillId="0" borderId="0" xfId="0" applyNumberFormat="1" applyFont="1" applyFill="1"/>
    <xf numFmtId="0" fontId="19" fillId="0" borderId="8" xfId="0" applyFont="1" applyFill="1" applyBorder="1" applyAlignment="1">
      <alignment horizontal="left" vertical="center" wrapText="1"/>
    </xf>
    <xf numFmtId="0" fontId="21" fillId="27" borderId="8" xfId="0" applyFont="1" applyFill="1" applyBorder="1" applyAlignment="1">
      <alignment horizontal="left" vertical="center" wrapText="1"/>
    </xf>
    <xf numFmtId="4" fontId="51" fillId="0" borderId="8" xfId="0" applyNumberFormat="1" applyFont="1" applyFill="1" applyBorder="1"/>
    <xf numFmtId="43" fontId="19" fillId="0" borderId="8" xfId="40" applyFont="1" applyFill="1" applyBorder="1" applyAlignment="1">
      <alignment horizontal="left" vertical="center" wrapText="1"/>
    </xf>
    <xf numFmtId="43" fontId="21" fillId="27" borderId="8" xfId="40" applyFont="1" applyFill="1" applyBorder="1" applyAlignment="1">
      <alignment horizontal="left" vertical="center" wrapText="1"/>
    </xf>
    <xf numFmtId="4" fontId="44" fillId="0" borderId="8" xfId="0" applyNumberFormat="1" applyFont="1" applyFill="1" applyBorder="1" applyAlignment="1">
      <alignment horizontal="right" vertical="center"/>
    </xf>
    <xf numFmtId="49" fontId="19" fillId="0" borderId="8" xfId="0" applyNumberFormat="1" applyFont="1" applyFill="1" applyBorder="1" applyAlignment="1">
      <alignment horizontal="left" vertical="top" wrapText="1"/>
    </xf>
    <xf numFmtId="4" fontId="19" fillId="0" borderId="8" xfId="0" applyNumberFormat="1" applyFont="1" applyFill="1" applyBorder="1" applyAlignment="1">
      <alignment horizontal="right" vertical="top" wrapText="1"/>
    </xf>
    <xf numFmtId="4" fontId="23" fillId="0" borderId="8" xfId="0" applyNumberFormat="1" applyFont="1" applyFill="1" applyBorder="1" applyAlignment="1">
      <alignment horizontal="right" vertical="top" wrapText="1"/>
    </xf>
    <xf numFmtId="4" fontId="21" fillId="0" borderId="8" xfId="0" applyNumberFormat="1" applyFont="1" applyFill="1" applyBorder="1" applyAlignment="1">
      <alignment horizontal="right" vertical="top" wrapText="1"/>
    </xf>
    <xf numFmtId="0" fontId="16" fillId="0" borderId="0" xfId="0" applyFont="1" applyFill="1" applyAlignment="1">
      <alignment horizontal="center"/>
    </xf>
    <xf numFmtId="4" fontId="60" fillId="0" borderId="8" xfId="0" applyNumberFormat="1" applyFont="1" applyFill="1" applyBorder="1" applyAlignment="1" applyProtection="1">
      <alignment vertical="center"/>
      <protection locked="0"/>
    </xf>
    <xf numFmtId="4" fontId="44" fillId="0" borderId="8" xfId="0" applyNumberFormat="1" applyFont="1" applyFill="1" applyBorder="1" applyAlignment="1" applyProtection="1">
      <alignment vertical="center"/>
      <protection locked="0"/>
    </xf>
    <xf numFmtId="0" fontId="24" fillId="0" borderId="8" xfId="0" applyFont="1" applyFill="1" applyBorder="1" applyAlignment="1">
      <alignment vertical="center" wrapText="1"/>
    </xf>
    <xf numFmtId="4" fontId="18" fillId="0" borderId="8" xfId="0" applyNumberFormat="1" applyFont="1" applyFill="1" applyBorder="1" applyAlignment="1" applyProtection="1">
      <alignment vertical="center"/>
      <protection locked="0"/>
    </xf>
    <xf numFmtId="4" fontId="30" fillId="0" borderId="8" xfId="0" applyNumberFormat="1" applyFont="1" applyFill="1" applyBorder="1" applyAlignment="1" applyProtection="1">
      <alignment vertical="center"/>
      <protection locked="0"/>
    </xf>
    <xf numFmtId="0" fontId="37" fillId="0" borderId="0" xfId="0" applyFont="1" applyFill="1"/>
    <xf numFmtId="49" fontId="42" fillId="0" borderId="8" xfId="0" applyNumberFormat="1" applyFont="1" applyFill="1" applyBorder="1" applyAlignment="1">
      <alignment horizontal="left" vertical="top" wrapText="1"/>
    </xf>
    <xf numFmtId="0" fontId="33" fillId="0" borderId="0" xfId="0" applyFont="1" applyFill="1"/>
    <xf numFmtId="49" fontId="42" fillId="0" borderId="8" xfId="0" applyNumberFormat="1" applyFont="1" applyFill="1" applyBorder="1" applyAlignment="1">
      <alignment horizontal="center" vertical="top" wrapText="1"/>
    </xf>
    <xf numFmtId="4" fontId="42" fillId="0" borderId="8" xfId="0" applyNumberFormat="1" applyFont="1" applyFill="1" applyBorder="1" applyAlignment="1">
      <alignment wrapText="1"/>
    </xf>
    <xf numFmtId="49" fontId="41" fillId="0" borderId="8" xfId="0" applyNumberFormat="1" applyFont="1" applyFill="1" applyBorder="1" applyAlignment="1">
      <alignment horizontal="center" vertical="top" wrapText="1"/>
    </xf>
    <xf numFmtId="49" fontId="41" fillId="0" borderId="8" xfId="0" applyNumberFormat="1" applyFont="1" applyFill="1" applyBorder="1" applyAlignment="1">
      <alignment horizontal="left" vertical="top" wrapText="1"/>
    </xf>
    <xf numFmtId="0" fontId="66" fillId="0" borderId="0" xfId="0" applyFont="1" applyFill="1"/>
    <xf numFmtId="49" fontId="41" fillId="0" borderId="8" xfId="0" quotePrefix="1" applyNumberFormat="1" applyFont="1" applyBorder="1" applyAlignment="1">
      <alignment horizontal="center" vertical="top" wrapText="1"/>
    </xf>
    <xf numFmtId="0" fontId="67" fillId="0" borderId="0" xfId="0" applyFont="1"/>
    <xf numFmtId="4" fontId="41" fillId="0" borderId="8" xfId="0" applyNumberFormat="1" applyFont="1" applyFill="1" applyBorder="1" applyAlignment="1">
      <alignment horizontal="right" wrapText="1"/>
    </xf>
    <xf numFmtId="4" fontId="62" fillId="0" borderId="8" xfId="0" applyNumberFormat="1" applyFont="1" applyFill="1" applyBorder="1" applyAlignment="1">
      <alignment horizontal="right" wrapText="1"/>
    </xf>
    <xf numFmtId="0" fontId="66" fillId="0" borderId="0" xfId="0" applyFont="1"/>
    <xf numFmtId="0" fontId="68" fillId="0" borderId="0" xfId="0" applyFont="1" applyFill="1"/>
    <xf numFmtId="0" fontId="66" fillId="23" borderId="0" xfId="0" applyFont="1" applyFill="1"/>
    <xf numFmtId="0" fontId="29" fillId="0" borderId="8" xfId="0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center" wrapText="1"/>
    </xf>
    <xf numFmtId="0" fontId="38" fillId="0" borderId="8" xfId="0" applyFont="1" applyFill="1" applyBorder="1" applyAlignment="1">
      <alignment horizontal="center"/>
    </xf>
    <xf numFmtId="0" fontId="45" fillId="27" borderId="0" xfId="0" applyFont="1" applyFill="1" applyAlignment="1">
      <alignment horizontal="center" vertical="center"/>
    </xf>
    <xf numFmtId="0" fontId="24" fillId="27" borderId="8" xfId="0" applyFont="1" applyFill="1" applyBorder="1" applyAlignment="1">
      <alignment vertical="center" wrapText="1"/>
    </xf>
    <xf numFmtId="0" fontId="32" fillId="0" borderId="8" xfId="0" applyFont="1" applyFill="1" applyBorder="1" applyAlignment="1">
      <alignment horizontal="center"/>
    </xf>
    <xf numFmtId="0" fontId="33" fillId="0" borderId="8" xfId="0" applyFont="1" applyFill="1" applyBorder="1"/>
    <xf numFmtId="0" fontId="41" fillId="0" borderId="8" xfId="0" applyFont="1" applyFill="1" applyBorder="1" applyAlignment="1">
      <alignment horizontal="center" wrapText="1"/>
    </xf>
    <xf numFmtId="0" fontId="41" fillId="0" borderId="8" xfId="0" applyFont="1" applyFill="1" applyBorder="1" applyAlignment="1">
      <alignment horizontal="left" wrapText="1"/>
    </xf>
    <xf numFmtId="0" fontId="41" fillId="0" borderId="0" xfId="0" applyFont="1" applyFill="1" applyBorder="1" applyAlignment="1">
      <alignment horizontal="center" wrapText="1"/>
    </xf>
    <xf numFmtId="0" fontId="62" fillId="0" borderId="8" xfId="0" applyFont="1" applyFill="1" applyBorder="1" applyAlignment="1">
      <alignment horizontal="center"/>
    </xf>
    <xf numFmtId="0" fontId="67" fillId="0" borderId="8" xfId="0" applyFont="1" applyFill="1" applyBorder="1"/>
    <xf numFmtId="0" fontId="67" fillId="0" borderId="0" xfId="0" applyFont="1" applyFill="1"/>
    <xf numFmtId="0" fontId="39" fillId="0" borderId="0" xfId="0" applyFont="1" applyFill="1"/>
    <xf numFmtId="0" fontId="69" fillId="0" borderId="0" xfId="0" applyFont="1"/>
    <xf numFmtId="0" fontId="69" fillId="0" borderId="0" xfId="0" applyFont="1" applyFill="1"/>
    <xf numFmtId="49" fontId="69" fillId="0" borderId="8" xfId="0" applyNumberFormat="1" applyFont="1" applyBorder="1" applyAlignment="1">
      <alignment horizontal="left" vertical="top" wrapText="1"/>
    </xf>
    <xf numFmtId="49" fontId="69" fillId="0" borderId="8" xfId="0" applyNumberFormat="1" applyFont="1" applyFill="1" applyBorder="1" applyAlignment="1">
      <alignment horizontal="left" vertical="top" wrapText="1"/>
    </xf>
    <xf numFmtId="4" fontId="29" fillId="0" borderId="9" xfId="0" applyNumberFormat="1" applyFont="1" applyFill="1" applyBorder="1" applyAlignment="1">
      <alignment wrapText="1"/>
    </xf>
    <xf numFmtId="4" fontId="38" fillId="0" borderId="14" xfId="0" applyNumberFormat="1" applyFont="1" applyBorder="1" applyAlignment="1">
      <alignment wrapText="1"/>
    </xf>
    <xf numFmtId="4" fontId="39" fillId="23" borderId="9" xfId="0" applyNumberFormat="1" applyFont="1" applyFill="1" applyBorder="1" applyAlignment="1">
      <alignment wrapText="1"/>
    </xf>
    <xf numFmtId="0" fontId="39" fillId="0" borderId="0" xfId="0" applyFont="1"/>
    <xf numFmtId="49" fontId="69" fillId="0" borderId="0" xfId="0" applyNumberFormat="1" applyFont="1" applyAlignment="1">
      <alignment horizontal="center" vertical="top"/>
    </xf>
    <xf numFmtId="4" fontId="32" fillId="0" borderId="9" xfId="0" applyNumberFormat="1" applyFont="1" applyBorder="1" applyAlignment="1">
      <alignment wrapText="1"/>
    </xf>
    <xf numFmtId="49" fontId="31" fillId="24" borderId="9" xfId="0" applyNumberFormat="1" applyFont="1" applyFill="1" applyBorder="1" applyAlignment="1">
      <alignment horizontal="center" vertical="top" wrapText="1"/>
    </xf>
    <xf numFmtId="0" fontId="29" fillId="28" borderId="11" xfId="0" applyFont="1" applyFill="1" applyBorder="1" applyAlignment="1">
      <alignment horizontal="center" wrapText="1"/>
    </xf>
    <xf numFmtId="0" fontId="38" fillId="28" borderId="11" xfId="0" applyFont="1" applyFill="1" applyBorder="1" applyAlignment="1">
      <alignment horizontal="center"/>
    </xf>
    <xf numFmtId="0" fontId="32" fillId="28" borderId="11" xfId="0" applyFont="1" applyFill="1" applyBorder="1" applyAlignment="1">
      <alignment horizontal="center"/>
    </xf>
    <xf numFmtId="0" fontId="33" fillId="28" borderId="11" xfId="0" applyFont="1" applyFill="1" applyBorder="1"/>
    <xf numFmtId="0" fontId="69" fillId="0" borderId="8" xfId="0" applyFont="1" applyBorder="1"/>
    <xf numFmtId="0" fontId="69" fillId="0" borderId="8" xfId="0" applyFont="1" applyFill="1" applyBorder="1"/>
    <xf numFmtId="4" fontId="69" fillId="0" borderId="8" xfId="0" applyNumberFormat="1" applyFont="1" applyFill="1" applyBorder="1"/>
    <xf numFmtId="0" fontId="29" fillId="0" borderId="8" xfId="0" applyFont="1" applyBorder="1"/>
    <xf numFmtId="0" fontId="32" fillId="0" borderId="8" xfId="0" applyFont="1" applyFill="1" applyBorder="1"/>
    <xf numFmtId="0" fontId="69" fillId="0" borderId="8" xfId="0" applyFont="1" applyBorder="1" applyAlignment="1">
      <alignment horizontal="left" wrapText="1"/>
    </xf>
    <xf numFmtId="0" fontId="31" fillId="0" borderId="8" xfId="0" applyFont="1" applyBorder="1"/>
    <xf numFmtId="4" fontId="69" fillId="0" borderId="8" xfId="0" applyNumberFormat="1" applyFont="1" applyBorder="1" applyAlignment="1">
      <alignment wrapText="1"/>
    </xf>
    <xf numFmtId="4" fontId="69" fillId="23" borderId="8" xfId="0" applyNumberFormat="1" applyFont="1" applyFill="1" applyBorder="1" applyAlignment="1">
      <alignment wrapText="1"/>
    </xf>
    <xf numFmtId="4" fontId="69" fillId="0" borderId="8" xfId="0" applyNumberFormat="1" applyFont="1" applyFill="1" applyBorder="1" applyAlignment="1">
      <alignment wrapText="1"/>
    </xf>
    <xf numFmtId="0" fontId="32" fillId="0" borderId="0" xfId="0" applyFont="1" applyBorder="1"/>
    <xf numFmtId="49" fontId="41" fillId="0" borderId="11" xfId="0" applyNumberFormat="1" applyFont="1" applyBorder="1" applyAlignment="1">
      <alignment horizontal="center" vertical="top" wrapText="1"/>
    </xf>
    <xf numFmtId="49" fontId="41" fillId="0" borderId="11" xfId="0" applyNumberFormat="1" applyFont="1" applyBorder="1" applyAlignment="1">
      <alignment horizontal="left" vertical="top" wrapText="1"/>
    </xf>
    <xf numFmtId="4" fontId="41" fillId="0" borderId="11" xfId="0" applyNumberFormat="1" applyFont="1" applyBorder="1" applyAlignment="1">
      <alignment wrapText="1"/>
    </xf>
    <xf numFmtId="4" fontId="41" fillId="0" borderId="11" xfId="0" applyNumberFormat="1" applyFont="1" applyFill="1" applyBorder="1" applyAlignment="1">
      <alignment wrapText="1"/>
    </xf>
    <xf numFmtId="4" fontId="39" fillId="0" borderId="11" xfId="0" applyNumberFormat="1" applyFont="1" applyBorder="1" applyAlignment="1">
      <alignment wrapText="1"/>
    </xf>
    <xf numFmtId="4" fontId="62" fillId="0" borderId="11" xfId="0" applyNumberFormat="1" applyFont="1" applyBorder="1" applyAlignment="1">
      <alignment wrapText="1"/>
    </xf>
    <xf numFmtId="4" fontId="32" fillId="0" borderId="8" xfId="0" applyNumberFormat="1" applyFont="1" applyFill="1" applyBorder="1"/>
    <xf numFmtId="49" fontId="69" fillId="0" borderId="8" xfId="0" applyNumberFormat="1" applyFont="1" applyBorder="1" applyAlignment="1">
      <alignment horizontal="center" vertical="top"/>
    </xf>
    <xf numFmtId="0" fontId="69" fillId="0" borderId="8" xfId="0" applyFont="1" applyBorder="1" applyAlignment="1">
      <alignment wrapText="1"/>
    </xf>
    <xf numFmtId="49" fontId="29" fillId="0" borderId="8" xfId="0" applyNumberFormat="1" applyFont="1" applyBorder="1" applyAlignment="1">
      <alignment horizontal="center" vertical="top"/>
    </xf>
    <xf numFmtId="4" fontId="62" fillId="0" borderId="8" xfId="0" applyNumberFormat="1" applyFont="1" applyFill="1" applyBorder="1" applyAlignment="1">
      <alignment horizontal="center"/>
    </xf>
    <xf numFmtId="0" fontId="70" fillId="0" borderId="0" xfId="0" applyFont="1"/>
    <xf numFmtId="0" fontId="71" fillId="0" borderId="0" xfId="0" applyFont="1"/>
    <xf numFmtId="0" fontId="70" fillId="24" borderId="0" xfId="0" applyFont="1" applyFill="1"/>
    <xf numFmtId="4" fontId="39" fillId="0" borderId="8" xfId="0" quotePrefix="1" applyNumberFormat="1" applyFont="1" applyBorder="1" applyAlignment="1">
      <alignment wrapText="1"/>
    </xf>
    <xf numFmtId="4" fontId="39" fillId="24" borderId="8" xfId="0" quotePrefix="1" applyNumberFormat="1" applyFont="1" applyFill="1" applyBorder="1" applyAlignment="1">
      <alignment wrapText="1"/>
    </xf>
    <xf numFmtId="0" fontId="69" fillId="24" borderId="0" xfId="0" applyFont="1" applyFill="1"/>
    <xf numFmtId="49" fontId="31" fillId="0" borderId="8" xfId="0" applyNumberFormat="1" applyFont="1" applyFill="1" applyBorder="1" applyAlignment="1">
      <alignment horizontal="left" vertical="top" wrapText="1"/>
    </xf>
    <xf numFmtId="4" fontId="31" fillId="24" borderId="0" xfId="0" applyNumberFormat="1" applyFont="1" applyFill="1" applyBorder="1"/>
    <xf numFmtId="0" fontId="72" fillId="24" borderId="0" xfId="0" applyFont="1" applyFill="1"/>
    <xf numFmtId="0" fontId="72" fillId="0" borderId="0" xfId="0" applyFont="1" applyFill="1"/>
    <xf numFmtId="0" fontId="31" fillId="0" borderId="8" xfId="0" applyFont="1" applyFill="1" applyBorder="1"/>
    <xf numFmtId="4" fontId="38" fillId="23" borderId="16" xfId="0" applyNumberFormat="1" applyFont="1" applyFill="1" applyBorder="1" applyAlignment="1">
      <alignment wrapText="1"/>
    </xf>
    <xf numFmtId="0" fontId="31" fillId="0" borderId="0" xfId="0" applyFont="1" applyAlignment="1">
      <alignment wrapText="1"/>
    </xf>
    <xf numFmtId="0" fontId="31" fillId="0" borderId="8" xfId="0" applyFont="1" applyBorder="1" applyAlignment="1">
      <alignment wrapText="1"/>
    </xf>
    <xf numFmtId="0" fontId="31" fillId="0" borderId="8" xfId="0" applyFont="1" applyFill="1" applyBorder="1" applyAlignment="1">
      <alignment wrapText="1"/>
    </xf>
    <xf numFmtId="0" fontId="39" fillId="0" borderId="8" xfId="0" applyFont="1" applyFill="1" applyBorder="1" applyAlignment="1">
      <alignment wrapText="1"/>
    </xf>
    <xf numFmtId="0" fontId="39" fillId="0" borderId="8" xfId="0" applyFont="1" applyFill="1" applyBorder="1"/>
    <xf numFmtId="4" fontId="39" fillId="23" borderId="8" xfId="0" applyNumberFormat="1" applyFont="1" applyFill="1" applyBorder="1" applyAlignment="1">
      <alignment wrapText="1"/>
    </xf>
    <xf numFmtId="4" fontId="39" fillId="0" borderId="8" xfId="0" applyNumberFormat="1" applyFont="1" applyFill="1" applyBorder="1"/>
    <xf numFmtId="4" fontId="39" fillId="0" borderId="8" xfId="0" applyNumberFormat="1" applyFont="1" applyFill="1" applyBorder="1" applyAlignment="1">
      <alignment horizontal="center"/>
    </xf>
    <xf numFmtId="0" fontId="70" fillId="0" borderId="0" xfId="0" applyFont="1" applyFill="1"/>
    <xf numFmtId="49" fontId="31" fillId="0" borderId="8" xfId="0" quotePrefix="1" applyNumberFormat="1" applyFont="1" applyBorder="1" applyAlignment="1">
      <alignment horizontal="center" vertical="top" wrapText="1"/>
    </xf>
    <xf numFmtId="0" fontId="72" fillId="0" borderId="0" xfId="0" applyFont="1"/>
    <xf numFmtId="0" fontId="19" fillId="26" borderId="8" xfId="0" applyNumberFormat="1" applyFont="1" applyFill="1" applyBorder="1" applyAlignment="1">
      <alignment horizontal="left" vertical="center" wrapText="1"/>
    </xf>
    <xf numFmtId="0" fontId="21" fillId="27" borderId="8" xfId="0" applyNumberFormat="1" applyFont="1" applyFill="1" applyBorder="1" applyAlignment="1">
      <alignment horizontal="left" vertical="center" wrapText="1"/>
    </xf>
    <xf numFmtId="0" fontId="19" fillId="0" borderId="8" xfId="0" applyNumberFormat="1" applyFont="1" applyFill="1" applyBorder="1" applyAlignment="1">
      <alignment horizontal="left" vertical="center" wrapText="1"/>
    </xf>
    <xf numFmtId="4" fontId="31" fillId="0" borderId="0" xfId="0" applyNumberFormat="1" applyFont="1" applyFill="1" applyBorder="1"/>
    <xf numFmtId="0" fontId="15" fillId="0" borderId="0" xfId="0" applyFont="1" applyAlignment="1">
      <alignment horizontal="center" vertical="justify" wrapText="1"/>
    </xf>
    <xf numFmtId="4" fontId="17" fillId="0" borderId="0" xfId="0" applyNumberFormat="1" applyFont="1" applyAlignment="1">
      <alignment horizontal="center"/>
    </xf>
    <xf numFmtId="49" fontId="20" fillId="27" borderId="8" xfId="0" applyNumberFormat="1" applyFont="1" applyFill="1" applyBorder="1" applyAlignment="1">
      <alignment horizontal="left" vertical="center" wrapText="1"/>
    </xf>
    <xf numFmtId="1" fontId="20" fillId="27" borderId="8" xfId="0" applyNumberFormat="1" applyFont="1" applyFill="1" applyBorder="1" applyAlignment="1">
      <alignment horizontal="center" vertical="center" wrapText="1"/>
    </xf>
    <xf numFmtId="4" fontId="20" fillId="27" borderId="8" xfId="0" applyNumberFormat="1" applyFont="1" applyFill="1" applyBorder="1" applyAlignment="1">
      <alignment horizontal="right" vertical="center" wrapText="1"/>
    </xf>
    <xf numFmtId="4" fontId="20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7" borderId="8" xfId="0" applyNumberFormat="1" applyFont="1" applyFill="1" applyBorder="1" applyAlignment="1" applyProtection="1">
      <alignment horizontal="right" vertical="center" wrapText="1"/>
      <protection locked="0"/>
    </xf>
    <xf numFmtId="0" fontId="16" fillId="27" borderId="8" xfId="0" applyFont="1" applyFill="1" applyBorder="1"/>
    <xf numFmtId="4" fontId="20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56" fillId="27" borderId="8" xfId="0" applyNumberFormat="1" applyFont="1" applyFill="1" applyBorder="1" applyAlignment="1">
      <alignment horizontal="right" vertical="center" wrapText="1"/>
    </xf>
    <xf numFmtId="0" fontId="20" fillId="27" borderId="8" xfId="0" applyFont="1" applyFill="1" applyBorder="1" applyAlignment="1">
      <alignment vertical="center" wrapText="1"/>
    </xf>
    <xf numFmtId="4" fontId="39" fillId="24" borderId="8" xfId="0" applyNumberFormat="1" applyFont="1" applyFill="1" applyBorder="1" applyAlignment="1">
      <alignment horizontal="center"/>
    </xf>
    <xf numFmtId="4" fontId="39" fillId="28" borderId="8" xfId="0" applyNumberFormat="1" applyFont="1" applyFill="1" applyBorder="1" applyAlignment="1">
      <alignment horizontal="center"/>
    </xf>
    <xf numFmtId="4" fontId="39" fillId="0" borderId="11" xfId="0" applyNumberFormat="1" applyFont="1" applyFill="1" applyBorder="1" applyAlignment="1">
      <alignment horizontal="center"/>
    </xf>
    <xf numFmtId="4" fontId="39" fillId="0" borderId="0" xfId="0" applyNumberFormat="1" applyFont="1" applyFill="1" applyBorder="1" applyAlignment="1">
      <alignment horizontal="center"/>
    </xf>
    <xf numFmtId="4" fontId="38" fillId="0" borderId="8" xfId="0" applyNumberFormat="1" applyFont="1" applyFill="1" applyBorder="1" applyAlignment="1">
      <alignment horizontal="center"/>
    </xf>
    <xf numFmtId="4" fontId="38" fillId="0" borderId="0" xfId="0" applyNumberFormat="1" applyFont="1" applyFill="1" applyBorder="1" applyAlignment="1">
      <alignment horizontal="center"/>
    </xf>
    <xf numFmtId="49" fontId="29" fillId="30" borderId="8" xfId="0" applyNumberFormat="1" applyFont="1" applyFill="1" applyBorder="1" applyAlignment="1">
      <alignment horizontal="center" vertical="top" wrapText="1"/>
    </xf>
    <xf numFmtId="4" fontId="38" fillId="24" borderId="8" xfId="0" applyNumberFormat="1" applyFont="1" applyFill="1" applyBorder="1" applyAlignment="1">
      <alignment horizontal="center"/>
    </xf>
    <xf numFmtId="2" fontId="32" fillId="0" borderId="0" xfId="0" applyNumberFormat="1" applyFont="1"/>
    <xf numFmtId="4" fontId="39" fillId="24" borderId="0" xfId="0" applyNumberFormat="1" applyFont="1" applyFill="1"/>
    <xf numFmtId="49" fontId="39" fillId="28" borderId="8" xfId="0" applyNumberFormat="1" applyFont="1" applyFill="1" applyBorder="1" applyAlignment="1">
      <alignment horizontal="center" vertical="top" wrapText="1"/>
    </xf>
    <xf numFmtId="49" fontId="39" fillId="28" borderId="8" xfId="0" applyNumberFormat="1" applyFont="1" applyFill="1" applyBorder="1" applyAlignment="1">
      <alignment horizontal="left" vertical="top" wrapText="1"/>
    </xf>
    <xf numFmtId="0" fontId="39" fillId="28" borderId="0" xfId="0" applyFont="1" applyFill="1"/>
    <xf numFmtId="0" fontId="71" fillId="28" borderId="0" xfId="0" applyFont="1" applyFill="1"/>
    <xf numFmtId="1" fontId="23" fillId="26" borderId="8" xfId="0" applyNumberFormat="1" applyFont="1" applyFill="1" applyBorder="1" applyAlignment="1">
      <alignment horizontal="center" vertical="center" wrapText="1"/>
    </xf>
    <xf numFmtId="49" fontId="23" fillId="26" borderId="8" xfId="0" applyNumberFormat="1" applyFont="1" applyFill="1" applyBorder="1" applyAlignment="1">
      <alignment horizontal="left" vertical="center" wrapText="1"/>
    </xf>
    <xf numFmtId="0" fontId="30" fillId="0" borderId="0" xfId="0" applyFont="1" applyFill="1"/>
    <xf numFmtId="2" fontId="30" fillId="0" borderId="0" xfId="0" applyNumberFormat="1" applyFont="1" applyFill="1" applyBorder="1"/>
    <xf numFmtId="4" fontId="18" fillId="0" borderId="8" xfId="0" applyNumberFormat="1" applyFont="1" applyBorder="1" applyAlignment="1">
      <alignment horizontal="right" vertical="center"/>
    </xf>
    <xf numFmtId="49" fontId="27" fillId="0" borderId="8" xfId="0" applyNumberFormat="1" applyFont="1" applyFill="1" applyBorder="1" applyAlignment="1">
      <alignment horizontal="left" vertical="center" wrapText="1"/>
    </xf>
    <xf numFmtId="0" fontId="24" fillId="0" borderId="8" xfId="0" applyFont="1" applyFill="1" applyBorder="1" applyAlignment="1">
      <alignment horizontal="left" vertical="center" wrapText="1"/>
    </xf>
    <xf numFmtId="4" fontId="15" fillId="23" borderId="8" xfId="0" applyNumberFormat="1" applyFont="1" applyFill="1" applyBorder="1" applyAlignment="1">
      <alignment horizontal="right" wrapText="1"/>
    </xf>
    <xf numFmtId="49" fontId="21" fillId="0" borderId="8" xfId="0" applyNumberFormat="1" applyFont="1" applyFill="1" applyBorder="1" applyAlignment="1">
      <alignment horizontal="center" vertical="center" wrapText="1"/>
    </xf>
    <xf numFmtId="0" fontId="73" fillId="0" borderId="0" xfId="0" applyFont="1" applyFill="1" applyAlignment="1">
      <alignment horizontal="center" vertical="center"/>
    </xf>
    <xf numFmtId="49" fontId="65" fillId="0" borderId="8" xfId="0" applyNumberFormat="1" applyFont="1" applyFill="1" applyBorder="1" applyAlignment="1">
      <alignment horizontal="center" vertical="center" wrapText="1"/>
    </xf>
    <xf numFmtId="4" fontId="26" fillId="0" borderId="8" xfId="0" applyNumberFormat="1" applyFont="1" applyFill="1" applyBorder="1" applyAlignment="1">
      <alignment horizontal="left" vertical="center" wrapText="1"/>
    </xf>
    <xf numFmtId="4" fontId="65" fillId="0" borderId="8" xfId="0" applyNumberFormat="1" applyFont="1" applyFill="1" applyBorder="1" applyAlignment="1">
      <alignment horizontal="right" vertical="center" wrapText="1"/>
    </xf>
    <xf numFmtId="0" fontId="74" fillId="0" borderId="0" xfId="0" applyFont="1" applyFill="1"/>
    <xf numFmtId="0" fontId="75" fillId="0" borderId="0" xfId="0" applyFont="1" applyFill="1"/>
    <xf numFmtId="4" fontId="76" fillId="0" borderId="8" xfId="0" applyNumberFormat="1" applyFont="1" applyFill="1" applyBorder="1" applyAlignment="1">
      <alignment horizontal="right" vertical="center" wrapText="1"/>
    </xf>
    <xf numFmtId="0" fontId="75" fillId="0" borderId="8" xfId="0" quotePrefix="1" applyFont="1" applyBorder="1" applyAlignment="1">
      <alignment horizontal="center" vertical="center"/>
    </xf>
    <xf numFmtId="4" fontId="77" fillId="0" borderId="8" xfId="0" applyNumberFormat="1" applyFont="1" applyFill="1" applyBorder="1" applyAlignment="1">
      <alignment horizontal="right" vertical="center" wrapText="1"/>
    </xf>
    <xf numFmtId="49" fontId="22" fillId="0" borderId="8" xfId="0" applyNumberFormat="1" applyFont="1" applyFill="1" applyBorder="1" applyAlignment="1">
      <alignment horizontal="center" vertical="center" wrapText="1"/>
    </xf>
    <xf numFmtId="0" fontId="74" fillId="0" borderId="0" xfId="0" applyFont="1"/>
    <xf numFmtId="0" fontId="75" fillId="0" borderId="0" xfId="0" applyFont="1"/>
    <xf numFmtId="4" fontId="22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75" fillId="25" borderId="0" xfId="0" applyFont="1" applyFill="1"/>
    <xf numFmtId="4" fontId="22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75" fillId="0" borderId="8" xfId="0" quotePrefix="1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vertical="center" wrapText="1"/>
    </xf>
    <xf numFmtId="4" fontId="47" fillId="0" borderId="8" xfId="0" applyNumberFormat="1" applyFont="1" applyFill="1" applyBorder="1" applyAlignment="1" applyProtection="1">
      <alignment vertical="center"/>
      <protection locked="0"/>
    </xf>
    <xf numFmtId="4" fontId="48" fillId="0" borderId="8" xfId="0" applyNumberFormat="1" applyFont="1" applyFill="1" applyBorder="1" applyAlignment="1" applyProtection="1">
      <alignment vertical="center"/>
      <protection locked="0"/>
    </xf>
    <xf numFmtId="0" fontId="22" fillId="0" borderId="8" xfId="0" applyFont="1" applyFill="1" applyBorder="1" applyAlignment="1">
      <alignment vertical="center" wrapText="1"/>
    </xf>
    <xf numFmtId="4" fontId="74" fillId="0" borderId="0" xfId="0" applyNumberFormat="1" applyFont="1" applyFill="1"/>
    <xf numFmtId="49" fontId="20" fillId="23" borderId="8" xfId="0" applyNumberFormat="1" applyFont="1" applyFill="1" applyBorder="1" applyAlignment="1">
      <alignment horizontal="left" vertical="center" wrapText="1"/>
    </xf>
    <xf numFmtId="1" fontId="26" fillId="23" borderId="8" xfId="0" applyNumberFormat="1" applyFont="1" applyFill="1" applyBorder="1" applyAlignment="1">
      <alignment horizontal="center" vertical="center" wrapText="1"/>
    </xf>
    <xf numFmtId="4" fontId="58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6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74" fillId="25" borderId="0" xfId="0" applyFont="1" applyFill="1"/>
    <xf numFmtId="0" fontId="78" fillId="0" borderId="8" xfId="0" applyFont="1" applyBorder="1" applyAlignment="1">
      <alignment wrapText="1"/>
    </xf>
    <xf numFmtId="4" fontId="17" fillId="0" borderId="0" xfId="0" applyNumberFormat="1" applyFont="1" applyAlignment="1"/>
    <xf numFmtId="0" fontId="24" fillId="0" borderId="0" xfId="0" applyFont="1" applyAlignment="1">
      <alignment horizontal="left" wrapText="1"/>
    </xf>
    <xf numFmtId="49" fontId="18" fillId="0" borderId="0" xfId="0" applyNumberFormat="1" applyFont="1" applyAlignment="1">
      <alignment horizontal="center" vertical="top" wrapText="1"/>
    </xf>
    <xf numFmtId="4" fontId="25" fillId="30" borderId="8" xfId="0" applyNumberFormat="1" applyFont="1" applyFill="1" applyBorder="1" applyAlignment="1" applyProtection="1">
      <alignment horizontal="right" vertical="center" wrapText="1"/>
      <protection locked="0"/>
    </xf>
    <xf numFmtId="4" fontId="25" fillId="30" borderId="8" xfId="0" applyNumberFormat="1" applyFont="1" applyFill="1" applyBorder="1" applyAlignment="1">
      <alignment horizontal="right" vertical="center" wrapText="1"/>
    </xf>
    <xf numFmtId="4" fontId="24" fillId="30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30" borderId="8" xfId="0" applyNumberFormat="1" applyFont="1" applyFill="1" applyBorder="1" applyAlignment="1" applyProtection="1">
      <alignment horizontal="right" vertical="center" wrapText="1"/>
      <protection locked="0"/>
    </xf>
    <xf numFmtId="0" fontId="17" fillId="24" borderId="0" xfId="0" applyFont="1" applyFill="1" applyBorder="1" applyAlignment="1">
      <alignment horizontal="center" wrapText="1"/>
    </xf>
    <xf numFmtId="4" fontId="81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8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21" fillId="31" borderId="8" xfId="0" applyNumberFormat="1" applyFont="1" applyFill="1" applyBorder="1" applyAlignment="1" applyProtection="1">
      <alignment horizontal="right" vertical="center" wrapText="1"/>
      <protection locked="0"/>
    </xf>
    <xf numFmtId="4" fontId="57" fillId="0" borderId="8" xfId="0" applyNumberFormat="1" applyFont="1" applyBorder="1"/>
    <xf numFmtId="4" fontId="84" fillId="0" borderId="8" xfId="0" applyNumberFormat="1" applyFont="1" applyFill="1" applyBorder="1" applyAlignment="1">
      <alignment horizontal="right" vertical="center" wrapText="1"/>
    </xf>
    <xf numFmtId="0" fontId="82" fillId="0" borderId="0" xfId="0" applyFont="1"/>
    <xf numFmtId="0" fontId="32" fillId="0" borderId="0" xfId="0" applyFont="1" applyAlignment="1">
      <alignment horizontal="center" vertical="center" wrapText="1"/>
    </xf>
    <xf numFmtId="4" fontId="85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85" fillId="0" borderId="8" xfId="0" applyNumberFormat="1" applyFont="1" applyFill="1" applyBorder="1" applyAlignment="1">
      <alignment horizontal="right" vertical="center" wrapText="1"/>
    </xf>
    <xf numFmtId="49" fontId="86" fillId="25" borderId="8" xfId="0" applyNumberFormat="1" applyFont="1" applyFill="1" applyBorder="1" applyAlignment="1">
      <alignment horizontal="left" vertical="top" wrapText="1"/>
    </xf>
    <xf numFmtId="4" fontId="2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83" fillId="0" borderId="8" xfId="0" applyNumberFormat="1" applyFont="1" applyFill="1" applyBorder="1" applyAlignment="1">
      <alignment horizontal="center" vertical="center" wrapText="1"/>
    </xf>
    <xf numFmtId="4" fontId="87" fillId="23" borderId="8" xfId="0" applyNumberFormat="1" applyFont="1" applyFill="1" applyBorder="1" applyAlignment="1">
      <alignment horizontal="right" vertical="center" wrapText="1"/>
    </xf>
    <xf numFmtId="4" fontId="21" fillId="26" borderId="0" xfId="0" applyNumberFormat="1" applyFont="1" applyFill="1" applyBorder="1" applyAlignment="1">
      <alignment horizontal="right" vertical="top" wrapText="1"/>
    </xf>
    <xf numFmtId="4" fontId="81" fillId="0" borderId="0" xfId="0" applyNumberFormat="1" applyFont="1" applyBorder="1" applyAlignment="1">
      <alignment horizontal="right" vertical="top" wrapText="1"/>
    </xf>
    <xf numFmtId="4" fontId="88" fillId="0" borderId="0" xfId="0" applyNumberFormat="1" applyFont="1" applyBorder="1" applyAlignment="1">
      <alignment horizontal="right" vertical="top" wrapText="1"/>
    </xf>
    <xf numFmtId="4" fontId="89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90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90" fillId="0" borderId="8" xfId="0" applyNumberFormat="1" applyFont="1" applyFill="1" applyBorder="1" applyAlignment="1">
      <alignment horizontal="right" vertical="center" wrapText="1"/>
    </xf>
    <xf numFmtId="4" fontId="90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84" fillId="30" borderId="8" xfId="0" applyNumberFormat="1" applyFont="1" applyFill="1" applyBorder="1" applyAlignment="1">
      <alignment horizontal="right" vertical="center" wrapText="1"/>
    </xf>
    <xf numFmtId="4" fontId="84" fillId="23" borderId="8" xfId="0" applyNumberFormat="1" applyFont="1" applyFill="1" applyBorder="1" applyAlignment="1">
      <alignment horizontal="right" vertical="center" wrapText="1"/>
    </xf>
    <xf numFmtId="4" fontId="90" fillId="23" borderId="8" xfId="0" applyNumberFormat="1" applyFont="1" applyFill="1" applyBorder="1" applyAlignment="1">
      <alignment horizontal="right" vertical="center" wrapText="1"/>
    </xf>
    <xf numFmtId="49" fontId="91" fillId="26" borderId="8" xfId="0" applyNumberFormat="1" applyFont="1" applyFill="1" applyBorder="1" applyAlignment="1">
      <alignment horizontal="left" vertical="center" wrapText="1"/>
    </xf>
    <xf numFmtId="0" fontId="16" fillId="0" borderId="8" xfId="0" applyFont="1" applyBorder="1"/>
    <xf numFmtId="0" fontId="16" fillId="0" borderId="8" xfId="0" applyFont="1" applyBorder="1" applyAlignment="1">
      <alignment horizontal="center"/>
    </xf>
    <xf numFmtId="4" fontId="21" fillId="32" borderId="8" xfId="0" applyNumberFormat="1" applyFont="1" applyFill="1" applyBorder="1" applyAlignment="1">
      <alignment horizontal="right" vertical="center" wrapText="1"/>
    </xf>
    <xf numFmtId="4" fontId="25" fillId="32" borderId="8" xfId="0" applyNumberFormat="1" applyFont="1" applyFill="1" applyBorder="1" applyAlignment="1" applyProtection="1">
      <alignment horizontal="right" vertical="center" wrapText="1"/>
      <protection locked="0"/>
    </xf>
    <xf numFmtId="4" fontId="24" fillId="32" borderId="8" xfId="0" applyNumberFormat="1" applyFont="1" applyFill="1" applyBorder="1" applyAlignment="1" applyProtection="1">
      <alignment horizontal="right" vertical="center" wrapText="1"/>
      <protection locked="0"/>
    </xf>
    <xf numFmtId="4" fontId="27" fillId="32" borderId="8" xfId="0" applyNumberFormat="1" applyFont="1" applyFill="1" applyBorder="1" applyAlignment="1" applyProtection="1">
      <alignment horizontal="right" vertical="center" wrapText="1"/>
      <protection locked="0"/>
    </xf>
    <xf numFmtId="4" fontId="89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93" fillId="23" borderId="8" xfId="0" applyNumberFormat="1" applyFont="1" applyFill="1" applyBorder="1" applyAlignment="1">
      <alignment horizontal="right" vertical="center"/>
    </xf>
    <xf numFmtId="4" fontId="89" fillId="27" borderId="8" xfId="0" applyNumberFormat="1" applyFont="1" applyFill="1" applyBorder="1" applyAlignment="1">
      <alignment horizontal="right" vertical="center" wrapText="1"/>
    </xf>
    <xf numFmtId="4" fontId="92" fillId="0" borderId="8" xfId="0" applyNumberFormat="1" applyFont="1" applyFill="1" applyBorder="1" applyAlignment="1">
      <alignment horizontal="right" vertical="center" wrapText="1"/>
    </xf>
    <xf numFmtId="4" fontId="94" fillId="23" borderId="8" xfId="0" applyNumberFormat="1" applyFont="1" applyFill="1" applyBorder="1" applyAlignment="1">
      <alignment horizontal="right" vertical="center" wrapText="1"/>
    </xf>
    <xf numFmtId="49" fontId="90" fillId="0" borderId="8" xfId="0" applyNumberFormat="1" applyFont="1" applyFill="1" applyBorder="1" applyAlignment="1">
      <alignment horizontal="left" vertical="center" wrapText="1"/>
    </xf>
    <xf numFmtId="4" fontId="95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96" fillId="23" borderId="8" xfId="0" applyNumberFormat="1" applyFont="1" applyFill="1" applyBorder="1" applyAlignment="1" applyProtection="1">
      <alignment horizontal="right" vertical="center" wrapText="1"/>
      <protection locked="0"/>
    </xf>
    <xf numFmtId="49" fontId="95" fillId="0" borderId="8" xfId="0" applyNumberFormat="1" applyFont="1" applyFill="1" applyBorder="1" applyAlignment="1">
      <alignment horizontal="left" vertical="center" wrapText="1"/>
    </xf>
    <xf numFmtId="4" fontId="97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98" fillId="23" borderId="8" xfId="0" applyNumberFormat="1" applyFont="1" applyFill="1" applyBorder="1" applyAlignment="1">
      <alignment horizontal="right" vertical="center"/>
    </xf>
    <xf numFmtId="4" fontId="95" fillId="27" borderId="8" xfId="0" applyNumberFormat="1" applyFont="1" applyFill="1" applyBorder="1" applyAlignment="1" applyProtection="1">
      <alignment horizontal="right" vertical="center" wrapText="1"/>
      <protection locked="0"/>
    </xf>
    <xf numFmtId="4" fontId="99" fillId="23" borderId="8" xfId="0" applyNumberFormat="1" applyFont="1" applyFill="1" applyBorder="1" applyAlignment="1" applyProtection="1">
      <alignment horizontal="right" vertical="center" wrapText="1"/>
      <protection locked="0"/>
    </xf>
    <xf numFmtId="4" fontId="21" fillId="30" borderId="8" xfId="0" applyNumberFormat="1" applyFont="1" applyFill="1" applyBorder="1" applyAlignment="1">
      <alignment horizontal="right" vertical="center" wrapText="1"/>
    </xf>
    <xf numFmtId="49" fontId="21" fillId="27" borderId="8" xfId="0" applyNumberFormat="1" applyFont="1" applyFill="1" applyBorder="1" applyAlignment="1">
      <alignment horizontal="right" vertical="center" wrapText="1"/>
    </xf>
    <xf numFmtId="4" fontId="95" fillId="0" borderId="8" xfId="0" applyNumberFormat="1" applyFont="1" applyFill="1" applyBorder="1" applyAlignment="1">
      <alignment horizontal="right" vertical="center" wrapText="1"/>
    </xf>
    <xf numFmtId="4" fontId="95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99" fillId="23" borderId="8" xfId="0" applyNumberFormat="1" applyFont="1" applyFill="1" applyBorder="1" applyAlignment="1">
      <alignment horizontal="right" vertical="center" wrapText="1"/>
    </xf>
    <xf numFmtId="4" fontId="95" fillId="23" borderId="8" xfId="0" applyNumberFormat="1" applyFont="1" applyFill="1" applyBorder="1" applyAlignment="1">
      <alignment horizontal="right" vertical="center" wrapText="1"/>
    </xf>
    <xf numFmtId="0" fontId="38" fillId="0" borderId="0" xfId="0" applyFont="1" applyAlignment="1">
      <alignment horizontal="center" vertical="justify" wrapText="1"/>
    </xf>
    <xf numFmtId="4" fontId="100" fillId="33" borderId="8" xfId="0" applyNumberFormat="1" applyFont="1" applyFill="1" applyBorder="1" applyAlignment="1" applyProtection="1">
      <alignment horizontal="right" vertical="center" wrapText="1"/>
      <protection locked="0"/>
    </xf>
    <xf numFmtId="4" fontId="101" fillId="23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0" xfId="0" applyAlignment="1">
      <alignment vertical="top" wrapText="1"/>
    </xf>
    <xf numFmtId="0" fontId="0" fillId="0" borderId="8" xfId="0" applyBorder="1" applyAlignment="1">
      <alignment horizontal="center" vertical="top" wrapText="1"/>
    </xf>
    <xf numFmtId="0" fontId="82" fillId="0" borderId="8" xfId="0" applyFont="1" applyBorder="1"/>
    <xf numFmtId="4" fontId="0" fillId="0" borderId="8" xfId="0" applyNumberFormat="1" applyBorder="1"/>
    <xf numFmtId="0" fontId="82" fillId="0" borderId="17" xfId="0" applyFont="1" applyBorder="1"/>
    <xf numFmtId="4" fontId="0" fillId="0" borderId="17" xfId="0" applyNumberFormat="1" applyBorder="1"/>
    <xf numFmtId="4" fontId="32" fillId="0" borderId="0" xfId="0" applyNumberFormat="1" applyFont="1"/>
    <xf numFmtId="0" fontId="38" fillId="0" borderId="0" xfId="0" applyFont="1" applyAlignment="1">
      <alignment horizontal="center"/>
    </xf>
    <xf numFmtId="0" fontId="32" fillId="0" borderId="0" xfId="0" applyFont="1" applyAlignment="1">
      <alignment horizontal="center" vertical="justify" wrapText="1"/>
    </xf>
    <xf numFmtId="39" fontId="42" fillId="0" borderId="0" xfId="0" applyNumberFormat="1" applyFont="1" applyBorder="1" applyAlignment="1">
      <alignment horizontal="center" vertical="center" wrapText="1"/>
    </xf>
    <xf numFmtId="0" fontId="32" fillId="0" borderId="0" xfId="0" applyFont="1" applyAlignment="1">
      <alignment horizontal="centerContinuous" vertical="center" wrapText="1"/>
    </xf>
    <xf numFmtId="0" fontId="32" fillId="0" borderId="0" xfId="0" applyFont="1" applyBorder="1" applyAlignment="1">
      <alignment horizontal="centerContinuous" vertical="center" wrapText="1"/>
    </xf>
    <xf numFmtId="39" fontId="42" fillId="0" borderId="0" xfId="0" applyNumberFormat="1" applyFont="1" applyFill="1" applyBorder="1" applyAlignment="1">
      <alignment horizontal="center" vertical="center" wrapText="1"/>
    </xf>
    <xf numFmtId="39" fontId="42" fillId="34" borderId="0" xfId="0" applyNumberFormat="1" applyFont="1" applyFill="1" applyBorder="1" applyAlignment="1">
      <alignment horizontal="center" vertical="center" wrapText="1"/>
    </xf>
    <xf numFmtId="0" fontId="103" fillId="0" borderId="0" xfId="0" applyFont="1"/>
    <xf numFmtId="4" fontId="42" fillId="0" borderId="0" xfId="0" applyNumberFormat="1" applyFont="1"/>
    <xf numFmtId="0" fontId="104" fillId="0" borderId="0" xfId="0" applyFont="1"/>
    <xf numFmtId="0" fontId="42" fillId="0" borderId="0" xfId="0" applyFont="1"/>
    <xf numFmtId="0" fontId="32" fillId="0" borderId="0" xfId="0" applyFont="1" applyAlignment="1">
      <alignment horizontal="left"/>
    </xf>
    <xf numFmtId="0" fontId="32" fillId="0" borderId="0" xfId="0" quotePrefix="1" applyFont="1"/>
    <xf numFmtId="0" fontId="32" fillId="0" borderId="0" xfId="0" applyFont="1" applyBorder="1" applyAlignment="1">
      <alignment horizontal="left"/>
    </xf>
    <xf numFmtId="0" fontId="62" fillId="0" borderId="0" xfId="0" applyFont="1" applyBorder="1" applyAlignment="1">
      <alignment horizontal="left"/>
    </xf>
    <xf numFmtId="39" fontId="42" fillId="23" borderId="0" xfId="0" applyNumberFormat="1" applyFont="1" applyFill="1" applyBorder="1" applyAlignment="1">
      <alignment horizontal="center" vertical="center" wrapText="1"/>
    </xf>
    <xf numFmtId="0" fontId="38" fillId="0" borderId="0" xfId="0" applyFont="1" applyAlignment="1">
      <alignment vertical="justify" wrapText="1"/>
    </xf>
    <xf numFmtId="0" fontId="0" fillId="0" borderId="0" xfId="0" applyAlignment="1">
      <alignment vertical="justify" wrapText="1"/>
    </xf>
    <xf numFmtId="4" fontId="62" fillId="0" borderId="0" xfId="0" applyNumberFormat="1" applyFont="1"/>
    <xf numFmtId="0" fontId="108" fillId="0" borderId="0" xfId="0" applyFont="1"/>
    <xf numFmtId="4" fontId="41" fillId="0" borderId="0" xfId="0" applyNumberFormat="1" applyFont="1"/>
    <xf numFmtId="0" fontId="32" fillId="0" borderId="0" xfId="0" applyFont="1" applyBorder="1" applyAlignment="1">
      <alignment horizontal="center" vertical="center" wrapText="1"/>
    </xf>
    <xf numFmtId="39" fontId="107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right"/>
    </xf>
    <xf numFmtId="0" fontId="32" fillId="0" borderId="0" xfId="0" applyFont="1" applyAlignment="1">
      <alignment horizontal="left" vertical="justify" wrapText="1"/>
    </xf>
    <xf numFmtId="0" fontId="38" fillId="0" borderId="0" xfId="0" applyFont="1" applyAlignment="1">
      <alignment horizontal="center" wrapText="1"/>
    </xf>
    <xf numFmtId="0" fontId="32" fillId="0" borderId="0" xfId="0" applyFont="1" applyAlignment="1">
      <alignment horizontal="left" vertical="justify" wrapText="1"/>
    </xf>
    <xf numFmtId="0" fontId="38" fillId="0" borderId="0" xfId="0" applyFont="1" applyAlignment="1">
      <alignment horizontal="center" vertical="justify" wrapText="1"/>
    </xf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38" fillId="35" borderId="0" xfId="0" applyFont="1" applyFill="1" applyAlignment="1">
      <alignment horizontal="center" vertical="justify" wrapText="1"/>
    </xf>
    <xf numFmtId="0" fontId="38" fillId="35" borderId="0" xfId="0" applyFont="1" applyFill="1" applyAlignment="1">
      <alignment horizontal="center"/>
    </xf>
    <xf numFmtId="0" fontId="32" fillId="0" borderId="0" xfId="0" applyFont="1" applyAlignment="1">
      <alignment horizontal="center"/>
    </xf>
    <xf numFmtId="0" fontId="32" fillId="0" borderId="0" xfId="0" applyFont="1" applyAlignment="1">
      <alignment horizontal="center" vertical="justify" wrapText="1"/>
    </xf>
    <xf numFmtId="0" fontId="32" fillId="0" borderId="0" xfId="0" applyFont="1" applyBorder="1" applyAlignment="1">
      <alignment horizontal="left" wrapText="1"/>
    </xf>
    <xf numFmtId="0" fontId="32" fillId="0" borderId="0" xfId="0" applyFont="1" applyBorder="1" applyAlignment="1">
      <alignment horizontal="left"/>
    </xf>
    <xf numFmtId="0" fontId="62" fillId="0" borderId="0" xfId="0" applyFont="1" applyBorder="1" applyAlignment="1">
      <alignment horizontal="left"/>
    </xf>
    <xf numFmtId="0" fontId="32" fillId="0" borderId="0" xfId="0" applyFont="1" applyAlignment="1">
      <alignment horizontal="center" wrapText="1"/>
    </xf>
    <xf numFmtId="0" fontId="32" fillId="0" borderId="0" xfId="0" applyFont="1" applyAlignment="1">
      <alignment horizontal="left"/>
    </xf>
    <xf numFmtId="0" fontId="31" fillId="0" borderId="0" xfId="0" applyFont="1" applyBorder="1" applyAlignment="1">
      <alignment horizontal="center" wrapText="1"/>
    </xf>
    <xf numFmtId="4" fontId="17" fillId="0" borderId="0" xfId="0" applyNumberFormat="1" applyFont="1" applyAlignment="1">
      <alignment horizontal="left"/>
    </xf>
    <xf numFmtId="49" fontId="17" fillId="0" borderId="0" xfId="0" applyNumberFormat="1" applyFont="1" applyAlignment="1">
      <alignment horizontal="left" vertical="top" wrapText="1"/>
    </xf>
    <xf numFmtId="0" fontId="15" fillId="0" borderId="0" xfId="0" applyFont="1" applyAlignment="1">
      <alignment horizontal="center"/>
    </xf>
    <xf numFmtId="0" fontId="24" fillId="0" borderId="0" xfId="0" applyFont="1" applyAlignment="1">
      <alignment horizontal="left" wrapText="1"/>
    </xf>
    <xf numFmtId="49" fontId="18" fillId="0" borderId="0" xfId="0" applyNumberFormat="1" applyFont="1" applyAlignment="1">
      <alignment horizontal="center" vertical="top" wrapText="1"/>
    </xf>
    <xf numFmtId="4" fontId="15" fillId="0" borderId="0" xfId="0" applyNumberFormat="1" applyFont="1" applyAlignment="1">
      <alignment horizontal="left" vertical="justify" wrapText="1"/>
    </xf>
    <xf numFmtId="0" fontId="15" fillId="0" borderId="0" xfId="0" applyFont="1" applyAlignment="1">
      <alignment horizontal="left" vertical="justify" wrapText="1"/>
    </xf>
    <xf numFmtId="0" fontId="15" fillId="0" borderId="0" xfId="0" applyNumberFormat="1" applyFont="1" applyAlignment="1">
      <alignment horizontal="left" vertical="justify" wrapText="1"/>
    </xf>
    <xf numFmtId="0" fontId="15" fillId="0" borderId="0" xfId="0" applyFont="1" applyAlignment="1">
      <alignment horizontal="center" vertical="justify" wrapText="1"/>
    </xf>
    <xf numFmtId="0" fontId="17" fillId="23" borderId="0" xfId="0" applyFont="1" applyFill="1" applyAlignment="1">
      <alignment horizontal="left" vertical="justify" wrapText="1"/>
    </xf>
    <xf numFmtId="0" fontId="15" fillId="23" borderId="0" xfId="0" applyFont="1" applyFill="1" applyAlignment="1">
      <alignment horizontal="left" vertical="justify" wrapText="1"/>
    </xf>
    <xf numFmtId="0" fontId="15" fillId="23" borderId="0" xfId="0" applyFont="1" applyFill="1" applyAlignment="1">
      <alignment horizontal="center" vertical="justify" wrapText="1"/>
    </xf>
    <xf numFmtId="0" fontId="15" fillId="23" borderId="0" xfId="0" applyNumberFormat="1" applyFont="1" applyFill="1" applyAlignment="1">
      <alignment horizontal="left" vertical="justify" wrapText="1"/>
    </xf>
    <xf numFmtId="4" fontId="18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left"/>
    </xf>
    <xf numFmtId="4" fontId="17" fillId="0" borderId="0" xfId="0" applyNumberFormat="1" applyFont="1" applyAlignment="1">
      <alignment horizontal="center"/>
    </xf>
  </cellXfs>
  <cellStyles count="44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6"/>
    <cellStyle name="Calculation" xfId="25"/>
    <cellStyle name="Check Cell" xfId="36"/>
    <cellStyle name="Comma" xfId="40" builtinId="3"/>
    <cellStyle name="Explanatory Text" xfId="37"/>
    <cellStyle name="Heading 1" xfId="27"/>
    <cellStyle name="Heading 2" xfId="28"/>
    <cellStyle name="Heading 3" xfId="29"/>
    <cellStyle name="Heading 4" xfId="30"/>
    <cellStyle name="Input" xfId="39"/>
    <cellStyle name="Linked Cell" xfId="35"/>
    <cellStyle name="Neutral" xfId="31"/>
    <cellStyle name="Normal" xfId="0" builtinId="0"/>
    <cellStyle name="Normalno 2" xfId="32"/>
    <cellStyle name="Normalno 3" xfId="33"/>
    <cellStyle name="Obično 2" xfId="34"/>
    <cellStyle name="Total" xfId="38"/>
    <cellStyle name="Zarez 2" xfId="41"/>
    <cellStyle name="Zarez 2 2" xfId="42"/>
    <cellStyle name="Zarez 3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/>
  <dimension ref="A1:DN50"/>
  <sheetViews>
    <sheetView tabSelected="1" topLeftCell="A19" zoomScale="70" zoomScaleNormal="70" workbookViewId="0">
      <selection activeCell="BK39" sqref="BK39"/>
    </sheetView>
  </sheetViews>
  <sheetFormatPr defaultRowHeight="12.75" x14ac:dyDescent="0.2"/>
  <cols>
    <col min="6" max="6" width="17.85546875" hidden="1" customWidth="1"/>
    <col min="7" max="7" width="16.140625" hidden="1" customWidth="1"/>
    <col min="8" max="10" width="20" hidden="1" customWidth="1"/>
    <col min="11" max="11" width="20.28515625" hidden="1" customWidth="1"/>
    <col min="12" max="12" width="17.5703125" hidden="1" customWidth="1"/>
    <col min="13" max="13" width="18.42578125" hidden="1" customWidth="1"/>
    <col min="14" max="15" width="18" hidden="1" customWidth="1"/>
    <col min="16" max="16" width="19.140625" hidden="1" customWidth="1"/>
    <col min="17" max="17" width="18.7109375" hidden="1" customWidth="1"/>
    <col min="18" max="18" width="15.7109375" hidden="1" customWidth="1"/>
    <col min="19" max="23" width="9.140625" hidden="1" customWidth="1"/>
    <col min="24" max="24" width="21.5703125" hidden="1" customWidth="1"/>
    <col min="25" max="25" width="19.5703125" hidden="1" customWidth="1"/>
    <col min="26" max="27" width="19" hidden="1" customWidth="1"/>
    <col min="28" max="28" width="21.7109375" hidden="1" customWidth="1"/>
    <col min="29" max="29" width="16.5703125" hidden="1" customWidth="1"/>
    <col min="30" max="30" width="17.28515625" hidden="1" customWidth="1"/>
    <col min="31" max="31" width="17.85546875" hidden="1" customWidth="1"/>
    <col min="32" max="32" width="19.42578125" hidden="1" customWidth="1"/>
    <col min="33" max="33" width="20.5703125" hidden="1" customWidth="1"/>
    <col min="34" max="34" width="22.140625" hidden="1" customWidth="1"/>
    <col min="35" max="37" width="18.85546875" hidden="1" customWidth="1"/>
    <col min="38" max="43" width="19.28515625" hidden="1" customWidth="1"/>
    <col min="44" max="44" width="15.85546875" hidden="1" customWidth="1"/>
    <col min="45" max="45" width="17.42578125" hidden="1" customWidth="1"/>
    <col min="46" max="47" width="19.28515625" hidden="1" customWidth="1"/>
    <col min="48" max="48" width="16.28515625" hidden="1" customWidth="1"/>
    <col min="49" max="50" width="18.42578125" hidden="1" customWidth="1"/>
    <col min="51" max="54" width="19.140625" hidden="1" customWidth="1"/>
    <col min="55" max="55" width="23.85546875" hidden="1" customWidth="1"/>
    <col min="56" max="56" width="21.85546875" hidden="1" customWidth="1"/>
    <col min="57" max="57" width="19.140625" hidden="1" customWidth="1"/>
    <col min="58" max="58" width="17.7109375" hidden="1" customWidth="1"/>
    <col min="59" max="59" width="21.42578125" hidden="1" customWidth="1"/>
    <col min="60" max="60" width="23.7109375" hidden="1" customWidth="1"/>
    <col min="61" max="61" width="23.5703125" customWidth="1"/>
    <col min="62" max="62" width="25.5703125" customWidth="1"/>
    <col min="63" max="63" width="19.7109375" customWidth="1"/>
    <col min="65" max="65" width="45.140625" customWidth="1"/>
    <col min="69" max="69" width="30.7109375" customWidth="1"/>
  </cols>
  <sheetData>
    <row r="1" spans="1:118" ht="72.75" customHeight="1" x14ac:dyDescent="0.25">
      <c r="A1" s="754"/>
      <c r="B1" s="754"/>
      <c r="C1" s="754"/>
      <c r="D1" s="754"/>
      <c r="E1" s="754"/>
      <c r="F1" s="754"/>
      <c r="G1" s="754"/>
      <c r="H1" s="754"/>
      <c r="I1" s="754"/>
      <c r="J1" s="754"/>
      <c r="K1" s="754"/>
      <c r="L1" s="754"/>
      <c r="M1" s="754"/>
      <c r="N1" s="754"/>
      <c r="O1" s="754"/>
      <c r="P1" s="754"/>
      <c r="Q1" s="754"/>
      <c r="R1" s="754"/>
      <c r="S1" s="754"/>
      <c r="T1" s="754"/>
      <c r="U1" s="754"/>
      <c r="V1" s="754"/>
      <c r="W1" s="754"/>
      <c r="X1" s="754"/>
      <c r="Y1" s="754"/>
      <c r="Z1" s="754"/>
      <c r="AA1" s="754"/>
      <c r="AB1" s="754"/>
      <c r="AC1" s="754"/>
      <c r="AD1" s="754"/>
      <c r="AE1" s="754"/>
      <c r="AF1" s="754"/>
      <c r="AG1" s="754"/>
      <c r="AH1" s="754"/>
      <c r="AI1" s="754"/>
      <c r="AJ1" s="754"/>
      <c r="AK1" s="754"/>
      <c r="AL1" s="754"/>
      <c r="AM1" s="754"/>
      <c r="AN1" s="754"/>
      <c r="AO1" s="754"/>
      <c r="AP1" s="754"/>
      <c r="AQ1" s="754"/>
      <c r="AR1" s="754"/>
      <c r="AS1" s="754"/>
      <c r="AT1" s="754"/>
      <c r="AU1" s="754"/>
      <c r="AV1" s="754"/>
      <c r="AW1" s="754"/>
      <c r="AX1" s="754"/>
      <c r="AY1" s="754"/>
      <c r="AZ1" s="754"/>
      <c r="BA1" s="754"/>
      <c r="BB1" s="754"/>
      <c r="BC1" s="754"/>
      <c r="BD1" s="754"/>
      <c r="BE1" s="754"/>
      <c r="BF1" s="754"/>
      <c r="BG1" s="754"/>
      <c r="BH1" s="754"/>
      <c r="BI1" s="754"/>
      <c r="BJ1" s="754"/>
      <c r="BK1" s="754"/>
    </row>
    <row r="2" spans="1:118" ht="19.5" customHeight="1" x14ac:dyDescent="0.2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118" ht="18" hidden="1" x14ac:dyDescent="0.25">
      <c r="A3" s="754"/>
      <c r="B3" s="754"/>
      <c r="C3" s="754"/>
      <c r="D3" s="754"/>
      <c r="E3" s="754"/>
      <c r="F3" s="754"/>
      <c r="G3" s="754"/>
      <c r="H3" s="754"/>
      <c r="I3" s="754"/>
      <c r="J3" s="754"/>
      <c r="K3" s="754"/>
      <c r="L3" s="754"/>
      <c r="M3" s="754"/>
      <c r="N3" s="754"/>
      <c r="O3" s="754"/>
      <c r="P3" s="754"/>
      <c r="Q3" s="754"/>
      <c r="R3" s="754"/>
      <c r="S3" s="754"/>
      <c r="T3" s="754"/>
      <c r="U3" s="754"/>
      <c r="V3" s="754"/>
      <c r="W3" s="754"/>
      <c r="X3" s="754"/>
      <c r="Y3" s="754"/>
      <c r="Z3" s="754"/>
      <c r="AA3" s="754"/>
      <c r="AB3" s="754"/>
      <c r="AC3" s="754"/>
      <c r="AD3" s="754"/>
      <c r="AE3" s="754"/>
      <c r="AF3" s="754"/>
      <c r="AG3" s="754"/>
      <c r="AH3" s="754"/>
      <c r="AI3" s="754"/>
      <c r="AJ3" s="754"/>
      <c r="AK3" s="754"/>
      <c r="AL3" s="754"/>
      <c r="AM3" s="754"/>
      <c r="AN3" s="754"/>
      <c r="AO3" s="754"/>
      <c r="AP3" s="754"/>
      <c r="AQ3" s="754"/>
      <c r="AR3" s="754"/>
      <c r="AS3" s="754"/>
      <c r="AT3" s="754"/>
      <c r="AU3" s="754"/>
      <c r="AV3" s="754"/>
      <c r="AW3" s="754"/>
      <c r="AX3" s="754"/>
      <c r="AY3" s="754"/>
      <c r="AZ3" s="754"/>
      <c r="BA3" s="754"/>
      <c r="BB3" s="754"/>
      <c r="BC3" s="754"/>
      <c r="BD3" s="754"/>
      <c r="BE3" s="754"/>
      <c r="BF3" s="754"/>
      <c r="BG3" s="754"/>
      <c r="BH3" s="1"/>
      <c r="BI3" s="1"/>
      <c r="BJ3" s="1"/>
      <c r="BK3" s="1"/>
    </row>
    <row r="4" spans="1:118" ht="18" hidden="1" x14ac:dyDescent="0.25">
      <c r="A4" s="757"/>
      <c r="B4" s="757"/>
      <c r="C4" s="757"/>
      <c r="D4" s="757"/>
      <c r="E4" s="757"/>
      <c r="F4" s="757"/>
      <c r="G4" s="757"/>
      <c r="H4" s="757"/>
      <c r="I4" s="757"/>
      <c r="J4" s="757"/>
      <c r="K4" s="757"/>
      <c r="L4" s="757"/>
      <c r="M4" s="757"/>
      <c r="N4" s="757"/>
      <c r="O4" s="757"/>
      <c r="P4" s="757"/>
      <c r="Q4" s="757"/>
      <c r="R4" s="757"/>
      <c r="S4" s="757"/>
      <c r="T4" s="757"/>
      <c r="U4" s="757"/>
      <c r="V4" s="757"/>
      <c r="W4" s="757"/>
      <c r="X4" s="757"/>
      <c r="Y4" s="757"/>
      <c r="Z4" s="757"/>
      <c r="AA4" s="757"/>
      <c r="AB4" s="757"/>
      <c r="AC4" s="757"/>
      <c r="AD4" s="757"/>
      <c r="AE4" s="757"/>
      <c r="AF4" s="757"/>
      <c r="AG4" s="757"/>
      <c r="AH4" s="757"/>
      <c r="AI4" s="757"/>
      <c r="AJ4" s="757"/>
      <c r="AK4" s="757"/>
      <c r="AL4" s="757"/>
      <c r="AM4" s="757"/>
      <c r="AN4" s="757"/>
      <c r="AO4" s="757"/>
      <c r="AP4" s="757"/>
      <c r="AQ4" s="757"/>
      <c r="AR4" s="757"/>
      <c r="AS4" s="757"/>
      <c r="AT4" s="757"/>
      <c r="AU4" s="757"/>
      <c r="AV4" s="757"/>
      <c r="AW4" s="757"/>
      <c r="AX4" s="757"/>
      <c r="AY4" s="757"/>
      <c r="AZ4" s="757"/>
      <c r="BA4" s="757"/>
      <c r="BB4" s="757"/>
      <c r="BC4" s="757"/>
      <c r="BD4" s="757"/>
      <c r="BE4" s="757"/>
      <c r="BF4" s="757"/>
      <c r="BG4" s="757"/>
      <c r="BH4" s="729"/>
      <c r="BI4" s="729"/>
      <c r="BJ4" s="729"/>
      <c r="BK4" s="729"/>
    </row>
    <row r="5" spans="1:118" ht="18" hidden="1" customHeight="1" x14ac:dyDescent="0.25">
      <c r="A5" s="754"/>
      <c r="B5" s="754"/>
      <c r="C5" s="754"/>
      <c r="D5" s="754"/>
      <c r="E5" s="754"/>
      <c r="F5" s="754"/>
      <c r="G5" s="754"/>
      <c r="H5" s="754"/>
      <c r="I5" s="754"/>
      <c r="J5" s="754"/>
      <c r="K5" s="754"/>
      <c r="L5" s="754"/>
      <c r="M5" s="754"/>
      <c r="N5" s="754"/>
      <c r="O5" s="754"/>
      <c r="P5" s="754"/>
      <c r="Q5" s="754"/>
      <c r="R5" s="754"/>
      <c r="S5" s="754"/>
      <c r="T5" s="754"/>
      <c r="U5" s="754"/>
      <c r="V5" s="754"/>
      <c r="W5" s="754"/>
      <c r="X5" s="754"/>
      <c r="Y5" s="754"/>
      <c r="Z5" s="754"/>
      <c r="AA5" s="754"/>
      <c r="AB5" s="754"/>
      <c r="AC5" s="754"/>
      <c r="AD5" s="754"/>
      <c r="AE5" s="754"/>
      <c r="AF5" s="754"/>
      <c r="AG5" s="754"/>
      <c r="AH5" s="754"/>
      <c r="AI5" s="754"/>
      <c r="AJ5" s="754"/>
      <c r="AK5" s="754"/>
      <c r="AL5" s="754"/>
      <c r="AM5" s="754"/>
      <c r="AN5" s="754"/>
      <c r="AO5" s="754"/>
      <c r="AP5" s="754"/>
      <c r="AQ5" s="754"/>
      <c r="AR5" s="754"/>
      <c r="AS5" s="754"/>
      <c r="AT5" s="754"/>
      <c r="AU5" s="754"/>
      <c r="AV5" s="754"/>
      <c r="AW5" s="754"/>
      <c r="AX5" s="754"/>
      <c r="AY5" s="754"/>
      <c r="AZ5" s="754"/>
      <c r="BA5" s="754"/>
      <c r="BB5" s="754"/>
      <c r="BC5" s="754"/>
      <c r="BD5" s="754"/>
      <c r="BE5" s="754"/>
      <c r="BF5" s="754"/>
      <c r="BG5" s="754"/>
      <c r="BH5" s="1"/>
      <c r="BI5" s="1"/>
      <c r="BJ5" s="1"/>
      <c r="BK5" s="1"/>
    </row>
    <row r="6" spans="1:118" ht="18" hidden="1" x14ac:dyDescent="0.25">
      <c r="A6" s="754"/>
      <c r="B6" s="754"/>
      <c r="C6" s="754"/>
      <c r="D6" s="754"/>
      <c r="E6" s="754"/>
      <c r="F6" s="754"/>
      <c r="G6" s="754"/>
      <c r="H6" s="754"/>
      <c r="I6" s="754"/>
      <c r="J6" s="754"/>
      <c r="K6" s="754"/>
      <c r="L6" s="759"/>
      <c r="M6" s="759"/>
      <c r="N6" s="759"/>
      <c r="O6" s="759"/>
      <c r="P6" s="759"/>
      <c r="Q6" s="759"/>
    </row>
    <row r="7" spans="1:118" ht="29.25" customHeight="1" x14ac:dyDescent="0.25">
      <c r="A7" s="758"/>
      <c r="B7" s="758"/>
      <c r="C7" s="1"/>
      <c r="D7" s="1"/>
      <c r="E7" s="1"/>
      <c r="F7" s="1"/>
      <c r="G7" s="1"/>
      <c r="H7" s="1"/>
      <c r="I7" s="1"/>
      <c r="J7" s="1"/>
      <c r="K7" s="1"/>
      <c r="L7" s="257"/>
      <c r="M7" s="257"/>
      <c r="N7" s="257"/>
      <c r="O7" s="257"/>
      <c r="P7" s="257"/>
      <c r="Q7" s="257"/>
    </row>
    <row r="8" spans="1:118" ht="26.25" customHeight="1" x14ac:dyDescent="0.25">
      <c r="A8" s="761" t="s">
        <v>1076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761"/>
      <c r="AA8" s="761"/>
      <c r="AB8" s="761"/>
      <c r="AC8" s="761"/>
      <c r="AD8" s="761"/>
      <c r="AE8" s="761"/>
      <c r="AF8" s="761"/>
      <c r="AG8" s="761"/>
      <c r="AH8" s="761"/>
      <c r="AI8" s="761"/>
      <c r="AJ8" s="761"/>
      <c r="AK8" s="761"/>
      <c r="AL8" s="761"/>
      <c r="AM8" s="761"/>
      <c r="AN8" s="761"/>
      <c r="AO8" s="761"/>
      <c r="AP8" s="761"/>
      <c r="AQ8" s="761"/>
      <c r="AR8" s="761"/>
      <c r="AS8" s="761"/>
      <c r="AT8" s="761"/>
      <c r="AU8" s="761"/>
      <c r="AV8" s="761"/>
      <c r="AW8" s="761"/>
      <c r="AX8" s="761"/>
      <c r="AY8" s="761"/>
      <c r="AZ8" s="761"/>
      <c r="BA8" s="761"/>
      <c r="BB8" s="761"/>
      <c r="BC8" s="761"/>
      <c r="BD8" s="761"/>
      <c r="BE8" s="761"/>
      <c r="BF8" s="761"/>
      <c r="BG8" s="761"/>
      <c r="BH8" s="761"/>
      <c r="BI8" s="761"/>
      <c r="BJ8" s="761"/>
      <c r="BK8" s="761"/>
    </row>
    <row r="9" spans="1:118" ht="19.5" customHeight="1" x14ac:dyDescent="0.2">
      <c r="A9" s="760" t="s">
        <v>1065</v>
      </c>
      <c r="B9" s="760"/>
      <c r="C9" s="760"/>
      <c r="D9" s="760"/>
      <c r="E9" s="760"/>
      <c r="F9" s="760"/>
      <c r="G9" s="760"/>
      <c r="H9" s="760"/>
      <c r="I9" s="760"/>
      <c r="J9" s="760"/>
      <c r="K9" s="760"/>
      <c r="L9" s="760"/>
      <c r="M9" s="760"/>
      <c r="N9" s="760"/>
      <c r="O9" s="760"/>
      <c r="P9" s="760"/>
      <c r="Q9" s="760"/>
      <c r="R9" s="760"/>
      <c r="S9" s="760"/>
      <c r="T9" s="760"/>
      <c r="U9" s="760"/>
      <c r="V9" s="760"/>
      <c r="W9" s="760"/>
      <c r="X9" s="760"/>
      <c r="Y9" s="760"/>
      <c r="Z9" s="760"/>
      <c r="AA9" s="760"/>
      <c r="AB9" s="760"/>
      <c r="AC9" s="760"/>
      <c r="AD9" s="760"/>
      <c r="AE9" s="760"/>
      <c r="AF9" s="760"/>
      <c r="AG9" s="760"/>
      <c r="AH9" s="760"/>
      <c r="AI9" s="760"/>
      <c r="AJ9" s="760"/>
      <c r="AK9" s="760"/>
      <c r="AL9" s="760"/>
      <c r="AM9" s="760"/>
      <c r="AN9" s="760"/>
      <c r="AO9" s="760"/>
      <c r="AP9" s="760"/>
      <c r="AQ9" s="760"/>
      <c r="AR9" s="760"/>
      <c r="AS9" s="760"/>
      <c r="AT9" s="760"/>
      <c r="AU9" s="760"/>
      <c r="AV9" s="760"/>
      <c r="AW9" s="760"/>
      <c r="AX9" s="760"/>
      <c r="AY9" s="760"/>
      <c r="AZ9" s="760"/>
      <c r="BA9" s="760"/>
      <c r="BB9" s="760"/>
      <c r="BC9" s="760"/>
      <c r="BD9" s="760"/>
      <c r="BE9" s="760"/>
      <c r="BF9" s="760"/>
      <c r="BG9" s="760"/>
      <c r="BH9" s="760"/>
      <c r="BI9" s="760"/>
      <c r="BJ9" s="760"/>
      <c r="BK9" s="760"/>
      <c r="BL9" s="745"/>
      <c r="BM9" s="745"/>
      <c r="BN9" s="745"/>
      <c r="BO9" s="745"/>
      <c r="BP9" s="745"/>
      <c r="BQ9" s="745"/>
      <c r="BR9" s="745"/>
      <c r="BS9" s="745"/>
      <c r="BT9" s="745"/>
      <c r="BU9" s="745"/>
      <c r="BV9" s="745"/>
      <c r="BW9" s="745"/>
      <c r="BX9" s="745"/>
      <c r="BY9" s="745"/>
      <c r="BZ9" s="745"/>
      <c r="CA9" s="745"/>
      <c r="CB9" s="745"/>
      <c r="CC9" s="745"/>
      <c r="CD9" s="745"/>
      <c r="CE9" s="745"/>
      <c r="CF9" s="745"/>
      <c r="CG9" s="745"/>
      <c r="CH9" s="745"/>
      <c r="CI9" s="745"/>
      <c r="CJ9" s="745"/>
      <c r="CK9" s="745"/>
      <c r="CL9" s="745"/>
      <c r="CM9" s="745"/>
      <c r="CN9" s="745"/>
      <c r="CO9" s="745"/>
      <c r="CP9" s="745"/>
      <c r="CQ9" s="745"/>
      <c r="CR9" s="745"/>
      <c r="CS9" s="745"/>
      <c r="CT9" s="745"/>
      <c r="CU9" s="745"/>
      <c r="CV9" s="745"/>
      <c r="CW9" s="745"/>
      <c r="CX9" s="745"/>
      <c r="CY9" s="745"/>
      <c r="CZ9" s="745"/>
      <c r="DA9" s="745"/>
      <c r="DB9" s="745"/>
      <c r="DC9" s="745"/>
      <c r="DD9" s="745"/>
      <c r="DE9" s="745"/>
      <c r="DF9" s="745"/>
      <c r="DG9" s="745"/>
      <c r="DH9" s="745"/>
      <c r="DI9" s="745"/>
      <c r="DJ9" s="745"/>
      <c r="DK9" s="745"/>
      <c r="DL9" s="745"/>
      <c r="DM9" s="745"/>
      <c r="DN9" s="746"/>
    </row>
    <row r="10" spans="1:118" ht="19.5" customHeight="1" x14ac:dyDescent="0.2">
      <c r="A10" s="756"/>
      <c r="B10" s="756"/>
      <c r="C10" s="756"/>
      <c r="D10" s="756"/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19"/>
      <c r="AV10" s="719"/>
      <c r="AW10" s="719"/>
      <c r="AX10" s="719"/>
      <c r="AY10" s="719"/>
      <c r="AZ10" s="719"/>
      <c r="BA10" s="719"/>
      <c r="BB10" s="719"/>
      <c r="BC10" s="719"/>
      <c r="BD10" s="719"/>
      <c r="BE10" s="719"/>
      <c r="BF10" s="719"/>
      <c r="BG10" s="719"/>
      <c r="BH10" s="719"/>
      <c r="BI10" s="719"/>
      <c r="BJ10" s="719"/>
      <c r="BK10" s="719"/>
    </row>
    <row r="11" spans="1:118" ht="19.5" customHeight="1" x14ac:dyDescent="0.2">
      <c r="A11" s="730"/>
      <c r="B11" s="730"/>
      <c r="C11" s="730"/>
      <c r="D11" s="730"/>
      <c r="E11" s="730"/>
      <c r="F11" s="730"/>
      <c r="G11" s="730"/>
      <c r="H11" s="730"/>
      <c r="I11" s="730"/>
      <c r="J11" s="730"/>
      <c r="K11" s="730"/>
      <c r="L11" s="730"/>
      <c r="M11" s="730"/>
      <c r="N11" s="730"/>
      <c r="O11" s="730"/>
      <c r="P11" s="730"/>
      <c r="Q11" s="730"/>
      <c r="R11" s="730"/>
      <c r="S11" s="730"/>
      <c r="T11" s="730"/>
      <c r="U11" s="730"/>
      <c r="V11" s="730"/>
      <c r="W11" s="730"/>
      <c r="X11" s="730"/>
      <c r="Y11" s="730"/>
      <c r="Z11" s="730"/>
      <c r="AA11" s="730"/>
      <c r="AB11" s="730"/>
      <c r="AC11" s="730"/>
      <c r="AD11" s="730"/>
      <c r="AE11" s="730"/>
      <c r="AF11" s="730"/>
      <c r="AG11" s="730"/>
      <c r="AH11" s="730"/>
      <c r="AI11" s="730"/>
      <c r="AJ11" s="730"/>
      <c r="AK11" s="730"/>
      <c r="AL11" s="730"/>
      <c r="AM11" s="730"/>
      <c r="AN11" s="730"/>
      <c r="AO11" s="730"/>
      <c r="AP11" s="730"/>
      <c r="AQ11" s="730"/>
      <c r="AR11" s="730"/>
      <c r="AS11" s="730"/>
      <c r="AT11" s="730"/>
      <c r="AU11" s="730"/>
      <c r="AV11" s="730"/>
      <c r="AW11" s="730"/>
      <c r="AX11" s="730"/>
      <c r="AY11" s="730"/>
      <c r="AZ11" s="730"/>
      <c r="BA11" s="730"/>
      <c r="BB11" s="730"/>
      <c r="BC11" s="730"/>
      <c r="BD11" s="730"/>
      <c r="BE11" s="730"/>
      <c r="BF11" s="730"/>
      <c r="BG11" s="730"/>
      <c r="BH11" s="730"/>
      <c r="BI11" s="730"/>
      <c r="BJ11" s="730"/>
      <c r="BK11" s="730"/>
    </row>
    <row r="12" spans="1:118" ht="19.5" customHeight="1" x14ac:dyDescent="0.2">
      <c r="A12" s="755" t="s">
        <v>322</v>
      </c>
      <c r="B12" s="755"/>
      <c r="C12" s="755"/>
      <c r="D12" s="755"/>
      <c r="E12" s="753"/>
      <c r="F12" s="730"/>
      <c r="G12" s="730"/>
      <c r="H12" s="730"/>
      <c r="I12" s="730"/>
      <c r="J12" s="730"/>
      <c r="K12" s="730"/>
      <c r="L12" s="730"/>
      <c r="M12" s="730"/>
      <c r="N12" s="730"/>
      <c r="O12" s="730"/>
      <c r="P12" s="730"/>
      <c r="Q12" s="730"/>
      <c r="R12" s="730"/>
      <c r="S12" s="730"/>
      <c r="T12" s="730"/>
      <c r="U12" s="730"/>
      <c r="V12" s="730"/>
      <c r="W12" s="730"/>
      <c r="X12" s="730"/>
      <c r="Y12" s="730"/>
      <c r="Z12" s="730"/>
      <c r="AA12" s="730"/>
      <c r="AB12" s="730"/>
      <c r="AC12" s="730"/>
      <c r="AD12" s="730"/>
      <c r="AE12" s="730"/>
      <c r="AF12" s="730"/>
      <c r="AG12" s="730"/>
      <c r="AH12" s="730"/>
      <c r="AI12" s="730"/>
      <c r="AJ12" s="730"/>
      <c r="AK12" s="730"/>
      <c r="AL12" s="730"/>
      <c r="AM12" s="730"/>
      <c r="AN12" s="730"/>
      <c r="AO12" s="730"/>
      <c r="AP12" s="730"/>
      <c r="AQ12" s="730"/>
      <c r="AR12" s="730"/>
      <c r="AS12" s="730"/>
      <c r="AT12" s="730"/>
      <c r="AU12" s="730"/>
      <c r="AV12" s="730"/>
      <c r="AW12" s="730"/>
      <c r="AX12" s="730"/>
      <c r="AY12" s="730"/>
      <c r="AZ12" s="730"/>
      <c r="BA12" s="730"/>
      <c r="BB12" s="730"/>
      <c r="BC12" s="730"/>
      <c r="BD12" s="730"/>
      <c r="BE12" s="730"/>
      <c r="BF12" s="730"/>
      <c r="BG12" s="730"/>
      <c r="BH12" s="730"/>
      <c r="BI12" s="730"/>
      <c r="BJ12" s="730"/>
      <c r="BK12" s="730"/>
    </row>
    <row r="13" spans="1:118" ht="19.5" customHeight="1" x14ac:dyDescent="0.2">
      <c r="A13" s="730"/>
      <c r="B13" s="730"/>
      <c r="C13" s="730"/>
      <c r="D13" s="730"/>
      <c r="E13" s="730"/>
      <c r="F13" s="730"/>
      <c r="G13" s="730"/>
      <c r="H13" s="730"/>
      <c r="I13" s="730"/>
      <c r="J13" s="730"/>
      <c r="K13" s="730"/>
      <c r="L13" s="730"/>
      <c r="M13" s="730"/>
      <c r="N13" s="730"/>
      <c r="O13" s="730"/>
      <c r="P13" s="730"/>
      <c r="Q13" s="730"/>
      <c r="R13" s="730"/>
      <c r="S13" s="730"/>
      <c r="T13" s="730"/>
      <c r="U13" s="730"/>
      <c r="V13" s="730"/>
      <c r="W13" s="730"/>
      <c r="X13" s="730"/>
      <c r="Y13" s="730"/>
      <c r="Z13" s="730"/>
      <c r="AA13" s="730"/>
      <c r="AB13" s="730"/>
      <c r="AC13" s="730"/>
      <c r="AD13" s="730"/>
      <c r="AE13" s="730"/>
      <c r="AF13" s="730"/>
      <c r="AG13" s="730"/>
      <c r="AH13" s="730"/>
      <c r="AI13" s="730"/>
      <c r="AJ13" s="730"/>
      <c r="AK13" s="730"/>
      <c r="AL13" s="730"/>
      <c r="AM13" s="730"/>
      <c r="AN13" s="730"/>
      <c r="AO13" s="730"/>
      <c r="AP13" s="730"/>
      <c r="AQ13" s="730"/>
      <c r="AR13" s="730"/>
      <c r="AS13" s="730"/>
      <c r="AT13" s="730"/>
      <c r="AU13" s="730"/>
      <c r="AV13" s="730"/>
      <c r="AW13" s="730"/>
      <c r="AX13" s="730"/>
      <c r="AY13" s="730"/>
      <c r="AZ13" s="730"/>
      <c r="BA13" s="730"/>
      <c r="BB13" s="730"/>
      <c r="BC13" s="730"/>
      <c r="BD13" s="730"/>
      <c r="BE13" s="730"/>
      <c r="BF13" s="730"/>
      <c r="BG13" s="730"/>
      <c r="BH13" s="730"/>
      <c r="BI13" s="730"/>
      <c r="BJ13" s="730"/>
      <c r="BK13" s="730"/>
    </row>
    <row r="14" spans="1:118" ht="19.5" customHeight="1" x14ac:dyDescent="0.25">
      <c r="A14" s="762"/>
      <c r="B14" s="762"/>
      <c r="C14" s="762"/>
      <c r="D14" s="762"/>
      <c r="E14" s="762"/>
      <c r="F14" s="762"/>
      <c r="G14" s="762"/>
      <c r="H14" s="762"/>
      <c r="I14" s="762"/>
      <c r="J14" s="762"/>
      <c r="K14" s="762"/>
      <c r="L14" s="762"/>
      <c r="M14" s="762"/>
      <c r="N14" s="762"/>
      <c r="O14" s="762"/>
      <c r="P14" s="762"/>
      <c r="Q14" s="762"/>
      <c r="R14" s="762"/>
      <c r="S14" s="762"/>
      <c r="T14" s="762"/>
      <c r="U14" s="762"/>
      <c r="V14" s="762"/>
      <c r="W14" s="762"/>
      <c r="X14" s="762"/>
      <c r="Y14" s="762"/>
      <c r="Z14" s="762"/>
      <c r="AA14" s="762"/>
      <c r="AB14" s="762"/>
      <c r="AC14" s="762"/>
      <c r="AD14" s="762"/>
      <c r="AE14" s="762"/>
      <c r="AF14" s="762"/>
      <c r="AG14" s="762"/>
      <c r="AH14" s="762"/>
      <c r="AI14" s="762"/>
      <c r="AJ14" s="762"/>
      <c r="AK14" s="762"/>
      <c r="AL14" s="762"/>
      <c r="AM14" s="762"/>
      <c r="AN14" s="762"/>
      <c r="AO14" s="762"/>
      <c r="AP14" s="762"/>
      <c r="AQ14" s="762"/>
      <c r="AR14" s="762"/>
      <c r="AS14" s="762"/>
      <c r="AT14" s="762"/>
      <c r="AU14" s="762"/>
      <c r="AV14" s="762"/>
      <c r="AW14" s="762"/>
      <c r="AX14" s="762"/>
      <c r="AY14" s="762"/>
      <c r="AZ14" s="762"/>
      <c r="BA14" s="762"/>
      <c r="BB14" s="762"/>
      <c r="BC14" s="762"/>
      <c r="BD14" s="762"/>
      <c r="BE14" s="762"/>
      <c r="BF14" s="762"/>
      <c r="BG14" s="762"/>
      <c r="BH14" s="762"/>
      <c r="BI14" s="762"/>
      <c r="BJ14" s="762"/>
      <c r="BK14" s="762"/>
    </row>
    <row r="15" spans="1:118" ht="19.5" customHeight="1" x14ac:dyDescent="0.2">
      <c r="A15" s="730"/>
      <c r="B15" s="730"/>
      <c r="C15" s="730"/>
      <c r="D15" s="730"/>
      <c r="E15" s="730"/>
      <c r="F15" s="730"/>
      <c r="G15" s="730"/>
      <c r="H15" s="730"/>
      <c r="I15" s="730"/>
      <c r="J15" s="730"/>
      <c r="K15" s="730"/>
      <c r="L15" s="730"/>
      <c r="M15" s="730"/>
      <c r="N15" s="730"/>
      <c r="O15" s="730"/>
      <c r="P15" s="730"/>
      <c r="Q15" s="730"/>
      <c r="R15" s="730"/>
      <c r="S15" s="730"/>
      <c r="T15" s="730"/>
      <c r="U15" s="730"/>
      <c r="V15" s="730"/>
      <c r="W15" s="730"/>
      <c r="X15" s="730"/>
      <c r="Y15" s="730"/>
      <c r="Z15" s="730"/>
      <c r="AA15" s="730"/>
      <c r="AB15" s="730"/>
      <c r="AC15" s="730"/>
      <c r="AD15" s="730"/>
      <c r="AE15" s="730"/>
      <c r="AF15" s="730"/>
      <c r="AG15" s="730"/>
      <c r="AH15" s="730"/>
      <c r="AI15" s="730"/>
      <c r="AJ15" s="730"/>
      <c r="AK15" s="730"/>
      <c r="AL15" s="730"/>
      <c r="AM15" s="730"/>
      <c r="AN15" s="730"/>
      <c r="AO15" s="730"/>
      <c r="AP15" s="730"/>
      <c r="AQ15" s="730"/>
      <c r="AR15" s="730"/>
      <c r="AS15" s="730"/>
      <c r="AT15" s="730"/>
      <c r="AU15" s="730"/>
      <c r="AV15" s="730"/>
      <c r="AW15" s="730"/>
      <c r="AX15" s="730"/>
      <c r="AY15" s="730"/>
      <c r="AZ15" s="730"/>
      <c r="BA15" s="730"/>
      <c r="BB15" s="730"/>
      <c r="BC15" s="730"/>
      <c r="BD15" s="730"/>
      <c r="BE15" s="730"/>
      <c r="BF15" s="730"/>
      <c r="BG15" s="730"/>
      <c r="BH15" s="730"/>
      <c r="BI15" s="730"/>
      <c r="BJ15" s="730"/>
      <c r="BK15" s="730"/>
    </row>
    <row r="16" spans="1:118" ht="93" customHeight="1" x14ac:dyDescent="0.2">
      <c r="A16" s="763"/>
      <c r="B16" s="763"/>
      <c r="C16" s="763"/>
      <c r="D16" s="763"/>
      <c r="E16" s="763"/>
      <c r="F16" s="763"/>
      <c r="G16" s="763"/>
      <c r="H16" s="763"/>
      <c r="I16" s="763"/>
      <c r="J16" s="763"/>
      <c r="K16" s="763"/>
      <c r="L16" s="763"/>
      <c r="M16" s="763"/>
      <c r="N16" s="763"/>
      <c r="O16" s="763"/>
      <c r="P16" s="763"/>
      <c r="Q16" s="763"/>
      <c r="R16" s="763"/>
      <c r="S16" s="763"/>
      <c r="T16" s="763"/>
      <c r="U16" s="763"/>
      <c r="V16" s="763"/>
      <c r="W16" s="763"/>
      <c r="X16" s="763"/>
      <c r="Y16" s="763"/>
      <c r="Z16" s="763"/>
      <c r="AA16" s="763"/>
      <c r="AB16" s="763"/>
      <c r="AC16" s="763"/>
      <c r="AD16" s="763"/>
      <c r="AE16" s="763"/>
      <c r="AF16" s="763"/>
      <c r="AG16" s="763"/>
      <c r="AH16" s="763"/>
      <c r="AI16" s="763"/>
      <c r="AJ16" s="763"/>
      <c r="AK16" s="763"/>
      <c r="AL16" s="763"/>
      <c r="AM16" s="763"/>
      <c r="AN16" s="763"/>
      <c r="AO16" s="763"/>
      <c r="AP16" s="763"/>
      <c r="AQ16" s="763"/>
      <c r="AR16" s="763"/>
      <c r="AS16" s="763"/>
      <c r="AT16" s="763"/>
      <c r="AU16" s="763"/>
      <c r="AV16" s="763"/>
      <c r="AW16" s="763"/>
      <c r="AX16" s="763"/>
      <c r="AY16" s="763"/>
      <c r="AZ16" s="763"/>
      <c r="BA16" s="763"/>
      <c r="BB16" s="763"/>
      <c r="BC16" s="763"/>
      <c r="BD16" s="763"/>
      <c r="BE16" s="763"/>
      <c r="BF16" s="763"/>
      <c r="BG16" s="763"/>
      <c r="BH16" s="763"/>
      <c r="BI16" s="763"/>
      <c r="BJ16" s="763"/>
      <c r="BK16" s="763"/>
    </row>
    <row r="17" spans="1:69" ht="18" x14ac:dyDescent="0.25">
      <c r="A17" s="559"/>
      <c r="B17" s="559"/>
      <c r="C17" s="559"/>
      <c r="D17" s="559"/>
      <c r="E17" s="559"/>
      <c r="F17" s="559"/>
      <c r="G17" s="559"/>
      <c r="H17" s="752"/>
      <c r="I17" s="752"/>
      <c r="J17" s="752"/>
      <c r="K17" s="559"/>
      <c r="L17" s="559"/>
      <c r="M17" s="559"/>
      <c r="N17" s="559"/>
      <c r="O17" s="559"/>
      <c r="P17" s="559"/>
      <c r="Q17" s="559"/>
      <c r="R17" s="559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59"/>
      <c r="AG17" s="559"/>
      <c r="AH17" s="559"/>
      <c r="AI17" s="559"/>
      <c r="AJ17" s="559"/>
      <c r="AK17" s="559"/>
      <c r="AL17" s="559"/>
      <c r="AM17" s="559"/>
      <c r="AN17" s="559"/>
      <c r="AO17" s="559"/>
      <c r="AP17" s="559"/>
      <c r="AQ17" s="559"/>
      <c r="AR17" s="559"/>
      <c r="AS17" s="559"/>
      <c r="AT17" s="559"/>
      <c r="AU17" s="559"/>
      <c r="AV17" s="559"/>
      <c r="AW17" s="559"/>
      <c r="AX17" s="559"/>
      <c r="AY17" s="559"/>
      <c r="AZ17" s="559"/>
      <c r="BA17" s="559"/>
      <c r="BB17" s="559"/>
      <c r="BC17" s="559"/>
      <c r="BD17" s="559"/>
      <c r="BE17" s="559"/>
      <c r="BF17" s="559"/>
      <c r="BG17" s="559"/>
      <c r="BH17" s="559"/>
      <c r="BI17" s="559"/>
      <c r="BJ17" s="559"/>
      <c r="BK17" s="559"/>
    </row>
    <row r="18" spans="1:69" ht="72" x14ac:dyDescent="0.25">
      <c r="A18" s="559"/>
      <c r="B18" s="559"/>
      <c r="C18" s="559"/>
      <c r="D18" s="559"/>
      <c r="E18" s="559"/>
      <c r="F18" s="731" t="s">
        <v>517</v>
      </c>
      <c r="G18" s="731" t="s">
        <v>651</v>
      </c>
      <c r="H18" s="731" t="s">
        <v>483</v>
      </c>
      <c r="I18" s="731" t="s">
        <v>556</v>
      </c>
      <c r="J18" s="731" t="s">
        <v>557</v>
      </c>
      <c r="K18" s="731" t="s">
        <v>635</v>
      </c>
      <c r="L18" s="731" t="s">
        <v>352</v>
      </c>
      <c r="M18" s="731" t="s">
        <v>979</v>
      </c>
      <c r="N18" s="731"/>
      <c r="O18" s="731"/>
      <c r="P18" s="731" t="s">
        <v>663</v>
      </c>
      <c r="Q18" s="559"/>
      <c r="R18" s="559"/>
      <c r="S18" s="559"/>
      <c r="T18" s="559"/>
      <c r="U18" s="559"/>
      <c r="V18" s="559"/>
      <c r="W18" s="559"/>
      <c r="X18" s="750" t="s">
        <v>384</v>
      </c>
      <c r="Y18" s="750" t="s">
        <v>933</v>
      </c>
      <c r="Z18" s="731" t="s">
        <v>127</v>
      </c>
      <c r="AA18" s="733" t="s">
        <v>382</v>
      </c>
      <c r="AB18" s="733" t="s">
        <v>383</v>
      </c>
      <c r="AC18" s="731" t="s">
        <v>775</v>
      </c>
      <c r="AD18" s="731" t="s">
        <v>482</v>
      </c>
      <c r="AE18" s="731" t="s">
        <v>979</v>
      </c>
      <c r="AF18" s="750" t="s">
        <v>321</v>
      </c>
      <c r="AG18" s="750" t="s">
        <v>931</v>
      </c>
      <c r="AH18" s="731" t="s">
        <v>979</v>
      </c>
      <c r="AI18" s="750" t="s">
        <v>128</v>
      </c>
      <c r="AJ18" s="735" t="s">
        <v>239</v>
      </c>
      <c r="AK18" s="734" t="s">
        <v>240</v>
      </c>
      <c r="AL18" s="731" t="s">
        <v>241</v>
      </c>
      <c r="AM18" s="734" t="s">
        <v>483</v>
      </c>
      <c r="AN18" s="734" t="s">
        <v>96</v>
      </c>
      <c r="AO18" s="734" t="s">
        <v>84</v>
      </c>
      <c r="AP18" s="734" t="s">
        <v>1046</v>
      </c>
      <c r="AQ18" s="734" t="s">
        <v>1050</v>
      </c>
      <c r="AR18" s="734" t="s">
        <v>1047</v>
      </c>
      <c r="AS18" s="734" t="s">
        <v>483</v>
      </c>
      <c r="AT18" s="734" t="s">
        <v>83</v>
      </c>
      <c r="AU18" s="734" t="s">
        <v>1051</v>
      </c>
      <c r="AV18" s="734" t="s">
        <v>483</v>
      </c>
      <c r="AW18" s="751" t="s">
        <v>1052</v>
      </c>
      <c r="AX18" s="734" t="s">
        <v>1053</v>
      </c>
      <c r="AY18" s="731" t="s">
        <v>1049</v>
      </c>
      <c r="AZ18" s="734" t="s">
        <v>1055</v>
      </c>
      <c r="BA18" s="731" t="s">
        <v>481</v>
      </c>
      <c r="BB18" s="731" t="s">
        <v>1054</v>
      </c>
      <c r="BC18" s="734" t="s">
        <v>1056</v>
      </c>
      <c r="BD18" s="734" t="s">
        <v>1058</v>
      </c>
      <c r="BE18" s="731" t="s">
        <v>481</v>
      </c>
      <c r="BF18" s="731" t="s">
        <v>1057</v>
      </c>
      <c r="BG18" s="731" t="s">
        <v>1059</v>
      </c>
      <c r="BH18" s="731" t="s">
        <v>1063</v>
      </c>
      <c r="BI18" s="744" t="s">
        <v>1064</v>
      </c>
      <c r="BJ18" s="744" t="s">
        <v>1062</v>
      </c>
      <c r="BK18" s="744" t="s">
        <v>1072</v>
      </c>
    </row>
    <row r="19" spans="1:69" ht="26.25" customHeight="1" x14ac:dyDescent="0.25">
      <c r="A19" s="61"/>
      <c r="B19" s="61"/>
      <c r="C19" s="61"/>
      <c r="D19" s="61"/>
      <c r="E19" s="61"/>
      <c r="F19" s="731"/>
      <c r="G19" s="731"/>
      <c r="H19" s="731"/>
      <c r="I19" s="731"/>
      <c r="J19" s="731"/>
      <c r="K19" s="731"/>
      <c r="L19" s="731"/>
      <c r="M19" s="731"/>
      <c r="N19" s="731"/>
      <c r="O19" s="731"/>
      <c r="P19" s="731"/>
      <c r="Q19" s="559"/>
      <c r="R19" s="61"/>
      <c r="S19" s="61"/>
      <c r="T19" s="61"/>
      <c r="U19" s="61"/>
      <c r="V19" s="61"/>
      <c r="W19" s="61"/>
      <c r="X19" s="676"/>
      <c r="Y19" s="676">
        <v>1</v>
      </c>
      <c r="Z19" s="731"/>
      <c r="AA19" s="732"/>
      <c r="AB19" s="733"/>
      <c r="AC19" s="731"/>
      <c r="AD19" s="731"/>
      <c r="AE19" s="731"/>
      <c r="AF19" s="676"/>
      <c r="AG19" s="676"/>
      <c r="AH19" s="731"/>
      <c r="AI19" s="676"/>
      <c r="AJ19" s="735"/>
      <c r="AK19" s="676">
        <v>2</v>
      </c>
      <c r="AL19" s="676"/>
      <c r="AM19" s="676"/>
      <c r="AN19" s="676">
        <v>3</v>
      </c>
      <c r="AO19" s="676"/>
      <c r="AP19" s="676">
        <v>4</v>
      </c>
      <c r="AQ19" s="676">
        <v>5</v>
      </c>
      <c r="AR19" s="676" t="s">
        <v>1048</v>
      </c>
      <c r="AS19" s="676">
        <v>6</v>
      </c>
      <c r="AT19" s="676">
        <v>7</v>
      </c>
      <c r="AU19" s="676"/>
      <c r="AV19" s="676"/>
      <c r="AW19" s="676"/>
      <c r="AX19" s="676"/>
      <c r="AY19" s="731"/>
      <c r="AZ19" s="731"/>
      <c r="BA19" s="731"/>
      <c r="BB19" s="731"/>
      <c r="BC19" s="731"/>
      <c r="BD19" s="731"/>
      <c r="BE19" s="731"/>
      <c r="BF19" s="731"/>
      <c r="BG19" s="731"/>
      <c r="BH19" s="731"/>
      <c r="BI19" s="731"/>
      <c r="BJ19" s="731"/>
      <c r="BK19" s="731"/>
    </row>
    <row r="20" spans="1:69" ht="18" x14ac:dyDescent="0.25">
      <c r="A20" s="766" t="s">
        <v>1073</v>
      </c>
      <c r="B20" s="766"/>
      <c r="C20" s="766"/>
      <c r="D20" s="766"/>
      <c r="E20" s="766"/>
      <c r="F20" s="728"/>
      <c r="G20" s="728"/>
      <c r="H20" s="728"/>
      <c r="I20" s="728"/>
      <c r="J20" s="728"/>
      <c r="K20" s="728"/>
      <c r="L20" s="728"/>
      <c r="M20" s="728"/>
      <c r="N20" s="728"/>
      <c r="O20" s="728"/>
      <c r="P20" s="728"/>
      <c r="Q20" s="61"/>
      <c r="R20" s="61"/>
      <c r="S20" s="61"/>
      <c r="T20" s="61"/>
      <c r="U20" s="61"/>
      <c r="V20" s="61"/>
      <c r="W20" s="61"/>
      <c r="X20" s="61"/>
      <c r="Y20" s="61"/>
      <c r="Z20" s="736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</row>
    <row r="21" spans="1:69" ht="18" x14ac:dyDescent="0.25">
      <c r="A21" s="766" t="s">
        <v>1066</v>
      </c>
      <c r="B21" s="766"/>
      <c r="C21" s="766"/>
      <c r="D21" s="766"/>
      <c r="E21" s="766"/>
      <c r="F21" s="747"/>
      <c r="G21" s="747"/>
      <c r="H21" s="747"/>
      <c r="I21" s="747"/>
      <c r="J21" s="747"/>
      <c r="K21" s="747"/>
      <c r="L21" s="747"/>
      <c r="M21" s="747"/>
      <c r="N21" s="747"/>
      <c r="O21" s="747"/>
      <c r="P21" s="747"/>
      <c r="Q21" s="373"/>
      <c r="R21" s="373"/>
      <c r="S21" s="373"/>
      <c r="T21" s="373"/>
      <c r="U21" s="373"/>
      <c r="V21" s="373"/>
      <c r="W21" s="373"/>
      <c r="X21" s="373"/>
      <c r="Y21" s="373"/>
      <c r="Z21" s="748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3"/>
      <c r="AT21" s="373"/>
      <c r="AU21" s="373"/>
      <c r="AV21" s="373"/>
      <c r="AW21" s="373"/>
      <c r="AX21" s="373"/>
      <c r="AY21" s="373"/>
      <c r="AZ21" s="373"/>
      <c r="BA21" s="373"/>
      <c r="BB21" s="373"/>
      <c r="BC21" s="373"/>
      <c r="BD21" s="373"/>
      <c r="BE21" s="373"/>
      <c r="BF21" s="373"/>
      <c r="BG21" s="373"/>
      <c r="BH21" s="373"/>
      <c r="BI21" s="747">
        <f>BI22+BI23</f>
        <v>9460011.5700000003</v>
      </c>
      <c r="BJ21" s="747">
        <f>BJ22+BJ23</f>
        <v>-138634.24000000022</v>
      </c>
      <c r="BK21" s="747">
        <f>BK22+BK23</f>
        <v>9321377.3300000001</v>
      </c>
    </row>
    <row r="22" spans="1:69" ht="18" x14ac:dyDescent="0.25">
      <c r="A22" s="765" t="s">
        <v>656</v>
      </c>
      <c r="B22" s="765"/>
      <c r="C22" s="765"/>
      <c r="D22" s="765"/>
      <c r="E22" s="765"/>
      <c r="F22" s="728" t="e">
        <f>#REF!</f>
        <v>#REF!</v>
      </c>
      <c r="G22" s="728" t="e">
        <f>#REF!</f>
        <v>#REF!</v>
      </c>
      <c r="H22" s="728" t="e">
        <f>#REF!</f>
        <v>#REF!</v>
      </c>
      <c r="I22" s="728" t="e">
        <f>#REF!</f>
        <v>#REF!</v>
      </c>
      <c r="J22" s="728" t="e">
        <f>#REF!</f>
        <v>#REF!</v>
      </c>
      <c r="K22" s="728" t="e">
        <f>#REF!</f>
        <v>#REF!</v>
      </c>
      <c r="L22" s="728" t="e">
        <f>#REF!</f>
        <v>#REF!</v>
      </c>
      <c r="M22" s="728" t="e">
        <f>#REF!</f>
        <v>#REF!</v>
      </c>
      <c r="N22" s="728" t="e">
        <f>#REF!</f>
        <v>#REF!</v>
      </c>
      <c r="O22" s="728" t="e">
        <f>#REF!</f>
        <v>#REF!</v>
      </c>
      <c r="P22" s="728" t="e">
        <f>#REF!</f>
        <v>#REF!</v>
      </c>
      <c r="Q22" s="728" t="e">
        <f>#REF!</f>
        <v>#REF!</v>
      </c>
      <c r="R22" s="728" t="e">
        <f>#REF!</f>
        <v>#REF!</v>
      </c>
      <c r="S22" s="728" t="e">
        <f>#REF!</f>
        <v>#REF!</v>
      </c>
      <c r="T22" s="728" t="e">
        <f>#REF!</f>
        <v>#REF!</v>
      </c>
      <c r="U22" s="728" t="e">
        <f>#REF!</f>
        <v>#REF!</v>
      </c>
      <c r="V22" s="728" t="e">
        <f>#REF!</f>
        <v>#REF!</v>
      </c>
      <c r="W22" s="728" t="e">
        <f>#REF!</f>
        <v>#REF!</v>
      </c>
      <c r="X22" s="728" t="e">
        <f>#REF!</f>
        <v>#REF!</v>
      </c>
      <c r="Y22" s="728" t="e">
        <f>#REF!</f>
        <v>#REF!</v>
      </c>
      <c r="Z22" s="737" t="e">
        <f>#REF!</f>
        <v>#REF!</v>
      </c>
      <c r="AA22" s="728" t="e">
        <f>#REF!</f>
        <v>#REF!</v>
      </c>
      <c r="AB22" s="728" t="e">
        <f>#REF!</f>
        <v>#REF!</v>
      </c>
      <c r="AC22" s="728" t="e">
        <f>#REF!</f>
        <v>#REF!</v>
      </c>
      <c r="AD22" s="728" t="e">
        <f>ROUND(AC22/Z22*100,2)</f>
        <v>#REF!</v>
      </c>
      <c r="AE22" s="728" t="e">
        <f>#REF!</f>
        <v>#REF!</v>
      </c>
      <c r="AF22" s="728" t="e">
        <f>#REF!</f>
        <v>#REF!</v>
      </c>
      <c r="AG22" s="728" t="e">
        <f>#REF!</f>
        <v>#REF!</v>
      </c>
      <c r="AH22" s="728" t="e">
        <f>#REF!</f>
        <v>#REF!</v>
      </c>
      <c r="AI22" s="728" t="e">
        <f>#REF!</f>
        <v>#REF!</v>
      </c>
      <c r="AJ22" s="728" t="e">
        <f>#REF!</f>
        <v>#REF!</v>
      </c>
      <c r="AK22" s="728" t="e">
        <f>#REF!</f>
        <v>#REF!</v>
      </c>
      <c r="AL22" s="728" t="e">
        <f>#REF!</f>
        <v>#REF!</v>
      </c>
      <c r="AM22" s="728" t="e">
        <f>#REF!</f>
        <v>#REF!</v>
      </c>
      <c r="AN22" s="728" t="e">
        <f>#REF!</f>
        <v>#REF!</v>
      </c>
      <c r="AO22" s="728" t="e">
        <f>#REF!</f>
        <v>#REF!</v>
      </c>
      <c r="AP22" s="728" t="e">
        <f>#REF!</f>
        <v>#REF!</v>
      </c>
      <c r="AQ22" s="728" t="e">
        <f>#REF!</f>
        <v>#REF!</v>
      </c>
      <c r="AR22" s="728" t="e">
        <f>ROUND(AP22/AN22*100,2)</f>
        <v>#REF!</v>
      </c>
      <c r="AS22" s="728" t="e">
        <f>#REF!</f>
        <v>#REF!</v>
      </c>
      <c r="AT22" s="728" t="e">
        <f>#REF!</f>
        <v>#REF!</v>
      </c>
      <c r="AU22" s="728" t="e">
        <f>#REF!</f>
        <v>#REF!</v>
      </c>
      <c r="AV22" s="728" t="e">
        <f>#REF!</f>
        <v>#REF!</v>
      </c>
      <c r="AW22" s="728" t="e">
        <f>#REF!</f>
        <v>#REF!</v>
      </c>
      <c r="AX22" s="728" t="e">
        <f>#REF!</f>
        <v>#REF!</v>
      </c>
      <c r="AY22" s="728" t="e">
        <f>#REF!</f>
        <v>#REF!</v>
      </c>
      <c r="AZ22" s="728" t="e">
        <f>#REF!</f>
        <v>#REF!</v>
      </c>
      <c r="BA22" s="728" t="e">
        <f>#REF!</f>
        <v>#REF!</v>
      </c>
      <c r="BB22" s="728" t="e">
        <f>#REF!</f>
        <v>#REF!</v>
      </c>
      <c r="BC22" s="728" t="e">
        <f>#REF!</f>
        <v>#REF!</v>
      </c>
      <c r="BD22" s="728" t="e">
        <f>#REF!</f>
        <v>#REF!</v>
      </c>
      <c r="BE22" s="728" t="e">
        <f>#REF!</f>
        <v>#REF!</v>
      </c>
      <c r="BF22" s="728" t="e">
        <f>#REF!</f>
        <v>#REF!</v>
      </c>
      <c r="BG22" s="728" t="e">
        <f>#REF!</f>
        <v>#REF!</v>
      </c>
      <c r="BH22" s="728" t="e">
        <f>#REF!</f>
        <v>#REF!</v>
      </c>
      <c r="BI22" s="728">
        <v>9460011.5700000003</v>
      </c>
      <c r="BJ22" s="728">
        <f>BK22-BI22</f>
        <v>-138634.24000000022</v>
      </c>
      <c r="BK22" s="728">
        <v>9321377.3300000001</v>
      </c>
    </row>
    <row r="23" spans="1:69" ht="18" x14ac:dyDescent="0.25">
      <c r="A23" s="765" t="s">
        <v>981</v>
      </c>
      <c r="B23" s="765"/>
      <c r="C23" s="765"/>
      <c r="D23" s="765"/>
      <c r="E23" s="765"/>
      <c r="F23" s="728" t="e">
        <f>#REF!</f>
        <v>#REF!</v>
      </c>
      <c r="G23" s="728" t="e">
        <f>#REF!</f>
        <v>#REF!</v>
      </c>
      <c r="H23" s="728" t="e">
        <f>#REF!</f>
        <v>#REF!</v>
      </c>
      <c r="I23" s="728" t="e">
        <f>#REF!</f>
        <v>#REF!</v>
      </c>
      <c r="J23" s="728" t="e">
        <f>#REF!</f>
        <v>#REF!</v>
      </c>
      <c r="K23" s="728" t="e">
        <f>#REF!</f>
        <v>#REF!</v>
      </c>
      <c r="L23" s="728" t="e">
        <f>#REF!</f>
        <v>#REF!</v>
      </c>
      <c r="M23" s="728" t="e">
        <f>#REF!</f>
        <v>#REF!</v>
      </c>
      <c r="N23" s="728"/>
      <c r="O23" s="728"/>
      <c r="P23" s="728" t="e">
        <f>#REF!</f>
        <v>#REF!</v>
      </c>
      <c r="Q23" s="61"/>
      <c r="R23" s="61"/>
      <c r="S23" s="61"/>
      <c r="T23" s="61"/>
      <c r="U23" s="61"/>
      <c r="V23" s="61"/>
      <c r="W23" s="61"/>
      <c r="X23" s="728" t="e">
        <f>#REF!</f>
        <v>#REF!</v>
      </c>
      <c r="Y23" s="728" t="e">
        <f>#REF!</f>
        <v>#REF!</v>
      </c>
      <c r="Z23" s="737" t="e">
        <f>#REF!</f>
        <v>#REF!</v>
      </c>
      <c r="AA23" s="728" t="e">
        <f>#REF!</f>
        <v>#REF!</v>
      </c>
      <c r="AB23" s="728" t="e">
        <f>#REF!</f>
        <v>#REF!</v>
      </c>
      <c r="AC23" s="728" t="e">
        <f>#REF!</f>
        <v>#REF!</v>
      </c>
      <c r="AD23" s="728" t="e">
        <f>ROUND(AC23/Z23*100,2)</f>
        <v>#REF!</v>
      </c>
      <c r="AE23" s="728" t="e">
        <f>#REF!</f>
        <v>#REF!</v>
      </c>
      <c r="AF23" s="728" t="e">
        <f>#REF!</f>
        <v>#REF!</v>
      </c>
      <c r="AG23" s="728" t="e">
        <f>#REF!</f>
        <v>#REF!</v>
      </c>
      <c r="AH23" s="728" t="e">
        <f>#REF!</f>
        <v>#REF!</v>
      </c>
      <c r="AI23" s="728" t="e">
        <f>#REF!</f>
        <v>#REF!</v>
      </c>
      <c r="AJ23" s="728" t="e">
        <f>#REF!</f>
        <v>#REF!</v>
      </c>
      <c r="AK23" s="728" t="e">
        <f>#REF!</f>
        <v>#REF!</v>
      </c>
      <c r="AL23" s="728" t="e">
        <f>#REF!</f>
        <v>#REF!</v>
      </c>
      <c r="AM23" s="728" t="e">
        <f>#REF!</f>
        <v>#REF!</v>
      </c>
      <c r="AN23" s="728" t="e">
        <f>#REF!</f>
        <v>#REF!</v>
      </c>
      <c r="AO23" s="728" t="e">
        <f>#REF!</f>
        <v>#REF!</v>
      </c>
      <c r="AP23" s="728" t="e">
        <f>#REF!</f>
        <v>#REF!</v>
      </c>
      <c r="AQ23" s="728" t="e">
        <f>#REF!</f>
        <v>#REF!</v>
      </c>
      <c r="AR23" s="728" t="e">
        <f>ROUND(AP23/AN23*100,2)</f>
        <v>#REF!</v>
      </c>
      <c r="AS23" s="728" t="e">
        <f>#REF!</f>
        <v>#REF!</v>
      </c>
      <c r="AT23" s="728" t="e">
        <f>#REF!</f>
        <v>#REF!</v>
      </c>
      <c r="AU23" s="728" t="e">
        <f>#REF!</f>
        <v>#REF!</v>
      </c>
      <c r="AV23" s="728" t="e">
        <f>#REF!</f>
        <v>#REF!</v>
      </c>
      <c r="AW23" s="728" t="e">
        <f>#REF!</f>
        <v>#REF!</v>
      </c>
      <c r="AX23" s="728" t="e">
        <f>#REF!</f>
        <v>#REF!</v>
      </c>
      <c r="AY23" s="728" t="e">
        <f>#REF!</f>
        <v>#REF!</v>
      </c>
      <c r="AZ23" s="728" t="e">
        <f>#REF!</f>
        <v>#REF!</v>
      </c>
      <c r="BA23" s="728" t="e">
        <f>#REF!</f>
        <v>#REF!</v>
      </c>
      <c r="BB23" s="728" t="e">
        <f>#REF!</f>
        <v>#REF!</v>
      </c>
      <c r="BC23" s="728" t="e">
        <f>#REF!</f>
        <v>#REF!</v>
      </c>
      <c r="BD23" s="728" t="e">
        <f>#REF!</f>
        <v>#REF!</v>
      </c>
      <c r="BE23" s="728" t="e">
        <f>#REF!</f>
        <v>#REF!</v>
      </c>
      <c r="BF23" s="728" t="e">
        <f>#REF!</f>
        <v>#REF!</v>
      </c>
      <c r="BG23" s="728" t="e">
        <f>#REF!</f>
        <v>#REF!</v>
      </c>
      <c r="BH23" s="728" t="e">
        <f>#REF!</f>
        <v>#REF!</v>
      </c>
      <c r="BI23" s="728">
        <v>0</v>
      </c>
      <c r="BJ23" s="728">
        <v>0</v>
      </c>
      <c r="BK23" s="728">
        <f>BI23+BJ23</f>
        <v>0</v>
      </c>
    </row>
    <row r="24" spans="1:69" ht="18" x14ac:dyDescent="0.25">
      <c r="A24" s="766" t="s">
        <v>1067</v>
      </c>
      <c r="B24" s="766"/>
      <c r="C24" s="766"/>
      <c r="D24" s="766"/>
      <c r="E24" s="766"/>
      <c r="F24" s="747"/>
      <c r="G24" s="747"/>
      <c r="H24" s="747"/>
      <c r="I24" s="747"/>
      <c r="J24" s="747"/>
      <c r="K24" s="747"/>
      <c r="L24" s="747"/>
      <c r="M24" s="747"/>
      <c r="N24" s="747"/>
      <c r="O24" s="747"/>
      <c r="P24" s="747"/>
      <c r="Q24" s="373"/>
      <c r="R24" s="373"/>
      <c r="S24" s="373"/>
      <c r="T24" s="373"/>
      <c r="U24" s="373"/>
      <c r="V24" s="373"/>
      <c r="W24" s="373"/>
      <c r="X24" s="747"/>
      <c r="Y24" s="747"/>
      <c r="Z24" s="749"/>
      <c r="AA24" s="747"/>
      <c r="AB24" s="747"/>
      <c r="AC24" s="747"/>
      <c r="AD24" s="747"/>
      <c r="AE24" s="747"/>
      <c r="AF24" s="747"/>
      <c r="AG24" s="747"/>
      <c r="AH24" s="747"/>
      <c r="AI24" s="747"/>
      <c r="AJ24" s="747"/>
      <c r="AK24" s="747"/>
      <c r="AL24" s="747"/>
      <c r="AM24" s="747"/>
      <c r="AN24" s="747"/>
      <c r="AO24" s="747"/>
      <c r="AP24" s="747"/>
      <c r="AQ24" s="747"/>
      <c r="AR24" s="747"/>
      <c r="AS24" s="747"/>
      <c r="AT24" s="747"/>
      <c r="AU24" s="747"/>
      <c r="AV24" s="747"/>
      <c r="AW24" s="747"/>
      <c r="AX24" s="747"/>
      <c r="AY24" s="747"/>
      <c r="AZ24" s="747"/>
      <c r="BA24" s="747"/>
      <c r="BB24" s="747"/>
      <c r="BC24" s="747"/>
      <c r="BD24" s="747"/>
      <c r="BE24" s="747"/>
      <c r="BF24" s="747"/>
      <c r="BG24" s="747"/>
      <c r="BH24" s="747"/>
      <c r="BI24" s="747">
        <f>BI25+BI26</f>
        <v>10614911.99</v>
      </c>
      <c r="BJ24" s="728">
        <v>299358.58</v>
      </c>
      <c r="BK24" s="747">
        <f>BK25+BK26</f>
        <v>10914270.57</v>
      </c>
    </row>
    <row r="25" spans="1:69" ht="18" x14ac:dyDescent="0.25">
      <c r="A25" s="765" t="s">
        <v>1016</v>
      </c>
      <c r="B25" s="765"/>
      <c r="C25" s="765"/>
      <c r="D25" s="765"/>
      <c r="E25" s="765"/>
      <c r="F25" s="728" t="e">
        <f>#REF!</f>
        <v>#REF!</v>
      </c>
      <c r="G25" s="728" t="e">
        <f>#REF!</f>
        <v>#REF!</v>
      </c>
      <c r="H25" s="728" t="e">
        <f>#REF!</f>
        <v>#REF!</v>
      </c>
      <c r="I25" s="728" t="e">
        <f>#REF!</f>
        <v>#REF!</v>
      </c>
      <c r="J25" s="728" t="e">
        <f>#REF!</f>
        <v>#REF!</v>
      </c>
      <c r="K25" s="728" t="e">
        <f>#REF!</f>
        <v>#REF!</v>
      </c>
      <c r="L25" s="728" t="e">
        <f>#REF!</f>
        <v>#REF!</v>
      </c>
      <c r="M25" s="728" t="e">
        <f>#REF!</f>
        <v>#REF!</v>
      </c>
      <c r="N25" s="728"/>
      <c r="O25" s="728"/>
      <c r="P25" s="728" t="e">
        <f>#REF!</f>
        <v>#REF!</v>
      </c>
      <c r="Q25" s="61"/>
      <c r="R25" s="61"/>
      <c r="S25" s="61"/>
      <c r="T25" s="61"/>
      <c r="U25" s="61"/>
      <c r="V25" s="61"/>
      <c r="W25" s="61"/>
      <c r="X25" s="728" t="e">
        <f>#REF!</f>
        <v>#REF!</v>
      </c>
      <c r="Y25" s="728" t="e">
        <f>#REF!</f>
        <v>#REF!</v>
      </c>
      <c r="Z25" s="737" t="e">
        <f>#REF!</f>
        <v>#REF!</v>
      </c>
      <c r="AA25" s="728" t="e">
        <f>#REF!</f>
        <v>#REF!</v>
      </c>
      <c r="AB25" s="728" t="e">
        <f>#REF!</f>
        <v>#REF!</v>
      </c>
      <c r="AC25" s="728" t="e">
        <f>#REF!</f>
        <v>#REF!</v>
      </c>
      <c r="AD25" s="728" t="e">
        <f>ROUND(AC25/Z25*100,2)</f>
        <v>#REF!</v>
      </c>
      <c r="AE25" s="728" t="e">
        <f>#REF!</f>
        <v>#REF!</v>
      </c>
      <c r="AF25" s="728" t="e">
        <f>#REF!</f>
        <v>#REF!</v>
      </c>
      <c r="AG25" s="728" t="e">
        <f>#REF!</f>
        <v>#REF!</v>
      </c>
      <c r="AH25" s="728" t="e">
        <f>#REF!</f>
        <v>#REF!</v>
      </c>
      <c r="AI25" s="728" t="e">
        <f>#REF!</f>
        <v>#REF!</v>
      </c>
      <c r="AJ25" s="728" t="e">
        <f>#REF!</f>
        <v>#REF!</v>
      </c>
      <c r="AK25" s="728" t="e">
        <f>#REF!</f>
        <v>#REF!</v>
      </c>
      <c r="AL25" s="728" t="e">
        <f>#REF!</f>
        <v>#REF!</v>
      </c>
      <c r="AM25" s="728" t="e">
        <f>#REF!</f>
        <v>#REF!</v>
      </c>
      <c r="AN25" s="728" t="e">
        <f>#REF!</f>
        <v>#REF!</v>
      </c>
      <c r="AO25" s="728" t="e">
        <f>#REF!</f>
        <v>#REF!</v>
      </c>
      <c r="AP25" s="728" t="e">
        <f>#REF!</f>
        <v>#REF!</v>
      </c>
      <c r="AQ25" s="728" t="e">
        <f>#REF!</f>
        <v>#REF!</v>
      </c>
      <c r="AR25" s="728" t="e">
        <f>ROUND(AP25/AN25*100,2)</f>
        <v>#REF!</v>
      </c>
      <c r="AS25" s="728" t="e">
        <f>#REF!</f>
        <v>#REF!</v>
      </c>
      <c r="AT25" s="728" t="e">
        <f>#REF!</f>
        <v>#REF!</v>
      </c>
      <c r="AU25" s="728" t="e">
        <f>#REF!</f>
        <v>#REF!</v>
      </c>
      <c r="AV25" s="728" t="e">
        <f>#REF!</f>
        <v>#REF!</v>
      </c>
      <c r="AW25" s="728" t="e">
        <f>#REF!</f>
        <v>#REF!</v>
      </c>
      <c r="AX25" s="728" t="e">
        <f>#REF!</f>
        <v>#REF!</v>
      </c>
      <c r="AY25" s="728" t="e">
        <f>#REF!</f>
        <v>#REF!</v>
      </c>
      <c r="AZ25" s="728" t="e">
        <f>#REF!</f>
        <v>#REF!</v>
      </c>
      <c r="BA25" s="728" t="e">
        <f>#REF!</f>
        <v>#REF!</v>
      </c>
      <c r="BB25" s="728" t="e">
        <f>#REF!</f>
        <v>#REF!</v>
      </c>
      <c r="BC25" s="728" t="e">
        <f>#REF!</f>
        <v>#REF!</v>
      </c>
      <c r="BD25" s="728" t="e">
        <f>#REF!</f>
        <v>#REF!</v>
      </c>
      <c r="BE25" s="728" t="e">
        <f>#REF!</f>
        <v>#REF!</v>
      </c>
      <c r="BF25" s="728" t="e">
        <f>#REF!</f>
        <v>#REF!</v>
      </c>
      <c r="BG25" s="728" t="e">
        <f>#REF!</f>
        <v>#REF!</v>
      </c>
      <c r="BH25" s="728" t="e">
        <f>#REF!</f>
        <v>#REF!</v>
      </c>
      <c r="BI25" s="728">
        <v>8818910.4700000007</v>
      </c>
      <c r="BJ25" s="728">
        <f t="shared" ref="BJ25:BJ26" si="0">BK25-BI25</f>
        <v>299358.58000000007</v>
      </c>
      <c r="BK25" s="728">
        <v>9118269.0500000007</v>
      </c>
    </row>
    <row r="26" spans="1:69" ht="18" x14ac:dyDescent="0.25">
      <c r="A26" s="765" t="s">
        <v>1021</v>
      </c>
      <c r="B26" s="765"/>
      <c r="C26" s="765"/>
      <c r="D26" s="765"/>
      <c r="E26" s="765"/>
      <c r="F26" s="728" t="e">
        <f>#REF!</f>
        <v>#REF!</v>
      </c>
      <c r="G26" s="728" t="e">
        <f>#REF!</f>
        <v>#REF!</v>
      </c>
      <c r="H26" s="728" t="e">
        <f>#REF!</f>
        <v>#REF!</v>
      </c>
      <c r="I26" s="728" t="e">
        <f>#REF!</f>
        <v>#REF!</v>
      </c>
      <c r="J26" s="728" t="e">
        <f>#REF!</f>
        <v>#REF!</v>
      </c>
      <c r="K26" s="728" t="e">
        <f>#REF!</f>
        <v>#REF!</v>
      </c>
      <c r="L26" s="728" t="e">
        <f>#REF!</f>
        <v>#REF!</v>
      </c>
      <c r="M26" s="728" t="e">
        <f>#REF!</f>
        <v>#REF!</v>
      </c>
      <c r="N26" s="728"/>
      <c r="O26" s="728"/>
      <c r="P26" s="728" t="e">
        <f>#REF!</f>
        <v>#REF!</v>
      </c>
      <c r="Q26" s="61"/>
      <c r="R26" s="61"/>
      <c r="S26" s="61"/>
      <c r="T26" s="61"/>
      <c r="U26" s="61"/>
      <c r="V26" s="61"/>
      <c r="W26" s="61"/>
      <c r="X26" s="728" t="e">
        <f>#REF!</f>
        <v>#REF!</v>
      </c>
      <c r="Y26" s="728" t="e">
        <f>#REF!</f>
        <v>#REF!</v>
      </c>
      <c r="Z26" s="737" t="e">
        <f>#REF!</f>
        <v>#REF!</v>
      </c>
      <c r="AA26" s="728" t="e">
        <f>#REF!</f>
        <v>#REF!</v>
      </c>
      <c r="AB26" s="728" t="e">
        <f>#REF!</f>
        <v>#REF!</v>
      </c>
      <c r="AC26" s="728" t="e">
        <f>#REF!</f>
        <v>#REF!</v>
      </c>
      <c r="AD26" s="728" t="e">
        <f>ROUND(AC26/Z26*100,2)</f>
        <v>#REF!</v>
      </c>
      <c r="AE26" s="728" t="e">
        <f>#REF!</f>
        <v>#REF!</v>
      </c>
      <c r="AF26" s="728" t="e">
        <f>#REF!</f>
        <v>#REF!</v>
      </c>
      <c r="AG26" s="728" t="e">
        <f>#REF!</f>
        <v>#REF!</v>
      </c>
      <c r="AH26" s="728" t="e">
        <f>#REF!</f>
        <v>#REF!</v>
      </c>
      <c r="AI26" s="728" t="e">
        <f>#REF!</f>
        <v>#REF!</v>
      </c>
      <c r="AJ26" s="728" t="e">
        <f>#REF!</f>
        <v>#REF!</v>
      </c>
      <c r="AK26" s="728" t="e">
        <f>#REF!</f>
        <v>#REF!</v>
      </c>
      <c r="AL26" s="728" t="e">
        <f>#REF!</f>
        <v>#REF!</v>
      </c>
      <c r="AM26" s="728" t="e">
        <f>#REF!</f>
        <v>#REF!</v>
      </c>
      <c r="AN26" s="728" t="e">
        <f>#REF!</f>
        <v>#REF!</v>
      </c>
      <c r="AO26" s="728" t="e">
        <f>#REF!</f>
        <v>#REF!</v>
      </c>
      <c r="AP26" s="728" t="e">
        <f>#REF!</f>
        <v>#REF!</v>
      </c>
      <c r="AQ26" s="728" t="e">
        <f>#REF!</f>
        <v>#REF!</v>
      </c>
      <c r="AR26" s="728" t="e">
        <f>ROUND(AP26/AN26*100,2)</f>
        <v>#REF!</v>
      </c>
      <c r="AS26" s="728" t="e">
        <f>#REF!</f>
        <v>#REF!</v>
      </c>
      <c r="AT26" s="728" t="e">
        <f>#REF!</f>
        <v>#REF!</v>
      </c>
      <c r="AU26" s="728" t="e">
        <f>#REF!</f>
        <v>#REF!</v>
      </c>
      <c r="AV26" s="728" t="e">
        <f>#REF!</f>
        <v>#REF!</v>
      </c>
      <c r="AW26" s="728" t="e">
        <f>#REF!</f>
        <v>#REF!</v>
      </c>
      <c r="AX26" s="728" t="e">
        <f>#REF!</f>
        <v>#REF!</v>
      </c>
      <c r="AY26" s="728" t="e">
        <f>#REF!</f>
        <v>#REF!</v>
      </c>
      <c r="AZ26" s="728" t="e">
        <f>#REF!</f>
        <v>#REF!</v>
      </c>
      <c r="BA26" s="728" t="e">
        <f>#REF!</f>
        <v>#REF!</v>
      </c>
      <c r="BB26" s="728" t="e">
        <f>#REF!</f>
        <v>#REF!</v>
      </c>
      <c r="BC26" s="728" t="e">
        <f>#REF!</f>
        <v>#REF!</v>
      </c>
      <c r="BD26" s="728" t="e">
        <f>#REF!</f>
        <v>#REF!</v>
      </c>
      <c r="BE26" s="728" t="e">
        <f>#REF!</f>
        <v>#REF!</v>
      </c>
      <c r="BF26" s="728" t="e">
        <f>#REF!</f>
        <v>#REF!</v>
      </c>
      <c r="BG26" s="728" t="e">
        <f>#REF!</f>
        <v>#REF!</v>
      </c>
      <c r="BH26" s="728" t="e">
        <f>#REF!</f>
        <v>#REF!</v>
      </c>
      <c r="BI26" s="728">
        <v>1796001.52</v>
      </c>
      <c r="BJ26" s="728">
        <f t="shared" si="0"/>
        <v>0</v>
      </c>
      <c r="BK26" s="728">
        <v>1796001.52</v>
      </c>
    </row>
    <row r="27" spans="1:69" ht="18" x14ac:dyDescent="0.25">
      <c r="A27" s="766" t="s">
        <v>1068</v>
      </c>
      <c r="B27" s="766"/>
      <c r="C27" s="766"/>
      <c r="D27" s="766"/>
      <c r="E27" s="766"/>
      <c r="F27" s="728" t="e">
        <f t="shared" ref="F27:P27" si="1">F22+F23-F25-F26</f>
        <v>#REF!</v>
      </c>
      <c r="G27" s="728" t="e">
        <f t="shared" si="1"/>
        <v>#REF!</v>
      </c>
      <c r="H27" s="728" t="e">
        <f t="shared" si="1"/>
        <v>#REF!</v>
      </c>
      <c r="I27" s="728" t="e">
        <f>I22+I23-I25-I26</f>
        <v>#REF!</v>
      </c>
      <c r="J27" s="728" t="e">
        <f>J22+J23-J25-J26</f>
        <v>#REF!</v>
      </c>
      <c r="K27" s="728" t="e">
        <f>K22+K23-K25-K26</f>
        <v>#REF!</v>
      </c>
      <c r="L27" s="728" t="e">
        <f t="shared" si="1"/>
        <v>#REF!</v>
      </c>
      <c r="M27" s="728" t="e">
        <f t="shared" si="1"/>
        <v>#REF!</v>
      </c>
      <c r="N27" s="728"/>
      <c r="O27" s="728"/>
      <c r="P27" s="728" t="e">
        <f t="shared" si="1"/>
        <v>#REF!</v>
      </c>
      <c r="Q27" s="61"/>
      <c r="R27" s="61"/>
      <c r="S27" s="61"/>
      <c r="T27" s="61"/>
      <c r="U27" s="61"/>
      <c r="V27" s="61"/>
      <c r="W27" s="61"/>
      <c r="X27" s="728" t="e">
        <f t="shared" ref="X27:AF27" si="2">X22+X23-X25-X26</f>
        <v>#REF!</v>
      </c>
      <c r="Y27" s="728" t="e">
        <f>Y22+Y23-Y25-Y26</f>
        <v>#REF!</v>
      </c>
      <c r="Z27" s="737" t="e">
        <f t="shared" si="2"/>
        <v>#REF!</v>
      </c>
      <c r="AA27" s="728" t="e">
        <f t="shared" si="2"/>
        <v>#REF!</v>
      </c>
      <c r="AB27" s="728" t="e">
        <f t="shared" si="2"/>
        <v>#REF!</v>
      </c>
      <c r="AC27" s="728" t="e">
        <f t="shared" si="2"/>
        <v>#REF!</v>
      </c>
      <c r="AD27" s="728"/>
      <c r="AE27" s="728" t="e">
        <f t="shared" si="2"/>
        <v>#REF!</v>
      </c>
      <c r="AF27" s="728" t="e">
        <f t="shared" si="2"/>
        <v>#REF!</v>
      </c>
      <c r="AG27" s="728" t="e">
        <f t="shared" ref="AG27:BH27" si="3">AG22+AG23-AG25-AG26</f>
        <v>#REF!</v>
      </c>
      <c r="AH27" s="728" t="e">
        <f t="shared" si="3"/>
        <v>#REF!</v>
      </c>
      <c r="AI27" s="728" t="e">
        <f t="shared" si="3"/>
        <v>#REF!</v>
      </c>
      <c r="AJ27" s="728" t="e">
        <f t="shared" si="3"/>
        <v>#REF!</v>
      </c>
      <c r="AK27" s="728" t="e">
        <f t="shared" si="3"/>
        <v>#REF!</v>
      </c>
      <c r="AL27" s="728" t="e">
        <f t="shared" si="3"/>
        <v>#REF!</v>
      </c>
      <c r="AM27" s="728" t="e">
        <f t="shared" si="3"/>
        <v>#REF!</v>
      </c>
      <c r="AN27" s="728" t="e">
        <f t="shared" si="3"/>
        <v>#REF!</v>
      </c>
      <c r="AO27" s="728" t="e">
        <f t="shared" si="3"/>
        <v>#REF!</v>
      </c>
      <c r="AP27" s="728" t="e">
        <f t="shared" si="3"/>
        <v>#REF!</v>
      </c>
      <c r="AQ27" s="728" t="e">
        <f>AQ22+AQ23-AQ25-AQ26</f>
        <v>#REF!</v>
      </c>
      <c r="AR27" s="728"/>
      <c r="AS27" s="728" t="e">
        <f t="shared" si="3"/>
        <v>#REF!</v>
      </c>
      <c r="AT27" s="728" t="e">
        <f t="shared" si="3"/>
        <v>#REF!</v>
      </c>
      <c r="AU27" s="728" t="e">
        <f>AU22+AU23-AU25-AU26</f>
        <v>#REF!</v>
      </c>
      <c r="AV27" s="728" t="e">
        <f>AV22+AV23-AV25-AV26</f>
        <v>#REF!</v>
      </c>
      <c r="AW27" s="728" t="e">
        <f>AW22+AW23-AW25-AW26</f>
        <v>#REF!</v>
      </c>
      <c r="AX27" s="728" t="e">
        <f>AX22+AX23-AX25-AX26</f>
        <v>#REF!</v>
      </c>
      <c r="AY27" s="728" t="e">
        <f t="shared" si="3"/>
        <v>#REF!</v>
      </c>
      <c r="AZ27" s="728" t="e">
        <f t="shared" ref="AZ27:BF27" si="4">AZ22+AZ23-AZ25-AZ26</f>
        <v>#REF!</v>
      </c>
      <c r="BA27" s="728" t="e">
        <f t="shared" si="4"/>
        <v>#REF!</v>
      </c>
      <c r="BB27" s="728" t="e">
        <f t="shared" si="4"/>
        <v>#REF!</v>
      </c>
      <c r="BC27" s="728" t="e">
        <f t="shared" si="4"/>
        <v>#REF!</v>
      </c>
      <c r="BD27" s="728" t="e">
        <f>BD22+BD23-BD25-BD26</f>
        <v>#REF!</v>
      </c>
      <c r="BE27" s="728" t="e">
        <f t="shared" si="4"/>
        <v>#REF!</v>
      </c>
      <c r="BF27" s="728" t="e">
        <f t="shared" si="4"/>
        <v>#REF!</v>
      </c>
      <c r="BG27" s="728" t="e">
        <f t="shared" si="3"/>
        <v>#REF!</v>
      </c>
      <c r="BH27" s="728" t="e">
        <f t="shared" si="3"/>
        <v>#REF!</v>
      </c>
      <c r="BI27" s="747">
        <f>BI21-BI24</f>
        <v>-1154900.42</v>
      </c>
      <c r="BJ27" s="747">
        <f>BJ21-BJ24</f>
        <v>-437992.82000000024</v>
      </c>
      <c r="BK27" s="747">
        <f>BK21-BK24</f>
        <v>-1592893.2400000002</v>
      </c>
    </row>
    <row r="28" spans="1:69" ht="18" x14ac:dyDescent="0.25">
      <c r="A28" s="559"/>
      <c r="B28" s="559"/>
      <c r="C28" s="559"/>
      <c r="D28" s="559"/>
      <c r="E28" s="559"/>
      <c r="F28" s="61"/>
      <c r="G28" s="61"/>
      <c r="H28" s="61"/>
      <c r="I28" s="61"/>
      <c r="J28" s="61"/>
      <c r="K28" s="61"/>
      <c r="L28" s="61"/>
      <c r="M28" s="738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738"/>
      <c r="Y28" s="738"/>
      <c r="Z28" s="739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728"/>
      <c r="BK28" s="61"/>
      <c r="BQ28" s="144"/>
    </row>
    <row r="29" spans="1:69" ht="18" x14ac:dyDescent="0.25">
      <c r="A29" s="766" t="s">
        <v>1074</v>
      </c>
      <c r="B29" s="766"/>
      <c r="C29" s="766"/>
      <c r="D29" s="766"/>
      <c r="E29" s="766"/>
      <c r="F29" s="61"/>
      <c r="G29" s="61"/>
      <c r="H29" s="61"/>
      <c r="I29" s="61"/>
      <c r="J29" s="61"/>
      <c r="K29" s="61"/>
      <c r="L29" s="61"/>
      <c r="M29" s="738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738"/>
      <c r="Y29" s="738"/>
      <c r="Z29" s="739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728"/>
      <c r="BK29" s="61"/>
    </row>
    <row r="30" spans="1:69" ht="18" x14ac:dyDescent="0.25">
      <c r="A30" s="765" t="s">
        <v>991</v>
      </c>
      <c r="B30" s="765"/>
      <c r="C30" s="765"/>
      <c r="D30" s="765"/>
      <c r="E30" s="765"/>
      <c r="F30" s="728" t="e">
        <f>#REF!</f>
        <v>#REF!</v>
      </c>
      <c r="G30" s="728" t="e">
        <f>#REF!</f>
        <v>#REF!</v>
      </c>
      <c r="H30" s="728" t="e">
        <f>#REF!</f>
        <v>#REF!</v>
      </c>
      <c r="I30" s="728" t="e">
        <f>#REF!</f>
        <v>#REF!</v>
      </c>
      <c r="J30" s="728" t="e">
        <f>#REF!</f>
        <v>#REF!</v>
      </c>
      <c r="K30" s="728" t="e">
        <f>#REF!</f>
        <v>#REF!</v>
      </c>
      <c r="L30" s="728" t="e">
        <f>#REF!</f>
        <v>#REF!</v>
      </c>
      <c r="M30" s="728" t="e">
        <f>#REF!</f>
        <v>#REF!</v>
      </c>
      <c r="N30" s="728"/>
      <c r="O30" s="728"/>
      <c r="P30" s="728" t="e">
        <f>#REF!</f>
        <v>#REF!</v>
      </c>
      <c r="Q30" s="728"/>
      <c r="R30" s="61"/>
      <c r="S30" s="61"/>
      <c r="T30" s="61"/>
      <c r="U30" s="61"/>
      <c r="V30" s="61"/>
      <c r="W30" s="61"/>
      <c r="X30" s="728" t="e">
        <f>#REF!</f>
        <v>#REF!</v>
      </c>
      <c r="Y30" s="728" t="e">
        <f>#REF!</f>
        <v>#REF!</v>
      </c>
      <c r="Z30" s="737" t="e">
        <f>#REF!</f>
        <v>#REF!</v>
      </c>
      <c r="AA30" s="728" t="e">
        <f>#REF!</f>
        <v>#REF!</v>
      </c>
      <c r="AB30" s="728" t="e">
        <f>#REF!</f>
        <v>#REF!</v>
      </c>
      <c r="AC30" s="728" t="e">
        <f>#REF!</f>
        <v>#REF!</v>
      </c>
      <c r="AD30" s="728" t="e">
        <f>ROUND(AC30/Z30*100,2)</f>
        <v>#REF!</v>
      </c>
      <c r="AE30" s="728" t="e">
        <f>#REF!</f>
        <v>#REF!</v>
      </c>
      <c r="AF30" s="728" t="e">
        <f>#REF!</f>
        <v>#REF!</v>
      </c>
      <c r="AG30" s="728" t="e">
        <f>#REF!</f>
        <v>#REF!</v>
      </c>
      <c r="AH30" s="728" t="e">
        <f>#REF!</f>
        <v>#REF!</v>
      </c>
      <c r="AI30" s="728" t="e">
        <f>#REF!</f>
        <v>#REF!</v>
      </c>
      <c r="AJ30" s="728" t="e">
        <f>#REF!</f>
        <v>#REF!</v>
      </c>
      <c r="AK30" s="728" t="e">
        <f>#REF!</f>
        <v>#REF!</v>
      </c>
      <c r="AL30" s="728" t="e">
        <f>#REF!</f>
        <v>#REF!</v>
      </c>
      <c r="AM30" s="728" t="e">
        <f>#REF!</f>
        <v>#REF!</v>
      </c>
      <c r="AN30" s="728" t="e">
        <f>#REF!</f>
        <v>#REF!</v>
      </c>
      <c r="AO30" s="728" t="e">
        <f>#REF!</f>
        <v>#REF!</v>
      </c>
      <c r="AP30" s="728" t="e">
        <f>#REF!</f>
        <v>#REF!</v>
      </c>
      <c r="AQ30" s="728" t="e">
        <f>#REF!</f>
        <v>#REF!</v>
      </c>
      <c r="AR30" s="728" t="e">
        <f>ROUND(AP30/AN30*100,2)</f>
        <v>#REF!</v>
      </c>
      <c r="AS30" s="728" t="e">
        <f>#REF!</f>
        <v>#REF!</v>
      </c>
      <c r="AT30" s="728" t="e">
        <f>#REF!</f>
        <v>#REF!</v>
      </c>
      <c r="AU30" s="728" t="e">
        <f>#REF!</f>
        <v>#REF!</v>
      </c>
      <c r="AV30" s="728" t="e">
        <f>#REF!</f>
        <v>#REF!</v>
      </c>
      <c r="AW30" s="728" t="e">
        <f>#REF!</f>
        <v>#REF!</v>
      </c>
      <c r="AX30" s="728" t="e">
        <f>#REF!</f>
        <v>#REF!</v>
      </c>
      <c r="AY30" s="728" t="e">
        <f>#REF!</f>
        <v>#REF!</v>
      </c>
      <c r="AZ30" s="728" t="e">
        <f>#REF!</f>
        <v>#REF!</v>
      </c>
      <c r="BA30" s="728" t="e">
        <f>#REF!</f>
        <v>#REF!</v>
      </c>
      <c r="BB30" s="728" t="e">
        <f>#REF!</f>
        <v>#REF!</v>
      </c>
      <c r="BC30" s="728" t="e">
        <f>#REF!</f>
        <v>#REF!</v>
      </c>
      <c r="BD30" s="728" t="e">
        <f>#REF!</f>
        <v>#REF!</v>
      </c>
      <c r="BE30" s="728" t="e">
        <f>#REF!</f>
        <v>#REF!</v>
      </c>
      <c r="BF30" s="728" t="e">
        <f>#REF!</f>
        <v>#REF!</v>
      </c>
      <c r="BG30" s="728" t="e">
        <f>#REF!</f>
        <v>#REF!</v>
      </c>
      <c r="BH30" s="728" t="e">
        <f>#REF!</f>
        <v>#REF!</v>
      </c>
      <c r="BI30" s="728">
        <v>291700</v>
      </c>
      <c r="BJ30" s="728">
        <v>69000</v>
      </c>
      <c r="BK30" s="728">
        <v>360700</v>
      </c>
    </row>
    <row r="31" spans="1:69" ht="18" x14ac:dyDescent="0.25">
      <c r="A31" s="765" t="s">
        <v>883</v>
      </c>
      <c r="B31" s="765"/>
      <c r="C31" s="765"/>
      <c r="D31" s="765"/>
      <c r="E31" s="765"/>
      <c r="F31" s="728" t="e">
        <f>#REF!</f>
        <v>#REF!</v>
      </c>
      <c r="G31" s="728" t="e">
        <f>#REF!</f>
        <v>#REF!</v>
      </c>
      <c r="H31" s="728" t="e">
        <f>#REF!</f>
        <v>#REF!</v>
      </c>
      <c r="I31" s="728" t="e">
        <f>#REF!</f>
        <v>#REF!</v>
      </c>
      <c r="J31" s="728" t="e">
        <f>#REF!</f>
        <v>#REF!</v>
      </c>
      <c r="K31" s="728" t="e">
        <f>#REF!</f>
        <v>#REF!</v>
      </c>
      <c r="L31" s="728" t="e">
        <f>#REF!</f>
        <v>#REF!</v>
      </c>
      <c r="M31" s="728" t="e">
        <f>#REF!</f>
        <v>#REF!</v>
      </c>
      <c r="N31" s="728"/>
      <c r="O31" s="728"/>
      <c r="P31" s="728" t="e">
        <f>#REF!</f>
        <v>#REF!</v>
      </c>
      <c r="Q31" s="728"/>
      <c r="R31" s="61"/>
      <c r="S31" s="61"/>
      <c r="T31" s="61"/>
      <c r="U31" s="61"/>
      <c r="V31" s="61"/>
      <c r="W31" s="61"/>
      <c r="X31" s="728" t="e">
        <f>#REF!</f>
        <v>#REF!</v>
      </c>
      <c r="Y31" s="728" t="e">
        <f>#REF!</f>
        <v>#REF!</v>
      </c>
      <c r="Z31" s="737" t="e">
        <f>#REF!</f>
        <v>#REF!</v>
      </c>
      <c r="AA31" s="728" t="e">
        <f>#REF!</f>
        <v>#REF!</v>
      </c>
      <c r="AB31" s="728" t="e">
        <f>#REF!</f>
        <v>#REF!</v>
      </c>
      <c r="AC31" s="728" t="e">
        <f>#REF!</f>
        <v>#REF!</v>
      </c>
      <c r="AD31" s="728" t="e">
        <f>ROUND(AC31/Z31*100,2)</f>
        <v>#REF!</v>
      </c>
      <c r="AE31" s="728" t="e">
        <f>#REF!</f>
        <v>#REF!</v>
      </c>
      <c r="AF31" s="728" t="e">
        <f>#REF!</f>
        <v>#REF!</v>
      </c>
      <c r="AG31" s="728" t="e">
        <f>#REF!</f>
        <v>#REF!</v>
      </c>
      <c r="AH31" s="728" t="e">
        <f>#REF!</f>
        <v>#REF!</v>
      </c>
      <c r="AI31" s="728" t="e">
        <f>#REF!</f>
        <v>#REF!</v>
      </c>
      <c r="AJ31" s="728" t="e">
        <f>#REF!</f>
        <v>#REF!</v>
      </c>
      <c r="AK31" s="728" t="e">
        <f>#REF!</f>
        <v>#REF!</v>
      </c>
      <c r="AL31" s="728" t="e">
        <f>#REF!</f>
        <v>#REF!</v>
      </c>
      <c r="AM31" s="728" t="e">
        <f>#REF!</f>
        <v>#REF!</v>
      </c>
      <c r="AN31" s="728" t="e">
        <f>#REF!</f>
        <v>#REF!</v>
      </c>
      <c r="AO31" s="728" t="e">
        <f>#REF!</f>
        <v>#REF!</v>
      </c>
      <c r="AP31" s="728" t="e">
        <f>#REF!</f>
        <v>#REF!</v>
      </c>
      <c r="AQ31" s="728" t="e">
        <f>#REF!</f>
        <v>#REF!</v>
      </c>
      <c r="AR31" s="728" t="e">
        <f>ROUND(AP31/AN31*100,2)</f>
        <v>#REF!</v>
      </c>
      <c r="AS31" s="728" t="e">
        <f>#REF!</f>
        <v>#REF!</v>
      </c>
      <c r="AT31" s="728" t="e">
        <f>#REF!</f>
        <v>#REF!</v>
      </c>
      <c r="AU31" s="728" t="e">
        <f>#REF!</f>
        <v>#REF!</v>
      </c>
      <c r="AV31" s="728" t="e">
        <f>#REF!</f>
        <v>#REF!</v>
      </c>
      <c r="AW31" s="728" t="e">
        <f>#REF!</f>
        <v>#REF!</v>
      </c>
      <c r="AX31" s="728" t="e">
        <f>#REF!</f>
        <v>#REF!</v>
      </c>
      <c r="AY31" s="728" t="e">
        <f>#REF!</f>
        <v>#REF!</v>
      </c>
      <c r="AZ31" s="728" t="e">
        <f>#REF!</f>
        <v>#REF!</v>
      </c>
      <c r="BA31" s="728" t="e">
        <f>#REF!</f>
        <v>#REF!</v>
      </c>
      <c r="BB31" s="728" t="e">
        <f>#REF!</f>
        <v>#REF!</v>
      </c>
      <c r="BC31" s="728" t="e">
        <f>#REF!</f>
        <v>#REF!</v>
      </c>
      <c r="BD31" s="728" t="e">
        <f>#REF!</f>
        <v>#REF!</v>
      </c>
      <c r="BE31" s="728" t="e">
        <f>#REF!</f>
        <v>#REF!</v>
      </c>
      <c r="BF31" s="728" t="e">
        <f>#REF!</f>
        <v>#REF!</v>
      </c>
      <c r="BG31" s="728" t="e">
        <f>#REF!</f>
        <v>#REF!</v>
      </c>
      <c r="BH31" s="728" t="e">
        <f>#REF!</f>
        <v>#REF!</v>
      </c>
      <c r="BI31" s="728">
        <v>291700</v>
      </c>
      <c r="BJ31" s="728">
        <v>-274700</v>
      </c>
      <c r="BK31" s="728">
        <v>17000</v>
      </c>
    </row>
    <row r="32" spans="1:69" ht="18" x14ac:dyDescent="0.25">
      <c r="A32" s="766" t="s">
        <v>1071</v>
      </c>
      <c r="B32" s="766"/>
      <c r="C32" s="766"/>
      <c r="D32" s="766"/>
      <c r="E32" s="766"/>
      <c r="F32" s="747" t="e">
        <f t="shared" ref="F32:P32" si="5">F30-F31</f>
        <v>#REF!</v>
      </c>
      <c r="G32" s="747" t="e">
        <f t="shared" si="5"/>
        <v>#REF!</v>
      </c>
      <c r="H32" s="747" t="e">
        <f t="shared" si="5"/>
        <v>#REF!</v>
      </c>
      <c r="I32" s="747" t="e">
        <f>I30-I31</f>
        <v>#REF!</v>
      </c>
      <c r="J32" s="747" t="e">
        <f>J30-J31</f>
        <v>#REF!</v>
      </c>
      <c r="K32" s="747" t="e">
        <f>K30-K31</f>
        <v>#REF!</v>
      </c>
      <c r="L32" s="747" t="e">
        <f t="shared" si="5"/>
        <v>#REF!</v>
      </c>
      <c r="M32" s="747" t="e">
        <f>X32-K32</f>
        <v>#REF!</v>
      </c>
      <c r="N32" s="747"/>
      <c r="O32" s="747"/>
      <c r="P32" s="747" t="e">
        <f t="shared" si="5"/>
        <v>#REF!</v>
      </c>
      <c r="Q32" s="373"/>
      <c r="R32" s="373"/>
      <c r="S32" s="373"/>
      <c r="T32" s="373"/>
      <c r="U32" s="373"/>
      <c r="V32" s="373"/>
      <c r="W32" s="373"/>
      <c r="X32" s="747" t="e">
        <f t="shared" ref="X32:AF32" si="6">X30-X31</f>
        <v>#REF!</v>
      </c>
      <c r="Y32" s="747" t="e">
        <f>Y30-Y31</f>
        <v>#REF!</v>
      </c>
      <c r="Z32" s="749" t="e">
        <f t="shared" si="6"/>
        <v>#REF!</v>
      </c>
      <c r="AA32" s="747" t="e">
        <f t="shared" si="6"/>
        <v>#REF!</v>
      </c>
      <c r="AB32" s="747" t="e">
        <f t="shared" si="6"/>
        <v>#REF!</v>
      </c>
      <c r="AC32" s="747" t="e">
        <f t="shared" si="6"/>
        <v>#REF!</v>
      </c>
      <c r="AD32" s="747" t="e">
        <f>ROUND(AC32/Z32*100,2)</f>
        <v>#REF!</v>
      </c>
      <c r="AE32" s="747" t="e">
        <f t="shared" si="6"/>
        <v>#REF!</v>
      </c>
      <c r="AF32" s="747" t="e">
        <f t="shared" si="6"/>
        <v>#REF!</v>
      </c>
      <c r="AG32" s="747" t="e">
        <f t="shared" ref="AG32:BG32" si="7">AG30-AG31</f>
        <v>#REF!</v>
      </c>
      <c r="AH32" s="747" t="e">
        <f t="shared" si="7"/>
        <v>#REF!</v>
      </c>
      <c r="AI32" s="747" t="e">
        <f t="shared" si="7"/>
        <v>#REF!</v>
      </c>
      <c r="AJ32" s="747" t="e">
        <f t="shared" si="7"/>
        <v>#REF!</v>
      </c>
      <c r="AK32" s="747" t="e">
        <f t="shared" si="7"/>
        <v>#REF!</v>
      </c>
      <c r="AL32" s="747" t="e">
        <f t="shared" si="7"/>
        <v>#REF!</v>
      </c>
      <c r="AM32" s="747" t="e">
        <f t="shared" si="7"/>
        <v>#REF!</v>
      </c>
      <c r="AN32" s="747" t="e">
        <f t="shared" si="7"/>
        <v>#REF!</v>
      </c>
      <c r="AO32" s="747" t="e">
        <f t="shared" si="7"/>
        <v>#REF!</v>
      </c>
      <c r="AP32" s="747" t="e">
        <f t="shared" si="7"/>
        <v>#REF!</v>
      </c>
      <c r="AQ32" s="747" t="e">
        <f>AQ30-AQ31</f>
        <v>#REF!</v>
      </c>
      <c r="AR32" s="747" t="e">
        <f>ROUND(AP32/AN32*100,2)</f>
        <v>#REF!</v>
      </c>
      <c r="AS32" s="747" t="e">
        <f t="shared" si="7"/>
        <v>#REF!</v>
      </c>
      <c r="AT32" s="747" t="e">
        <f t="shared" si="7"/>
        <v>#REF!</v>
      </c>
      <c r="AU32" s="747" t="e">
        <f>AU30-AU31</f>
        <v>#REF!</v>
      </c>
      <c r="AV32" s="747" t="e">
        <f>AV30-AV31</f>
        <v>#REF!</v>
      </c>
      <c r="AW32" s="747" t="e">
        <f>AW30-AW31</f>
        <v>#REF!</v>
      </c>
      <c r="AX32" s="747" t="e">
        <f>AX30-AX31</f>
        <v>#REF!</v>
      </c>
      <c r="AY32" s="747" t="e">
        <f t="shared" si="7"/>
        <v>#REF!</v>
      </c>
      <c r="AZ32" s="747" t="e">
        <f t="shared" ref="AZ32:BF32" si="8">AZ30-AZ31</f>
        <v>#REF!</v>
      </c>
      <c r="BA32" s="747" t="e">
        <f t="shared" si="8"/>
        <v>#REF!</v>
      </c>
      <c r="BB32" s="747" t="e">
        <f t="shared" si="8"/>
        <v>#REF!</v>
      </c>
      <c r="BC32" s="747" t="e">
        <f t="shared" si="8"/>
        <v>#REF!</v>
      </c>
      <c r="BD32" s="747" t="e">
        <f>BD30-BD31</f>
        <v>#REF!</v>
      </c>
      <c r="BE32" s="747" t="e">
        <f t="shared" si="8"/>
        <v>#REF!</v>
      </c>
      <c r="BF32" s="747" t="e">
        <f t="shared" si="8"/>
        <v>#REF!</v>
      </c>
      <c r="BG32" s="747" t="e">
        <f t="shared" si="7"/>
        <v>#REF!</v>
      </c>
      <c r="BH32" s="747" t="e">
        <f>BG32-BI32</f>
        <v>#REF!</v>
      </c>
      <c r="BI32" s="747">
        <f>BI30-BI31</f>
        <v>0</v>
      </c>
      <c r="BJ32" s="747">
        <f>BJ30-BJ31</f>
        <v>343700</v>
      </c>
      <c r="BK32" s="747">
        <f>BK30-BK31</f>
        <v>343700</v>
      </c>
    </row>
    <row r="33" spans="1:69" ht="18" x14ac:dyDescent="0.25">
      <c r="A33" s="742"/>
      <c r="B33" s="742"/>
      <c r="C33" s="742"/>
      <c r="D33" s="742"/>
      <c r="E33" s="742"/>
      <c r="F33" s="728"/>
      <c r="G33" s="728"/>
      <c r="H33" s="728"/>
      <c r="I33" s="728"/>
      <c r="J33" s="728"/>
      <c r="K33" s="728"/>
      <c r="L33" s="728"/>
      <c r="M33" s="728"/>
      <c r="N33" s="728"/>
      <c r="O33" s="728"/>
      <c r="P33" s="728"/>
      <c r="Q33" s="61"/>
      <c r="R33" s="61"/>
      <c r="S33" s="61"/>
      <c r="T33" s="61"/>
      <c r="U33" s="61"/>
      <c r="V33" s="61"/>
      <c r="W33" s="61"/>
      <c r="X33" s="728"/>
      <c r="Y33" s="728"/>
      <c r="Z33" s="737"/>
      <c r="AA33" s="728"/>
      <c r="AB33" s="728"/>
      <c r="AC33" s="728"/>
      <c r="AD33" s="728"/>
      <c r="AE33" s="728"/>
      <c r="AF33" s="728"/>
      <c r="AG33" s="728"/>
      <c r="AH33" s="728"/>
      <c r="AI33" s="728"/>
      <c r="AJ33" s="728"/>
      <c r="AK33" s="728"/>
      <c r="AL33" s="728"/>
      <c r="AM33" s="728"/>
      <c r="AN33" s="728"/>
      <c r="AO33" s="728"/>
      <c r="AP33" s="728"/>
      <c r="AQ33" s="728"/>
      <c r="AR33" s="728"/>
      <c r="AS33" s="728"/>
      <c r="AT33" s="728"/>
      <c r="AU33" s="728"/>
      <c r="AV33" s="728"/>
      <c r="AW33" s="728"/>
      <c r="AX33" s="728"/>
      <c r="AY33" s="728"/>
      <c r="AZ33" s="728"/>
      <c r="BA33" s="728"/>
      <c r="BB33" s="728"/>
      <c r="BC33" s="728"/>
      <c r="BD33" s="728"/>
      <c r="BE33" s="728"/>
      <c r="BF33" s="728"/>
      <c r="BG33" s="728"/>
      <c r="BH33" s="728"/>
      <c r="BI33" s="728"/>
      <c r="BJ33" s="728"/>
      <c r="BK33" s="728"/>
    </row>
    <row r="34" spans="1:69" ht="18" x14ac:dyDescent="0.25">
      <c r="A34" s="743" t="s">
        <v>1060</v>
      </c>
      <c r="B34" s="743"/>
      <c r="C34" s="743"/>
      <c r="D34" s="743"/>
      <c r="E34" s="743"/>
      <c r="F34" s="728"/>
      <c r="G34" s="728"/>
      <c r="H34" s="728"/>
      <c r="I34" s="728"/>
      <c r="J34" s="728"/>
      <c r="K34" s="728"/>
      <c r="L34" s="728"/>
      <c r="M34" s="728"/>
      <c r="N34" s="728"/>
      <c r="O34" s="728"/>
      <c r="P34" s="728"/>
      <c r="Q34" s="61"/>
      <c r="R34" s="61"/>
      <c r="S34" s="61"/>
      <c r="T34" s="61"/>
      <c r="U34" s="61"/>
      <c r="V34" s="61"/>
      <c r="W34" s="61"/>
      <c r="X34" s="728"/>
      <c r="Y34" s="728"/>
      <c r="Z34" s="737"/>
      <c r="AA34" s="728"/>
      <c r="AB34" s="728"/>
      <c r="AC34" s="728"/>
      <c r="AD34" s="728"/>
      <c r="AE34" s="728"/>
      <c r="AF34" s="728"/>
      <c r="AG34" s="728"/>
      <c r="AH34" s="728"/>
      <c r="AI34" s="728"/>
      <c r="AJ34" s="728"/>
      <c r="AK34" s="728"/>
      <c r="AL34" s="728"/>
      <c r="AM34" s="728"/>
      <c r="AN34" s="728"/>
      <c r="AO34" s="728"/>
      <c r="AP34" s="728"/>
      <c r="AQ34" s="728"/>
      <c r="AR34" s="728"/>
      <c r="AS34" s="728"/>
      <c r="AT34" s="728"/>
      <c r="AU34" s="728"/>
      <c r="AV34" s="728"/>
      <c r="AW34" s="728"/>
      <c r="AX34" s="728"/>
      <c r="AY34" s="728"/>
      <c r="AZ34" s="728"/>
      <c r="BA34" s="728"/>
      <c r="BB34" s="728"/>
      <c r="BC34" s="728"/>
      <c r="BD34" s="728"/>
      <c r="BE34" s="728"/>
      <c r="BF34" s="728"/>
      <c r="BG34" s="728">
        <v>7176162.8099999996</v>
      </c>
      <c r="BH34" s="728">
        <f>BG34-BI34</f>
        <v>7176162.8099999996</v>
      </c>
      <c r="BI34" s="728"/>
      <c r="BJ34" s="728"/>
      <c r="BK34" s="728"/>
    </row>
    <row r="35" spans="1:69" ht="33.75" customHeight="1" x14ac:dyDescent="0.25">
      <c r="A35" s="764" t="s">
        <v>1069</v>
      </c>
      <c r="B35" s="764"/>
      <c r="C35" s="764"/>
      <c r="D35" s="764"/>
      <c r="E35" s="764"/>
      <c r="F35" s="728"/>
      <c r="G35" s="728"/>
      <c r="H35" s="728"/>
      <c r="I35" s="728"/>
      <c r="J35" s="728"/>
      <c r="K35" s="728"/>
      <c r="L35" s="728"/>
      <c r="M35" s="728"/>
      <c r="N35" s="728"/>
      <c r="O35" s="728"/>
      <c r="P35" s="728"/>
      <c r="Q35" s="61"/>
      <c r="R35" s="61"/>
      <c r="S35" s="61"/>
      <c r="T35" s="61"/>
      <c r="U35" s="61"/>
      <c r="V35" s="61"/>
      <c r="W35" s="61"/>
      <c r="X35" s="728"/>
      <c r="Y35" s="728"/>
      <c r="Z35" s="737"/>
      <c r="AA35" s="728"/>
      <c r="AB35" s="728"/>
      <c r="AC35" s="728"/>
      <c r="AD35" s="728"/>
      <c r="AE35" s="728"/>
      <c r="AF35" s="728"/>
      <c r="AG35" s="728"/>
      <c r="AH35" s="728"/>
      <c r="AI35" s="728"/>
      <c r="AJ35" s="728"/>
      <c r="AK35" s="728"/>
      <c r="AL35" s="728"/>
      <c r="AM35" s="728"/>
      <c r="AN35" s="728"/>
      <c r="AO35" s="728"/>
      <c r="AP35" s="728"/>
      <c r="AQ35" s="728"/>
      <c r="AR35" s="728"/>
      <c r="AS35" s="728"/>
      <c r="AT35" s="728"/>
      <c r="AU35" s="728"/>
      <c r="AV35" s="728"/>
      <c r="AW35" s="728"/>
      <c r="AX35" s="728"/>
      <c r="AY35" s="728"/>
      <c r="AZ35" s="728"/>
      <c r="BA35" s="728"/>
      <c r="BB35" s="728"/>
      <c r="BC35" s="728"/>
      <c r="BD35" s="728"/>
      <c r="BE35" s="728"/>
      <c r="BF35" s="728"/>
      <c r="BG35" s="728"/>
      <c r="BH35" s="728"/>
      <c r="BI35" s="728">
        <v>1249193.24</v>
      </c>
      <c r="BJ35" s="728"/>
      <c r="BK35" s="728">
        <v>1249193.24</v>
      </c>
      <c r="BM35" s="144"/>
    </row>
    <row r="36" spans="1:69" ht="81" customHeight="1" x14ac:dyDescent="0.25">
      <c r="A36" s="764" t="s">
        <v>1075</v>
      </c>
      <c r="B36" s="764"/>
      <c r="C36" s="764"/>
      <c r="D36" s="764"/>
      <c r="E36" s="764"/>
      <c r="F36" s="728"/>
      <c r="G36" s="728"/>
      <c r="H36" s="728"/>
      <c r="I36" s="728"/>
      <c r="J36" s="728"/>
      <c r="K36" s="728"/>
      <c r="L36" s="728"/>
      <c r="M36" s="728"/>
      <c r="N36" s="728"/>
      <c r="O36" s="728"/>
      <c r="P36" s="728"/>
      <c r="Q36" s="61"/>
      <c r="R36" s="61"/>
      <c r="S36" s="61"/>
      <c r="T36" s="61"/>
      <c r="U36" s="61"/>
      <c r="V36" s="61"/>
      <c r="W36" s="61"/>
      <c r="X36" s="728"/>
      <c r="Y36" s="728"/>
      <c r="Z36" s="737"/>
      <c r="AA36" s="728"/>
      <c r="AB36" s="728"/>
      <c r="AC36" s="728"/>
      <c r="AD36" s="728"/>
      <c r="AE36" s="728"/>
      <c r="AF36" s="728"/>
      <c r="AG36" s="728"/>
      <c r="AH36" s="728"/>
      <c r="AI36" s="728"/>
      <c r="AJ36" s="728"/>
      <c r="AK36" s="728"/>
      <c r="AL36" s="728"/>
      <c r="AM36" s="728"/>
      <c r="AN36" s="728"/>
      <c r="AO36" s="728"/>
      <c r="AP36" s="728"/>
      <c r="AQ36" s="728"/>
      <c r="AR36" s="728"/>
      <c r="AS36" s="728"/>
      <c r="AT36" s="728"/>
      <c r="AU36" s="728"/>
      <c r="AV36" s="728"/>
      <c r="AW36" s="728"/>
      <c r="AX36" s="728"/>
      <c r="AY36" s="728"/>
      <c r="AZ36" s="728"/>
      <c r="BA36" s="728"/>
      <c r="BB36" s="728"/>
      <c r="BC36" s="728"/>
      <c r="BD36" s="728"/>
      <c r="BE36" s="728"/>
      <c r="BF36" s="728"/>
      <c r="BG36" s="728" t="e">
        <f>BG27+BG32+BG34</f>
        <v>#REF!</v>
      </c>
      <c r="BH36" s="728">
        <f>BI36</f>
        <v>1154900.42</v>
      </c>
      <c r="BI36" s="728">
        <v>1154900.42</v>
      </c>
      <c r="BJ36" s="728">
        <f>-(BJ27+BJ32)</f>
        <v>94292.82000000024</v>
      </c>
      <c r="BK36" s="728">
        <v>1249193.24</v>
      </c>
      <c r="BQ36" s="144"/>
    </row>
    <row r="37" spans="1:69" ht="18" x14ac:dyDescent="0.25">
      <c r="A37" s="768"/>
      <c r="B37" s="768"/>
      <c r="C37" s="768"/>
      <c r="D37" s="768"/>
      <c r="E37" s="768"/>
      <c r="F37" s="728"/>
      <c r="G37" s="728"/>
      <c r="H37" s="728"/>
      <c r="I37" s="728"/>
      <c r="J37" s="728"/>
      <c r="K37" s="728"/>
      <c r="L37" s="728"/>
      <c r="M37" s="728"/>
      <c r="N37" s="728"/>
      <c r="O37" s="728"/>
      <c r="P37" s="728"/>
      <c r="Q37" s="61"/>
      <c r="R37" s="61"/>
      <c r="S37" s="61"/>
      <c r="T37" s="61"/>
      <c r="U37" s="61"/>
      <c r="V37" s="61"/>
      <c r="W37" s="61"/>
      <c r="X37" s="728"/>
      <c r="Y37" s="728"/>
      <c r="Z37" s="737"/>
      <c r="AA37" s="728"/>
      <c r="AB37" s="728"/>
      <c r="AC37" s="728"/>
      <c r="AD37" s="728"/>
      <c r="AE37" s="728"/>
      <c r="AF37" s="728"/>
      <c r="AG37" s="728"/>
      <c r="AH37" s="728"/>
      <c r="AI37" s="728"/>
      <c r="AJ37" s="728"/>
      <c r="AK37" s="728"/>
      <c r="AL37" s="728"/>
      <c r="AM37" s="728"/>
      <c r="AN37" s="728"/>
      <c r="AO37" s="728"/>
      <c r="AP37" s="728"/>
      <c r="AQ37" s="728"/>
      <c r="AR37" s="728"/>
      <c r="AS37" s="728"/>
      <c r="AT37" s="728"/>
      <c r="AU37" s="728"/>
      <c r="AV37" s="728"/>
      <c r="AW37" s="728"/>
      <c r="AX37" s="728"/>
      <c r="AY37" s="728"/>
      <c r="AZ37" s="728"/>
      <c r="BA37" s="728"/>
      <c r="BB37" s="728"/>
      <c r="BC37" s="728"/>
      <c r="BD37" s="728"/>
      <c r="BE37" s="728"/>
      <c r="BF37" s="728"/>
      <c r="BG37" s="728"/>
      <c r="BH37" s="728"/>
      <c r="BI37" s="728"/>
      <c r="BJ37" s="728"/>
      <c r="BK37" s="728"/>
      <c r="BQ37" s="144"/>
    </row>
    <row r="38" spans="1:69" ht="18" x14ac:dyDescent="0.25">
      <c r="A38" s="766" t="s">
        <v>1061</v>
      </c>
      <c r="B38" s="766"/>
      <c r="C38" s="766"/>
      <c r="D38" s="766"/>
      <c r="E38" s="766"/>
      <c r="F38" s="728"/>
      <c r="G38" s="728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739"/>
      <c r="AA38" s="61"/>
      <c r="AB38" s="61"/>
      <c r="AC38" s="61"/>
      <c r="AD38" s="61"/>
      <c r="AE38" s="728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  <c r="BA38" s="728"/>
      <c r="BB38" s="728"/>
      <c r="BC38" s="728"/>
      <c r="BD38" s="728"/>
      <c r="BE38" s="728"/>
      <c r="BF38" s="728"/>
      <c r="BG38" s="61"/>
      <c r="BH38" s="61"/>
      <c r="BI38" s="61"/>
      <c r="BJ38" s="61"/>
      <c r="BK38" s="61"/>
      <c r="BQ38" s="144"/>
    </row>
    <row r="39" spans="1:69" ht="18" x14ac:dyDescent="0.25">
      <c r="A39" s="765" t="s">
        <v>1070</v>
      </c>
      <c r="B39" s="765"/>
      <c r="C39" s="765"/>
      <c r="D39" s="765"/>
      <c r="E39" s="765"/>
      <c r="F39" s="737"/>
      <c r="G39" s="737"/>
      <c r="H39" s="737">
        <v>3470649</v>
      </c>
      <c r="I39" s="737">
        <v>4989497.74</v>
      </c>
      <c r="J39" s="737">
        <f>3470648.88</f>
        <v>3470648.88</v>
      </c>
      <c r="K39" s="728">
        <v>13108708</v>
      </c>
      <c r="L39" s="728">
        <v>13108708</v>
      </c>
      <c r="M39" s="728">
        <f>X39-K39</f>
        <v>0</v>
      </c>
      <c r="N39" s="728"/>
      <c r="O39" s="61"/>
      <c r="P39" s="61"/>
      <c r="Q39" s="61"/>
      <c r="R39" s="61"/>
      <c r="S39" s="61"/>
      <c r="T39" s="61"/>
      <c r="U39" s="61"/>
      <c r="V39" s="61"/>
      <c r="W39" s="61"/>
      <c r="X39" s="728">
        <v>13108708</v>
      </c>
      <c r="Y39" s="728">
        <v>13108707.85</v>
      </c>
      <c r="Z39" s="737">
        <v>10720000</v>
      </c>
      <c r="AA39" s="728">
        <v>0</v>
      </c>
      <c r="AB39" s="728">
        <v>0</v>
      </c>
      <c r="AC39" s="728">
        <v>15615339</v>
      </c>
      <c r="AD39" s="728">
        <f>ROUND(AC39/Z39*100,2)</f>
        <v>145.66999999999999</v>
      </c>
      <c r="AE39" s="728">
        <f>AF39-Z39</f>
        <v>4895339</v>
      </c>
      <c r="AF39" s="728">
        <v>15615339</v>
      </c>
      <c r="AG39" s="728">
        <v>15615339.23</v>
      </c>
      <c r="AH39" s="728">
        <f>AI39-AF39</f>
        <v>0</v>
      </c>
      <c r="AI39" s="728">
        <v>15615339</v>
      </c>
      <c r="AJ39" s="728">
        <v>15615339</v>
      </c>
      <c r="AK39" s="728">
        <v>15615339.23</v>
      </c>
      <c r="AL39" s="728">
        <v>10000000</v>
      </c>
      <c r="AM39" s="728">
        <f>AN39-AL39</f>
        <v>5615339.2300000004</v>
      </c>
      <c r="AN39" s="728">
        <f>AK41</f>
        <v>15615339.23</v>
      </c>
      <c r="AO39" s="728">
        <v>6420009.6399999997</v>
      </c>
      <c r="AP39" s="728">
        <v>6420009.6399999997</v>
      </c>
      <c r="AQ39" s="728">
        <v>6420010.6399999997</v>
      </c>
      <c r="AR39" s="728"/>
      <c r="AS39" s="728">
        <f>AT39-AO39</f>
        <v>0</v>
      </c>
      <c r="AT39" s="728">
        <v>6420009.6399999997</v>
      </c>
      <c r="AU39" s="728">
        <v>6420009.6399999997</v>
      </c>
      <c r="AV39" s="728"/>
      <c r="AW39" s="728">
        <v>6420009.6399999997</v>
      </c>
      <c r="AX39" s="728">
        <v>6420009.6399999997</v>
      </c>
      <c r="AY39" s="728">
        <f>4000000+1777300+125000+(7700)</f>
        <v>5910000</v>
      </c>
      <c r="AZ39" s="728">
        <v>3975056.76</v>
      </c>
      <c r="BA39" s="728"/>
      <c r="BB39" s="728">
        <v>3975056.76</v>
      </c>
      <c r="BC39" s="728">
        <v>3975056.76</v>
      </c>
      <c r="BD39" s="728">
        <v>3975056.76</v>
      </c>
      <c r="BE39" s="728"/>
      <c r="BF39" s="728">
        <v>3975056.76</v>
      </c>
      <c r="BG39" s="728" t="e">
        <f>BG22+BG23+BG30+BG34</f>
        <v>#REF!</v>
      </c>
      <c r="BH39" s="728" t="e">
        <f>BI39-BG39</f>
        <v>#REF!</v>
      </c>
      <c r="BI39" s="728">
        <f>BI27+BI32+BI36</f>
        <v>0</v>
      </c>
      <c r="BJ39" s="728">
        <f>BJ27+BJ32+BJ36</f>
        <v>0</v>
      </c>
      <c r="BK39" s="728">
        <f>BK27+BK32+BK36</f>
        <v>0</v>
      </c>
    </row>
    <row r="40" spans="1:69" ht="18" x14ac:dyDescent="0.25">
      <c r="A40" s="61"/>
      <c r="B40" s="61"/>
      <c r="C40" s="61"/>
      <c r="D40" s="61"/>
      <c r="E40" s="61"/>
      <c r="F40" s="737">
        <f>F39+F37</f>
        <v>0</v>
      </c>
      <c r="G40" s="737">
        <f>G39+G37</f>
        <v>0</v>
      </c>
      <c r="H40" s="737">
        <f>H39+H37</f>
        <v>3470649</v>
      </c>
      <c r="I40" s="737"/>
      <c r="J40" s="737"/>
      <c r="K40" s="737"/>
      <c r="L40" s="737"/>
      <c r="M40" s="737"/>
      <c r="N40" s="737"/>
      <c r="O40" s="737"/>
      <c r="P40" s="737">
        <f>P39+P37</f>
        <v>0</v>
      </c>
      <c r="Q40" s="61"/>
      <c r="R40" s="61"/>
      <c r="S40" s="61"/>
      <c r="T40" s="61"/>
      <c r="U40" s="61"/>
      <c r="V40" s="61"/>
      <c r="W40" s="61"/>
      <c r="X40" s="61"/>
      <c r="Y40" s="61"/>
      <c r="Z40" s="739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728" t="e">
        <f>BG25+BG26+BG31</f>
        <v>#REF!</v>
      </c>
      <c r="BH40" s="728" t="e">
        <f>BI40-BG40</f>
        <v>#REF!</v>
      </c>
      <c r="BI40" s="728"/>
      <c r="BJ40" s="728"/>
      <c r="BK40" s="728"/>
      <c r="BQ40" s="144"/>
    </row>
    <row r="41" spans="1:69" ht="18" x14ac:dyDescent="0.25">
      <c r="A41" s="61"/>
      <c r="B41" s="61"/>
      <c r="C41" s="61"/>
      <c r="D41" s="61"/>
      <c r="E41" s="61"/>
      <c r="F41" s="737"/>
      <c r="G41" s="737"/>
      <c r="H41" s="737">
        <v>0</v>
      </c>
      <c r="I41" s="737">
        <f>I37+I39</f>
        <v>4989497.74</v>
      </c>
      <c r="J41" s="737">
        <f>J37+J39</f>
        <v>3470648.88</v>
      </c>
      <c r="K41" s="728">
        <v>0</v>
      </c>
      <c r="L41" s="728">
        <f>L37+L39</f>
        <v>13108708</v>
      </c>
      <c r="M41" s="728">
        <f>X41-K41</f>
        <v>13108708</v>
      </c>
      <c r="N41" s="728">
        <f t="shared" ref="N41:AC41" si="9">N37+N39</f>
        <v>0</v>
      </c>
      <c r="O41" s="728">
        <f t="shared" si="9"/>
        <v>0</v>
      </c>
      <c r="P41" s="728">
        <f t="shared" si="9"/>
        <v>0</v>
      </c>
      <c r="Q41" s="728">
        <f t="shared" si="9"/>
        <v>0</v>
      </c>
      <c r="R41" s="728">
        <f t="shared" si="9"/>
        <v>0</v>
      </c>
      <c r="S41" s="728">
        <f t="shared" si="9"/>
        <v>0</v>
      </c>
      <c r="T41" s="728">
        <f t="shared" si="9"/>
        <v>0</v>
      </c>
      <c r="U41" s="728">
        <f t="shared" si="9"/>
        <v>0</v>
      </c>
      <c r="V41" s="728">
        <f t="shared" si="9"/>
        <v>0</v>
      </c>
      <c r="W41" s="728">
        <f t="shared" si="9"/>
        <v>0</v>
      </c>
      <c r="X41" s="728">
        <f t="shared" si="9"/>
        <v>13108708</v>
      </c>
      <c r="Y41" s="728">
        <f t="shared" si="9"/>
        <v>13108707.85</v>
      </c>
      <c r="Z41" s="737">
        <f t="shared" si="9"/>
        <v>10720000</v>
      </c>
      <c r="AA41" s="728">
        <f t="shared" si="9"/>
        <v>0</v>
      </c>
      <c r="AB41" s="728">
        <f t="shared" si="9"/>
        <v>0</v>
      </c>
      <c r="AC41" s="728">
        <f t="shared" si="9"/>
        <v>15615339</v>
      </c>
      <c r="AD41" s="728"/>
      <c r="AE41" s="728">
        <f t="shared" ref="AE41:AQ41" si="10">AE37+AE39</f>
        <v>4895339</v>
      </c>
      <c r="AF41" s="728">
        <f t="shared" si="10"/>
        <v>15615339</v>
      </c>
      <c r="AG41" s="728">
        <f t="shared" si="10"/>
        <v>15615339.23</v>
      </c>
      <c r="AH41" s="728">
        <f t="shared" si="10"/>
        <v>0</v>
      </c>
      <c r="AI41" s="728">
        <f t="shared" si="10"/>
        <v>15615339</v>
      </c>
      <c r="AJ41" s="728">
        <f t="shared" si="10"/>
        <v>15615339</v>
      </c>
      <c r="AK41" s="728">
        <f t="shared" si="10"/>
        <v>15615339.23</v>
      </c>
      <c r="AL41" s="728">
        <f t="shared" si="10"/>
        <v>10000000</v>
      </c>
      <c r="AM41" s="728">
        <f t="shared" si="10"/>
        <v>5615339.2300000004</v>
      </c>
      <c r="AN41" s="728">
        <f t="shared" si="10"/>
        <v>15615339.23</v>
      </c>
      <c r="AO41" s="728">
        <f t="shared" si="10"/>
        <v>6420009.6399999997</v>
      </c>
      <c r="AP41" s="728">
        <f t="shared" si="10"/>
        <v>6420009.6399999997</v>
      </c>
      <c r="AQ41" s="728">
        <f t="shared" si="10"/>
        <v>6420010.6399999997</v>
      </c>
      <c r="AR41" s="728"/>
      <c r="AS41" s="728">
        <f>AS37+AS39</f>
        <v>0</v>
      </c>
      <c r="AT41" s="728">
        <f>AT37+AT39</f>
        <v>6420009.6399999997</v>
      </c>
      <c r="AU41" s="728">
        <f>AU37+AU39</f>
        <v>6420009.6399999997</v>
      </c>
      <c r="AV41" s="728"/>
      <c r="AW41" s="728">
        <f t="shared" ref="AW41:BF41" si="11">AW37+AW39</f>
        <v>6420009.6399999997</v>
      </c>
      <c r="AX41" s="728">
        <f t="shared" si="11"/>
        <v>6420009.6399999997</v>
      </c>
      <c r="AY41" s="728">
        <f t="shared" si="11"/>
        <v>5910000</v>
      </c>
      <c r="AZ41" s="728">
        <f t="shared" si="11"/>
        <v>3975056.76</v>
      </c>
      <c r="BA41" s="728">
        <f t="shared" si="11"/>
        <v>0</v>
      </c>
      <c r="BB41" s="728">
        <f t="shared" si="11"/>
        <v>3975056.76</v>
      </c>
      <c r="BC41" s="728">
        <f t="shared" si="11"/>
        <v>3975056.76</v>
      </c>
      <c r="BD41" s="728">
        <f t="shared" si="11"/>
        <v>3975056.76</v>
      </c>
      <c r="BE41" s="728">
        <f t="shared" si="11"/>
        <v>0</v>
      </c>
      <c r="BF41" s="728">
        <f t="shared" si="11"/>
        <v>3975056.76</v>
      </c>
      <c r="BG41" s="728"/>
      <c r="BH41" s="728"/>
      <c r="BI41" s="728"/>
      <c r="BJ41" s="728"/>
      <c r="BK41" s="728"/>
      <c r="BQ41" s="144"/>
    </row>
    <row r="42" spans="1:69" ht="18" x14ac:dyDescent="0.25">
      <c r="A42" s="740"/>
      <c r="B42" s="740"/>
      <c r="C42" s="740"/>
      <c r="D42" s="740"/>
      <c r="E42" s="740"/>
      <c r="F42" s="728"/>
      <c r="G42" s="728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739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741"/>
      <c r="AM42" s="741"/>
      <c r="AN42" s="741"/>
      <c r="AO42" s="741"/>
      <c r="AP42" s="741"/>
      <c r="AQ42" s="741"/>
      <c r="AR42" s="741"/>
      <c r="AS42" s="741"/>
      <c r="AT42" s="741"/>
      <c r="AU42" s="741"/>
      <c r="AV42" s="741"/>
      <c r="AW42" s="741"/>
      <c r="AX42" s="741"/>
      <c r="AY42" s="61"/>
      <c r="AZ42" s="61"/>
      <c r="BA42" s="61"/>
      <c r="BB42" s="61"/>
      <c r="BC42" s="61"/>
      <c r="BD42" s="61"/>
      <c r="BE42" s="61"/>
      <c r="BF42" s="61"/>
      <c r="BG42" s="728"/>
      <c r="BH42" s="728"/>
      <c r="BI42" s="728"/>
      <c r="BJ42" s="728"/>
      <c r="BK42" s="728"/>
    </row>
    <row r="43" spans="1:69" ht="18" customHeight="1" x14ac:dyDescent="0.25">
      <c r="A43" s="767"/>
      <c r="B43" s="767"/>
      <c r="C43" s="767"/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67"/>
      <c r="O43" s="767"/>
      <c r="P43" s="767"/>
      <c r="Q43" s="767"/>
      <c r="R43" s="767"/>
      <c r="S43" s="767"/>
      <c r="T43" s="767"/>
      <c r="U43" s="767"/>
      <c r="V43" s="767"/>
      <c r="W43" s="767"/>
      <c r="X43" s="767"/>
      <c r="Y43" s="767"/>
      <c r="Z43" s="767"/>
      <c r="AA43" s="767"/>
      <c r="AB43" s="767"/>
      <c r="AC43" s="767"/>
      <c r="AD43" s="767"/>
      <c r="AE43" s="767"/>
      <c r="AF43" s="767"/>
      <c r="AG43" s="767"/>
      <c r="AH43" s="767"/>
      <c r="AI43" s="767"/>
      <c r="AJ43" s="767"/>
      <c r="AK43" s="767"/>
      <c r="AL43" s="767"/>
      <c r="AM43" s="767"/>
      <c r="AN43" s="767"/>
      <c r="AO43" s="767"/>
      <c r="AP43" s="767"/>
      <c r="AQ43" s="767"/>
      <c r="AR43" s="767"/>
      <c r="AS43" s="767"/>
      <c r="AT43" s="767"/>
      <c r="AU43" s="767"/>
      <c r="AV43" s="767"/>
      <c r="AW43" s="767"/>
      <c r="AX43" s="767"/>
      <c r="AY43" s="767"/>
      <c r="AZ43" s="767"/>
      <c r="BA43" s="767"/>
      <c r="BB43" s="767"/>
      <c r="BC43" s="767"/>
      <c r="BD43" s="767"/>
      <c r="BE43" s="767"/>
      <c r="BF43" s="767"/>
      <c r="BG43" s="767"/>
      <c r="BH43" s="767"/>
      <c r="BI43" s="767"/>
      <c r="BJ43" s="767"/>
      <c r="BK43" s="767"/>
    </row>
    <row r="44" spans="1:69" ht="54.75" customHeight="1" x14ac:dyDescent="0.25">
      <c r="A44" s="767"/>
      <c r="B44" s="767"/>
      <c r="C44" s="767"/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67"/>
      <c r="O44" s="767"/>
      <c r="P44" s="767"/>
      <c r="Q44" s="767"/>
      <c r="R44" s="767"/>
      <c r="S44" s="767"/>
      <c r="T44" s="767"/>
      <c r="U44" s="767"/>
      <c r="V44" s="767"/>
      <c r="W44" s="767"/>
      <c r="X44" s="767"/>
      <c r="Y44" s="767"/>
      <c r="Z44" s="767"/>
      <c r="AA44" s="767"/>
      <c r="AB44" s="767"/>
      <c r="AC44" s="767"/>
      <c r="AD44" s="767"/>
      <c r="AE44" s="767"/>
      <c r="AF44" s="767"/>
      <c r="AG44" s="767"/>
      <c r="AH44" s="767"/>
      <c r="AI44" s="767"/>
      <c r="AJ44" s="767"/>
      <c r="AK44" s="767"/>
      <c r="AL44" s="767"/>
      <c r="AM44" s="767"/>
      <c r="AN44" s="767"/>
      <c r="AO44" s="767"/>
      <c r="AP44" s="767"/>
      <c r="AQ44" s="767"/>
      <c r="AR44" s="767"/>
      <c r="AS44" s="767"/>
      <c r="AT44" s="767"/>
      <c r="AU44" s="767"/>
      <c r="AV44" s="767"/>
      <c r="AW44" s="767"/>
      <c r="AX44" s="767"/>
      <c r="AY44" s="767"/>
      <c r="AZ44" s="767"/>
      <c r="BA44" s="767"/>
      <c r="BB44" s="767"/>
      <c r="BC44" s="767"/>
      <c r="BD44" s="767"/>
      <c r="BE44" s="767"/>
      <c r="BF44" s="767"/>
      <c r="BG44" s="767"/>
      <c r="BH44" s="767"/>
      <c r="BI44" s="767"/>
      <c r="BJ44" s="767"/>
      <c r="BK44" s="767"/>
    </row>
    <row r="45" spans="1:69" ht="10.5" customHeight="1" x14ac:dyDescent="0.2"/>
    <row r="46" spans="1:69" x14ac:dyDescent="0.2">
      <c r="AC46" s="144"/>
    </row>
    <row r="47" spans="1:69" x14ac:dyDescent="0.2">
      <c r="AF47" s="144"/>
    </row>
    <row r="48" spans="1:69" x14ac:dyDescent="0.2">
      <c r="AF48" s="144"/>
    </row>
    <row r="49" spans="31:32" x14ac:dyDescent="0.2">
      <c r="AE49" s="144"/>
      <c r="AF49" s="144"/>
    </row>
    <row r="50" spans="31:32" x14ac:dyDescent="0.2">
      <c r="AE50" s="144"/>
    </row>
  </sheetData>
  <mergeCells count="31">
    <mergeCell ref="A44:BK44"/>
    <mergeCell ref="A38:E38"/>
    <mergeCell ref="A27:E27"/>
    <mergeCell ref="A39:E39"/>
    <mergeCell ref="A43:BK43"/>
    <mergeCell ref="A37:E37"/>
    <mergeCell ref="A32:E32"/>
    <mergeCell ref="A29:E29"/>
    <mergeCell ref="A36:E36"/>
    <mergeCell ref="A14:BK14"/>
    <mergeCell ref="A16:BK16"/>
    <mergeCell ref="A35:E35"/>
    <mergeCell ref="A31:E31"/>
    <mergeCell ref="A24:E24"/>
    <mergeCell ref="A25:E25"/>
    <mergeCell ref="A26:E26"/>
    <mergeCell ref="A30:E30"/>
    <mergeCell ref="A20:E20"/>
    <mergeCell ref="A23:E23"/>
    <mergeCell ref="A22:E22"/>
    <mergeCell ref="A21:E21"/>
    <mergeCell ref="A1:BK1"/>
    <mergeCell ref="A12:D12"/>
    <mergeCell ref="A10:AT10"/>
    <mergeCell ref="A3:BG3"/>
    <mergeCell ref="A5:BG5"/>
    <mergeCell ref="A4:BG4"/>
    <mergeCell ref="A7:B7"/>
    <mergeCell ref="A6:Q6"/>
    <mergeCell ref="A9:BK9"/>
    <mergeCell ref="A8:BK8"/>
  </mergeCells>
  <phoneticPr fontId="0" type="noConversion"/>
  <printOptions horizontalCentered="1"/>
  <pageMargins left="0.39370078740157483" right="0.23622047244094491" top="0.39370078740157483" bottom="0.47244094488188981" header="0.51181102362204722" footer="0.51181102362204722"/>
  <pageSetup paperSize="9" scale="55" orientation="portrait" horizontalDpi="4294967293" verticalDpi="4294967293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CF370"/>
  <sheetViews>
    <sheetView topLeftCell="B234" zoomScale="75" zoomScaleNormal="75" workbookViewId="0">
      <pane xSplit="5" topLeftCell="V1" activePane="topRight" state="frozen"/>
      <selection activeCell="F11" sqref="F11"/>
      <selection pane="topRight" activeCell="F252" sqref="F252"/>
    </sheetView>
  </sheetViews>
  <sheetFormatPr defaultRowHeight="18" x14ac:dyDescent="0.25"/>
  <cols>
    <col min="1" max="1" width="8.5703125" style="57" hidden="1" customWidth="1"/>
    <col min="2" max="2" width="6.28515625" style="57" customWidth="1"/>
    <col min="3" max="3" width="6.5703125" style="57" customWidth="1"/>
    <col min="4" max="4" width="8.85546875" style="57" customWidth="1"/>
    <col min="5" max="5" width="9.140625" style="57"/>
    <col min="6" max="6" width="62" style="57" customWidth="1"/>
    <col min="7" max="7" width="20.28515625" style="57" hidden="1" customWidth="1"/>
    <col min="8" max="9" width="20.140625" style="57" hidden="1" customWidth="1"/>
    <col min="10" max="10" width="20.28515625" style="57" hidden="1" customWidth="1"/>
    <col min="11" max="12" width="18.85546875" style="57" hidden="1" customWidth="1"/>
    <col min="13" max="13" width="19.42578125" style="57" hidden="1" customWidth="1"/>
    <col min="14" max="14" width="20.140625" style="57" hidden="1" customWidth="1"/>
    <col min="15" max="16" width="20.42578125" style="60" hidden="1" customWidth="1"/>
    <col min="17" max="17" width="22.42578125" style="60" hidden="1" customWidth="1"/>
    <col min="18" max="18" width="20.42578125" style="60" hidden="1" customWidth="1"/>
    <col min="19" max="19" width="21.140625" style="60" hidden="1" customWidth="1"/>
    <col min="20" max="20" width="20.7109375" style="60" hidden="1" customWidth="1"/>
    <col min="21" max="21" width="20.42578125" style="60" hidden="1" customWidth="1"/>
    <col min="22" max="22" width="20.42578125" style="60" customWidth="1"/>
    <col min="23" max="24" width="20.42578125" style="60" hidden="1" customWidth="1"/>
    <col min="25" max="28" width="20.42578125" style="60" customWidth="1"/>
    <col min="29" max="29" width="22.28515625" style="60" customWidth="1"/>
    <col min="30" max="30" width="29.42578125" style="60" customWidth="1"/>
    <col min="31" max="31" width="27" style="60" customWidth="1"/>
    <col min="32" max="16384" width="9.140625" style="61"/>
  </cols>
  <sheetData>
    <row r="1" spans="1:78" x14ac:dyDescent="0.25">
      <c r="F1" s="58" t="s">
        <v>655</v>
      </c>
    </row>
    <row r="2" spans="1:78" x14ac:dyDescent="0.25">
      <c r="F2" s="59"/>
    </row>
    <row r="3" spans="1:78" ht="16.5" customHeight="1" x14ac:dyDescent="0.25">
      <c r="C3" s="62"/>
      <c r="D3" s="62"/>
      <c r="E3" s="62"/>
      <c r="F3" s="58" t="s">
        <v>656</v>
      </c>
      <c r="G3" s="63"/>
      <c r="I3" s="63"/>
      <c r="J3" s="63"/>
      <c r="K3" s="63"/>
      <c r="L3" s="63"/>
      <c r="M3" s="63"/>
      <c r="N3" s="63"/>
    </row>
    <row r="4" spans="1:78" ht="113.25" customHeight="1" x14ac:dyDescent="0.25">
      <c r="A4" s="64" t="s">
        <v>657</v>
      </c>
      <c r="B4" s="64" t="s">
        <v>510</v>
      </c>
      <c r="C4" s="64" t="s">
        <v>511</v>
      </c>
      <c r="D4" s="64" t="s">
        <v>512</v>
      </c>
      <c r="E4" s="64" t="s">
        <v>513</v>
      </c>
      <c r="F4" s="65" t="s">
        <v>658</v>
      </c>
      <c r="G4" s="65" t="s">
        <v>659</v>
      </c>
      <c r="H4" s="65" t="s">
        <v>660</v>
      </c>
      <c r="I4" s="65" t="s">
        <v>661</v>
      </c>
      <c r="J4" s="65" t="s">
        <v>517</v>
      </c>
      <c r="K4" s="65" t="s">
        <v>651</v>
      </c>
      <c r="L4" s="65" t="s">
        <v>482</v>
      </c>
      <c r="M4" s="65" t="s">
        <v>483</v>
      </c>
      <c r="N4" s="66" t="s">
        <v>344</v>
      </c>
      <c r="O4" s="66" t="s">
        <v>636</v>
      </c>
      <c r="P4" s="66" t="s">
        <v>353</v>
      </c>
      <c r="Q4" s="66" t="s">
        <v>979</v>
      </c>
      <c r="R4" s="66" t="s">
        <v>871</v>
      </c>
      <c r="S4" s="66" t="s">
        <v>662</v>
      </c>
      <c r="T4" s="66" t="s">
        <v>663</v>
      </c>
      <c r="U4" s="66" t="s">
        <v>384</v>
      </c>
      <c r="V4" s="66" t="s">
        <v>385</v>
      </c>
      <c r="W4" s="66" t="s">
        <v>382</v>
      </c>
      <c r="X4" s="66" t="s">
        <v>383</v>
      </c>
      <c r="Y4" s="66" t="s">
        <v>773</v>
      </c>
      <c r="Z4" s="66" t="s">
        <v>482</v>
      </c>
      <c r="AA4" s="66" t="s">
        <v>979</v>
      </c>
      <c r="AB4" s="66" t="s">
        <v>774</v>
      </c>
    </row>
    <row r="5" spans="1:78" s="70" customFormat="1" ht="15.75" customHeight="1" x14ac:dyDescent="0.25">
      <c r="A5" s="67"/>
      <c r="B5" s="67" t="s">
        <v>664</v>
      </c>
      <c r="C5" s="67">
        <v>2</v>
      </c>
      <c r="D5" s="67">
        <v>3</v>
      </c>
      <c r="E5" s="67">
        <v>4</v>
      </c>
      <c r="F5" s="67">
        <v>5</v>
      </c>
      <c r="G5" s="68">
        <v>5</v>
      </c>
      <c r="H5" s="68">
        <v>5</v>
      </c>
      <c r="I5" s="68">
        <v>6</v>
      </c>
      <c r="J5" s="68">
        <v>6</v>
      </c>
      <c r="K5" s="68">
        <v>7</v>
      </c>
      <c r="L5" s="68"/>
      <c r="M5" s="68"/>
      <c r="N5" s="68">
        <v>7</v>
      </c>
      <c r="O5" s="413">
        <v>8</v>
      </c>
      <c r="P5" s="68">
        <v>9</v>
      </c>
      <c r="Q5" s="414">
        <v>10</v>
      </c>
      <c r="R5" s="69"/>
      <c r="S5" s="69"/>
      <c r="T5" s="69"/>
      <c r="U5" s="414">
        <v>11</v>
      </c>
      <c r="V5" s="414">
        <v>6</v>
      </c>
      <c r="W5" s="414">
        <v>7</v>
      </c>
      <c r="X5" s="414">
        <v>8</v>
      </c>
      <c r="Y5" s="414"/>
      <c r="Z5" s="414"/>
      <c r="AA5" s="414"/>
      <c r="AB5" s="414">
        <v>6</v>
      </c>
      <c r="AC5" s="60"/>
      <c r="AD5" s="60"/>
      <c r="AE5" s="60"/>
      <c r="AF5" s="295"/>
      <c r="AG5" s="295"/>
      <c r="AH5" s="295"/>
      <c r="AI5" s="295"/>
      <c r="AJ5" s="295"/>
      <c r="AK5" s="295"/>
      <c r="AL5" s="295"/>
      <c r="AM5" s="295"/>
      <c r="AN5" s="295"/>
      <c r="AO5" s="295"/>
      <c r="AP5" s="295"/>
      <c r="AQ5" s="295"/>
      <c r="AR5" s="295"/>
      <c r="AS5" s="295"/>
      <c r="AT5" s="295"/>
      <c r="AU5" s="295"/>
      <c r="AV5" s="295"/>
      <c r="AW5" s="295"/>
      <c r="AX5" s="295"/>
      <c r="AY5" s="295"/>
      <c r="AZ5" s="295"/>
      <c r="BA5" s="295"/>
      <c r="BB5" s="295"/>
      <c r="BC5" s="295"/>
      <c r="BD5" s="295"/>
      <c r="BE5" s="295"/>
      <c r="BF5" s="295"/>
      <c r="BG5" s="295"/>
      <c r="BH5" s="295"/>
      <c r="BI5" s="295"/>
      <c r="BJ5" s="295"/>
      <c r="BK5" s="295"/>
      <c r="BL5" s="295"/>
      <c r="BM5" s="295"/>
      <c r="BN5" s="295"/>
      <c r="BO5" s="295"/>
      <c r="BP5" s="295"/>
      <c r="BQ5" s="295"/>
      <c r="BR5" s="295"/>
      <c r="BS5" s="295"/>
      <c r="BT5" s="295"/>
      <c r="BU5" s="295"/>
      <c r="BV5" s="295"/>
      <c r="BW5" s="295"/>
      <c r="BX5" s="295"/>
      <c r="BY5" s="295"/>
      <c r="BZ5" s="295"/>
    </row>
    <row r="6" spans="1:78" s="507" customFormat="1" ht="15.75" customHeight="1" x14ac:dyDescent="0.25">
      <c r="A6" s="520"/>
      <c r="B6" s="520"/>
      <c r="C6" s="520"/>
      <c r="D6" s="520"/>
      <c r="E6" s="520"/>
      <c r="F6" s="528" t="s">
        <v>912</v>
      </c>
      <c r="G6" s="521"/>
      <c r="H6" s="521"/>
      <c r="I6" s="521"/>
      <c r="J6" s="521"/>
      <c r="K6" s="521"/>
      <c r="L6" s="521"/>
      <c r="M6" s="521"/>
      <c r="N6" s="521"/>
      <c r="O6" s="522"/>
      <c r="P6" s="521"/>
      <c r="Q6" s="525"/>
      <c r="R6" s="526"/>
      <c r="S6" s="526"/>
      <c r="T6" s="526"/>
      <c r="U6" s="525"/>
      <c r="V6" s="590">
        <f>V8+V33+V39+V86+V94+V119+V126+V134+V141+V148+V155</f>
        <v>151010739</v>
      </c>
      <c r="W6" s="590">
        <f>W8+W33+W39+W86+W94+W119+W126+W134+W141+W148+W155</f>
        <v>150484442</v>
      </c>
      <c r="X6" s="590">
        <f>X8+X33+X39+X86+X94+X119+X126+X134+X141+X148+X155</f>
        <v>153126779</v>
      </c>
      <c r="Y6" s="590">
        <f>Y8+Y33+Y39+Y86+Y94+Y119+Y126+Y134+Y141+Y148+Y155</f>
        <v>53530445.049999997</v>
      </c>
      <c r="Z6" s="590">
        <f>ROUND(Y6/V6*100,2)</f>
        <v>35.450000000000003</v>
      </c>
      <c r="AA6" s="590">
        <f>AB6-V6</f>
        <v>-2413489</v>
      </c>
      <c r="AB6" s="590">
        <f>AB8+AB33+AB39+AB86+AB94+AB119+AB126+AB134+AB141+AB148+AB155</f>
        <v>148597250</v>
      </c>
      <c r="AC6" s="60"/>
      <c r="AD6" s="60"/>
      <c r="AE6" s="60"/>
    </row>
    <row r="7" spans="1:78" s="532" customFormat="1" ht="15.75" customHeight="1" x14ac:dyDescent="0.25">
      <c r="A7" s="527"/>
      <c r="B7" s="527"/>
      <c r="C7" s="527"/>
      <c r="D7" s="527"/>
      <c r="E7" s="527"/>
      <c r="F7" s="528" t="s">
        <v>824</v>
      </c>
      <c r="G7" s="529"/>
      <c r="H7" s="529"/>
      <c r="I7" s="529"/>
      <c r="J7" s="529"/>
      <c r="K7" s="529"/>
      <c r="L7" s="529"/>
      <c r="M7" s="529"/>
      <c r="N7" s="529"/>
      <c r="O7" s="530"/>
      <c r="P7" s="529"/>
      <c r="Q7" s="530"/>
      <c r="R7" s="531"/>
      <c r="S7" s="531"/>
      <c r="T7" s="531"/>
      <c r="U7" s="530"/>
      <c r="V7" s="570">
        <f t="shared" ref="V7:X8" si="0">V8</f>
        <v>36318934</v>
      </c>
      <c r="W7" s="570">
        <f t="shared" si="0"/>
        <v>37271624</v>
      </c>
      <c r="X7" s="570">
        <f t="shared" si="0"/>
        <v>38340494</v>
      </c>
      <c r="Y7" s="570">
        <f>Y8</f>
        <v>13110338.379999999</v>
      </c>
      <c r="Z7" s="590">
        <f t="shared" ref="Z7:Z72" si="1">ROUND(Y7/V7*100,2)</f>
        <v>36.1</v>
      </c>
      <c r="AA7" s="590">
        <f t="shared" ref="AA7:AA72" si="2">AB7-V7</f>
        <v>367266</v>
      </c>
      <c r="AB7" s="570">
        <f>AB8</f>
        <v>36686200</v>
      </c>
      <c r="AC7" s="372"/>
      <c r="AD7" s="372"/>
      <c r="AE7" s="372"/>
    </row>
    <row r="8" spans="1:78" s="70" customFormat="1" x14ac:dyDescent="0.25">
      <c r="A8" s="71"/>
      <c r="B8" s="71" t="s">
        <v>665</v>
      </c>
      <c r="C8" s="71"/>
      <c r="D8" s="71"/>
      <c r="E8" s="71"/>
      <c r="F8" s="72" t="s">
        <v>666</v>
      </c>
      <c r="G8" s="73" t="e">
        <f>G9+G40+G95+G127</f>
        <v>#REF!</v>
      </c>
      <c r="H8" s="73">
        <f>H9+H40+H95+H127</f>
        <v>106281714</v>
      </c>
      <c r="I8" s="73">
        <f>I9+I40+I95+I127+I149</f>
        <v>102897470.63000003</v>
      </c>
      <c r="J8" s="73" t="e">
        <f>J9+J40+J95+J127</f>
        <v>#REF!</v>
      </c>
      <c r="K8" s="73" t="e">
        <f>K9+K40+K95+K127</f>
        <v>#REF!</v>
      </c>
      <c r="L8" s="73" t="e">
        <f>ROUND(K8/J8*100,2)</f>
        <v>#REF!</v>
      </c>
      <c r="M8" s="73" t="e">
        <f>N8-J8</f>
        <v>#REF!</v>
      </c>
      <c r="N8" s="73">
        <f>N9+N40+N95+N127+N149+N159</f>
        <v>111285880.41</v>
      </c>
      <c r="O8" s="73">
        <f>O9+O40+O95+O127+O149</f>
        <v>108976350</v>
      </c>
      <c r="P8" s="73">
        <f>P9+P40+P95+P127+P149</f>
        <v>74241799.909999996</v>
      </c>
      <c r="Q8" s="384">
        <f>U8-O8</f>
        <v>16056086</v>
      </c>
      <c r="R8" s="73">
        <f>R9+R40+R95+R127+R149</f>
        <v>108999383</v>
      </c>
      <c r="S8" s="73" t="e">
        <f>S9+S40+S95+S127+S149</f>
        <v>#REF!</v>
      </c>
      <c r="T8" s="73" t="e">
        <f>T9+T40+T95+T127+T149</f>
        <v>#REF!</v>
      </c>
      <c r="U8" s="355">
        <f>U9+U40+U95+U127+U149</f>
        <v>125032436</v>
      </c>
      <c r="V8" s="355">
        <f t="shared" si="0"/>
        <v>36318934</v>
      </c>
      <c r="W8" s="355">
        <f t="shared" si="0"/>
        <v>37271624</v>
      </c>
      <c r="X8" s="355">
        <f t="shared" si="0"/>
        <v>38340494</v>
      </c>
      <c r="Y8" s="355">
        <f>Y9</f>
        <v>13110338.379999999</v>
      </c>
      <c r="Z8" s="611">
        <f t="shared" si="1"/>
        <v>36.1</v>
      </c>
      <c r="AA8" s="611">
        <f t="shared" si="2"/>
        <v>367266</v>
      </c>
      <c r="AB8" s="355">
        <f>AB9</f>
        <v>36686200</v>
      </c>
      <c r="AC8" s="60"/>
      <c r="AD8" s="60"/>
      <c r="AE8" s="60"/>
      <c r="AF8" s="295"/>
      <c r="AG8" s="295"/>
      <c r="AH8" s="295"/>
      <c r="AI8" s="295"/>
      <c r="AJ8" s="295"/>
      <c r="AK8" s="295"/>
      <c r="AL8" s="295"/>
      <c r="AM8" s="295"/>
      <c r="AN8" s="295"/>
      <c r="AO8" s="295"/>
      <c r="AP8" s="295"/>
      <c r="AQ8" s="295"/>
      <c r="AR8" s="295"/>
      <c r="AS8" s="295"/>
      <c r="AT8" s="295"/>
      <c r="AU8" s="295"/>
      <c r="AV8" s="295"/>
      <c r="AW8" s="295"/>
      <c r="AX8" s="295"/>
      <c r="AY8" s="295"/>
      <c r="AZ8" s="295"/>
      <c r="BA8" s="295"/>
      <c r="BB8" s="295"/>
      <c r="BC8" s="295"/>
      <c r="BD8" s="295"/>
      <c r="BE8" s="295"/>
      <c r="BF8" s="295"/>
      <c r="BG8" s="295"/>
      <c r="BH8" s="295"/>
      <c r="BI8" s="295"/>
      <c r="BJ8" s="295"/>
      <c r="BK8" s="295"/>
      <c r="BL8" s="295"/>
      <c r="BM8" s="295"/>
      <c r="BN8" s="295"/>
      <c r="BO8" s="295"/>
      <c r="BP8" s="295"/>
      <c r="BQ8" s="295"/>
      <c r="BR8" s="295"/>
      <c r="BS8" s="295"/>
      <c r="BT8" s="295"/>
      <c r="BU8" s="295"/>
      <c r="BV8" s="295"/>
      <c r="BW8" s="295"/>
      <c r="BX8" s="295"/>
      <c r="BY8" s="295"/>
      <c r="BZ8" s="295"/>
    </row>
    <row r="9" spans="1:78" s="78" customFormat="1" ht="19.5" customHeight="1" x14ac:dyDescent="0.25">
      <c r="A9" s="74"/>
      <c r="B9" s="74"/>
      <c r="C9" s="74" t="s">
        <v>667</v>
      </c>
      <c r="D9" s="74"/>
      <c r="E9" s="74"/>
      <c r="F9" s="75" t="s">
        <v>668</v>
      </c>
      <c r="G9" s="76" t="e">
        <f>G10+G25+G27</f>
        <v>#REF!</v>
      </c>
      <c r="H9" s="76">
        <f>H10+H25+H27</f>
        <v>33516540</v>
      </c>
      <c r="I9" s="76">
        <f>I10+I25+I27</f>
        <v>76753486.330000013</v>
      </c>
      <c r="J9" s="76" t="e">
        <f>J10+J25+J27</f>
        <v>#REF!</v>
      </c>
      <c r="K9" s="76" t="e">
        <f>K10+K25+K27</f>
        <v>#REF!</v>
      </c>
      <c r="L9" s="76" t="e">
        <f>ROUND(K9/J9*100,2)</f>
        <v>#REF!</v>
      </c>
      <c r="M9" s="76" t="e">
        <f>N9-J9</f>
        <v>#REF!</v>
      </c>
      <c r="N9" s="76">
        <f>N10+N25+N27</f>
        <v>33456299.989999995</v>
      </c>
      <c r="O9" s="76">
        <f>O10+O25+O27</f>
        <v>33868059</v>
      </c>
      <c r="P9" s="76">
        <f>P10+P25+P27</f>
        <v>23857951</v>
      </c>
      <c r="Q9" s="385">
        <f>U9-O9</f>
        <v>471741</v>
      </c>
      <c r="R9" s="76">
        <f t="shared" ref="R9:X9" si="3">R10+R25+R27</f>
        <v>33978959</v>
      </c>
      <c r="S9" s="76" t="e">
        <f t="shared" si="3"/>
        <v>#REF!</v>
      </c>
      <c r="T9" s="76" t="e">
        <f t="shared" si="3"/>
        <v>#REF!</v>
      </c>
      <c r="U9" s="356">
        <f t="shared" si="3"/>
        <v>34339800</v>
      </c>
      <c r="V9" s="356">
        <f t="shared" si="3"/>
        <v>36318934</v>
      </c>
      <c r="W9" s="356">
        <f t="shared" si="3"/>
        <v>37271624</v>
      </c>
      <c r="X9" s="356">
        <f t="shared" si="3"/>
        <v>38340494</v>
      </c>
      <c r="Y9" s="356">
        <f>Y10+Y25+Y27</f>
        <v>13110338.379999999</v>
      </c>
      <c r="Z9" s="610">
        <f t="shared" si="1"/>
        <v>36.1</v>
      </c>
      <c r="AA9" s="610">
        <f t="shared" si="2"/>
        <v>367266</v>
      </c>
      <c r="AB9" s="356">
        <f>AB10+AB25+AB27</f>
        <v>36686200</v>
      </c>
      <c r="AC9" s="60"/>
      <c r="AD9" s="60"/>
      <c r="AE9" s="60"/>
      <c r="AF9" s="295"/>
      <c r="AG9" s="295"/>
      <c r="AH9" s="295"/>
      <c r="AI9" s="295"/>
      <c r="AJ9" s="295"/>
      <c r="AK9" s="295"/>
      <c r="AL9" s="295"/>
      <c r="AM9" s="295"/>
      <c r="AN9" s="295"/>
      <c r="AO9" s="295"/>
      <c r="AP9" s="295"/>
      <c r="AQ9" s="295"/>
      <c r="AR9" s="295"/>
      <c r="AS9" s="295"/>
      <c r="AT9" s="295"/>
      <c r="AU9" s="295"/>
      <c r="AV9" s="295"/>
      <c r="AW9" s="295"/>
      <c r="AX9" s="295"/>
      <c r="AY9" s="295"/>
      <c r="AZ9" s="295"/>
      <c r="BA9" s="295"/>
      <c r="BB9" s="295"/>
      <c r="BC9" s="295"/>
      <c r="BD9" s="295"/>
      <c r="BE9" s="295"/>
      <c r="BF9" s="295"/>
      <c r="BG9" s="295"/>
      <c r="BH9" s="295"/>
      <c r="BI9" s="295"/>
      <c r="BJ9" s="295"/>
      <c r="BK9" s="295"/>
      <c r="BL9" s="295"/>
      <c r="BM9" s="295"/>
      <c r="BN9" s="295"/>
      <c r="BO9" s="295"/>
      <c r="BP9" s="295"/>
      <c r="BQ9" s="295"/>
      <c r="BR9" s="295"/>
      <c r="BS9" s="295"/>
      <c r="BT9" s="295"/>
      <c r="BU9" s="295"/>
      <c r="BV9" s="295"/>
      <c r="BW9" s="295"/>
      <c r="BX9" s="295"/>
      <c r="BY9" s="295"/>
      <c r="BZ9" s="295"/>
    </row>
    <row r="10" spans="1:78" s="85" customFormat="1" ht="20.25" customHeight="1" x14ac:dyDescent="0.25">
      <c r="A10" s="79" t="s">
        <v>527</v>
      </c>
      <c r="B10" s="80"/>
      <c r="C10" s="80"/>
      <c r="D10" s="80" t="s">
        <v>669</v>
      </c>
      <c r="E10" s="80"/>
      <c r="F10" s="81" t="s">
        <v>670</v>
      </c>
      <c r="G10" s="82" t="e">
        <f>G11+G15+G16+G17+G19+G18+#REF!</f>
        <v>#REF!</v>
      </c>
      <c r="H10" s="82">
        <f>H11+H15+H16+H17+H19+H18</f>
        <v>28299000</v>
      </c>
      <c r="I10" s="82">
        <f>I11+I15+I16+I17+I19+I18+I20</f>
        <v>71639924.930000007</v>
      </c>
      <c r="J10" s="82" t="e">
        <f>J11+J15+J16+J17+J19+J18+#REF!</f>
        <v>#REF!</v>
      </c>
      <c r="K10" s="82" t="e">
        <f>K11+K15+K16+K17+K19+K18+#REF!</f>
        <v>#REF!</v>
      </c>
      <c r="L10" s="82" t="e">
        <f>L11+L15+L16+L17+L19+L18+#REF!</f>
        <v>#REF!</v>
      </c>
      <c r="M10" s="82" t="e">
        <f>M11+M15+M16+M17+M19+M18+#REF!</f>
        <v>#REF!</v>
      </c>
      <c r="N10" s="82">
        <f>N11+N15+N16+N17+N19+N18</f>
        <v>27834826.269999996</v>
      </c>
      <c r="O10" s="82">
        <f>O11+O15+O16+O17+O19+O18</f>
        <v>28673259</v>
      </c>
      <c r="P10" s="82">
        <f>P11+P15+P16+P17+P19+P18</f>
        <v>19899571.420000002</v>
      </c>
      <c r="Q10" s="386">
        <f>U10-O10</f>
        <v>629541</v>
      </c>
      <c r="R10" s="82">
        <f>R11+R15+R16+R17+R19+R18</f>
        <v>28784159</v>
      </c>
      <c r="S10" s="82" t="e">
        <f>S11+S15+S16+S17+S19+S18+#REF!</f>
        <v>#REF!</v>
      </c>
      <c r="T10" s="82" t="e">
        <f>T11+T15+T16+T17+T19+T18+#REF!</f>
        <v>#REF!</v>
      </c>
      <c r="U10" s="357">
        <f>U11+U15+U16+U17+U19+U18</f>
        <v>29302800</v>
      </c>
      <c r="V10" s="357">
        <f>V11+V15+V16+V17+V19+V18</f>
        <v>31225934</v>
      </c>
      <c r="W10" s="357">
        <f>W11+W15+W16+W17+W19+W18</f>
        <v>32156624</v>
      </c>
      <c r="X10" s="357">
        <f>X11+X15+X16+X17+X19+X18</f>
        <v>33183494</v>
      </c>
      <c r="Y10" s="357">
        <f>Y11+Y15+Y16+Y17+Y18+Y19</f>
        <v>12631400.969999999</v>
      </c>
      <c r="Z10" s="614">
        <f t="shared" si="1"/>
        <v>40.450000000000003</v>
      </c>
      <c r="AA10" s="614">
        <f t="shared" si="2"/>
        <v>727266</v>
      </c>
      <c r="AB10" s="357">
        <f>AB11+AB15+AB16+AB17+AB19+AB18</f>
        <v>31953200</v>
      </c>
      <c r="AC10" s="60"/>
      <c r="AD10" s="60"/>
      <c r="AE10" s="60"/>
    </row>
    <row r="11" spans="1:78" s="85" customFormat="1" ht="22.5" customHeight="1" x14ac:dyDescent="0.25">
      <c r="A11" s="80"/>
      <c r="B11" s="80"/>
      <c r="C11" s="80"/>
      <c r="D11" s="80"/>
      <c r="E11" s="80" t="s">
        <v>671</v>
      </c>
      <c r="F11" s="81" t="s">
        <v>672</v>
      </c>
      <c r="G11" s="86">
        <f t="shared" ref="G11:P11" si="4">G12+G13</f>
        <v>32507097.129999999</v>
      </c>
      <c r="H11" s="86">
        <f t="shared" si="4"/>
        <v>29762000</v>
      </c>
      <c r="I11" s="86">
        <f t="shared" si="4"/>
        <v>29109696.010000002</v>
      </c>
      <c r="J11" s="86">
        <f t="shared" si="4"/>
        <v>29226000</v>
      </c>
      <c r="K11" s="86">
        <f t="shared" si="4"/>
        <v>20441175.940000001</v>
      </c>
      <c r="L11" s="86">
        <f t="shared" si="4"/>
        <v>69.94</v>
      </c>
      <c r="M11" s="86">
        <f t="shared" si="4"/>
        <v>-2548513.0700000003</v>
      </c>
      <c r="N11" s="86">
        <f t="shared" si="4"/>
        <v>26677486.93</v>
      </c>
      <c r="O11" s="86">
        <f t="shared" si="4"/>
        <v>26582259</v>
      </c>
      <c r="P11" s="86">
        <f t="shared" si="4"/>
        <v>18706583.059999999</v>
      </c>
      <c r="Q11" s="386">
        <f>U11-O11</f>
        <v>404541</v>
      </c>
      <c r="R11" s="86">
        <f>R12+R13</f>
        <v>26693159</v>
      </c>
      <c r="S11" s="86">
        <f>S12+S13</f>
        <v>28715000</v>
      </c>
      <c r="T11" s="86">
        <f>T12+T13</f>
        <v>29657800</v>
      </c>
      <c r="U11" s="358">
        <f>U12+U13</f>
        <v>26986800</v>
      </c>
      <c r="V11" s="358">
        <f>V12+V14</f>
        <v>28182734</v>
      </c>
      <c r="W11" s="358">
        <f>W12+W14</f>
        <v>28976424</v>
      </c>
      <c r="X11" s="358">
        <f>X12+X14</f>
        <v>29889494</v>
      </c>
      <c r="Y11" s="358">
        <f>Y12</f>
        <v>11828777.26</v>
      </c>
      <c r="Z11" s="614">
        <f t="shared" si="1"/>
        <v>41.97</v>
      </c>
      <c r="AA11" s="614">
        <f t="shared" si="2"/>
        <v>417266</v>
      </c>
      <c r="AB11" s="358">
        <f>AB12</f>
        <v>28600000</v>
      </c>
      <c r="AC11" s="60"/>
      <c r="AD11" s="60"/>
      <c r="AE11" s="60"/>
    </row>
    <row r="12" spans="1:78" s="87" customFormat="1" ht="41.25" customHeight="1" x14ac:dyDescent="0.25">
      <c r="A12" s="80"/>
      <c r="B12" s="80"/>
      <c r="C12" s="80"/>
      <c r="D12" s="80"/>
      <c r="E12" s="80" t="s">
        <v>673</v>
      </c>
      <c r="F12" s="81" t="s">
        <v>675</v>
      </c>
      <c r="G12" s="82">
        <v>32507097.129999999</v>
      </c>
      <c r="H12" s="82">
        <v>29762000</v>
      </c>
      <c r="I12" s="82">
        <v>29109696.010000002</v>
      </c>
      <c r="J12" s="82">
        <v>29226000</v>
      </c>
      <c r="K12" s="82">
        <v>20441175.940000001</v>
      </c>
      <c r="L12" s="82">
        <f>ROUND(K12/J12*100,2)</f>
        <v>69.94</v>
      </c>
      <c r="M12" s="82">
        <f>N12-J12</f>
        <v>-2548513.0700000003</v>
      </c>
      <c r="N12" s="82">
        <f>26637679.8+5134.02+34673.11</f>
        <v>26677486.93</v>
      </c>
      <c r="O12" s="82">
        <v>26582259</v>
      </c>
      <c r="P12" s="82">
        <v>18706583.059999999</v>
      </c>
      <c r="Q12" s="386">
        <f>U12-O12</f>
        <v>404541</v>
      </c>
      <c r="R12" s="82">
        <f>26581000+72159+40000</f>
        <v>26693159</v>
      </c>
      <c r="S12" s="82">
        <f>28600000+300000+10000-50000-5000+10000-100000-50000</f>
        <v>28715000</v>
      </c>
      <c r="T12" s="82">
        <f>29750000+10000-50000-6200+10000-56000</f>
        <v>29657800</v>
      </c>
      <c r="U12" s="357">
        <f>27005000+13000+7100+3700-42000</f>
        <v>26986800</v>
      </c>
      <c r="V12" s="357">
        <f>28100000+500+5000+5000+26232+2+46000</f>
        <v>28182734</v>
      </c>
      <c r="W12" s="357">
        <f>29000000-100000+30424+46000</f>
        <v>28976424</v>
      </c>
      <c r="X12" s="357">
        <f>30038000-170506+22000</f>
        <v>29889494</v>
      </c>
      <c r="Y12" s="357">
        <v>11828777.26</v>
      </c>
      <c r="Z12" s="614">
        <f t="shared" si="1"/>
        <v>41.97</v>
      </c>
      <c r="AA12" s="614">
        <f t="shared" si="2"/>
        <v>417266</v>
      </c>
      <c r="AB12" s="357">
        <v>28600000</v>
      </c>
      <c r="AC12" s="60"/>
      <c r="AD12" s="60"/>
      <c r="AE12" s="60"/>
    </row>
    <row r="13" spans="1:78" s="87" customFormat="1" hidden="1" x14ac:dyDescent="0.25">
      <c r="A13" s="80"/>
      <c r="B13" s="80"/>
      <c r="C13" s="80"/>
      <c r="D13" s="80"/>
      <c r="E13" s="80"/>
      <c r="F13" s="81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386"/>
      <c r="R13" s="82"/>
      <c r="S13" s="82"/>
      <c r="T13" s="82"/>
      <c r="U13" s="357"/>
      <c r="V13" s="357"/>
      <c r="W13" s="357"/>
      <c r="X13" s="357"/>
      <c r="Y13" s="357"/>
      <c r="Z13" s="614" t="e">
        <f t="shared" si="1"/>
        <v>#DIV/0!</v>
      </c>
      <c r="AA13" s="614">
        <f t="shared" si="2"/>
        <v>0</v>
      </c>
      <c r="AB13" s="357"/>
      <c r="AC13" s="60"/>
      <c r="AD13" s="60"/>
      <c r="AE13" s="60"/>
    </row>
    <row r="14" spans="1:78" s="87" customFormat="1" hidden="1" x14ac:dyDescent="0.25">
      <c r="A14" s="80"/>
      <c r="B14" s="80"/>
      <c r="C14" s="80"/>
      <c r="D14" s="80"/>
      <c r="E14" s="80"/>
      <c r="F14" s="81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386"/>
      <c r="R14" s="82"/>
      <c r="S14" s="82"/>
      <c r="T14" s="82"/>
      <c r="U14" s="357"/>
      <c r="V14" s="357"/>
      <c r="W14" s="357"/>
      <c r="X14" s="357"/>
      <c r="Y14" s="357"/>
      <c r="Z14" s="614" t="e">
        <f t="shared" si="1"/>
        <v>#DIV/0!</v>
      </c>
      <c r="AA14" s="614">
        <f t="shared" si="2"/>
        <v>0</v>
      </c>
      <c r="AB14" s="357"/>
      <c r="AC14" s="60"/>
      <c r="AD14" s="60"/>
      <c r="AE14" s="60"/>
    </row>
    <row r="15" spans="1:78" s="85" customFormat="1" ht="36" x14ac:dyDescent="0.25">
      <c r="A15" s="80"/>
      <c r="B15" s="80"/>
      <c r="C15" s="80"/>
      <c r="D15" s="80"/>
      <c r="E15" s="80" t="s">
        <v>678</v>
      </c>
      <c r="F15" s="81" t="s">
        <v>679</v>
      </c>
      <c r="G15" s="82">
        <v>4396677.9000000004</v>
      </c>
      <c r="H15" s="82">
        <v>3900000</v>
      </c>
      <c r="I15" s="82">
        <v>4073388.61</v>
      </c>
      <c r="J15" s="82">
        <f>3830000+29500</f>
        <v>3859500</v>
      </c>
      <c r="K15" s="82">
        <v>2833615.42</v>
      </c>
      <c r="L15" s="82">
        <f>ROUND(K15/J15*100,2)</f>
        <v>73.42</v>
      </c>
      <c r="M15" s="82">
        <f>N15-J15</f>
        <v>260843.5</v>
      </c>
      <c r="N15" s="82">
        <v>4120343.5</v>
      </c>
      <c r="O15" s="82">
        <v>3887000</v>
      </c>
      <c r="P15" s="82">
        <v>2680776.58</v>
      </c>
      <c r="Q15" s="386">
        <f>U15-O15</f>
        <v>69000</v>
      </c>
      <c r="R15" s="82">
        <v>3887000</v>
      </c>
      <c r="S15" s="82">
        <v>4196000</v>
      </c>
      <c r="T15" s="82">
        <v>4236000</v>
      </c>
      <c r="U15" s="357">
        <v>3956000</v>
      </c>
      <c r="V15" s="357">
        <f>4218200</f>
        <v>4218200</v>
      </c>
      <c r="W15" s="357">
        <f>4337200</f>
        <v>4337200</v>
      </c>
      <c r="X15" s="357">
        <v>4422000</v>
      </c>
      <c r="Y15" s="357">
        <v>1664982.96</v>
      </c>
      <c r="Z15" s="614">
        <f t="shared" si="1"/>
        <v>39.47</v>
      </c>
      <c r="AA15" s="614">
        <f t="shared" si="2"/>
        <v>0</v>
      </c>
      <c r="AB15" s="357">
        <f>4218200</f>
        <v>4218200</v>
      </c>
      <c r="AC15" s="60"/>
      <c r="AD15" s="60"/>
      <c r="AE15" s="60"/>
    </row>
    <row r="16" spans="1:78" s="85" customFormat="1" ht="37.5" customHeight="1" x14ac:dyDescent="0.25">
      <c r="A16" s="80"/>
      <c r="B16" s="80"/>
      <c r="C16" s="80"/>
      <c r="D16" s="80"/>
      <c r="E16" s="80" t="s">
        <v>680</v>
      </c>
      <c r="F16" s="81" t="s">
        <v>681</v>
      </c>
      <c r="G16" s="82">
        <v>486034.06</v>
      </c>
      <c r="H16" s="82">
        <v>490000</v>
      </c>
      <c r="I16" s="82">
        <v>492427.41</v>
      </c>
      <c r="J16" s="82">
        <v>482000</v>
      </c>
      <c r="K16" s="82">
        <v>315127.44</v>
      </c>
      <c r="L16" s="82">
        <f>ROUND(K16/J16*100,2)</f>
        <v>65.38</v>
      </c>
      <c r="M16" s="82">
        <f>N16-J16</f>
        <v>-51589.070000000007</v>
      </c>
      <c r="N16" s="82">
        <v>430410.93</v>
      </c>
      <c r="O16" s="82">
        <v>430000</v>
      </c>
      <c r="P16" s="82">
        <v>300212.06</v>
      </c>
      <c r="Q16" s="386">
        <f>U16-O16</f>
        <v>0</v>
      </c>
      <c r="R16" s="82">
        <v>430000</v>
      </c>
      <c r="S16" s="82">
        <v>485000</v>
      </c>
      <c r="T16" s="82">
        <v>490000</v>
      </c>
      <c r="U16" s="357">
        <v>430000</v>
      </c>
      <c r="V16" s="357">
        <v>440000</v>
      </c>
      <c r="W16" s="357">
        <v>452000</v>
      </c>
      <c r="X16" s="357">
        <v>472000</v>
      </c>
      <c r="Y16" s="357">
        <v>201634.68</v>
      </c>
      <c r="Z16" s="614">
        <f t="shared" si="1"/>
        <v>45.83</v>
      </c>
      <c r="AA16" s="614">
        <f t="shared" si="2"/>
        <v>44000</v>
      </c>
      <c r="AB16" s="357">
        <v>484000</v>
      </c>
      <c r="AC16" s="60"/>
      <c r="AD16" s="60"/>
      <c r="AE16" s="60"/>
    </row>
    <row r="17" spans="1:31" s="85" customFormat="1" x14ac:dyDescent="0.25">
      <c r="A17" s="80"/>
      <c r="B17" s="80"/>
      <c r="C17" s="80"/>
      <c r="D17" s="80"/>
      <c r="E17" s="80" t="s">
        <v>682</v>
      </c>
      <c r="F17" s="81" t="s">
        <v>683</v>
      </c>
      <c r="G17" s="82">
        <v>246296.13</v>
      </c>
      <c r="H17" s="82">
        <v>260000</v>
      </c>
      <c r="I17" s="82">
        <v>248110.29</v>
      </c>
      <c r="J17" s="82">
        <v>255000</v>
      </c>
      <c r="K17" s="82">
        <v>200152.03</v>
      </c>
      <c r="L17" s="82">
        <f>ROUND(K17/J17*100,2)</f>
        <v>78.489999999999995</v>
      </c>
      <c r="M17" s="82">
        <f>N17-J17</f>
        <v>4041.6600000000035</v>
      </c>
      <c r="N17" s="82">
        <v>259041.66</v>
      </c>
      <c r="O17" s="82">
        <v>244000</v>
      </c>
      <c r="P17" s="82">
        <v>437120.94</v>
      </c>
      <c r="Q17" s="386">
        <f>U17-O17</f>
        <v>156000</v>
      </c>
      <c r="R17" s="82">
        <v>244000</v>
      </c>
      <c r="S17" s="82">
        <v>278000</v>
      </c>
      <c r="T17" s="82">
        <v>295000</v>
      </c>
      <c r="U17" s="357">
        <v>400000</v>
      </c>
      <c r="V17" s="357">
        <v>450000</v>
      </c>
      <c r="W17" s="357">
        <v>455000</v>
      </c>
      <c r="X17" s="357">
        <v>460000</v>
      </c>
      <c r="Y17" s="357">
        <v>358076.01</v>
      </c>
      <c r="Z17" s="614">
        <f t="shared" si="1"/>
        <v>79.569999999999993</v>
      </c>
      <c r="AA17" s="614">
        <f t="shared" si="2"/>
        <v>266000</v>
      </c>
      <c r="AB17" s="357">
        <v>716000</v>
      </c>
      <c r="AC17" s="60"/>
      <c r="AD17" s="60"/>
      <c r="AE17" s="60"/>
    </row>
    <row r="18" spans="1:31" s="88" customFormat="1" ht="21.75" customHeight="1" x14ac:dyDescent="0.25">
      <c r="A18" s="80"/>
      <c r="B18" s="80"/>
      <c r="C18" s="80"/>
      <c r="D18" s="80"/>
      <c r="E18" s="80" t="s">
        <v>684</v>
      </c>
      <c r="F18" s="81" t="s">
        <v>685</v>
      </c>
      <c r="G18" s="82">
        <v>-6177390.8600000003</v>
      </c>
      <c r="H18" s="82">
        <v>-6263000</v>
      </c>
      <c r="I18" s="82">
        <v>-6008957.8899999997</v>
      </c>
      <c r="J18" s="82">
        <v>-6150000</v>
      </c>
      <c r="K18" s="82">
        <v>-3435056.22</v>
      </c>
      <c r="L18" s="82">
        <f>ROUND(K18/J18*100,2)</f>
        <v>55.85</v>
      </c>
      <c r="M18" s="82">
        <f>N18-J18</f>
        <v>2453461.0099999998</v>
      </c>
      <c r="N18" s="82">
        <v>-3696538.99</v>
      </c>
      <c r="O18" s="82">
        <v>-2500000</v>
      </c>
      <c r="P18" s="82">
        <v>-2249833.52</v>
      </c>
      <c r="Q18" s="386">
        <f>U18-O18</f>
        <v>0</v>
      </c>
      <c r="R18" s="82">
        <v>-2500000</v>
      </c>
      <c r="S18" s="82">
        <v>-3400000</v>
      </c>
      <c r="T18" s="82">
        <v>-3500000</v>
      </c>
      <c r="U18" s="357">
        <v>-2500000</v>
      </c>
      <c r="V18" s="357">
        <v>-2100000</v>
      </c>
      <c r="W18" s="357">
        <v>-2100000</v>
      </c>
      <c r="X18" s="357">
        <v>-2100000</v>
      </c>
      <c r="Y18" s="357">
        <v>-1420957.01</v>
      </c>
      <c r="Z18" s="614">
        <f t="shared" si="1"/>
        <v>67.66</v>
      </c>
      <c r="AA18" s="614">
        <f t="shared" si="2"/>
        <v>0</v>
      </c>
      <c r="AB18" s="357">
        <v>-2100000</v>
      </c>
      <c r="AC18" s="60"/>
      <c r="AD18" s="60"/>
      <c r="AE18" s="60"/>
    </row>
    <row r="19" spans="1:31" s="89" customFormat="1" ht="36" customHeight="1" x14ac:dyDescent="0.25">
      <c r="A19" s="80"/>
      <c r="B19" s="80"/>
      <c r="C19" s="80"/>
      <c r="D19" s="80"/>
      <c r="E19" s="80" t="s">
        <v>686</v>
      </c>
      <c r="F19" s="81" t="s">
        <v>121</v>
      </c>
      <c r="G19" s="82">
        <v>96307.19</v>
      </c>
      <c r="H19" s="82">
        <v>150000</v>
      </c>
      <c r="I19" s="82">
        <v>148289.18</v>
      </c>
      <c r="J19" s="82">
        <v>147000</v>
      </c>
      <c r="K19" s="82">
        <v>35957.65</v>
      </c>
      <c r="L19" s="82">
        <f>ROUND(K19/J19*100,2)</f>
        <v>24.46</v>
      </c>
      <c r="M19" s="82">
        <f>N19-J19</f>
        <v>-102917.76000000001</v>
      </c>
      <c r="N19" s="82">
        <v>44082.239999999998</v>
      </c>
      <c r="O19" s="82">
        <v>30000</v>
      </c>
      <c r="P19" s="82">
        <v>24712.3</v>
      </c>
      <c r="Q19" s="386">
        <f>U19-O19</f>
        <v>0</v>
      </c>
      <c r="R19" s="82">
        <v>30000</v>
      </c>
      <c r="S19" s="82">
        <v>65000</v>
      </c>
      <c r="T19" s="82">
        <v>70000</v>
      </c>
      <c r="U19" s="357">
        <v>30000</v>
      </c>
      <c r="V19" s="357">
        <v>35000</v>
      </c>
      <c r="W19" s="357">
        <v>36000</v>
      </c>
      <c r="X19" s="357">
        <v>40000</v>
      </c>
      <c r="Y19" s="357">
        <v>-1112.93</v>
      </c>
      <c r="Z19" s="614">
        <f t="shared" si="1"/>
        <v>-3.18</v>
      </c>
      <c r="AA19" s="614">
        <f t="shared" si="2"/>
        <v>0</v>
      </c>
      <c r="AB19" s="357">
        <v>35000</v>
      </c>
      <c r="AC19" s="60"/>
      <c r="AD19" s="60"/>
      <c r="AE19" s="60"/>
    </row>
    <row r="20" spans="1:31" s="89" customFormat="1" ht="36" hidden="1" customHeight="1" x14ac:dyDescent="0.25">
      <c r="A20" s="80"/>
      <c r="B20" s="80"/>
      <c r="C20" s="80"/>
      <c r="D20" s="80"/>
      <c r="E20" s="80" t="s">
        <v>888</v>
      </c>
      <c r="F20" s="81" t="s">
        <v>889</v>
      </c>
      <c r="G20" s="82"/>
      <c r="H20" s="82"/>
      <c r="I20" s="82">
        <v>43576971.32</v>
      </c>
      <c r="J20" s="82"/>
      <c r="K20" s="82"/>
      <c r="L20" s="82"/>
      <c r="M20" s="82"/>
      <c r="N20" s="82"/>
      <c r="O20" s="82"/>
      <c r="P20" s="82"/>
      <c r="Q20" s="386"/>
      <c r="R20" s="82"/>
      <c r="S20" s="82"/>
      <c r="T20" s="82"/>
      <c r="U20" s="357"/>
      <c r="V20" s="357"/>
      <c r="W20" s="357"/>
      <c r="X20" s="357"/>
      <c r="Y20" s="357"/>
      <c r="Z20" s="614" t="e">
        <f t="shared" si="1"/>
        <v>#DIV/0!</v>
      </c>
      <c r="AA20" s="614">
        <f t="shared" si="2"/>
        <v>0</v>
      </c>
      <c r="AB20" s="357"/>
      <c r="AC20" s="60"/>
      <c r="AD20" s="60"/>
      <c r="AE20" s="60"/>
    </row>
    <row r="21" spans="1:31" s="89" customFormat="1" ht="36" hidden="1" customHeight="1" x14ac:dyDescent="0.25">
      <c r="A21" s="80"/>
      <c r="B21" s="80"/>
      <c r="C21" s="80"/>
      <c r="D21" s="80" t="s">
        <v>122</v>
      </c>
      <c r="E21" s="80"/>
      <c r="F21" s="81" t="s">
        <v>123</v>
      </c>
      <c r="G21" s="82"/>
      <c r="H21" s="82"/>
      <c r="I21" s="82"/>
      <c r="J21" s="82"/>
      <c r="K21" s="82"/>
      <c r="L21" s="82"/>
      <c r="M21" s="82">
        <f t="shared" ref="M21:M40" si="5">N21-J21</f>
        <v>0</v>
      </c>
      <c r="N21" s="82"/>
      <c r="O21" s="82"/>
      <c r="P21" s="82"/>
      <c r="Q21" s="386">
        <f t="shared" ref="Q21:Q40" si="6">U21-O21</f>
        <v>0</v>
      </c>
      <c r="R21" s="82"/>
      <c r="S21" s="82"/>
      <c r="T21" s="82"/>
      <c r="U21" s="357"/>
      <c r="V21" s="357"/>
      <c r="W21" s="357"/>
      <c r="X21" s="357"/>
      <c r="Y21" s="357"/>
      <c r="Z21" s="614" t="e">
        <f t="shared" si="1"/>
        <v>#DIV/0!</v>
      </c>
      <c r="AA21" s="614">
        <f t="shared" si="2"/>
        <v>0</v>
      </c>
      <c r="AB21" s="357"/>
      <c r="AC21" s="60"/>
      <c r="AD21" s="60"/>
      <c r="AE21" s="60"/>
    </row>
    <row r="22" spans="1:31" s="89" customFormat="1" ht="36" hidden="1" customHeight="1" x14ac:dyDescent="0.25">
      <c r="A22" s="80"/>
      <c r="B22" s="80"/>
      <c r="C22" s="80"/>
      <c r="D22" s="80"/>
      <c r="E22" s="80" t="s">
        <v>124</v>
      </c>
      <c r="F22" s="81" t="s">
        <v>125</v>
      </c>
      <c r="G22" s="82"/>
      <c r="H22" s="82"/>
      <c r="I22" s="82"/>
      <c r="J22" s="82"/>
      <c r="K22" s="82"/>
      <c r="L22" s="82"/>
      <c r="M22" s="82">
        <f t="shared" si="5"/>
        <v>0</v>
      </c>
      <c r="N22" s="82"/>
      <c r="O22" s="82"/>
      <c r="P22" s="82"/>
      <c r="Q22" s="386">
        <f t="shared" si="6"/>
        <v>0</v>
      </c>
      <c r="R22" s="82"/>
      <c r="S22" s="82"/>
      <c r="T22" s="82"/>
      <c r="U22" s="357"/>
      <c r="V22" s="357"/>
      <c r="W22" s="357"/>
      <c r="X22" s="357"/>
      <c r="Y22" s="357"/>
      <c r="Z22" s="614" t="e">
        <f t="shared" si="1"/>
        <v>#DIV/0!</v>
      </c>
      <c r="AA22" s="614">
        <f t="shared" si="2"/>
        <v>0</v>
      </c>
      <c r="AB22" s="357"/>
      <c r="AC22" s="60"/>
      <c r="AD22" s="60"/>
      <c r="AE22" s="60"/>
    </row>
    <row r="23" spans="1:31" s="89" customFormat="1" ht="36" hidden="1" customHeight="1" x14ac:dyDescent="0.25">
      <c r="A23" s="80"/>
      <c r="B23" s="80"/>
      <c r="C23" s="80"/>
      <c r="D23" s="80"/>
      <c r="E23" s="80" t="s">
        <v>126</v>
      </c>
      <c r="F23" s="81" t="s">
        <v>129</v>
      </c>
      <c r="G23" s="82"/>
      <c r="H23" s="82"/>
      <c r="I23" s="82"/>
      <c r="J23" s="82"/>
      <c r="K23" s="82"/>
      <c r="L23" s="82"/>
      <c r="M23" s="82">
        <f t="shared" si="5"/>
        <v>0</v>
      </c>
      <c r="N23" s="82"/>
      <c r="O23" s="82"/>
      <c r="P23" s="82"/>
      <c r="Q23" s="386">
        <f t="shared" si="6"/>
        <v>0</v>
      </c>
      <c r="R23" s="82"/>
      <c r="S23" s="82"/>
      <c r="T23" s="82"/>
      <c r="U23" s="357"/>
      <c r="V23" s="357"/>
      <c r="W23" s="357"/>
      <c r="X23" s="357"/>
      <c r="Y23" s="357"/>
      <c r="Z23" s="614" t="e">
        <f t="shared" si="1"/>
        <v>#DIV/0!</v>
      </c>
      <c r="AA23" s="614">
        <f t="shared" si="2"/>
        <v>0</v>
      </c>
      <c r="AB23" s="357"/>
      <c r="AC23" s="60"/>
      <c r="AD23" s="60"/>
      <c r="AE23" s="60"/>
    </row>
    <row r="24" spans="1:31" s="89" customFormat="1" ht="36" hidden="1" customHeight="1" x14ac:dyDescent="0.25">
      <c r="A24" s="80"/>
      <c r="B24" s="80"/>
      <c r="C24" s="80"/>
      <c r="D24" s="80"/>
      <c r="E24" s="80" t="s">
        <v>130</v>
      </c>
      <c r="F24" s="81" t="s">
        <v>132</v>
      </c>
      <c r="G24" s="82"/>
      <c r="H24" s="82"/>
      <c r="I24" s="82"/>
      <c r="J24" s="82"/>
      <c r="K24" s="82"/>
      <c r="L24" s="82"/>
      <c r="M24" s="82">
        <f t="shared" si="5"/>
        <v>0</v>
      </c>
      <c r="N24" s="82"/>
      <c r="O24" s="82"/>
      <c r="P24" s="82"/>
      <c r="Q24" s="386">
        <f t="shared" si="6"/>
        <v>0</v>
      </c>
      <c r="R24" s="82"/>
      <c r="S24" s="82"/>
      <c r="T24" s="82"/>
      <c r="U24" s="357"/>
      <c r="V24" s="357"/>
      <c r="W24" s="357"/>
      <c r="X24" s="357"/>
      <c r="Y24" s="357"/>
      <c r="Z24" s="614" t="e">
        <f t="shared" si="1"/>
        <v>#DIV/0!</v>
      </c>
      <c r="AA24" s="614">
        <f t="shared" si="2"/>
        <v>0</v>
      </c>
      <c r="AB24" s="357"/>
      <c r="AC24" s="60"/>
      <c r="AD24" s="60"/>
      <c r="AE24" s="60"/>
    </row>
    <row r="25" spans="1:31" s="87" customFormat="1" ht="18" customHeight="1" x14ac:dyDescent="0.25">
      <c r="A25" s="79" t="s">
        <v>527</v>
      </c>
      <c r="B25" s="80"/>
      <c r="C25" s="80"/>
      <c r="D25" s="80" t="s">
        <v>133</v>
      </c>
      <c r="E25" s="80"/>
      <c r="F25" s="81" t="s">
        <v>134</v>
      </c>
      <c r="G25" s="82">
        <f>SUM(G26)</f>
        <v>114038.93</v>
      </c>
      <c r="H25" s="82">
        <f>SUM(H26)</f>
        <v>70000</v>
      </c>
      <c r="I25" s="82">
        <f>SUM(I26)</f>
        <v>44118.95</v>
      </c>
      <c r="J25" s="82">
        <f>SUM(J26)</f>
        <v>60000</v>
      </c>
      <c r="K25" s="82">
        <f>SUM(K26)</f>
        <v>140641.17000000001</v>
      </c>
      <c r="L25" s="82">
        <f>ROUND(K25/J25*100,2)</f>
        <v>234.4</v>
      </c>
      <c r="M25" s="82">
        <f t="shared" si="5"/>
        <v>119219.89000000001</v>
      </c>
      <c r="N25" s="82">
        <f>SUM(N26)</f>
        <v>179219.89</v>
      </c>
      <c r="O25" s="82">
        <f>SUM(O26)</f>
        <v>70000</v>
      </c>
      <c r="P25" s="82">
        <f>SUM(P26)</f>
        <v>22975.200000000001</v>
      </c>
      <c r="Q25" s="386">
        <f t="shared" si="6"/>
        <v>-35000</v>
      </c>
      <c r="R25" s="82">
        <f t="shared" ref="R25:X25" si="7">SUM(R26)</f>
        <v>70000</v>
      </c>
      <c r="S25" s="82">
        <f t="shared" si="7"/>
        <v>80000</v>
      </c>
      <c r="T25" s="82">
        <f t="shared" si="7"/>
        <v>85000</v>
      </c>
      <c r="U25" s="357">
        <f t="shared" si="7"/>
        <v>35000</v>
      </c>
      <c r="V25" s="357">
        <f t="shared" si="7"/>
        <v>50000</v>
      </c>
      <c r="W25" s="357">
        <f t="shared" si="7"/>
        <v>50000</v>
      </c>
      <c r="X25" s="357">
        <f t="shared" si="7"/>
        <v>50000</v>
      </c>
      <c r="Y25" s="357">
        <f>Y26</f>
        <v>92542.83</v>
      </c>
      <c r="Z25" s="614">
        <f t="shared" si="1"/>
        <v>185.09</v>
      </c>
      <c r="AA25" s="614">
        <f t="shared" si="2"/>
        <v>80000</v>
      </c>
      <c r="AB25" s="357">
        <f>SUM(AB26)</f>
        <v>130000</v>
      </c>
      <c r="AC25" s="60"/>
      <c r="AD25" s="60"/>
      <c r="AE25" s="60"/>
    </row>
    <row r="26" spans="1:31" s="87" customFormat="1" ht="22.5" customHeight="1" x14ac:dyDescent="0.25">
      <c r="A26" s="80"/>
      <c r="B26" s="80"/>
      <c r="C26" s="80"/>
      <c r="D26" s="80"/>
      <c r="E26" s="80" t="s">
        <v>135</v>
      </c>
      <c r="F26" s="81" t="s">
        <v>136</v>
      </c>
      <c r="G26" s="82">
        <v>114038.93</v>
      </c>
      <c r="H26" s="82">
        <v>70000</v>
      </c>
      <c r="I26" s="82">
        <v>44118.95</v>
      </c>
      <c r="J26" s="82">
        <v>60000</v>
      </c>
      <c r="K26" s="82">
        <v>140641.17000000001</v>
      </c>
      <c r="L26" s="82">
        <f>ROUND(K26/J26*100,2)</f>
        <v>234.4</v>
      </c>
      <c r="M26" s="82">
        <f t="shared" si="5"/>
        <v>119219.89000000001</v>
      </c>
      <c r="N26" s="82">
        <v>179219.89</v>
      </c>
      <c r="O26" s="82">
        <v>70000</v>
      </c>
      <c r="P26" s="82">
        <v>22975.200000000001</v>
      </c>
      <c r="Q26" s="386">
        <f t="shared" si="6"/>
        <v>-35000</v>
      </c>
      <c r="R26" s="82">
        <v>70000</v>
      </c>
      <c r="S26" s="82">
        <f>80000</f>
        <v>80000</v>
      </c>
      <c r="T26" s="82">
        <v>85000</v>
      </c>
      <c r="U26" s="357">
        <v>35000</v>
      </c>
      <c r="V26" s="357">
        <v>50000</v>
      </c>
      <c r="W26" s="357">
        <v>50000</v>
      </c>
      <c r="X26" s="357">
        <v>50000</v>
      </c>
      <c r="Y26" s="357">
        <v>92542.83</v>
      </c>
      <c r="Z26" s="614">
        <f t="shared" si="1"/>
        <v>185.09</v>
      </c>
      <c r="AA26" s="614">
        <f t="shared" si="2"/>
        <v>80000</v>
      </c>
      <c r="AB26" s="357">
        <v>130000</v>
      </c>
      <c r="AC26" s="60"/>
      <c r="AD26" s="60"/>
      <c r="AE26" s="60"/>
    </row>
    <row r="27" spans="1:31" s="88" customFormat="1" ht="22.5" customHeight="1" x14ac:dyDescent="0.25">
      <c r="A27" s="79" t="s">
        <v>527</v>
      </c>
      <c r="B27" s="80"/>
      <c r="C27" s="80"/>
      <c r="D27" s="80" t="s">
        <v>137</v>
      </c>
      <c r="E27" s="80"/>
      <c r="F27" s="81" t="s">
        <v>138</v>
      </c>
      <c r="G27" s="82">
        <f>G29+G30</f>
        <v>5143973.38</v>
      </c>
      <c r="H27" s="82">
        <f>H29+H30</f>
        <v>5147540</v>
      </c>
      <c r="I27" s="82">
        <f>I28+I29+I30</f>
        <v>5069442.45</v>
      </c>
      <c r="J27" s="82">
        <f>J29+J30</f>
        <v>5190000</v>
      </c>
      <c r="K27" s="82">
        <f>K29+K30</f>
        <v>4473665.83</v>
      </c>
      <c r="L27" s="82">
        <f>ROUND(K27/J27*100,2)</f>
        <v>86.2</v>
      </c>
      <c r="M27" s="82">
        <f t="shared" si="5"/>
        <v>252253.83000000007</v>
      </c>
      <c r="N27" s="82">
        <f>N29+N30</f>
        <v>5442253.8300000001</v>
      </c>
      <c r="O27" s="82">
        <f>O29+O30</f>
        <v>5124800</v>
      </c>
      <c r="P27" s="82">
        <f>P29+P30</f>
        <v>3935404.38</v>
      </c>
      <c r="Q27" s="386">
        <f t="shared" si="6"/>
        <v>-122800</v>
      </c>
      <c r="R27" s="82">
        <f t="shared" ref="R27:X27" si="8">R29+R30</f>
        <v>5124800</v>
      </c>
      <c r="S27" s="82">
        <f t="shared" si="8"/>
        <v>5034970</v>
      </c>
      <c r="T27" s="82">
        <f t="shared" si="8"/>
        <v>5050000</v>
      </c>
      <c r="U27" s="357">
        <f t="shared" si="8"/>
        <v>5002000</v>
      </c>
      <c r="V27" s="357">
        <f t="shared" si="8"/>
        <v>5043000</v>
      </c>
      <c r="W27" s="357">
        <f t="shared" si="8"/>
        <v>5065000</v>
      </c>
      <c r="X27" s="357">
        <f t="shared" si="8"/>
        <v>5107000</v>
      </c>
      <c r="Y27" s="357">
        <f>SUM(Y29:Y30)</f>
        <v>386394.58</v>
      </c>
      <c r="Z27" s="614">
        <f t="shared" si="1"/>
        <v>7.66</v>
      </c>
      <c r="AA27" s="614">
        <f>AB27-V27</f>
        <v>-440000</v>
      </c>
      <c r="AB27" s="357">
        <f>AB29+AB30</f>
        <v>4603000</v>
      </c>
      <c r="AC27" s="60"/>
      <c r="AD27" s="60"/>
      <c r="AE27" s="60"/>
    </row>
    <row r="28" spans="1:31" s="88" customFormat="1" ht="18" hidden="1" customHeight="1" x14ac:dyDescent="0.25">
      <c r="A28" s="79"/>
      <c r="B28" s="80"/>
      <c r="C28" s="80"/>
      <c r="D28" s="80"/>
      <c r="E28" s="80" t="s">
        <v>139</v>
      </c>
      <c r="F28" s="81" t="s">
        <v>140</v>
      </c>
      <c r="G28" s="82">
        <v>0</v>
      </c>
      <c r="H28" s="82"/>
      <c r="I28" s="82">
        <v>0</v>
      </c>
      <c r="J28" s="82">
        <v>0</v>
      </c>
      <c r="K28" s="82"/>
      <c r="L28" s="82"/>
      <c r="M28" s="82">
        <f t="shared" si="5"/>
        <v>0</v>
      </c>
      <c r="N28" s="82"/>
      <c r="O28" s="82"/>
      <c r="P28" s="82"/>
      <c r="Q28" s="386">
        <f t="shared" si="6"/>
        <v>0</v>
      </c>
      <c r="R28" s="82"/>
      <c r="S28" s="82"/>
      <c r="T28" s="82"/>
      <c r="U28" s="357"/>
      <c r="V28" s="357"/>
      <c r="W28" s="357"/>
      <c r="X28" s="357"/>
      <c r="Y28" s="357"/>
      <c r="Z28" s="614" t="e">
        <f t="shared" si="1"/>
        <v>#DIV/0!</v>
      </c>
      <c r="AA28" s="614">
        <f t="shared" si="2"/>
        <v>0</v>
      </c>
      <c r="AB28" s="357"/>
      <c r="AC28" s="60"/>
      <c r="AD28" s="60"/>
      <c r="AE28" s="60"/>
    </row>
    <row r="29" spans="1:31" s="90" customFormat="1" ht="39.75" customHeight="1" x14ac:dyDescent="0.25">
      <c r="A29" s="80"/>
      <c r="B29" s="80"/>
      <c r="C29" s="80"/>
      <c r="D29" s="80"/>
      <c r="E29" s="80" t="s">
        <v>141</v>
      </c>
      <c r="F29" s="81" t="s">
        <v>345</v>
      </c>
      <c r="G29" s="82">
        <v>4703973.38</v>
      </c>
      <c r="H29" s="82">
        <v>4707540</v>
      </c>
      <c r="I29" s="82">
        <v>4694842.45</v>
      </c>
      <c r="J29" s="82">
        <v>4750000</v>
      </c>
      <c r="K29" s="82">
        <v>4241165.83</v>
      </c>
      <c r="L29" s="82">
        <f>ROUND(K29/J29*100,2)</f>
        <v>89.29</v>
      </c>
      <c r="M29" s="82">
        <f t="shared" si="5"/>
        <v>384753.83000000007</v>
      </c>
      <c r="N29" s="82">
        <v>5134753.83</v>
      </c>
      <c r="O29" s="82">
        <f>4600000+222800</f>
        <v>4822800</v>
      </c>
      <c r="P29" s="82">
        <v>3735804.38</v>
      </c>
      <c r="Q29" s="386">
        <f t="shared" si="6"/>
        <v>-122800</v>
      </c>
      <c r="R29" s="82">
        <f>4600000+222800</f>
        <v>4822800</v>
      </c>
      <c r="S29" s="82">
        <f>4650000+24970</f>
        <v>4674970</v>
      </c>
      <c r="T29" s="82">
        <v>4680000</v>
      </c>
      <c r="U29" s="357">
        <v>4700000</v>
      </c>
      <c r="V29" s="357">
        <v>4740000</v>
      </c>
      <c r="W29" s="357">
        <v>4760000</v>
      </c>
      <c r="X29" s="357">
        <v>4800000</v>
      </c>
      <c r="Y29" s="357">
        <v>283494.58</v>
      </c>
      <c r="Z29" s="614">
        <f t="shared" si="1"/>
        <v>5.98</v>
      </c>
      <c r="AA29" s="614">
        <f t="shared" si="2"/>
        <v>-440000</v>
      </c>
      <c r="AB29" s="357">
        <v>4300000</v>
      </c>
      <c r="AC29" s="60"/>
      <c r="AD29" s="60"/>
      <c r="AE29" s="60"/>
    </row>
    <row r="30" spans="1:31" s="89" customFormat="1" ht="41.25" customHeight="1" x14ac:dyDescent="0.25">
      <c r="A30" s="80"/>
      <c r="B30" s="80"/>
      <c r="C30" s="80"/>
      <c r="D30" s="80"/>
      <c r="E30" s="80" t="s">
        <v>730</v>
      </c>
      <c r="F30" s="81" t="s">
        <v>731</v>
      </c>
      <c r="G30" s="82">
        <v>440000</v>
      </c>
      <c r="H30" s="82">
        <v>440000</v>
      </c>
      <c r="I30" s="82">
        <v>374600</v>
      </c>
      <c r="J30" s="82">
        <v>440000</v>
      </c>
      <c r="K30" s="82">
        <v>232500</v>
      </c>
      <c r="L30" s="82">
        <f>ROUND(K30/J30*100,2)</f>
        <v>52.84</v>
      </c>
      <c r="M30" s="82">
        <f t="shared" si="5"/>
        <v>-132500</v>
      </c>
      <c r="N30" s="82">
        <v>307500</v>
      </c>
      <c r="O30" s="82">
        <v>302000</v>
      </c>
      <c r="P30" s="82">
        <v>199600</v>
      </c>
      <c r="Q30" s="386">
        <f t="shared" si="6"/>
        <v>0</v>
      </c>
      <c r="R30" s="82">
        <v>302000</v>
      </c>
      <c r="S30" s="82">
        <v>360000</v>
      </c>
      <c r="T30" s="82">
        <v>370000</v>
      </c>
      <c r="U30" s="357">
        <v>302000</v>
      </c>
      <c r="V30" s="357">
        <v>303000</v>
      </c>
      <c r="W30" s="357">
        <v>305000</v>
      </c>
      <c r="X30" s="357">
        <v>307000</v>
      </c>
      <c r="Y30" s="357">
        <v>102900</v>
      </c>
      <c r="Z30" s="614">
        <f t="shared" si="1"/>
        <v>33.96</v>
      </c>
      <c r="AA30" s="614">
        <f t="shared" si="2"/>
        <v>0</v>
      </c>
      <c r="AB30" s="357">
        <v>303000</v>
      </c>
      <c r="AC30" s="60"/>
      <c r="AD30" s="60"/>
      <c r="AE30" s="60"/>
    </row>
    <row r="31" spans="1:31" s="89" customFormat="1" x14ac:dyDescent="0.25">
      <c r="A31" s="80"/>
      <c r="B31" s="80"/>
      <c r="C31" s="80"/>
      <c r="D31" s="80"/>
      <c r="E31" s="80"/>
      <c r="F31" s="81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386"/>
      <c r="R31" s="82"/>
      <c r="S31" s="82"/>
      <c r="T31" s="82"/>
      <c r="U31" s="357"/>
      <c r="V31" s="357"/>
      <c r="W31" s="357"/>
      <c r="X31" s="357"/>
      <c r="Y31" s="357"/>
      <c r="Z31" s="614"/>
      <c r="AA31" s="614"/>
      <c r="AB31" s="357"/>
      <c r="AC31" s="60"/>
      <c r="AD31" s="60"/>
      <c r="AE31" s="60"/>
    </row>
    <row r="32" spans="1:31" s="571" customFormat="1" ht="41.25" customHeight="1" x14ac:dyDescent="0.25">
      <c r="A32" s="125"/>
      <c r="B32" s="125"/>
      <c r="C32" s="125"/>
      <c r="D32" s="125"/>
      <c r="E32" s="125"/>
      <c r="F32" s="126" t="s">
        <v>790</v>
      </c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393"/>
      <c r="R32" s="135"/>
      <c r="S32" s="135"/>
      <c r="T32" s="135"/>
      <c r="U32" s="393"/>
      <c r="V32" s="393">
        <f t="shared" ref="V32:X35" si="9">V33</f>
        <v>16227000</v>
      </c>
      <c r="W32" s="393">
        <f t="shared" si="9"/>
        <v>16711000</v>
      </c>
      <c r="X32" s="393">
        <f t="shared" si="9"/>
        <v>17469000</v>
      </c>
      <c r="Y32" s="393">
        <f>Y33</f>
        <v>6738466.29</v>
      </c>
      <c r="Z32" s="590">
        <f t="shared" si="1"/>
        <v>41.53</v>
      </c>
      <c r="AA32" s="590">
        <f t="shared" si="2"/>
        <v>0</v>
      </c>
      <c r="AB32" s="393">
        <f>AB33</f>
        <v>16227000</v>
      </c>
      <c r="AC32" s="533"/>
      <c r="AD32" s="533"/>
      <c r="AE32" s="533"/>
    </row>
    <row r="33" spans="1:84" s="622" customFormat="1" ht="23.25" customHeight="1" x14ac:dyDescent="0.25">
      <c r="A33" s="620"/>
      <c r="B33" s="620" t="s">
        <v>665</v>
      </c>
      <c r="C33" s="620"/>
      <c r="D33" s="620"/>
      <c r="E33" s="620"/>
      <c r="F33" s="621" t="s">
        <v>666</v>
      </c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84"/>
      <c r="R33" s="384"/>
      <c r="S33" s="384"/>
      <c r="T33" s="384"/>
      <c r="U33" s="384"/>
      <c r="V33" s="384">
        <f t="shared" si="9"/>
        <v>16227000</v>
      </c>
      <c r="W33" s="384">
        <f t="shared" si="9"/>
        <v>16711000</v>
      </c>
      <c r="X33" s="384">
        <f t="shared" si="9"/>
        <v>17469000</v>
      </c>
      <c r="Y33" s="384">
        <f>Y34</f>
        <v>6738466.29</v>
      </c>
      <c r="Z33" s="611">
        <f t="shared" si="1"/>
        <v>41.53</v>
      </c>
      <c r="AA33" s="611">
        <f t="shared" si="2"/>
        <v>0</v>
      </c>
      <c r="AB33" s="384">
        <f>AB34</f>
        <v>16227000</v>
      </c>
    </row>
    <row r="34" spans="1:84" s="573" customFormat="1" ht="29.25" customHeight="1" x14ac:dyDescent="0.25">
      <c r="A34" s="74"/>
      <c r="B34" s="74"/>
      <c r="C34" s="74" t="s">
        <v>667</v>
      </c>
      <c r="D34" s="74"/>
      <c r="E34" s="74"/>
      <c r="F34" s="75" t="s">
        <v>668</v>
      </c>
      <c r="G34" s="76"/>
      <c r="H34" s="76"/>
      <c r="I34" s="76"/>
      <c r="J34" s="76"/>
      <c r="K34" s="76"/>
      <c r="L34" s="76"/>
      <c r="M34" s="76"/>
      <c r="N34" s="76"/>
      <c r="O34" s="76"/>
      <c r="P34" s="76"/>
      <c r="Q34" s="385"/>
      <c r="R34" s="76"/>
      <c r="S34" s="76"/>
      <c r="T34" s="76"/>
      <c r="U34" s="385"/>
      <c r="V34" s="385">
        <f t="shared" si="9"/>
        <v>16227000</v>
      </c>
      <c r="W34" s="385">
        <f t="shared" si="9"/>
        <v>16711000</v>
      </c>
      <c r="X34" s="385">
        <f t="shared" si="9"/>
        <v>17469000</v>
      </c>
      <c r="Y34" s="385">
        <f>Y35</f>
        <v>6738466.29</v>
      </c>
      <c r="Z34" s="610">
        <f t="shared" si="1"/>
        <v>41.53</v>
      </c>
      <c r="AA34" s="610">
        <f t="shared" si="2"/>
        <v>0</v>
      </c>
      <c r="AB34" s="385">
        <f>AB35</f>
        <v>16227000</v>
      </c>
      <c r="AC34" s="95"/>
      <c r="AD34" s="95"/>
      <c r="AE34" s="95"/>
    </row>
    <row r="35" spans="1:84" s="89" customFormat="1" ht="24" customHeight="1" x14ac:dyDescent="0.25">
      <c r="A35" s="80"/>
      <c r="B35" s="80"/>
      <c r="C35" s="80"/>
      <c r="D35" s="80" t="s">
        <v>669</v>
      </c>
      <c r="E35" s="80"/>
      <c r="F35" s="81" t="s">
        <v>787</v>
      </c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386"/>
      <c r="R35" s="82"/>
      <c r="S35" s="82"/>
      <c r="T35" s="82"/>
      <c r="U35" s="357"/>
      <c r="V35" s="357">
        <f t="shared" si="9"/>
        <v>16227000</v>
      </c>
      <c r="W35" s="357">
        <f t="shared" si="9"/>
        <v>16711000</v>
      </c>
      <c r="X35" s="357">
        <f t="shared" si="9"/>
        <v>17469000</v>
      </c>
      <c r="Y35" s="357">
        <f>Y36</f>
        <v>6738466.29</v>
      </c>
      <c r="Z35" s="614">
        <f t="shared" si="1"/>
        <v>41.53</v>
      </c>
      <c r="AA35" s="614">
        <f t="shared" si="2"/>
        <v>0</v>
      </c>
      <c r="AB35" s="357">
        <f>AB36</f>
        <v>16227000</v>
      </c>
      <c r="AC35" s="60"/>
      <c r="AD35" s="60"/>
      <c r="AE35" s="60"/>
    </row>
    <row r="36" spans="1:84" s="87" customFormat="1" ht="36" x14ac:dyDescent="0.25">
      <c r="A36" s="80"/>
      <c r="B36" s="80"/>
      <c r="C36" s="80"/>
      <c r="D36" s="80"/>
      <c r="E36" s="80" t="s">
        <v>673</v>
      </c>
      <c r="F36" s="81" t="s">
        <v>677</v>
      </c>
      <c r="G36" s="82">
        <v>17481843.029999997</v>
      </c>
      <c r="H36" s="82">
        <v>15135000</v>
      </c>
      <c r="I36" s="82">
        <f>1711256.64+3991904.06+907254.17+3084664.29+5806426.99</f>
        <v>15501506.15</v>
      </c>
      <c r="J36" s="82">
        <v>14863000</v>
      </c>
      <c r="K36" s="82">
        <v>11215191.699999999</v>
      </c>
      <c r="L36" s="82">
        <f>ROUND(K36/J36*100,2)</f>
        <v>75.459999999999994</v>
      </c>
      <c r="M36" s="82">
        <f>N36-J36</f>
        <v>474191.83999999985</v>
      </c>
      <c r="N36" s="82">
        <f>1651304.53+3961694.09+900388+3061319.96+5762485.26</f>
        <v>15337191.84</v>
      </c>
      <c r="O36" s="82">
        <v>15487000</v>
      </c>
      <c r="P36" s="82">
        <v>10651759.82</v>
      </c>
      <c r="Q36" s="386">
        <f>U36-O36</f>
        <v>398000</v>
      </c>
      <c r="R36" s="82">
        <v>15487000</v>
      </c>
      <c r="S36" s="82">
        <v>16338000</v>
      </c>
      <c r="T36" s="82">
        <v>17318000</v>
      </c>
      <c r="U36" s="357">
        <v>15885000</v>
      </c>
      <c r="V36" s="357">
        <v>16227000</v>
      </c>
      <c r="W36" s="357">
        <v>16711000</v>
      </c>
      <c r="X36" s="357">
        <v>17469000</v>
      </c>
      <c r="Y36" s="357">
        <v>6738466.29</v>
      </c>
      <c r="Z36" s="614">
        <f t="shared" si="1"/>
        <v>41.53</v>
      </c>
      <c r="AA36" s="614">
        <f t="shared" si="2"/>
        <v>0</v>
      </c>
      <c r="AB36" s="357">
        <v>16227000</v>
      </c>
      <c r="AC36" s="60"/>
      <c r="AD36" s="60"/>
      <c r="AE36" s="60"/>
    </row>
    <row r="37" spans="1:84" s="87" customFormat="1" x14ac:dyDescent="0.25">
      <c r="A37" s="80"/>
      <c r="B37" s="80"/>
      <c r="C37" s="80"/>
      <c r="D37" s="80"/>
      <c r="E37" s="80"/>
      <c r="F37" s="81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386"/>
      <c r="R37" s="82"/>
      <c r="S37" s="82"/>
      <c r="T37" s="82"/>
      <c r="U37" s="357"/>
      <c r="V37" s="357"/>
      <c r="W37" s="357"/>
      <c r="X37" s="357"/>
      <c r="Y37" s="357"/>
      <c r="Z37" s="614"/>
      <c r="AA37" s="614"/>
      <c r="AB37" s="357"/>
      <c r="AC37" s="60"/>
      <c r="AD37" s="60"/>
      <c r="AE37" s="60"/>
    </row>
    <row r="38" spans="1:84" s="572" customFormat="1" x14ac:dyDescent="0.25">
      <c r="A38" s="125"/>
      <c r="B38" s="125"/>
      <c r="C38" s="125"/>
      <c r="D38" s="125"/>
      <c r="E38" s="125"/>
      <c r="F38" s="126" t="s">
        <v>825</v>
      </c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393"/>
      <c r="R38" s="135"/>
      <c r="S38" s="135"/>
      <c r="T38" s="135"/>
      <c r="U38" s="393"/>
      <c r="V38" s="393">
        <f t="shared" ref="V38:X39" si="10">V39</f>
        <v>25061443</v>
      </c>
      <c r="W38" s="393">
        <f t="shared" si="10"/>
        <v>23947921</v>
      </c>
      <c r="X38" s="393">
        <f t="shared" si="10"/>
        <v>23058306</v>
      </c>
      <c r="Y38" s="393">
        <f>Y39+Y86</f>
        <v>18137056.370000001</v>
      </c>
      <c r="Z38" s="590">
        <f t="shared" si="1"/>
        <v>72.37</v>
      </c>
      <c r="AA38" s="590">
        <f t="shared" si="2"/>
        <v>-143414</v>
      </c>
      <c r="AB38" s="393">
        <f>AB39</f>
        <v>24918029</v>
      </c>
      <c r="AC38" s="533"/>
      <c r="AD38" s="533"/>
      <c r="AE38" s="533"/>
    </row>
    <row r="39" spans="1:84" s="623" customFormat="1" x14ac:dyDescent="0.25">
      <c r="A39" s="105"/>
      <c r="B39" s="105" t="s">
        <v>665</v>
      </c>
      <c r="C39" s="105"/>
      <c r="D39" s="105"/>
      <c r="E39" s="105"/>
      <c r="F39" s="72" t="s">
        <v>666</v>
      </c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384"/>
      <c r="R39" s="73"/>
      <c r="S39" s="73"/>
      <c r="T39" s="73"/>
      <c r="U39" s="384"/>
      <c r="V39" s="384">
        <f t="shared" si="10"/>
        <v>25061443</v>
      </c>
      <c r="W39" s="384">
        <f t="shared" si="10"/>
        <v>23947921</v>
      </c>
      <c r="X39" s="384">
        <f t="shared" si="10"/>
        <v>23058306</v>
      </c>
      <c r="Y39" s="384">
        <f>Y40</f>
        <v>9568667.5600000005</v>
      </c>
      <c r="Z39" s="611">
        <f t="shared" si="1"/>
        <v>38.18</v>
      </c>
      <c r="AA39" s="611">
        <f t="shared" si="2"/>
        <v>-143414</v>
      </c>
      <c r="AB39" s="384">
        <f>AB40</f>
        <v>24918029</v>
      </c>
      <c r="AC39" s="622"/>
      <c r="AD39" s="622"/>
      <c r="AE39" s="622"/>
    </row>
    <row r="40" spans="1:84" s="91" customFormat="1" ht="39" customHeight="1" x14ac:dyDescent="0.25">
      <c r="A40" s="74"/>
      <c r="B40" s="74"/>
      <c r="C40" s="74" t="s">
        <v>143</v>
      </c>
      <c r="D40" s="74"/>
      <c r="E40" s="74"/>
      <c r="F40" s="75" t="s">
        <v>288</v>
      </c>
      <c r="G40" s="76">
        <f>G46+G71+G88</f>
        <v>17244241.300000001</v>
      </c>
      <c r="H40" s="76">
        <f>H46+H71+H88</f>
        <v>59503061</v>
      </c>
      <c r="I40" s="76">
        <f>I46+I71+I88</f>
        <v>12992786.34</v>
      </c>
      <c r="J40" s="76">
        <f>J46+J71+J88</f>
        <v>60666107</v>
      </c>
      <c r="K40" s="76">
        <f>K46+K71+K88</f>
        <v>29109481.379999999</v>
      </c>
      <c r="L40" s="76">
        <f>ROUND(K40/J40*100,2)</f>
        <v>47.98</v>
      </c>
      <c r="M40" s="76">
        <f t="shared" si="5"/>
        <v>-10781943.019999996</v>
      </c>
      <c r="N40" s="76">
        <f>N46+N71+N88</f>
        <v>49884163.980000004</v>
      </c>
      <c r="O40" s="76">
        <f>O46+O71+O88</f>
        <v>45868625</v>
      </c>
      <c r="P40" s="76">
        <f>P46+P71+P88</f>
        <v>23453803.16</v>
      </c>
      <c r="Q40" s="385">
        <f t="shared" si="6"/>
        <v>5701782</v>
      </c>
      <c r="R40" s="76">
        <f>R46+R71+R88</f>
        <v>46291658</v>
      </c>
      <c r="S40" s="76">
        <f>S46+S71+S88</f>
        <v>49135700</v>
      </c>
      <c r="T40" s="76">
        <f>T46+T71+T88</f>
        <v>49159800</v>
      </c>
      <c r="U40" s="356">
        <f>U46+U71+U88</f>
        <v>51570407</v>
      </c>
      <c r="V40" s="356">
        <f>V46+V71+V41</f>
        <v>25061443</v>
      </c>
      <c r="W40" s="356">
        <f>W46+W71+W41</f>
        <v>23947921</v>
      </c>
      <c r="X40" s="356">
        <f>X46+X71+X41</f>
        <v>23058306</v>
      </c>
      <c r="Y40" s="356">
        <f>Y41+Y46+Y71</f>
        <v>9568667.5600000005</v>
      </c>
      <c r="Z40" s="610">
        <f t="shared" si="1"/>
        <v>38.18</v>
      </c>
      <c r="AA40" s="610">
        <f t="shared" si="2"/>
        <v>-143414</v>
      </c>
      <c r="AB40" s="356">
        <f>AB46+AB71+AB41</f>
        <v>24918029</v>
      </c>
      <c r="AC40" s="60"/>
      <c r="AD40" s="60"/>
      <c r="AE40" s="60"/>
      <c r="AF40" s="296"/>
      <c r="AG40" s="296"/>
      <c r="AH40" s="296"/>
      <c r="AI40" s="296"/>
      <c r="AJ40" s="29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296"/>
      <c r="CE40" s="296"/>
      <c r="CF40" s="296"/>
    </row>
    <row r="41" spans="1:84" s="512" customFormat="1" ht="39" customHeight="1" x14ac:dyDescent="0.25">
      <c r="A41" s="510"/>
      <c r="B41" s="510"/>
      <c r="C41" s="510"/>
      <c r="D41" s="510" t="s">
        <v>693</v>
      </c>
      <c r="E41" s="510"/>
      <c r="F41" s="511" t="s">
        <v>694</v>
      </c>
      <c r="G41" s="370"/>
      <c r="H41" s="370"/>
      <c r="I41" s="370"/>
      <c r="J41" s="370"/>
      <c r="K41" s="370"/>
      <c r="L41" s="370"/>
      <c r="M41" s="370"/>
      <c r="N41" s="370"/>
      <c r="O41" s="370"/>
      <c r="P41" s="370"/>
      <c r="Q41" s="435"/>
      <c r="R41" s="370"/>
      <c r="S41" s="370"/>
      <c r="T41" s="370"/>
      <c r="U41" s="435"/>
      <c r="V41" s="435">
        <f>V42+V44</f>
        <v>148667</v>
      </c>
      <c r="W41" s="435">
        <f>W42+W44</f>
        <v>172403</v>
      </c>
      <c r="X41" s="435">
        <f>X42+X44</f>
        <v>0</v>
      </c>
      <c r="Y41" s="435">
        <f>Y42+Y44</f>
        <v>0</v>
      </c>
      <c r="Z41" s="590">
        <f t="shared" si="1"/>
        <v>0</v>
      </c>
      <c r="AA41" s="590">
        <f t="shared" si="2"/>
        <v>9250</v>
      </c>
      <c r="AB41" s="435">
        <f>AB42+AB44</f>
        <v>157917</v>
      </c>
      <c r="AC41" s="372"/>
      <c r="AD41" s="372"/>
      <c r="AE41" s="372"/>
    </row>
    <row r="42" spans="1:84" s="436" customFormat="1" ht="28.5" customHeight="1" x14ac:dyDescent="0.25">
      <c r="A42" s="100"/>
      <c r="B42" s="100"/>
      <c r="C42" s="100"/>
      <c r="D42" s="100"/>
      <c r="E42" s="100" t="s">
        <v>695</v>
      </c>
      <c r="F42" s="101" t="s">
        <v>696</v>
      </c>
      <c r="G42" s="102"/>
      <c r="H42" s="102"/>
      <c r="I42" s="102"/>
      <c r="J42" s="102"/>
      <c r="K42" s="102"/>
      <c r="L42" s="102"/>
      <c r="M42" s="102"/>
      <c r="N42" s="102"/>
      <c r="O42" s="102"/>
      <c r="P42" s="102"/>
      <c r="Q42" s="437"/>
      <c r="R42" s="102"/>
      <c r="S42" s="102"/>
      <c r="T42" s="102"/>
      <c r="U42" s="437"/>
      <c r="V42" s="437">
        <f>V43</f>
        <v>69958</v>
      </c>
      <c r="W42" s="437">
        <f>W43</f>
        <v>48794</v>
      </c>
      <c r="X42" s="437">
        <f>X43</f>
        <v>0</v>
      </c>
      <c r="Y42" s="437">
        <f>Y43</f>
        <v>0</v>
      </c>
      <c r="Z42" s="614">
        <f t="shared" si="1"/>
        <v>0</v>
      </c>
      <c r="AA42" s="614">
        <f>AB42-V42</f>
        <v>-17341</v>
      </c>
      <c r="AB42" s="437">
        <f>AB43</f>
        <v>52617</v>
      </c>
      <c r="AC42" s="138"/>
      <c r="AD42" s="138"/>
      <c r="AE42" s="138"/>
    </row>
    <row r="43" spans="1:84" s="436" customFormat="1" ht="27" customHeight="1" x14ac:dyDescent="0.25">
      <c r="A43" s="100"/>
      <c r="B43" s="100"/>
      <c r="C43" s="100"/>
      <c r="D43" s="100"/>
      <c r="E43" s="100" t="s">
        <v>697</v>
      </c>
      <c r="F43" s="101" t="s">
        <v>696</v>
      </c>
      <c r="G43" s="102"/>
      <c r="H43" s="102"/>
      <c r="I43" s="102"/>
      <c r="J43" s="102"/>
      <c r="K43" s="102"/>
      <c r="L43" s="102"/>
      <c r="M43" s="102"/>
      <c r="N43" s="102"/>
      <c r="O43" s="102"/>
      <c r="P43" s="102"/>
      <c r="Q43" s="437"/>
      <c r="R43" s="102"/>
      <c r="S43" s="102"/>
      <c r="T43" s="102"/>
      <c r="U43" s="437"/>
      <c r="V43" s="437">
        <v>69958</v>
      </c>
      <c r="W43" s="437">
        <v>48794</v>
      </c>
      <c r="X43" s="437">
        <v>0</v>
      </c>
      <c r="Y43" s="437">
        <v>0</v>
      </c>
      <c r="Z43" s="614">
        <f t="shared" si="1"/>
        <v>0</v>
      </c>
      <c r="AA43" s="614">
        <f t="shared" si="2"/>
        <v>-17341</v>
      </c>
      <c r="AB43" s="437">
        <v>52617</v>
      </c>
      <c r="AC43" s="138"/>
      <c r="AD43" s="138"/>
      <c r="AE43" s="138"/>
    </row>
    <row r="44" spans="1:84" s="436" customFormat="1" ht="24" customHeight="1" x14ac:dyDescent="0.25">
      <c r="A44" s="100"/>
      <c r="B44" s="100"/>
      <c r="C44" s="100"/>
      <c r="D44" s="100"/>
      <c r="E44" s="100" t="s">
        <v>698</v>
      </c>
      <c r="F44" s="101" t="s">
        <v>699</v>
      </c>
      <c r="G44" s="102"/>
      <c r="H44" s="102"/>
      <c r="I44" s="102"/>
      <c r="J44" s="102"/>
      <c r="K44" s="102"/>
      <c r="L44" s="102"/>
      <c r="M44" s="102"/>
      <c r="N44" s="102"/>
      <c r="O44" s="102"/>
      <c r="P44" s="102"/>
      <c r="Q44" s="437"/>
      <c r="R44" s="102"/>
      <c r="S44" s="102"/>
      <c r="T44" s="102"/>
      <c r="U44" s="437"/>
      <c r="V44" s="437">
        <f>V45</f>
        <v>78709</v>
      </c>
      <c r="W44" s="437">
        <f>W45</f>
        <v>123609</v>
      </c>
      <c r="X44" s="437">
        <f>X45</f>
        <v>0</v>
      </c>
      <c r="Y44" s="437">
        <f>Y45</f>
        <v>0</v>
      </c>
      <c r="Z44" s="614">
        <f t="shared" si="1"/>
        <v>0</v>
      </c>
      <c r="AA44" s="614">
        <f t="shared" si="2"/>
        <v>26591</v>
      </c>
      <c r="AB44" s="437">
        <f>AB45</f>
        <v>105300</v>
      </c>
      <c r="AC44" s="138"/>
      <c r="AD44" s="138"/>
      <c r="AE44" s="138"/>
    </row>
    <row r="45" spans="1:84" s="436" customFormat="1" ht="24" customHeight="1" x14ac:dyDescent="0.25">
      <c r="A45" s="100"/>
      <c r="B45" s="100"/>
      <c r="C45" s="100"/>
      <c r="D45" s="100"/>
      <c r="E45" s="100" t="s">
        <v>700</v>
      </c>
      <c r="F45" s="101" t="s">
        <v>701</v>
      </c>
      <c r="G45" s="102"/>
      <c r="H45" s="102"/>
      <c r="I45" s="102"/>
      <c r="J45" s="102"/>
      <c r="K45" s="102"/>
      <c r="L45" s="102"/>
      <c r="M45" s="102"/>
      <c r="N45" s="102"/>
      <c r="O45" s="102"/>
      <c r="P45" s="102"/>
      <c r="Q45" s="437"/>
      <c r="R45" s="102"/>
      <c r="S45" s="102"/>
      <c r="T45" s="102"/>
      <c r="U45" s="437"/>
      <c r="V45" s="437">
        <v>78709</v>
      </c>
      <c r="W45" s="437">
        <v>123609</v>
      </c>
      <c r="X45" s="437">
        <v>0</v>
      </c>
      <c r="Y45" s="437">
        <v>0</v>
      </c>
      <c r="Z45" s="614">
        <f t="shared" si="1"/>
        <v>0</v>
      </c>
      <c r="AA45" s="614">
        <f t="shared" si="2"/>
        <v>26591</v>
      </c>
      <c r="AB45" s="437">
        <v>105300</v>
      </c>
      <c r="AC45" s="138"/>
      <c r="AD45" s="138"/>
      <c r="AE45" s="138"/>
    </row>
    <row r="46" spans="1:84" s="514" customFormat="1" ht="28.5" customHeight="1" x14ac:dyDescent="0.25">
      <c r="A46" s="513" t="s">
        <v>424</v>
      </c>
      <c r="B46" s="119"/>
      <c r="C46" s="119"/>
      <c r="D46" s="119" t="s">
        <v>289</v>
      </c>
      <c r="E46" s="119"/>
      <c r="F46" s="368" t="s">
        <v>290</v>
      </c>
      <c r="G46" s="137">
        <f>G47+G65</f>
        <v>16282386.68</v>
      </c>
      <c r="H46" s="137">
        <f>H47+H65</f>
        <v>10269844</v>
      </c>
      <c r="I46" s="137">
        <f t="shared" ref="I46:P46" si="11">I47+I65+I69+I70</f>
        <v>9707813.0500000007</v>
      </c>
      <c r="J46" s="137">
        <f t="shared" si="11"/>
        <v>11845757</v>
      </c>
      <c r="K46" s="137">
        <f t="shared" si="11"/>
        <v>7591121.4099999992</v>
      </c>
      <c r="L46" s="137" t="e">
        <f t="shared" si="11"/>
        <v>#DIV/0!</v>
      </c>
      <c r="M46" s="137">
        <f t="shared" si="11"/>
        <v>-1176346.78</v>
      </c>
      <c r="N46" s="137">
        <f t="shared" si="11"/>
        <v>10669410.220000001</v>
      </c>
      <c r="O46" s="137">
        <f t="shared" si="11"/>
        <v>9197919</v>
      </c>
      <c r="P46" s="137">
        <f t="shared" si="11"/>
        <v>4686711.0500000007</v>
      </c>
      <c r="Q46" s="371">
        <f t="shared" ref="Q46:Q52" si="12">U46-O46</f>
        <v>6081782</v>
      </c>
      <c r="R46" s="137">
        <f t="shared" ref="R46:X46" si="13">R47+R65+R69+R70</f>
        <v>9297919</v>
      </c>
      <c r="S46" s="137">
        <f t="shared" si="13"/>
        <v>8845300</v>
      </c>
      <c r="T46" s="137">
        <f t="shared" si="13"/>
        <v>8622000</v>
      </c>
      <c r="U46" s="371">
        <f t="shared" si="13"/>
        <v>15279701</v>
      </c>
      <c r="V46" s="371">
        <f t="shared" si="13"/>
        <v>24787776</v>
      </c>
      <c r="W46" s="371">
        <f t="shared" si="13"/>
        <v>23775518</v>
      </c>
      <c r="X46" s="371">
        <f t="shared" si="13"/>
        <v>23058306</v>
      </c>
      <c r="Y46" s="371">
        <f>Y47+Y65+Y69+Y70</f>
        <v>9493667.5600000005</v>
      </c>
      <c r="Z46" s="590">
        <f t="shared" si="1"/>
        <v>38.299999999999997</v>
      </c>
      <c r="AA46" s="590">
        <f t="shared" si="2"/>
        <v>-1356164</v>
      </c>
      <c r="AB46" s="371">
        <f>AB47+AB65+AB69+AB70</f>
        <v>23431612</v>
      </c>
      <c r="AC46" s="372"/>
      <c r="AD46" s="372"/>
      <c r="AE46" s="372"/>
    </row>
    <row r="47" spans="1:84" s="89" customFormat="1" x14ac:dyDescent="0.25">
      <c r="A47" s="80"/>
      <c r="B47" s="80"/>
      <c r="C47" s="80"/>
      <c r="D47" s="80"/>
      <c r="E47" s="80" t="s">
        <v>299</v>
      </c>
      <c r="F47" s="81" t="s">
        <v>300</v>
      </c>
      <c r="G47" s="82">
        <f t="shared" ref="G47:O47" si="14">SUM(G48:G64)</f>
        <v>14834866.060000001</v>
      </c>
      <c r="H47" s="82">
        <f t="shared" si="14"/>
        <v>9113736</v>
      </c>
      <c r="I47" s="82">
        <f t="shared" si="14"/>
        <v>8704872.7400000002</v>
      </c>
      <c r="J47" s="82">
        <f t="shared" si="14"/>
        <v>8827737</v>
      </c>
      <c r="K47" s="82">
        <f t="shared" si="14"/>
        <v>7080931.419999999</v>
      </c>
      <c r="L47" s="82" t="e">
        <f t="shared" si="14"/>
        <v>#DIV/0!</v>
      </c>
      <c r="M47" s="82">
        <f t="shared" si="14"/>
        <v>1221542.44</v>
      </c>
      <c r="N47" s="82">
        <f t="shared" si="14"/>
        <v>10049279.439999999</v>
      </c>
      <c r="O47" s="82">
        <f t="shared" si="14"/>
        <v>8061319</v>
      </c>
      <c r="P47" s="82">
        <f>P48+P54+P55+P56+P57+P58+P59+P61+P63+P64</f>
        <v>4584010.9000000004</v>
      </c>
      <c r="Q47" s="386">
        <f t="shared" si="12"/>
        <v>5784907</v>
      </c>
      <c r="R47" s="82">
        <f t="shared" ref="R47:X47" si="15">SUM(R48:R64)</f>
        <v>8161319</v>
      </c>
      <c r="S47" s="82">
        <f t="shared" si="15"/>
        <v>8178300</v>
      </c>
      <c r="T47" s="82">
        <f t="shared" si="15"/>
        <v>7976000</v>
      </c>
      <c r="U47" s="357">
        <f t="shared" si="15"/>
        <v>13846226</v>
      </c>
      <c r="V47" s="357">
        <f t="shared" si="15"/>
        <v>22430300</v>
      </c>
      <c r="W47" s="357">
        <f t="shared" si="15"/>
        <v>22706100</v>
      </c>
      <c r="X47" s="357">
        <f t="shared" si="15"/>
        <v>22427800</v>
      </c>
      <c r="Y47" s="357">
        <f>SUM(Y48:Y64)</f>
        <v>9092597.7100000009</v>
      </c>
      <c r="Z47" s="614">
        <f t="shared" si="1"/>
        <v>40.54</v>
      </c>
      <c r="AA47" s="614">
        <f t="shared" si="2"/>
        <v>-928664</v>
      </c>
      <c r="AB47" s="357">
        <f>SUM(AB48:AB64)</f>
        <v>21501636</v>
      </c>
      <c r="AC47" s="60"/>
      <c r="AD47" s="60"/>
      <c r="AE47" s="60"/>
    </row>
    <row r="48" spans="1:84" s="88" customFormat="1" ht="25.5" customHeight="1" x14ac:dyDescent="0.25">
      <c r="A48" s="80"/>
      <c r="B48" s="80"/>
      <c r="C48" s="80"/>
      <c r="D48" s="80"/>
      <c r="E48" s="80" t="s">
        <v>301</v>
      </c>
      <c r="F48" s="81" t="s">
        <v>302</v>
      </c>
      <c r="G48" s="86">
        <v>3060078</v>
      </c>
      <c r="H48" s="86">
        <v>2976000</v>
      </c>
      <c r="I48" s="86">
        <v>2976462</v>
      </c>
      <c r="J48" s="86">
        <v>2553937</v>
      </c>
      <c r="K48" s="92">
        <v>1276968.48</v>
      </c>
      <c r="L48" s="92">
        <f>ROUND(K48/J48*100,2)</f>
        <v>50</v>
      </c>
      <c r="M48" s="92">
        <f>N48-J48</f>
        <v>0</v>
      </c>
      <c r="N48" s="92">
        <v>2553937</v>
      </c>
      <c r="O48" s="92">
        <v>2480320</v>
      </c>
      <c r="P48" s="92">
        <v>1860240</v>
      </c>
      <c r="Q48" s="386">
        <f t="shared" si="12"/>
        <v>0</v>
      </c>
      <c r="R48" s="92">
        <v>2480320</v>
      </c>
      <c r="S48" s="92">
        <v>2500000</v>
      </c>
      <c r="T48" s="92">
        <v>2400000</v>
      </c>
      <c r="U48" s="359">
        <v>2480320</v>
      </c>
      <c r="V48" s="359">
        <v>0</v>
      </c>
      <c r="W48" s="359">
        <v>0</v>
      </c>
      <c r="X48" s="359">
        <v>0</v>
      </c>
      <c r="Y48" s="359">
        <v>0</v>
      </c>
      <c r="Z48" s="614" t="e">
        <f t="shared" si="1"/>
        <v>#DIV/0!</v>
      </c>
      <c r="AA48" s="614">
        <f t="shared" si="2"/>
        <v>0</v>
      </c>
      <c r="AB48" s="359">
        <v>0</v>
      </c>
      <c r="AC48" s="60"/>
      <c r="AD48" s="60"/>
      <c r="AE48" s="60"/>
    </row>
    <row r="49" spans="1:31" s="88" customFormat="1" ht="36" hidden="1" x14ac:dyDescent="0.25">
      <c r="A49" s="80"/>
      <c r="B49" s="80"/>
      <c r="C49" s="80"/>
      <c r="D49" s="80"/>
      <c r="E49" s="80" t="s">
        <v>301</v>
      </c>
      <c r="F49" s="81" t="s">
        <v>303</v>
      </c>
      <c r="G49" s="86">
        <v>5432640.3099999996</v>
      </c>
      <c r="H49" s="86">
        <v>0</v>
      </c>
      <c r="I49" s="86"/>
      <c r="J49" s="86">
        <v>0</v>
      </c>
      <c r="K49" s="92">
        <v>0</v>
      </c>
      <c r="L49" s="86" t="e">
        <f>ROUND(K49/J49*100,2)</f>
        <v>#DIV/0!</v>
      </c>
      <c r="M49" s="86">
        <f>N49-J49</f>
        <v>0</v>
      </c>
      <c r="N49" s="92"/>
      <c r="O49" s="86"/>
      <c r="P49" s="86"/>
      <c r="Q49" s="386">
        <f t="shared" si="12"/>
        <v>0</v>
      </c>
      <c r="R49" s="86"/>
      <c r="S49" s="86"/>
      <c r="T49" s="86"/>
      <c r="U49" s="358"/>
      <c r="V49" s="358"/>
      <c r="W49" s="358"/>
      <c r="X49" s="358"/>
      <c r="Y49" s="358"/>
      <c r="Z49" s="614" t="e">
        <f t="shared" si="1"/>
        <v>#DIV/0!</v>
      </c>
      <c r="AA49" s="614">
        <f t="shared" si="2"/>
        <v>0</v>
      </c>
      <c r="AB49" s="358"/>
      <c r="AC49" s="60"/>
      <c r="AD49" s="60"/>
      <c r="AE49" s="60"/>
    </row>
    <row r="50" spans="1:31" s="88" customFormat="1" hidden="1" x14ac:dyDescent="0.25">
      <c r="A50" s="80"/>
      <c r="B50" s="80"/>
      <c r="C50" s="80"/>
      <c r="D50" s="80"/>
      <c r="E50" s="80" t="s">
        <v>301</v>
      </c>
      <c r="F50" s="81" t="s">
        <v>50</v>
      </c>
      <c r="G50" s="86"/>
      <c r="H50" s="86"/>
      <c r="I50" s="86"/>
      <c r="J50" s="86"/>
      <c r="K50" s="92"/>
      <c r="L50" s="86" t="e">
        <f>ROUND(K50/J50*100,2)</f>
        <v>#DIV/0!</v>
      </c>
      <c r="M50" s="86">
        <f>N50-J50</f>
        <v>0</v>
      </c>
      <c r="N50" s="92"/>
      <c r="O50" s="86"/>
      <c r="P50" s="86"/>
      <c r="Q50" s="386">
        <f t="shared" si="12"/>
        <v>0</v>
      </c>
      <c r="R50" s="86"/>
      <c r="S50" s="86"/>
      <c r="T50" s="86"/>
      <c r="U50" s="358"/>
      <c r="V50" s="358"/>
      <c r="W50" s="358"/>
      <c r="X50" s="358"/>
      <c r="Y50" s="358"/>
      <c r="Z50" s="614" t="e">
        <f t="shared" si="1"/>
        <v>#DIV/0!</v>
      </c>
      <c r="AA50" s="614">
        <f t="shared" si="2"/>
        <v>0</v>
      </c>
      <c r="AB50" s="358"/>
      <c r="AC50" s="60"/>
      <c r="AD50" s="60"/>
      <c r="AE50" s="60"/>
    </row>
    <row r="51" spans="1:31" s="88" customFormat="1" ht="36" hidden="1" x14ac:dyDescent="0.25">
      <c r="A51" s="80"/>
      <c r="B51" s="80"/>
      <c r="C51" s="80"/>
      <c r="D51" s="80"/>
      <c r="E51" s="80" t="s">
        <v>301</v>
      </c>
      <c r="F51" s="81" t="s">
        <v>51</v>
      </c>
      <c r="G51" s="86"/>
      <c r="H51" s="86"/>
      <c r="I51" s="86"/>
      <c r="J51" s="86"/>
      <c r="K51" s="92"/>
      <c r="L51" s="86" t="e">
        <f>ROUND(K51/J51*100,2)</f>
        <v>#DIV/0!</v>
      </c>
      <c r="M51" s="86">
        <f>N51-J51</f>
        <v>0</v>
      </c>
      <c r="N51" s="92"/>
      <c r="O51" s="86"/>
      <c r="P51" s="86"/>
      <c r="Q51" s="386">
        <f t="shared" si="12"/>
        <v>0</v>
      </c>
      <c r="R51" s="86"/>
      <c r="S51" s="86"/>
      <c r="T51" s="86"/>
      <c r="U51" s="358"/>
      <c r="V51" s="358"/>
      <c r="W51" s="358"/>
      <c r="X51" s="358"/>
      <c r="Y51" s="358"/>
      <c r="Z51" s="614" t="e">
        <f t="shared" si="1"/>
        <v>#DIV/0!</v>
      </c>
      <c r="AA51" s="614">
        <f t="shared" si="2"/>
        <v>0</v>
      </c>
      <c r="AB51" s="358"/>
      <c r="AC51" s="60"/>
      <c r="AD51" s="60"/>
      <c r="AE51" s="60"/>
    </row>
    <row r="52" spans="1:31" s="88" customFormat="1" ht="36" x14ac:dyDescent="0.25">
      <c r="A52" s="80"/>
      <c r="B52" s="80"/>
      <c r="C52" s="80"/>
      <c r="D52" s="80"/>
      <c r="E52" s="80" t="s">
        <v>301</v>
      </c>
      <c r="F52" s="81" t="s">
        <v>98</v>
      </c>
      <c r="G52" s="86"/>
      <c r="H52" s="86"/>
      <c r="I52" s="86"/>
      <c r="J52" s="86"/>
      <c r="K52" s="92"/>
      <c r="L52" s="86"/>
      <c r="M52" s="86"/>
      <c r="N52" s="92"/>
      <c r="O52" s="86">
        <v>0</v>
      </c>
      <c r="P52" s="86">
        <v>0</v>
      </c>
      <c r="Q52" s="386">
        <f t="shared" si="12"/>
        <v>5700000</v>
      </c>
      <c r="R52" s="86"/>
      <c r="S52" s="86"/>
      <c r="T52" s="86"/>
      <c r="U52" s="358">
        <v>5700000</v>
      </c>
      <c r="V52" s="358">
        <v>12900000</v>
      </c>
      <c r="W52" s="358">
        <v>12900000</v>
      </c>
      <c r="X52" s="358">
        <v>12900000</v>
      </c>
      <c r="Y52" s="358">
        <v>6933752.3300000001</v>
      </c>
      <c r="Z52" s="614">
        <f t="shared" si="1"/>
        <v>53.75</v>
      </c>
      <c r="AA52" s="614">
        <f t="shared" si="2"/>
        <v>-1393436</v>
      </c>
      <c r="AB52" s="358">
        <f>12042744-736180+200000</f>
        <v>11506564</v>
      </c>
      <c r="AC52" s="60"/>
      <c r="AD52" s="60"/>
      <c r="AE52" s="60"/>
    </row>
    <row r="53" spans="1:31" s="88" customFormat="1" ht="30" customHeight="1" x14ac:dyDescent="0.25">
      <c r="A53" s="80"/>
      <c r="B53" s="80"/>
      <c r="C53" s="80"/>
      <c r="D53" s="80"/>
      <c r="E53" s="80" t="s">
        <v>301</v>
      </c>
      <c r="F53" s="81" t="s">
        <v>805</v>
      </c>
      <c r="G53" s="86"/>
      <c r="H53" s="86"/>
      <c r="I53" s="86"/>
      <c r="J53" s="86"/>
      <c r="K53" s="92"/>
      <c r="L53" s="86"/>
      <c r="M53" s="86"/>
      <c r="N53" s="92"/>
      <c r="O53" s="86"/>
      <c r="P53" s="86"/>
      <c r="Q53" s="386"/>
      <c r="R53" s="86"/>
      <c r="S53" s="86"/>
      <c r="T53" s="86"/>
      <c r="U53" s="358"/>
      <c r="V53" s="358">
        <v>3577200</v>
      </c>
      <c r="W53" s="358">
        <v>3577200</v>
      </c>
      <c r="X53" s="358">
        <v>3577200</v>
      </c>
      <c r="Y53" s="358">
        <v>0</v>
      </c>
      <c r="Z53" s="614">
        <f t="shared" si="1"/>
        <v>0</v>
      </c>
      <c r="AA53" s="614">
        <f t="shared" si="2"/>
        <v>0</v>
      </c>
      <c r="AB53" s="358">
        <v>3577200</v>
      </c>
      <c r="AC53" s="60"/>
      <c r="AD53" s="60"/>
      <c r="AE53" s="60"/>
    </row>
    <row r="54" spans="1:31" s="88" customFormat="1" ht="36" x14ac:dyDescent="0.25">
      <c r="A54" s="80"/>
      <c r="B54" s="80"/>
      <c r="C54" s="80"/>
      <c r="D54" s="80"/>
      <c r="E54" s="80" t="s">
        <v>301</v>
      </c>
      <c r="F54" s="81" t="s">
        <v>52</v>
      </c>
      <c r="G54" s="92">
        <v>1097698.32</v>
      </c>
      <c r="H54" s="92">
        <v>1109000</v>
      </c>
      <c r="I54" s="92">
        <v>1097698.32</v>
      </c>
      <c r="J54" s="92">
        <v>1106000</v>
      </c>
      <c r="K54" s="92">
        <v>823273.74</v>
      </c>
      <c r="L54" s="92">
        <f t="shared" ref="L54:L59" si="16">ROUND(K54/J54*100,2)</f>
        <v>74.44</v>
      </c>
      <c r="M54" s="92">
        <f t="shared" ref="M54:M59" si="17">N54-J54</f>
        <v>-8301.6799999999348</v>
      </c>
      <c r="N54" s="92">
        <v>1097698.32</v>
      </c>
      <c r="O54" s="92">
        <v>1097699</v>
      </c>
      <c r="P54" s="92">
        <v>274424.58</v>
      </c>
      <c r="Q54" s="386">
        <f t="shared" ref="Q54:Q59" si="18">U54-O54</f>
        <v>0</v>
      </c>
      <c r="R54" s="92">
        <v>1097699</v>
      </c>
      <c r="S54" s="92">
        <v>1098000</v>
      </c>
      <c r="T54" s="92">
        <v>1098000</v>
      </c>
      <c r="U54" s="359">
        <v>1097699</v>
      </c>
      <c r="V54" s="359">
        <v>1098000</v>
      </c>
      <c r="W54" s="359">
        <v>1098000</v>
      </c>
      <c r="X54" s="359">
        <v>1098000</v>
      </c>
      <c r="Y54" s="359">
        <v>1049097.73</v>
      </c>
      <c r="Z54" s="614">
        <f t="shared" si="1"/>
        <v>95.55</v>
      </c>
      <c r="AA54" s="614">
        <f t="shared" si="2"/>
        <v>591422</v>
      </c>
      <c r="AB54" s="359">
        <v>1689422</v>
      </c>
      <c r="AC54" s="60"/>
      <c r="AD54" s="60"/>
      <c r="AE54" s="60"/>
    </row>
    <row r="55" spans="1:31" s="88" customFormat="1" ht="27" customHeight="1" x14ac:dyDescent="0.25">
      <c r="A55" s="80"/>
      <c r="B55" s="80"/>
      <c r="C55" s="80"/>
      <c r="D55" s="80"/>
      <c r="E55" s="80" t="s">
        <v>301</v>
      </c>
      <c r="F55" s="81" t="s">
        <v>175</v>
      </c>
      <c r="G55" s="86">
        <v>2063852.23</v>
      </c>
      <c r="H55" s="86">
        <f>1800000+24736</f>
        <v>1824736</v>
      </c>
      <c r="I55" s="86">
        <v>1778132.65</v>
      </c>
      <c r="J55" s="86">
        <f>2593800-520000-100000</f>
        <v>1973800</v>
      </c>
      <c r="K55" s="92">
        <v>1438730.34</v>
      </c>
      <c r="L55" s="92">
        <f t="shared" si="16"/>
        <v>72.89</v>
      </c>
      <c r="M55" s="92">
        <f t="shared" si="17"/>
        <v>-39209.840000000084</v>
      </c>
      <c r="N55" s="92">
        <v>1934590.16</v>
      </c>
      <c r="O55" s="92">
        <v>1650000</v>
      </c>
      <c r="P55" s="92">
        <v>1343408.75</v>
      </c>
      <c r="Q55" s="386">
        <f t="shared" si="18"/>
        <v>62000</v>
      </c>
      <c r="R55" s="92">
        <v>1750000</v>
      </c>
      <c r="S55" s="92">
        <v>1550000</v>
      </c>
      <c r="T55" s="92">
        <v>1450000</v>
      </c>
      <c r="U55" s="359">
        <v>1712000</v>
      </c>
      <c r="V55" s="359">
        <f>1816000-5000</f>
        <v>1811000</v>
      </c>
      <c r="W55" s="359">
        <v>2114500</v>
      </c>
      <c r="X55" s="359">
        <v>1862500</v>
      </c>
      <c r="Y55" s="359">
        <v>708630.91</v>
      </c>
      <c r="Z55" s="614">
        <f t="shared" si="1"/>
        <v>39.130000000000003</v>
      </c>
      <c r="AA55" s="614">
        <f t="shared" si="2"/>
        <v>-134000</v>
      </c>
      <c r="AB55" s="359">
        <v>1677000</v>
      </c>
      <c r="AC55" s="60"/>
      <c r="AD55" s="60"/>
      <c r="AE55" s="60"/>
    </row>
    <row r="56" spans="1:31" s="88" customFormat="1" ht="36" x14ac:dyDescent="0.25">
      <c r="A56" s="80"/>
      <c r="B56" s="80"/>
      <c r="C56" s="80"/>
      <c r="D56" s="80"/>
      <c r="E56" s="80" t="s">
        <v>301</v>
      </c>
      <c r="F56" s="81" t="s">
        <v>332</v>
      </c>
      <c r="G56" s="86">
        <v>56495.46</v>
      </c>
      <c r="H56" s="86">
        <v>43500</v>
      </c>
      <c r="I56" s="86">
        <v>42944.68</v>
      </c>
      <c r="J56" s="86">
        <v>33500</v>
      </c>
      <c r="K56" s="92">
        <v>8216.92</v>
      </c>
      <c r="L56" s="92">
        <f t="shared" si="16"/>
        <v>24.53</v>
      </c>
      <c r="M56" s="92">
        <f t="shared" si="17"/>
        <v>-20268.239999999998</v>
      </c>
      <c r="N56" s="92">
        <v>13231.76</v>
      </c>
      <c r="O56" s="92">
        <v>8000</v>
      </c>
      <c r="P56" s="92">
        <v>1700.69</v>
      </c>
      <c r="Q56" s="386">
        <f t="shared" si="18"/>
        <v>0</v>
      </c>
      <c r="R56" s="92">
        <v>8000</v>
      </c>
      <c r="S56" s="92">
        <v>6000</v>
      </c>
      <c r="T56" s="92">
        <v>5000</v>
      </c>
      <c r="U56" s="359">
        <v>8000</v>
      </c>
      <c r="V56" s="359">
        <v>5000</v>
      </c>
      <c r="W56" s="359">
        <v>5000</v>
      </c>
      <c r="X56" s="359">
        <v>4000</v>
      </c>
      <c r="Y56" s="359">
        <v>905.63</v>
      </c>
      <c r="Z56" s="614">
        <f t="shared" si="1"/>
        <v>18.11</v>
      </c>
      <c r="AA56" s="614">
        <f t="shared" si="2"/>
        <v>0</v>
      </c>
      <c r="AB56" s="359">
        <v>5000</v>
      </c>
      <c r="AC56" s="60"/>
      <c r="AD56" s="60"/>
      <c r="AE56" s="60"/>
    </row>
    <row r="57" spans="1:31" s="88" customFormat="1" ht="36" x14ac:dyDescent="0.25">
      <c r="A57" s="80"/>
      <c r="B57" s="80"/>
      <c r="C57" s="80"/>
      <c r="D57" s="80"/>
      <c r="E57" s="80" t="s">
        <v>301</v>
      </c>
      <c r="F57" s="81" t="s">
        <v>174</v>
      </c>
      <c r="G57" s="86">
        <v>805500</v>
      </c>
      <c r="H57" s="86">
        <v>805500</v>
      </c>
      <c r="I57" s="86">
        <v>805500</v>
      </c>
      <c r="J57" s="86">
        <v>805500</v>
      </c>
      <c r="K57" s="92">
        <v>604125</v>
      </c>
      <c r="L57" s="92">
        <f t="shared" si="16"/>
        <v>75</v>
      </c>
      <c r="M57" s="92">
        <f t="shared" si="17"/>
        <v>0</v>
      </c>
      <c r="N57" s="92">
        <v>805500</v>
      </c>
      <c r="O57" s="92">
        <v>805500</v>
      </c>
      <c r="P57" s="92">
        <v>604125</v>
      </c>
      <c r="Q57" s="386">
        <f t="shared" si="18"/>
        <v>-500</v>
      </c>
      <c r="R57" s="92">
        <v>805500</v>
      </c>
      <c r="S57" s="92">
        <v>810000</v>
      </c>
      <c r="T57" s="92">
        <v>820000</v>
      </c>
      <c r="U57" s="359">
        <v>805000</v>
      </c>
      <c r="V57" s="359">
        <v>805500</v>
      </c>
      <c r="W57" s="359">
        <v>805500</v>
      </c>
      <c r="X57" s="359">
        <v>805500</v>
      </c>
      <c r="Y57" s="359"/>
      <c r="Z57" s="614">
        <f t="shared" si="1"/>
        <v>0</v>
      </c>
      <c r="AA57" s="614">
        <f t="shared" si="2"/>
        <v>-32250</v>
      </c>
      <c r="AB57" s="359">
        <v>773250</v>
      </c>
      <c r="AC57" s="60"/>
      <c r="AD57" s="60"/>
      <c r="AE57" s="60"/>
    </row>
    <row r="58" spans="1:31" s="88" customFormat="1" ht="54" x14ac:dyDescent="0.25">
      <c r="A58" s="80"/>
      <c r="B58" s="80"/>
      <c r="C58" s="80"/>
      <c r="D58" s="80"/>
      <c r="E58" s="80" t="s">
        <v>301</v>
      </c>
      <c r="F58" s="81" t="s">
        <v>333</v>
      </c>
      <c r="G58" s="86">
        <v>250000</v>
      </c>
      <c r="H58" s="86">
        <v>200000</v>
      </c>
      <c r="I58" s="86">
        <v>200000</v>
      </c>
      <c r="J58" s="86">
        <v>200000</v>
      </c>
      <c r="K58" s="92">
        <v>200000</v>
      </c>
      <c r="L58" s="92">
        <f t="shared" si="16"/>
        <v>100</v>
      </c>
      <c r="M58" s="92">
        <f t="shared" si="17"/>
        <v>0</v>
      </c>
      <c r="N58" s="92">
        <v>200000</v>
      </c>
      <c r="O58" s="92">
        <v>250000</v>
      </c>
      <c r="P58" s="92">
        <v>0</v>
      </c>
      <c r="Q58" s="386">
        <f t="shared" si="18"/>
        <v>-50000</v>
      </c>
      <c r="R58" s="92">
        <v>250000</v>
      </c>
      <c r="S58" s="92">
        <f>200000+100000</f>
        <v>300000</v>
      </c>
      <c r="T58" s="92">
        <f>200000+100000</f>
        <v>300000</v>
      </c>
      <c r="U58" s="359">
        <v>200000</v>
      </c>
      <c r="V58" s="359">
        <v>200000</v>
      </c>
      <c r="W58" s="359">
        <v>200000</v>
      </c>
      <c r="X58" s="359">
        <v>200000</v>
      </c>
      <c r="Y58" s="359"/>
      <c r="Z58" s="614">
        <f t="shared" si="1"/>
        <v>0</v>
      </c>
      <c r="AA58" s="614">
        <f t="shared" si="2"/>
        <v>-200000</v>
      </c>
      <c r="AB58" s="359">
        <v>0</v>
      </c>
      <c r="AC58" s="60"/>
      <c r="AD58" s="60"/>
      <c r="AE58" s="60"/>
    </row>
    <row r="59" spans="1:31" s="88" customFormat="1" ht="53.25" customHeight="1" x14ac:dyDescent="0.25">
      <c r="A59" s="80"/>
      <c r="B59" s="80"/>
      <c r="C59" s="80"/>
      <c r="D59" s="80"/>
      <c r="E59" s="80" t="s">
        <v>301</v>
      </c>
      <c r="F59" s="81" t="s">
        <v>53</v>
      </c>
      <c r="G59" s="86">
        <v>100000</v>
      </c>
      <c r="H59" s="86">
        <v>80000</v>
      </c>
      <c r="I59" s="86">
        <v>80000</v>
      </c>
      <c r="J59" s="86">
        <v>80000</v>
      </c>
      <c r="K59" s="92">
        <v>0</v>
      </c>
      <c r="L59" s="92">
        <f t="shared" si="16"/>
        <v>0</v>
      </c>
      <c r="M59" s="92">
        <f t="shared" si="17"/>
        <v>64500</v>
      </c>
      <c r="N59" s="92">
        <v>144500</v>
      </c>
      <c r="O59" s="92">
        <v>10000</v>
      </c>
      <c r="P59" s="92">
        <v>10000</v>
      </c>
      <c r="Q59" s="386">
        <f t="shared" si="18"/>
        <v>0</v>
      </c>
      <c r="R59" s="92">
        <v>10000</v>
      </c>
      <c r="S59" s="92">
        <v>80000</v>
      </c>
      <c r="T59" s="92">
        <v>80000</v>
      </c>
      <c r="U59" s="359">
        <v>10000</v>
      </c>
      <c r="V59" s="359">
        <v>10000</v>
      </c>
      <c r="W59" s="359">
        <v>10000</v>
      </c>
      <c r="X59" s="359">
        <v>12000</v>
      </c>
      <c r="Y59" s="359"/>
      <c r="Z59" s="614">
        <f t="shared" si="1"/>
        <v>0</v>
      </c>
      <c r="AA59" s="614">
        <f t="shared" si="2"/>
        <v>-10000</v>
      </c>
      <c r="AB59" s="359">
        <v>0</v>
      </c>
      <c r="AC59" s="60"/>
      <c r="AD59" s="60"/>
      <c r="AE59" s="60"/>
    </row>
    <row r="60" spans="1:31" s="88" customFormat="1" ht="53.25" hidden="1" customHeight="1" x14ac:dyDescent="0.25">
      <c r="A60" s="80"/>
      <c r="B60" s="80"/>
      <c r="C60" s="80"/>
      <c r="D60" s="80"/>
      <c r="E60" s="80" t="s">
        <v>301</v>
      </c>
      <c r="F60" s="81" t="s">
        <v>54</v>
      </c>
      <c r="G60" s="86"/>
      <c r="H60" s="86"/>
      <c r="I60" s="86">
        <v>100424.26</v>
      </c>
      <c r="J60" s="86"/>
      <c r="K60" s="92"/>
      <c r="L60" s="92"/>
      <c r="M60" s="92"/>
      <c r="N60" s="92"/>
      <c r="O60" s="92"/>
      <c r="P60" s="92"/>
      <c r="Q60" s="386"/>
      <c r="R60" s="92"/>
      <c r="S60" s="92"/>
      <c r="T60" s="92"/>
      <c r="U60" s="359"/>
      <c r="V60" s="359"/>
      <c r="W60" s="359"/>
      <c r="X60" s="359"/>
      <c r="Y60" s="359"/>
      <c r="Z60" s="614" t="e">
        <f t="shared" si="1"/>
        <v>#DIV/0!</v>
      </c>
      <c r="AA60" s="614">
        <f t="shared" si="2"/>
        <v>0</v>
      </c>
      <c r="AB60" s="359"/>
      <c r="AC60" s="60"/>
      <c r="AD60" s="60"/>
      <c r="AE60" s="60"/>
    </row>
    <row r="61" spans="1:31" s="88" customFormat="1" ht="37.5" hidden="1" customHeight="1" x14ac:dyDescent="0.25">
      <c r="A61" s="80"/>
      <c r="B61" s="80"/>
      <c r="C61" s="80"/>
      <c r="D61" s="80"/>
      <c r="E61" s="80" t="s">
        <v>301</v>
      </c>
      <c r="F61" s="81" t="s">
        <v>441</v>
      </c>
      <c r="G61" s="86">
        <v>0</v>
      </c>
      <c r="H61" s="86"/>
      <c r="I61" s="86">
        <v>0</v>
      </c>
      <c r="J61" s="86">
        <v>0</v>
      </c>
      <c r="K61" s="92">
        <v>1765497.43</v>
      </c>
      <c r="L61" s="92" t="e">
        <f t="shared" ref="L61:L70" si="19">ROUND(K61/J61*100,2)</f>
        <v>#DIV/0!</v>
      </c>
      <c r="M61" s="92">
        <f t="shared" ref="M61:M70" si="20">N61-J61</f>
        <v>1765497.43</v>
      </c>
      <c r="N61" s="92">
        <v>1765497.43</v>
      </c>
      <c r="O61" s="92">
        <v>0</v>
      </c>
      <c r="P61" s="92">
        <v>0</v>
      </c>
      <c r="Q61" s="386">
        <f t="shared" ref="Q61:Q107" si="21">U61-O61</f>
        <v>0</v>
      </c>
      <c r="R61" s="92">
        <v>0</v>
      </c>
      <c r="S61" s="92">
        <v>0</v>
      </c>
      <c r="T61" s="92">
        <v>0</v>
      </c>
      <c r="U61" s="359">
        <v>0</v>
      </c>
      <c r="V61" s="359">
        <v>0</v>
      </c>
      <c r="W61" s="359">
        <v>0</v>
      </c>
      <c r="X61" s="359">
        <v>0</v>
      </c>
      <c r="Y61" s="359"/>
      <c r="Z61" s="614" t="e">
        <f t="shared" si="1"/>
        <v>#DIV/0!</v>
      </c>
      <c r="AA61" s="614">
        <f t="shared" si="2"/>
        <v>0</v>
      </c>
      <c r="AB61" s="359">
        <v>0</v>
      </c>
      <c r="AC61" s="60"/>
      <c r="AD61" s="60"/>
      <c r="AE61" s="60"/>
    </row>
    <row r="62" spans="1:31" s="88" customFormat="1" ht="35.25" hidden="1" customHeight="1" x14ac:dyDescent="0.25">
      <c r="A62" s="80"/>
      <c r="B62" s="80"/>
      <c r="C62" s="80"/>
      <c r="D62" s="80"/>
      <c r="E62" s="80" t="s">
        <v>301</v>
      </c>
      <c r="F62" s="93" t="s">
        <v>55</v>
      </c>
      <c r="G62" s="86"/>
      <c r="H62" s="86"/>
      <c r="I62" s="86"/>
      <c r="J62" s="86"/>
      <c r="K62" s="92"/>
      <c r="L62" s="92" t="e">
        <f t="shared" si="19"/>
        <v>#DIV/0!</v>
      </c>
      <c r="M62" s="92">
        <f t="shared" si="20"/>
        <v>0</v>
      </c>
      <c r="N62" s="92"/>
      <c r="O62" s="92"/>
      <c r="P62" s="92"/>
      <c r="Q62" s="386">
        <f t="shared" si="21"/>
        <v>0</v>
      </c>
      <c r="R62" s="92"/>
      <c r="S62" s="92"/>
      <c r="T62" s="92"/>
      <c r="U62" s="359"/>
      <c r="V62" s="359"/>
      <c r="W62" s="359"/>
      <c r="X62" s="359"/>
      <c r="Y62" s="359"/>
      <c r="Z62" s="614" t="e">
        <f t="shared" si="1"/>
        <v>#DIV/0!</v>
      </c>
      <c r="AA62" s="614">
        <f t="shared" si="2"/>
        <v>0</v>
      </c>
      <c r="AB62" s="359"/>
      <c r="AC62" s="60"/>
      <c r="AD62" s="60"/>
      <c r="AE62" s="60"/>
    </row>
    <row r="63" spans="1:31" s="88" customFormat="1" ht="22.5" customHeight="1" x14ac:dyDescent="0.25">
      <c r="A63" s="80"/>
      <c r="B63" s="80"/>
      <c r="C63" s="80"/>
      <c r="D63" s="80"/>
      <c r="E63" s="80" t="s">
        <v>56</v>
      </c>
      <c r="F63" s="81" t="s">
        <v>59</v>
      </c>
      <c r="G63" s="86">
        <v>429027.4</v>
      </c>
      <c r="H63" s="86">
        <v>393900</v>
      </c>
      <c r="I63" s="86">
        <v>272227.83</v>
      </c>
      <c r="J63" s="86">
        <v>393900</v>
      </c>
      <c r="K63" s="92">
        <v>93575.35</v>
      </c>
      <c r="L63" s="92">
        <f t="shared" si="19"/>
        <v>23.76</v>
      </c>
      <c r="M63" s="92">
        <f t="shared" si="20"/>
        <v>-141047.5</v>
      </c>
      <c r="N63" s="92">
        <v>252852.5</v>
      </c>
      <c r="O63" s="92">
        <f>70000+233900</f>
        <v>303900</v>
      </c>
      <c r="P63" s="92">
        <v>63163.92</v>
      </c>
      <c r="Q63" s="386">
        <f t="shared" si="21"/>
        <v>-26400</v>
      </c>
      <c r="R63" s="92">
        <f>70000+233900</f>
        <v>303900</v>
      </c>
      <c r="S63" s="92">
        <f>65000+290400</f>
        <v>355400</v>
      </c>
      <c r="T63" s="92">
        <f>65000+288400</f>
        <v>353400</v>
      </c>
      <c r="U63" s="359">
        <v>277500</v>
      </c>
      <c r="V63" s="359">
        <v>343000</v>
      </c>
      <c r="W63" s="359">
        <v>346300</v>
      </c>
      <c r="X63" s="359">
        <v>348300</v>
      </c>
      <c r="Y63" s="359">
        <v>11550.2</v>
      </c>
      <c r="Z63" s="614">
        <f t="shared" si="1"/>
        <v>3.37</v>
      </c>
      <c r="AA63" s="614">
        <f t="shared" si="2"/>
        <v>-97000</v>
      </c>
      <c r="AB63" s="359">
        <v>246000</v>
      </c>
      <c r="AC63" s="60"/>
      <c r="AD63" s="60"/>
      <c r="AE63" s="60"/>
    </row>
    <row r="64" spans="1:31" s="88" customFormat="1" ht="25.5" customHeight="1" x14ac:dyDescent="0.25">
      <c r="A64" s="80"/>
      <c r="B64" s="80"/>
      <c r="C64" s="80"/>
      <c r="D64" s="80"/>
      <c r="E64" s="80" t="s">
        <v>60</v>
      </c>
      <c r="F64" s="81" t="s">
        <v>61</v>
      </c>
      <c r="G64" s="86">
        <v>1539574.34</v>
      </c>
      <c r="H64" s="86">
        <v>1681100</v>
      </c>
      <c r="I64" s="86">
        <v>1351483</v>
      </c>
      <c r="J64" s="86">
        <v>1681100</v>
      </c>
      <c r="K64" s="92">
        <v>870544.16</v>
      </c>
      <c r="L64" s="86">
        <f t="shared" si="19"/>
        <v>51.78</v>
      </c>
      <c r="M64" s="86">
        <f t="shared" si="20"/>
        <v>-399627.73</v>
      </c>
      <c r="N64" s="86">
        <v>1281472.27</v>
      </c>
      <c r="O64" s="86">
        <f>1453900+2000</f>
        <v>1455900</v>
      </c>
      <c r="P64" s="86">
        <v>426947.96</v>
      </c>
      <c r="Q64" s="386">
        <f t="shared" si="21"/>
        <v>99807</v>
      </c>
      <c r="R64" s="86">
        <f>1453900+2000</f>
        <v>1455900</v>
      </c>
      <c r="S64" s="86">
        <f>1478900</f>
        <v>1478900</v>
      </c>
      <c r="T64" s="86">
        <f>1469600</f>
        <v>1469600</v>
      </c>
      <c r="U64" s="359">
        <v>1555707</v>
      </c>
      <c r="V64" s="358">
        <v>1680600</v>
      </c>
      <c r="W64" s="358">
        <v>1649600</v>
      </c>
      <c r="X64" s="358">
        <v>1620300</v>
      </c>
      <c r="Y64" s="358">
        <v>388660.91</v>
      </c>
      <c r="Z64" s="614">
        <f t="shared" si="1"/>
        <v>23.13</v>
      </c>
      <c r="AA64" s="614">
        <f t="shared" si="2"/>
        <v>346600</v>
      </c>
      <c r="AB64" s="358">
        <v>2027200</v>
      </c>
      <c r="AC64" s="60"/>
      <c r="AD64" s="60"/>
      <c r="AE64" s="60"/>
    </row>
    <row r="65" spans="1:31" s="85" customFormat="1" ht="18" customHeight="1" x14ac:dyDescent="0.25">
      <c r="A65" s="80"/>
      <c r="B65" s="80"/>
      <c r="C65" s="80"/>
      <c r="D65" s="80"/>
      <c r="E65" s="80" t="s">
        <v>62</v>
      </c>
      <c r="F65" s="81" t="s">
        <v>63</v>
      </c>
      <c r="G65" s="86">
        <f>SUM(G66:G68)</f>
        <v>1447520.62</v>
      </c>
      <c r="H65" s="86">
        <f>SUM(H66:H68)</f>
        <v>1156108</v>
      </c>
      <c r="I65" s="86">
        <f>SUM(I66:I68)</f>
        <v>1002940.31</v>
      </c>
      <c r="J65" s="86">
        <f>SUM(J66:J68)</f>
        <v>2888020</v>
      </c>
      <c r="K65" s="92">
        <f>SUM(K66:K68)</f>
        <v>275492.5</v>
      </c>
      <c r="L65" s="86">
        <f t="shared" si="19"/>
        <v>9.5399999999999991</v>
      </c>
      <c r="M65" s="86">
        <f t="shared" si="20"/>
        <v>-2365709.96</v>
      </c>
      <c r="N65" s="86">
        <f>SUM(N66:N68)</f>
        <v>522310.04000000004</v>
      </c>
      <c r="O65" s="86">
        <f>SUM(O66:O68)</f>
        <v>1056600</v>
      </c>
      <c r="P65" s="86">
        <f>P66+P67+P68</f>
        <v>87022.19</v>
      </c>
      <c r="Q65" s="386">
        <f t="shared" si="21"/>
        <v>318575</v>
      </c>
      <c r="R65" s="86">
        <f>SUM(R66:R68)</f>
        <v>1056600</v>
      </c>
      <c r="S65" s="86">
        <f>SUM(S66:S68)</f>
        <v>587000</v>
      </c>
      <c r="T65" s="86">
        <f>SUM(T66:T68)</f>
        <v>566000</v>
      </c>
      <c r="U65" s="358">
        <f>U66+U67+U68</f>
        <v>1375175</v>
      </c>
      <c r="V65" s="358">
        <f>V66+V67+V68</f>
        <v>1988775</v>
      </c>
      <c r="W65" s="358">
        <f>W66+W67+W68</f>
        <v>700100</v>
      </c>
      <c r="X65" s="358">
        <f>X66+X67+X68</f>
        <v>252000</v>
      </c>
      <c r="Y65" s="358">
        <f>SUM(Y66:Y68)</f>
        <v>342363.84</v>
      </c>
      <c r="Z65" s="614">
        <f t="shared" si="1"/>
        <v>17.21</v>
      </c>
      <c r="AA65" s="614">
        <f t="shared" si="2"/>
        <v>-427500</v>
      </c>
      <c r="AB65" s="358">
        <f>AB66+AB67+AB68</f>
        <v>1561275</v>
      </c>
      <c r="AC65" s="60"/>
      <c r="AD65" s="60"/>
      <c r="AE65" s="60"/>
    </row>
    <row r="66" spans="1:31" s="85" customFormat="1" ht="18" customHeight="1" x14ac:dyDescent="0.25">
      <c r="A66" s="80"/>
      <c r="B66" s="80"/>
      <c r="C66" s="80"/>
      <c r="D66" s="80"/>
      <c r="E66" s="80" t="s">
        <v>64</v>
      </c>
      <c r="F66" s="81" t="s">
        <v>65</v>
      </c>
      <c r="G66" s="86">
        <v>0</v>
      </c>
      <c r="H66" s="86">
        <v>313008</v>
      </c>
      <c r="I66" s="86">
        <v>313007.84999999998</v>
      </c>
      <c r="J66" s="86">
        <v>1690120</v>
      </c>
      <c r="K66" s="92">
        <v>30570.21</v>
      </c>
      <c r="L66" s="86">
        <f t="shared" si="19"/>
        <v>1.81</v>
      </c>
      <c r="M66" s="86">
        <f t="shared" si="20"/>
        <v>-1609013.8</v>
      </c>
      <c r="N66" s="86">
        <v>81106.2</v>
      </c>
      <c r="O66" s="86">
        <v>80000</v>
      </c>
      <c r="P66" s="86">
        <v>19965.78</v>
      </c>
      <c r="Q66" s="386">
        <f t="shared" si="21"/>
        <v>0</v>
      </c>
      <c r="R66" s="86">
        <v>80000</v>
      </c>
      <c r="S66" s="86">
        <v>0</v>
      </c>
      <c r="T66" s="86">
        <v>0</v>
      </c>
      <c r="U66" s="358">
        <v>80000</v>
      </c>
      <c r="V66" s="358">
        <v>51000</v>
      </c>
      <c r="W66" s="358">
        <v>0</v>
      </c>
      <c r="X66" s="358">
        <v>0</v>
      </c>
      <c r="Y66" s="358">
        <v>0</v>
      </c>
      <c r="Z66" s="614">
        <f t="shared" si="1"/>
        <v>0</v>
      </c>
      <c r="AA66" s="614">
        <f t="shared" si="2"/>
        <v>0</v>
      </c>
      <c r="AB66" s="358">
        <v>51000</v>
      </c>
      <c r="AC66" s="60"/>
      <c r="AD66" s="60"/>
      <c r="AE66" s="60"/>
    </row>
    <row r="67" spans="1:31" s="85" customFormat="1" ht="20.25" customHeight="1" x14ac:dyDescent="0.25">
      <c r="A67" s="80"/>
      <c r="B67" s="80"/>
      <c r="C67" s="80"/>
      <c r="D67" s="80"/>
      <c r="E67" s="80" t="s">
        <v>66</v>
      </c>
      <c r="F67" s="81" t="s">
        <v>67</v>
      </c>
      <c r="G67" s="86">
        <v>927920.8</v>
      </c>
      <c r="H67" s="86">
        <f>989400-356700-330000</f>
        <v>302700</v>
      </c>
      <c r="I67" s="86">
        <v>290843</v>
      </c>
      <c r="J67" s="86">
        <v>734400</v>
      </c>
      <c r="K67" s="92">
        <v>89175</v>
      </c>
      <c r="L67" s="86">
        <f t="shared" si="19"/>
        <v>12.14</v>
      </c>
      <c r="M67" s="86">
        <f t="shared" si="20"/>
        <v>-640272.5</v>
      </c>
      <c r="N67" s="86">
        <v>94127.5</v>
      </c>
      <c r="O67" s="86">
        <f>267600+5000+10000+330000</f>
        <v>612600</v>
      </c>
      <c r="P67" s="86">
        <v>0</v>
      </c>
      <c r="Q67" s="386">
        <f t="shared" si="21"/>
        <v>-230825</v>
      </c>
      <c r="R67" s="86">
        <f>267600+5000+10000+330000</f>
        <v>612600</v>
      </c>
      <c r="S67" s="86">
        <f>5000+10000</f>
        <v>15000</v>
      </c>
      <c r="T67" s="86">
        <f>5000+10000</f>
        <v>15000</v>
      </c>
      <c r="U67" s="358">
        <v>381775</v>
      </c>
      <c r="V67" s="358">
        <f>57000+356775</f>
        <v>413775</v>
      </c>
      <c r="W67" s="358">
        <v>41000</v>
      </c>
      <c r="X67" s="358">
        <v>41000</v>
      </c>
      <c r="Y67" s="358">
        <v>0</v>
      </c>
      <c r="Z67" s="614">
        <f t="shared" si="1"/>
        <v>0</v>
      </c>
      <c r="AA67" s="614">
        <f t="shared" si="2"/>
        <v>-17000</v>
      </c>
      <c r="AB67" s="358">
        <v>396775</v>
      </c>
      <c r="AC67" s="60"/>
      <c r="AD67" s="60"/>
      <c r="AE67" s="60"/>
    </row>
    <row r="68" spans="1:31" s="85" customFormat="1" ht="17.25" customHeight="1" x14ac:dyDescent="0.25">
      <c r="A68" s="80"/>
      <c r="B68" s="80"/>
      <c r="C68" s="80"/>
      <c r="D68" s="80"/>
      <c r="E68" s="80" t="s">
        <v>68</v>
      </c>
      <c r="F68" s="81" t="s">
        <v>69</v>
      </c>
      <c r="G68" s="86">
        <v>519599.82</v>
      </c>
      <c r="H68" s="86">
        <v>540400</v>
      </c>
      <c r="I68" s="86">
        <v>399089.46</v>
      </c>
      <c r="J68" s="86">
        <v>463500</v>
      </c>
      <c r="K68" s="92">
        <v>155747.29</v>
      </c>
      <c r="L68" s="86">
        <f t="shared" si="19"/>
        <v>33.6</v>
      </c>
      <c r="M68" s="86">
        <f t="shared" si="20"/>
        <v>-116423.65999999997</v>
      </c>
      <c r="N68" s="86">
        <v>347076.34</v>
      </c>
      <c r="O68" s="86">
        <f>364000</f>
        <v>364000</v>
      </c>
      <c r="P68" s="86">
        <v>67056.41</v>
      </c>
      <c r="Q68" s="386">
        <f t="shared" si="21"/>
        <v>549400</v>
      </c>
      <c r="R68" s="86">
        <f>364000</f>
        <v>364000</v>
      </c>
      <c r="S68" s="86">
        <f>572000</f>
        <v>572000</v>
      </c>
      <c r="T68" s="86">
        <f>551000</f>
        <v>551000</v>
      </c>
      <c r="U68" s="358">
        <f>907800+5600</f>
        <v>913400</v>
      </c>
      <c r="V68" s="358">
        <f>724000+300000+500000</f>
        <v>1524000</v>
      </c>
      <c r="W68" s="358">
        <f>459100+200000</f>
        <v>659100</v>
      </c>
      <c r="X68" s="358">
        <v>211000</v>
      </c>
      <c r="Y68" s="358">
        <v>342363.84</v>
      </c>
      <c r="Z68" s="614">
        <f t="shared" si="1"/>
        <v>22.46</v>
      </c>
      <c r="AA68" s="614">
        <f t="shared" si="2"/>
        <v>-410500</v>
      </c>
      <c r="AB68" s="358">
        <f>1363500-250000</f>
        <v>1113500</v>
      </c>
      <c r="AC68" s="60"/>
      <c r="AD68" s="60"/>
      <c r="AE68" s="60"/>
    </row>
    <row r="69" spans="1:31" s="85" customFormat="1" ht="36" customHeight="1" x14ac:dyDescent="0.25">
      <c r="A69" s="80"/>
      <c r="B69" s="80"/>
      <c r="C69" s="80"/>
      <c r="D69" s="80"/>
      <c r="E69" s="80" t="s">
        <v>70</v>
      </c>
      <c r="F69" s="81" t="s">
        <v>72</v>
      </c>
      <c r="G69" s="86"/>
      <c r="H69" s="86"/>
      <c r="I69" s="86">
        <v>0</v>
      </c>
      <c r="J69" s="86">
        <v>80000</v>
      </c>
      <c r="K69" s="92">
        <v>197119.4</v>
      </c>
      <c r="L69" s="86">
        <f t="shared" si="19"/>
        <v>246.4</v>
      </c>
      <c r="M69" s="86">
        <f t="shared" si="20"/>
        <v>-19757.349999999999</v>
      </c>
      <c r="N69" s="86">
        <v>60242.65</v>
      </c>
      <c r="O69" s="86">
        <v>50000</v>
      </c>
      <c r="P69" s="86">
        <v>15677.96</v>
      </c>
      <c r="Q69" s="386">
        <f t="shared" si="21"/>
        <v>-3700</v>
      </c>
      <c r="R69" s="86">
        <v>50000</v>
      </c>
      <c r="S69" s="86">
        <v>50000</v>
      </c>
      <c r="T69" s="86">
        <v>50000</v>
      </c>
      <c r="U69" s="358">
        <v>46300</v>
      </c>
      <c r="V69" s="358">
        <v>353701</v>
      </c>
      <c r="W69" s="358">
        <v>354318</v>
      </c>
      <c r="X69" s="358">
        <v>363506</v>
      </c>
      <c r="Y69" s="358">
        <v>47594.76</v>
      </c>
      <c r="Z69" s="614">
        <f t="shared" si="1"/>
        <v>13.46</v>
      </c>
      <c r="AA69" s="614">
        <f t="shared" si="2"/>
        <v>0</v>
      </c>
      <c r="AB69" s="358">
        <v>353701</v>
      </c>
      <c r="AC69" s="60"/>
      <c r="AD69" s="60"/>
      <c r="AE69" s="60"/>
    </row>
    <row r="70" spans="1:31" s="85" customFormat="1" ht="36" customHeight="1" x14ac:dyDescent="0.25">
      <c r="A70" s="80"/>
      <c r="B70" s="80"/>
      <c r="C70" s="80"/>
      <c r="D70" s="80"/>
      <c r="E70" s="80" t="s">
        <v>73</v>
      </c>
      <c r="F70" s="81" t="s">
        <v>74</v>
      </c>
      <c r="G70" s="86"/>
      <c r="H70" s="86"/>
      <c r="I70" s="86">
        <v>0</v>
      </c>
      <c r="J70" s="86">
        <v>50000</v>
      </c>
      <c r="K70" s="92">
        <v>37578.089999999997</v>
      </c>
      <c r="L70" s="86">
        <f t="shared" si="19"/>
        <v>75.16</v>
      </c>
      <c r="M70" s="86">
        <f t="shared" si="20"/>
        <v>-12421.910000000003</v>
      </c>
      <c r="N70" s="86">
        <v>37578.089999999997</v>
      </c>
      <c r="O70" s="86">
        <v>30000</v>
      </c>
      <c r="P70" s="86">
        <v>0</v>
      </c>
      <c r="Q70" s="386">
        <f t="shared" si="21"/>
        <v>-18000</v>
      </c>
      <c r="R70" s="86">
        <v>30000</v>
      </c>
      <c r="S70" s="86">
        <v>30000</v>
      </c>
      <c r="T70" s="86">
        <v>30000</v>
      </c>
      <c r="U70" s="358">
        <v>12000</v>
      </c>
      <c r="V70" s="358">
        <v>15000</v>
      </c>
      <c r="W70" s="358">
        <v>15000</v>
      </c>
      <c r="X70" s="358">
        <v>15000</v>
      </c>
      <c r="Y70" s="358">
        <v>11111.25</v>
      </c>
      <c r="Z70" s="614">
        <f t="shared" si="1"/>
        <v>74.08</v>
      </c>
      <c r="AA70" s="614">
        <f t="shared" si="2"/>
        <v>0</v>
      </c>
      <c r="AB70" s="358">
        <v>15000</v>
      </c>
      <c r="AC70" s="60"/>
      <c r="AD70" s="60"/>
      <c r="AE70" s="60"/>
    </row>
    <row r="71" spans="1:31" s="514" customFormat="1" ht="36" customHeight="1" x14ac:dyDescent="0.25">
      <c r="A71" s="513" t="s">
        <v>424</v>
      </c>
      <c r="B71" s="119"/>
      <c r="C71" s="119"/>
      <c r="D71" s="119" t="s">
        <v>75</v>
      </c>
      <c r="E71" s="119"/>
      <c r="F71" s="368" t="s">
        <v>76</v>
      </c>
      <c r="G71" s="137">
        <f t="shared" ref="G71:P71" si="22">G72+G80+G82+G81</f>
        <v>961854.62</v>
      </c>
      <c r="H71" s="137">
        <f t="shared" si="22"/>
        <v>4331101</v>
      </c>
      <c r="I71" s="137">
        <f t="shared" si="22"/>
        <v>3284973.29</v>
      </c>
      <c r="J71" s="137">
        <f t="shared" si="22"/>
        <v>4878500</v>
      </c>
      <c r="K71" s="137">
        <f t="shared" si="22"/>
        <v>0</v>
      </c>
      <c r="L71" s="137" t="e">
        <f t="shared" si="22"/>
        <v>#DIV/0!</v>
      </c>
      <c r="M71" s="137">
        <f t="shared" si="22"/>
        <v>-4283848.74</v>
      </c>
      <c r="N71" s="137">
        <f t="shared" si="22"/>
        <v>594651.26</v>
      </c>
      <c r="O71" s="137">
        <f t="shared" si="22"/>
        <v>853000</v>
      </c>
      <c r="P71" s="137">
        <f t="shared" si="22"/>
        <v>68000</v>
      </c>
      <c r="Q71" s="371">
        <f t="shared" si="21"/>
        <v>18000</v>
      </c>
      <c r="R71" s="137">
        <f t="shared" ref="R71:X71" si="23">R72+R80+R82+R81</f>
        <v>853000</v>
      </c>
      <c r="S71" s="137">
        <f t="shared" si="23"/>
        <v>50000</v>
      </c>
      <c r="T71" s="137">
        <f t="shared" si="23"/>
        <v>0</v>
      </c>
      <c r="U71" s="371">
        <f t="shared" si="23"/>
        <v>871000</v>
      </c>
      <c r="V71" s="371">
        <f>V72+V80+V82+V81+V83</f>
        <v>125000</v>
      </c>
      <c r="W71" s="371">
        <f t="shared" si="23"/>
        <v>0</v>
      </c>
      <c r="X71" s="371">
        <f t="shared" si="23"/>
        <v>0</v>
      </c>
      <c r="Y71" s="371">
        <f>Y72+Y82+Y83</f>
        <v>75000</v>
      </c>
      <c r="Z71" s="590">
        <f t="shared" si="1"/>
        <v>60</v>
      </c>
      <c r="AA71" s="590">
        <f t="shared" si="2"/>
        <v>1203500</v>
      </c>
      <c r="AB71" s="371">
        <f>AB72+AB80+AB82+AB81+AB83</f>
        <v>1328500</v>
      </c>
      <c r="AC71" s="372"/>
      <c r="AD71" s="372"/>
      <c r="AE71" s="372"/>
    </row>
    <row r="72" spans="1:31" s="85" customFormat="1" ht="39.75" customHeight="1" x14ac:dyDescent="0.25">
      <c r="A72" s="80"/>
      <c r="B72" s="80"/>
      <c r="C72" s="80"/>
      <c r="D72" s="80"/>
      <c r="E72" s="80" t="s">
        <v>880</v>
      </c>
      <c r="F72" s="81" t="s">
        <v>504</v>
      </c>
      <c r="G72" s="82">
        <v>298900</v>
      </c>
      <c r="H72" s="82">
        <v>191601</v>
      </c>
      <c r="I72" s="82">
        <v>191600.5</v>
      </c>
      <c r="J72" s="82">
        <v>400000</v>
      </c>
      <c r="K72" s="102">
        <v>0</v>
      </c>
      <c r="L72" s="82">
        <f t="shared" ref="L72:L89" si="24">ROUND(K72/J72*100,2)</f>
        <v>0</v>
      </c>
      <c r="M72" s="82">
        <f t="shared" ref="M72:M89" si="25">N72-J72</f>
        <v>-301600</v>
      </c>
      <c r="N72" s="82">
        <v>98400</v>
      </c>
      <c r="O72" s="82">
        <v>330000</v>
      </c>
      <c r="P72" s="82">
        <v>50000</v>
      </c>
      <c r="Q72" s="386">
        <f t="shared" si="21"/>
        <v>0</v>
      </c>
      <c r="R72" s="82">
        <v>330000</v>
      </c>
      <c r="S72" s="82">
        <v>50000</v>
      </c>
      <c r="T72" s="82">
        <v>0</v>
      </c>
      <c r="U72" s="357">
        <f>330000</f>
        <v>330000</v>
      </c>
      <c r="V72" s="357">
        <f>125000</f>
        <v>125000</v>
      </c>
      <c r="W72" s="357">
        <v>0</v>
      </c>
      <c r="X72" s="357">
        <v>0</v>
      </c>
      <c r="Y72" s="357">
        <v>75000</v>
      </c>
      <c r="Z72" s="614">
        <f t="shared" si="1"/>
        <v>60</v>
      </c>
      <c r="AA72" s="614">
        <f t="shared" si="2"/>
        <v>193400</v>
      </c>
      <c r="AB72" s="357">
        <v>318400</v>
      </c>
      <c r="AC72" s="60"/>
      <c r="AD72" s="60"/>
      <c r="AE72" s="60"/>
    </row>
    <row r="73" spans="1:31" s="89" customFormat="1" ht="36" hidden="1" x14ac:dyDescent="0.25">
      <c r="A73" s="80"/>
      <c r="B73" s="80"/>
      <c r="C73" s="80"/>
      <c r="D73" s="80"/>
      <c r="E73" s="80" t="s">
        <v>78</v>
      </c>
      <c r="F73" s="81" t="s">
        <v>79</v>
      </c>
      <c r="G73" s="82">
        <v>0</v>
      </c>
      <c r="H73" s="82"/>
      <c r="I73" s="82"/>
      <c r="J73" s="82"/>
      <c r="K73" s="102">
        <v>0</v>
      </c>
      <c r="L73" s="82" t="e">
        <f t="shared" si="24"/>
        <v>#DIV/0!</v>
      </c>
      <c r="M73" s="82">
        <f t="shared" si="25"/>
        <v>0</v>
      </c>
      <c r="N73" s="82">
        <v>0</v>
      </c>
      <c r="O73" s="82">
        <v>0</v>
      </c>
      <c r="P73" s="82"/>
      <c r="Q73" s="386">
        <f t="shared" si="21"/>
        <v>0</v>
      </c>
      <c r="R73" s="82">
        <v>0</v>
      </c>
      <c r="S73" s="82">
        <v>0</v>
      </c>
      <c r="T73" s="82">
        <v>0</v>
      </c>
      <c r="U73" s="357"/>
      <c r="V73" s="357"/>
      <c r="W73" s="357"/>
      <c r="X73" s="357"/>
      <c r="Y73" s="357"/>
      <c r="Z73" s="614" t="e">
        <f t="shared" ref="Z73:Z144" si="26">ROUND(Y73/V73*100,2)</f>
        <v>#DIV/0!</v>
      </c>
      <c r="AA73" s="614">
        <f t="shared" ref="AA73:AA144" si="27">AB73-V73</f>
        <v>0</v>
      </c>
      <c r="AB73" s="357"/>
      <c r="AC73" s="60"/>
      <c r="AD73" s="60"/>
      <c r="AE73" s="60"/>
    </row>
    <row r="74" spans="1:31" s="89" customFormat="1" ht="41.25" hidden="1" customHeight="1" x14ac:dyDescent="0.25">
      <c r="A74" s="80"/>
      <c r="B74" s="80"/>
      <c r="C74" s="80"/>
      <c r="D74" s="80"/>
      <c r="E74" s="80" t="s">
        <v>78</v>
      </c>
      <c r="F74" s="81" t="s">
        <v>80</v>
      </c>
      <c r="G74" s="82">
        <v>0</v>
      </c>
      <c r="H74" s="82"/>
      <c r="I74" s="82"/>
      <c r="J74" s="82"/>
      <c r="K74" s="82">
        <v>0</v>
      </c>
      <c r="L74" s="82" t="e">
        <f t="shared" si="24"/>
        <v>#DIV/0!</v>
      </c>
      <c r="M74" s="82">
        <f t="shared" si="25"/>
        <v>0</v>
      </c>
      <c r="N74" s="82">
        <v>0</v>
      </c>
      <c r="O74" s="82">
        <v>0</v>
      </c>
      <c r="P74" s="82"/>
      <c r="Q74" s="386">
        <f t="shared" si="21"/>
        <v>0</v>
      </c>
      <c r="R74" s="82">
        <v>0</v>
      </c>
      <c r="S74" s="82">
        <v>0</v>
      </c>
      <c r="T74" s="82">
        <v>0</v>
      </c>
      <c r="U74" s="357"/>
      <c r="V74" s="357"/>
      <c r="W74" s="357"/>
      <c r="X74" s="357"/>
      <c r="Y74" s="357"/>
      <c r="Z74" s="614" t="e">
        <f t="shared" si="26"/>
        <v>#DIV/0!</v>
      </c>
      <c r="AA74" s="614">
        <f t="shared" si="27"/>
        <v>0</v>
      </c>
      <c r="AB74" s="357"/>
      <c r="AC74" s="60"/>
      <c r="AD74" s="60"/>
      <c r="AE74" s="60"/>
    </row>
    <row r="75" spans="1:31" s="88" customFormat="1" ht="17.25" hidden="1" customHeight="1" x14ac:dyDescent="0.25">
      <c r="A75" s="80"/>
      <c r="B75" s="80"/>
      <c r="C75" s="80"/>
      <c r="D75" s="80"/>
      <c r="E75" s="80" t="s">
        <v>78</v>
      </c>
      <c r="F75" s="81" t="s">
        <v>54</v>
      </c>
      <c r="G75" s="82">
        <v>0</v>
      </c>
      <c r="H75" s="82"/>
      <c r="I75" s="82"/>
      <c r="J75" s="82"/>
      <c r="K75" s="82">
        <v>0</v>
      </c>
      <c r="L75" s="82" t="e">
        <f t="shared" si="24"/>
        <v>#DIV/0!</v>
      </c>
      <c r="M75" s="82">
        <f t="shared" si="25"/>
        <v>0</v>
      </c>
      <c r="N75" s="82">
        <v>0</v>
      </c>
      <c r="O75" s="82">
        <v>0</v>
      </c>
      <c r="P75" s="82"/>
      <c r="Q75" s="386">
        <f t="shared" si="21"/>
        <v>0</v>
      </c>
      <c r="R75" s="82">
        <v>0</v>
      </c>
      <c r="S75" s="82">
        <v>0</v>
      </c>
      <c r="T75" s="82">
        <v>0</v>
      </c>
      <c r="U75" s="357"/>
      <c r="V75" s="357"/>
      <c r="W75" s="357"/>
      <c r="X75" s="357"/>
      <c r="Y75" s="357"/>
      <c r="Z75" s="614" t="e">
        <f t="shared" si="26"/>
        <v>#DIV/0!</v>
      </c>
      <c r="AA75" s="614">
        <f t="shared" si="27"/>
        <v>0</v>
      </c>
      <c r="AB75" s="357"/>
      <c r="AC75" s="60"/>
      <c r="AD75" s="60"/>
      <c r="AE75" s="60"/>
    </row>
    <row r="76" spans="1:31" s="88" customFormat="1" ht="35.25" hidden="1" customHeight="1" x14ac:dyDescent="0.25">
      <c r="A76" s="80"/>
      <c r="B76" s="80"/>
      <c r="C76" s="80"/>
      <c r="D76" s="80"/>
      <c r="E76" s="80" t="s">
        <v>77</v>
      </c>
      <c r="F76" s="94" t="s">
        <v>81</v>
      </c>
      <c r="G76" s="82"/>
      <c r="H76" s="82"/>
      <c r="I76" s="82"/>
      <c r="J76" s="82"/>
      <c r="K76" s="82"/>
      <c r="L76" s="82" t="e">
        <f t="shared" si="24"/>
        <v>#DIV/0!</v>
      </c>
      <c r="M76" s="82">
        <f t="shared" si="25"/>
        <v>0</v>
      </c>
      <c r="N76" s="82"/>
      <c r="O76" s="82"/>
      <c r="P76" s="82"/>
      <c r="Q76" s="386">
        <f t="shared" si="21"/>
        <v>0</v>
      </c>
      <c r="R76" s="82"/>
      <c r="S76" s="82"/>
      <c r="T76" s="82"/>
      <c r="U76" s="357"/>
      <c r="V76" s="357"/>
      <c r="W76" s="357"/>
      <c r="X76" s="357"/>
      <c r="Y76" s="357"/>
      <c r="Z76" s="614" t="e">
        <f t="shared" si="26"/>
        <v>#DIV/0!</v>
      </c>
      <c r="AA76" s="614">
        <f t="shared" si="27"/>
        <v>0</v>
      </c>
      <c r="AB76" s="357"/>
      <c r="AC76" s="60"/>
      <c r="AD76" s="60"/>
      <c r="AE76" s="60"/>
    </row>
    <row r="77" spans="1:31" s="88" customFormat="1" ht="17.25" hidden="1" customHeight="1" x14ac:dyDescent="0.25">
      <c r="A77" s="80"/>
      <c r="B77" s="80"/>
      <c r="C77" s="80"/>
      <c r="D77" s="80"/>
      <c r="E77" s="80" t="s">
        <v>77</v>
      </c>
      <c r="F77" s="94" t="s">
        <v>82</v>
      </c>
      <c r="G77" s="82"/>
      <c r="H77" s="82"/>
      <c r="I77" s="82"/>
      <c r="J77" s="82"/>
      <c r="K77" s="82"/>
      <c r="L77" s="82" t="e">
        <f t="shared" si="24"/>
        <v>#DIV/0!</v>
      </c>
      <c r="M77" s="82">
        <f t="shared" si="25"/>
        <v>0</v>
      </c>
      <c r="N77" s="82"/>
      <c r="O77" s="82"/>
      <c r="P77" s="82"/>
      <c r="Q77" s="386">
        <f t="shared" si="21"/>
        <v>0</v>
      </c>
      <c r="R77" s="82"/>
      <c r="S77" s="82"/>
      <c r="T77" s="82"/>
      <c r="U77" s="357"/>
      <c r="V77" s="357"/>
      <c r="W77" s="357"/>
      <c r="X77" s="357"/>
      <c r="Y77" s="357"/>
      <c r="Z77" s="614" t="e">
        <f t="shared" si="26"/>
        <v>#DIV/0!</v>
      </c>
      <c r="AA77" s="614">
        <f t="shared" si="27"/>
        <v>0</v>
      </c>
      <c r="AB77" s="357"/>
      <c r="AC77" s="60"/>
      <c r="AD77" s="60"/>
      <c r="AE77" s="60"/>
    </row>
    <row r="78" spans="1:31" s="88" customFormat="1" ht="17.25" hidden="1" customHeight="1" x14ac:dyDescent="0.25">
      <c r="A78" s="80"/>
      <c r="B78" s="80"/>
      <c r="C78" s="80"/>
      <c r="D78" s="80"/>
      <c r="E78" s="80" t="s">
        <v>77</v>
      </c>
      <c r="F78" s="94" t="s">
        <v>54</v>
      </c>
      <c r="G78" s="82"/>
      <c r="H78" s="82"/>
      <c r="I78" s="82"/>
      <c r="J78" s="82"/>
      <c r="K78" s="82"/>
      <c r="L78" s="82" t="e">
        <f t="shared" si="24"/>
        <v>#DIV/0!</v>
      </c>
      <c r="M78" s="82">
        <f t="shared" si="25"/>
        <v>0</v>
      </c>
      <c r="N78" s="82"/>
      <c r="O78" s="82"/>
      <c r="P78" s="82"/>
      <c r="Q78" s="386">
        <f t="shared" si="21"/>
        <v>0</v>
      </c>
      <c r="R78" s="82"/>
      <c r="S78" s="82"/>
      <c r="T78" s="82"/>
      <c r="U78" s="357"/>
      <c r="V78" s="357"/>
      <c r="W78" s="357"/>
      <c r="X78" s="357"/>
      <c r="Y78" s="357"/>
      <c r="Z78" s="614" t="e">
        <f t="shared" si="26"/>
        <v>#DIV/0!</v>
      </c>
      <c r="AA78" s="614">
        <f t="shared" si="27"/>
        <v>0</v>
      </c>
      <c r="AB78" s="357"/>
      <c r="AC78" s="60"/>
      <c r="AD78" s="60"/>
      <c r="AE78" s="60"/>
    </row>
    <row r="79" spans="1:31" s="88" customFormat="1" ht="17.25" hidden="1" customHeight="1" x14ac:dyDescent="0.25">
      <c r="A79" s="80"/>
      <c r="B79" s="80"/>
      <c r="C79" s="80"/>
      <c r="D79" s="80"/>
      <c r="E79" s="80" t="s">
        <v>77</v>
      </c>
      <c r="F79" s="94" t="s">
        <v>879</v>
      </c>
      <c r="G79" s="82"/>
      <c r="H79" s="82"/>
      <c r="I79" s="82"/>
      <c r="J79" s="82"/>
      <c r="K79" s="82"/>
      <c r="L79" s="82" t="e">
        <f t="shared" si="24"/>
        <v>#DIV/0!</v>
      </c>
      <c r="M79" s="82">
        <f t="shared" si="25"/>
        <v>0</v>
      </c>
      <c r="N79" s="82"/>
      <c r="O79" s="82"/>
      <c r="P79" s="82"/>
      <c r="Q79" s="386">
        <f t="shared" si="21"/>
        <v>0</v>
      </c>
      <c r="R79" s="82"/>
      <c r="S79" s="82"/>
      <c r="T79" s="82"/>
      <c r="U79" s="357"/>
      <c r="V79" s="357"/>
      <c r="W79" s="357"/>
      <c r="X79" s="357"/>
      <c r="Y79" s="357"/>
      <c r="Z79" s="614" t="e">
        <f t="shared" si="26"/>
        <v>#DIV/0!</v>
      </c>
      <c r="AA79" s="614">
        <f t="shared" si="27"/>
        <v>0</v>
      </c>
      <c r="AB79" s="357"/>
      <c r="AC79" s="60"/>
      <c r="AD79" s="60"/>
      <c r="AE79" s="60"/>
    </row>
    <row r="80" spans="1:31" s="88" customFormat="1" ht="36.75" hidden="1" customHeight="1" x14ac:dyDescent="0.25">
      <c r="A80" s="80"/>
      <c r="B80" s="80"/>
      <c r="C80" s="80"/>
      <c r="D80" s="80"/>
      <c r="E80" s="80" t="s">
        <v>880</v>
      </c>
      <c r="F80" s="94" t="s">
        <v>885</v>
      </c>
      <c r="G80" s="82">
        <v>662954.62</v>
      </c>
      <c r="H80" s="82">
        <v>2967000</v>
      </c>
      <c r="I80" s="82">
        <v>1956073.78</v>
      </c>
      <c r="J80" s="82">
        <v>3271000</v>
      </c>
      <c r="K80" s="82">
        <v>0</v>
      </c>
      <c r="L80" s="82">
        <f t="shared" si="24"/>
        <v>0</v>
      </c>
      <c r="M80" s="82">
        <f t="shared" si="25"/>
        <v>-3271000</v>
      </c>
      <c r="N80" s="82">
        <v>0</v>
      </c>
      <c r="O80" s="82">
        <v>0</v>
      </c>
      <c r="P80" s="82">
        <v>0</v>
      </c>
      <c r="Q80" s="386">
        <f t="shared" si="21"/>
        <v>0</v>
      </c>
      <c r="R80" s="82">
        <v>0</v>
      </c>
      <c r="S80" s="82">
        <v>0</v>
      </c>
      <c r="T80" s="82">
        <v>0</v>
      </c>
      <c r="U80" s="357"/>
      <c r="V80" s="357"/>
      <c r="W80" s="357"/>
      <c r="X80" s="357"/>
      <c r="Y80" s="357"/>
      <c r="Z80" s="614" t="e">
        <f t="shared" si="26"/>
        <v>#DIV/0!</v>
      </c>
      <c r="AA80" s="614">
        <f t="shared" si="27"/>
        <v>0</v>
      </c>
      <c r="AB80" s="357"/>
      <c r="AC80" s="60"/>
      <c r="AD80" s="60"/>
      <c r="AE80" s="60"/>
    </row>
    <row r="81" spans="1:31" s="88" customFormat="1" ht="38.25" hidden="1" customHeight="1" x14ac:dyDescent="0.25">
      <c r="A81" s="80"/>
      <c r="B81" s="80"/>
      <c r="C81" s="80"/>
      <c r="D81" s="80"/>
      <c r="E81" s="80" t="s">
        <v>880</v>
      </c>
      <c r="F81" s="81" t="s">
        <v>890</v>
      </c>
      <c r="G81" s="82">
        <v>0</v>
      </c>
      <c r="H81" s="82">
        <v>0</v>
      </c>
      <c r="I81" s="82"/>
      <c r="J81" s="82"/>
      <c r="K81" s="82">
        <v>0</v>
      </c>
      <c r="L81" s="82" t="e">
        <f t="shared" si="24"/>
        <v>#DIV/0!</v>
      </c>
      <c r="M81" s="82">
        <f t="shared" si="25"/>
        <v>0</v>
      </c>
      <c r="N81" s="82">
        <v>0</v>
      </c>
      <c r="O81" s="82">
        <v>0</v>
      </c>
      <c r="P81" s="82"/>
      <c r="Q81" s="386">
        <f t="shared" si="21"/>
        <v>0</v>
      </c>
      <c r="R81" s="82">
        <v>0</v>
      </c>
      <c r="S81" s="82">
        <v>0</v>
      </c>
      <c r="T81" s="82">
        <v>0</v>
      </c>
      <c r="U81" s="357"/>
      <c r="V81" s="357"/>
      <c r="W81" s="357"/>
      <c r="X81" s="357"/>
      <c r="Y81" s="357"/>
      <c r="Z81" s="614" t="e">
        <f t="shared" si="26"/>
        <v>#DIV/0!</v>
      </c>
      <c r="AA81" s="614">
        <f t="shared" si="27"/>
        <v>0</v>
      </c>
      <c r="AB81" s="357"/>
      <c r="AC81" s="60"/>
      <c r="AD81" s="60"/>
      <c r="AE81" s="60"/>
    </row>
    <row r="82" spans="1:31" s="88" customFormat="1" ht="52.5" customHeight="1" x14ac:dyDescent="0.25">
      <c r="A82" s="80"/>
      <c r="B82" s="80"/>
      <c r="C82" s="80"/>
      <c r="D82" s="80"/>
      <c r="E82" s="80" t="s">
        <v>880</v>
      </c>
      <c r="F82" s="81" t="s">
        <v>210</v>
      </c>
      <c r="G82" s="82">
        <v>0</v>
      </c>
      <c r="H82" s="82">
        <v>1172500</v>
      </c>
      <c r="I82" s="82">
        <v>1137299.01</v>
      </c>
      <c r="J82" s="82">
        <v>1207500</v>
      </c>
      <c r="K82" s="82">
        <v>0</v>
      </c>
      <c r="L82" s="82">
        <f t="shared" si="24"/>
        <v>0</v>
      </c>
      <c r="M82" s="82">
        <f t="shared" si="25"/>
        <v>-711248.74</v>
      </c>
      <c r="N82" s="82">
        <v>496251.26</v>
      </c>
      <c r="O82" s="82">
        <v>523000</v>
      </c>
      <c r="P82" s="82">
        <v>18000</v>
      </c>
      <c r="Q82" s="386">
        <f t="shared" si="21"/>
        <v>18000</v>
      </c>
      <c r="R82" s="82">
        <v>523000</v>
      </c>
      <c r="S82" s="82">
        <v>0</v>
      </c>
      <c r="T82" s="82">
        <v>0</v>
      </c>
      <c r="U82" s="357">
        <v>541000</v>
      </c>
      <c r="V82" s="428">
        <v>0</v>
      </c>
      <c r="W82" s="428">
        <v>0</v>
      </c>
      <c r="X82" s="357">
        <v>0</v>
      </c>
      <c r="Y82" s="428"/>
      <c r="Z82" s="614" t="e">
        <f t="shared" si="26"/>
        <v>#DIV/0!</v>
      </c>
      <c r="AA82" s="614">
        <f t="shared" si="27"/>
        <v>810100</v>
      </c>
      <c r="AB82" s="428">
        <v>810100</v>
      </c>
      <c r="AC82" s="60"/>
      <c r="AD82" s="60"/>
      <c r="AE82" s="60"/>
    </row>
    <row r="83" spans="1:31" s="88" customFormat="1" ht="52.5" customHeight="1" x14ac:dyDescent="0.25">
      <c r="A83" s="80"/>
      <c r="B83" s="80"/>
      <c r="C83" s="80"/>
      <c r="D83" s="80"/>
      <c r="E83" s="80" t="s">
        <v>880</v>
      </c>
      <c r="F83" s="81" t="s">
        <v>732</v>
      </c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386"/>
      <c r="R83" s="82"/>
      <c r="S83" s="82"/>
      <c r="T83" s="82"/>
      <c r="U83" s="357"/>
      <c r="V83" s="428">
        <v>0</v>
      </c>
      <c r="W83" s="428"/>
      <c r="X83" s="357"/>
      <c r="Y83" s="428"/>
      <c r="Z83" s="614"/>
      <c r="AA83" s="614"/>
      <c r="AB83" s="428">
        <v>200000</v>
      </c>
      <c r="AC83" s="60"/>
      <c r="AD83" s="60"/>
      <c r="AE83" s="60"/>
    </row>
    <row r="84" spans="1:31" s="88" customFormat="1" ht="22.5" customHeight="1" x14ac:dyDescent="0.25">
      <c r="A84" s="80"/>
      <c r="B84" s="80"/>
      <c r="C84" s="80"/>
      <c r="D84" s="80"/>
      <c r="E84" s="80"/>
      <c r="F84" s="81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386"/>
      <c r="R84" s="82"/>
      <c r="S84" s="82"/>
      <c r="T84" s="82"/>
      <c r="U84" s="357"/>
      <c r="V84" s="428"/>
      <c r="W84" s="428"/>
      <c r="X84" s="357"/>
      <c r="Y84" s="428"/>
      <c r="Z84" s="614"/>
      <c r="AA84" s="614"/>
      <c r="AB84" s="428"/>
      <c r="AC84" s="60"/>
      <c r="AD84" s="60"/>
      <c r="AE84" s="60"/>
    </row>
    <row r="85" spans="1:31" s="534" customFormat="1" ht="36" x14ac:dyDescent="0.25">
      <c r="A85" s="125"/>
      <c r="B85" s="125"/>
      <c r="C85" s="125"/>
      <c r="D85" s="125"/>
      <c r="E85" s="125"/>
      <c r="F85" s="126" t="s">
        <v>830</v>
      </c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393"/>
      <c r="R85" s="135"/>
      <c r="S85" s="135"/>
      <c r="T85" s="135"/>
      <c r="U85" s="393"/>
      <c r="V85" s="574">
        <f>V86</f>
        <v>31451699</v>
      </c>
      <c r="W85" s="574">
        <f>W86</f>
        <v>30315462</v>
      </c>
      <c r="X85" s="574">
        <f>X86</f>
        <v>31962255</v>
      </c>
      <c r="Y85" s="574">
        <f>Y86</f>
        <v>8568388.8100000005</v>
      </c>
      <c r="Z85" s="590">
        <f t="shared" si="26"/>
        <v>27.24</v>
      </c>
      <c r="AA85" s="590">
        <f t="shared" si="27"/>
        <v>592991</v>
      </c>
      <c r="AB85" s="574">
        <f>AB86</f>
        <v>32044690</v>
      </c>
      <c r="AC85" s="533"/>
      <c r="AD85" s="533"/>
      <c r="AE85" s="533"/>
    </row>
    <row r="86" spans="1:31" s="576" customFormat="1" ht="22.5" customHeight="1" x14ac:dyDescent="0.25">
      <c r="A86" s="74"/>
      <c r="B86" s="74" t="s">
        <v>665</v>
      </c>
      <c r="C86" s="74"/>
      <c r="D86" s="74"/>
      <c r="E86" s="74"/>
      <c r="F86" s="75" t="s">
        <v>666</v>
      </c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385"/>
      <c r="R86" s="76"/>
      <c r="S86" s="76"/>
      <c r="T86" s="76"/>
      <c r="U86" s="385"/>
      <c r="V86" s="575">
        <f>V88</f>
        <v>31451699</v>
      </c>
      <c r="W86" s="575">
        <f>W88</f>
        <v>30315462</v>
      </c>
      <c r="X86" s="575">
        <f>X88</f>
        <v>31962255</v>
      </c>
      <c r="Y86" s="575">
        <f>Y88</f>
        <v>8568388.8100000005</v>
      </c>
      <c r="Z86" s="610">
        <f t="shared" si="26"/>
        <v>27.24</v>
      </c>
      <c r="AA86" s="610">
        <f t="shared" si="27"/>
        <v>592991</v>
      </c>
      <c r="AB86" s="575">
        <f>AB88</f>
        <v>32044690</v>
      </c>
      <c r="AC86" s="95"/>
      <c r="AD86" s="95"/>
      <c r="AE86" s="95"/>
    </row>
    <row r="87" spans="1:31" s="576" customFormat="1" ht="46.5" customHeight="1" x14ac:dyDescent="0.25">
      <c r="A87" s="74"/>
      <c r="B87" s="74"/>
      <c r="C87" s="74" t="s">
        <v>143</v>
      </c>
      <c r="D87" s="74"/>
      <c r="E87" s="74"/>
      <c r="F87" s="75" t="s">
        <v>288</v>
      </c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385"/>
      <c r="R87" s="76"/>
      <c r="S87" s="76"/>
      <c r="T87" s="76"/>
      <c r="U87" s="385"/>
      <c r="V87" s="575">
        <f>V88</f>
        <v>31451699</v>
      </c>
      <c r="W87" s="575">
        <f>W88</f>
        <v>30315462</v>
      </c>
      <c r="X87" s="575">
        <f>X88</f>
        <v>31962255</v>
      </c>
      <c r="Y87" s="575">
        <f>Y88</f>
        <v>8568388.8100000005</v>
      </c>
      <c r="Z87" s="610">
        <f t="shared" si="26"/>
        <v>27.24</v>
      </c>
      <c r="AA87" s="610">
        <f t="shared" si="27"/>
        <v>592991</v>
      </c>
      <c r="AB87" s="575">
        <f>AB88</f>
        <v>32044690</v>
      </c>
      <c r="AC87" s="95"/>
      <c r="AD87" s="95"/>
      <c r="AE87" s="95"/>
    </row>
    <row r="88" spans="1:31" s="512" customFormat="1" ht="22.5" customHeight="1" x14ac:dyDescent="0.25">
      <c r="A88" s="510"/>
      <c r="B88" s="510"/>
      <c r="C88" s="510"/>
      <c r="D88" s="510" t="s">
        <v>891</v>
      </c>
      <c r="E88" s="510"/>
      <c r="F88" s="511" t="s">
        <v>892</v>
      </c>
      <c r="G88" s="515">
        <f>SUM(G89:G91)</f>
        <v>0</v>
      </c>
      <c r="H88" s="515">
        <f>SUM(H89:H91)</f>
        <v>44902116</v>
      </c>
      <c r="I88" s="515">
        <v>0</v>
      </c>
      <c r="J88" s="515">
        <f>SUM(J89:J91)</f>
        <v>43941850</v>
      </c>
      <c r="K88" s="515">
        <f>SUM(K89:K91)</f>
        <v>21518359.969999999</v>
      </c>
      <c r="L88" s="515">
        <f t="shared" si="24"/>
        <v>48.97</v>
      </c>
      <c r="M88" s="515">
        <f t="shared" si="25"/>
        <v>-5321747.5</v>
      </c>
      <c r="N88" s="515">
        <f>SUM(N89:N91)</f>
        <v>38620102.5</v>
      </c>
      <c r="O88" s="515">
        <f>SUM(O89:O91)</f>
        <v>35817706</v>
      </c>
      <c r="P88" s="515">
        <f>SUM(P89:P91)</f>
        <v>18699092.109999999</v>
      </c>
      <c r="Q88" s="435">
        <f t="shared" si="21"/>
        <v>-398000</v>
      </c>
      <c r="R88" s="515">
        <f t="shared" ref="R88:X88" si="28">SUM(R89:R91)</f>
        <v>36140739</v>
      </c>
      <c r="S88" s="515">
        <f t="shared" si="28"/>
        <v>40240400</v>
      </c>
      <c r="T88" s="515">
        <f t="shared" si="28"/>
        <v>40537800</v>
      </c>
      <c r="U88" s="516">
        <f t="shared" si="28"/>
        <v>35419706</v>
      </c>
      <c r="V88" s="516">
        <f t="shared" si="28"/>
        <v>31451699</v>
      </c>
      <c r="W88" s="516">
        <f t="shared" si="28"/>
        <v>30315462</v>
      </c>
      <c r="X88" s="516">
        <f t="shared" si="28"/>
        <v>31962255</v>
      </c>
      <c r="Y88" s="516">
        <f>Y89+Y91</f>
        <v>8568388.8100000005</v>
      </c>
      <c r="Z88" s="590">
        <f t="shared" si="26"/>
        <v>27.24</v>
      </c>
      <c r="AA88" s="590">
        <f t="shared" si="27"/>
        <v>592991</v>
      </c>
      <c r="AB88" s="516">
        <f>SUM(AB89:AB91)</f>
        <v>32044690</v>
      </c>
      <c r="AC88" s="372"/>
      <c r="AD88" s="372"/>
      <c r="AE88" s="372"/>
    </row>
    <row r="89" spans="1:31" s="85" customFormat="1" ht="36.75" customHeight="1" x14ac:dyDescent="0.25">
      <c r="A89" s="80"/>
      <c r="B89" s="80"/>
      <c r="C89" s="80"/>
      <c r="D89" s="80"/>
      <c r="E89" s="80" t="s">
        <v>893</v>
      </c>
      <c r="F89" s="81" t="s">
        <v>346</v>
      </c>
      <c r="G89" s="82"/>
      <c r="H89" s="82">
        <v>30420928</v>
      </c>
      <c r="I89" s="82">
        <v>0</v>
      </c>
      <c r="J89" s="82">
        <f>28603650+7000000</f>
        <v>35603650</v>
      </c>
      <c r="K89" s="82">
        <v>19337204.66</v>
      </c>
      <c r="L89" s="82">
        <f t="shared" si="24"/>
        <v>54.31</v>
      </c>
      <c r="M89" s="82">
        <f t="shared" si="25"/>
        <v>-7594977.6900000013</v>
      </c>
      <c r="N89" s="82">
        <v>28008672.309999999</v>
      </c>
      <c r="O89" s="82">
        <v>27113630</v>
      </c>
      <c r="P89" s="82">
        <v>16194737.84</v>
      </c>
      <c r="Q89" s="386">
        <f t="shared" si="21"/>
        <v>-398000</v>
      </c>
      <c r="R89" s="82">
        <v>27436663</v>
      </c>
      <c r="S89" s="82">
        <f>30555500+50000</f>
        <v>30605500</v>
      </c>
      <c r="T89" s="82">
        <f>29823200+50000</f>
        <v>29873200</v>
      </c>
      <c r="U89" s="357">
        <v>26715630</v>
      </c>
      <c r="V89" s="357">
        <v>22884550</v>
      </c>
      <c r="W89" s="357">
        <v>22462306</v>
      </c>
      <c r="X89" s="357">
        <v>23620130</v>
      </c>
      <c r="Y89" s="357">
        <v>8463162.7400000002</v>
      </c>
      <c r="Z89" s="614">
        <f t="shared" si="26"/>
        <v>36.979999999999997</v>
      </c>
      <c r="AA89" s="614">
        <f t="shared" si="27"/>
        <v>-161601</v>
      </c>
      <c r="AB89" s="357">
        <v>22722949</v>
      </c>
      <c r="AC89" s="60"/>
      <c r="AD89" s="60"/>
      <c r="AE89" s="60"/>
    </row>
    <row r="90" spans="1:31" s="85" customFormat="1" ht="36.75" hidden="1" customHeight="1" x14ac:dyDescent="0.25">
      <c r="A90" s="80"/>
      <c r="B90" s="80"/>
      <c r="C90" s="80"/>
      <c r="D90" s="80"/>
      <c r="E90" s="410" t="s">
        <v>893</v>
      </c>
      <c r="F90" s="81" t="s">
        <v>97</v>
      </c>
      <c r="G90" s="82"/>
      <c r="H90" s="82"/>
      <c r="I90" s="82"/>
      <c r="J90" s="82"/>
      <c r="K90" s="82"/>
      <c r="L90" s="82"/>
      <c r="M90" s="82"/>
      <c r="N90" s="82"/>
      <c r="O90" s="82">
        <v>0</v>
      </c>
      <c r="P90" s="82">
        <v>0</v>
      </c>
      <c r="Q90" s="386">
        <f t="shared" si="21"/>
        <v>0</v>
      </c>
      <c r="R90" s="82"/>
      <c r="S90" s="82"/>
      <c r="T90" s="82"/>
      <c r="U90" s="357">
        <v>0</v>
      </c>
      <c r="V90" s="357">
        <v>0</v>
      </c>
      <c r="W90" s="357">
        <v>0</v>
      </c>
      <c r="X90" s="357">
        <v>0</v>
      </c>
      <c r="Y90" s="357"/>
      <c r="Z90" s="614" t="e">
        <f t="shared" si="26"/>
        <v>#DIV/0!</v>
      </c>
      <c r="AA90" s="614">
        <f t="shared" si="27"/>
        <v>0</v>
      </c>
      <c r="AB90" s="357">
        <v>0</v>
      </c>
      <c r="AC90" s="60"/>
      <c r="AD90" s="60"/>
      <c r="AE90" s="60"/>
    </row>
    <row r="91" spans="1:31" s="85" customFormat="1" ht="39.75" customHeight="1" x14ac:dyDescent="0.25">
      <c r="A91" s="80"/>
      <c r="B91" s="80"/>
      <c r="C91" s="80"/>
      <c r="D91" s="80"/>
      <c r="E91" s="80" t="s">
        <v>894</v>
      </c>
      <c r="F91" s="81" t="s">
        <v>347</v>
      </c>
      <c r="G91" s="82"/>
      <c r="H91" s="82">
        <v>14481188</v>
      </c>
      <c r="I91" s="82">
        <v>0</v>
      </c>
      <c r="J91" s="82">
        <f>8338200</f>
        <v>8338200</v>
      </c>
      <c r="K91" s="82">
        <v>2181155.31</v>
      </c>
      <c r="L91" s="82">
        <f t="shared" ref="L91:L107" si="29">ROUND(K91/J91*100,2)</f>
        <v>26.16</v>
      </c>
      <c r="M91" s="82">
        <f>N91-J91</f>
        <v>2273230.1899999995</v>
      </c>
      <c r="N91" s="82">
        <v>10611430.189999999</v>
      </c>
      <c r="O91" s="82">
        <v>8704076</v>
      </c>
      <c r="P91" s="82">
        <v>2504354.27</v>
      </c>
      <c r="Q91" s="386">
        <f t="shared" si="21"/>
        <v>0</v>
      </c>
      <c r="R91" s="82">
        <v>8704076</v>
      </c>
      <c r="S91" s="82">
        <f>9634900</f>
        <v>9634900</v>
      </c>
      <c r="T91" s="82">
        <f>10664600</f>
        <v>10664600</v>
      </c>
      <c r="U91" s="357">
        <v>8704076</v>
      </c>
      <c r="V91" s="357">
        <f>8748149-181000</f>
        <v>8567149</v>
      </c>
      <c r="W91" s="357">
        <v>7853156</v>
      </c>
      <c r="X91" s="357">
        <v>8342125</v>
      </c>
      <c r="Y91" s="357">
        <v>105226.07</v>
      </c>
      <c r="Z91" s="614">
        <f t="shared" si="26"/>
        <v>1.23</v>
      </c>
      <c r="AA91" s="614">
        <f t="shared" si="27"/>
        <v>754592</v>
      </c>
      <c r="AB91" s="357">
        <v>9321741</v>
      </c>
      <c r="AC91" s="60"/>
      <c r="AD91" s="60"/>
      <c r="AE91" s="60"/>
    </row>
    <row r="92" spans="1:31" s="85" customFormat="1" ht="19.5" customHeight="1" x14ac:dyDescent="0.25">
      <c r="A92" s="80"/>
      <c r="B92" s="80"/>
      <c r="C92" s="80"/>
      <c r="D92" s="80"/>
      <c r="E92" s="80"/>
      <c r="F92" s="81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386"/>
      <c r="R92" s="82"/>
      <c r="S92" s="82"/>
      <c r="T92" s="82"/>
      <c r="U92" s="357"/>
      <c r="V92" s="357"/>
      <c r="W92" s="357"/>
      <c r="X92" s="357"/>
      <c r="Y92" s="357"/>
      <c r="Z92" s="614"/>
      <c r="AA92" s="614"/>
      <c r="AB92" s="357"/>
      <c r="AC92" s="60"/>
      <c r="AD92" s="60"/>
      <c r="AE92" s="60"/>
    </row>
    <row r="93" spans="1:31" s="571" customFormat="1" ht="21.75" customHeight="1" x14ac:dyDescent="0.25">
      <c r="A93" s="125"/>
      <c r="B93" s="125"/>
      <c r="C93" s="125"/>
      <c r="D93" s="125"/>
      <c r="E93" s="125"/>
      <c r="F93" s="126" t="s">
        <v>824</v>
      </c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393"/>
      <c r="R93" s="135"/>
      <c r="S93" s="135"/>
      <c r="T93" s="135"/>
      <c r="U93" s="393"/>
      <c r="V93" s="393">
        <f t="shared" ref="V93:X94" si="30">V94</f>
        <v>29886763</v>
      </c>
      <c r="W93" s="393">
        <f t="shared" si="30"/>
        <v>29898735</v>
      </c>
      <c r="X93" s="393">
        <f t="shared" si="30"/>
        <v>29841024</v>
      </c>
      <c r="Y93" s="393">
        <f>Y94</f>
        <v>10832590.529999999</v>
      </c>
      <c r="Z93" s="590">
        <f t="shared" si="26"/>
        <v>36.25</v>
      </c>
      <c r="AA93" s="590">
        <f t="shared" si="27"/>
        <v>-4250932</v>
      </c>
      <c r="AB93" s="393">
        <f>AB94</f>
        <v>25635831</v>
      </c>
      <c r="AC93" s="533"/>
      <c r="AD93" s="533"/>
      <c r="AE93" s="533"/>
    </row>
    <row r="94" spans="1:31" s="573" customFormat="1" ht="25.5" customHeight="1" x14ac:dyDescent="0.25">
      <c r="A94" s="74"/>
      <c r="B94" s="74" t="s">
        <v>665</v>
      </c>
      <c r="C94" s="74"/>
      <c r="D94" s="74"/>
      <c r="E94" s="74"/>
      <c r="F94" s="75" t="s">
        <v>666</v>
      </c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385"/>
      <c r="R94" s="76"/>
      <c r="S94" s="76"/>
      <c r="T94" s="76"/>
      <c r="U94" s="385"/>
      <c r="V94" s="385">
        <f t="shared" si="30"/>
        <v>29886763</v>
      </c>
      <c r="W94" s="385">
        <f t="shared" si="30"/>
        <v>29898735</v>
      </c>
      <c r="X94" s="385">
        <f t="shared" si="30"/>
        <v>29841024</v>
      </c>
      <c r="Y94" s="385">
        <f>Y95</f>
        <v>10832590.529999999</v>
      </c>
      <c r="Z94" s="610">
        <f t="shared" si="26"/>
        <v>36.25</v>
      </c>
      <c r="AA94" s="610">
        <f t="shared" si="27"/>
        <v>-4250932</v>
      </c>
      <c r="AB94" s="385">
        <f>AB95</f>
        <v>25635831</v>
      </c>
      <c r="AC94" s="95"/>
      <c r="AD94" s="95"/>
      <c r="AE94" s="95"/>
    </row>
    <row r="95" spans="1:31" s="95" customFormat="1" x14ac:dyDescent="0.25">
      <c r="A95" s="74"/>
      <c r="B95" s="74"/>
      <c r="C95" s="74" t="s">
        <v>895</v>
      </c>
      <c r="D95" s="74"/>
      <c r="E95" s="74"/>
      <c r="F95" s="75" t="s">
        <v>896</v>
      </c>
      <c r="G95" s="76">
        <f>G96+G101+G114</f>
        <v>1981560.71</v>
      </c>
      <c r="H95" s="76">
        <f>H96+H101+H114</f>
        <v>3680372</v>
      </c>
      <c r="I95" s="76">
        <f>I96+I101+I114</f>
        <v>3571301.4799999995</v>
      </c>
      <c r="J95" s="76">
        <f>J96+J101+J114</f>
        <v>6414300</v>
      </c>
      <c r="K95" s="76">
        <f>K96+K101+K114</f>
        <v>11690033.93</v>
      </c>
      <c r="L95" s="76">
        <f t="shared" si="29"/>
        <v>182.25</v>
      </c>
      <c r="M95" s="76">
        <f>M96+M101+M114</f>
        <v>11382094.58</v>
      </c>
      <c r="N95" s="76">
        <f>N96+N101+N114</f>
        <v>17796394.580000002</v>
      </c>
      <c r="O95" s="76">
        <f>O96+O101+O114</f>
        <v>18225566</v>
      </c>
      <c r="P95" s="76">
        <f>P96+P101+P114</f>
        <v>20141481.349999998</v>
      </c>
      <c r="Q95" s="385">
        <f t="shared" si="21"/>
        <v>9515263</v>
      </c>
      <c r="R95" s="76">
        <f t="shared" ref="R95:X95" si="31">R96+R101+R114</f>
        <v>18125566</v>
      </c>
      <c r="S95" s="76">
        <f t="shared" si="31"/>
        <v>16074000</v>
      </c>
      <c r="T95" s="76">
        <f t="shared" si="31"/>
        <v>16026000</v>
      </c>
      <c r="U95" s="356">
        <f t="shared" si="31"/>
        <v>27740829</v>
      </c>
      <c r="V95" s="356">
        <f t="shared" si="31"/>
        <v>29886763</v>
      </c>
      <c r="W95" s="356">
        <f t="shared" si="31"/>
        <v>29898735</v>
      </c>
      <c r="X95" s="356">
        <f t="shared" si="31"/>
        <v>29841024</v>
      </c>
      <c r="Y95" s="356">
        <f>Y96+Y101+Y114</f>
        <v>10832590.529999999</v>
      </c>
      <c r="Z95" s="610">
        <f t="shared" si="26"/>
        <v>36.25</v>
      </c>
      <c r="AA95" s="610">
        <f t="shared" si="27"/>
        <v>-4250932</v>
      </c>
      <c r="AB95" s="356">
        <f>AB96+AB101+AB114</f>
        <v>25635831</v>
      </c>
      <c r="AC95" s="107"/>
      <c r="AD95" s="107"/>
      <c r="AE95" s="107"/>
    </row>
    <row r="96" spans="1:31" s="593" customFormat="1" ht="16.5" customHeight="1" x14ac:dyDescent="0.25">
      <c r="A96" s="592"/>
      <c r="B96" s="125"/>
      <c r="C96" s="125"/>
      <c r="D96" s="125" t="s">
        <v>897</v>
      </c>
      <c r="E96" s="125"/>
      <c r="F96" s="126" t="s">
        <v>898</v>
      </c>
      <c r="G96" s="135">
        <f>SUM(G97:G100)</f>
        <v>730572.48</v>
      </c>
      <c r="H96" s="135">
        <f>SUM(H97:H100)</f>
        <v>350000</v>
      </c>
      <c r="I96" s="135">
        <f>SUM(I97:I100)</f>
        <v>348510.24</v>
      </c>
      <c r="J96" s="135">
        <f>SUM(J97:J100)</f>
        <v>360000</v>
      </c>
      <c r="K96" s="135">
        <f>SUM(K97:K100)</f>
        <v>327270.28000000003</v>
      </c>
      <c r="L96" s="135">
        <f t="shared" si="29"/>
        <v>90.91</v>
      </c>
      <c r="M96" s="135">
        <f>SUM(M97:M100)</f>
        <v>208040.78000000003</v>
      </c>
      <c r="N96" s="135">
        <f>SUM(N97:N100)</f>
        <v>568040.78</v>
      </c>
      <c r="O96" s="135">
        <f>SUM(O97:O100)</f>
        <v>520000</v>
      </c>
      <c r="P96" s="135">
        <f>SUM(P97:P100)</f>
        <v>531628.54</v>
      </c>
      <c r="Q96" s="393">
        <f t="shared" si="21"/>
        <v>245000</v>
      </c>
      <c r="R96" s="135">
        <f t="shared" ref="R96:X96" si="32">SUM(R97:R100)</f>
        <v>420000</v>
      </c>
      <c r="S96" s="135">
        <f t="shared" si="32"/>
        <v>340000</v>
      </c>
      <c r="T96" s="135">
        <f t="shared" si="32"/>
        <v>340000</v>
      </c>
      <c r="U96" s="393">
        <f t="shared" si="32"/>
        <v>765000</v>
      </c>
      <c r="V96" s="393">
        <f t="shared" si="32"/>
        <v>585000</v>
      </c>
      <c r="W96" s="393">
        <f t="shared" si="32"/>
        <v>560000</v>
      </c>
      <c r="X96" s="393">
        <f t="shared" si="32"/>
        <v>568000</v>
      </c>
      <c r="Y96" s="393">
        <f>SUM(Y98:Y100)</f>
        <v>184656.83</v>
      </c>
      <c r="Z96" s="614">
        <f t="shared" si="26"/>
        <v>31.57</v>
      </c>
      <c r="AA96" s="614">
        <f t="shared" si="27"/>
        <v>120000</v>
      </c>
      <c r="AB96" s="393">
        <f>SUM(AB97:AB100)</f>
        <v>705000</v>
      </c>
      <c r="AC96" s="533"/>
      <c r="AD96" s="533"/>
      <c r="AE96" s="533"/>
    </row>
    <row r="97" spans="1:31" s="88" customFormat="1" ht="19.5" hidden="1" customHeight="1" x14ac:dyDescent="0.25">
      <c r="A97" s="80" t="s">
        <v>527</v>
      </c>
      <c r="B97" s="80"/>
      <c r="C97" s="80"/>
      <c r="D97" s="80"/>
      <c r="E97" s="80" t="s">
        <v>899</v>
      </c>
      <c r="F97" s="81" t="s">
        <v>900</v>
      </c>
      <c r="G97" s="82">
        <v>382977.9</v>
      </c>
      <c r="I97" s="82">
        <v>110206.71</v>
      </c>
      <c r="J97" s="82"/>
      <c r="K97" s="82"/>
      <c r="L97" s="82" t="e">
        <f t="shared" si="29"/>
        <v>#DIV/0!</v>
      </c>
      <c r="M97" s="82">
        <f>N97-J97</f>
        <v>0</v>
      </c>
      <c r="N97" s="82"/>
      <c r="O97" s="82"/>
      <c r="P97" s="82"/>
      <c r="Q97" s="386">
        <f t="shared" si="21"/>
        <v>0</v>
      </c>
      <c r="R97" s="82"/>
      <c r="S97" s="82"/>
      <c r="T97" s="82"/>
      <c r="U97" s="357"/>
      <c r="V97" s="357"/>
      <c r="W97" s="357"/>
      <c r="X97" s="357"/>
      <c r="Y97" s="357"/>
      <c r="Z97" s="614" t="e">
        <f t="shared" si="26"/>
        <v>#DIV/0!</v>
      </c>
      <c r="AA97" s="614">
        <f t="shared" si="27"/>
        <v>0</v>
      </c>
      <c r="AB97" s="357"/>
      <c r="AC97" s="60"/>
      <c r="AD97" s="60"/>
      <c r="AE97" s="60"/>
    </row>
    <row r="98" spans="1:31" s="89" customFormat="1" ht="21" customHeight="1" x14ac:dyDescent="0.25">
      <c r="A98" s="80" t="s">
        <v>527</v>
      </c>
      <c r="B98" s="80"/>
      <c r="C98" s="80"/>
      <c r="D98" s="80"/>
      <c r="E98" s="80" t="s">
        <v>901</v>
      </c>
      <c r="F98" s="81" t="s">
        <v>902</v>
      </c>
      <c r="G98" s="82">
        <v>253418.58</v>
      </c>
      <c r="H98" s="82">
        <v>250000</v>
      </c>
      <c r="I98" s="82">
        <v>238303.53</v>
      </c>
      <c r="J98" s="82">
        <v>240000</v>
      </c>
      <c r="K98" s="82">
        <v>182695.7</v>
      </c>
      <c r="L98" s="82">
        <f t="shared" si="29"/>
        <v>76.12</v>
      </c>
      <c r="M98" s="82">
        <f>N98-J98</f>
        <v>86235.580000000016</v>
      </c>
      <c r="N98" s="82">
        <v>326235.58</v>
      </c>
      <c r="O98" s="82">
        <v>380000</v>
      </c>
      <c r="P98" s="82">
        <v>424330.61</v>
      </c>
      <c r="Q98" s="386">
        <f t="shared" si="21"/>
        <v>270000</v>
      </c>
      <c r="R98" s="82">
        <v>280000</v>
      </c>
      <c r="S98" s="82">
        <v>210000</v>
      </c>
      <c r="T98" s="82">
        <v>210000</v>
      </c>
      <c r="U98" s="357">
        <f>580000+70000</f>
        <v>650000</v>
      </c>
      <c r="V98" s="357">
        <v>475000</v>
      </c>
      <c r="W98" s="357">
        <v>450000</v>
      </c>
      <c r="X98" s="357">
        <v>460000</v>
      </c>
      <c r="Y98" s="357">
        <v>163324.93</v>
      </c>
      <c r="Z98" s="614">
        <f t="shared" si="26"/>
        <v>34.380000000000003</v>
      </c>
      <c r="AA98" s="614">
        <f t="shared" si="27"/>
        <v>0</v>
      </c>
      <c r="AB98" s="357">
        <v>475000</v>
      </c>
      <c r="AC98" s="60"/>
      <c r="AD98" s="60"/>
      <c r="AE98" s="60"/>
    </row>
    <row r="99" spans="1:31" s="89" customFormat="1" ht="20.25" customHeight="1" x14ac:dyDescent="0.25">
      <c r="A99" s="80" t="s">
        <v>527</v>
      </c>
      <c r="B99" s="80"/>
      <c r="C99" s="80"/>
      <c r="D99" s="80"/>
      <c r="E99" s="80" t="s">
        <v>903</v>
      </c>
      <c r="F99" s="81" t="s">
        <v>904</v>
      </c>
      <c r="G99" s="82"/>
      <c r="H99" s="82"/>
      <c r="I99" s="82">
        <v>0</v>
      </c>
      <c r="J99" s="82">
        <v>20000</v>
      </c>
      <c r="K99" s="82">
        <v>41074.58</v>
      </c>
      <c r="L99" s="82">
        <f t="shared" si="29"/>
        <v>205.37</v>
      </c>
      <c r="M99" s="82">
        <f>N99-J99</f>
        <v>27225.199999999997</v>
      </c>
      <c r="N99" s="82">
        <v>47225.2</v>
      </c>
      <c r="O99" s="82">
        <v>40000</v>
      </c>
      <c r="P99" s="82">
        <v>9197.93</v>
      </c>
      <c r="Q99" s="386">
        <f t="shared" si="21"/>
        <v>-25000</v>
      </c>
      <c r="R99" s="82">
        <v>40000</v>
      </c>
      <c r="S99" s="82">
        <v>30000</v>
      </c>
      <c r="T99" s="82">
        <v>30000</v>
      </c>
      <c r="U99" s="357">
        <v>15000</v>
      </c>
      <c r="V99" s="357">
        <v>10000</v>
      </c>
      <c r="W99" s="357">
        <v>10000</v>
      </c>
      <c r="X99" s="357">
        <v>8000</v>
      </c>
      <c r="Y99" s="357">
        <v>21331.9</v>
      </c>
      <c r="Z99" s="614">
        <f t="shared" si="26"/>
        <v>213.32</v>
      </c>
      <c r="AA99" s="614">
        <f t="shared" si="27"/>
        <v>20000</v>
      </c>
      <c r="AB99" s="357">
        <v>30000</v>
      </c>
      <c r="AC99" s="60"/>
      <c r="AD99" s="60"/>
      <c r="AE99" s="60"/>
    </row>
    <row r="100" spans="1:31" s="89" customFormat="1" ht="21" customHeight="1" x14ac:dyDescent="0.25">
      <c r="A100" s="80" t="s">
        <v>905</v>
      </c>
      <c r="B100" s="80"/>
      <c r="C100" s="80"/>
      <c r="D100" s="80"/>
      <c r="E100" s="80" t="s">
        <v>906</v>
      </c>
      <c r="F100" s="81" t="s">
        <v>907</v>
      </c>
      <c r="G100" s="82">
        <v>94176</v>
      </c>
      <c r="H100" s="82">
        <v>100000</v>
      </c>
      <c r="I100" s="82">
        <v>0</v>
      </c>
      <c r="J100" s="82">
        <v>100000</v>
      </c>
      <c r="K100" s="82">
        <v>103500</v>
      </c>
      <c r="L100" s="82">
        <f t="shared" si="29"/>
        <v>103.5</v>
      </c>
      <c r="M100" s="82">
        <f>N100-J100</f>
        <v>94580</v>
      </c>
      <c r="N100" s="82">
        <v>194580</v>
      </c>
      <c r="O100" s="82">
        <v>100000</v>
      </c>
      <c r="P100" s="82">
        <v>98100</v>
      </c>
      <c r="Q100" s="386">
        <f t="shared" si="21"/>
        <v>0</v>
      </c>
      <c r="R100" s="82">
        <v>100000</v>
      </c>
      <c r="S100" s="82">
        <v>100000</v>
      </c>
      <c r="T100" s="82">
        <v>100000</v>
      </c>
      <c r="U100" s="357">
        <v>100000</v>
      </c>
      <c r="V100" s="357">
        <v>100000</v>
      </c>
      <c r="W100" s="357">
        <v>100000</v>
      </c>
      <c r="X100" s="357">
        <v>100000</v>
      </c>
      <c r="Y100" s="357">
        <v>0</v>
      </c>
      <c r="Z100" s="614">
        <f t="shared" si="26"/>
        <v>0</v>
      </c>
      <c r="AA100" s="614">
        <f t="shared" si="27"/>
        <v>100000</v>
      </c>
      <c r="AB100" s="357">
        <v>200000</v>
      </c>
      <c r="AC100" s="60"/>
      <c r="AD100" s="60"/>
      <c r="AE100" s="60"/>
    </row>
    <row r="101" spans="1:31" s="96" customFormat="1" ht="22.5" customHeight="1" x14ac:dyDescent="0.25">
      <c r="A101" s="592" t="s">
        <v>803</v>
      </c>
      <c r="B101" s="125"/>
      <c r="C101" s="125"/>
      <c r="D101" s="125" t="s">
        <v>908</v>
      </c>
      <c r="E101" s="125"/>
      <c r="F101" s="126" t="s">
        <v>909</v>
      </c>
      <c r="G101" s="135">
        <f>SUM(G102:G112)</f>
        <v>1250988.23</v>
      </c>
      <c r="H101" s="135">
        <f>SUM(H102:H112)</f>
        <v>3210372</v>
      </c>
      <c r="I101" s="135">
        <f>SUM(I102:I112)</f>
        <v>3222791.2399999998</v>
      </c>
      <c r="J101" s="135">
        <f>J102+J110+J111+J112</f>
        <v>5904300</v>
      </c>
      <c r="K101" s="135">
        <f>K102+K110+K111+K112</f>
        <v>11315033.16</v>
      </c>
      <c r="L101" s="135">
        <f t="shared" si="29"/>
        <v>191.64</v>
      </c>
      <c r="M101" s="135">
        <f>N101-J101</f>
        <v>11260286.550000001</v>
      </c>
      <c r="N101" s="135">
        <f>N102+N110+N111+N112</f>
        <v>17164586.550000001</v>
      </c>
      <c r="O101" s="135">
        <f>O102+O110+O111+O112</f>
        <v>17265566</v>
      </c>
      <c r="P101" s="135">
        <f>P102+P110+P111+P112</f>
        <v>19254868.719999999</v>
      </c>
      <c r="Q101" s="393">
        <f t="shared" si="21"/>
        <v>9318263</v>
      </c>
      <c r="R101" s="135">
        <f t="shared" ref="R101:X101" si="33">R102+R110+R111+R112</f>
        <v>17265566</v>
      </c>
      <c r="S101" s="135">
        <f t="shared" si="33"/>
        <v>15686000</v>
      </c>
      <c r="T101" s="135">
        <f t="shared" si="33"/>
        <v>15641000</v>
      </c>
      <c r="U101" s="393">
        <f t="shared" si="33"/>
        <v>26583829</v>
      </c>
      <c r="V101" s="393">
        <f>V102+V110+V111+V112+V113</f>
        <v>29111763</v>
      </c>
      <c r="W101" s="393">
        <f t="shared" si="33"/>
        <v>29183735</v>
      </c>
      <c r="X101" s="393">
        <f t="shared" si="33"/>
        <v>29140024</v>
      </c>
      <c r="Y101" s="393">
        <f>Y102+Y110+Y112+Y113</f>
        <v>10571995.59</v>
      </c>
      <c r="Z101" s="590">
        <f t="shared" si="26"/>
        <v>36.32</v>
      </c>
      <c r="AA101" s="590">
        <f t="shared" si="27"/>
        <v>-4370932</v>
      </c>
      <c r="AB101" s="393">
        <f>AB102+AB110+AB111+AB112+AB113</f>
        <v>24740831</v>
      </c>
      <c r="AC101" s="533"/>
      <c r="AD101" s="533"/>
      <c r="AE101" s="533"/>
    </row>
    <row r="102" spans="1:31" s="90" customFormat="1" ht="20.25" customHeight="1" x14ac:dyDescent="0.25">
      <c r="A102" s="80"/>
      <c r="B102" s="80"/>
      <c r="C102" s="80"/>
      <c r="D102" s="80"/>
      <c r="E102" s="80" t="s">
        <v>910</v>
      </c>
      <c r="F102" s="81" t="s">
        <v>911</v>
      </c>
      <c r="G102" s="82">
        <v>611534.55000000005</v>
      </c>
      <c r="H102" s="82">
        <v>0</v>
      </c>
      <c r="I102" s="82"/>
      <c r="J102" s="82">
        <f>SUM(J103:J109)</f>
        <v>2274300</v>
      </c>
      <c r="K102" s="82">
        <f>SUM(K103:K109)</f>
        <v>1578455.6300000001</v>
      </c>
      <c r="L102" s="82">
        <f t="shared" si="29"/>
        <v>69.400000000000006</v>
      </c>
      <c r="M102" s="82">
        <f>SUM(M103:M109)</f>
        <v>-124903.2000000001</v>
      </c>
      <c r="N102" s="82">
        <f>SUM(N103:N109)</f>
        <v>2149396.7999999998</v>
      </c>
      <c r="O102" s="82">
        <f>SUM(O103:O109)</f>
        <v>2165566</v>
      </c>
      <c r="P102" s="82">
        <f>P103+P104+P105+P106+P107+P109</f>
        <v>1380060.34</v>
      </c>
      <c r="Q102" s="386">
        <f t="shared" si="21"/>
        <v>-38000</v>
      </c>
      <c r="R102" s="82">
        <f t="shared" ref="R102:X102" si="34">SUM(R103:R109)</f>
        <v>2165566</v>
      </c>
      <c r="S102" s="82">
        <f t="shared" si="34"/>
        <v>2122800</v>
      </c>
      <c r="T102" s="82">
        <f t="shared" si="34"/>
        <v>2127800</v>
      </c>
      <c r="U102" s="357">
        <f t="shared" si="34"/>
        <v>2127566</v>
      </c>
      <c r="V102" s="357">
        <f t="shared" si="34"/>
        <v>2138000</v>
      </c>
      <c r="W102" s="357">
        <f t="shared" si="34"/>
        <v>2138000</v>
      </c>
      <c r="X102" s="357">
        <f t="shared" si="34"/>
        <v>2153000</v>
      </c>
      <c r="Y102" s="357">
        <f>SUM(Y103:Y109)</f>
        <v>937381.00000000012</v>
      </c>
      <c r="Z102" s="614">
        <f t="shared" si="26"/>
        <v>43.84</v>
      </c>
      <c r="AA102" s="614">
        <f t="shared" si="27"/>
        <v>82831</v>
      </c>
      <c r="AB102" s="357">
        <f>SUM(AB103:AB109)</f>
        <v>2220831</v>
      </c>
      <c r="AC102" s="60"/>
      <c r="AD102" s="60"/>
      <c r="AE102" s="60"/>
    </row>
    <row r="103" spans="1:31" s="90" customFormat="1" ht="18" customHeight="1" x14ac:dyDescent="0.25">
      <c r="A103" s="80"/>
      <c r="B103" s="80"/>
      <c r="C103" s="80"/>
      <c r="D103" s="80"/>
      <c r="E103" s="80" t="s">
        <v>910</v>
      </c>
      <c r="F103" s="97" t="s">
        <v>913</v>
      </c>
      <c r="G103" s="82">
        <v>0</v>
      </c>
      <c r="H103" s="82">
        <v>132000</v>
      </c>
      <c r="I103" s="82">
        <v>131675.79</v>
      </c>
      <c r="J103" s="82">
        <v>133000</v>
      </c>
      <c r="K103" s="102">
        <v>112141.35</v>
      </c>
      <c r="L103" s="82">
        <f t="shared" si="29"/>
        <v>84.32</v>
      </c>
      <c r="M103" s="82">
        <f>N103-J103</f>
        <v>7619.1199999999953</v>
      </c>
      <c r="N103" s="82">
        <v>140619.12</v>
      </c>
      <c r="O103" s="82">
        <v>150000</v>
      </c>
      <c r="P103" s="82">
        <v>83841.98</v>
      </c>
      <c r="Q103" s="386">
        <f t="shared" si="21"/>
        <v>-7000</v>
      </c>
      <c r="R103" s="82">
        <v>150000</v>
      </c>
      <c r="S103" s="82">
        <v>130000</v>
      </c>
      <c r="T103" s="82">
        <v>130000</v>
      </c>
      <c r="U103" s="357">
        <v>143000</v>
      </c>
      <c r="V103" s="357">
        <v>150000</v>
      </c>
      <c r="W103" s="357">
        <v>150000</v>
      </c>
      <c r="X103" s="357">
        <v>150000</v>
      </c>
      <c r="Y103" s="357">
        <v>91725.41</v>
      </c>
      <c r="Z103" s="614">
        <f t="shared" si="26"/>
        <v>61.15</v>
      </c>
      <c r="AA103" s="614">
        <f t="shared" si="27"/>
        <v>0</v>
      </c>
      <c r="AB103" s="357">
        <v>150000</v>
      </c>
      <c r="AC103" s="60"/>
      <c r="AD103" s="60"/>
      <c r="AE103" s="60"/>
    </row>
    <row r="104" spans="1:31" s="90" customFormat="1" ht="18" hidden="1" customHeight="1" x14ac:dyDescent="0.25">
      <c r="A104" s="80"/>
      <c r="B104" s="80"/>
      <c r="C104" s="80"/>
      <c r="D104" s="80"/>
      <c r="E104" s="80"/>
      <c r="F104" s="81"/>
      <c r="G104" s="82"/>
      <c r="H104" s="82"/>
      <c r="I104" s="82"/>
      <c r="J104" s="82"/>
      <c r="K104" s="102"/>
      <c r="L104" s="82"/>
      <c r="M104" s="82"/>
      <c r="N104" s="82"/>
      <c r="O104" s="82"/>
      <c r="P104" s="82"/>
      <c r="Q104" s="386"/>
      <c r="R104" s="82"/>
      <c r="S104" s="82"/>
      <c r="T104" s="82"/>
      <c r="U104" s="357"/>
      <c r="V104" s="357"/>
      <c r="W104" s="357"/>
      <c r="X104" s="357"/>
      <c r="Y104" s="357"/>
      <c r="Z104" s="614" t="e">
        <f t="shared" si="26"/>
        <v>#DIV/0!</v>
      </c>
      <c r="AA104" s="614">
        <f t="shared" si="27"/>
        <v>0</v>
      </c>
      <c r="AB104" s="357"/>
      <c r="AC104" s="60"/>
      <c r="AD104" s="60"/>
      <c r="AE104" s="60"/>
    </row>
    <row r="105" spans="1:31" s="90" customFormat="1" ht="36.75" customHeight="1" x14ac:dyDescent="0.25">
      <c r="A105" s="80"/>
      <c r="B105" s="80"/>
      <c r="C105" s="80"/>
      <c r="D105" s="80"/>
      <c r="E105" s="80" t="s">
        <v>910</v>
      </c>
      <c r="F105" s="81" t="s">
        <v>953</v>
      </c>
      <c r="G105" s="82">
        <v>0</v>
      </c>
      <c r="H105" s="82">
        <v>250000</v>
      </c>
      <c r="I105" s="82">
        <v>192156.45</v>
      </c>
      <c r="J105" s="82">
        <v>250000</v>
      </c>
      <c r="K105" s="102">
        <v>137055.76</v>
      </c>
      <c r="L105" s="82">
        <f t="shared" si="29"/>
        <v>54.82</v>
      </c>
      <c r="M105" s="82">
        <f>N105-J105</f>
        <v>-43572.200000000012</v>
      </c>
      <c r="N105" s="82">
        <v>206427.8</v>
      </c>
      <c r="O105" s="82">
        <v>220000</v>
      </c>
      <c r="P105" s="82">
        <v>120814.39</v>
      </c>
      <c r="Q105" s="386">
        <f t="shared" si="21"/>
        <v>-14000</v>
      </c>
      <c r="R105" s="82">
        <v>220000</v>
      </c>
      <c r="S105" s="82">
        <v>180000</v>
      </c>
      <c r="T105" s="82">
        <v>180000</v>
      </c>
      <c r="U105" s="357">
        <v>206000</v>
      </c>
      <c r="V105" s="357">
        <v>210000</v>
      </c>
      <c r="W105" s="357">
        <v>210000</v>
      </c>
      <c r="X105" s="357">
        <v>210000</v>
      </c>
      <c r="Y105" s="357">
        <v>128411.38</v>
      </c>
      <c r="Z105" s="614">
        <f t="shared" si="26"/>
        <v>61.15</v>
      </c>
      <c r="AA105" s="614">
        <f t="shared" si="27"/>
        <v>100000</v>
      </c>
      <c r="AB105" s="357">
        <v>310000</v>
      </c>
      <c r="AC105" s="60"/>
      <c r="AD105" s="60"/>
      <c r="AE105" s="60"/>
    </row>
    <row r="106" spans="1:31" s="90" customFormat="1" ht="40.5" customHeight="1" x14ac:dyDescent="0.25">
      <c r="A106" s="80"/>
      <c r="B106" s="80"/>
      <c r="C106" s="80"/>
      <c r="D106" s="80"/>
      <c r="E106" s="80" t="s">
        <v>910</v>
      </c>
      <c r="F106" s="81" t="s">
        <v>154</v>
      </c>
      <c r="G106" s="82">
        <v>0</v>
      </c>
      <c r="H106" s="82">
        <v>121650</v>
      </c>
      <c r="I106" s="82">
        <v>129150</v>
      </c>
      <c r="J106" s="82">
        <v>1467300</v>
      </c>
      <c r="K106" s="102">
        <v>1100156.96</v>
      </c>
      <c r="L106" s="82">
        <f t="shared" si="29"/>
        <v>74.98</v>
      </c>
      <c r="M106" s="82">
        <f>N106-J106</f>
        <v>-666.85000000009313</v>
      </c>
      <c r="N106" s="82">
        <v>1466633.15</v>
      </c>
      <c r="O106" s="82">
        <v>1440566</v>
      </c>
      <c r="P106" s="82">
        <v>947633.91</v>
      </c>
      <c r="Q106" s="386">
        <f t="shared" si="21"/>
        <v>0</v>
      </c>
      <c r="R106" s="82">
        <v>1440566</v>
      </c>
      <c r="S106" s="82">
        <v>1489800</v>
      </c>
      <c r="T106" s="82">
        <v>1489800</v>
      </c>
      <c r="U106" s="357">
        <v>1440566</v>
      </c>
      <c r="V106" s="357">
        <v>1440000</v>
      </c>
      <c r="W106" s="357">
        <v>1440000</v>
      </c>
      <c r="X106" s="357">
        <v>1450000</v>
      </c>
      <c r="Y106" s="357">
        <v>613187.91</v>
      </c>
      <c r="Z106" s="614">
        <f t="shared" si="26"/>
        <v>42.58</v>
      </c>
      <c r="AA106" s="614">
        <f t="shared" si="27"/>
        <v>-17169</v>
      </c>
      <c r="AB106" s="357">
        <v>1422831</v>
      </c>
      <c r="AC106" s="60"/>
      <c r="AD106" s="60"/>
      <c r="AE106" s="60"/>
    </row>
    <row r="107" spans="1:31" s="90" customFormat="1" ht="36.75" customHeight="1" x14ac:dyDescent="0.25">
      <c r="A107" s="80"/>
      <c r="B107" s="80"/>
      <c r="C107" s="80"/>
      <c r="D107" s="80"/>
      <c r="E107" s="80" t="s">
        <v>910</v>
      </c>
      <c r="F107" s="81" t="s">
        <v>884</v>
      </c>
      <c r="G107" s="82">
        <v>0</v>
      </c>
      <c r="H107" s="82">
        <v>320000</v>
      </c>
      <c r="I107" s="82">
        <v>253958.71</v>
      </c>
      <c r="J107" s="82">
        <v>420000</v>
      </c>
      <c r="K107" s="102">
        <v>227596.27</v>
      </c>
      <c r="L107" s="82">
        <f t="shared" si="29"/>
        <v>54.19</v>
      </c>
      <c r="M107" s="82">
        <f>N107-J107</f>
        <v>-102588.56</v>
      </c>
      <c r="N107" s="82">
        <v>317411.44</v>
      </c>
      <c r="O107" s="82">
        <v>337000</v>
      </c>
      <c r="P107" s="82">
        <v>227709.75</v>
      </c>
      <c r="Q107" s="386">
        <f t="shared" si="21"/>
        <v>-17000</v>
      </c>
      <c r="R107" s="82">
        <v>337000</v>
      </c>
      <c r="S107" s="82">
        <v>305000</v>
      </c>
      <c r="T107" s="82">
        <v>310000</v>
      </c>
      <c r="U107" s="357">
        <v>320000</v>
      </c>
      <c r="V107" s="357">
        <v>320000</v>
      </c>
      <c r="W107" s="357">
        <v>320000</v>
      </c>
      <c r="X107" s="357">
        <v>325000</v>
      </c>
      <c r="Y107" s="357">
        <v>104056.3</v>
      </c>
      <c r="Z107" s="614">
        <f t="shared" si="26"/>
        <v>32.520000000000003</v>
      </c>
      <c r="AA107" s="614">
        <f t="shared" si="27"/>
        <v>0</v>
      </c>
      <c r="AB107" s="357">
        <v>320000</v>
      </c>
      <c r="AC107" s="60"/>
      <c r="AD107" s="60"/>
      <c r="AE107" s="60"/>
    </row>
    <row r="108" spans="1:31" s="90" customFormat="1" ht="36.75" hidden="1" customHeight="1" x14ac:dyDescent="0.25">
      <c r="A108" s="80"/>
      <c r="B108" s="80"/>
      <c r="C108" s="80"/>
      <c r="D108" s="80"/>
      <c r="E108" s="80" t="s">
        <v>910</v>
      </c>
      <c r="F108" s="81" t="s">
        <v>884</v>
      </c>
      <c r="G108" s="82"/>
      <c r="H108" s="82"/>
      <c r="I108" s="82">
        <v>1831388.31</v>
      </c>
      <c r="J108" s="82"/>
      <c r="K108" s="102"/>
      <c r="L108" s="82"/>
      <c r="M108" s="82"/>
      <c r="N108" s="82"/>
      <c r="O108" s="82"/>
      <c r="P108" s="82"/>
      <c r="Q108" s="386"/>
      <c r="R108" s="82"/>
      <c r="S108" s="82"/>
      <c r="T108" s="82"/>
      <c r="U108" s="357"/>
      <c r="V108" s="357"/>
      <c r="W108" s="357"/>
      <c r="X108" s="357"/>
      <c r="Y108" s="357"/>
      <c r="Z108" s="614" t="e">
        <f t="shared" si="26"/>
        <v>#DIV/0!</v>
      </c>
      <c r="AA108" s="614">
        <f t="shared" si="27"/>
        <v>0</v>
      </c>
      <c r="AB108" s="357"/>
      <c r="AC108" s="60"/>
      <c r="AD108" s="60"/>
      <c r="AE108" s="60"/>
    </row>
    <row r="109" spans="1:31" s="90" customFormat="1" ht="18" customHeight="1" x14ac:dyDescent="0.25">
      <c r="A109" s="80"/>
      <c r="B109" s="80"/>
      <c r="C109" s="80"/>
      <c r="D109" s="80"/>
      <c r="E109" s="80" t="s">
        <v>910</v>
      </c>
      <c r="F109" s="81" t="s">
        <v>958</v>
      </c>
      <c r="G109" s="82">
        <v>0</v>
      </c>
      <c r="H109" s="82">
        <v>4000</v>
      </c>
      <c r="I109" s="82">
        <v>3500</v>
      </c>
      <c r="J109" s="82">
        <v>4000</v>
      </c>
      <c r="K109" s="82">
        <v>1505.29</v>
      </c>
      <c r="L109" s="82">
        <f>ROUND(K109/J109*100,2)</f>
        <v>37.630000000000003</v>
      </c>
      <c r="M109" s="82">
        <f>N109-J109</f>
        <v>14305.29</v>
      </c>
      <c r="N109" s="82">
        <v>18305.29</v>
      </c>
      <c r="O109" s="82">
        <v>18000</v>
      </c>
      <c r="P109" s="82">
        <v>60.31</v>
      </c>
      <c r="Q109" s="386">
        <f>U109-O109</f>
        <v>0</v>
      </c>
      <c r="R109" s="82">
        <v>18000</v>
      </c>
      <c r="S109" s="82">
        <v>18000</v>
      </c>
      <c r="T109" s="82">
        <v>18000</v>
      </c>
      <c r="U109" s="357">
        <v>18000</v>
      </c>
      <c r="V109" s="357">
        <v>18000</v>
      </c>
      <c r="W109" s="357">
        <v>18000</v>
      </c>
      <c r="X109" s="357">
        <v>18000</v>
      </c>
      <c r="Y109" s="357">
        <v>0</v>
      </c>
      <c r="Z109" s="614">
        <f t="shared" si="26"/>
        <v>0</v>
      </c>
      <c r="AA109" s="614">
        <f t="shared" si="27"/>
        <v>0</v>
      </c>
      <c r="AB109" s="357">
        <v>18000</v>
      </c>
      <c r="AC109" s="60"/>
      <c r="AD109" s="60"/>
      <c r="AE109" s="60"/>
    </row>
    <row r="110" spans="1:31" s="88" customFormat="1" ht="19.5" customHeight="1" x14ac:dyDescent="0.25">
      <c r="A110" s="80"/>
      <c r="B110" s="80"/>
      <c r="C110" s="80"/>
      <c r="D110" s="80"/>
      <c r="E110" s="80" t="s">
        <v>959</v>
      </c>
      <c r="F110" s="81" t="s">
        <v>348</v>
      </c>
      <c r="G110" s="82">
        <v>639453.68000000005</v>
      </c>
      <c r="H110" s="82">
        <v>520000</v>
      </c>
      <c r="I110" s="82">
        <v>680961.98</v>
      </c>
      <c r="J110" s="82">
        <v>530000</v>
      </c>
      <c r="K110" s="82">
        <v>527035.5</v>
      </c>
      <c r="L110" s="82">
        <f>ROUND(K110/J110*100,2)</f>
        <v>99.44</v>
      </c>
      <c r="M110" s="82">
        <f>N110-J110</f>
        <v>308449.81000000006</v>
      </c>
      <c r="N110" s="82">
        <v>838449.81</v>
      </c>
      <c r="O110" s="82">
        <v>700000</v>
      </c>
      <c r="P110" s="82">
        <v>341691.88</v>
      </c>
      <c r="Q110" s="386">
        <f>U110-O110</f>
        <v>-104000</v>
      </c>
      <c r="R110" s="82">
        <v>700000</v>
      </c>
      <c r="S110" s="82">
        <v>600000</v>
      </c>
      <c r="T110" s="82">
        <v>600000</v>
      </c>
      <c r="U110" s="357">
        <f>500000+166000-70000</f>
        <v>596000</v>
      </c>
      <c r="V110" s="357">
        <v>668000</v>
      </c>
      <c r="W110" s="357">
        <v>700000</v>
      </c>
      <c r="X110" s="357">
        <v>750000</v>
      </c>
      <c r="Y110" s="357">
        <v>327173.52</v>
      </c>
      <c r="Z110" s="614">
        <f t="shared" si="26"/>
        <v>48.98</v>
      </c>
      <c r="AA110" s="614">
        <f t="shared" si="27"/>
        <v>152000</v>
      </c>
      <c r="AB110" s="357">
        <v>820000</v>
      </c>
      <c r="AC110" s="60"/>
      <c r="AD110" s="60"/>
      <c r="AE110" s="60"/>
    </row>
    <row r="111" spans="1:31" s="89" customFormat="1" ht="40.5" hidden="1" customHeight="1" x14ac:dyDescent="0.25">
      <c r="A111" s="80"/>
      <c r="B111" s="80"/>
      <c r="C111" s="80"/>
      <c r="D111" s="80"/>
      <c r="E111" s="80"/>
      <c r="F111" s="81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386"/>
      <c r="R111" s="82"/>
      <c r="S111" s="82"/>
      <c r="T111" s="82"/>
      <c r="U111" s="357"/>
      <c r="V111" s="357"/>
      <c r="W111" s="357"/>
      <c r="X111" s="357"/>
      <c r="Y111" s="357"/>
      <c r="Z111" s="614" t="e">
        <f t="shared" si="26"/>
        <v>#DIV/0!</v>
      </c>
      <c r="AA111" s="614">
        <f t="shared" si="27"/>
        <v>0</v>
      </c>
      <c r="AB111" s="357"/>
      <c r="AC111" s="60"/>
      <c r="AD111" s="60"/>
      <c r="AE111" s="60"/>
    </row>
    <row r="112" spans="1:31" s="85" customFormat="1" ht="42.75" customHeight="1" x14ac:dyDescent="0.25">
      <c r="A112" s="80"/>
      <c r="B112" s="80"/>
      <c r="C112" s="80"/>
      <c r="D112" s="80"/>
      <c r="E112" s="80" t="s">
        <v>960</v>
      </c>
      <c r="F112" s="81" t="s">
        <v>350</v>
      </c>
      <c r="G112" s="82">
        <v>0</v>
      </c>
      <c r="H112" s="82">
        <v>1862722</v>
      </c>
      <c r="I112" s="82">
        <v>0</v>
      </c>
      <c r="J112" s="82">
        <v>3100000</v>
      </c>
      <c r="K112" s="82">
        <v>9209542.0299999993</v>
      </c>
      <c r="L112" s="82">
        <f>ROUND(K112/J112*100,2)</f>
        <v>297.08</v>
      </c>
      <c r="M112" s="82">
        <f>N112-J112</f>
        <v>11076739.939999999</v>
      </c>
      <c r="N112" s="82">
        <v>14176739.939999999</v>
      </c>
      <c r="O112" s="82">
        <v>14400000</v>
      </c>
      <c r="P112" s="82">
        <v>17533116.5</v>
      </c>
      <c r="Q112" s="386">
        <f>U112-O112</f>
        <v>9460263</v>
      </c>
      <c r="R112" s="82">
        <v>14400000</v>
      </c>
      <c r="S112" s="82">
        <f>12550000-36800-50000+500000</f>
        <v>12963200</v>
      </c>
      <c r="T112" s="82">
        <f>12500000-36800-50000+500000</f>
        <v>12913200</v>
      </c>
      <c r="U112" s="386">
        <f>22120000+158454+100000+309+38761+309-29070+20000+841500+1000000-250000-140000</f>
        <v>23860263</v>
      </c>
      <c r="V112" s="386">
        <f>26100040+22299+1000+41000+141424</f>
        <v>26305763</v>
      </c>
      <c r="W112" s="386">
        <f>26586478-187570-100000-1554+40000-177318+2000+184000-301</f>
        <v>26345735</v>
      </c>
      <c r="X112" s="386">
        <f>26598769-142504-100000-159940-160000+1000+200000-30301+30000</f>
        <v>26237024</v>
      </c>
      <c r="Y112" s="357">
        <v>9144678.8300000001</v>
      </c>
      <c r="Z112" s="614">
        <f t="shared" si="26"/>
        <v>34.76</v>
      </c>
      <c r="AA112" s="614">
        <f t="shared" si="27"/>
        <v>-4905763</v>
      </c>
      <c r="AB112" s="386">
        <v>21400000</v>
      </c>
      <c r="AC112" s="138"/>
      <c r="AD112" s="138"/>
      <c r="AE112" s="138"/>
    </row>
    <row r="113" spans="1:56" s="85" customFormat="1" ht="42.75" customHeight="1" x14ac:dyDescent="0.25">
      <c r="A113" s="616"/>
      <c r="B113" s="100"/>
      <c r="C113" s="100"/>
      <c r="D113" s="100"/>
      <c r="E113" s="100" t="s">
        <v>57</v>
      </c>
      <c r="F113" s="101" t="s">
        <v>58</v>
      </c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437"/>
      <c r="R113" s="102"/>
      <c r="S113" s="102"/>
      <c r="T113" s="102"/>
      <c r="U113" s="437"/>
      <c r="V113" s="437">
        <v>0</v>
      </c>
      <c r="W113" s="437"/>
      <c r="X113" s="437"/>
      <c r="Y113" s="360">
        <v>162762.23999999999</v>
      </c>
      <c r="Z113" s="614" t="e">
        <f t="shared" si="26"/>
        <v>#DIV/0!</v>
      </c>
      <c r="AA113" s="614">
        <f t="shared" si="27"/>
        <v>300000</v>
      </c>
      <c r="AB113" s="437">
        <v>300000</v>
      </c>
      <c r="AC113" s="138"/>
      <c r="AD113" s="138"/>
      <c r="AE113" s="138"/>
    </row>
    <row r="114" spans="1:56" s="571" customFormat="1" ht="18.75" customHeight="1" x14ac:dyDescent="0.25">
      <c r="A114" s="125"/>
      <c r="B114" s="125"/>
      <c r="C114" s="125"/>
      <c r="D114" s="125" t="s">
        <v>961</v>
      </c>
      <c r="E114" s="125"/>
      <c r="F114" s="126" t="s">
        <v>900</v>
      </c>
      <c r="G114" s="135">
        <f>SUM(G116:G116)</f>
        <v>0</v>
      </c>
      <c r="H114" s="135">
        <f>SUM(H116:H116)</f>
        <v>120000</v>
      </c>
      <c r="I114" s="135">
        <f>SUM(I116:I116)</f>
        <v>0</v>
      </c>
      <c r="J114" s="135">
        <f>J115+J116</f>
        <v>150000</v>
      </c>
      <c r="K114" s="135">
        <f>K115+K116</f>
        <v>47730.49</v>
      </c>
      <c r="L114" s="135">
        <f>ROUND(K114/J114*100,2)</f>
        <v>31.82</v>
      </c>
      <c r="M114" s="135">
        <f>N114-J114</f>
        <v>-86232.75</v>
      </c>
      <c r="N114" s="135">
        <f>N115+N116</f>
        <v>63767.25</v>
      </c>
      <c r="O114" s="135">
        <f>O115+O116</f>
        <v>440000</v>
      </c>
      <c r="P114" s="135">
        <f>P115+P116</f>
        <v>354984.08999999997</v>
      </c>
      <c r="Q114" s="393">
        <f>U114-O114</f>
        <v>-48000</v>
      </c>
      <c r="R114" s="135">
        <f t="shared" ref="R114:X114" si="35">R115+R116</f>
        <v>440000</v>
      </c>
      <c r="S114" s="135">
        <f t="shared" si="35"/>
        <v>48000</v>
      </c>
      <c r="T114" s="135">
        <f t="shared" si="35"/>
        <v>45000</v>
      </c>
      <c r="U114" s="393">
        <f t="shared" si="35"/>
        <v>392000</v>
      </c>
      <c r="V114" s="393">
        <f t="shared" si="35"/>
        <v>190000</v>
      </c>
      <c r="W114" s="393">
        <f t="shared" si="35"/>
        <v>155000</v>
      </c>
      <c r="X114" s="393">
        <f t="shared" si="35"/>
        <v>133000</v>
      </c>
      <c r="Y114" s="393">
        <f>Y115+Y116</f>
        <v>75938.11</v>
      </c>
      <c r="Z114" s="590">
        <f t="shared" si="26"/>
        <v>39.97</v>
      </c>
      <c r="AA114" s="590">
        <f t="shared" si="27"/>
        <v>0</v>
      </c>
      <c r="AB114" s="393">
        <f>AB115+AB116</f>
        <v>190000</v>
      </c>
      <c r="AC114" s="533"/>
      <c r="AD114" s="533"/>
      <c r="AE114" s="533"/>
    </row>
    <row r="115" spans="1:56" s="89" customFormat="1" ht="41.25" customHeight="1" x14ac:dyDescent="0.25">
      <c r="A115" s="80"/>
      <c r="B115" s="80"/>
      <c r="C115" s="80"/>
      <c r="D115" s="80"/>
      <c r="E115" s="80" t="s">
        <v>962</v>
      </c>
      <c r="F115" s="81" t="s">
        <v>232</v>
      </c>
      <c r="G115" s="82">
        <v>0</v>
      </c>
      <c r="H115" s="82"/>
      <c r="I115" s="82">
        <v>0</v>
      </c>
      <c r="J115" s="82">
        <v>0</v>
      </c>
      <c r="K115" s="82">
        <v>32051.32</v>
      </c>
      <c r="L115" s="82" t="e">
        <f>ROUND(K115/J115*100,2)</f>
        <v>#DIV/0!</v>
      </c>
      <c r="M115" s="82">
        <f>N115-J115</f>
        <v>47639.4</v>
      </c>
      <c r="N115" s="82">
        <v>47639.4</v>
      </c>
      <c r="O115" s="82">
        <v>380000</v>
      </c>
      <c r="P115" s="82">
        <v>322509.67</v>
      </c>
      <c r="Q115" s="386">
        <f>U115-O115</f>
        <v>-38000</v>
      </c>
      <c r="R115" s="82">
        <v>320000</v>
      </c>
      <c r="S115" s="82">
        <v>33000</v>
      </c>
      <c r="T115" s="82">
        <v>30000</v>
      </c>
      <c r="U115" s="357">
        <f>300000+42000</f>
        <v>342000</v>
      </c>
      <c r="V115" s="357">
        <v>170000</v>
      </c>
      <c r="W115" s="357">
        <v>140000</v>
      </c>
      <c r="X115" s="357">
        <v>120000</v>
      </c>
      <c r="Y115" s="357">
        <v>67483.12</v>
      </c>
      <c r="Z115" s="614">
        <f t="shared" si="26"/>
        <v>39.700000000000003</v>
      </c>
      <c r="AA115" s="614">
        <f t="shared" si="27"/>
        <v>0</v>
      </c>
      <c r="AB115" s="357">
        <v>170000</v>
      </c>
      <c r="AC115" s="60"/>
      <c r="AD115" s="60"/>
      <c r="AE115" s="60"/>
    </row>
    <row r="116" spans="1:56" s="89" customFormat="1" ht="39.75" customHeight="1" x14ac:dyDescent="0.25">
      <c r="A116" s="80"/>
      <c r="B116" s="80"/>
      <c r="C116" s="80"/>
      <c r="D116" s="80"/>
      <c r="E116" s="80" t="s">
        <v>963</v>
      </c>
      <c r="F116" s="81" t="s">
        <v>964</v>
      </c>
      <c r="G116" s="82">
        <v>0</v>
      </c>
      <c r="H116" s="82">
        <v>120000</v>
      </c>
      <c r="I116" s="82">
        <v>0</v>
      </c>
      <c r="J116" s="82">
        <v>150000</v>
      </c>
      <c r="K116" s="82">
        <v>15679.17</v>
      </c>
      <c r="L116" s="82">
        <f>ROUND(K116/J116*100,2)</f>
        <v>10.45</v>
      </c>
      <c r="M116" s="82">
        <f>N116-J116</f>
        <v>-133872.15</v>
      </c>
      <c r="N116" s="82">
        <v>16127.85</v>
      </c>
      <c r="O116" s="82">
        <v>60000</v>
      </c>
      <c r="P116" s="82">
        <v>32474.42</v>
      </c>
      <c r="Q116" s="386">
        <f>U116-O116</f>
        <v>-10000</v>
      </c>
      <c r="R116" s="82">
        <v>120000</v>
      </c>
      <c r="S116" s="82">
        <v>15000</v>
      </c>
      <c r="T116" s="82">
        <v>15000</v>
      </c>
      <c r="U116" s="357">
        <f>40000+10000</f>
        <v>50000</v>
      </c>
      <c r="V116" s="357">
        <v>20000</v>
      </c>
      <c r="W116" s="357">
        <v>15000</v>
      </c>
      <c r="X116" s="357">
        <v>13000</v>
      </c>
      <c r="Y116" s="357">
        <v>8454.99</v>
      </c>
      <c r="Z116" s="614">
        <f t="shared" si="26"/>
        <v>42.27</v>
      </c>
      <c r="AA116" s="614">
        <f t="shared" si="27"/>
        <v>0</v>
      </c>
      <c r="AB116" s="357">
        <v>20000</v>
      </c>
      <c r="AC116" s="60"/>
      <c r="AD116" s="60"/>
      <c r="AE116" s="60"/>
    </row>
    <row r="117" spans="1:56" s="89" customFormat="1" ht="39.75" customHeight="1" x14ac:dyDescent="0.25">
      <c r="A117" s="80"/>
      <c r="B117" s="80"/>
      <c r="C117" s="80"/>
      <c r="D117" s="80"/>
      <c r="E117" s="80"/>
      <c r="F117" s="81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386"/>
      <c r="R117" s="82"/>
      <c r="S117" s="82"/>
      <c r="T117" s="82"/>
      <c r="U117" s="357"/>
      <c r="V117" s="357"/>
      <c r="W117" s="357"/>
      <c r="X117" s="357"/>
      <c r="Y117" s="357"/>
      <c r="Z117" s="614"/>
      <c r="AA117" s="614"/>
      <c r="AB117" s="357"/>
      <c r="AC117" s="60"/>
      <c r="AD117" s="60"/>
      <c r="AE117" s="60"/>
    </row>
    <row r="118" spans="1:56" s="571" customFormat="1" ht="19.5" customHeight="1" x14ac:dyDescent="0.25">
      <c r="A118" s="125"/>
      <c r="B118" s="125"/>
      <c r="C118" s="125"/>
      <c r="D118" s="125"/>
      <c r="E118" s="125"/>
      <c r="F118" s="126" t="s">
        <v>827</v>
      </c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393"/>
      <c r="R118" s="135"/>
      <c r="S118" s="135"/>
      <c r="T118" s="135"/>
      <c r="U118" s="393"/>
      <c r="V118" s="393">
        <f t="shared" ref="V118:X119" si="36">V119</f>
        <v>655000</v>
      </c>
      <c r="W118" s="393">
        <f t="shared" si="36"/>
        <v>655000</v>
      </c>
      <c r="X118" s="393">
        <f t="shared" si="36"/>
        <v>655000</v>
      </c>
      <c r="Y118" s="393">
        <f>Y119</f>
        <v>292083</v>
      </c>
      <c r="Z118" s="590">
        <f t="shared" si="26"/>
        <v>44.59</v>
      </c>
      <c r="AA118" s="590">
        <f t="shared" si="27"/>
        <v>0</v>
      </c>
      <c r="AB118" s="393">
        <f>AB119</f>
        <v>655000</v>
      </c>
      <c r="AC118" s="533"/>
      <c r="AD118" s="533"/>
      <c r="AE118" s="533"/>
    </row>
    <row r="119" spans="1:56" s="573" customFormat="1" ht="19.5" customHeight="1" x14ac:dyDescent="0.25">
      <c r="A119" s="74"/>
      <c r="B119" s="74" t="s">
        <v>665</v>
      </c>
      <c r="C119" s="74"/>
      <c r="D119" s="74"/>
      <c r="E119" s="74"/>
      <c r="F119" s="75" t="s">
        <v>666</v>
      </c>
      <c r="G119" s="76"/>
      <c r="H119" s="76"/>
      <c r="I119" s="76"/>
      <c r="J119" s="76"/>
      <c r="K119" s="76"/>
      <c r="L119" s="76"/>
      <c r="M119" s="76"/>
      <c r="N119" s="76"/>
      <c r="O119" s="76"/>
      <c r="P119" s="76"/>
      <c r="Q119" s="385"/>
      <c r="R119" s="76"/>
      <c r="S119" s="76"/>
      <c r="T119" s="76"/>
      <c r="U119" s="385"/>
      <c r="V119" s="385">
        <f t="shared" si="36"/>
        <v>655000</v>
      </c>
      <c r="W119" s="385">
        <f t="shared" si="36"/>
        <v>655000</v>
      </c>
      <c r="X119" s="385">
        <f t="shared" si="36"/>
        <v>655000</v>
      </c>
      <c r="Y119" s="385">
        <f>Y120</f>
        <v>292083</v>
      </c>
      <c r="Z119" s="610">
        <f t="shared" si="26"/>
        <v>44.59</v>
      </c>
      <c r="AA119" s="610">
        <f t="shared" si="27"/>
        <v>0</v>
      </c>
      <c r="AB119" s="385">
        <f>AB120</f>
        <v>655000</v>
      </c>
      <c r="AC119" s="95"/>
      <c r="AD119" s="95"/>
      <c r="AE119" s="95"/>
    </row>
    <row r="120" spans="1:56" s="573" customFormat="1" ht="24" customHeight="1" x14ac:dyDescent="0.25">
      <c r="A120" s="74"/>
      <c r="B120" s="74"/>
      <c r="C120" s="74" t="s">
        <v>895</v>
      </c>
      <c r="D120" s="74"/>
      <c r="E120" s="74"/>
      <c r="F120" s="75" t="s">
        <v>896</v>
      </c>
      <c r="G120" s="76"/>
      <c r="H120" s="76"/>
      <c r="I120" s="76"/>
      <c r="J120" s="76"/>
      <c r="K120" s="76"/>
      <c r="L120" s="76"/>
      <c r="M120" s="76"/>
      <c r="N120" s="76"/>
      <c r="O120" s="76"/>
      <c r="P120" s="76"/>
      <c r="Q120" s="385"/>
      <c r="R120" s="76"/>
      <c r="S120" s="76"/>
      <c r="T120" s="76"/>
      <c r="U120" s="385"/>
      <c r="V120" s="385">
        <f>V122+V123</f>
        <v>655000</v>
      </c>
      <c r="W120" s="385">
        <f>W122+W123</f>
        <v>655000</v>
      </c>
      <c r="X120" s="385">
        <f>X122+X123</f>
        <v>655000</v>
      </c>
      <c r="Y120" s="385">
        <f>Y121</f>
        <v>292083</v>
      </c>
      <c r="Z120" s="610">
        <f t="shared" si="26"/>
        <v>44.59</v>
      </c>
      <c r="AA120" s="610">
        <f t="shared" si="27"/>
        <v>0</v>
      </c>
      <c r="AB120" s="385">
        <f>AB122+AB123</f>
        <v>655000</v>
      </c>
      <c r="AC120" s="95"/>
      <c r="AD120" s="95"/>
      <c r="AE120" s="95"/>
    </row>
    <row r="121" spans="1:56" s="591" customFormat="1" ht="24" customHeight="1" x14ac:dyDescent="0.25">
      <c r="A121" s="432"/>
      <c r="B121" s="432"/>
      <c r="C121" s="432"/>
      <c r="D121" s="432" t="s">
        <v>908</v>
      </c>
      <c r="E121" s="432"/>
      <c r="F121" s="101" t="s">
        <v>909</v>
      </c>
      <c r="G121" s="433"/>
      <c r="H121" s="433"/>
      <c r="I121" s="433"/>
      <c r="J121" s="433"/>
      <c r="K121" s="433"/>
      <c r="L121" s="433"/>
      <c r="M121" s="433"/>
      <c r="N121" s="433"/>
      <c r="O121" s="433"/>
      <c r="P121" s="433"/>
      <c r="Q121" s="434"/>
      <c r="R121" s="433"/>
      <c r="S121" s="433"/>
      <c r="T121" s="433"/>
      <c r="U121" s="434"/>
      <c r="V121" s="434">
        <f>V122+V123</f>
        <v>655000</v>
      </c>
      <c r="W121" s="434">
        <f>W122+W123</f>
        <v>655000</v>
      </c>
      <c r="X121" s="434">
        <f>X122+X123</f>
        <v>655000</v>
      </c>
      <c r="Y121" s="434">
        <f>Y122+Y123</f>
        <v>292083</v>
      </c>
      <c r="Z121" s="590">
        <f t="shared" si="26"/>
        <v>44.59</v>
      </c>
      <c r="AA121" s="590">
        <f t="shared" si="27"/>
        <v>0</v>
      </c>
      <c r="AB121" s="434">
        <f>AB122+AB123</f>
        <v>655000</v>
      </c>
      <c r="AC121" s="533"/>
      <c r="AD121" s="533"/>
      <c r="AE121" s="533"/>
    </row>
    <row r="122" spans="1:56" s="90" customFormat="1" ht="18" customHeight="1" x14ac:dyDescent="0.25">
      <c r="A122" s="80"/>
      <c r="B122" s="80"/>
      <c r="C122" s="80"/>
      <c r="D122" s="80"/>
      <c r="E122" s="80" t="s">
        <v>910</v>
      </c>
      <c r="F122" s="81" t="s">
        <v>914</v>
      </c>
      <c r="G122" s="82">
        <v>0</v>
      </c>
      <c r="H122" s="82">
        <v>280000</v>
      </c>
      <c r="I122" s="82">
        <v>275863.2</v>
      </c>
      <c r="J122" s="82">
        <v>280000</v>
      </c>
      <c r="K122" s="102">
        <v>250063.2</v>
      </c>
      <c r="L122" s="82">
        <f>ROUND(K122/J122*100,2)</f>
        <v>89.31</v>
      </c>
      <c r="M122" s="82">
        <f>N122-J122</f>
        <v>-4136.7999999999884</v>
      </c>
      <c r="N122" s="82">
        <v>275863.2</v>
      </c>
      <c r="O122" s="82">
        <v>280000</v>
      </c>
      <c r="P122" s="82">
        <v>137931.6</v>
      </c>
      <c r="Q122" s="386">
        <f>U122-O122</f>
        <v>0</v>
      </c>
      <c r="R122" s="82">
        <v>280000</v>
      </c>
      <c r="S122" s="82">
        <v>280000</v>
      </c>
      <c r="T122" s="82">
        <v>280000</v>
      </c>
      <c r="U122" s="357">
        <v>280000</v>
      </c>
      <c r="V122" s="357">
        <v>280000</v>
      </c>
      <c r="W122" s="357">
        <v>280000</v>
      </c>
      <c r="X122" s="357">
        <v>280000</v>
      </c>
      <c r="Y122" s="357">
        <v>137931.6</v>
      </c>
      <c r="Z122" s="614">
        <f t="shared" si="26"/>
        <v>49.26</v>
      </c>
      <c r="AA122" s="614">
        <f t="shared" si="27"/>
        <v>0</v>
      </c>
      <c r="AB122" s="357">
        <v>280000</v>
      </c>
      <c r="AC122" s="60"/>
      <c r="AD122" s="60"/>
      <c r="AE122" s="60"/>
    </row>
    <row r="123" spans="1:56" s="89" customFormat="1" ht="40.5" customHeight="1" x14ac:dyDescent="0.25">
      <c r="A123" s="80"/>
      <c r="B123" s="80"/>
      <c r="C123" s="80"/>
      <c r="D123" s="80"/>
      <c r="E123" s="80" t="s">
        <v>960</v>
      </c>
      <c r="F123" s="81" t="s">
        <v>349</v>
      </c>
      <c r="G123" s="82">
        <v>371362.8</v>
      </c>
      <c r="H123" s="82">
        <v>375000</v>
      </c>
      <c r="I123" s="82">
        <v>374962.8</v>
      </c>
      <c r="J123" s="82">
        <v>375000</v>
      </c>
      <c r="K123" s="82">
        <v>341632.8</v>
      </c>
      <c r="L123" s="82">
        <f>ROUND(K123/J123*100,2)</f>
        <v>91.1</v>
      </c>
      <c r="M123" s="82">
        <f>N123-J123</f>
        <v>-37.200000000011642</v>
      </c>
      <c r="N123" s="82">
        <v>374962.8</v>
      </c>
      <c r="O123" s="82">
        <f>375000</f>
        <v>375000</v>
      </c>
      <c r="P123" s="82">
        <v>187481.4</v>
      </c>
      <c r="Q123" s="386">
        <f>U123-O123</f>
        <v>0</v>
      </c>
      <c r="R123" s="82">
        <f>375000</f>
        <v>375000</v>
      </c>
      <c r="S123" s="82">
        <f>375000</f>
        <v>375000</v>
      </c>
      <c r="T123" s="82">
        <f>375000</f>
        <v>375000</v>
      </c>
      <c r="U123" s="357">
        <v>375000</v>
      </c>
      <c r="V123" s="357">
        <v>375000</v>
      </c>
      <c r="W123" s="357">
        <v>375000</v>
      </c>
      <c r="X123" s="357">
        <v>375000</v>
      </c>
      <c r="Y123" s="357">
        <v>154151.4</v>
      </c>
      <c r="Z123" s="614">
        <f t="shared" si="26"/>
        <v>41.11</v>
      </c>
      <c r="AA123" s="614">
        <f t="shared" si="27"/>
        <v>0</v>
      </c>
      <c r="AB123" s="357">
        <v>375000</v>
      </c>
      <c r="AC123" s="60"/>
      <c r="AD123" s="60"/>
      <c r="AE123" s="60"/>
    </row>
    <row r="124" spans="1:56" s="89" customFormat="1" ht="40.5" customHeight="1" x14ac:dyDescent="0.25">
      <c r="A124" s="80"/>
      <c r="B124" s="80"/>
      <c r="C124" s="80"/>
      <c r="D124" s="80"/>
      <c r="E124" s="80"/>
      <c r="F124" s="81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386"/>
      <c r="R124" s="82"/>
      <c r="S124" s="82"/>
      <c r="T124" s="82"/>
      <c r="U124" s="357"/>
      <c r="V124" s="357"/>
      <c r="W124" s="357"/>
      <c r="X124" s="357"/>
      <c r="Y124" s="357"/>
      <c r="Z124" s="614"/>
      <c r="AA124" s="614"/>
      <c r="AB124" s="357"/>
      <c r="AC124" s="60"/>
      <c r="AD124" s="60"/>
      <c r="AE124" s="60"/>
    </row>
    <row r="125" spans="1:56" s="571" customFormat="1" ht="22.5" customHeight="1" x14ac:dyDescent="0.25">
      <c r="A125" s="125"/>
      <c r="B125" s="125"/>
      <c r="C125" s="125"/>
      <c r="D125" s="125"/>
      <c r="E125" s="125"/>
      <c r="F125" s="126" t="s">
        <v>824</v>
      </c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393"/>
      <c r="R125" s="135"/>
      <c r="S125" s="135"/>
      <c r="T125" s="135"/>
      <c r="U125" s="393"/>
      <c r="V125" s="393">
        <f t="shared" ref="V125:X127" si="37">V126</f>
        <v>2340000</v>
      </c>
      <c r="W125" s="393">
        <f t="shared" si="37"/>
        <v>2480000</v>
      </c>
      <c r="X125" s="393">
        <f t="shared" si="37"/>
        <v>2550000</v>
      </c>
      <c r="Y125" s="393">
        <f>Y126</f>
        <v>1207164.73</v>
      </c>
      <c r="Z125" s="590">
        <f t="shared" si="26"/>
        <v>51.59</v>
      </c>
      <c r="AA125" s="590">
        <f t="shared" si="27"/>
        <v>460000</v>
      </c>
      <c r="AB125" s="393">
        <f>AB126</f>
        <v>2800000</v>
      </c>
      <c r="AC125" s="533"/>
      <c r="AD125" s="533"/>
      <c r="AE125" s="533"/>
    </row>
    <row r="126" spans="1:56" s="573" customFormat="1" ht="28.5" customHeight="1" x14ac:dyDescent="0.25">
      <c r="A126" s="74"/>
      <c r="B126" s="74" t="s">
        <v>665</v>
      </c>
      <c r="C126" s="74"/>
      <c r="D126" s="74"/>
      <c r="E126" s="74"/>
      <c r="F126" s="75" t="s">
        <v>666</v>
      </c>
      <c r="G126" s="76"/>
      <c r="H126" s="76"/>
      <c r="I126" s="76"/>
      <c r="J126" s="76"/>
      <c r="K126" s="76"/>
      <c r="L126" s="76"/>
      <c r="M126" s="76"/>
      <c r="N126" s="76"/>
      <c r="O126" s="76"/>
      <c r="P126" s="76"/>
      <c r="Q126" s="385"/>
      <c r="R126" s="76"/>
      <c r="S126" s="76"/>
      <c r="T126" s="76"/>
      <c r="U126" s="385"/>
      <c r="V126" s="385">
        <f t="shared" si="37"/>
        <v>2340000</v>
      </c>
      <c r="W126" s="385">
        <f t="shared" si="37"/>
        <v>2480000</v>
      </c>
      <c r="X126" s="385">
        <f t="shared" si="37"/>
        <v>2550000</v>
      </c>
      <c r="Y126" s="385">
        <f>Y127</f>
        <v>1207164.73</v>
      </c>
      <c r="Z126" s="610">
        <f t="shared" si="26"/>
        <v>51.59</v>
      </c>
      <c r="AA126" s="610">
        <f t="shared" si="27"/>
        <v>460000</v>
      </c>
      <c r="AB126" s="385">
        <f>AB127</f>
        <v>2800000</v>
      </c>
      <c r="AC126" s="95"/>
      <c r="AD126" s="95"/>
      <c r="AE126" s="95"/>
    </row>
    <row r="127" spans="1:56" s="98" customFormat="1" ht="54" customHeight="1" x14ac:dyDescent="0.25">
      <c r="A127" s="74"/>
      <c r="B127" s="74"/>
      <c r="C127" s="74" t="s">
        <v>965</v>
      </c>
      <c r="D127" s="74"/>
      <c r="E127" s="74"/>
      <c r="F127" s="75" t="s">
        <v>351</v>
      </c>
      <c r="G127" s="76">
        <f>G128+G136</f>
        <v>3029864.4899999998</v>
      </c>
      <c r="H127" s="76">
        <f>H128+H136</f>
        <v>9581741</v>
      </c>
      <c r="I127" s="76">
        <f>I128+I136</f>
        <v>9579896.4800000004</v>
      </c>
      <c r="J127" s="76">
        <f>J128+J136</f>
        <v>9612800</v>
      </c>
      <c r="K127" s="76">
        <f>K128+K136</f>
        <v>6729516.8699999992</v>
      </c>
      <c r="L127" s="76">
        <f>ROUND(K127/J127*100,2)</f>
        <v>70.010000000000005</v>
      </c>
      <c r="M127" s="76">
        <f>N127-J127</f>
        <v>496021.8599999994</v>
      </c>
      <c r="N127" s="76">
        <f>N128+N136</f>
        <v>10108821.859999999</v>
      </c>
      <c r="O127" s="76">
        <f>O128+O136</f>
        <v>10959100</v>
      </c>
      <c r="P127" s="76">
        <f>P128+P136</f>
        <v>6781214.4000000004</v>
      </c>
      <c r="Q127" s="385">
        <f>U127-O127</f>
        <v>412300</v>
      </c>
      <c r="R127" s="76">
        <f>R128+R136</f>
        <v>10548200</v>
      </c>
      <c r="S127" s="76">
        <f>S128+S136</f>
        <v>10437500</v>
      </c>
      <c r="T127" s="76">
        <f>T128+T136</f>
        <v>10461000</v>
      </c>
      <c r="U127" s="356">
        <f>U128+U136</f>
        <v>11371400</v>
      </c>
      <c r="V127" s="356">
        <f t="shared" si="37"/>
        <v>2340000</v>
      </c>
      <c r="W127" s="356">
        <f t="shared" si="37"/>
        <v>2480000</v>
      </c>
      <c r="X127" s="356">
        <f t="shared" si="37"/>
        <v>2550000</v>
      </c>
      <c r="Y127" s="356">
        <f>Y128</f>
        <v>1207164.73</v>
      </c>
      <c r="Z127" s="610">
        <f t="shared" si="26"/>
        <v>51.59</v>
      </c>
      <c r="AA127" s="610">
        <f t="shared" si="27"/>
        <v>460000</v>
      </c>
      <c r="AB127" s="356">
        <f>AB128</f>
        <v>2800000</v>
      </c>
      <c r="AC127" s="60"/>
      <c r="AD127" s="60"/>
      <c r="AE127" s="60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  <c r="AP127" s="297"/>
      <c r="AQ127" s="297"/>
      <c r="AR127" s="297"/>
      <c r="AS127" s="297"/>
      <c r="AT127" s="297"/>
      <c r="AU127" s="297"/>
      <c r="AV127" s="297"/>
      <c r="AW127" s="297"/>
      <c r="AX127" s="297"/>
      <c r="AY127" s="297"/>
      <c r="AZ127" s="297"/>
      <c r="BA127" s="297"/>
      <c r="BB127" s="297"/>
      <c r="BC127" s="297"/>
      <c r="BD127" s="297"/>
    </row>
    <row r="128" spans="1:56" s="534" customFormat="1" ht="18.75" customHeight="1" x14ac:dyDescent="0.25">
      <c r="A128" s="592" t="s">
        <v>527</v>
      </c>
      <c r="B128" s="125"/>
      <c r="C128" s="125"/>
      <c r="D128" s="125" t="s">
        <v>966</v>
      </c>
      <c r="E128" s="125"/>
      <c r="F128" s="126" t="s">
        <v>967</v>
      </c>
      <c r="G128" s="135">
        <f>SUM(G129:G130)</f>
        <v>2121953.8199999998</v>
      </c>
      <c r="H128" s="135">
        <f>SUM(H129:H130)</f>
        <v>1860000</v>
      </c>
      <c r="I128" s="135">
        <f>SUM(I129:I130)</f>
        <v>1706342.7599999998</v>
      </c>
      <c r="J128" s="135">
        <f>SUM(J129:J130)</f>
        <v>1862000</v>
      </c>
      <c r="K128" s="135">
        <f>SUM(K129:K130)</f>
        <v>1519022.73</v>
      </c>
      <c r="L128" s="135">
        <f>ROUND(K128/J128*100,2)</f>
        <v>81.58</v>
      </c>
      <c r="M128" s="135">
        <f>N128-J128</f>
        <v>89480.510000000009</v>
      </c>
      <c r="N128" s="135">
        <f>SUM(N129:N130)</f>
        <v>1951480.51</v>
      </c>
      <c r="O128" s="135">
        <f>SUM(O129:O130)</f>
        <v>2022000</v>
      </c>
      <c r="P128" s="135">
        <f>SUM(P129:P130)</f>
        <v>1456846.5</v>
      </c>
      <c r="Q128" s="393">
        <f>U128-O128</f>
        <v>-20000</v>
      </c>
      <c r="R128" s="135">
        <f>SUM(R129:R130)</f>
        <v>2022000</v>
      </c>
      <c r="S128" s="135">
        <f>SUM(S129:S130)</f>
        <v>1962000</v>
      </c>
      <c r="T128" s="135">
        <f>SUM(T129:T130)</f>
        <v>1983000</v>
      </c>
      <c r="U128" s="393">
        <f>SUM(U129:U130)</f>
        <v>2002000</v>
      </c>
      <c r="V128" s="393">
        <f>SUM(V129:V131)</f>
        <v>2340000</v>
      </c>
      <c r="W128" s="393">
        <f>SUM(W129:W131)</f>
        <v>2480000</v>
      </c>
      <c r="X128" s="393">
        <f>SUM(X129:X131)</f>
        <v>2550000</v>
      </c>
      <c r="Y128" s="393">
        <f>SUM(Y129:Y131)</f>
        <v>1207164.73</v>
      </c>
      <c r="Z128" s="590">
        <f t="shared" si="26"/>
        <v>51.59</v>
      </c>
      <c r="AA128" s="590">
        <f t="shared" si="27"/>
        <v>460000</v>
      </c>
      <c r="AB128" s="393">
        <f>SUM(AB129:AB131)</f>
        <v>2800000</v>
      </c>
      <c r="AC128" s="533"/>
      <c r="AD128" s="533"/>
      <c r="AE128" s="533"/>
    </row>
    <row r="129" spans="1:31" s="89" customFormat="1" ht="36.75" customHeight="1" x14ac:dyDescent="0.25">
      <c r="A129" s="80"/>
      <c r="B129" s="80"/>
      <c r="C129" s="80"/>
      <c r="D129" s="80"/>
      <c r="E129" s="80" t="s">
        <v>968</v>
      </c>
      <c r="F129" s="81" t="s">
        <v>970</v>
      </c>
      <c r="G129" s="82">
        <v>449552.68</v>
      </c>
      <c r="H129" s="82">
        <v>460000</v>
      </c>
      <c r="I129" s="82">
        <v>447408.63</v>
      </c>
      <c r="J129" s="82">
        <v>462000</v>
      </c>
      <c r="K129" s="82">
        <v>351560.14</v>
      </c>
      <c r="L129" s="82">
        <f>ROUND(K129/J129*100,2)</f>
        <v>76.099999999999994</v>
      </c>
      <c r="M129" s="82">
        <f>N129-J129</f>
        <v>-17306.929999999993</v>
      </c>
      <c r="N129" s="82">
        <v>444693.07</v>
      </c>
      <c r="O129" s="82">
        <v>462000</v>
      </c>
      <c r="P129" s="82">
        <v>262841.90999999997</v>
      </c>
      <c r="Q129" s="386">
        <f>U129-O129</f>
        <v>-60000</v>
      </c>
      <c r="R129" s="82">
        <v>462000</v>
      </c>
      <c r="S129" s="82">
        <v>462000</v>
      </c>
      <c r="T129" s="82">
        <v>463000</v>
      </c>
      <c r="U129" s="357">
        <v>402000</v>
      </c>
      <c r="V129" s="357">
        <v>440000</v>
      </c>
      <c r="W129" s="357">
        <v>480000</v>
      </c>
      <c r="X129" s="357">
        <v>500000</v>
      </c>
      <c r="Y129" s="357">
        <v>165051.68</v>
      </c>
      <c r="Z129" s="614">
        <f t="shared" si="26"/>
        <v>37.51</v>
      </c>
      <c r="AA129" s="614">
        <f t="shared" si="27"/>
        <v>-40000</v>
      </c>
      <c r="AB129" s="357">
        <v>400000</v>
      </c>
      <c r="AC129" s="60"/>
      <c r="AD129" s="60"/>
      <c r="AE129" s="60"/>
    </row>
    <row r="130" spans="1:31" s="99" customFormat="1" ht="20.25" customHeight="1" x14ac:dyDescent="0.25">
      <c r="A130" s="80"/>
      <c r="B130" s="80"/>
      <c r="C130" s="80"/>
      <c r="D130" s="80"/>
      <c r="E130" s="80" t="s">
        <v>971</v>
      </c>
      <c r="F130" s="81" t="s">
        <v>972</v>
      </c>
      <c r="G130" s="82">
        <v>1672401.14</v>
      </c>
      <c r="H130" s="82">
        <v>1400000</v>
      </c>
      <c r="I130" s="82">
        <v>1258934.1299999999</v>
      </c>
      <c r="J130" s="82">
        <v>1400000</v>
      </c>
      <c r="K130" s="82">
        <v>1167462.5900000001</v>
      </c>
      <c r="L130" s="82">
        <f>ROUND(K130/J130*100,2)</f>
        <v>83.39</v>
      </c>
      <c r="M130" s="82">
        <f>N130-J130</f>
        <v>106787.43999999994</v>
      </c>
      <c r="N130" s="82">
        <v>1506787.44</v>
      </c>
      <c r="O130" s="82">
        <v>1560000</v>
      </c>
      <c r="P130" s="82">
        <v>1194004.5900000001</v>
      </c>
      <c r="Q130" s="386">
        <f>U130-O130</f>
        <v>40000</v>
      </c>
      <c r="R130" s="82">
        <v>1560000</v>
      </c>
      <c r="S130" s="82">
        <v>1500000</v>
      </c>
      <c r="T130" s="82">
        <v>1520000</v>
      </c>
      <c r="U130" s="357">
        <v>1600000</v>
      </c>
      <c r="V130" s="357">
        <v>1800000</v>
      </c>
      <c r="W130" s="357">
        <v>1800000</v>
      </c>
      <c r="X130" s="357">
        <v>1850000</v>
      </c>
      <c r="Y130" s="357">
        <v>1042113.05</v>
      </c>
      <c r="Z130" s="614">
        <f t="shared" si="26"/>
        <v>57.9</v>
      </c>
      <c r="AA130" s="614">
        <f t="shared" si="27"/>
        <v>600000</v>
      </c>
      <c r="AB130" s="357">
        <v>2400000</v>
      </c>
      <c r="AC130" s="60"/>
      <c r="AD130" s="60"/>
      <c r="AE130" s="60"/>
    </row>
    <row r="131" spans="1:31" s="99" customFormat="1" ht="20.25" customHeight="1" x14ac:dyDescent="0.25">
      <c r="A131" s="80"/>
      <c r="B131" s="80"/>
      <c r="C131" s="80"/>
      <c r="D131" s="80"/>
      <c r="E131" s="80" t="s">
        <v>886</v>
      </c>
      <c r="F131" s="81" t="s">
        <v>887</v>
      </c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386"/>
      <c r="R131" s="82"/>
      <c r="S131" s="82"/>
      <c r="T131" s="82"/>
      <c r="U131" s="357"/>
      <c r="V131" s="357">
        <v>100000</v>
      </c>
      <c r="W131" s="357">
        <v>200000</v>
      </c>
      <c r="X131" s="357">
        <v>200000</v>
      </c>
      <c r="Y131" s="357">
        <v>0</v>
      </c>
      <c r="Z131" s="614">
        <f t="shared" si="26"/>
        <v>0</v>
      </c>
      <c r="AA131" s="614">
        <f t="shared" si="27"/>
        <v>-100000</v>
      </c>
      <c r="AB131" s="357">
        <v>0</v>
      </c>
      <c r="AC131" s="60"/>
      <c r="AD131" s="60"/>
      <c r="AE131" s="60"/>
    </row>
    <row r="132" spans="1:31" s="99" customFormat="1" ht="20.25" customHeight="1" x14ac:dyDescent="0.25">
      <c r="A132" s="80"/>
      <c r="B132" s="80"/>
      <c r="C132" s="80"/>
      <c r="D132" s="80"/>
      <c r="E132" s="80"/>
      <c r="F132" s="81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386"/>
      <c r="R132" s="82"/>
      <c r="S132" s="82"/>
      <c r="T132" s="82"/>
      <c r="U132" s="357"/>
      <c r="V132" s="357"/>
      <c r="W132" s="357"/>
      <c r="X132" s="357"/>
      <c r="Y132" s="357"/>
      <c r="Z132" s="614"/>
      <c r="AA132" s="614"/>
      <c r="AB132" s="357"/>
      <c r="AC132" s="60"/>
      <c r="AD132" s="60"/>
      <c r="AE132" s="60"/>
    </row>
    <row r="133" spans="1:31" s="597" customFormat="1" ht="20.25" customHeight="1" x14ac:dyDescent="0.25">
      <c r="A133" s="432"/>
      <c r="B133" s="432"/>
      <c r="C133" s="432"/>
      <c r="D133" s="432"/>
      <c r="E133" s="432"/>
      <c r="F133" s="577" t="s">
        <v>789</v>
      </c>
      <c r="G133" s="433"/>
      <c r="H133" s="433"/>
      <c r="I133" s="433"/>
      <c r="J133" s="433"/>
      <c r="K133" s="433"/>
      <c r="L133" s="433"/>
      <c r="M133" s="433"/>
      <c r="N133" s="433"/>
      <c r="O133" s="433"/>
      <c r="P133" s="433"/>
      <c r="Q133" s="434"/>
      <c r="R133" s="433"/>
      <c r="S133" s="433"/>
      <c r="T133" s="433"/>
      <c r="U133" s="434"/>
      <c r="V133" s="434">
        <f t="shared" ref="V133:X136" si="38">V134</f>
        <v>6550000</v>
      </c>
      <c r="W133" s="434">
        <f t="shared" si="38"/>
        <v>6550000</v>
      </c>
      <c r="X133" s="434">
        <f t="shared" si="38"/>
        <v>6550000</v>
      </c>
      <c r="Y133" s="357"/>
      <c r="Z133" s="590">
        <f t="shared" si="26"/>
        <v>0</v>
      </c>
      <c r="AA133" s="590">
        <f t="shared" si="27"/>
        <v>50000</v>
      </c>
      <c r="AB133" s="434">
        <f>AB134</f>
        <v>6600000</v>
      </c>
      <c r="AC133" s="533"/>
      <c r="AD133" s="533"/>
      <c r="AE133" s="533"/>
    </row>
    <row r="134" spans="1:31" s="578" customFormat="1" ht="20.25" customHeight="1" x14ac:dyDescent="0.25">
      <c r="A134" s="74"/>
      <c r="B134" s="74" t="s">
        <v>665</v>
      </c>
      <c r="C134" s="74"/>
      <c r="D134" s="74"/>
      <c r="E134" s="74"/>
      <c r="F134" s="75" t="s">
        <v>788</v>
      </c>
      <c r="G134" s="76"/>
      <c r="H134" s="76"/>
      <c r="I134" s="76"/>
      <c r="J134" s="76"/>
      <c r="K134" s="76"/>
      <c r="L134" s="76"/>
      <c r="M134" s="76"/>
      <c r="N134" s="76"/>
      <c r="O134" s="76"/>
      <c r="P134" s="76"/>
      <c r="Q134" s="385"/>
      <c r="R134" s="76"/>
      <c r="S134" s="76"/>
      <c r="T134" s="76"/>
      <c r="U134" s="385"/>
      <c r="V134" s="385">
        <f t="shared" si="38"/>
        <v>6550000</v>
      </c>
      <c r="W134" s="385">
        <f t="shared" si="38"/>
        <v>6550000</v>
      </c>
      <c r="X134" s="385">
        <f t="shared" si="38"/>
        <v>6550000</v>
      </c>
      <c r="Y134" s="385">
        <f>Y135</f>
        <v>2188781.5699999998</v>
      </c>
      <c r="Z134" s="610">
        <f t="shared" si="26"/>
        <v>33.42</v>
      </c>
      <c r="AA134" s="610">
        <f t="shared" si="27"/>
        <v>50000</v>
      </c>
      <c r="AB134" s="385">
        <f>AB135</f>
        <v>6600000</v>
      </c>
      <c r="AC134" s="95"/>
      <c r="AD134" s="95"/>
      <c r="AE134" s="95"/>
    </row>
    <row r="135" spans="1:31" s="578" customFormat="1" ht="40.5" customHeight="1" x14ac:dyDescent="0.25">
      <c r="A135" s="74"/>
      <c r="B135" s="74"/>
      <c r="C135" s="74" t="s">
        <v>965</v>
      </c>
      <c r="D135" s="74"/>
      <c r="E135" s="74"/>
      <c r="F135" s="75" t="s">
        <v>351</v>
      </c>
      <c r="G135" s="76"/>
      <c r="H135" s="76"/>
      <c r="I135" s="76"/>
      <c r="J135" s="76"/>
      <c r="K135" s="76"/>
      <c r="L135" s="76"/>
      <c r="M135" s="76"/>
      <c r="N135" s="76"/>
      <c r="O135" s="76"/>
      <c r="P135" s="76"/>
      <c r="Q135" s="385"/>
      <c r="R135" s="76"/>
      <c r="S135" s="76"/>
      <c r="T135" s="76"/>
      <c r="U135" s="385"/>
      <c r="V135" s="385">
        <f t="shared" si="38"/>
        <v>6550000</v>
      </c>
      <c r="W135" s="385">
        <f t="shared" si="38"/>
        <v>6550000</v>
      </c>
      <c r="X135" s="385">
        <f t="shared" si="38"/>
        <v>6550000</v>
      </c>
      <c r="Y135" s="385">
        <f>Y136</f>
        <v>2188781.5699999998</v>
      </c>
      <c r="Z135" s="610">
        <f t="shared" si="26"/>
        <v>33.42</v>
      </c>
      <c r="AA135" s="610">
        <f t="shared" si="27"/>
        <v>50000</v>
      </c>
      <c r="AB135" s="385">
        <f>AB136</f>
        <v>6600000</v>
      </c>
      <c r="AC135" s="95"/>
      <c r="AD135" s="619"/>
      <c r="AE135" s="95"/>
    </row>
    <row r="136" spans="1:31" s="96" customFormat="1" ht="18" customHeight="1" x14ac:dyDescent="0.25">
      <c r="A136" s="592" t="s">
        <v>527</v>
      </c>
      <c r="B136" s="125"/>
      <c r="C136" s="125"/>
      <c r="D136" s="125" t="s">
        <v>973</v>
      </c>
      <c r="E136" s="125"/>
      <c r="F136" s="126" t="s">
        <v>974</v>
      </c>
      <c r="G136" s="135">
        <f t="shared" ref="G136:P136" si="39">SUM(G137:G145)</f>
        <v>907910.67</v>
      </c>
      <c r="H136" s="135">
        <f t="shared" si="39"/>
        <v>7721741</v>
      </c>
      <c r="I136" s="135">
        <f t="shared" si="39"/>
        <v>7873553.7200000007</v>
      </c>
      <c r="J136" s="135">
        <f t="shared" si="39"/>
        <v>7750800</v>
      </c>
      <c r="K136" s="135">
        <f t="shared" si="39"/>
        <v>5210494.1399999997</v>
      </c>
      <c r="L136" s="135">
        <f t="shared" si="39"/>
        <v>222.03000000000003</v>
      </c>
      <c r="M136" s="135">
        <f t="shared" si="39"/>
        <v>406541.34999999986</v>
      </c>
      <c r="N136" s="135">
        <f t="shared" si="39"/>
        <v>8157341.3499999996</v>
      </c>
      <c r="O136" s="135">
        <f t="shared" si="39"/>
        <v>8937100</v>
      </c>
      <c r="P136" s="135">
        <f t="shared" si="39"/>
        <v>5324367.9000000004</v>
      </c>
      <c r="Q136" s="393">
        <f>U136-O136</f>
        <v>432300</v>
      </c>
      <c r="R136" s="135">
        <f>SUM(R137:R145)</f>
        <v>8526200</v>
      </c>
      <c r="S136" s="135">
        <f>SUM(S137:S145)</f>
        <v>8475500</v>
      </c>
      <c r="T136" s="135">
        <f>SUM(T137:T145)</f>
        <v>8478000</v>
      </c>
      <c r="U136" s="393">
        <f>SUM(U137:U145)</f>
        <v>9369400</v>
      </c>
      <c r="V136" s="393">
        <f t="shared" si="38"/>
        <v>6550000</v>
      </c>
      <c r="W136" s="393">
        <f t="shared" si="38"/>
        <v>6550000</v>
      </c>
      <c r="X136" s="393">
        <f t="shared" si="38"/>
        <v>6550000</v>
      </c>
      <c r="Y136" s="393">
        <f>Y137</f>
        <v>2188781.5699999998</v>
      </c>
      <c r="Z136" s="590">
        <f t="shared" si="26"/>
        <v>33.42</v>
      </c>
      <c r="AA136" s="590">
        <f t="shared" si="27"/>
        <v>50000</v>
      </c>
      <c r="AB136" s="393">
        <f>AB137</f>
        <v>6600000</v>
      </c>
      <c r="AC136" s="533"/>
      <c r="AD136" s="533"/>
      <c r="AE136" s="533"/>
    </row>
    <row r="137" spans="1:31" s="96" customFormat="1" ht="37.5" customHeight="1" x14ac:dyDescent="0.25">
      <c r="A137" s="80"/>
      <c r="B137" s="80"/>
      <c r="C137" s="80"/>
      <c r="D137" s="80"/>
      <c r="E137" s="80" t="s">
        <v>975</v>
      </c>
      <c r="F137" s="81" t="s">
        <v>976</v>
      </c>
      <c r="G137" s="82">
        <v>0</v>
      </c>
      <c r="H137" s="82">
        <v>6810941</v>
      </c>
      <c r="I137" s="82">
        <v>6866943.4500000002</v>
      </c>
      <c r="J137" s="82">
        <v>6810000</v>
      </c>
      <c r="K137" s="82">
        <v>4510501.33</v>
      </c>
      <c r="L137" s="82">
        <f>ROUND(K137/J137*100,2)</f>
        <v>66.23</v>
      </c>
      <c r="M137" s="82">
        <f>N137-J137</f>
        <v>-60619.830000000075</v>
      </c>
      <c r="N137" s="82">
        <v>6749380.1699999999</v>
      </c>
      <c r="O137" s="82">
        <v>6710000</v>
      </c>
      <c r="P137" s="82">
        <v>3979278.96</v>
      </c>
      <c r="Q137" s="386">
        <f>U137-O137</f>
        <v>30000</v>
      </c>
      <c r="R137" s="82">
        <v>6710000</v>
      </c>
      <c r="S137" s="82">
        <v>6711000</v>
      </c>
      <c r="T137" s="82">
        <v>6711000</v>
      </c>
      <c r="U137" s="357">
        <v>6740000</v>
      </c>
      <c r="V137" s="357">
        <v>6550000</v>
      </c>
      <c r="W137" s="357">
        <v>6550000</v>
      </c>
      <c r="X137" s="357">
        <v>6550000</v>
      </c>
      <c r="Y137" s="357">
        <v>2188781.5699999998</v>
      </c>
      <c r="Z137" s="614">
        <f t="shared" si="26"/>
        <v>33.42</v>
      </c>
      <c r="AA137" s="614">
        <f t="shared" si="27"/>
        <v>50000</v>
      </c>
      <c r="AB137" s="357">
        <v>6600000</v>
      </c>
      <c r="AC137" s="60"/>
      <c r="AD137" s="60"/>
      <c r="AE137" s="60"/>
    </row>
    <row r="138" spans="1:31" ht="39" hidden="1" customHeight="1" x14ac:dyDescent="0.25">
      <c r="A138" s="100"/>
      <c r="B138" s="100"/>
      <c r="C138" s="100"/>
      <c r="D138" s="100"/>
      <c r="E138" s="100" t="s">
        <v>975</v>
      </c>
      <c r="F138" s="101" t="s">
        <v>978</v>
      </c>
      <c r="G138" s="102">
        <v>523816.4</v>
      </c>
      <c r="H138" s="102">
        <v>520800</v>
      </c>
      <c r="I138" s="102">
        <v>518015.86</v>
      </c>
      <c r="J138" s="102">
        <v>520800</v>
      </c>
      <c r="K138" s="102">
        <v>235849.06</v>
      </c>
      <c r="L138" s="102">
        <f>ROUND(K138/J138*100,2)</f>
        <v>45.29</v>
      </c>
      <c r="M138" s="102">
        <f>N138-J138</f>
        <v>252682.96999999997</v>
      </c>
      <c r="N138" s="102">
        <v>773482.97</v>
      </c>
      <c r="O138" s="102">
        <v>1657100</v>
      </c>
      <c r="P138" s="102">
        <v>1000528.37</v>
      </c>
      <c r="Q138" s="386">
        <f>U138-O138</f>
        <v>498300</v>
      </c>
      <c r="R138" s="102">
        <v>1246200</v>
      </c>
      <c r="S138" s="102">
        <f>201700+2227300-1279500</f>
        <v>1149500</v>
      </c>
      <c r="T138" s="102">
        <f>207700+2273800-1279500</f>
        <v>1202000</v>
      </c>
      <c r="U138" s="360">
        <v>2155400</v>
      </c>
      <c r="V138" s="360">
        <v>0</v>
      </c>
      <c r="W138" s="360">
        <v>0</v>
      </c>
      <c r="X138" s="360">
        <v>0</v>
      </c>
      <c r="Y138" s="360"/>
      <c r="Z138" s="590" t="e">
        <f t="shared" si="26"/>
        <v>#DIV/0!</v>
      </c>
      <c r="AA138" s="590">
        <f t="shared" si="27"/>
        <v>0</v>
      </c>
      <c r="AB138" s="360">
        <v>0</v>
      </c>
    </row>
    <row r="139" spans="1:31" ht="39" customHeight="1" x14ac:dyDescent="0.25">
      <c r="A139" s="100"/>
      <c r="B139" s="100"/>
      <c r="C139" s="100"/>
      <c r="D139" s="100"/>
      <c r="E139" s="100"/>
      <c r="F139" s="101"/>
      <c r="G139" s="102"/>
      <c r="H139" s="102"/>
      <c r="I139" s="102"/>
      <c r="J139" s="102"/>
      <c r="K139" s="102"/>
      <c r="L139" s="102"/>
      <c r="M139" s="102"/>
      <c r="N139" s="102"/>
      <c r="O139" s="102"/>
      <c r="P139" s="102"/>
      <c r="Q139" s="386"/>
      <c r="R139" s="102"/>
      <c r="S139" s="102"/>
      <c r="T139" s="102"/>
      <c r="U139" s="360"/>
      <c r="V139" s="360"/>
      <c r="W139" s="360"/>
      <c r="X139" s="360"/>
      <c r="Y139" s="360"/>
      <c r="Z139" s="590"/>
      <c r="AA139" s="590"/>
      <c r="AB139" s="360"/>
    </row>
    <row r="140" spans="1:31" s="373" customFormat="1" ht="21.75" customHeight="1" x14ac:dyDescent="0.25">
      <c r="A140" s="510"/>
      <c r="B140" s="510"/>
      <c r="C140" s="510"/>
      <c r="D140" s="510"/>
      <c r="E140" s="510"/>
      <c r="F140" s="511" t="s">
        <v>824</v>
      </c>
      <c r="G140" s="370"/>
      <c r="H140" s="370"/>
      <c r="I140" s="370"/>
      <c r="J140" s="370"/>
      <c r="K140" s="370"/>
      <c r="L140" s="370"/>
      <c r="M140" s="370"/>
      <c r="N140" s="370"/>
      <c r="O140" s="370"/>
      <c r="P140" s="370"/>
      <c r="Q140" s="371"/>
      <c r="R140" s="370"/>
      <c r="S140" s="370"/>
      <c r="T140" s="370"/>
      <c r="U140" s="435"/>
      <c r="V140" s="435">
        <f t="shared" ref="V140:X141" si="40">V141</f>
        <v>332000</v>
      </c>
      <c r="W140" s="435">
        <f t="shared" si="40"/>
        <v>492000</v>
      </c>
      <c r="X140" s="435">
        <f t="shared" si="40"/>
        <v>490000</v>
      </c>
      <c r="Y140" s="435">
        <f>Y141</f>
        <v>339244.81</v>
      </c>
      <c r="Z140" s="570">
        <f t="shared" si="26"/>
        <v>102.18</v>
      </c>
      <c r="AA140" s="570">
        <f t="shared" si="27"/>
        <v>348000</v>
      </c>
      <c r="AB140" s="435">
        <f>AB141</f>
        <v>680000</v>
      </c>
      <c r="AC140" s="372"/>
      <c r="AD140" s="372"/>
      <c r="AE140" s="372"/>
    </row>
    <row r="141" spans="1:31" s="95" customFormat="1" ht="24" customHeight="1" x14ac:dyDescent="0.25">
      <c r="A141" s="74"/>
      <c r="B141" s="74" t="s">
        <v>665</v>
      </c>
      <c r="C141" s="74"/>
      <c r="D141" s="74"/>
      <c r="E141" s="74"/>
      <c r="F141" s="75" t="s">
        <v>666</v>
      </c>
      <c r="G141" s="76"/>
      <c r="H141" s="76"/>
      <c r="I141" s="76"/>
      <c r="J141" s="76"/>
      <c r="K141" s="76"/>
      <c r="L141" s="76"/>
      <c r="M141" s="76"/>
      <c r="N141" s="76"/>
      <c r="O141" s="76"/>
      <c r="P141" s="76"/>
      <c r="Q141" s="385"/>
      <c r="R141" s="76"/>
      <c r="S141" s="76"/>
      <c r="T141" s="76"/>
      <c r="U141" s="385"/>
      <c r="V141" s="385">
        <f t="shared" si="40"/>
        <v>332000</v>
      </c>
      <c r="W141" s="385">
        <f t="shared" si="40"/>
        <v>492000</v>
      </c>
      <c r="X141" s="385">
        <f t="shared" si="40"/>
        <v>490000</v>
      </c>
      <c r="Y141" s="385">
        <f>Y142</f>
        <v>339244.81</v>
      </c>
      <c r="Z141" s="610">
        <f t="shared" si="26"/>
        <v>102.18</v>
      </c>
      <c r="AA141" s="610">
        <f t="shared" si="27"/>
        <v>348000</v>
      </c>
      <c r="AB141" s="385">
        <f>AB142</f>
        <v>680000</v>
      </c>
    </row>
    <row r="142" spans="1:31" s="95" customFormat="1" ht="39" customHeight="1" x14ac:dyDescent="0.25">
      <c r="A142" s="74"/>
      <c r="B142" s="74"/>
      <c r="C142" s="74" t="s">
        <v>965</v>
      </c>
      <c r="D142" s="74"/>
      <c r="E142" s="74"/>
      <c r="F142" s="75" t="s">
        <v>351</v>
      </c>
      <c r="G142" s="76"/>
      <c r="H142" s="76"/>
      <c r="I142" s="76"/>
      <c r="J142" s="76"/>
      <c r="K142" s="76"/>
      <c r="L142" s="76"/>
      <c r="M142" s="76"/>
      <c r="N142" s="76"/>
      <c r="O142" s="76"/>
      <c r="P142" s="76"/>
      <c r="Q142" s="385"/>
      <c r="R142" s="76"/>
      <c r="S142" s="76"/>
      <c r="T142" s="76"/>
      <c r="U142" s="385"/>
      <c r="V142" s="385">
        <f>V144+V145</f>
        <v>332000</v>
      </c>
      <c r="W142" s="385">
        <f>W144+W145</f>
        <v>492000</v>
      </c>
      <c r="X142" s="385">
        <f>X144+X145</f>
        <v>490000</v>
      </c>
      <c r="Y142" s="385">
        <f>Y143</f>
        <v>339244.81</v>
      </c>
      <c r="Z142" s="610">
        <f t="shared" si="26"/>
        <v>102.18</v>
      </c>
      <c r="AA142" s="610">
        <f t="shared" si="27"/>
        <v>348000</v>
      </c>
      <c r="AB142" s="385">
        <f>AB144+AB145</f>
        <v>680000</v>
      </c>
    </row>
    <row r="143" spans="1:31" s="533" customFormat="1" ht="39" customHeight="1" x14ac:dyDescent="0.25">
      <c r="A143" s="432"/>
      <c r="B143" s="432"/>
      <c r="C143" s="432"/>
      <c r="D143" s="432" t="s">
        <v>973</v>
      </c>
      <c r="E143" s="432"/>
      <c r="F143" s="577" t="s">
        <v>974</v>
      </c>
      <c r="G143" s="433"/>
      <c r="H143" s="433"/>
      <c r="I143" s="433"/>
      <c r="J143" s="433"/>
      <c r="K143" s="433"/>
      <c r="L143" s="433"/>
      <c r="M143" s="433"/>
      <c r="N143" s="433"/>
      <c r="O143" s="433"/>
      <c r="P143" s="433"/>
      <c r="Q143" s="434"/>
      <c r="R143" s="433"/>
      <c r="S143" s="433"/>
      <c r="T143" s="433"/>
      <c r="U143" s="434"/>
      <c r="V143" s="434">
        <f>V144+V145</f>
        <v>332000</v>
      </c>
      <c r="W143" s="434">
        <f>W144+W145</f>
        <v>492000</v>
      </c>
      <c r="X143" s="434">
        <f>X144+X145</f>
        <v>490000</v>
      </c>
      <c r="Y143" s="434">
        <f>Y144+Y145</f>
        <v>339244.81</v>
      </c>
      <c r="Z143" s="590">
        <f t="shared" si="26"/>
        <v>102.18</v>
      </c>
      <c r="AA143" s="590">
        <f t="shared" si="27"/>
        <v>348000</v>
      </c>
      <c r="AB143" s="434">
        <f>AB144+AB145</f>
        <v>680000</v>
      </c>
    </row>
    <row r="144" spans="1:31" ht="21.75" customHeight="1" x14ac:dyDescent="0.25">
      <c r="A144" s="100"/>
      <c r="B144" s="100"/>
      <c r="C144" s="100"/>
      <c r="D144" s="100"/>
      <c r="E144" s="100" t="s">
        <v>975</v>
      </c>
      <c r="F144" s="81" t="s">
        <v>980</v>
      </c>
      <c r="G144" s="102"/>
      <c r="H144" s="102"/>
      <c r="I144" s="102"/>
      <c r="J144" s="102"/>
      <c r="K144" s="102"/>
      <c r="L144" s="102"/>
      <c r="M144" s="102"/>
      <c r="N144" s="102"/>
      <c r="O144" s="102">
        <v>100000</v>
      </c>
      <c r="P144" s="102">
        <v>86720.45</v>
      </c>
      <c r="Q144" s="386">
        <f>U144-O144</f>
        <v>20000</v>
      </c>
      <c r="R144" s="102">
        <v>100000</v>
      </c>
      <c r="S144" s="102">
        <v>65000</v>
      </c>
      <c r="T144" s="102">
        <v>65000</v>
      </c>
      <c r="U144" s="360">
        <f>100000+20000</f>
        <v>120000</v>
      </c>
      <c r="V144" s="360">
        <v>100000</v>
      </c>
      <c r="W144" s="360">
        <v>130000</v>
      </c>
      <c r="X144" s="360">
        <v>150000</v>
      </c>
      <c r="Y144" s="360">
        <v>49461.14</v>
      </c>
      <c r="Z144" s="614">
        <f t="shared" si="26"/>
        <v>49.46</v>
      </c>
      <c r="AA144" s="614">
        <f t="shared" si="27"/>
        <v>0</v>
      </c>
      <c r="AB144" s="360">
        <v>100000</v>
      </c>
    </row>
    <row r="145" spans="1:63" s="96" customFormat="1" x14ac:dyDescent="0.25">
      <c r="A145" s="80"/>
      <c r="B145" s="80"/>
      <c r="C145" s="80"/>
      <c r="D145" s="80"/>
      <c r="E145" s="80" t="s">
        <v>975</v>
      </c>
      <c r="F145" s="81" t="s">
        <v>980</v>
      </c>
      <c r="G145" s="82">
        <v>384094.27</v>
      </c>
      <c r="H145" s="82">
        <v>390000</v>
      </c>
      <c r="I145" s="82">
        <v>488594.41</v>
      </c>
      <c r="J145" s="82">
        <v>420000</v>
      </c>
      <c r="K145" s="82">
        <v>464143.75</v>
      </c>
      <c r="L145" s="82">
        <f>ROUND(K145/J145*100,2)</f>
        <v>110.51</v>
      </c>
      <c r="M145" s="82">
        <f>N145-J145</f>
        <v>214478.20999999996</v>
      </c>
      <c r="N145" s="82">
        <v>634478.21</v>
      </c>
      <c r="O145" s="82">
        <v>470000</v>
      </c>
      <c r="P145" s="82">
        <v>257840.12</v>
      </c>
      <c r="Q145" s="386">
        <f>U145-O145</f>
        <v>-116000</v>
      </c>
      <c r="R145" s="82">
        <v>470000</v>
      </c>
      <c r="S145" s="82">
        <v>550000</v>
      </c>
      <c r="T145" s="82">
        <v>500000</v>
      </c>
      <c r="U145" s="357">
        <f>234000+90000+30000</f>
        <v>354000</v>
      </c>
      <c r="V145" s="357">
        <f>400000-168000</f>
        <v>232000</v>
      </c>
      <c r="W145" s="357">
        <f>362000</f>
        <v>362000</v>
      </c>
      <c r="X145" s="357">
        <f>440000-100000</f>
        <v>340000</v>
      </c>
      <c r="Y145" s="357">
        <v>289783.67</v>
      </c>
      <c r="Z145" s="614">
        <f t="shared" ref="Z145:Z210" si="41">ROUND(Y145/V145*100,2)</f>
        <v>124.91</v>
      </c>
      <c r="AA145" s="614">
        <f t="shared" ref="AA145:AA210" si="42">AB145-V145</f>
        <v>348000</v>
      </c>
      <c r="AB145" s="357">
        <v>580000</v>
      </c>
      <c r="AC145" s="60"/>
      <c r="AD145" s="60"/>
      <c r="AE145" s="60"/>
    </row>
    <row r="146" spans="1:63" s="96" customFormat="1" x14ac:dyDescent="0.25">
      <c r="A146" s="80"/>
      <c r="B146" s="80"/>
      <c r="C146" s="80"/>
      <c r="D146" s="80"/>
      <c r="E146" s="80"/>
      <c r="F146" s="81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386"/>
      <c r="R146" s="82"/>
      <c r="S146" s="82"/>
      <c r="T146" s="82"/>
      <c r="U146" s="357"/>
      <c r="V146" s="357"/>
      <c r="W146" s="357"/>
      <c r="X146" s="357"/>
      <c r="Y146" s="357"/>
      <c r="Z146" s="614"/>
      <c r="AA146" s="614"/>
      <c r="AB146" s="357"/>
      <c r="AC146" s="60"/>
      <c r="AD146" s="60"/>
      <c r="AE146" s="60"/>
    </row>
    <row r="147" spans="1:63" s="96" customFormat="1" x14ac:dyDescent="0.25">
      <c r="A147" s="125"/>
      <c r="B147" s="125"/>
      <c r="C147" s="125"/>
      <c r="D147" s="125"/>
      <c r="E147" s="125"/>
      <c r="F147" s="126" t="s">
        <v>15</v>
      </c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393"/>
      <c r="R147" s="135"/>
      <c r="S147" s="135"/>
      <c r="T147" s="135"/>
      <c r="U147" s="393"/>
      <c r="V147" s="393">
        <f>V148</f>
        <v>2177900</v>
      </c>
      <c r="W147" s="393">
        <f>W148</f>
        <v>2152700</v>
      </c>
      <c r="X147" s="393">
        <f>X148</f>
        <v>2198700</v>
      </c>
      <c r="Y147" s="393">
        <f>Y148</f>
        <v>684719.37</v>
      </c>
      <c r="Z147" s="590">
        <f t="shared" si="41"/>
        <v>31.44</v>
      </c>
      <c r="AA147" s="590">
        <f t="shared" si="42"/>
        <v>169600</v>
      </c>
      <c r="AB147" s="393">
        <f>AB148</f>
        <v>2347500</v>
      </c>
      <c r="AC147" s="533"/>
      <c r="AD147" s="533"/>
      <c r="AE147" s="533"/>
    </row>
    <row r="148" spans="1:63" s="95" customFormat="1" x14ac:dyDescent="0.25">
      <c r="A148" s="74"/>
      <c r="B148" s="74" t="s">
        <v>665</v>
      </c>
      <c r="C148" s="74"/>
      <c r="D148" s="74"/>
      <c r="E148" s="74"/>
      <c r="F148" s="75" t="s">
        <v>666</v>
      </c>
      <c r="G148" s="76"/>
      <c r="H148" s="76"/>
      <c r="I148" s="76"/>
      <c r="J148" s="76"/>
      <c r="K148" s="76"/>
      <c r="L148" s="76"/>
      <c r="M148" s="76"/>
      <c r="N148" s="76"/>
      <c r="O148" s="76"/>
      <c r="P148" s="76"/>
      <c r="Q148" s="385"/>
      <c r="R148" s="76"/>
      <c r="S148" s="76"/>
      <c r="T148" s="76"/>
      <c r="U148" s="385"/>
      <c r="V148" s="385">
        <f t="shared" ref="V148:X149" si="43">V149</f>
        <v>2177900</v>
      </c>
      <c r="W148" s="385">
        <f t="shared" si="43"/>
        <v>2152700</v>
      </c>
      <c r="X148" s="385">
        <f t="shared" si="43"/>
        <v>2198700</v>
      </c>
      <c r="Y148" s="385">
        <f>Y149</f>
        <v>684719.37</v>
      </c>
      <c r="Z148" s="610">
        <f t="shared" si="41"/>
        <v>31.44</v>
      </c>
      <c r="AA148" s="610">
        <f t="shared" si="42"/>
        <v>169600</v>
      </c>
      <c r="AB148" s="385">
        <f>AB149</f>
        <v>2347500</v>
      </c>
      <c r="AD148" s="619"/>
    </row>
    <row r="149" spans="1:63" s="98" customFormat="1" ht="39" customHeight="1" x14ac:dyDescent="0.25">
      <c r="A149" s="74"/>
      <c r="B149" s="74"/>
      <c r="C149" s="74" t="s">
        <v>166</v>
      </c>
      <c r="D149" s="74"/>
      <c r="E149" s="74"/>
      <c r="F149" s="75" t="s">
        <v>177</v>
      </c>
      <c r="G149" s="76"/>
      <c r="H149" s="76"/>
      <c r="I149" s="76">
        <f>I157</f>
        <v>0</v>
      </c>
      <c r="J149" s="76"/>
      <c r="K149" s="76"/>
      <c r="L149" s="76"/>
      <c r="M149" s="76"/>
      <c r="N149" s="76">
        <f>N157</f>
        <v>0</v>
      </c>
      <c r="O149" s="76">
        <f>O157</f>
        <v>55000</v>
      </c>
      <c r="P149" s="76">
        <f>P157</f>
        <v>7350</v>
      </c>
      <c r="Q149" s="385">
        <f>U149-O149</f>
        <v>-45000</v>
      </c>
      <c r="R149" s="76">
        <f>R157</f>
        <v>55000</v>
      </c>
      <c r="S149" s="76">
        <f>S157</f>
        <v>35000</v>
      </c>
      <c r="T149" s="76">
        <f>T157</f>
        <v>35000</v>
      </c>
      <c r="U149" s="356">
        <f>U157</f>
        <v>10000</v>
      </c>
      <c r="V149" s="356">
        <f t="shared" si="43"/>
        <v>2177900</v>
      </c>
      <c r="W149" s="356">
        <f t="shared" si="43"/>
        <v>2152700</v>
      </c>
      <c r="X149" s="356">
        <f t="shared" si="43"/>
        <v>2198700</v>
      </c>
      <c r="Y149" s="356">
        <f>Y150</f>
        <v>684719.37</v>
      </c>
      <c r="Z149" s="610">
        <f t="shared" si="41"/>
        <v>31.44</v>
      </c>
      <c r="AA149" s="610">
        <f t="shared" si="42"/>
        <v>169600</v>
      </c>
      <c r="AB149" s="356">
        <f>AB150</f>
        <v>2347500</v>
      </c>
      <c r="AC149" s="107"/>
      <c r="AD149" s="107"/>
      <c r="AE149" s="107"/>
    </row>
    <row r="150" spans="1:63" s="505" customFormat="1" ht="39" customHeight="1" x14ac:dyDescent="0.25">
      <c r="A150" s="432"/>
      <c r="B150" s="432"/>
      <c r="C150" s="432"/>
      <c r="D150" s="432" t="s">
        <v>17</v>
      </c>
      <c r="E150" s="432"/>
      <c r="F150" s="506" t="s">
        <v>177</v>
      </c>
      <c r="G150" s="433"/>
      <c r="H150" s="433"/>
      <c r="I150" s="433"/>
      <c r="J150" s="433"/>
      <c r="K150" s="433"/>
      <c r="L150" s="433"/>
      <c r="M150" s="433"/>
      <c r="N150" s="433"/>
      <c r="O150" s="433"/>
      <c r="P150" s="433"/>
      <c r="Q150" s="434"/>
      <c r="R150" s="433"/>
      <c r="S150" s="433"/>
      <c r="T150" s="433"/>
      <c r="U150" s="435"/>
      <c r="V150" s="435">
        <f>SUM(V151:V152)</f>
        <v>2177900</v>
      </c>
      <c r="W150" s="435">
        <f>SUM(W151:W152)</f>
        <v>2152700</v>
      </c>
      <c r="X150" s="435">
        <f>SUM(X151:X152)</f>
        <v>2198700</v>
      </c>
      <c r="Y150" s="435">
        <f>SUM(Y151:Y152)</f>
        <v>684719.37</v>
      </c>
      <c r="Z150" s="590">
        <f t="shared" si="41"/>
        <v>31.44</v>
      </c>
      <c r="AA150" s="590">
        <f t="shared" si="42"/>
        <v>169600</v>
      </c>
      <c r="AB150" s="435">
        <f>SUM(AB151:AB152)</f>
        <v>2347500</v>
      </c>
      <c r="AC150" s="60"/>
      <c r="AD150" s="60"/>
      <c r="AE150" s="60"/>
    </row>
    <row r="151" spans="1:63" s="518" customFormat="1" ht="24.75" customHeight="1" x14ac:dyDescent="0.25">
      <c r="A151" s="508"/>
      <c r="B151" s="508"/>
      <c r="C151" s="508"/>
      <c r="D151" s="508"/>
      <c r="E151" s="508" t="s">
        <v>18</v>
      </c>
      <c r="F151" s="506" t="s">
        <v>19</v>
      </c>
      <c r="G151" s="509"/>
      <c r="H151" s="509"/>
      <c r="I151" s="509"/>
      <c r="J151" s="509"/>
      <c r="K151" s="509"/>
      <c r="L151" s="509"/>
      <c r="M151" s="509"/>
      <c r="N151" s="509"/>
      <c r="O151" s="509"/>
      <c r="P151" s="509"/>
      <c r="Q151" s="360"/>
      <c r="R151" s="509"/>
      <c r="S151" s="509"/>
      <c r="T151" s="509"/>
      <c r="U151" s="360"/>
      <c r="V151" s="360">
        <v>2017900</v>
      </c>
      <c r="W151" s="360">
        <v>1992700</v>
      </c>
      <c r="X151" s="360">
        <v>2038700</v>
      </c>
      <c r="Y151" s="360">
        <v>588908.84</v>
      </c>
      <c r="Z151" s="614">
        <f t="shared" si="41"/>
        <v>29.18</v>
      </c>
      <c r="AA151" s="614">
        <f t="shared" si="42"/>
        <v>139600</v>
      </c>
      <c r="AB151" s="360">
        <v>2157500</v>
      </c>
      <c r="AC151" s="60"/>
      <c r="AD151" s="60"/>
      <c r="AE151" s="60"/>
    </row>
    <row r="152" spans="1:63" s="518" customFormat="1" ht="39" customHeight="1" x14ac:dyDescent="0.25">
      <c r="A152" s="508"/>
      <c r="B152" s="508"/>
      <c r="C152" s="508"/>
      <c r="D152" s="508"/>
      <c r="E152" s="508" t="s">
        <v>18</v>
      </c>
      <c r="F152" s="506" t="s">
        <v>21</v>
      </c>
      <c r="G152" s="509"/>
      <c r="H152" s="509"/>
      <c r="I152" s="509"/>
      <c r="J152" s="509"/>
      <c r="K152" s="509"/>
      <c r="L152" s="509"/>
      <c r="M152" s="509"/>
      <c r="N152" s="509"/>
      <c r="O152" s="509"/>
      <c r="P152" s="509"/>
      <c r="Q152" s="360"/>
      <c r="R152" s="509"/>
      <c r="S152" s="509"/>
      <c r="T152" s="509"/>
      <c r="U152" s="360"/>
      <c r="V152" s="360">
        <v>160000</v>
      </c>
      <c r="W152" s="360">
        <v>160000</v>
      </c>
      <c r="X152" s="360">
        <v>160000</v>
      </c>
      <c r="Y152" s="360">
        <v>95810.53</v>
      </c>
      <c r="Z152" s="614">
        <f t="shared" si="41"/>
        <v>59.88</v>
      </c>
      <c r="AA152" s="614">
        <f t="shared" si="42"/>
        <v>30000</v>
      </c>
      <c r="AB152" s="360">
        <v>190000</v>
      </c>
      <c r="AC152" s="60"/>
      <c r="AD152" s="60"/>
      <c r="AE152" s="60"/>
    </row>
    <row r="153" spans="1:63" s="518" customFormat="1" ht="20.25" customHeight="1" x14ac:dyDescent="0.25">
      <c r="A153" s="508"/>
      <c r="B153" s="508"/>
      <c r="C153" s="508"/>
      <c r="D153" s="508"/>
      <c r="E153" s="508"/>
      <c r="F153" s="506"/>
      <c r="G153" s="509"/>
      <c r="H153" s="509"/>
      <c r="I153" s="509"/>
      <c r="J153" s="509"/>
      <c r="K153" s="509"/>
      <c r="L153" s="509"/>
      <c r="M153" s="509"/>
      <c r="N153" s="509"/>
      <c r="O153" s="509"/>
      <c r="P153" s="509"/>
      <c r="Q153" s="360"/>
      <c r="R153" s="509"/>
      <c r="S153" s="509"/>
      <c r="T153" s="509"/>
      <c r="U153" s="360"/>
      <c r="V153" s="360"/>
      <c r="W153" s="360"/>
      <c r="X153" s="360"/>
      <c r="Y153" s="360"/>
      <c r="Z153" s="614"/>
      <c r="AA153" s="614"/>
      <c r="AB153" s="360"/>
      <c r="AC153" s="60"/>
      <c r="AD153" s="60"/>
      <c r="AE153" s="60"/>
    </row>
    <row r="154" spans="1:63" s="580" customFormat="1" ht="24" customHeight="1" x14ac:dyDescent="0.25">
      <c r="A154" s="432"/>
      <c r="B154" s="432"/>
      <c r="C154" s="432"/>
      <c r="D154" s="432"/>
      <c r="E154" s="432"/>
      <c r="F154" s="577" t="s">
        <v>828</v>
      </c>
      <c r="G154" s="433"/>
      <c r="H154" s="433"/>
      <c r="I154" s="433"/>
      <c r="J154" s="433"/>
      <c r="K154" s="433"/>
      <c r="L154" s="433"/>
      <c r="M154" s="433"/>
      <c r="N154" s="433"/>
      <c r="O154" s="433"/>
      <c r="P154" s="433"/>
      <c r="Q154" s="434"/>
      <c r="R154" s="433"/>
      <c r="S154" s="433"/>
      <c r="T154" s="433"/>
      <c r="U154" s="434"/>
      <c r="V154" s="434">
        <f t="shared" ref="V154:X156" si="44">V155</f>
        <v>10000</v>
      </c>
      <c r="W154" s="434">
        <f t="shared" si="44"/>
        <v>10000</v>
      </c>
      <c r="X154" s="434">
        <f t="shared" si="44"/>
        <v>12000</v>
      </c>
      <c r="Y154" s="434">
        <f>Y155</f>
        <v>0</v>
      </c>
      <c r="Z154" s="590">
        <f t="shared" si="41"/>
        <v>0</v>
      </c>
      <c r="AA154" s="590">
        <f t="shared" si="42"/>
        <v>-7000</v>
      </c>
      <c r="AB154" s="434">
        <f>AB155</f>
        <v>3000</v>
      </c>
      <c r="AC154" s="533"/>
      <c r="AD154" s="533"/>
      <c r="AE154" s="533"/>
    </row>
    <row r="155" spans="1:63" s="579" customFormat="1" ht="18.75" customHeight="1" x14ac:dyDescent="0.25">
      <c r="A155" s="74"/>
      <c r="B155" s="74" t="s">
        <v>665</v>
      </c>
      <c r="C155" s="74"/>
      <c r="D155" s="74"/>
      <c r="E155" s="74"/>
      <c r="F155" s="75" t="s">
        <v>666</v>
      </c>
      <c r="G155" s="76"/>
      <c r="H155" s="76"/>
      <c r="I155" s="76"/>
      <c r="J155" s="76"/>
      <c r="K155" s="76"/>
      <c r="L155" s="76"/>
      <c r="M155" s="76"/>
      <c r="N155" s="76"/>
      <c r="O155" s="76"/>
      <c r="P155" s="76"/>
      <c r="Q155" s="385"/>
      <c r="R155" s="76"/>
      <c r="S155" s="76"/>
      <c r="T155" s="76"/>
      <c r="U155" s="385"/>
      <c r="V155" s="385">
        <f t="shared" si="44"/>
        <v>10000</v>
      </c>
      <c r="W155" s="385">
        <f t="shared" si="44"/>
        <v>10000</v>
      </c>
      <c r="X155" s="385">
        <f t="shared" si="44"/>
        <v>12000</v>
      </c>
      <c r="Y155" s="385">
        <f>Y156</f>
        <v>0</v>
      </c>
      <c r="Z155" s="610">
        <f t="shared" si="41"/>
        <v>0</v>
      </c>
      <c r="AA155" s="610">
        <f t="shared" si="42"/>
        <v>-7000</v>
      </c>
      <c r="AB155" s="385">
        <f>AB156</f>
        <v>3000</v>
      </c>
      <c r="AC155" s="95"/>
      <c r="AD155" s="95"/>
      <c r="AE155" s="95"/>
    </row>
    <row r="156" spans="1:63" s="579" customFormat="1" ht="39" customHeight="1" x14ac:dyDescent="0.25">
      <c r="A156" s="74"/>
      <c r="B156" s="74"/>
      <c r="C156" s="74" t="s">
        <v>166</v>
      </c>
      <c r="D156" s="74"/>
      <c r="E156" s="74"/>
      <c r="F156" s="75" t="s">
        <v>177</v>
      </c>
      <c r="G156" s="76"/>
      <c r="H156" s="76"/>
      <c r="I156" s="76"/>
      <c r="J156" s="76"/>
      <c r="K156" s="76"/>
      <c r="L156" s="76"/>
      <c r="M156" s="76"/>
      <c r="N156" s="76"/>
      <c r="O156" s="76"/>
      <c r="P156" s="76"/>
      <c r="Q156" s="385"/>
      <c r="R156" s="76"/>
      <c r="S156" s="76"/>
      <c r="T156" s="76"/>
      <c r="U156" s="385"/>
      <c r="V156" s="385">
        <f t="shared" si="44"/>
        <v>10000</v>
      </c>
      <c r="W156" s="385">
        <f t="shared" si="44"/>
        <v>10000</v>
      </c>
      <c r="X156" s="385">
        <f t="shared" si="44"/>
        <v>12000</v>
      </c>
      <c r="Y156" s="385">
        <f>Y157</f>
        <v>0</v>
      </c>
      <c r="Z156" s="610">
        <f t="shared" si="41"/>
        <v>0</v>
      </c>
      <c r="AA156" s="610">
        <f t="shared" si="42"/>
        <v>-7000</v>
      </c>
      <c r="AB156" s="385">
        <f>AB157</f>
        <v>3000</v>
      </c>
      <c r="AC156" s="95"/>
      <c r="AD156" s="95"/>
      <c r="AE156" s="95"/>
    </row>
    <row r="157" spans="1:63" s="517" customFormat="1" ht="45" customHeight="1" x14ac:dyDescent="0.25">
      <c r="A157" s="513"/>
      <c r="B157" s="119"/>
      <c r="C157" s="119"/>
      <c r="D157" s="119" t="s">
        <v>167</v>
      </c>
      <c r="E157" s="119"/>
      <c r="F157" s="368" t="s">
        <v>176</v>
      </c>
      <c r="G157" s="137"/>
      <c r="H157" s="137"/>
      <c r="I157" s="137">
        <f>I158</f>
        <v>0</v>
      </c>
      <c r="J157" s="137"/>
      <c r="K157" s="137"/>
      <c r="L157" s="137"/>
      <c r="M157" s="137"/>
      <c r="N157" s="137">
        <f>N158</f>
        <v>0</v>
      </c>
      <c r="O157" s="137">
        <f>O158</f>
        <v>55000</v>
      </c>
      <c r="P157" s="137">
        <f>P158</f>
        <v>7350</v>
      </c>
      <c r="Q157" s="371">
        <f>U157-O157</f>
        <v>-45000</v>
      </c>
      <c r="R157" s="137">
        <f t="shared" ref="R157:X157" si="45">R158</f>
        <v>55000</v>
      </c>
      <c r="S157" s="137">
        <f t="shared" si="45"/>
        <v>35000</v>
      </c>
      <c r="T157" s="137">
        <f t="shared" si="45"/>
        <v>35000</v>
      </c>
      <c r="U157" s="371">
        <f t="shared" si="45"/>
        <v>10000</v>
      </c>
      <c r="V157" s="371">
        <f t="shared" si="45"/>
        <v>10000</v>
      </c>
      <c r="W157" s="371">
        <f t="shared" si="45"/>
        <v>10000</v>
      </c>
      <c r="X157" s="371">
        <f t="shared" si="45"/>
        <v>12000</v>
      </c>
      <c r="Y157" s="371">
        <f>Y158</f>
        <v>0</v>
      </c>
      <c r="Z157" s="590">
        <f t="shared" si="41"/>
        <v>0</v>
      </c>
      <c r="AA157" s="590">
        <f t="shared" si="42"/>
        <v>-7000</v>
      </c>
      <c r="AB157" s="371">
        <f>AB158</f>
        <v>3000</v>
      </c>
      <c r="AC157" s="372"/>
      <c r="AD157" s="372"/>
      <c r="AE157" s="372"/>
      <c r="AF157" s="519"/>
      <c r="AG157" s="519"/>
      <c r="AH157" s="519"/>
      <c r="AI157" s="519"/>
      <c r="AJ157" s="519"/>
      <c r="AK157" s="519"/>
      <c r="AL157" s="519"/>
      <c r="AM157" s="519"/>
      <c r="AN157" s="519"/>
      <c r="AO157" s="519"/>
      <c r="AP157" s="519"/>
      <c r="AQ157" s="519"/>
      <c r="AR157" s="519"/>
      <c r="AS157" s="519"/>
      <c r="AT157" s="519"/>
      <c r="AU157" s="519"/>
      <c r="AV157" s="519"/>
      <c r="AW157" s="519"/>
      <c r="AX157" s="519"/>
      <c r="AY157" s="519"/>
      <c r="AZ157" s="519"/>
      <c r="BA157" s="519"/>
      <c r="BB157" s="519"/>
      <c r="BC157" s="519"/>
      <c r="BD157" s="519"/>
      <c r="BE157" s="519"/>
      <c r="BF157" s="519"/>
      <c r="BG157" s="519"/>
      <c r="BH157" s="519"/>
    </row>
    <row r="158" spans="1:63" s="89" customFormat="1" ht="36.75" customHeight="1" x14ac:dyDescent="0.25">
      <c r="A158" s="80"/>
      <c r="B158" s="80"/>
      <c r="C158" s="80"/>
      <c r="D158" s="80"/>
      <c r="E158" s="80" t="s">
        <v>168</v>
      </c>
      <c r="F158" s="81" t="s">
        <v>540</v>
      </c>
      <c r="G158" s="82"/>
      <c r="H158" s="82"/>
      <c r="I158" s="82"/>
      <c r="J158" s="82"/>
      <c r="K158" s="82"/>
      <c r="L158" s="82"/>
      <c r="M158" s="82"/>
      <c r="N158" s="82"/>
      <c r="O158" s="82">
        <v>55000</v>
      </c>
      <c r="P158" s="82">
        <v>7350</v>
      </c>
      <c r="Q158" s="386">
        <f>U158-O158</f>
        <v>-45000</v>
      </c>
      <c r="R158" s="82">
        <v>55000</v>
      </c>
      <c r="S158" s="82">
        <v>35000</v>
      </c>
      <c r="T158" s="82">
        <v>35000</v>
      </c>
      <c r="U158" s="357">
        <v>10000</v>
      </c>
      <c r="V158" s="357">
        <v>10000</v>
      </c>
      <c r="W158" s="357">
        <v>10000</v>
      </c>
      <c r="X158" s="357">
        <v>12000</v>
      </c>
      <c r="Y158" s="357">
        <v>0</v>
      </c>
      <c r="Z158" s="614">
        <f t="shared" si="41"/>
        <v>0</v>
      </c>
      <c r="AA158" s="614">
        <f t="shared" si="42"/>
        <v>-7000</v>
      </c>
      <c r="AB158" s="357">
        <v>3000</v>
      </c>
      <c r="AC158" s="60"/>
      <c r="AD158" s="60"/>
      <c r="AE158" s="60"/>
      <c r="AF158" s="299"/>
      <c r="AG158" s="299"/>
      <c r="AH158" s="299"/>
      <c r="AI158" s="299"/>
      <c r="AJ158" s="299"/>
      <c r="AK158" s="299"/>
      <c r="AL158" s="299"/>
      <c r="AM158" s="299"/>
      <c r="AN158" s="299"/>
      <c r="AO158" s="299"/>
      <c r="AP158" s="299"/>
      <c r="AQ158" s="299"/>
      <c r="AR158" s="299"/>
      <c r="AS158" s="299"/>
      <c r="AT158" s="299"/>
    </row>
    <row r="159" spans="1:63" s="98" customFormat="1" ht="26.25" hidden="1" customHeight="1" x14ac:dyDescent="0.25">
      <c r="A159" s="74"/>
      <c r="B159" s="74"/>
      <c r="C159" s="74" t="s">
        <v>736</v>
      </c>
      <c r="D159" s="74"/>
      <c r="E159" s="74"/>
      <c r="F159" s="75" t="s">
        <v>737</v>
      </c>
      <c r="G159" s="76"/>
      <c r="H159" s="76"/>
      <c r="I159" s="76">
        <f>I160</f>
        <v>0</v>
      </c>
      <c r="J159" s="76"/>
      <c r="K159" s="76"/>
      <c r="L159" s="76"/>
      <c r="M159" s="76"/>
      <c r="N159" s="76">
        <f t="shared" ref="N159:P160" si="46">N160</f>
        <v>40200</v>
      </c>
      <c r="O159" s="76">
        <f t="shared" si="46"/>
        <v>0</v>
      </c>
      <c r="P159" s="76">
        <f t="shared" si="46"/>
        <v>0</v>
      </c>
      <c r="Q159" s="385"/>
      <c r="R159" s="76">
        <f t="shared" ref="R159:X160" si="47">R160</f>
        <v>0</v>
      </c>
      <c r="S159" s="76">
        <f t="shared" si="47"/>
        <v>0</v>
      </c>
      <c r="T159" s="76">
        <f t="shared" si="47"/>
        <v>35000</v>
      </c>
      <c r="U159" s="356">
        <f t="shared" si="47"/>
        <v>0</v>
      </c>
      <c r="V159" s="356">
        <f t="shared" si="47"/>
        <v>0</v>
      </c>
      <c r="W159" s="356">
        <f t="shared" si="47"/>
        <v>0</v>
      </c>
      <c r="X159" s="356">
        <f t="shared" si="47"/>
        <v>0</v>
      </c>
      <c r="Y159" s="356"/>
      <c r="Z159" s="590" t="e">
        <f t="shared" si="41"/>
        <v>#DIV/0!</v>
      </c>
      <c r="AA159" s="590">
        <f t="shared" si="42"/>
        <v>0</v>
      </c>
      <c r="AB159" s="356">
        <f>AB160</f>
        <v>0</v>
      </c>
      <c r="AC159" s="60"/>
      <c r="AD159" s="60"/>
      <c r="AE159" s="60"/>
      <c r="AF159" s="297"/>
      <c r="AG159" s="297"/>
      <c r="AH159" s="297"/>
      <c r="AI159" s="297"/>
      <c r="AJ159" s="297"/>
      <c r="AK159" s="297"/>
      <c r="AL159" s="297"/>
      <c r="AM159" s="297"/>
      <c r="AN159" s="297"/>
      <c r="AO159" s="297"/>
      <c r="AP159" s="297"/>
      <c r="AQ159" s="297"/>
      <c r="AR159" s="297"/>
      <c r="AS159" s="297"/>
      <c r="AT159" s="297"/>
      <c r="AU159" s="297"/>
      <c r="AV159" s="297"/>
      <c r="AW159" s="297"/>
      <c r="AX159" s="297"/>
      <c r="AY159" s="297"/>
      <c r="AZ159" s="297"/>
      <c r="BA159" s="297"/>
      <c r="BB159" s="297"/>
      <c r="BC159" s="297"/>
      <c r="BD159" s="297"/>
      <c r="BE159" s="297"/>
      <c r="BF159" s="297"/>
      <c r="BG159" s="297"/>
      <c r="BH159" s="297"/>
      <c r="BI159" s="297"/>
      <c r="BJ159" s="297"/>
      <c r="BK159" s="297"/>
    </row>
    <row r="160" spans="1:63" s="88" customFormat="1" ht="25.5" hidden="1" customHeight="1" x14ac:dyDescent="0.25">
      <c r="A160" s="79"/>
      <c r="B160" s="80"/>
      <c r="C160" s="80"/>
      <c r="D160" s="80" t="s">
        <v>738</v>
      </c>
      <c r="E160" s="80"/>
      <c r="F160" s="81" t="s">
        <v>739</v>
      </c>
      <c r="G160" s="82"/>
      <c r="H160" s="82"/>
      <c r="I160" s="82">
        <f>I161</f>
        <v>0</v>
      </c>
      <c r="J160" s="82"/>
      <c r="K160" s="82"/>
      <c r="L160" s="82"/>
      <c r="M160" s="82"/>
      <c r="N160" s="82">
        <f t="shared" si="46"/>
        <v>40200</v>
      </c>
      <c r="O160" s="82">
        <f t="shared" si="46"/>
        <v>0</v>
      </c>
      <c r="P160" s="82">
        <f t="shared" si="46"/>
        <v>0</v>
      </c>
      <c r="Q160" s="386"/>
      <c r="R160" s="82">
        <f t="shared" si="47"/>
        <v>0</v>
      </c>
      <c r="S160" s="82">
        <f t="shared" si="47"/>
        <v>0</v>
      </c>
      <c r="T160" s="82">
        <f t="shared" si="47"/>
        <v>35000</v>
      </c>
      <c r="U160" s="357">
        <f t="shared" si="47"/>
        <v>0</v>
      </c>
      <c r="V160" s="357">
        <f t="shared" si="47"/>
        <v>0</v>
      </c>
      <c r="W160" s="357">
        <f t="shared" si="47"/>
        <v>0</v>
      </c>
      <c r="X160" s="357">
        <f t="shared" si="47"/>
        <v>0</v>
      </c>
      <c r="Y160" s="357"/>
      <c r="Z160" s="590" t="e">
        <f t="shared" si="41"/>
        <v>#DIV/0!</v>
      </c>
      <c r="AA160" s="590">
        <f t="shared" si="42"/>
        <v>0</v>
      </c>
      <c r="AB160" s="357">
        <f>AB161</f>
        <v>0</v>
      </c>
      <c r="AC160" s="60"/>
      <c r="AD160" s="60"/>
      <c r="AE160" s="60"/>
      <c r="AF160" s="296"/>
      <c r="AG160" s="296"/>
      <c r="AH160" s="296"/>
      <c r="AI160" s="296"/>
      <c r="AJ160" s="296"/>
      <c r="AK160" s="296"/>
      <c r="AL160" s="296"/>
      <c r="AM160" s="296"/>
      <c r="AN160" s="296"/>
      <c r="AO160" s="296"/>
      <c r="AP160" s="296"/>
      <c r="AQ160" s="296"/>
      <c r="AR160" s="296"/>
      <c r="AS160" s="296"/>
      <c r="AT160" s="296"/>
    </row>
    <row r="161" spans="1:77" s="89" customFormat="1" ht="25.5" hidden="1" customHeight="1" x14ac:dyDescent="0.25">
      <c r="A161" s="80"/>
      <c r="B161" s="80"/>
      <c r="C161" s="80"/>
      <c r="D161" s="80"/>
      <c r="E161" s="80" t="s">
        <v>740</v>
      </c>
      <c r="F161" s="81" t="s">
        <v>739</v>
      </c>
      <c r="G161" s="82"/>
      <c r="H161" s="82"/>
      <c r="I161" s="82"/>
      <c r="J161" s="82"/>
      <c r="K161" s="82"/>
      <c r="L161" s="82"/>
      <c r="M161" s="82"/>
      <c r="N161" s="82">
        <v>40200</v>
      </c>
      <c r="O161" s="82"/>
      <c r="P161" s="82">
        <v>0</v>
      </c>
      <c r="Q161" s="386"/>
      <c r="R161" s="82"/>
      <c r="S161" s="82"/>
      <c r="T161" s="82">
        <v>35000</v>
      </c>
      <c r="U161" s="357"/>
      <c r="V161" s="357"/>
      <c r="W161" s="357"/>
      <c r="X161" s="357"/>
      <c r="Y161" s="357"/>
      <c r="Z161" s="612" t="e">
        <f t="shared" si="41"/>
        <v>#DIV/0!</v>
      </c>
      <c r="AA161" s="612">
        <f t="shared" si="42"/>
        <v>0</v>
      </c>
      <c r="AB161" s="357"/>
      <c r="AC161" s="60"/>
      <c r="AD161" s="60"/>
      <c r="AE161" s="60"/>
      <c r="AF161" s="299"/>
      <c r="AG161" s="299"/>
      <c r="AH161" s="299"/>
      <c r="AI161" s="299"/>
      <c r="AJ161" s="299"/>
      <c r="AK161" s="299"/>
      <c r="AL161" s="299"/>
      <c r="AM161" s="299"/>
      <c r="AN161" s="299"/>
      <c r="AO161" s="299"/>
      <c r="AP161" s="299"/>
      <c r="AQ161" s="299"/>
      <c r="AR161" s="299"/>
      <c r="AS161" s="299"/>
      <c r="AT161" s="299"/>
    </row>
    <row r="162" spans="1:77" s="96" customFormat="1" x14ac:dyDescent="0.25">
      <c r="A162" s="108"/>
      <c r="B162" s="108"/>
      <c r="C162" s="108"/>
      <c r="D162" s="108"/>
      <c r="E162" s="108"/>
      <c r="F162" s="109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387"/>
      <c r="R162" s="110"/>
      <c r="S162" s="110"/>
      <c r="T162" s="110"/>
      <c r="U162" s="361"/>
      <c r="V162" s="361"/>
      <c r="W162" s="361"/>
      <c r="X162" s="361"/>
      <c r="Y162" s="361"/>
      <c r="Z162" s="613"/>
      <c r="AA162" s="613"/>
      <c r="AB162" s="361"/>
      <c r="AC162" s="60"/>
      <c r="AD162" s="60"/>
      <c r="AE162" s="60"/>
    </row>
    <row r="163" spans="1:77" ht="18" customHeight="1" x14ac:dyDescent="0.25">
      <c r="A163" s="103"/>
      <c r="B163" s="103"/>
      <c r="C163" s="103"/>
      <c r="D163" s="103"/>
      <c r="E163" s="103"/>
      <c r="F163" s="104" t="s">
        <v>981</v>
      </c>
      <c r="G163" s="103"/>
      <c r="H163" s="103"/>
      <c r="I163" s="103"/>
      <c r="J163" s="103"/>
      <c r="K163" s="103"/>
      <c r="L163" s="103" t="e">
        <f>ROUND(K163/J163*100,2)</f>
        <v>#DIV/0!</v>
      </c>
      <c r="M163" s="103">
        <f>N163-J163</f>
        <v>0</v>
      </c>
      <c r="N163" s="103"/>
      <c r="O163" s="103"/>
      <c r="P163" s="103"/>
      <c r="Q163" s="388"/>
      <c r="R163" s="103"/>
      <c r="S163" s="103"/>
      <c r="T163" s="103"/>
      <c r="U163" s="362"/>
      <c r="V163" s="362"/>
      <c r="W163" s="362"/>
      <c r="X163" s="362"/>
      <c r="Y163" s="362"/>
      <c r="Z163" s="613"/>
      <c r="AA163" s="613"/>
      <c r="AB163" s="362"/>
      <c r="AF163" s="298"/>
      <c r="AG163" s="298"/>
      <c r="AH163" s="298"/>
      <c r="AI163" s="298"/>
      <c r="AJ163" s="298"/>
      <c r="AK163" s="298"/>
      <c r="AL163" s="298"/>
      <c r="AM163" s="298"/>
      <c r="AN163" s="298"/>
      <c r="AO163" s="298"/>
      <c r="AP163" s="298"/>
      <c r="AQ163" s="298"/>
      <c r="AR163" s="298"/>
      <c r="AS163" s="298"/>
      <c r="AT163" s="298"/>
    </row>
    <row r="164" spans="1:77" ht="18" customHeight="1" x14ac:dyDescent="0.25">
      <c r="A164" s="103"/>
      <c r="B164" s="433"/>
      <c r="C164" s="433"/>
      <c r="D164" s="433"/>
      <c r="E164" s="433"/>
      <c r="F164" s="581" t="s">
        <v>826</v>
      </c>
      <c r="G164" s="433"/>
      <c r="H164" s="433"/>
      <c r="I164" s="433"/>
      <c r="J164" s="433"/>
      <c r="K164" s="433"/>
      <c r="L164" s="433"/>
      <c r="M164" s="433"/>
      <c r="N164" s="433"/>
      <c r="O164" s="433"/>
      <c r="P164" s="433"/>
      <c r="Q164" s="434"/>
      <c r="R164" s="433"/>
      <c r="S164" s="433"/>
      <c r="T164" s="433"/>
      <c r="U164" s="434"/>
      <c r="V164" s="434">
        <f>V165</f>
        <v>320000</v>
      </c>
      <c r="W164" s="434">
        <f>W165</f>
        <v>390000</v>
      </c>
      <c r="X164" s="434">
        <f>X165</f>
        <v>290000</v>
      </c>
      <c r="Y164" s="434">
        <f>Y165</f>
        <v>92740.7</v>
      </c>
      <c r="Z164" s="590">
        <f t="shared" si="41"/>
        <v>28.98</v>
      </c>
      <c r="AA164" s="590">
        <f t="shared" si="42"/>
        <v>-94000</v>
      </c>
      <c r="AB164" s="434">
        <f>AB165</f>
        <v>226000</v>
      </c>
      <c r="AF164" s="298"/>
      <c r="AG164" s="298"/>
      <c r="AH164" s="298"/>
      <c r="AI164" s="298"/>
      <c r="AJ164" s="298"/>
      <c r="AK164" s="298"/>
      <c r="AL164" s="298"/>
      <c r="AM164" s="298"/>
      <c r="AN164" s="298"/>
      <c r="AO164" s="298"/>
      <c r="AP164" s="298"/>
      <c r="AQ164" s="298"/>
      <c r="AR164" s="298"/>
      <c r="AS164" s="298"/>
      <c r="AT164" s="298"/>
    </row>
    <row r="165" spans="1:77" s="106" customFormat="1" x14ac:dyDescent="0.25">
      <c r="A165" s="105"/>
      <c r="B165" s="105" t="s">
        <v>982</v>
      </c>
      <c r="C165" s="105"/>
      <c r="D165" s="105"/>
      <c r="E165" s="105"/>
      <c r="F165" s="72" t="s">
        <v>983</v>
      </c>
      <c r="G165" s="73">
        <f t="shared" ref="G165:K166" si="48">G166</f>
        <v>72942.17</v>
      </c>
      <c r="H165" s="73">
        <f t="shared" si="48"/>
        <v>83000</v>
      </c>
      <c r="I165" s="73">
        <f t="shared" si="48"/>
        <v>78821.490000000005</v>
      </c>
      <c r="J165" s="73">
        <f t="shared" si="48"/>
        <v>83000</v>
      </c>
      <c r="K165" s="73">
        <f t="shared" si="48"/>
        <v>398350.88</v>
      </c>
      <c r="L165" s="73">
        <f>ROUND(K165/J165*100,2)</f>
        <v>479.94</v>
      </c>
      <c r="M165" s="73">
        <f>N165-J165</f>
        <v>400313.13</v>
      </c>
      <c r="N165" s="73">
        <f>N166+N169</f>
        <v>483313.13</v>
      </c>
      <c r="O165" s="73">
        <f>O166+O169</f>
        <v>440000</v>
      </c>
      <c r="P165" s="73">
        <f>P166+P169</f>
        <v>150818.69</v>
      </c>
      <c r="Q165" s="384">
        <f t="shared" ref="Q165:Q171" si="49">U165-O165</f>
        <v>-190000</v>
      </c>
      <c r="R165" s="73">
        <f>R166+R169</f>
        <v>440000</v>
      </c>
      <c r="S165" s="73">
        <f t="shared" ref="S165:T167" si="50">S166</f>
        <v>400000</v>
      </c>
      <c r="T165" s="73">
        <f t="shared" si="50"/>
        <v>400000</v>
      </c>
      <c r="U165" s="355">
        <f>U166+U169</f>
        <v>250000</v>
      </c>
      <c r="V165" s="355">
        <f>V166+V169</f>
        <v>320000</v>
      </c>
      <c r="W165" s="355">
        <f>W166+W169</f>
        <v>390000</v>
      </c>
      <c r="X165" s="355">
        <f>X166+X169</f>
        <v>290000</v>
      </c>
      <c r="Y165" s="355">
        <f>Y166+Y169</f>
        <v>92740.7</v>
      </c>
      <c r="Z165" s="611">
        <f t="shared" si="41"/>
        <v>28.98</v>
      </c>
      <c r="AA165" s="611">
        <f t="shared" si="42"/>
        <v>-94000</v>
      </c>
      <c r="AB165" s="355">
        <f>AB166+AB169</f>
        <v>226000</v>
      </c>
      <c r="AC165" s="60"/>
      <c r="AD165" s="60"/>
      <c r="AE165" s="60"/>
      <c r="AF165" s="298"/>
      <c r="AG165" s="298"/>
      <c r="AH165" s="298"/>
      <c r="AI165" s="298"/>
      <c r="AJ165" s="298"/>
      <c r="AK165" s="298"/>
      <c r="AL165" s="298"/>
      <c r="AM165" s="298"/>
      <c r="AN165" s="298"/>
      <c r="AO165" s="298"/>
      <c r="AP165" s="298"/>
      <c r="AQ165" s="298"/>
      <c r="AR165" s="298"/>
      <c r="AS165" s="298"/>
      <c r="AT165" s="298"/>
      <c r="AU165" s="298"/>
      <c r="AV165" s="298"/>
      <c r="AW165" s="298"/>
      <c r="AX165" s="298"/>
      <c r="AY165" s="298"/>
      <c r="AZ165" s="298"/>
      <c r="BA165" s="298"/>
      <c r="BB165" s="298"/>
      <c r="BC165" s="298"/>
      <c r="BD165" s="298"/>
      <c r="BE165" s="298"/>
      <c r="BF165" s="298"/>
      <c r="BG165" s="298"/>
      <c r="BH165" s="298"/>
      <c r="BI165" s="298"/>
      <c r="BJ165" s="298"/>
      <c r="BK165" s="298"/>
      <c r="BL165" s="298"/>
      <c r="BM165" s="298"/>
      <c r="BN165" s="298"/>
      <c r="BO165" s="298"/>
      <c r="BP165" s="298"/>
      <c r="BQ165" s="298"/>
      <c r="BR165" s="298"/>
      <c r="BS165" s="298"/>
      <c r="BT165" s="298"/>
      <c r="BU165" s="298"/>
      <c r="BV165" s="298"/>
      <c r="BW165" s="298"/>
      <c r="BX165" s="298"/>
      <c r="BY165" s="298"/>
    </row>
    <row r="166" spans="1:77" s="107" customFormat="1" ht="37.5" customHeight="1" x14ac:dyDescent="0.25">
      <c r="A166" s="74"/>
      <c r="B166" s="74"/>
      <c r="C166" s="74" t="s">
        <v>984</v>
      </c>
      <c r="D166" s="74"/>
      <c r="E166" s="74"/>
      <c r="F166" s="75" t="s">
        <v>985</v>
      </c>
      <c r="G166" s="76">
        <f t="shared" si="48"/>
        <v>72942.17</v>
      </c>
      <c r="H166" s="76">
        <f t="shared" si="48"/>
        <v>83000</v>
      </c>
      <c r="I166" s="76">
        <f t="shared" si="48"/>
        <v>78821.490000000005</v>
      </c>
      <c r="J166" s="76">
        <f t="shared" si="48"/>
        <v>83000</v>
      </c>
      <c r="K166" s="76">
        <f t="shared" si="48"/>
        <v>398350.88</v>
      </c>
      <c r="L166" s="76">
        <f>ROUND(K166/J166*100,2)</f>
        <v>479.94</v>
      </c>
      <c r="M166" s="76">
        <f>N166-J166</f>
        <v>400313.13</v>
      </c>
      <c r="N166" s="76">
        <f t="shared" ref="N166:P167" si="51">N167</f>
        <v>483313.13</v>
      </c>
      <c r="O166" s="76">
        <f t="shared" si="51"/>
        <v>400000</v>
      </c>
      <c r="P166" s="76">
        <f t="shared" si="51"/>
        <v>116967.69</v>
      </c>
      <c r="Q166" s="385">
        <f t="shared" si="49"/>
        <v>-190000</v>
      </c>
      <c r="R166" s="76">
        <f>R167</f>
        <v>400000</v>
      </c>
      <c r="S166" s="76">
        <f t="shared" si="50"/>
        <v>400000</v>
      </c>
      <c r="T166" s="76">
        <f t="shared" si="50"/>
        <v>400000</v>
      </c>
      <c r="U166" s="356">
        <f t="shared" ref="U166:X167" si="52">U167</f>
        <v>210000</v>
      </c>
      <c r="V166" s="356">
        <f t="shared" si="52"/>
        <v>310000</v>
      </c>
      <c r="W166" s="356">
        <f t="shared" si="52"/>
        <v>380000</v>
      </c>
      <c r="X166" s="356">
        <f t="shared" si="52"/>
        <v>280000</v>
      </c>
      <c r="Y166" s="356">
        <f>Y167</f>
        <v>67560.7</v>
      </c>
      <c r="Z166" s="610">
        <f t="shared" si="41"/>
        <v>21.79</v>
      </c>
      <c r="AA166" s="610">
        <f t="shared" si="42"/>
        <v>-110000</v>
      </c>
      <c r="AB166" s="356">
        <f>AB167</f>
        <v>200000</v>
      </c>
      <c r="AC166" s="60"/>
      <c r="AD166" s="60"/>
      <c r="AE166" s="60"/>
      <c r="AF166" s="298"/>
      <c r="AG166" s="298"/>
      <c r="AH166" s="298"/>
      <c r="AI166" s="298"/>
      <c r="AJ166" s="298"/>
      <c r="AK166" s="298"/>
      <c r="AL166" s="298"/>
      <c r="AM166" s="298"/>
      <c r="AN166" s="298"/>
      <c r="AO166" s="298"/>
      <c r="AP166" s="298"/>
      <c r="AQ166" s="298"/>
      <c r="AR166" s="298"/>
      <c r="AS166" s="298"/>
      <c r="AT166" s="298"/>
      <c r="AU166" s="298"/>
      <c r="AV166" s="298"/>
      <c r="AW166" s="298"/>
      <c r="AX166" s="298"/>
      <c r="AY166" s="298"/>
      <c r="AZ166" s="298"/>
      <c r="BA166" s="298"/>
      <c r="BB166" s="298"/>
      <c r="BC166" s="298"/>
      <c r="BD166" s="298"/>
      <c r="BE166" s="298"/>
      <c r="BF166" s="298"/>
      <c r="BG166" s="298"/>
      <c r="BH166" s="298"/>
      <c r="BI166" s="298"/>
      <c r="BJ166" s="298"/>
      <c r="BK166" s="298"/>
      <c r="BL166" s="298"/>
      <c r="BM166" s="298"/>
      <c r="BN166" s="298"/>
      <c r="BO166" s="298"/>
      <c r="BP166" s="298"/>
      <c r="BQ166" s="298"/>
      <c r="BR166" s="298"/>
      <c r="BS166" s="298"/>
      <c r="BT166" s="298"/>
      <c r="BU166" s="298"/>
      <c r="BV166" s="298"/>
      <c r="BW166" s="298"/>
      <c r="BX166" s="298"/>
      <c r="BY166" s="298"/>
    </row>
    <row r="167" spans="1:77" ht="36" customHeight="1" x14ac:dyDescent="0.25">
      <c r="A167" s="79" t="s">
        <v>527</v>
      </c>
      <c r="B167" s="80"/>
      <c r="C167" s="80"/>
      <c r="D167" s="80" t="s">
        <v>986</v>
      </c>
      <c r="E167" s="80"/>
      <c r="F167" s="81" t="s">
        <v>988</v>
      </c>
      <c r="G167" s="82">
        <f>SUM(G168)</f>
        <v>72942.17</v>
      </c>
      <c r="H167" s="82">
        <f>SUM(H168)</f>
        <v>83000</v>
      </c>
      <c r="I167" s="82">
        <f>SUM(I168)</f>
        <v>78821.490000000005</v>
      </c>
      <c r="J167" s="82">
        <f>SUM(J168)</f>
        <v>83000</v>
      </c>
      <c r="K167" s="82">
        <f>SUM(K168)</f>
        <v>398350.88</v>
      </c>
      <c r="L167" s="82">
        <f>ROUND(K167/J167*100,2)</f>
        <v>479.94</v>
      </c>
      <c r="M167" s="82">
        <f>N167-J167</f>
        <v>400313.13</v>
      </c>
      <c r="N167" s="82">
        <f t="shared" si="51"/>
        <v>483313.13</v>
      </c>
      <c r="O167" s="82">
        <f t="shared" si="51"/>
        <v>400000</v>
      </c>
      <c r="P167" s="82">
        <f t="shared" si="51"/>
        <v>116967.69</v>
      </c>
      <c r="Q167" s="386">
        <f t="shared" si="49"/>
        <v>-190000</v>
      </c>
      <c r="R167" s="82">
        <f>R168</f>
        <v>400000</v>
      </c>
      <c r="S167" s="82">
        <f t="shared" si="50"/>
        <v>400000</v>
      </c>
      <c r="T167" s="82">
        <f t="shared" si="50"/>
        <v>400000</v>
      </c>
      <c r="U167" s="357">
        <f t="shared" si="52"/>
        <v>210000</v>
      </c>
      <c r="V167" s="357">
        <f t="shared" si="52"/>
        <v>310000</v>
      </c>
      <c r="W167" s="357">
        <f t="shared" si="52"/>
        <v>380000</v>
      </c>
      <c r="X167" s="357">
        <f t="shared" si="52"/>
        <v>280000</v>
      </c>
      <c r="Y167" s="357">
        <f>Y168</f>
        <v>67560.7</v>
      </c>
      <c r="Z167" s="614">
        <f t="shared" si="41"/>
        <v>21.79</v>
      </c>
      <c r="AA167" s="614">
        <f t="shared" si="42"/>
        <v>-110000</v>
      </c>
      <c r="AB167" s="357">
        <f>AB168</f>
        <v>200000</v>
      </c>
      <c r="AF167" s="298"/>
      <c r="AG167" s="298"/>
      <c r="AH167" s="298"/>
      <c r="AI167" s="298"/>
      <c r="AJ167" s="298"/>
      <c r="AK167" s="298"/>
      <c r="AL167" s="298"/>
      <c r="AM167" s="298"/>
      <c r="AN167" s="298"/>
      <c r="AO167" s="298"/>
      <c r="AP167" s="298"/>
      <c r="AQ167" s="298"/>
      <c r="AR167" s="298"/>
      <c r="AS167" s="298"/>
      <c r="AT167" s="298"/>
    </row>
    <row r="168" spans="1:77" x14ac:dyDescent="0.25">
      <c r="A168" s="80"/>
      <c r="B168" s="80"/>
      <c r="C168" s="80"/>
      <c r="D168" s="80"/>
      <c r="E168" s="80" t="s">
        <v>989</v>
      </c>
      <c r="F168" s="81" t="s">
        <v>755</v>
      </c>
      <c r="G168" s="82">
        <v>72942.17</v>
      </c>
      <c r="H168" s="82">
        <v>83000</v>
      </c>
      <c r="I168" s="82">
        <v>78821.490000000005</v>
      </c>
      <c r="J168" s="82">
        <v>83000</v>
      </c>
      <c r="K168" s="82">
        <v>398350.88</v>
      </c>
      <c r="L168" s="82">
        <f>ROUND(K168/J168*100,2)</f>
        <v>479.94</v>
      </c>
      <c r="M168" s="82">
        <f>N168-J168</f>
        <v>400313.13</v>
      </c>
      <c r="N168" s="82">
        <v>483313.13</v>
      </c>
      <c r="O168" s="82">
        <v>400000</v>
      </c>
      <c r="P168" s="82">
        <v>116967.69</v>
      </c>
      <c r="Q168" s="386">
        <f t="shared" si="49"/>
        <v>-190000</v>
      </c>
      <c r="R168" s="82">
        <v>400000</v>
      </c>
      <c r="S168" s="82">
        <v>400000</v>
      </c>
      <c r="T168" s="82">
        <v>400000</v>
      </c>
      <c r="U168" s="357">
        <v>210000</v>
      </c>
      <c r="V168" s="357">
        <v>310000</v>
      </c>
      <c r="W168" s="357">
        <v>380000</v>
      </c>
      <c r="X168" s="357">
        <v>280000</v>
      </c>
      <c r="Y168" s="357">
        <v>67560.7</v>
      </c>
      <c r="Z168" s="614">
        <f t="shared" si="41"/>
        <v>21.79</v>
      </c>
      <c r="AA168" s="614">
        <f t="shared" si="42"/>
        <v>-110000</v>
      </c>
      <c r="AB168" s="357">
        <v>200000</v>
      </c>
      <c r="AF168" s="298"/>
      <c r="AG168" s="298"/>
      <c r="AH168" s="298"/>
      <c r="AI168" s="298"/>
      <c r="AJ168" s="298"/>
      <c r="AK168" s="298"/>
      <c r="AL168" s="298"/>
      <c r="AM168" s="298"/>
      <c r="AN168" s="298"/>
      <c r="AO168" s="298"/>
      <c r="AP168" s="298"/>
      <c r="AQ168" s="298"/>
      <c r="AR168" s="298"/>
      <c r="AS168" s="298"/>
      <c r="AT168" s="298"/>
    </row>
    <row r="169" spans="1:77" s="107" customFormat="1" ht="37.5" customHeight="1" x14ac:dyDescent="0.25">
      <c r="A169" s="74"/>
      <c r="B169" s="74"/>
      <c r="C169" s="74" t="s">
        <v>169</v>
      </c>
      <c r="D169" s="74"/>
      <c r="E169" s="74"/>
      <c r="F169" s="75" t="s">
        <v>170</v>
      </c>
      <c r="G169" s="76"/>
      <c r="H169" s="76"/>
      <c r="I169" s="76"/>
      <c r="J169" s="76"/>
      <c r="K169" s="76"/>
      <c r="L169" s="76"/>
      <c r="M169" s="76"/>
      <c r="N169" s="76"/>
      <c r="O169" s="76">
        <f>O170</f>
        <v>40000</v>
      </c>
      <c r="P169" s="76">
        <f>P170</f>
        <v>33851</v>
      </c>
      <c r="Q169" s="385">
        <f t="shared" si="49"/>
        <v>0</v>
      </c>
      <c r="R169" s="76">
        <f>R170</f>
        <v>40000</v>
      </c>
      <c r="S169" s="76"/>
      <c r="T169" s="76"/>
      <c r="U169" s="356">
        <f t="shared" ref="U169:X170" si="53">U170</f>
        <v>40000</v>
      </c>
      <c r="V169" s="356">
        <f t="shared" si="53"/>
        <v>10000</v>
      </c>
      <c r="W169" s="356">
        <f t="shared" si="53"/>
        <v>10000</v>
      </c>
      <c r="X169" s="356">
        <f t="shared" si="53"/>
        <v>10000</v>
      </c>
      <c r="Y169" s="356">
        <f>Y170</f>
        <v>25180</v>
      </c>
      <c r="Z169" s="610">
        <f t="shared" si="41"/>
        <v>251.8</v>
      </c>
      <c r="AA169" s="610">
        <f t="shared" si="42"/>
        <v>16000</v>
      </c>
      <c r="AB169" s="356">
        <f>AB170</f>
        <v>26000</v>
      </c>
      <c r="AC169" s="60"/>
      <c r="AD169" s="60"/>
      <c r="AE169" s="60"/>
      <c r="AF169" s="298"/>
      <c r="AG169" s="298"/>
      <c r="AH169" s="298"/>
      <c r="AI169" s="298"/>
      <c r="AJ169" s="298"/>
      <c r="AK169" s="298"/>
      <c r="AL169" s="298"/>
      <c r="AM169" s="298"/>
      <c r="AN169" s="298"/>
      <c r="AO169" s="298"/>
      <c r="AP169" s="298"/>
      <c r="AQ169" s="298"/>
      <c r="AR169" s="298"/>
      <c r="AS169" s="298"/>
      <c r="AT169" s="298"/>
    </row>
    <row r="170" spans="1:77" ht="23.25" customHeight="1" x14ac:dyDescent="0.25">
      <c r="A170" s="79"/>
      <c r="B170" s="80"/>
      <c r="C170" s="80"/>
      <c r="D170" s="80" t="s">
        <v>171</v>
      </c>
      <c r="E170" s="80"/>
      <c r="F170" s="81" t="s">
        <v>172</v>
      </c>
      <c r="G170" s="82"/>
      <c r="H170" s="82"/>
      <c r="I170" s="82"/>
      <c r="J170" s="82"/>
      <c r="K170" s="82"/>
      <c r="L170" s="82"/>
      <c r="M170" s="82"/>
      <c r="N170" s="82"/>
      <c r="O170" s="82">
        <f>O171</f>
        <v>40000</v>
      </c>
      <c r="P170" s="82">
        <f>P171</f>
        <v>33851</v>
      </c>
      <c r="Q170" s="386">
        <f t="shared" si="49"/>
        <v>0</v>
      </c>
      <c r="R170" s="82">
        <f>R171</f>
        <v>40000</v>
      </c>
      <c r="S170" s="82"/>
      <c r="T170" s="82"/>
      <c r="U170" s="357">
        <f t="shared" si="53"/>
        <v>40000</v>
      </c>
      <c r="V170" s="357">
        <f t="shared" si="53"/>
        <v>10000</v>
      </c>
      <c r="W170" s="357">
        <f t="shared" si="53"/>
        <v>10000</v>
      </c>
      <c r="X170" s="357">
        <f t="shared" si="53"/>
        <v>10000</v>
      </c>
      <c r="Y170" s="357">
        <f>Y171</f>
        <v>25180</v>
      </c>
      <c r="Z170" s="614">
        <f t="shared" si="41"/>
        <v>251.8</v>
      </c>
      <c r="AA170" s="614">
        <f t="shared" si="42"/>
        <v>16000</v>
      </c>
      <c r="AB170" s="357">
        <f>AB171</f>
        <v>26000</v>
      </c>
      <c r="AF170" s="298"/>
      <c r="AG170" s="298"/>
      <c r="AH170" s="298"/>
      <c r="AI170" s="298"/>
      <c r="AJ170" s="298"/>
      <c r="AK170" s="298"/>
      <c r="AL170" s="298"/>
      <c r="AM170" s="298"/>
      <c r="AN170" s="298"/>
      <c r="AO170" s="298"/>
      <c r="AP170" s="298"/>
      <c r="AQ170" s="298"/>
      <c r="AR170" s="298"/>
      <c r="AS170" s="298"/>
      <c r="AT170" s="298"/>
    </row>
    <row r="171" spans="1:77" x14ac:dyDescent="0.25">
      <c r="A171" s="80"/>
      <c r="B171" s="80"/>
      <c r="C171" s="80"/>
      <c r="D171" s="80"/>
      <c r="E171" s="80" t="s">
        <v>173</v>
      </c>
      <c r="F171" s="81" t="s">
        <v>224</v>
      </c>
      <c r="G171" s="82"/>
      <c r="H171" s="82"/>
      <c r="I171" s="82"/>
      <c r="J171" s="82"/>
      <c r="K171" s="82"/>
      <c r="L171" s="82"/>
      <c r="M171" s="82"/>
      <c r="N171" s="82"/>
      <c r="O171" s="82">
        <v>40000</v>
      </c>
      <c r="P171" s="82">
        <v>33851</v>
      </c>
      <c r="Q171" s="386">
        <f t="shared" si="49"/>
        <v>0</v>
      </c>
      <c r="R171" s="82">
        <v>40000</v>
      </c>
      <c r="S171" s="82"/>
      <c r="T171" s="82"/>
      <c r="U171" s="357">
        <v>40000</v>
      </c>
      <c r="V171" s="357">
        <v>10000</v>
      </c>
      <c r="W171" s="357">
        <v>10000</v>
      </c>
      <c r="X171" s="357">
        <v>10000</v>
      </c>
      <c r="Y171" s="357">
        <v>25180</v>
      </c>
      <c r="Z171" s="614">
        <f t="shared" si="41"/>
        <v>251.8</v>
      </c>
      <c r="AA171" s="614">
        <f t="shared" si="42"/>
        <v>16000</v>
      </c>
      <c r="AB171" s="357">
        <v>26000</v>
      </c>
    </row>
    <row r="172" spans="1:77" ht="29.25" customHeight="1" x14ac:dyDescent="0.25">
      <c r="A172" s="108"/>
      <c r="B172" s="108"/>
      <c r="C172" s="108"/>
      <c r="D172" s="108"/>
      <c r="E172" s="108"/>
      <c r="F172" s="104" t="s">
        <v>1016</v>
      </c>
      <c r="G172" s="110"/>
      <c r="H172" s="103"/>
      <c r="I172" s="110"/>
      <c r="J172" s="110"/>
      <c r="K172" s="110"/>
      <c r="L172" s="110"/>
      <c r="M172" s="110"/>
      <c r="N172" s="110"/>
      <c r="O172" s="110"/>
      <c r="P172" s="110"/>
      <c r="Q172" s="387"/>
      <c r="R172" s="110"/>
      <c r="S172" s="110"/>
      <c r="T172" s="110"/>
      <c r="U172" s="361"/>
      <c r="V172" s="361"/>
      <c r="W172" s="361"/>
      <c r="X172" s="361"/>
      <c r="Y172" s="361"/>
      <c r="Z172" s="613"/>
      <c r="AA172" s="613"/>
      <c r="AB172" s="361"/>
      <c r="AF172" s="60"/>
      <c r="AG172" s="60"/>
      <c r="AH172" s="60"/>
      <c r="AI172" s="60"/>
      <c r="AJ172" s="60"/>
      <c r="AK172" s="60"/>
      <c r="AL172" s="60"/>
      <c r="AM172" s="60"/>
      <c r="AN172" s="60"/>
    </row>
    <row r="173" spans="1:77" x14ac:dyDescent="0.25">
      <c r="A173" s="74"/>
      <c r="B173" s="105" t="str">
        <f>LEFT(E176,1)</f>
        <v>3</v>
      </c>
      <c r="C173" s="105"/>
      <c r="D173" s="105"/>
      <c r="E173" s="105"/>
      <c r="F173" s="72" t="s">
        <v>524</v>
      </c>
      <c r="G173" s="313" t="e">
        <f>G174+G185+G217+G224+G231+G237+G241</f>
        <v>#REF!</v>
      </c>
      <c r="H173" s="73" t="e">
        <f>H174+H185+H217+H224+H231+H237+H241</f>
        <v>#REF!</v>
      </c>
      <c r="I173" s="313" t="e">
        <f>I174+I185+I217+I224+I231+I237+I241</f>
        <v>#REF!</v>
      </c>
      <c r="J173" s="313" t="e">
        <f>J174+J185+J217+J224+J231+J237+J241</f>
        <v>#REF!</v>
      </c>
      <c r="K173" s="313" t="e">
        <f>K174+K185+K217+K224+K231+K237+K241</f>
        <v>#REF!</v>
      </c>
      <c r="L173" s="313" t="e">
        <f>ROUND(K173/J173*100,2)</f>
        <v>#REF!</v>
      </c>
      <c r="M173" s="313" t="e">
        <f>N173-J173</f>
        <v>#REF!</v>
      </c>
      <c r="N173" s="313" t="e">
        <f t="shared" ref="N173:X173" si="54">N174+N185+N217+N224+N231+N237+N241</f>
        <v>#REF!</v>
      </c>
      <c r="O173" s="73" t="e">
        <f t="shared" si="54"/>
        <v>#REF!</v>
      </c>
      <c r="P173" s="73" t="e">
        <f t="shared" si="54"/>
        <v>#REF!</v>
      </c>
      <c r="Q173" s="384" t="e">
        <f t="shared" si="54"/>
        <v>#REF!</v>
      </c>
      <c r="R173" s="76" t="e">
        <f t="shared" si="54"/>
        <v>#REF!</v>
      </c>
      <c r="S173" s="76" t="e">
        <f t="shared" si="54"/>
        <v>#REF!</v>
      </c>
      <c r="T173" s="76" t="e">
        <f t="shared" si="54"/>
        <v>#REF!</v>
      </c>
      <c r="U173" s="355" t="e">
        <f t="shared" si="54"/>
        <v>#REF!</v>
      </c>
      <c r="V173" s="355" t="e">
        <f t="shared" si="54"/>
        <v>#REF!</v>
      </c>
      <c r="W173" s="355" t="e">
        <f t="shared" si="54"/>
        <v>#REF!</v>
      </c>
      <c r="X173" s="355" t="e">
        <f t="shared" si="54"/>
        <v>#REF!</v>
      </c>
      <c r="Y173" s="355">
        <f>Y174+Y185+Y217+Y224+Y231+Y237+Y241</f>
        <v>43398092.389999993</v>
      </c>
      <c r="Z173" s="611" t="e">
        <f t="shared" si="41"/>
        <v>#REF!</v>
      </c>
      <c r="AA173" s="611" t="e">
        <f t="shared" si="42"/>
        <v>#REF!</v>
      </c>
      <c r="AB173" s="355" t="e">
        <f>AB174+AB185+AB217+AB224+AB231+AB237+AB241</f>
        <v>#REF!</v>
      </c>
      <c r="AF173" s="60"/>
      <c r="AG173" s="60"/>
      <c r="AH173" s="60"/>
      <c r="AI173" s="60"/>
      <c r="AJ173" s="60"/>
      <c r="AK173" s="60"/>
      <c r="AL173" s="60"/>
      <c r="AM173" s="60"/>
      <c r="AN173" s="60"/>
    </row>
    <row r="174" spans="1:77" ht="16.5" customHeight="1" x14ac:dyDescent="0.25">
      <c r="A174" s="125"/>
      <c r="B174" s="74"/>
      <c r="C174" s="74" t="str">
        <f>LEFT(E176,2)</f>
        <v>31</v>
      </c>
      <c r="D174" s="74"/>
      <c r="E174" s="74"/>
      <c r="F174" s="75" t="s">
        <v>197</v>
      </c>
      <c r="G174" s="77" t="e">
        <f>G175+G180+G182</f>
        <v>#REF!</v>
      </c>
      <c r="H174" s="76" t="e">
        <f>H175+H180+H182</f>
        <v>#REF!</v>
      </c>
      <c r="I174" s="77" t="e">
        <f>I175+I180+I182</f>
        <v>#REF!</v>
      </c>
      <c r="J174" s="77" t="e">
        <f>J175+J180+J182</f>
        <v>#REF!</v>
      </c>
      <c r="K174" s="77" t="e">
        <f>K175+K180+K182</f>
        <v>#REF!</v>
      </c>
      <c r="L174" s="77" t="e">
        <f>ROUND(K174/J174*100,2)</f>
        <v>#REF!</v>
      </c>
      <c r="M174" s="77" t="e">
        <f>N174-J174</f>
        <v>#REF!</v>
      </c>
      <c r="N174" s="77" t="e">
        <f t="shared" ref="N174:X174" si="55">N175+N180+N182</f>
        <v>#REF!</v>
      </c>
      <c r="O174" s="76" t="e">
        <f t="shared" si="55"/>
        <v>#REF!</v>
      </c>
      <c r="P174" s="76" t="e">
        <f t="shared" si="55"/>
        <v>#REF!</v>
      </c>
      <c r="Q174" s="385" t="e">
        <f t="shared" si="55"/>
        <v>#REF!</v>
      </c>
      <c r="R174" s="127" t="e">
        <f t="shared" si="55"/>
        <v>#REF!</v>
      </c>
      <c r="S174" s="127" t="e">
        <f t="shared" si="55"/>
        <v>#REF!</v>
      </c>
      <c r="T174" s="127" t="e">
        <f t="shared" si="55"/>
        <v>#REF!</v>
      </c>
      <c r="U174" s="356" t="e">
        <f t="shared" si="55"/>
        <v>#REF!</v>
      </c>
      <c r="V174" s="356" t="e">
        <f t="shared" si="55"/>
        <v>#REF!</v>
      </c>
      <c r="W174" s="356" t="e">
        <f t="shared" si="55"/>
        <v>#REF!</v>
      </c>
      <c r="X174" s="356" t="e">
        <f t="shared" si="55"/>
        <v>#REF!</v>
      </c>
      <c r="Y174" s="356">
        <f>Y175+Y180+Y182</f>
        <v>8398828.9800000004</v>
      </c>
      <c r="Z174" s="610" t="e">
        <f t="shared" si="41"/>
        <v>#REF!</v>
      </c>
      <c r="AA174" s="610" t="e">
        <f t="shared" si="42"/>
        <v>#REF!</v>
      </c>
      <c r="AB174" s="356" t="e">
        <f>AB175+AB180+AB182</f>
        <v>#REF!</v>
      </c>
      <c r="AF174" s="128"/>
      <c r="AG174" s="60"/>
      <c r="AH174" s="60"/>
      <c r="AI174" s="60"/>
      <c r="AJ174" s="60"/>
      <c r="AK174" s="60"/>
      <c r="AL174" s="60"/>
      <c r="AM174" s="60"/>
      <c r="AN174" s="60"/>
    </row>
    <row r="175" spans="1:77" ht="18" customHeight="1" x14ac:dyDescent="0.25">
      <c r="A175" s="80"/>
      <c r="B175" s="80"/>
      <c r="C175" s="80"/>
      <c r="D175" s="80" t="str">
        <f>LEFT(E176,3)</f>
        <v>311</v>
      </c>
      <c r="E175" s="80"/>
      <c r="F175" s="81" t="s">
        <v>198</v>
      </c>
      <c r="G175" s="129" t="e">
        <f t="shared" ref="G175:X175" si="56">SUM(G176:G179)</f>
        <v>#REF!</v>
      </c>
      <c r="H175" s="102" t="e">
        <f t="shared" si="56"/>
        <v>#REF!</v>
      </c>
      <c r="I175" s="129" t="e">
        <f t="shared" si="56"/>
        <v>#REF!</v>
      </c>
      <c r="J175" s="129" t="e">
        <f t="shared" si="56"/>
        <v>#REF!</v>
      </c>
      <c r="K175" s="129" t="e">
        <f t="shared" si="56"/>
        <v>#REF!</v>
      </c>
      <c r="L175" s="129" t="e">
        <f t="shared" si="56"/>
        <v>#REF!</v>
      </c>
      <c r="M175" s="129" t="e">
        <f t="shared" si="56"/>
        <v>#REF!</v>
      </c>
      <c r="N175" s="129" t="e">
        <f t="shared" si="56"/>
        <v>#REF!</v>
      </c>
      <c r="O175" s="129" t="e">
        <f t="shared" si="56"/>
        <v>#REF!</v>
      </c>
      <c r="P175" s="129" t="e">
        <f t="shared" si="56"/>
        <v>#REF!</v>
      </c>
      <c r="Q175" s="389" t="e">
        <f t="shared" si="56"/>
        <v>#REF!</v>
      </c>
      <c r="R175" s="129" t="e">
        <f t="shared" si="56"/>
        <v>#REF!</v>
      </c>
      <c r="S175" s="129" t="e">
        <f t="shared" si="56"/>
        <v>#REF!</v>
      </c>
      <c r="T175" s="129" t="e">
        <f t="shared" si="56"/>
        <v>#REF!</v>
      </c>
      <c r="U175" s="363" t="e">
        <f t="shared" si="56"/>
        <v>#REF!</v>
      </c>
      <c r="V175" s="363" t="e">
        <f t="shared" si="56"/>
        <v>#REF!</v>
      </c>
      <c r="W175" s="363" t="e">
        <f t="shared" si="56"/>
        <v>#REF!</v>
      </c>
      <c r="X175" s="363" t="e">
        <f t="shared" si="56"/>
        <v>#REF!</v>
      </c>
      <c r="Y175" s="363">
        <f>SUM(Y176:Y179)</f>
        <v>7218047.4399999995</v>
      </c>
      <c r="Z175" s="614" t="e">
        <f t="shared" si="41"/>
        <v>#REF!</v>
      </c>
      <c r="AA175" s="614" t="e">
        <f t="shared" si="42"/>
        <v>#REF!</v>
      </c>
      <c r="AB175" s="363" t="e">
        <f>SUM(AB176:AB179)</f>
        <v>#REF!</v>
      </c>
      <c r="AF175" s="60"/>
      <c r="AG175" s="60"/>
      <c r="AH175" s="60"/>
      <c r="AI175" s="60"/>
      <c r="AJ175" s="60"/>
      <c r="AK175" s="60"/>
      <c r="AL175" s="60"/>
      <c r="AM175" s="60"/>
      <c r="AN175" s="60"/>
    </row>
    <row r="176" spans="1:77" ht="18" customHeight="1" x14ac:dyDescent="0.25">
      <c r="A176" s="80"/>
      <c r="B176" s="80"/>
      <c r="C176" s="80"/>
      <c r="D176" s="80"/>
      <c r="E176" s="80">
        <v>3111</v>
      </c>
      <c r="F176" s="81" t="s">
        <v>199</v>
      </c>
      <c r="G176" s="82" t="e">
        <f>SUMIF(#REF!,'BILANCA PO IZVORIMA'!$E176,#REF!)</f>
        <v>#REF!</v>
      </c>
      <c r="H176" s="82" t="e">
        <f>SUMIF(#REF!,'BILANCA PO IZVORIMA'!$E176,#REF!)</f>
        <v>#REF!</v>
      </c>
      <c r="I176" s="82" t="e">
        <f>SUMIF(#REF!,'BILANCA PO IZVORIMA'!$E176,#REF!)</f>
        <v>#REF!</v>
      </c>
      <c r="J176" s="82" t="e">
        <f>SUMIF(#REF!,'BILANCA PO IZVORIMA'!$E176,#REF!)</f>
        <v>#REF!</v>
      </c>
      <c r="K176" s="82" t="e">
        <f>SUMIF(#REF!,'BILANCA PO IZVORIMA'!$E176,#REF!)</f>
        <v>#REF!</v>
      </c>
      <c r="L176" s="82" t="e">
        <f t="shared" ref="L176:L181" si="57">ROUND(K176/J176*100,2)</f>
        <v>#REF!</v>
      </c>
      <c r="M176" s="82" t="e">
        <f t="shared" ref="M176:M181" si="58">N176-J176</f>
        <v>#REF!</v>
      </c>
      <c r="N176" s="82" t="e">
        <f>SUMIF(#REF!,'BILANCA PO IZVORIMA'!$E176,#REF!)</f>
        <v>#REF!</v>
      </c>
      <c r="O176" s="82" t="e">
        <f>SUMIF(#REF!,'BILANCA PO IZVORIMA'!$E176,#REF!)</f>
        <v>#REF!</v>
      </c>
      <c r="P176" s="82" t="e">
        <f>SUMIF(#REF!,'BILANCA PO IZVORIMA'!$E176,#REF!)</f>
        <v>#REF!</v>
      </c>
      <c r="Q176" s="386" t="e">
        <f>SUMIF(#REF!,'BILANCA PO IZVORIMA'!$E176,#REF!)</f>
        <v>#REF!</v>
      </c>
      <c r="R176" s="82" t="e">
        <f>SUMIF(#REF!,'BILANCA PO IZVORIMA'!$E176,#REF!)</f>
        <v>#REF!</v>
      </c>
      <c r="S176" s="82" t="e">
        <f>SUMIF(#REF!,'BILANCA PO IZVORIMA'!$E176,#REF!)</f>
        <v>#REF!</v>
      </c>
      <c r="T176" s="82" t="e">
        <f>SUMIF(#REF!,'BILANCA PO IZVORIMA'!$E$176,#REF!)</f>
        <v>#REF!</v>
      </c>
      <c r="U176" s="357" t="e">
        <f>SUMIF(#REF!,'BILANCA PO IZVORIMA'!$E176,#REF!)</f>
        <v>#REF!</v>
      </c>
      <c r="V176" s="357" t="e">
        <f>SUMIF(#REF!,'BILANCA PO IZVORIMA'!$E176,#REF!)</f>
        <v>#REF!</v>
      </c>
      <c r="W176" s="357" t="e">
        <f>SUMIF(#REF!,'BILANCA PO IZVORIMA'!$E176,#REF!)</f>
        <v>#REF!</v>
      </c>
      <c r="X176" s="357" t="e">
        <f>SUMIF(#REF!,'BILANCA PO IZVORIMA'!$E176,#REF!)</f>
        <v>#REF!</v>
      </c>
      <c r="Y176" s="357">
        <v>6739786.21</v>
      </c>
      <c r="Z176" s="614" t="e">
        <f t="shared" si="41"/>
        <v>#REF!</v>
      </c>
      <c r="AA176" s="614" t="e">
        <f t="shared" si="42"/>
        <v>#REF!</v>
      </c>
      <c r="AB176" s="357" t="e">
        <f>SUMIF(#REF!,'BILANCA PO IZVORIMA'!$E176,#REF!)</f>
        <v>#REF!</v>
      </c>
      <c r="AF176" s="60"/>
      <c r="AG176" s="60"/>
      <c r="AH176" s="60"/>
      <c r="AI176" s="60"/>
      <c r="AJ176" s="60"/>
      <c r="AK176" s="60"/>
      <c r="AL176" s="60"/>
      <c r="AM176" s="60"/>
      <c r="AN176" s="60"/>
    </row>
    <row r="177" spans="1:40" x14ac:dyDescent="0.25">
      <c r="A177" s="80"/>
      <c r="B177" s="80"/>
      <c r="C177" s="80"/>
      <c r="D177" s="80"/>
      <c r="E177" s="80">
        <v>3112</v>
      </c>
      <c r="F177" s="81" t="s">
        <v>219</v>
      </c>
      <c r="G177" s="82" t="e">
        <f>SUMIF(#REF!,'BILANCA PO IZVORIMA'!$E177,#REF!)</f>
        <v>#REF!</v>
      </c>
      <c r="H177" s="82" t="e">
        <f>SUMIF(#REF!,'BILANCA PO IZVORIMA'!$E177,#REF!)</f>
        <v>#REF!</v>
      </c>
      <c r="I177" s="82" t="e">
        <f>SUMIF(#REF!,'BILANCA PO IZVORIMA'!$E177,#REF!)</f>
        <v>#REF!</v>
      </c>
      <c r="J177" s="82" t="e">
        <f>SUMIF(#REF!,'BILANCA PO IZVORIMA'!$E177,#REF!)</f>
        <v>#REF!</v>
      </c>
      <c r="K177" s="82" t="e">
        <f>SUMIF(#REF!,'BILANCA PO IZVORIMA'!$E177,#REF!)</f>
        <v>#REF!</v>
      </c>
      <c r="L177" s="82" t="e">
        <f t="shared" si="57"/>
        <v>#REF!</v>
      </c>
      <c r="M177" s="82" t="e">
        <f t="shared" si="58"/>
        <v>#REF!</v>
      </c>
      <c r="N177" s="82" t="e">
        <f>SUMIF(#REF!,'BILANCA PO IZVORIMA'!$E177,#REF!)</f>
        <v>#REF!</v>
      </c>
      <c r="O177" s="82" t="e">
        <f>SUMIF(#REF!,'BILANCA PO IZVORIMA'!$E177,#REF!)</f>
        <v>#REF!</v>
      </c>
      <c r="P177" s="82" t="e">
        <f>SUMIF(#REF!,'BILANCA PO IZVORIMA'!$E177,#REF!)</f>
        <v>#REF!</v>
      </c>
      <c r="Q177" s="386" t="e">
        <f>SUMIF(#REF!,'BILANCA PO IZVORIMA'!$E177,#REF!)</f>
        <v>#REF!</v>
      </c>
      <c r="R177" s="82" t="e">
        <f>SUMIF(#REF!,'BILANCA PO IZVORIMA'!$E177,#REF!)</f>
        <v>#REF!</v>
      </c>
      <c r="S177" s="82" t="e">
        <f>SUMIF(#REF!,'BILANCA PO IZVORIMA'!$E177,#REF!)</f>
        <v>#REF!</v>
      </c>
      <c r="T177" s="82" t="e">
        <f>SUMIF(#REF!,'BILANCA PO IZVORIMA'!$E$177,#REF!)</f>
        <v>#REF!</v>
      </c>
      <c r="U177" s="357" t="e">
        <f>SUMIF(#REF!,'BILANCA PO IZVORIMA'!$E177,#REF!)</f>
        <v>#REF!</v>
      </c>
      <c r="V177" s="357" t="e">
        <f>SUMIF(#REF!,'BILANCA PO IZVORIMA'!$E177,#REF!)</f>
        <v>#REF!</v>
      </c>
      <c r="W177" s="357" t="e">
        <f>SUMIF(#REF!,'BILANCA PO IZVORIMA'!$E177,#REF!)</f>
        <v>#REF!</v>
      </c>
      <c r="X177" s="357" t="e">
        <f>SUMIF(#REF!,'BILANCA PO IZVORIMA'!$E177,#REF!)</f>
        <v>#REF!</v>
      </c>
      <c r="Y177" s="357">
        <v>12697.76</v>
      </c>
      <c r="Z177" s="614" t="e">
        <f t="shared" si="41"/>
        <v>#REF!</v>
      </c>
      <c r="AA177" s="614" t="e">
        <f t="shared" si="42"/>
        <v>#REF!</v>
      </c>
      <c r="AB177" s="357" t="e">
        <f>SUMIF(#REF!,'BILANCA PO IZVORIMA'!$E177,#REF!)</f>
        <v>#REF!</v>
      </c>
      <c r="AF177" s="60"/>
      <c r="AG177" s="60"/>
      <c r="AH177" s="60"/>
      <c r="AI177" s="60"/>
      <c r="AJ177" s="60"/>
      <c r="AK177" s="60"/>
      <c r="AL177" s="60"/>
      <c r="AM177" s="60"/>
      <c r="AN177" s="60"/>
    </row>
    <row r="178" spans="1:40" x14ac:dyDescent="0.25">
      <c r="A178" s="80"/>
      <c r="B178" s="80"/>
      <c r="C178" s="80"/>
      <c r="D178" s="80"/>
      <c r="E178" s="80">
        <v>3113</v>
      </c>
      <c r="F178" s="81" t="s">
        <v>476</v>
      </c>
      <c r="G178" s="82" t="e">
        <f>SUMIF(#REF!,'BILANCA PO IZVORIMA'!$E178,#REF!)</f>
        <v>#REF!</v>
      </c>
      <c r="H178" s="82" t="e">
        <f>SUMIF(#REF!,'BILANCA PO IZVORIMA'!$E178,#REF!)</f>
        <v>#REF!</v>
      </c>
      <c r="I178" s="82" t="e">
        <f>SUMIF(#REF!,'BILANCA PO IZVORIMA'!$E178,#REF!)</f>
        <v>#REF!</v>
      </c>
      <c r="J178" s="82" t="e">
        <f>SUMIF(#REF!,'BILANCA PO IZVORIMA'!$E178,#REF!)</f>
        <v>#REF!</v>
      </c>
      <c r="K178" s="82" t="e">
        <f>SUMIF(#REF!,'BILANCA PO IZVORIMA'!$E178,#REF!)</f>
        <v>#REF!</v>
      </c>
      <c r="L178" s="82" t="e">
        <f t="shared" si="57"/>
        <v>#REF!</v>
      </c>
      <c r="M178" s="82" t="e">
        <f t="shared" si="58"/>
        <v>#REF!</v>
      </c>
      <c r="N178" s="82" t="e">
        <f>SUMIF(#REF!,'BILANCA PO IZVORIMA'!$E178,#REF!)</f>
        <v>#REF!</v>
      </c>
      <c r="O178" s="82" t="e">
        <f>SUMIF(#REF!,'BILANCA PO IZVORIMA'!$E178,#REF!)</f>
        <v>#REF!</v>
      </c>
      <c r="P178" s="82" t="e">
        <f>SUMIF(#REF!,'BILANCA PO IZVORIMA'!$E178,#REF!)</f>
        <v>#REF!</v>
      </c>
      <c r="Q178" s="386" t="e">
        <f>SUMIF(#REF!,'BILANCA PO IZVORIMA'!$E178,#REF!)</f>
        <v>#REF!</v>
      </c>
      <c r="R178" s="82" t="e">
        <f>SUMIF(#REF!,'BILANCA PO IZVORIMA'!$E178,#REF!)</f>
        <v>#REF!</v>
      </c>
      <c r="S178" s="82" t="e">
        <f>SUMIF(#REF!,'BILANCA PO IZVORIMA'!$E178,#REF!)</f>
        <v>#REF!</v>
      </c>
      <c r="T178" s="82" t="e">
        <f>SUMIF(#REF!,'BILANCA PO IZVORIMA'!$E$178,#REF!)</f>
        <v>#REF!</v>
      </c>
      <c r="U178" s="357" t="e">
        <f>SUMIF(#REF!,'BILANCA PO IZVORIMA'!$E178,#REF!)</f>
        <v>#REF!</v>
      </c>
      <c r="V178" s="357" t="e">
        <f>SUMIF(#REF!,'BILANCA PO IZVORIMA'!$E178,#REF!)</f>
        <v>#REF!</v>
      </c>
      <c r="W178" s="357" t="e">
        <f>SUMIF(#REF!,'BILANCA PO IZVORIMA'!$E178,#REF!)</f>
        <v>#REF!</v>
      </c>
      <c r="X178" s="357" t="e">
        <f>SUMIF(#REF!,'BILANCA PO IZVORIMA'!$E178,#REF!)</f>
        <v>#REF!</v>
      </c>
      <c r="Y178" s="357">
        <v>38954.519999999997</v>
      </c>
      <c r="Z178" s="614" t="e">
        <f t="shared" si="41"/>
        <v>#REF!</v>
      </c>
      <c r="AA178" s="614" t="e">
        <f t="shared" si="42"/>
        <v>#REF!</v>
      </c>
      <c r="AB178" s="357" t="e">
        <f>SUMIF(#REF!,'BILANCA PO IZVORIMA'!$E178,#REF!)</f>
        <v>#REF!</v>
      </c>
      <c r="AF178" s="60"/>
      <c r="AG178" s="60"/>
      <c r="AH178" s="60"/>
      <c r="AI178" s="60"/>
      <c r="AJ178" s="60"/>
      <c r="AK178" s="60"/>
      <c r="AL178" s="60"/>
      <c r="AM178" s="60"/>
      <c r="AN178" s="60"/>
    </row>
    <row r="179" spans="1:40" x14ac:dyDescent="0.25">
      <c r="A179" s="80"/>
      <c r="B179" s="80"/>
      <c r="C179" s="80"/>
      <c r="D179" s="80"/>
      <c r="E179" s="80">
        <v>3114</v>
      </c>
      <c r="F179" s="81" t="s">
        <v>643</v>
      </c>
      <c r="G179" s="82" t="e">
        <f>SUMIF(#REF!,'BILANCA PO IZVORIMA'!$E179,#REF!)</f>
        <v>#REF!</v>
      </c>
      <c r="H179" s="82" t="e">
        <f>SUMIF(#REF!,'BILANCA PO IZVORIMA'!$E179,#REF!)</f>
        <v>#REF!</v>
      </c>
      <c r="I179" s="82" t="e">
        <f>SUMIF(#REF!,'BILANCA PO IZVORIMA'!$E179,#REF!)</f>
        <v>#REF!</v>
      </c>
      <c r="J179" s="82" t="e">
        <f>SUMIF(#REF!,'BILANCA PO IZVORIMA'!$E179,#REF!)</f>
        <v>#REF!</v>
      </c>
      <c r="K179" s="82" t="e">
        <f>SUMIF(#REF!,'BILANCA PO IZVORIMA'!$E179,#REF!)</f>
        <v>#REF!</v>
      </c>
      <c r="L179" s="82" t="e">
        <f t="shared" si="57"/>
        <v>#REF!</v>
      </c>
      <c r="M179" s="82" t="e">
        <f t="shared" si="58"/>
        <v>#REF!</v>
      </c>
      <c r="N179" s="82" t="e">
        <f>SUMIF(#REF!,'BILANCA PO IZVORIMA'!$E179,#REF!)</f>
        <v>#REF!</v>
      </c>
      <c r="O179" s="82" t="e">
        <f>SUMIF(#REF!,'BILANCA PO IZVORIMA'!$E179,#REF!)</f>
        <v>#REF!</v>
      </c>
      <c r="P179" s="82" t="e">
        <f>SUMIF(#REF!,'BILANCA PO IZVORIMA'!$E179,#REF!)</f>
        <v>#REF!</v>
      </c>
      <c r="Q179" s="386" t="e">
        <f>SUMIF(#REF!,'BILANCA PO IZVORIMA'!$E179,#REF!)</f>
        <v>#REF!</v>
      </c>
      <c r="R179" s="82" t="e">
        <f>SUMIF(#REF!,'BILANCA PO IZVORIMA'!$E179,#REF!)</f>
        <v>#REF!</v>
      </c>
      <c r="S179" s="82" t="e">
        <f>SUMIF(#REF!,'BILANCA PO IZVORIMA'!$E179,#REF!)</f>
        <v>#REF!</v>
      </c>
      <c r="T179" s="82" t="e">
        <f>SUMIF(#REF!,'BILANCA PO IZVORIMA'!$E$179,#REF!)</f>
        <v>#REF!</v>
      </c>
      <c r="U179" s="357" t="e">
        <f>SUMIF(#REF!,'BILANCA PO IZVORIMA'!$E179,#REF!)</f>
        <v>#REF!</v>
      </c>
      <c r="V179" s="357" t="e">
        <f>SUMIF(#REF!,'BILANCA PO IZVORIMA'!$E179,#REF!)</f>
        <v>#REF!</v>
      </c>
      <c r="W179" s="357" t="e">
        <f>SUMIF(#REF!,'BILANCA PO IZVORIMA'!$E179,#REF!)</f>
        <v>#REF!</v>
      </c>
      <c r="X179" s="357" t="e">
        <f>SUMIF(#REF!,'BILANCA PO IZVORIMA'!$E179,#REF!)</f>
        <v>#REF!</v>
      </c>
      <c r="Y179" s="357">
        <v>426608.95</v>
      </c>
      <c r="Z179" s="614" t="e">
        <f t="shared" si="41"/>
        <v>#REF!</v>
      </c>
      <c r="AA179" s="614" t="e">
        <f t="shared" si="42"/>
        <v>#REF!</v>
      </c>
      <c r="AB179" s="357" t="e">
        <f>SUMIF(#REF!,'BILANCA PO IZVORIMA'!$E179,#REF!)</f>
        <v>#REF!</v>
      </c>
      <c r="AF179" s="60"/>
      <c r="AG179" s="60"/>
      <c r="AH179" s="60"/>
      <c r="AI179" s="60"/>
      <c r="AJ179" s="60"/>
      <c r="AK179" s="60"/>
      <c r="AL179" s="60"/>
      <c r="AM179" s="60"/>
      <c r="AN179" s="60"/>
    </row>
    <row r="180" spans="1:40" ht="17.25" customHeight="1" x14ac:dyDescent="0.25">
      <c r="A180" s="80"/>
      <c r="B180" s="80"/>
      <c r="C180" s="80"/>
      <c r="D180" s="80" t="str">
        <f>LEFT(E181,3)</f>
        <v>312</v>
      </c>
      <c r="E180" s="80"/>
      <c r="F180" s="81" t="s">
        <v>200</v>
      </c>
      <c r="G180" s="84" t="e">
        <f>G181</f>
        <v>#REF!</v>
      </c>
      <c r="H180" s="82" t="e">
        <f>SUMIF(#REF!,'BILANCA PO IZVORIMA'!$E180,#REF!)</f>
        <v>#REF!</v>
      </c>
      <c r="I180" s="84" t="e">
        <f>I181</f>
        <v>#REF!</v>
      </c>
      <c r="J180" s="84" t="e">
        <f>J181</f>
        <v>#REF!</v>
      </c>
      <c r="K180" s="84" t="e">
        <f>K181</f>
        <v>#REF!</v>
      </c>
      <c r="L180" s="84" t="e">
        <f t="shared" si="57"/>
        <v>#REF!</v>
      </c>
      <c r="M180" s="84" t="e">
        <f t="shared" si="58"/>
        <v>#REF!</v>
      </c>
      <c r="N180" s="84" t="e">
        <f t="shared" ref="N180:X180" si="59">N181</f>
        <v>#REF!</v>
      </c>
      <c r="O180" s="84" t="e">
        <f t="shared" si="59"/>
        <v>#REF!</v>
      </c>
      <c r="P180" s="84" t="e">
        <f t="shared" si="59"/>
        <v>#REF!</v>
      </c>
      <c r="Q180" s="390" t="e">
        <f t="shared" si="59"/>
        <v>#REF!</v>
      </c>
      <c r="R180" s="84" t="e">
        <f t="shared" si="59"/>
        <v>#REF!</v>
      </c>
      <c r="S180" s="84" t="e">
        <f t="shared" si="59"/>
        <v>#REF!</v>
      </c>
      <c r="T180" s="84" t="e">
        <f t="shared" si="59"/>
        <v>#REF!</v>
      </c>
      <c r="U180" s="357" t="e">
        <f t="shared" si="59"/>
        <v>#REF!</v>
      </c>
      <c r="V180" s="357" t="e">
        <f t="shared" si="59"/>
        <v>#REF!</v>
      </c>
      <c r="W180" s="357" t="e">
        <f t="shared" si="59"/>
        <v>#REF!</v>
      </c>
      <c r="X180" s="357" t="e">
        <f t="shared" si="59"/>
        <v>#REF!</v>
      </c>
      <c r="Y180" s="357">
        <f>Y181</f>
        <v>92798.54</v>
      </c>
      <c r="Z180" s="614" t="e">
        <f t="shared" si="41"/>
        <v>#REF!</v>
      </c>
      <c r="AA180" s="614" t="e">
        <f t="shared" si="42"/>
        <v>#REF!</v>
      </c>
      <c r="AB180" s="357" t="e">
        <f>AB181</f>
        <v>#REF!</v>
      </c>
      <c r="AF180" s="60"/>
      <c r="AG180" s="60"/>
      <c r="AH180" s="60"/>
      <c r="AI180" s="60"/>
      <c r="AJ180" s="60"/>
      <c r="AK180" s="60"/>
      <c r="AL180" s="60"/>
      <c r="AM180" s="60"/>
      <c r="AN180" s="60"/>
    </row>
    <row r="181" spans="1:40" x14ac:dyDescent="0.25">
      <c r="A181" s="80"/>
      <c r="B181" s="80"/>
      <c r="C181" s="80"/>
      <c r="D181" s="80"/>
      <c r="E181" s="80">
        <v>3121</v>
      </c>
      <c r="F181" s="81" t="s">
        <v>200</v>
      </c>
      <c r="G181" s="82" t="e">
        <f>SUMIF(#REF!,'BILANCA PO IZVORIMA'!$E181,#REF!)</f>
        <v>#REF!</v>
      </c>
      <c r="H181" s="82" t="e">
        <f>SUMIF(#REF!,'BILANCA PO IZVORIMA'!$E181,#REF!)</f>
        <v>#REF!</v>
      </c>
      <c r="I181" s="82" t="e">
        <f>SUMIF(#REF!,'BILANCA PO IZVORIMA'!$E181,#REF!)</f>
        <v>#REF!</v>
      </c>
      <c r="J181" s="82" t="e">
        <f>SUMIF(#REF!,'BILANCA PO IZVORIMA'!$E181,#REF!)</f>
        <v>#REF!</v>
      </c>
      <c r="K181" s="82" t="e">
        <f>SUMIF(#REF!,'BILANCA PO IZVORIMA'!$E181,#REF!)</f>
        <v>#REF!</v>
      </c>
      <c r="L181" s="82" t="e">
        <f t="shared" si="57"/>
        <v>#REF!</v>
      </c>
      <c r="M181" s="82" t="e">
        <f t="shared" si="58"/>
        <v>#REF!</v>
      </c>
      <c r="N181" s="82" t="e">
        <f>SUMIF(#REF!,'BILANCA PO IZVORIMA'!$E181,#REF!)</f>
        <v>#REF!</v>
      </c>
      <c r="O181" s="82" t="e">
        <f>SUMIF(#REF!,'BILANCA PO IZVORIMA'!$E181,#REF!)</f>
        <v>#REF!</v>
      </c>
      <c r="P181" s="82" t="e">
        <f>SUMIF(#REF!,'BILANCA PO IZVORIMA'!$E181,#REF!)</f>
        <v>#REF!</v>
      </c>
      <c r="Q181" s="386" t="e">
        <f>SUMIF(#REF!,'BILANCA PO IZVORIMA'!$E181,#REF!)</f>
        <v>#REF!</v>
      </c>
      <c r="R181" s="82" t="e">
        <f>SUMIF(#REF!,'BILANCA PO IZVORIMA'!$E181,#REF!)</f>
        <v>#REF!</v>
      </c>
      <c r="S181" s="82" t="e">
        <f>SUMIF(#REF!,'BILANCA PO IZVORIMA'!$E181,#REF!)</f>
        <v>#REF!</v>
      </c>
      <c r="T181" s="82" t="e">
        <f>SUMIF(#REF!,'BILANCA PO IZVORIMA'!$E$181,#REF!)</f>
        <v>#REF!</v>
      </c>
      <c r="U181" s="357" t="e">
        <f>SUMIF(#REF!,'BILANCA PO IZVORIMA'!$E181,#REF!)</f>
        <v>#REF!</v>
      </c>
      <c r="V181" s="357" t="e">
        <f>SUMIF(#REF!,'BILANCA PO IZVORIMA'!$E181,#REF!)</f>
        <v>#REF!</v>
      </c>
      <c r="W181" s="357" t="e">
        <f>SUMIF(#REF!,'BILANCA PO IZVORIMA'!$E181,#REF!)</f>
        <v>#REF!</v>
      </c>
      <c r="X181" s="357" t="e">
        <f>SUMIF(#REF!,'BILANCA PO IZVORIMA'!$E181,#REF!)</f>
        <v>#REF!</v>
      </c>
      <c r="Y181" s="357">
        <v>92798.54</v>
      </c>
      <c r="Z181" s="614" t="e">
        <f t="shared" si="41"/>
        <v>#REF!</v>
      </c>
      <c r="AA181" s="614" t="e">
        <f t="shared" si="42"/>
        <v>#REF!</v>
      </c>
      <c r="AB181" s="357" t="e">
        <f>SUMIF(#REF!,'BILANCA PO IZVORIMA'!$E181,#REF!)</f>
        <v>#REF!</v>
      </c>
      <c r="AF181" s="60"/>
      <c r="AG181" s="60"/>
      <c r="AH181" s="60"/>
      <c r="AI181" s="60"/>
      <c r="AJ181" s="60"/>
      <c r="AK181" s="60"/>
      <c r="AL181" s="60"/>
      <c r="AM181" s="60"/>
      <c r="AN181" s="60"/>
    </row>
    <row r="182" spans="1:40" ht="17.25" customHeight="1" x14ac:dyDescent="0.25">
      <c r="A182" s="80"/>
      <c r="B182" s="80"/>
      <c r="C182" s="80"/>
      <c r="D182" s="80" t="str">
        <f>LEFT(E183,3)</f>
        <v>313</v>
      </c>
      <c r="E182" s="80"/>
      <c r="F182" s="81" t="s">
        <v>201</v>
      </c>
      <c r="G182" s="84" t="e">
        <f>SUM(G183:G184)</f>
        <v>#REF!</v>
      </c>
      <c r="H182" s="82" t="e">
        <f>SUMIF(#REF!,'BILANCA PO IZVORIMA'!$E182,#REF!)</f>
        <v>#REF!</v>
      </c>
      <c r="I182" s="84" t="e">
        <f t="shared" ref="I182:X182" si="60">SUM(I183:I184)</f>
        <v>#REF!</v>
      </c>
      <c r="J182" s="84" t="e">
        <f t="shared" si="60"/>
        <v>#REF!</v>
      </c>
      <c r="K182" s="84" t="e">
        <f t="shared" si="60"/>
        <v>#REF!</v>
      </c>
      <c r="L182" s="84" t="e">
        <f t="shared" si="60"/>
        <v>#REF!</v>
      </c>
      <c r="M182" s="84" t="e">
        <f t="shared" si="60"/>
        <v>#REF!</v>
      </c>
      <c r="N182" s="84" t="e">
        <f t="shared" si="60"/>
        <v>#REF!</v>
      </c>
      <c r="O182" s="84" t="e">
        <f t="shared" si="60"/>
        <v>#REF!</v>
      </c>
      <c r="P182" s="84" t="e">
        <f t="shared" si="60"/>
        <v>#REF!</v>
      </c>
      <c r="Q182" s="390" t="e">
        <f t="shared" si="60"/>
        <v>#REF!</v>
      </c>
      <c r="R182" s="84" t="e">
        <f t="shared" si="60"/>
        <v>#REF!</v>
      </c>
      <c r="S182" s="84" t="e">
        <f t="shared" si="60"/>
        <v>#REF!</v>
      </c>
      <c r="T182" s="84" t="e">
        <f t="shared" si="60"/>
        <v>#REF!</v>
      </c>
      <c r="U182" s="357" t="e">
        <f t="shared" si="60"/>
        <v>#REF!</v>
      </c>
      <c r="V182" s="357" t="e">
        <f t="shared" si="60"/>
        <v>#REF!</v>
      </c>
      <c r="W182" s="357" t="e">
        <f t="shared" si="60"/>
        <v>#REF!</v>
      </c>
      <c r="X182" s="357" t="e">
        <f t="shared" si="60"/>
        <v>#REF!</v>
      </c>
      <c r="Y182" s="357">
        <f>Y183+Y184</f>
        <v>1087983</v>
      </c>
      <c r="Z182" s="614" t="e">
        <f t="shared" si="41"/>
        <v>#REF!</v>
      </c>
      <c r="AA182" s="614" t="e">
        <f t="shared" si="42"/>
        <v>#REF!</v>
      </c>
      <c r="AB182" s="357" t="e">
        <f>SUM(AB183:AB184)</f>
        <v>#REF!</v>
      </c>
      <c r="AF182" s="60"/>
      <c r="AG182" s="60"/>
      <c r="AH182" s="60"/>
      <c r="AI182" s="60"/>
      <c r="AJ182" s="60"/>
      <c r="AK182" s="60"/>
      <c r="AL182" s="60"/>
      <c r="AM182" s="60"/>
      <c r="AN182" s="60"/>
    </row>
    <row r="183" spans="1:40" x14ac:dyDescent="0.25">
      <c r="A183" s="80"/>
      <c r="B183" s="80"/>
      <c r="C183" s="80"/>
      <c r="D183" s="80"/>
      <c r="E183" s="80">
        <v>3132</v>
      </c>
      <c r="F183" s="81" t="s">
        <v>202</v>
      </c>
      <c r="G183" s="82" t="e">
        <f>SUMIF(#REF!,'BILANCA PO IZVORIMA'!$E183,#REF!)</f>
        <v>#REF!</v>
      </c>
      <c r="H183" s="82" t="e">
        <f>SUMIF(#REF!,'BILANCA PO IZVORIMA'!$E183,#REF!)</f>
        <v>#REF!</v>
      </c>
      <c r="I183" s="82" t="e">
        <f>SUMIF(#REF!,'BILANCA PO IZVORIMA'!$E183,#REF!)</f>
        <v>#REF!</v>
      </c>
      <c r="J183" s="82" t="e">
        <f>SUMIF(#REF!,'BILANCA PO IZVORIMA'!$E183,#REF!)</f>
        <v>#REF!</v>
      </c>
      <c r="K183" s="82" t="e">
        <f>SUMIF(#REF!,'BILANCA PO IZVORIMA'!$E183,#REF!)</f>
        <v>#REF!</v>
      </c>
      <c r="L183" s="82" t="e">
        <f>ROUND(K183/J183*100,2)</f>
        <v>#REF!</v>
      </c>
      <c r="M183" s="82" t="e">
        <f>N183-J183</f>
        <v>#REF!</v>
      </c>
      <c r="N183" s="82" t="e">
        <f>SUMIF(#REF!,'BILANCA PO IZVORIMA'!$E183,#REF!)</f>
        <v>#REF!</v>
      </c>
      <c r="O183" s="82" t="e">
        <f>SUMIF(#REF!,'BILANCA PO IZVORIMA'!$E183,#REF!)</f>
        <v>#REF!</v>
      </c>
      <c r="P183" s="82" t="e">
        <f>SUMIF(#REF!,'BILANCA PO IZVORIMA'!$E183,#REF!)</f>
        <v>#REF!</v>
      </c>
      <c r="Q183" s="386" t="e">
        <f>SUMIF(#REF!,'BILANCA PO IZVORIMA'!$E183,#REF!)</f>
        <v>#REF!</v>
      </c>
      <c r="R183" s="82" t="e">
        <f>SUMIF(#REF!,'BILANCA PO IZVORIMA'!$E183,#REF!)</f>
        <v>#REF!</v>
      </c>
      <c r="S183" s="82" t="e">
        <f>SUMIF(#REF!,'BILANCA PO IZVORIMA'!$E183,#REF!)</f>
        <v>#REF!</v>
      </c>
      <c r="T183" s="82" t="e">
        <f>SUMIF(#REF!,'BILANCA PO IZVORIMA'!$E$183,#REF!)</f>
        <v>#REF!</v>
      </c>
      <c r="U183" s="357" t="e">
        <f>SUMIF(#REF!,'BILANCA PO IZVORIMA'!$E183,#REF!)</f>
        <v>#REF!</v>
      </c>
      <c r="V183" s="357" t="e">
        <f>SUMIF(#REF!,'BILANCA PO IZVORIMA'!$E183,#REF!)</f>
        <v>#REF!</v>
      </c>
      <c r="W183" s="357" t="e">
        <f>SUMIF(#REF!,'BILANCA PO IZVORIMA'!$E183,#REF!)</f>
        <v>#REF!</v>
      </c>
      <c r="X183" s="357" t="e">
        <f>SUMIF(#REF!,'BILANCA PO IZVORIMA'!$E183,#REF!)</f>
        <v>#REF!</v>
      </c>
      <c r="Y183" s="357">
        <v>959292.56</v>
      </c>
      <c r="Z183" s="614" t="e">
        <f t="shared" si="41"/>
        <v>#REF!</v>
      </c>
      <c r="AA183" s="614" t="e">
        <f t="shared" si="42"/>
        <v>#REF!</v>
      </c>
      <c r="AB183" s="357" t="e">
        <f>SUMIF(#REF!,'BILANCA PO IZVORIMA'!$E183,#REF!)</f>
        <v>#REF!</v>
      </c>
      <c r="AF183" s="60"/>
      <c r="AG183" s="60"/>
      <c r="AH183" s="60"/>
      <c r="AI183" s="60"/>
      <c r="AJ183" s="60"/>
      <c r="AK183" s="60"/>
      <c r="AL183" s="60"/>
      <c r="AM183" s="60"/>
      <c r="AN183" s="60"/>
    </row>
    <row r="184" spans="1:40" ht="36" x14ac:dyDescent="0.25">
      <c r="A184" s="80"/>
      <c r="B184" s="80"/>
      <c r="C184" s="80"/>
      <c r="D184" s="80"/>
      <c r="E184" s="80">
        <v>3133</v>
      </c>
      <c r="F184" s="81" t="s">
        <v>203</v>
      </c>
      <c r="G184" s="82" t="e">
        <f>SUMIF(#REF!,'BILANCA PO IZVORIMA'!$E184,#REF!)</f>
        <v>#REF!</v>
      </c>
      <c r="H184" s="82" t="e">
        <f>SUMIF(#REF!,'BILANCA PO IZVORIMA'!$E184,#REF!)</f>
        <v>#REF!</v>
      </c>
      <c r="I184" s="82" t="e">
        <f>SUMIF(#REF!,'BILANCA PO IZVORIMA'!$E184,#REF!)</f>
        <v>#REF!</v>
      </c>
      <c r="J184" s="82" t="e">
        <f>SUMIF(#REF!,'BILANCA PO IZVORIMA'!$E184,#REF!)</f>
        <v>#REF!</v>
      </c>
      <c r="K184" s="82" t="e">
        <f>SUMIF(#REF!,'BILANCA PO IZVORIMA'!$E184,#REF!)</f>
        <v>#REF!</v>
      </c>
      <c r="L184" s="82" t="e">
        <f>ROUND(K184/J184*100,2)</f>
        <v>#REF!</v>
      </c>
      <c r="M184" s="82" t="e">
        <f>N184-J184</f>
        <v>#REF!</v>
      </c>
      <c r="N184" s="82" t="e">
        <f>SUMIF(#REF!,'BILANCA PO IZVORIMA'!$E184,#REF!)</f>
        <v>#REF!</v>
      </c>
      <c r="O184" s="82" t="e">
        <f>SUMIF(#REF!,'BILANCA PO IZVORIMA'!$E184,#REF!)</f>
        <v>#REF!</v>
      </c>
      <c r="P184" s="82" t="e">
        <f>SUMIF(#REF!,'BILANCA PO IZVORIMA'!$E184,#REF!)</f>
        <v>#REF!</v>
      </c>
      <c r="Q184" s="386" t="e">
        <f>SUMIF(#REF!,'BILANCA PO IZVORIMA'!$E184,#REF!)</f>
        <v>#REF!</v>
      </c>
      <c r="R184" s="82" t="e">
        <f>SUMIF(#REF!,'BILANCA PO IZVORIMA'!$E184,#REF!)</f>
        <v>#REF!</v>
      </c>
      <c r="S184" s="82" t="e">
        <f>SUMIF(#REF!,'BILANCA PO IZVORIMA'!$E184,#REF!)</f>
        <v>#REF!</v>
      </c>
      <c r="T184" s="82" t="e">
        <f>SUMIF(#REF!,'BILANCA PO IZVORIMA'!$E$184,#REF!)</f>
        <v>#REF!</v>
      </c>
      <c r="U184" s="357" t="e">
        <f>SUMIF(#REF!,'BILANCA PO IZVORIMA'!$E184,#REF!)</f>
        <v>#REF!</v>
      </c>
      <c r="V184" s="357" t="e">
        <f>SUMIF(#REF!,'BILANCA PO IZVORIMA'!$E184,#REF!)</f>
        <v>#REF!</v>
      </c>
      <c r="W184" s="357" t="e">
        <f>SUMIF(#REF!,'BILANCA PO IZVORIMA'!$E184,#REF!)</f>
        <v>#REF!</v>
      </c>
      <c r="X184" s="357" t="e">
        <f>SUMIF(#REF!,'BILANCA PO IZVORIMA'!$E184,#REF!)</f>
        <v>#REF!</v>
      </c>
      <c r="Y184" s="357">
        <v>128690.44</v>
      </c>
      <c r="Z184" s="614" t="e">
        <f t="shared" si="41"/>
        <v>#REF!</v>
      </c>
      <c r="AA184" s="614" t="e">
        <f t="shared" si="42"/>
        <v>#REF!</v>
      </c>
      <c r="AB184" s="357" t="e">
        <f>SUMIF(#REF!,'BILANCA PO IZVORIMA'!$E184,#REF!)</f>
        <v>#REF!</v>
      </c>
      <c r="AF184" s="60"/>
      <c r="AG184" s="60"/>
      <c r="AH184" s="60"/>
      <c r="AI184" s="60"/>
      <c r="AJ184" s="60"/>
      <c r="AK184" s="60"/>
      <c r="AL184" s="60"/>
      <c r="AM184" s="60"/>
      <c r="AN184" s="60"/>
    </row>
    <row r="185" spans="1:40" ht="18.75" customHeight="1" x14ac:dyDescent="0.25">
      <c r="A185" s="125"/>
      <c r="B185" s="74"/>
      <c r="C185" s="74" t="str">
        <f>LEFT(E187,2)</f>
        <v>32</v>
      </c>
      <c r="D185" s="74"/>
      <c r="E185" s="74"/>
      <c r="F185" s="75" t="s">
        <v>525</v>
      </c>
      <c r="G185" s="310" t="e">
        <f>G186+G191+G198+G210</f>
        <v>#REF!</v>
      </c>
      <c r="H185" s="118" t="e">
        <f>H186+H191+H198+H210</f>
        <v>#REF!</v>
      </c>
      <c r="I185" s="310" t="e">
        <f>I186+I191+I198+I210</f>
        <v>#REF!</v>
      </c>
      <c r="J185" s="310" t="e">
        <f>J186+J191+J198+J208+J210</f>
        <v>#REF!</v>
      </c>
      <c r="K185" s="310" t="e">
        <f>K186+K191+K198+K208+K210</f>
        <v>#REF!</v>
      </c>
      <c r="L185" s="310" t="e">
        <f>ROUND(K185/J185*100,2)</f>
        <v>#REF!</v>
      </c>
      <c r="M185" s="310" t="e">
        <f>N185-J185</f>
        <v>#REF!</v>
      </c>
      <c r="N185" s="310" t="e">
        <f t="shared" ref="N185:X185" si="61">N186+N191+N198+N208+N210</f>
        <v>#REF!</v>
      </c>
      <c r="O185" s="310" t="e">
        <f t="shared" si="61"/>
        <v>#REF!</v>
      </c>
      <c r="P185" s="310" t="e">
        <f t="shared" si="61"/>
        <v>#REF!</v>
      </c>
      <c r="Q185" s="391" t="e">
        <f t="shared" si="61"/>
        <v>#REF!</v>
      </c>
      <c r="R185" s="130" t="e">
        <f t="shared" si="61"/>
        <v>#REF!</v>
      </c>
      <c r="S185" s="130" t="e">
        <f t="shared" si="61"/>
        <v>#REF!</v>
      </c>
      <c r="T185" s="130" t="e">
        <f t="shared" si="61"/>
        <v>#REF!</v>
      </c>
      <c r="U185" s="364" t="e">
        <f t="shared" si="61"/>
        <v>#REF!</v>
      </c>
      <c r="V185" s="364" t="e">
        <f t="shared" si="61"/>
        <v>#REF!</v>
      </c>
      <c r="W185" s="364" t="e">
        <f t="shared" si="61"/>
        <v>#REF!</v>
      </c>
      <c r="X185" s="364" t="e">
        <f t="shared" si="61"/>
        <v>#REF!</v>
      </c>
      <c r="Y185" s="364">
        <f>Y186+Y191+Y198+Y208+Y210</f>
        <v>20865445.649999995</v>
      </c>
      <c r="Z185" s="610" t="e">
        <f t="shared" si="41"/>
        <v>#REF!</v>
      </c>
      <c r="AA185" s="610" t="e">
        <f t="shared" si="42"/>
        <v>#REF!</v>
      </c>
      <c r="AB185" s="364" t="e">
        <f>AB186+AB191+AB198+AB208+AB210</f>
        <v>#REF!</v>
      </c>
      <c r="AF185" s="60"/>
      <c r="AG185" s="60"/>
      <c r="AH185" s="60"/>
      <c r="AI185" s="60"/>
      <c r="AJ185" s="60"/>
      <c r="AK185" s="60"/>
      <c r="AL185" s="60"/>
      <c r="AM185" s="60"/>
      <c r="AN185" s="60"/>
    </row>
    <row r="186" spans="1:40" s="373" customFormat="1" ht="16.5" customHeight="1" x14ac:dyDescent="0.25">
      <c r="A186" s="119"/>
      <c r="B186" s="119"/>
      <c r="C186" s="119"/>
      <c r="D186" s="119" t="str">
        <f>LEFT(E187,3)</f>
        <v>321</v>
      </c>
      <c r="E186" s="119"/>
      <c r="F186" s="368" t="s">
        <v>564</v>
      </c>
      <c r="G186" s="369" t="e">
        <f>SUM(G187:G189)</f>
        <v>#REF!</v>
      </c>
      <c r="H186" s="370" t="e">
        <f>SUM(H187:H189)</f>
        <v>#REF!</v>
      </c>
      <c r="I186" s="369" t="e">
        <f t="shared" ref="I186:X186" si="62">SUM(I187:I190)</f>
        <v>#REF!</v>
      </c>
      <c r="J186" s="369" t="e">
        <f t="shared" si="62"/>
        <v>#REF!</v>
      </c>
      <c r="K186" s="369" t="e">
        <f t="shared" si="62"/>
        <v>#REF!</v>
      </c>
      <c r="L186" s="369" t="e">
        <f t="shared" si="62"/>
        <v>#REF!</v>
      </c>
      <c r="M186" s="369" t="e">
        <f t="shared" si="62"/>
        <v>#REF!</v>
      </c>
      <c r="N186" s="369" t="e">
        <f t="shared" si="62"/>
        <v>#REF!</v>
      </c>
      <c r="O186" s="369" t="e">
        <f t="shared" si="62"/>
        <v>#REF!</v>
      </c>
      <c r="P186" s="369" t="e">
        <f t="shared" si="62"/>
        <v>#REF!</v>
      </c>
      <c r="Q186" s="392" t="e">
        <f t="shared" si="62"/>
        <v>#REF!</v>
      </c>
      <c r="R186" s="369" t="e">
        <f t="shared" si="62"/>
        <v>#REF!</v>
      </c>
      <c r="S186" s="369" t="e">
        <f t="shared" si="62"/>
        <v>#REF!</v>
      </c>
      <c r="T186" s="369" t="e">
        <f t="shared" si="62"/>
        <v>#REF!</v>
      </c>
      <c r="U186" s="374" t="e">
        <f t="shared" si="62"/>
        <v>#REF!</v>
      </c>
      <c r="V186" s="374" t="e">
        <f t="shared" si="62"/>
        <v>#REF!</v>
      </c>
      <c r="W186" s="374" t="e">
        <f t="shared" si="62"/>
        <v>#REF!</v>
      </c>
      <c r="X186" s="374" t="e">
        <f t="shared" si="62"/>
        <v>#REF!</v>
      </c>
      <c r="Y186" s="374">
        <f>SUM(Y187:Y190)</f>
        <v>2867047.4299999997</v>
      </c>
      <c r="Z186" s="614" t="e">
        <f t="shared" si="41"/>
        <v>#REF!</v>
      </c>
      <c r="AA186" s="614" t="e">
        <f t="shared" si="42"/>
        <v>#REF!</v>
      </c>
      <c r="AB186" s="374" t="e">
        <f>SUM(AB187:AB190)</f>
        <v>#REF!</v>
      </c>
      <c r="AC186" s="372"/>
      <c r="AD186" s="372"/>
      <c r="AE186" s="372"/>
      <c r="AF186" s="372"/>
      <c r="AG186" s="372"/>
      <c r="AH186" s="372"/>
      <c r="AI186" s="372"/>
      <c r="AJ186" s="372"/>
      <c r="AK186" s="372"/>
      <c r="AL186" s="372"/>
      <c r="AM186" s="372"/>
      <c r="AN186" s="372"/>
    </row>
    <row r="187" spans="1:40" x14ac:dyDescent="0.25">
      <c r="A187" s="80"/>
      <c r="B187" s="80"/>
      <c r="C187" s="80"/>
      <c r="D187" s="80"/>
      <c r="E187" s="80">
        <v>3211</v>
      </c>
      <c r="F187" s="81" t="s">
        <v>565</v>
      </c>
      <c r="G187" s="82" t="e">
        <f>SUMIF(#REF!,'BILANCA PO IZVORIMA'!$E187,#REF!)</f>
        <v>#REF!</v>
      </c>
      <c r="H187" s="82" t="e">
        <f>SUMIF(#REF!,'BILANCA PO IZVORIMA'!$E187,#REF!)</f>
        <v>#REF!</v>
      </c>
      <c r="I187" s="82" t="e">
        <f>SUMIF(#REF!,'BILANCA PO IZVORIMA'!$E187,#REF!)</f>
        <v>#REF!</v>
      </c>
      <c r="J187" s="82" t="e">
        <f>SUMIF(#REF!,'BILANCA PO IZVORIMA'!$E187,#REF!)</f>
        <v>#REF!</v>
      </c>
      <c r="K187" s="82" t="e">
        <f>SUMIF(#REF!,'BILANCA PO IZVORIMA'!$E187,#REF!)</f>
        <v>#REF!</v>
      </c>
      <c r="L187" s="82" t="e">
        <f>ROUND(K187/J187*100,2)</f>
        <v>#REF!</v>
      </c>
      <c r="M187" s="82" t="e">
        <f>N187-J187</f>
        <v>#REF!</v>
      </c>
      <c r="N187" s="82" t="e">
        <f>SUMIF(#REF!,'BILANCA PO IZVORIMA'!$E187,#REF!)</f>
        <v>#REF!</v>
      </c>
      <c r="O187" s="82" t="e">
        <f>SUMIF(#REF!,'BILANCA PO IZVORIMA'!$E187,#REF!)</f>
        <v>#REF!</v>
      </c>
      <c r="P187" s="82" t="e">
        <f>SUMIF(#REF!,'BILANCA PO IZVORIMA'!$E187,#REF!)</f>
        <v>#REF!</v>
      </c>
      <c r="Q187" s="386" t="e">
        <f>SUMIF(#REF!,'BILANCA PO IZVORIMA'!$E187,#REF!)</f>
        <v>#REF!</v>
      </c>
      <c r="R187" s="82" t="e">
        <f>SUMIF(#REF!,'BILANCA PO IZVORIMA'!$E187,#REF!)</f>
        <v>#REF!</v>
      </c>
      <c r="S187" s="82" t="e">
        <f>SUMIF(#REF!,'BILANCA PO IZVORIMA'!$E187,#REF!)</f>
        <v>#REF!</v>
      </c>
      <c r="T187" s="82" t="e">
        <f>SUMIF(#REF!,'BILANCA PO IZVORIMA'!$E$187,#REF!)</f>
        <v>#REF!</v>
      </c>
      <c r="U187" s="357" t="e">
        <f>SUMIF(#REF!,'BILANCA PO IZVORIMA'!$E187,#REF!)</f>
        <v>#REF!</v>
      </c>
      <c r="V187" s="357" t="e">
        <f>SUMIF(#REF!,'BILANCA PO IZVORIMA'!$E187,#REF!)</f>
        <v>#REF!</v>
      </c>
      <c r="W187" s="357" t="e">
        <f>SUMIF(#REF!,'BILANCA PO IZVORIMA'!$E187,#REF!)</f>
        <v>#REF!</v>
      </c>
      <c r="X187" s="357" t="e">
        <f>SUMIF(#REF!,'BILANCA PO IZVORIMA'!$E187,#REF!)</f>
        <v>#REF!</v>
      </c>
      <c r="Y187" s="357">
        <v>244862.42</v>
      </c>
      <c r="Z187" s="614" t="e">
        <f t="shared" si="41"/>
        <v>#REF!</v>
      </c>
      <c r="AA187" s="614" t="e">
        <f t="shared" si="42"/>
        <v>#REF!</v>
      </c>
      <c r="AB187" s="357" t="e">
        <f>SUMIF(#REF!,'BILANCA PO IZVORIMA'!$E187,#REF!)</f>
        <v>#REF!</v>
      </c>
      <c r="AF187" s="60"/>
      <c r="AG187" s="60"/>
      <c r="AH187" s="60"/>
      <c r="AI187" s="60"/>
      <c r="AJ187" s="60"/>
      <c r="AK187" s="60"/>
      <c r="AL187" s="60"/>
      <c r="AM187" s="60"/>
      <c r="AN187" s="60"/>
    </row>
    <row r="188" spans="1:40" ht="39" customHeight="1" x14ac:dyDescent="0.25">
      <c r="A188" s="80"/>
      <c r="B188" s="80"/>
      <c r="C188" s="80"/>
      <c r="D188" s="80"/>
      <c r="E188" s="80">
        <v>3212</v>
      </c>
      <c r="F188" s="81" t="s">
        <v>220</v>
      </c>
      <c r="G188" s="82" t="e">
        <f>SUMIF(#REF!,'BILANCA PO IZVORIMA'!$E188,#REF!)</f>
        <v>#REF!</v>
      </c>
      <c r="H188" s="82" t="e">
        <f>SUMIF(#REF!,'BILANCA PO IZVORIMA'!$E188,#REF!)</f>
        <v>#REF!</v>
      </c>
      <c r="I188" s="82" t="e">
        <f>SUMIF(#REF!,'BILANCA PO IZVORIMA'!$E188,#REF!)</f>
        <v>#REF!</v>
      </c>
      <c r="J188" s="82" t="e">
        <f>SUMIF(#REF!,'BILANCA PO IZVORIMA'!$E188,#REF!)</f>
        <v>#REF!</v>
      </c>
      <c r="K188" s="82" t="e">
        <f>SUMIF(#REF!,'BILANCA PO IZVORIMA'!$E188,#REF!)</f>
        <v>#REF!</v>
      </c>
      <c r="L188" s="82" t="e">
        <f>ROUND(K188/J188*100,2)</f>
        <v>#REF!</v>
      </c>
      <c r="M188" s="82" t="e">
        <f>N188-J188</f>
        <v>#REF!</v>
      </c>
      <c r="N188" s="82" t="e">
        <f>SUMIF(#REF!,'BILANCA PO IZVORIMA'!$E188,#REF!)</f>
        <v>#REF!</v>
      </c>
      <c r="O188" s="82" t="e">
        <f>SUMIF(#REF!,'BILANCA PO IZVORIMA'!$E188,#REF!)</f>
        <v>#REF!</v>
      </c>
      <c r="P188" s="82" t="e">
        <f>SUMIF(#REF!,'BILANCA PO IZVORIMA'!$E188,#REF!)</f>
        <v>#REF!</v>
      </c>
      <c r="Q188" s="386" t="e">
        <f>SUMIF(#REF!,'BILANCA PO IZVORIMA'!$E188,#REF!)</f>
        <v>#REF!</v>
      </c>
      <c r="R188" s="82" t="e">
        <f>SUMIF(#REF!,'BILANCA PO IZVORIMA'!$E188,#REF!)</f>
        <v>#REF!</v>
      </c>
      <c r="S188" s="82" t="e">
        <f>SUMIF(#REF!,'BILANCA PO IZVORIMA'!$E188,#REF!)</f>
        <v>#REF!</v>
      </c>
      <c r="T188" s="82" t="e">
        <f>SUMIF(#REF!,'BILANCA PO IZVORIMA'!$E$188,#REF!)</f>
        <v>#REF!</v>
      </c>
      <c r="U188" s="357" t="e">
        <f>SUMIF(#REF!,'BILANCA PO IZVORIMA'!$E188,#REF!)</f>
        <v>#REF!</v>
      </c>
      <c r="V188" s="357" t="e">
        <f>SUMIF(#REF!,'BILANCA PO IZVORIMA'!$E188,#REF!)</f>
        <v>#REF!</v>
      </c>
      <c r="W188" s="357" t="e">
        <f>SUMIF(#REF!,'BILANCA PO IZVORIMA'!$E188,#REF!)</f>
        <v>#REF!</v>
      </c>
      <c r="X188" s="357" t="e">
        <f>SUMIF(#REF!,'BILANCA PO IZVORIMA'!$E188,#REF!)</f>
        <v>#REF!</v>
      </c>
      <c r="Y188" s="357">
        <v>2556397.2599999998</v>
      </c>
      <c r="Z188" s="614" t="e">
        <f t="shared" si="41"/>
        <v>#REF!</v>
      </c>
      <c r="AA188" s="614" t="e">
        <f t="shared" si="42"/>
        <v>#REF!</v>
      </c>
      <c r="AB188" s="357" t="e">
        <f>SUMIF(#REF!,'BILANCA PO IZVORIMA'!$E188,#REF!)</f>
        <v>#REF!</v>
      </c>
      <c r="AF188" s="60"/>
      <c r="AG188" s="60"/>
      <c r="AH188" s="60"/>
      <c r="AI188" s="60"/>
      <c r="AJ188" s="60"/>
      <c r="AK188" s="60"/>
      <c r="AL188" s="60"/>
      <c r="AM188" s="60"/>
      <c r="AN188" s="60"/>
    </row>
    <row r="189" spans="1:40" ht="22.5" customHeight="1" x14ac:dyDescent="0.25">
      <c r="A189" s="80"/>
      <c r="B189" s="80"/>
      <c r="C189" s="80"/>
      <c r="D189" s="80"/>
      <c r="E189" s="80">
        <v>3213</v>
      </c>
      <c r="F189" s="81" t="s">
        <v>221</v>
      </c>
      <c r="G189" s="82" t="e">
        <f>SUMIF(#REF!,'BILANCA PO IZVORIMA'!$E189,#REF!)</f>
        <v>#REF!</v>
      </c>
      <c r="H189" s="82" t="e">
        <f>SUMIF(#REF!,'BILANCA PO IZVORIMA'!$E189,#REF!)</f>
        <v>#REF!</v>
      </c>
      <c r="I189" s="82" t="e">
        <f>SUMIF(#REF!,'BILANCA PO IZVORIMA'!$E189,#REF!)</f>
        <v>#REF!</v>
      </c>
      <c r="J189" s="82" t="e">
        <f>SUMIF(#REF!,'BILANCA PO IZVORIMA'!$E189,#REF!)</f>
        <v>#REF!</v>
      </c>
      <c r="K189" s="82" t="e">
        <f>SUMIF(#REF!,'BILANCA PO IZVORIMA'!$E189,#REF!)</f>
        <v>#REF!</v>
      </c>
      <c r="L189" s="82" t="e">
        <f>ROUND(K189/J189*100,2)</f>
        <v>#REF!</v>
      </c>
      <c r="M189" s="82" t="e">
        <f>N189-J189</f>
        <v>#REF!</v>
      </c>
      <c r="N189" s="82" t="e">
        <f>SUMIF(#REF!,'BILANCA PO IZVORIMA'!$E189,#REF!)</f>
        <v>#REF!</v>
      </c>
      <c r="O189" s="82" t="e">
        <f>SUMIF(#REF!,'BILANCA PO IZVORIMA'!$E189,#REF!)</f>
        <v>#REF!</v>
      </c>
      <c r="P189" s="82" t="e">
        <f>SUMIF(#REF!,'BILANCA PO IZVORIMA'!$E189,#REF!)</f>
        <v>#REF!</v>
      </c>
      <c r="Q189" s="386" t="e">
        <f>SUMIF(#REF!,'BILANCA PO IZVORIMA'!$E189,#REF!)</f>
        <v>#REF!</v>
      </c>
      <c r="R189" s="82" t="e">
        <f>SUMIF(#REF!,'BILANCA PO IZVORIMA'!$E189,#REF!)</f>
        <v>#REF!</v>
      </c>
      <c r="S189" s="82" t="e">
        <f>SUMIF(#REF!,'BILANCA PO IZVORIMA'!$E189,#REF!)</f>
        <v>#REF!</v>
      </c>
      <c r="T189" s="82" t="e">
        <f>SUMIF(#REF!,'BILANCA PO IZVORIMA'!$E$189,#REF!)</f>
        <v>#REF!</v>
      </c>
      <c r="U189" s="357" t="e">
        <f>SUMIF(#REF!,'BILANCA PO IZVORIMA'!$E189,#REF!)</f>
        <v>#REF!</v>
      </c>
      <c r="V189" s="357" t="e">
        <f>SUMIF(#REF!,'BILANCA PO IZVORIMA'!$E189,#REF!)</f>
        <v>#REF!</v>
      </c>
      <c r="W189" s="357" t="e">
        <f>SUMIF(#REF!,'BILANCA PO IZVORIMA'!$E189,#REF!)</f>
        <v>#REF!</v>
      </c>
      <c r="X189" s="357" t="e">
        <f>SUMIF(#REF!,'BILANCA PO IZVORIMA'!$E189,#REF!)</f>
        <v>#REF!</v>
      </c>
      <c r="Y189" s="357">
        <v>56598.55</v>
      </c>
      <c r="Z189" s="614" t="e">
        <f t="shared" si="41"/>
        <v>#REF!</v>
      </c>
      <c r="AA189" s="614" t="e">
        <f t="shared" si="42"/>
        <v>#REF!</v>
      </c>
      <c r="AB189" s="357" t="e">
        <f>SUMIF(#REF!,'BILANCA PO IZVORIMA'!$E189,#REF!)</f>
        <v>#REF!</v>
      </c>
      <c r="AF189" s="60"/>
      <c r="AG189" s="60"/>
      <c r="AH189" s="60"/>
      <c r="AI189" s="60"/>
      <c r="AJ189" s="60"/>
      <c r="AK189" s="60"/>
      <c r="AL189" s="60"/>
      <c r="AM189" s="60"/>
      <c r="AN189" s="60"/>
    </row>
    <row r="190" spans="1:40" ht="22.5" customHeight="1" x14ac:dyDescent="0.25">
      <c r="A190" s="80"/>
      <c r="B190" s="80"/>
      <c r="C190" s="80"/>
      <c r="D190" s="80"/>
      <c r="E190" s="80">
        <v>3214</v>
      </c>
      <c r="F190" s="81" t="s">
        <v>852</v>
      </c>
      <c r="G190" s="82" t="e">
        <f>SUMIF(#REF!,'BILANCA PO IZVORIMA'!$E190,#REF!)</f>
        <v>#REF!</v>
      </c>
      <c r="H190" s="82" t="e">
        <f>SUMIF(#REF!,'BILANCA PO IZVORIMA'!$E190,#REF!)</f>
        <v>#REF!</v>
      </c>
      <c r="I190" s="82" t="e">
        <f>SUMIF(#REF!,'BILANCA PO IZVORIMA'!$E190,#REF!)</f>
        <v>#REF!</v>
      </c>
      <c r="J190" s="82" t="e">
        <f>SUMIF(#REF!,'BILANCA PO IZVORIMA'!$E190,#REF!)</f>
        <v>#REF!</v>
      </c>
      <c r="K190" s="82" t="e">
        <f>SUMIF(#REF!,'BILANCA PO IZVORIMA'!$E190,#REF!)</f>
        <v>#REF!</v>
      </c>
      <c r="L190" s="82" t="e">
        <f>ROUND(K190/J190*100,2)</f>
        <v>#REF!</v>
      </c>
      <c r="M190" s="82" t="e">
        <f>N190-J190</f>
        <v>#REF!</v>
      </c>
      <c r="N190" s="82" t="e">
        <f>SUMIF(#REF!,'BILANCA PO IZVORIMA'!$E190,#REF!)</f>
        <v>#REF!</v>
      </c>
      <c r="O190" s="82" t="e">
        <f>SUMIF(#REF!,'BILANCA PO IZVORIMA'!$E190,#REF!)</f>
        <v>#REF!</v>
      </c>
      <c r="P190" s="82" t="e">
        <f>SUMIF(#REF!,'BILANCA PO IZVORIMA'!$E190,#REF!)</f>
        <v>#REF!</v>
      </c>
      <c r="Q190" s="386" t="e">
        <f>SUMIF(#REF!,'BILANCA PO IZVORIMA'!$E190,#REF!)</f>
        <v>#REF!</v>
      </c>
      <c r="R190" s="82" t="e">
        <f>SUMIF(#REF!,'BILANCA PO IZVORIMA'!$E190,#REF!)</f>
        <v>#REF!</v>
      </c>
      <c r="S190" s="82" t="e">
        <f>SUMIF(#REF!,'BILANCA PO IZVORIMA'!$E190,#REF!)</f>
        <v>#REF!</v>
      </c>
      <c r="T190" s="82" t="e">
        <f>SUMIF(#REF!,'BILANCA PO IZVORIMA'!$E$190,#REF!)</f>
        <v>#REF!</v>
      </c>
      <c r="U190" s="357" t="e">
        <f>SUMIF(#REF!,'BILANCA PO IZVORIMA'!$E190,#REF!)</f>
        <v>#REF!</v>
      </c>
      <c r="V190" s="357" t="e">
        <f>SUMIF(#REF!,'BILANCA PO IZVORIMA'!$E190,#REF!)</f>
        <v>#REF!</v>
      </c>
      <c r="W190" s="357" t="e">
        <f>SUMIF(#REF!,'BILANCA PO IZVORIMA'!$E190,#REF!)</f>
        <v>#REF!</v>
      </c>
      <c r="X190" s="357" t="e">
        <f>SUMIF(#REF!,'BILANCA PO IZVORIMA'!$E190,#REF!)</f>
        <v>#REF!</v>
      </c>
      <c r="Y190" s="357">
        <v>9189.2000000000007</v>
      </c>
      <c r="Z190" s="614" t="e">
        <f t="shared" si="41"/>
        <v>#REF!</v>
      </c>
      <c r="AA190" s="614" t="e">
        <f t="shared" si="42"/>
        <v>#REF!</v>
      </c>
      <c r="AB190" s="357" t="e">
        <f>SUMIF(#REF!,'BILANCA PO IZVORIMA'!$E190,#REF!)</f>
        <v>#REF!</v>
      </c>
      <c r="AF190" s="60"/>
      <c r="AG190" s="60"/>
      <c r="AH190" s="60"/>
      <c r="AI190" s="60"/>
      <c r="AJ190" s="60"/>
      <c r="AK190" s="60"/>
      <c r="AL190" s="60"/>
      <c r="AM190" s="60"/>
      <c r="AN190" s="60"/>
    </row>
    <row r="191" spans="1:40" s="373" customFormat="1" ht="22.5" customHeight="1" x14ac:dyDescent="0.25">
      <c r="A191" s="119"/>
      <c r="B191" s="119"/>
      <c r="C191" s="119"/>
      <c r="D191" s="119" t="str">
        <f>LEFT(E192,3)</f>
        <v>322</v>
      </c>
      <c r="E191" s="119"/>
      <c r="F191" s="368" t="s">
        <v>547</v>
      </c>
      <c r="G191" s="369" t="e">
        <f>SUM(G192:G196)</f>
        <v>#REF!</v>
      </c>
      <c r="H191" s="370" t="e">
        <f>SUM(H192:H196)</f>
        <v>#REF!</v>
      </c>
      <c r="I191" s="369" t="e">
        <f t="shared" ref="I191:X191" si="63">SUM(I192:I197)</f>
        <v>#REF!</v>
      </c>
      <c r="J191" s="369" t="e">
        <f t="shared" si="63"/>
        <v>#REF!</v>
      </c>
      <c r="K191" s="369" t="e">
        <f t="shared" si="63"/>
        <v>#REF!</v>
      </c>
      <c r="L191" s="369" t="e">
        <f t="shared" si="63"/>
        <v>#REF!</v>
      </c>
      <c r="M191" s="369" t="e">
        <f t="shared" si="63"/>
        <v>#REF!</v>
      </c>
      <c r="N191" s="369" t="e">
        <f t="shared" si="63"/>
        <v>#REF!</v>
      </c>
      <c r="O191" s="369" t="e">
        <f t="shared" si="63"/>
        <v>#REF!</v>
      </c>
      <c r="P191" s="369" t="e">
        <f t="shared" si="63"/>
        <v>#REF!</v>
      </c>
      <c r="Q191" s="392" t="e">
        <f t="shared" si="63"/>
        <v>#REF!</v>
      </c>
      <c r="R191" s="369" t="e">
        <f t="shared" si="63"/>
        <v>#REF!</v>
      </c>
      <c r="S191" s="369" t="e">
        <f t="shared" si="63"/>
        <v>#REF!</v>
      </c>
      <c r="T191" s="369" t="e">
        <f t="shared" si="63"/>
        <v>#REF!</v>
      </c>
      <c r="U191" s="371" t="e">
        <f t="shared" si="63"/>
        <v>#REF!</v>
      </c>
      <c r="V191" s="371" t="e">
        <f t="shared" si="63"/>
        <v>#REF!</v>
      </c>
      <c r="W191" s="371" t="e">
        <f t="shared" si="63"/>
        <v>#REF!</v>
      </c>
      <c r="X191" s="371" t="e">
        <f t="shared" si="63"/>
        <v>#REF!</v>
      </c>
      <c r="Y191" s="371">
        <f>SUM(Y192:Y197)</f>
        <v>7732717.6799999997</v>
      </c>
      <c r="Z191" s="590" t="e">
        <f t="shared" si="41"/>
        <v>#REF!</v>
      </c>
      <c r="AA191" s="590" t="e">
        <f t="shared" si="42"/>
        <v>#REF!</v>
      </c>
      <c r="AB191" s="371" t="e">
        <f>SUM(AB192:AB197)</f>
        <v>#REF!</v>
      </c>
      <c r="AC191" s="372"/>
      <c r="AD191" s="372"/>
      <c r="AE191" s="372"/>
      <c r="AF191" s="372"/>
      <c r="AG191" s="372"/>
      <c r="AH191" s="372"/>
      <c r="AI191" s="372"/>
      <c r="AJ191" s="372"/>
      <c r="AK191" s="372"/>
      <c r="AL191" s="372"/>
      <c r="AM191" s="372"/>
      <c r="AN191" s="372"/>
    </row>
    <row r="192" spans="1:40" ht="20.25" customHeight="1" x14ac:dyDescent="0.25">
      <c r="A192" s="80"/>
      <c r="B192" s="80"/>
      <c r="C192" s="80"/>
      <c r="D192" s="80"/>
      <c r="E192" s="80">
        <v>3221</v>
      </c>
      <c r="F192" s="81" t="s">
        <v>548</v>
      </c>
      <c r="G192" s="82" t="e">
        <f>SUMIF(#REF!,'BILANCA PO IZVORIMA'!$E192,#REF!)</f>
        <v>#REF!</v>
      </c>
      <c r="H192" s="82" t="e">
        <f>SUMIF(#REF!,'BILANCA PO IZVORIMA'!$E192,#REF!)</f>
        <v>#REF!</v>
      </c>
      <c r="I192" s="82" t="e">
        <f>SUMIF(#REF!,'BILANCA PO IZVORIMA'!$E192,#REF!)</f>
        <v>#REF!</v>
      </c>
      <c r="J192" s="82" t="e">
        <f>SUMIF(#REF!,'BILANCA PO IZVORIMA'!$E192,#REF!)</f>
        <v>#REF!</v>
      </c>
      <c r="K192" s="82" t="e">
        <f>SUMIF(#REF!,'BILANCA PO IZVORIMA'!$E192,#REF!)</f>
        <v>#REF!</v>
      </c>
      <c r="L192" s="82" t="e">
        <f t="shared" ref="L192:L197" si="64">ROUND(K192/J192*100,2)</f>
        <v>#REF!</v>
      </c>
      <c r="M192" s="82" t="e">
        <f t="shared" ref="M192:M197" si="65">N192-J192</f>
        <v>#REF!</v>
      </c>
      <c r="N192" s="82" t="e">
        <f>SUMIF(#REF!,'BILANCA PO IZVORIMA'!$E192,#REF!)</f>
        <v>#REF!</v>
      </c>
      <c r="O192" s="82" t="e">
        <f>SUMIF(#REF!,'BILANCA PO IZVORIMA'!$E192,#REF!)</f>
        <v>#REF!</v>
      </c>
      <c r="P192" s="82" t="e">
        <f>SUMIF(#REF!,'BILANCA PO IZVORIMA'!$E192,#REF!)</f>
        <v>#REF!</v>
      </c>
      <c r="Q192" s="386" t="e">
        <f>SUMIF(#REF!,'BILANCA PO IZVORIMA'!$E192,#REF!)</f>
        <v>#REF!</v>
      </c>
      <c r="R192" s="82" t="e">
        <f>SUMIF(#REF!,'BILANCA PO IZVORIMA'!$E192,#REF!)</f>
        <v>#REF!</v>
      </c>
      <c r="S192" s="82" t="e">
        <f>SUMIF(#REF!,'BILANCA PO IZVORIMA'!$E192,#REF!)</f>
        <v>#REF!</v>
      </c>
      <c r="T192" s="82" t="e">
        <f>SUMIF(#REF!,'BILANCA PO IZVORIMA'!$E$192,#REF!)</f>
        <v>#REF!</v>
      </c>
      <c r="U192" s="357" t="e">
        <f>SUMIF(#REF!,'BILANCA PO IZVORIMA'!$E192,#REF!)</f>
        <v>#REF!</v>
      </c>
      <c r="V192" s="357" t="e">
        <f>SUMIF(#REF!,'BILANCA PO IZVORIMA'!$E192,#REF!)</f>
        <v>#REF!</v>
      </c>
      <c r="W192" s="357" t="e">
        <f>SUMIF(#REF!,'BILANCA PO IZVORIMA'!$E192,#REF!)</f>
        <v>#REF!</v>
      </c>
      <c r="X192" s="357" t="e">
        <f>SUMIF(#REF!,'BILANCA PO IZVORIMA'!$E192,#REF!)</f>
        <v>#REF!</v>
      </c>
      <c r="Y192" s="357">
        <v>1017916.67</v>
      </c>
      <c r="Z192" s="614" t="e">
        <f t="shared" si="41"/>
        <v>#REF!</v>
      </c>
      <c r="AA192" s="614" t="e">
        <f t="shared" si="42"/>
        <v>#REF!</v>
      </c>
      <c r="AB192" s="357" t="e">
        <f>SUMIF(#REF!,'BILANCA PO IZVORIMA'!$E192,#REF!)</f>
        <v>#REF!</v>
      </c>
      <c r="AF192" s="60"/>
      <c r="AG192" s="60"/>
      <c r="AH192" s="60"/>
      <c r="AI192" s="60"/>
      <c r="AJ192" s="60"/>
      <c r="AK192" s="60"/>
      <c r="AL192" s="60"/>
      <c r="AM192" s="60"/>
      <c r="AN192" s="60"/>
    </row>
    <row r="193" spans="1:40" ht="16.5" customHeight="1" x14ac:dyDescent="0.25">
      <c r="A193" s="80"/>
      <c r="B193" s="80"/>
      <c r="C193" s="80"/>
      <c r="D193" s="80"/>
      <c r="E193" s="80">
        <v>3222</v>
      </c>
      <c r="F193" s="81" t="s">
        <v>474</v>
      </c>
      <c r="G193" s="82" t="e">
        <f>SUMIF(#REF!,'BILANCA PO IZVORIMA'!$E193,#REF!)</f>
        <v>#REF!</v>
      </c>
      <c r="H193" s="82" t="e">
        <f>SUMIF(#REF!,'BILANCA PO IZVORIMA'!$E193,#REF!)</f>
        <v>#REF!</v>
      </c>
      <c r="I193" s="82" t="e">
        <f>SUMIF(#REF!,'BILANCA PO IZVORIMA'!$E193,#REF!)</f>
        <v>#REF!</v>
      </c>
      <c r="J193" s="82" t="e">
        <f>SUMIF(#REF!,'BILANCA PO IZVORIMA'!$E193,#REF!)</f>
        <v>#REF!</v>
      </c>
      <c r="K193" s="82" t="e">
        <f>SUMIF(#REF!,'BILANCA PO IZVORIMA'!$E193,#REF!)</f>
        <v>#REF!</v>
      </c>
      <c r="L193" s="82" t="e">
        <f t="shared" si="64"/>
        <v>#REF!</v>
      </c>
      <c r="M193" s="82" t="e">
        <f t="shared" si="65"/>
        <v>#REF!</v>
      </c>
      <c r="N193" s="82" t="e">
        <f>SUMIF(#REF!,'BILANCA PO IZVORIMA'!$E193,#REF!)</f>
        <v>#REF!</v>
      </c>
      <c r="O193" s="82" t="e">
        <f>SUMIF(#REF!,'BILANCA PO IZVORIMA'!$E193,#REF!)</f>
        <v>#REF!</v>
      </c>
      <c r="P193" s="82" t="e">
        <f>SUMIF(#REF!,'BILANCA PO IZVORIMA'!$E193,#REF!)</f>
        <v>#REF!</v>
      </c>
      <c r="Q193" s="386" t="e">
        <f>SUMIF(#REF!,'BILANCA PO IZVORIMA'!$E193,#REF!)</f>
        <v>#REF!</v>
      </c>
      <c r="R193" s="82" t="e">
        <f>SUMIF(#REF!,'BILANCA PO IZVORIMA'!$E193,#REF!)</f>
        <v>#REF!</v>
      </c>
      <c r="S193" s="82" t="e">
        <f>SUMIF(#REF!,'BILANCA PO IZVORIMA'!$E193,#REF!)</f>
        <v>#REF!</v>
      </c>
      <c r="T193" s="82" t="e">
        <f>SUMIF(#REF!,'BILANCA PO IZVORIMA'!$E$193,#REF!)</f>
        <v>#REF!</v>
      </c>
      <c r="U193" s="357" t="e">
        <f>SUMIF(#REF!,'BILANCA PO IZVORIMA'!$E193,#REF!)</f>
        <v>#REF!</v>
      </c>
      <c r="V193" s="357" t="e">
        <f>SUMIF(#REF!,'BILANCA PO IZVORIMA'!$E193,#REF!)</f>
        <v>#REF!</v>
      </c>
      <c r="W193" s="357" t="e">
        <f>SUMIF(#REF!,'BILANCA PO IZVORIMA'!$E193,#REF!)</f>
        <v>#REF!</v>
      </c>
      <c r="X193" s="357" t="e">
        <f>SUMIF(#REF!,'BILANCA PO IZVORIMA'!$E193,#REF!)</f>
        <v>#REF!</v>
      </c>
      <c r="Y193" s="357">
        <v>1005017.22</v>
      </c>
      <c r="Z193" s="614" t="e">
        <f t="shared" si="41"/>
        <v>#REF!</v>
      </c>
      <c r="AA193" s="614" t="e">
        <f t="shared" si="42"/>
        <v>#REF!</v>
      </c>
      <c r="AB193" s="357" t="e">
        <f>SUMIF(#REF!,'BILANCA PO IZVORIMA'!$E193,#REF!)</f>
        <v>#REF!</v>
      </c>
      <c r="AF193" s="60"/>
      <c r="AG193" s="60"/>
      <c r="AH193" s="60"/>
      <c r="AI193" s="60"/>
      <c r="AJ193" s="60"/>
      <c r="AK193" s="60"/>
      <c r="AL193" s="60"/>
      <c r="AM193" s="60"/>
      <c r="AN193" s="60"/>
    </row>
    <row r="194" spans="1:40" ht="16.5" customHeight="1" x14ac:dyDescent="0.25">
      <c r="A194" s="80"/>
      <c r="B194" s="80"/>
      <c r="C194" s="80"/>
      <c r="D194" s="80"/>
      <c r="E194" s="80">
        <v>3223</v>
      </c>
      <c r="F194" s="81" t="s">
        <v>204</v>
      </c>
      <c r="G194" s="82" t="e">
        <f>SUMIF(#REF!,'BILANCA PO IZVORIMA'!$E194,#REF!)</f>
        <v>#REF!</v>
      </c>
      <c r="H194" s="82" t="e">
        <f>SUMIF(#REF!,'BILANCA PO IZVORIMA'!$E194,#REF!)</f>
        <v>#REF!</v>
      </c>
      <c r="I194" s="82" t="e">
        <f>SUMIF(#REF!,'BILANCA PO IZVORIMA'!$E194,#REF!)</f>
        <v>#REF!</v>
      </c>
      <c r="J194" s="82" t="e">
        <f>SUMIF(#REF!,'BILANCA PO IZVORIMA'!$E194,#REF!)</f>
        <v>#REF!</v>
      </c>
      <c r="K194" s="82" t="e">
        <f>SUMIF(#REF!,'BILANCA PO IZVORIMA'!$E194,#REF!)</f>
        <v>#REF!</v>
      </c>
      <c r="L194" s="82" t="e">
        <f t="shared" si="64"/>
        <v>#REF!</v>
      </c>
      <c r="M194" s="82" t="e">
        <f t="shared" si="65"/>
        <v>#REF!</v>
      </c>
      <c r="N194" s="82" t="e">
        <f>SUMIF(#REF!,'BILANCA PO IZVORIMA'!$E194,#REF!)</f>
        <v>#REF!</v>
      </c>
      <c r="O194" s="82" t="e">
        <f>SUMIF(#REF!,'BILANCA PO IZVORIMA'!$E194,#REF!)</f>
        <v>#REF!</v>
      </c>
      <c r="P194" s="82" t="e">
        <f>SUMIF(#REF!,'BILANCA PO IZVORIMA'!$E194,#REF!)</f>
        <v>#REF!</v>
      </c>
      <c r="Q194" s="386" t="e">
        <f>SUMIF(#REF!,'BILANCA PO IZVORIMA'!$E194,#REF!)</f>
        <v>#REF!</v>
      </c>
      <c r="R194" s="82" t="e">
        <f>SUMIF(#REF!,'BILANCA PO IZVORIMA'!$E194,#REF!)</f>
        <v>#REF!</v>
      </c>
      <c r="S194" s="82" t="e">
        <f>SUMIF(#REF!,'BILANCA PO IZVORIMA'!$E194,#REF!)</f>
        <v>#REF!</v>
      </c>
      <c r="T194" s="82" t="e">
        <f>SUMIF(#REF!,'BILANCA PO IZVORIMA'!$E$194,#REF!)</f>
        <v>#REF!</v>
      </c>
      <c r="U194" s="357" t="e">
        <f>SUMIF(#REF!,'BILANCA PO IZVORIMA'!$E194,#REF!)</f>
        <v>#REF!</v>
      </c>
      <c r="V194" s="357" t="e">
        <f>SUMIF(#REF!,'BILANCA PO IZVORIMA'!$E194,#REF!)</f>
        <v>#REF!</v>
      </c>
      <c r="W194" s="357" t="e">
        <f>SUMIF(#REF!,'BILANCA PO IZVORIMA'!$E194,#REF!)</f>
        <v>#REF!</v>
      </c>
      <c r="X194" s="357" t="e">
        <f>SUMIF(#REF!,'BILANCA PO IZVORIMA'!$E194,#REF!)</f>
        <v>#REF!</v>
      </c>
      <c r="Y194" s="357">
        <v>5462858.1200000001</v>
      </c>
      <c r="Z194" s="614" t="e">
        <f t="shared" si="41"/>
        <v>#REF!</v>
      </c>
      <c r="AA194" s="614" t="e">
        <f t="shared" si="42"/>
        <v>#REF!</v>
      </c>
      <c r="AB194" s="357" t="e">
        <f>SUMIF(#REF!,'BILANCA PO IZVORIMA'!$E194,#REF!)</f>
        <v>#REF!</v>
      </c>
      <c r="AF194" s="60"/>
      <c r="AG194" s="60"/>
      <c r="AH194" s="60"/>
      <c r="AI194" s="60"/>
      <c r="AJ194" s="60"/>
      <c r="AK194" s="60"/>
      <c r="AL194" s="60"/>
      <c r="AM194" s="60"/>
      <c r="AN194" s="60"/>
    </row>
    <row r="195" spans="1:40" ht="36.75" customHeight="1" x14ac:dyDescent="0.25">
      <c r="A195" s="80"/>
      <c r="B195" s="80"/>
      <c r="C195" s="80"/>
      <c r="D195" s="80"/>
      <c r="E195" s="80">
        <v>3224</v>
      </c>
      <c r="F195" s="81" t="s">
        <v>853</v>
      </c>
      <c r="G195" s="82" t="e">
        <f>SUMIF(#REF!,'BILANCA PO IZVORIMA'!$E195,#REF!)</f>
        <v>#REF!</v>
      </c>
      <c r="H195" s="82" t="e">
        <f>SUMIF(#REF!,'BILANCA PO IZVORIMA'!$E195,#REF!)</f>
        <v>#REF!</v>
      </c>
      <c r="I195" s="82" t="e">
        <f>SUMIF(#REF!,'BILANCA PO IZVORIMA'!$E195,#REF!)</f>
        <v>#REF!</v>
      </c>
      <c r="J195" s="82" t="e">
        <f>SUMIF(#REF!,'BILANCA PO IZVORIMA'!$E195,#REF!)</f>
        <v>#REF!</v>
      </c>
      <c r="K195" s="82" t="e">
        <f>SUMIF(#REF!,'BILANCA PO IZVORIMA'!$E195,#REF!)</f>
        <v>#REF!</v>
      </c>
      <c r="L195" s="82" t="e">
        <f t="shared" si="64"/>
        <v>#REF!</v>
      </c>
      <c r="M195" s="82" t="e">
        <f t="shared" si="65"/>
        <v>#REF!</v>
      </c>
      <c r="N195" s="82" t="e">
        <f>SUMIF(#REF!,'BILANCA PO IZVORIMA'!$E195,#REF!)</f>
        <v>#REF!</v>
      </c>
      <c r="O195" s="82" t="e">
        <f>SUMIF(#REF!,'BILANCA PO IZVORIMA'!$E195,#REF!)</f>
        <v>#REF!</v>
      </c>
      <c r="P195" s="82" t="e">
        <f>SUMIF(#REF!,'BILANCA PO IZVORIMA'!$E195,#REF!)</f>
        <v>#REF!</v>
      </c>
      <c r="Q195" s="386" t="e">
        <f>SUMIF(#REF!,'BILANCA PO IZVORIMA'!$E195,#REF!)</f>
        <v>#REF!</v>
      </c>
      <c r="R195" s="82" t="e">
        <f>SUMIF(#REF!,'BILANCA PO IZVORIMA'!$E195,#REF!)</f>
        <v>#REF!</v>
      </c>
      <c r="S195" s="82" t="e">
        <f>SUMIF(#REF!,'BILANCA PO IZVORIMA'!$E195,#REF!)</f>
        <v>#REF!</v>
      </c>
      <c r="T195" s="82" t="e">
        <f>SUMIF(#REF!,'BILANCA PO IZVORIMA'!$E$195,#REF!)</f>
        <v>#REF!</v>
      </c>
      <c r="U195" s="357" t="e">
        <f>SUMIF(#REF!,'BILANCA PO IZVORIMA'!$E195,#REF!)</f>
        <v>#REF!</v>
      </c>
      <c r="V195" s="357" t="e">
        <f>SUMIF(#REF!,'BILANCA PO IZVORIMA'!$E195,#REF!)</f>
        <v>#REF!</v>
      </c>
      <c r="W195" s="357" t="e">
        <f>SUMIF(#REF!,'BILANCA PO IZVORIMA'!$E195,#REF!)</f>
        <v>#REF!</v>
      </c>
      <c r="X195" s="357" t="e">
        <f>SUMIF(#REF!,'BILANCA PO IZVORIMA'!$E195,#REF!)</f>
        <v>#REF!</v>
      </c>
      <c r="Y195" s="357">
        <v>106730.83</v>
      </c>
      <c r="Z195" s="614" t="e">
        <f t="shared" si="41"/>
        <v>#REF!</v>
      </c>
      <c r="AA195" s="614" t="e">
        <f t="shared" si="42"/>
        <v>#REF!</v>
      </c>
      <c r="AB195" s="357" t="e">
        <f>SUMIF(#REF!,'BILANCA PO IZVORIMA'!$E195,#REF!)</f>
        <v>#REF!</v>
      </c>
      <c r="AF195" s="60"/>
      <c r="AG195" s="60"/>
      <c r="AH195" s="60"/>
      <c r="AI195" s="60"/>
      <c r="AJ195" s="60"/>
      <c r="AK195" s="60"/>
      <c r="AL195" s="60"/>
      <c r="AM195" s="60"/>
      <c r="AN195" s="60"/>
    </row>
    <row r="196" spans="1:40" ht="16.5" customHeight="1" x14ac:dyDescent="0.25">
      <c r="A196" s="80"/>
      <c r="B196" s="80"/>
      <c r="C196" s="80"/>
      <c r="D196" s="80"/>
      <c r="E196" s="80">
        <v>3225</v>
      </c>
      <c r="F196" s="81" t="s">
        <v>205</v>
      </c>
      <c r="G196" s="82" t="e">
        <f>SUMIF(#REF!,'BILANCA PO IZVORIMA'!$E196,#REF!)</f>
        <v>#REF!</v>
      </c>
      <c r="H196" s="82" t="e">
        <f>SUMIF(#REF!,'BILANCA PO IZVORIMA'!$E196,#REF!)</f>
        <v>#REF!</v>
      </c>
      <c r="I196" s="82" t="e">
        <f>SUMIF(#REF!,'BILANCA PO IZVORIMA'!$E196,#REF!)</f>
        <v>#REF!</v>
      </c>
      <c r="J196" s="82" t="e">
        <f>SUMIF(#REF!,'BILANCA PO IZVORIMA'!$E196,#REF!)</f>
        <v>#REF!</v>
      </c>
      <c r="K196" s="82" t="e">
        <f>SUMIF(#REF!,'BILANCA PO IZVORIMA'!$E196,#REF!)</f>
        <v>#REF!</v>
      </c>
      <c r="L196" s="82" t="e">
        <f t="shared" si="64"/>
        <v>#REF!</v>
      </c>
      <c r="M196" s="82" t="e">
        <f t="shared" si="65"/>
        <v>#REF!</v>
      </c>
      <c r="N196" s="82" t="e">
        <f>SUMIF(#REF!,'BILANCA PO IZVORIMA'!$E196,#REF!)</f>
        <v>#REF!</v>
      </c>
      <c r="O196" s="82" t="e">
        <f>SUMIF(#REF!,'BILANCA PO IZVORIMA'!$E196,#REF!)</f>
        <v>#REF!</v>
      </c>
      <c r="P196" s="82" t="e">
        <f>SUMIF(#REF!,'BILANCA PO IZVORIMA'!$E196,#REF!)</f>
        <v>#REF!</v>
      </c>
      <c r="Q196" s="386" t="e">
        <f>SUMIF(#REF!,'BILANCA PO IZVORIMA'!$E196,#REF!)</f>
        <v>#REF!</v>
      </c>
      <c r="R196" s="82" t="e">
        <f>SUMIF(#REF!,'BILANCA PO IZVORIMA'!$E196,#REF!)</f>
        <v>#REF!</v>
      </c>
      <c r="S196" s="82" t="e">
        <f>SUMIF(#REF!,'BILANCA PO IZVORIMA'!$E196,#REF!)</f>
        <v>#REF!</v>
      </c>
      <c r="T196" s="82" t="e">
        <f>SUMIF(#REF!,'BILANCA PO IZVORIMA'!$E$196,#REF!)</f>
        <v>#REF!</v>
      </c>
      <c r="U196" s="357" t="e">
        <f>SUMIF(#REF!,'BILANCA PO IZVORIMA'!$E196,#REF!)</f>
        <v>#REF!</v>
      </c>
      <c r="V196" s="357" t="e">
        <f>SUMIF(#REF!,'BILANCA PO IZVORIMA'!$E196,#REF!)</f>
        <v>#REF!</v>
      </c>
      <c r="W196" s="357" t="e">
        <f>SUMIF(#REF!,'BILANCA PO IZVORIMA'!$E196,#REF!)</f>
        <v>#REF!</v>
      </c>
      <c r="X196" s="357" t="e">
        <f>SUMIF(#REF!,'BILANCA PO IZVORIMA'!$E196,#REF!)</f>
        <v>#REF!</v>
      </c>
      <c r="Y196" s="357">
        <v>105083.27</v>
      </c>
      <c r="Z196" s="614" t="e">
        <f t="shared" si="41"/>
        <v>#REF!</v>
      </c>
      <c r="AA196" s="614" t="e">
        <f t="shared" si="42"/>
        <v>#REF!</v>
      </c>
      <c r="AB196" s="357" t="e">
        <f>SUMIF(#REF!,'BILANCA PO IZVORIMA'!$E196,#REF!)</f>
        <v>#REF!</v>
      </c>
      <c r="AF196" s="60"/>
      <c r="AG196" s="60"/>
      <c r="AH196" s="60"/>
      <c r="AI196" s="60"/>
      <c r="AJ196" s="60"/>
      <c r="AK196" s="60"/>
      <c r="AL196" s="60"/>
      <c r="AM196" s="60"/>
      <c r="AN196" s="60"/>
    </row>
    <row r="197" spans="1:40" ht="16.5" customHeight="1" x14ac:dyDescent="0.25">
      <c r="A197" s="80"/>
      <c r="B197" s="80"/>
      <c r="C197" s="80"/>
      <c r="D197" s="80"/>
      <c r="E197" s="131">
        <v>3227</v>
      </c>
      <c r="F197" s="132" t="s">
        <v>646</v>
      </c>
      <c r="G197" s="82" t="e">
        <f>SUMIF(#REF!,'BILANCA PO IZVORIMA'!$E197,#REF!)</f>
        <v>#REF!</v>
      </c>
      <c r="H197" s="82" t="e">
        <f>SUMIF(#REF!,'BILANCA PO IZVORIMA'!$E197,#REF!)</f>
        <v>#REF!</v>
      </c>
      <c r="I197" s="82" t="e">
        <f>SUMIF(#REF!,'BILANCA PO IZVORIMA'!$E197,#REF!)</f>
        <v>#REF!</v>
      </c>
      <c r="J197" s="82" t="e">
        <f>SUMIF(#REF!,'BILANCA PO IZVORIMA'!$E197,#REF!)</f>
        <v>#REF!</v>
      </c>
      <c r="K197" s="82" t="e">
        <f>SUMIF(#REF!,'BILANCA PO IZVORIMA'!$E197,#REF!)</f>
        <v>#REF!</v>
      </c>
      <c r="L197" s="82" t="e">
        <f t="shared" si="64"/>
        <v>#REF!</v>
      </c>
      <c r="M197" s="82" t="e">
        <f t="shared" si="65"/>
        <v>#REF!</v>
      </c>
      <c r="N197" s="82" t="e">
        <f>SUMIF(#REF!,'BILANCA PO IZVORIMA'!$E197,#REF!)</f>
        <v>#REF!</v>
      </c>
      <c r="O197" s="82" t="e">
        <f>SUMIF(#REF!,'BILANCA PO IZVORIMA'!$E197,#REF!)</f>
        <v>#REF!</v>
      </c>
      <c r="P197" s="82" t="e">
        <f>SUMIF(#REF!,'BILANCA PO IZVORIMA'!$E197,#REF!)</f>
        <v>#REF!</v>
      </c>
      <c r="Q197" s="386" t="e">
        <f>SUMIF(#REF!,'BILANCA PO IZVORIMA'!$E197,#REF!)</f>
        <v>#REF!</v>
      </c>
      <c r="R197" s="82" t="e">
        <f>SUMIF(#REF!,'BILANCA PO IZVORIMA'!$E197,#REF!)</f>
        <v>#REF!</v>
      </c>
      <c r="S197" s="82" t="e">
        <f>SUMIF(#REF!,'BILANCA PO IZVORIMA'!$E197,#REF!)</f>
        <v>#REF!</v>
      </c>
      <c r="T197" s="82" t="e">
        <f>SUMIF(#REF!,'BILANCA PO IZVORIMA'!$E$197,#REF!)</f>
        <v>#REF!</v>
      </c>
      <c r="U197" s="357" t="e">
        <f>SUMIF(#REF!,'BILANCA PO IZVORIMA'!$E197,#REF!)</f>
        <v>#REF!</v>
      </c>
      <c r="V197" s="357" t="e">
        <f>SUMIF(#REF!,'BILANCA PO IZVORIMA'!$E197,#REF!)</f>
        <v>#REF!</v>
      </c>
      <c r="W197" s="357" t="e">
        <f>SUMIF(#REF!,'BILANCA PO IZVORIMA'!$E197,#REF!)</f>
        <v>#REF!</v>
      </c>
      <c r="X197" s="357" t="e">
        <f>SUMIF(#REF!,'BILANCA PO IZVORIMA'!$E197,#REF!)</f>
        <v>#REF!</v>
      </c>
      <c r="Y197" s="357">
        <v>35111.57</v>
      </c>
      <c r="Z197" s="614" t="e">
        <f t="shared" si="41"/>
        <v>#REF!</v>
      </c>
      <c r="AA197" s="614" t="e">
        <f t="shared" si="42"/>
        <v>#REF!</v>
      </c>
      <c r="AB197" s="357" t="e">
        <f>SUMIF(#REF!,'BILANCA PO IZVORIMA'!$E197,#REF!)</f>
        <v>#REF!</v>
      </c>
      <c r="AF197" s="60"/>
      <c r="AG197" s="60"/>
      <c r="AH197" s="60"/>
      <c r="AI197" s="60"/>
      <c r="AJ197" s="60"/>
      <c r="AK197" s="60"/>
      <c r="AL197" s="60"/>
      <c r="AM197" s="60"/>
      <c r="AN197" s="60"/>
    </row>
    <row r="198" spans="1:40" s="373" customFormat="1" ht="20.25" customHeight="1" x14ac:dyDescent="0.25">
      <c r="A198" s="119"/>
      <c r="B198" s="119"/>
      <c r="C198" s="119"/>
      <c r="D198" s="119" t="str">
        <f>LEFT(E199,3)</f>
        <v>323</v>
      </c>
      <c r="E198" s="119"/>
      <c r="F198" s="368" t="s">
        <v>526</v>
      </c>
      <c r="G198" s="369" t="e">
        <f t="shared" ref="G198:X198" si="66">SUM(G199:G207)</f>
        <v>#REF!</v>
      </c>
      <c r="H198" s="370" t="e">
        <f t="shared" si="66"/>
        <v>#REF!</v>
      </c>
      <c r="I198" s="369" t="e">
        <f t="shared" si="66"/>
        <v>#REF!</v>
      </c>
      <c r="J198" s="369" t="e">
        <f t="shared" si="66"/>
        <v>#REF!</v>
      </c>
      <c r="K198" s="369" t="e">
        <f t="shared" si="66"/>
        <v>#REF!</v>
      </c>
      <c r="L198" s="369" t="e">
        <f t="shared" si="66"/>
        <v>#REF!</v>
      </c>
      <c r="M198" s="369" t="e">
        <f t="shared" si="66"/>
        <v>#REF!</v>
      </c>
      <c r="N198" s="369" t="e">
        <f t="shared" si="66"/>
        <v>#REF!</v>
      </c>
      <c r="O198" s="369" t="e">
        <f t="shared" si="66"/>
        <v>#REF!</v>
      </c>
      <c r="P198" s="369" t="e">
        <f t="shared" si="66"/>
        <v>#REF!</v>
      </c>
      <c r="Q198" s="392" t="e">
        <f t="shared" si="66"/>
        <v>#REF!</v>
      </c>
      <c r="R198" s="369" t="e">
        <f t="shared" si="66"/>
        <v>#REF!</v>
      </c>
      <c r="S198" s="369" t="e">
        <f t="shared" si="66"/>
        <v>#REF!</v>
      </c>
      <c r="T198" s="369" t="e">
        <f t="shared" si="66"/>
        <v>#REF!</v>
      </c>
      <c r="U198" s="371" t="e">
        <f t="shared" si="66"/>
        <v>#REF!</v>
      </c>
      <c r="V198" s="371" t="e">
        <f t="shared" si="66"/>
        <v>#REF!</v>
      </c>
      <c r="W198" s="371" t="e">
        <f t="shared" si="66"/>
        <v>#REF!</v>
      </c>
      <c r="X198" s="371" t="e">
        <f t="shared" si="66"/>
        <v>#REF!</v>
      </c>
      <c r="Y198" s="371">
        <f>SUM(Y199:Y207)</f>
        <v>8406695.0099999998</v>
      </c>
      <c r="Z198" s="590" t="e">
        <f t="shared" si="41"/>
        <v>#REF!</v>
      </c>
      <c r="AA198" s="590" t="e">
        <f t="shared" si="42"/>
        <v>#REF!</v>
      </c>
      <c r="AB198" s="371" t="e">
        <f>SUM(AB199:AB207)</f>
        <v>#REF!</v>
      </c>
      <c r="AC198" s="372"/>
      <c r="AD198" s="372"/>
      <c r="AE198" s="372"/>
      <c r="AF198" s="372"/>
      <c r="AG198" s="372"/>
      <c r="AH198" s="372"/>
      <c r="AI198" s="372"/>
      <c r="AJ198" s="372"/>
      <c r="AK198" s="372"/>
      <c r="AL198" s="372"/>
      <c r="AM198" s="372"/>
      <c r="AN198" s="372"/>
    </row>
    <row r="199" spans="1:40" ht="18" customHeight="1" x14ac:dyDescent="0.25">
      <c r="A199" s="80"/>
      <c r="B199" s="80"/>
      <c r="C199" s="80"/>
      <c r="D199" s="80"/>
      <c r="E199" s="80">
        <v>3231</v>
      </c>
      <c r="F199" s="81" t="s">
        <v>206</v>
      </c>
      <c r="G199" s="82" t="e">
        <f>SUMIF(#REF!,'BILANCA PO IZVORIMA'!$E199,#REF!)</f>
        <v>#REF!</v>
      </c>
      <c r="H199" s="82" t="e">
        <f>SUMIF(#REF!,'BILANCA PO IZVORIMA'!$E199,#REF!)</f>
        <v>#REF!</v>
      </c>
      <c r="I199" s="82" t="e">
        <f>SUMIF(#REF!,'BILANCA PO IZVORIMA'!$E199,#REF!)</f>
        <v>#REF!</v>
      </c>
      <c r="J199" s="82" t="e">
        <f>SUMIF(#REF!,'BILANCA PO IZVORIMA'!$E199,#REF!)</f>
        <v>#REF!</v>
      </c>
      <c r="K199" s="82" t="e">
        <f>SUMIF(#REF!,'BILANCA PO IZVORIMA'!$E199,#REF!)</f>
        <v>#REF!</v>
      </c>
      <c r="L199" s="82" t="e">
        <f t="shared" ref="L199:L209" si="67">ROUND(K199/J199*100,2)</f>
        <v>#REF!</v>
      </c>
      <c r="M199" s="82" t="e">
        <f t="shared" ref="M199:M209" si="68">N199-J199</f>
        <v>#REF!</v>
      </c>
      <c r="N199" s="102" t="e">
        <f>SUMIF(#REF!,'BILANCA PO IZVORIMA'!$E199,#REF!)</f>
        <v>#REF!</v>
      </c>
      <c r="O199" s="82" t="e">
        <f>SUMIF(#REF!,'BILANCA PO IZVORIMA'!$E199,#REF!)</f>
        <v>#REF!</v>
      </c>
      <c r="P199" s="82" t="e">
        <f>SUMIF(#REF!,'BILANCA PO IZVORIMA'!$E199,#REF!)</f>
        <v>#REF!</v>
      </c>
      <c r="Q199" s="386" t="e">
        <f>SUMIF(#REF!,'BILANCA PO IZVORIMA'!$E199,#REF!)</f>
        <v>#REF!</v>
      </c>
      <c r="R199" s="82" t="e">
        <f>SUMIF(#REF!,'BILANCA PO IZVORIMA'!$E199,#REF!)</f>
        <v>#REF!</v>
      </c>
      <c r="S199" s="82" t="e">
        <f>SUMIF(#REF!,'BILANCA PO IZVORIMA'!$E199,#REF!)</f>
        <v>#REF!</v>
      </c>
      <c r="T199" s="82" t="e">
        <f>SUMIF(#REF!,'BILANCA PO IZVORIMA'!$E$199,#REF!)</f>
        <v>#REF!</v>
      </c>
      <c r="U199" s="357" t="e">
        <f>SUMIF(#REF!,'BILANCA PO IZVORIMA'!$E199,#REF!)</f>
        <v>#REF!</v>
      </c>
      <c r="V199" s="357" t="e">
        <f>SUMIF(#REF!,'BILANCA PO IZVORIMA'!$E199,#REF!)</f>
        <v>#REF!</v>
      </c>
      <c r="W199" s="357" t="e">
        <f>SUMIF(#REF!,'BILANCA PO IZVORIMA'!$E199,#REF!)</f>
        <v>#REF!</v>
      </c>
      <c r="X199" s="357" t="e">
        <f>SUMIF(#REF!,'BILANCA PO IZVORIMA'!$E199,#REF!)</f>
        <v>#REF!</v>
      </c>
      <c r="Y199" s="357">
        <v>3532203.17</v>
      </c>
      <c r="Z199" s="614" t="e">
        <f t="shared" si="41"/>
        <v>#REF!</v>
      </c>
      <c r="AA199" s="614" t="e">
        <f t="shared" si="42"/>
        <v>#REF!</v>
      </c>
      <c r="AB199" s="357" t="e">
        <f>SUMIF(#REF!,'BILANCA PO IZVORIMA'!$E199,#REF!)</f>
        <v>#REF!</v>
      </c>
      <c r="AF199" s="60"/>
      <c r="AG199" s="60"/>
      <c r="AH199" s="60"/>
      <c r="AI199" s="60"/>
      <c r="AJ199" s="60"/>
      <c r="AK199" s="60"/>
      <c r="AL199" s="60"/>
      <c r="AM199" s="60"/>
      <c r="AN199" s="60"/>
    </row>
    <row r="200" spans="1:40" ht="18" customHeight="1" x14ac:dyDescent="0.25">
      <c r="A200" s="80"/>
      <c r="B200" s="80"/>
      <c r="C200" s="80"/>
      <c r="D200" s="80"/>
      <c r="E200" s="80">
        <v>3232</v>
      </c>
      <c r="F200" s="81" t="s">
        <v>207</v>
      </c>
      <c r="G200" s="82" t="e">
        <f>SUMIF(#REF!,'BILANCA PO IZVORIMA'!$E200,#REF!)</f>
        <v>#REF!</v>
      </c>
      <c r="H200" s="82" t="e">
        <f>SUMIF(#REF!,'BILANCA PO IZVORIMA'!$E200,#REF!)</f>
        <v>#REF!</v>
      </c>
      <c r="I200" s="82" t="e">
        <f>SUMIF(#REF!,'BILANCA PO IZVORIMA'!$E200,#REF!)</f>
        <v>#REF!</v>
      </c>
      <c r="J200" s="82" t="e">
        <f>SUMIF(#REF!,'BILANCA PO IZVORIMA'!$E200,#REF!)</f>
        <v>#REF!</v>
      </c>
      <c r="K200" s="82" t="e">
        <f>SUMIF(#REF!,'BILANCA PO IZVORIMA'!$E200,#REF!)</f>
        <v>#REF!</v>
      </c>
      <c r="L200" s="82" t="e">
        <f t="shared" si="67"/>
        <v>#REF!</v>
      </c>
      <c r="M200" s="82" t="e">
        <f t="shared" si="68"/>
        <v>#REF!</v>
      </c>
      <c r="N200" s="82" t="e">
        <f>SUMIF(#REF!,'BILANCA PO IZVORIMA'!$E200,#REF!)</f>
        <v>#REF!</v>
      </c>
      <c r="O200" s="82" t="e">
        <f>SUMIF(#REF!,'BILANCA PO IZVORIMA'!$E200,#REF!)</f>
        <v>#REF!</v>
      </c>
      <c r="P200" s="82" t="e">
        <f>SUMIF(#REF!,'BILANCA PO IZVORIMA'!$E200,#REF!)</f>
        <v>#REF!</v>
      </c>
      <c r="Q200" s="386" t="e">
        <f>SUMIF(#REF!,'BILANCA PO IZVORIMA'!$E200,#REF!)</f>
        <v>#REF!</v>
      </c>
      <c r="R200" s="82" t="e">
        <f>SUMIF(#REF!,'BILANCA PO IZVORIMA'!$E200,#REF!)</f>
        <v>#REF!</v>
      </c>
      <c r="S200" s="82" t="e">
        <f>SUMIF(#REF!,'BILANCA PO IZVORIMA'!$E200,#REF!)</f>
        <v>#REF!</v>
      </c>
      <c r="T200" s="82" t="e">
        <f>SUMIF(#REF!,'BILANCA PO IZVORIMA'!$E$200,#REF!)</f>
        <v>#REF!</v>
      </c>
      <c r="U200" s="357" t="e">
        <f>SUMIF(#REF!,'BILANCA PO IZVORIMA'!$E200,#REF!)</f>
        <v>#REF!</v>
      </c>
      <c r="V200" s="357" t="e">
        <f>SUMIF(#REF!,'BILANCA PO IZVORIMA'!$E200,#REF!)</f>
        <v>#REF!</v>
      </c>
      <c r="W200" s="357" t="e">
        <f>SUMIF(#REF!,'BILANCA PO IZVORIMA'!$E200,#REF!)</f>
        <v>#REF!</v>
      </c>
      <c r="X200" s="357" t="e">
        <f>SUMIF(#REF!,'BILANCA PO IZVORIMA'!$E200,#REF!)</f>
        <v>#REF!</v>
      </c>
      <c r="Y200" s="357">
        <v>677291.73</v>
      </c>
      <c r="Z200" s="614" t="e">
        <f t="shared" si="41"/>
        <v>#REF!</v>
      </c>
      <c r="AA200" s="614" t="e">
        <f t="shared" si="42"/>
        <v>#REF!</v>
      </c>
      <c r="AB200" s="357" t="e">
        <f>SUMIF(#REF!,'BILANCA PO IZVORIMA'!$E200,#REF!)</f>
        <v>#REF!</v>
      </c>
      <c r="AF200" s="60"/>
      <c r="AG200" s="60"/>
      <c r="AH200" s="60"/>
      <c r="AI200" s="60"/>
      <c r="AJ200" s="60"/>
      <c r="AK200" s="60"/>
      <c r="AL200" s="60"/>
      <c r="AM200" s="60"/>
      <c r="AN200" s="60"/>
    </row>
    <row r="201" spans="1:40" ht="19.5" customHeight="1" x14ac:dyDescent="0.25">
      <c r="A201" s="80"/>
      <c r="B201" s="80"/>
      <c r="C201" s="80"/>
      <c r="D201" s="80"/>
      <c r="E201" s="80">
        <v>3233</v>
      </c>
      <c r="F201" s="81" t="s">
        <v>528</v>
      </c>
      <c r="G201" s="82" t="e">
        <f>SUMIF(#REF!,'BILANCA PO IZVORIMA'!$E201,#REF!)</f>
        <v>#REF!</v>
      </c>
      <c r="H201" s="82" t="e">
        <f>SUMIF(#REF!,'BILANCA PO IZVORIMA'!$E201,#REF!)</f>
        <v>#REF!</v>
      </c>
      <c r="I201" s="82" t="e">
        <f>SUMIF(#REF!,'BILANCA PO IZVORIMA'!$E201,#REF!)</f>
        <v>#REF!</v>
      </c>
      <c r="J201" s="82" t="e">
        <f>SUMIF(#REF!,'BILANCA PO IZVORIMA'!$E201,#REF!)</f>
        <v>#REF!</v>
      </c>
      <c r="K201" s="82" t="e">
        <f>SUMIF(#REF!,'BILANCA PO IZVORIMA'!$E201,#REF!)</f>
        <v>#REF!</v>
      </c>
      <c r="L201" s="82" t="e">
        <f t="shared" si="67"/>
        <v>#REF!</v>
      </c>
      <c r="M201" s="82" t="e">
        <f t="shared" si="68"/>
        <v>#REF!</v>
      </c>
      <c r="N201" s="102" t="e">
        <f>SUMIF(#REF!,'BILANCA PO IZVORIMA'!$E201,#REF!)</f>
        <v>#REF!</v>
      </c>
      <c r="O201" s="82" t="e">
        <f>SUMIF(#REF!,'BILANCA PO IZVORIMA'!$E201,#REF!)</f>
        <v>#REF!</v>
      </c>
      <c r="P201" s="82" t="e">
        <f>SUMIF(#REF!,'BILANCA PO IZVORIMA'!$E201,#REF!)</f>
        <v>#REF!</v>
      </c>
      <c r="Q201" s="386" t="e">
        <f>SUMIF(#REF!,'BILANCA PO IZVORIMA'!$E201,#REF!)</f>
        <v>#REF!</v>
      </c>
      <c r="R201" s="82" t="e">
        <f>SUMIF(#REF!,'BILANCA PO IZVORIMA'!$E201,#REF!)</f>
        <v>#REF!</v>
      </c>
      <c r="S201" s="82" t="e">
        <f>SUMIF(#REF!,'BILANCA PO IZVORIMA'!$E201,#REF!)</f>
        <v>#REF!</v>
      </c>
      <c r="T201" s="82" t="e">
        <f>SUMIF(#REF!,'BILANCA PO IZVORIMA'!$E$201,#REF!)</f>
        <v>#REF!</v>
      </c>
      <c r="U201" s="357" t="e">
        <f>SUMIF(#REF!,'BILANCA PO IZVORIMA'!$E201,#REF!)</f>
        <v>#REF!</v>
      </c>
      <c r="V201" s="357" t="e">
        <f>SUMIF(#REF!,'BILANCA PO IZVORIMA'!$E201,#REF!)</f>
        <v>#REF!</v>
      </c>
      <c r="W201" s="357" t="e">
        <f>SUMIF(#REF!,'BILANCA PO IZVORIMA'!$E201,#REF!)</f>
        <v>#REF!</v>
      </c>
      <c r="X201" s="357" t="e">
        <f>SUMIF(#REF!,'BILANCA PO IZVORIMA'!$E201,#REF!)</f>
        <v>#REF!</v>
      </c>
      <c r="Y201" s="357">
        <v>376976.3</v>
      </c>
      <c r="Z201" s="614" t="e">
        <f t="shared" si="41"/>
        <v>#REF!</v>
      </c>
      <c r="AA201" s="614" t="e">
        <f t="shared" si="42"/>
        <v>#REF!</v>
      </c>
      <c r="AB201" s="357" t="e">
        <f>SUMIF(#REF!,'BILANCA PO IZVORIMA'!$E201,#REF!)</f>
        <v>#REF!</v>
      </c>
      <c r="AF201" s="60"/>
      <c r="AG201" s="60"/>
      <c r="AH201" s="60"/>
      <c r="AI201" s="60"/>
      <c r="AJ201" s="60"/>
      <c r="AK201" s="60"/>
      <c r="AL201" s="60"/>
      <c r="AM201" s="60"/>
      <c r="AN201" s="60"/>
    </row>
    <row r="202" spans="1:40" ht="18.75" customHeight="1" x14ac:dyDescent="0.25">
      <c r="A202" s="80"/>
      <c r="B202" s="80"/>
      <c r="C202" s="80"/>
      <c r="D202" s="80"/>
      <c r="E202" s="80">
        <v>3234</v>
      </c>
      <c r="F202" s="81" t="s">
        <v>238</v>
      </c>
      <c r="G202" s="82" t="e">
        <f>SUMIF(#REF!,'BILANCA PO IZVORIMA'!$E202,#REF!)</f>
        <v>#REF!</v>
      </c>
      <c r="H202" s="82" t="e">
        <f>SUMIF(#REF!,'BILANCA PO IZVORIMA'!$E202,#REF!)</f>
        <v>#REF!</v>
      </c>
      <c r="I202" s="82" t="e">
        <f>SUMIF(#REF!,'BILANCA PO IZVORIMA'!$E202,#REF!)</f>
        <v>#REF!</v>
      </c>
      <c r="J202" s="82" t="e">
        <f>SUMIF(#REF!,'BILANCA PO IZVORIMA'!$E202,#REF!)</f>
        <v>#REF!</v>
      </c>
      <c r="K202" s="82" t="e">
        <f>SUMIF(#REF!,'BILANCA PO IZVORIMA'!$E202,#REF!)</f>
        <v>#REF!</v>
      </c>
      <c r="L202" s="82" t="e">
        <f t="shared" si="67"/>
        <v>#REF!</v>
      </c>
      <c r="M202" s="82" t="e">
        <f t="shared" si="68"/>
        <v>#REF!</v>
      </c>
      <c r="N202" s="102" t="e">
        <f>SUMIF(#REF!,'BILANCA PO IZVORIMA'!$E202,#REF!)</f>
        <v>#REF!</v>
      </c>
      <c r="O202" s="82" t="e">
        <f>SUMIF(#REF!,'BILANCA PO IZVORIMA'!$E202,#REF!)</f>
        <v>#REF!</v>
      </c>
      <c r="P202" s="82" t="e">
        <f>SUMIF(#REF!,'BILANCA PO IZVORIMA'!$E202,#REF!)</f>
        <v>#REF!</v>
      </c>
      <c r="Q202" s="386" t="e">
        <f>SUMIF(#REF!,'BILANCA PO IZVORIMA'!$E202,#REF!)</f>
        <v>#REF!</v>
      </c>
      <c r="R202" s="82" t="e">
        <f>SUMIF(#REF!,'BILANCA PO IZVORIMA'!$E202,#REF!)</f>
        <v>#REF!</v>
      </c>
      <c r="S202" s="82" t="e">
        <f>SUMIF(#REF!,'BILANCA PO IZVORIMA'!$E202,#REF!)</f>
        <v>#REF!</v>
      </c>
      <c r="T202" s="82" t="e">
        <f>SUMIF(#REF!,'BILANCA PO IZVORIMA'!$E$202,#REF!)</f>
        <v>#REF!</v>
      </c>
      <c r="U202" s="357" t="e">
        <f>SUMIF(#REF!,'BILANCA PO IZVORIMA'!$E202,#REF!)</f>
        <v>#REF!</v>
      </c>
      <c r="V202" s="357" t="e">
        <f>SUMIF(#REF!,'BILANCA PO IZVORIMA'!$E202,#REF!)</f>
        <v>#REF!</v>
      </c>
      <c r="W202" s="357" t="e">
        <f>SUMIF(#REF!,'BILANCA PO IZVORIMA'!$E202,#REF!)</f>
        <v>#REF!</v>
      </c>
      <c r="X202" s="357" t="e">
        <f>SUMIF(#REF!,'BILANCA PO IZVORIMA'!$E202,#REF!)</f>
        <v>#REF!</v>
      </c>
      <c r="Y202" s="357">
        <v>808020.89</v>
      </c>
      <c r="Z202" s="614" t="e">
        <f t="shared" si="41"/>
        <v>#REF!</v>
      </c>
      <c r="AA202" s="614" t="e">
        <f t="shared" si="42"/>
        <v>#REF!</v>
      </c>
      <c r="AB202" s="357" t="e">
        <f>SUMIF(#REF!,'BILANCA PO IZVORIMA'!$E202,#REF!)</f>
        <v>#REF!</v>
      </c>
      <c r="AF202" s="60"/>
      <c r="AG202" s="60"/>
      <c r="AH202" s="60"/>
      <c r="AI202" s="60"/>
      <c r="AJ202" s="60"/>
      <c r="AK202" s="60"/>
      <c r="AL202" s="60"/>
      <c r="AM202" s="60"/>
      <c r="AN202" s="60"/>
    </row>
    <row r="203" spans="1:40" ht="21" customHeight="1" x14ac:dyDescent="0.25">
      <c r="A203" s="80"/>
      <c r="B203" s="80"/>
      <c r="C203" s="80"/>
      <c r="D203" s="80"/>
      <c r="E203" s="80">
        <v>3235</v>
      </c>
      <c r="F203" s="81" t="s">
        <v>640</v>
      </c>
      <c r="G203" s="82" t="e">
        <f>SUMIF(#REF!,'BILANCA PO IZVORIMA'!$E203,#REF!)</f>
        <v>#REF!</v>
      </c>
      <c r="H203" s="82" t="e">
        <f>SUMIF(#REF!,'BILANCA PO IZVORIMA'!$E203,#REF!)</f>
        <v>#REF!</v>
      </c>
      <c r="I203" s="82" t="e">
        <f>SUMIF(#REF!,'BILANCA PO IZVORIMA'!$E203,#REF!)</f>
        <v>#REF!</v>
      </c>
      <c r="J203" s="82" t="e">
        <f>SUMIF(#REF!,'BILANCA PO IZVORIMA'!$E203,#REF!)</f>
        <v>#REF!</v>
      </c>
      <c r="K203" s="82" t="e">
        <f>SUMIF(#REF!,'BILANCA PO IZVORIMA'!$E203,#REF!)</f>
        <v>#REF!</v>
      </c>
      <c r="L203" s="82" t="e">
        <f t="shared" si="67"/>
        <v>#REF!</v>
      </c>
      <c r="M203" s="82" t="e">
        <f t="shared" si="68"/>
        <v>#REF!</v>
      </c>
      <c r="N203" s="102" t="e">
        <f>SUMIF(#REF!,'BILANCA PO IZVORIMA'!$E203,#REF!)</f>
        <v>#REF!</v>
      </c>
      <c r="O203" s="82" t="e">
        <f>SUMIF(#REF!,'BILANCA PO IZVORIMA'!$E203,#REF!)</f>
        <v>#REF!</v>
      </c>
      <c r="P203" s="82" t="e">
        <f>SUMIF(#REF!,'BILANCA PO IZVORIMA'!$E203,#REF!)</f>
        <v>#REF!</v>
      </c>
      <c r="Q203" s="386" t="e">
        <f>SUMIF(#REF!,'BILANCA PO IZVORIMA'!$E203,#REF!)</f>
        <v>#REF!</v>
      </c>
      <c r="R203" s="82" t="e">
        <f>SUMIF(#REF!,'BILANCA PO IZVORIMA'!$E203,#REF!)</f>
        <v>#REF!</v>
      </c>
      <c r="S203" s="82" t="e">
        <f>SUMIF(#REF!,'BILANCA PO IZVORIMA'!$E203,#REF!)</f>
        <v>#REF!</v>
      </c>
      <c r="T203" s="82" t="e">
        <f>SUMIF(#REF!,'BILANCA PO IZVORIMA'!$E$203,#REF!)</f>
        <v>#REF!</v>
      </c>
      <c r="U203" s="357" t="e">
        <f>SUMIF(#REF!,'BILANCA PO IZVORIMA'!$E203,#REF!)</f>
        <v>#REF!</v>
      </c>
      <c r="V203" s="357" t="e">
        <f>SUMIF(#REF!,'BILANCA PO IZVORIMA'!$E203,#REF!)</f>
        <v>#REF!</v>
      </c>
      <c r="W203" s="357" t="e">
        <f>SUMIF(#REF!,'BILANCA PO IZVORIMA'!$E203,#REF!)</f>
        <v>#REF!</v>
      </c>
      <c r="X203" s="357" t="e">
        <f>SUMIF(#REF!,'BILANCA PO IZVORIMA'!$E203,#REF!)</f>
        <v>#REF!</v>
      </c>
      <c r="Y203" s="357">
        <v>1959692.92</v>
      </c>
      <c r="Z203" s="614" t="e">
        <f t="shared" si="41"/>
        <v>#REF!</v>
      </c>
      <c r="AA203" s="614" t="e">
        <f t="shared" si="42"/>
        <v>#REF!</v>
      </c>
      <c r="AB203" s="357" t="e">
        <f>SUMIF(#REF!,'BILANCA PO IZVORIMA'!$E203,#REF!)</f>
        <v>#REF!</v>
      </c>
      <c r="AF203" s="60"/>
      <c r="AG203" s="60"/>
      <c r="AH203" s="60"/>
      <c r="AI203" s="60"/>
      <c r="AJ203" s="60"/>
      <c r="AK203" s="60"/>
      <c r="AL203" s="60"/>
      <c r="AM203" s="60"/>
      <c r="AN203" s="60"/>
    </row>
    <row r="204" spans="1:40" ht="20.25" customHeight="1" x14ac:dyDescent="0.25">
      <c r="A204" s="80"/>
      <c r="B204" s="80"/>
      <c r="C204" s="80"/>
      <c r="D204" s="80"/>
      <c r="E204" s="80">
        <v>3236</v>
      </c>
      <c r="F204" s="81" t="s">
        <v>843</v>
      </c>
      <c r="G204" s="82" t="e">
        <f>SUMIF(#REF!,'BILANCA PO IZVORIMA'!$E204,#REF!)</f>
        <v>#REF!</v>
      </c>
      <c r="H204" s="82" t="e">
        <f>SUMIF(#REF!,'BILANCA PO IZVORIMA'!$E204,#REF!)</f>
        <v>#REF!</v>
      </c>
      <c r="I204" s="82" t="e">
        <f>SUMIF(#REF!,'BILANCA PO IZVORIMA'!$E204,#REF!)</f>
        <v>#REF!</v>
      </c>
      <c r="J204" s="82" t="e">
        <f>SUMIF(#REF!,'BILANCA PO IZVORIMA'!$E204,#REF!)</f>
        <v>#REF!</v>
      </c>
      <c r="K204" s="82" t="e">
        <f>SUMIF(#REF!,'BILANCA PO IZVORIMA'!$E204,#REF!)</f>
        <v>#REF!</v>
      </c>
      <c r="L204" s="82" t="e">
        <f t="shared" si="67"/>
        <v>#REF!</v>
      </c>
      <c r="M204" s="82" t="e">
        <f t="shared" si="68"/>
        <v>#REF!</v>
      </c>
      <c r="N204" s="102" t="e">
        <f>SUMIF(#REF!,'BILANCA PO IZVORIMA'!$E204,#REF!)</f>
        <v>#REF!</v>
      </c>
      <c r="O204" s="82" t="e">
        <f>SUMIF(#REF!,'BILANCA PO IZVORIMA'!$E204,#REF!)</f>
        <v>#REF!</v>
      </c>
      <c r="P204" s="82" t="e">
        <f>SUMIF(#REF!,'BILANCA PO IZVORIMA'!$E204,#REF!)</f>
        <v>#REF!</v>
      </c>
      <c r="Q204" s="386" t="e">
        <f>SUMIF(#REF!,'BILANCA PO IZVORIMA'!$E204,#REF!)</f>
        <v>#REF!</v>
      </c>
      <c r="R204" s="82" t="e">
        <f>SUMIF(#REF!,'BILANCA PO IZVORIMA'!$E204,#REF!)</f>
        <v>#REF!</v>
      </c>
      <c r="S204" s="82" t="e">
        <f>SUMIF(#REF!,'BILANCA PO IZVORIMA'!$E204,#REF!)</f>
        <v>#REF!</v>
      </c>
      <c r="T204" s="82" t="e">
        <f>SUMIF(#REF!,'BILANCA PO IZVORIMA'!$E$204,#REF!)</f>
        <v>#REF!</v>
      </c>
      <c r="U204" s="357" t="e">
        <f>SUMIF(#REF!,'BILANCA PO IZVORIMA'!$E204,#REF!)</f>
        <v>#REF!</v>
      </c>
      <c r="V204" s="357" t="e">
        <f>SUMIF(#REF!,'BILANCA PO IZVORIMA'!$E204,#REF!)</f>
        <v>#REF!</v>
      </c>
      <c r="W204" s="357" t="e">
        <f>SUMIF(#REF!,'BILANCA PO IZVORIMA'!$E204,#REF!)</f>
        <v>#REF!</v>
      </c>
      <c r="X204" s="357" t="e">
        <f>SUMIF(#REF!,'BILANCA PO IZVORIMA'!$E204,#REF!)</f>
        <v>#REF!</v>
      </c>
      <c r="Y204" s="357">
        <v>230388.34</v>
      </c>
      <c r="Z204" s="614" t="e">
        <f t="shared" si="41"/>
        <v>#REF!</v>
      </c>
      <c r="AA204" s="614" t="e">
        <f t="shared" si="42"/>
        <v>#REF!</v>
      </c>
      <c r="AB204" s="357" t="e">
        <f>SUMIF(#REF!,'BILANCA PO IZVORIMA'!$E204,#REF!)</f>
        <v>#REF!</v>
      </c>
      <c r="AF204" s="60"/>
      <c r="AG204" s="60"/>
      <c r="AH204" s="60"/>
      <c r="AI204" s="60"/>
      <c r="AJ204" s="60"/>
      <c r="AK204" s="60"/>
      <c r="AL204" s="60"/>
      <c r="AM204" s="60"/>
      <c r="AN204" s="60"/>
    </row>
    <row r="205" spans="1:40" ht="20.25" customHeight="1" x14ac:dyDescent="0.25">
      <c r="A205" s="80"/>
      <c r="B205" s="80"/>
      <c r="C205" s="80"/>
      <c r="D205" s="80"/>
      <c r="E205" s="80">
        <v>3237</v>
      </c>
      <c r="F205" s="81" t="s">
        <v>566</v>
      </c>
      <c r="G205" s="82" t="e">
        <f>SUMIF(#REF!,'BILANCA PO IZVORIMA'!$E205,#REF!)</f>
        <v>#REF!</v>
      </c>
      <c r="H205" s="82" t="e">
        <f>SUMIF(#REF!,'BILANCA PO IZVORIMA'!$E205,#REF!)</f>
        <v>#REF!</v>
      </c>
      <c r="I205" s="82" t="e">
        <f>SUMIF(#REF!,'BILANCA PO IZVORIMA'!$E205,#REF!)</f>
        <v>#REF!</v>
      </c>
      <c r="J205" s="82" t="e">
        <f>SUMIF(#REF!,'BILANCA PO IZVORIMA'!$E205,#REF!)</f>
        <v>#REF!</v>
      </c>
      <c r="K205" s="82" t="e">
        <f>SUMIF(#REF!,'BILANCA PO IZVORIMA'!$E205,#REF!)</f>
        <v>#REF!</v>
      </c>
      <c r="L205" s="82" t="e">
        <f t="shared" si="67"/>
        <v>#REF!</v>
      </c>
      <c r="M205" s="82" t="e">
        <f t="shared" si="68"/>
        <v>#REF!</v>
      </c>
      <c r="N205" s="102" t="e">
        <f>SUMIF(#REF!,'BILANCA PO IZVORIMA'!$E205,#REF!)</f>
        <v>#REF!</v>
      </c>
      <c r="O205" s="82" t="e">
        <f>SUMIF(#REF!,'BILANCA PO IZVORIMA'!$E205,#REF!)</f>
        <v>#REF!</v>
      </c>
      <c r="P205" s="82" t="e">
        <f>SUMIF(#REF!,'BILANCA PO IZVORIMA'!$E205,#REF!)</f>
        <v>#REF!</v>
      </c>
      <c r="Q205" s="386" t="e">
        <f>SUMIF(#REF!,'BILANCA PO IZVORIMA'!$E205,#REF!)</f>
        <v>#REF!</v>
      </c>
      <c r="R205" s="82" t="e">
        <f>SUMIF(#REF!,'BILANCA PO IZVORIMA'!$E205,#REF!)</f>
        <v>#REF!</v>
      </c>
      <c r="S205" s="82" t="e">
        <f>SUMIF(#REF!,'BILANCA PO IZVORIMA'!$E205,#REF!)</f>
        <v>#REF!</v>
      </c>
      <c r="T205" s="82" t="e">
        <f>SUMIF(#REF!,'BILANCA PO IZVORIMA'!$E$205,#REF!)</f>
        <v>#REF!</v>
      </c>
      <c r="U205" s="357" t="e">
        <f>SUMIF(#REF!,'BILANCA PO IZVORIMA'!$E205,#REF!)</f>
        <v>#REF!</v>
      </c>
      <c r="V205" s="357" t="e">
        <f>SUMIF(#REF!,'BILANCA PO IZVORIMA'!$E205,#REF!)</f>
        <v>#REF!</v>
      </c>
      <c r="W205" s="357" t="e">
        <f>SUMIF(#REF!,'BILANCA PO IZVORIMA'!$E205,#REF!)</f>
        <v>#REF!</v>
      </c>
      <c r="X205" s="357" t="e">
        <f>SUMIF(#REF!,'BILANCA PO IZVORIMA'!$E205,#REF!)</f>
        <v>#REF!</v>
      </c>
      <c r="Y205" s="357">
        <v>204956.21</v>
      </c>
      <c r="Z205" s="614" t="e">
        <f t="shared" si="41"/>
        <v>#REF!</v>
      </c>
      <c r="AA205" s="614" t="e">
        <f t="shared" si="42"/>
        <v>#REF!</v>
      </c>
      <c r="AB205" s="357" t="e">
        <f>SUMIF(#REF!,'BILANCA PO IZVORIMA'!$E205,#REF!)</f>
        <v>#REF!</v>
      </c>
      <c r="AF205" s="60"/>
      <c r="AG205" s="60"/>
      <c r="AH205" s="60"/>
      <c r="AI205" s="60"/>
      <c r="AJ205" s="60"/>
      <c r="AK205" s="60"/>
      <c r="AL205" s="60"/>
      <c r="AM205" s="60"/>
      <c r="AN205" s="60"/>
    </row>
    <row r="206" spans="1:40" ht="16.5" customHeight="1" x14ac:dyDescent="0.25">
      <c r="A206" s="80"/>
      <c r="B206" s="80"/>
      <c r="C206" s="80"/>
      <c r="D206" s="80"/>
      <c r="E206" s="80">
        <v>3238</v>
      </c>
      <c r="F206" s="81" t="s">
        <v>398</v>
      </c>
      <c r="G206" s="82" t="e">
        <f>SUMIF(#REF!,'BILANCA PO IZVORIMA'!$E206,#REF!)</f>
        <v>#REF!</v>
      </c>
      <c r="H206" s="82" t="e">
        <f>SUMIF(#REF!,'BILANCA PO IZVORIMA'!$E206,#REF!)</f>
        <v>#REF!</v>
      </c>
      <c r="I206" s="82" t="e">
        <f>SUMIF(#REF!,'BILANCA PO IZVORIMA'!$E206,#REF!)</f>
        <v>#REF!</v>
      </c>
      <c r="J206" s="82" t="e">
        <f>SUMIF(#REF!,'BILANCA PO IZVORIMA'!$E206,#REF!)</f>
        <v>#REF!</v>
      </c>
      <c r="K206" s="82" t="e">
        <f>SUMIF(#REF!,'BILANCA PO IZVORIMA'!$E206,#REF!)</f>
        <v>#REF!</v>
      </c>
      <c r="L206" s="82" t="e">
        <f t="shared" si="67"/>
        <v>#REF!</v>
      </c>
      <c r="M206" s="82" t="e">
        <f t="shared" si="68"/>
        <v>#REF!</v>
      </c>
      <c r="N206" s="82" t="e">
        <f>SUMIF(#REF!,'BILANCA PO IZVORIMA'!$E206,#REF!)</f>
        <v>#REF!</v>
      </c>
      <c r="O206" s="82" t="e">
        <f>SUMIF(#REF!,'BILANCA PO IZVORIMA'!$E206,#REF!)</f>
        <v>#REF!</v>
      </c>
      <c r="P206" s="82" t="e">
        <f>SUMIF(#REF!,'BILANCA PO IZVORIMA'!$E206,#REF!)</f>
        <v>#REF!</v>
      </c>
      <c r="Q206" s="386" t="e">
        <f>SUMIF(#REF!,'BILANCA PO IZVORIMA'!$E206,#REF!)</f>
        <v>#REF!</v>
      </c>
      <c r="R206" s="82" t="e">
        <f>SUMIF(#REF!,'BILANCA PO IZVORIMA'!$E206,#REF!)</f>
        <v>#REF!</v>
      </c>
      <c r="S206" s="82" t="e">
        <f>SUMIF(#REF!,'BILANCA PO IZVORIMA'!$E206,#REF!)</f>
        <v>#REF!</v>
      </c>
      <c r="T206" s="82" t="e">
        <f>SUMIF(#REF!,'BILANCA PO IZVORIMA'!$E$206,#REF!)</f>
        <v>#REF!</v>
      </c>
      <c r="U206" s="357" t="e">
        <f>SUMIF(#REF!,'BILANCA PO IZVORIMA'!$E206,#REF!)</f>
        <v>#REF!</v>
      </c>
      <c r="V206" s="357" t="e">
        <f>SUMIF(#REF!,'BILANCA PO IZVORIMA'!$E206,#REF!)</f>
        <v>#REF!</v>
      </c>
      <c r="W206" s="357" t="e">
        <f>SUMIF(#REF!,'BILANCA PO IZVORIMA'!$E206,#REF!)</f>
        <v>#REF!</v>
      </c>
      <c r="X206" s="357" t="e">
        <f>SUMIF(#REF!,'BILANCA PO IZVORIMA'!$E206,#REF!)</f>
        <v>#REF!</v>
      </c>
      <c r="Y206" s="357">
        <v>130721.76</v>
      </c>
      <c r="Z206" s="614" t="e">
        <f t="shared" si="41"/>
        <v>#REF!</v>
      </c>
      <c r="AA206" s="614" t="e">
        <f t="shared" si="42"/>
        <v>#REF!</v>
      </c>
      <c r="AB206" s="357" t="e">
        <f>SUMIF(#REF!,'BILANCA PO IZVORIMA'!$E206,#REF!)</f>
        <v>#REF!</v>
      </c>
      <c r="AF206" s="60"/>
      <c r="AG206" s="60"/>
      <c r="AH206" s="60"/>
      <c r="AI206" s="60"/>
      <c r="AJ206" s="60"/>
      <c r="AK206" s="60"/>
      <c r="AL206" s="60"/>
      <c r="AM206" s="60"/>
      <c r="AN206" s="60"/>
    </row>
    <row r="207" spans="1:40" ht="18" customHeight="1" x14ac:dyDescent="0.25">
      <c r="A207" s="80"/>
      <c r="B207" s="80"/>
      <c r="C207" s="80"/>
      <c r="D207" s="80"/>
      <c r="E207" s="80">
        <v>3239</v>
      </c>
      <c r="F207" s="81" t="s">
        <v>1017</v>
      </c>
      <c r="G207" s="82" t="e">
        <f>SUMIF(#REF!,'BILANCA PO IZVORIMA'!$E207,#REF!)</f>
        <v>#REF!</v>
      </c>
      <c r="H207" s="82" t="e">
        <f>SUMIF(#REF!,'BILANCA PO IZVORIMA'!$E207,#REF!)</f>
        <v>#REF!</v>
      </c>
      <c r="I207" s="82" t="e">
        <f>SUMIF(#REF!,'BILANCA PO IZVORIMA'!$E207,#REF!)</f>
        <v>#REF!</v>
      </c>
      <c r="J207" s="82" t="e">
        <f>SUMIF(#REF!,'BILANCA PO IZVORIMA'!$E207,#REF!)</f>
        <v>#REF!</v>
      </c>
      <c r="K207" s="82" t="e">
        <f>SUMIF(#REF!,'BILANCA PO IZVORIMA'!$E207,#REF!)</f>
        <v>#REF!</v>
      </c>
      <c r="L207" s="82" t="e">
        <f t="shared" si="67"/>
        <v>#REF!</v>
      </c>
      <c r="M207" s="82" t="e">
        <f t="shared" si="68"/>
        <v>#REF!</v>
      </c>
      <c r="N207" s="82" t="e">
        <f>SUMIF(#REF!,'BILANCA PO IZVORIMA'!$E207,#REF!)</f>
        <v>#REF!</v>
      </c>
      <c r="O207" s="82" t="e">
        <f>SUMIF(#REF!,'BILANCA PO IZVORIMA'!$E207,#REF!)</f>
        <v>#REF!</v>
      </c>
      <c r="P207" s="82" t="e">
        <f>SUMIF(#REF!,'BILANCA PO IZVORIMA'!$E207,#REF!)</f>
        <v>#REF!</v>
      </c>
      <c r="Q207" s="386" t="e">
        <f>SUMIF(#REF!,'BILANCA PO IZVORIMA'!$E207,#REF!)</f>
        <v>#REF!</v>
      </c>
      <c r="R207" s="82" t="e">
        <f>SUMIF(#REF!,'BILANCA PO IZVORIMA'!$E207,#REF!)</f>
        <v>#REF!</v>
      </c>
      <c r="S207" s="82" t="e">
        <f>SUMIF(#REF!,'BILANCA PO IZVORIMA'!$E207,#REF!)</f>
        <v>#REF!</v>
      </c>
      <c r="T207" s="82" t="e">
        <f>SUMIF(#REF!,'BILANCA PO IZVORIMA'!$E$207,#REF!)</f>
        <v>#REF!</v>
      </c>
      <c r="U207" s="357" t="e">
        <f>SUMIF(#REF!,'BILANCA PO IZVORIMA'!$E207,#REF!)</f>
        <v>#REF!</v>
      </c>
      <c r="V207" s="357" t="e">
        <f>SUMIF(#REF!,'BILANCA PO IZVORIMA'!$E207,#REF!)</f>
        <v>#REF!</v>
      </c>
      <c r="W207" s="357" t="e">
        <f>SUMIF(#REF!,'BILANCA PO IZVORIMA'!$E207,#REF!)</f>
        <v>#REF!</v>
      </c>
      <c r="X207" s="357" t="e">
        <f>SUMIF(#REF!,'BILANCA PO IZVORIMA'!$E207,#REF!)</f>
        <v>#REF!</v>
      </c>
      <c r="Y207" s="60">
        <v>486443.69</v>
      </c>
      <c r="Z207" s="614" t="e">
        <f t="shared" si="41"/>
        <v>#REF!</v>
      </c>
      <c r="AA207" s="614" t="e">
        <f t="shared" si="42"/>
        <v>#REF!</v>
      </c>
      <c r="AB207" s="357" t="e">
        <f>SUMIF(#REF!,'BILANCA PO IZVORIMA'!$E207,#REF!)</f>
        <v>#REF!</v>
      </c>
      <c r="AF207" s="60"/>
      <c r="AG207" s="60"/>
      <c r="AH207" s="60"/>
      <c r="AI207" s="60"/>
      <c r="AJ207" s="60"/>
      <c r="AK207" s="60"/>
      <c r="AL207" s="60"/>
      <c r="AM207" s="60"/>
      <c r="AN207" s="60"/>
    </row>
    <row r="208" spans="1:40" s="376" customFormat="1" ht="18.75" customHeight="1" x14ac:dyDescent="0.25">
      <c r="A208" s="119"/>
      <c r="B208" s="119"/>
      <c r="C208" s="119"/>
      <c r="D208" s="119">
        <v>324</v>
      </c>
      <c r="E208" s="119"/>
      <c r="F208" s="368" t="s">
        <v>530</v>
      </c>
      <c r="G208" s="137" t="e">
        <f>G209</f>
        <v>#REF!</v>
      </c>
      <c r="H208" s="137" t="e">
        <f>H209</f>
        <v>#REF!</v>
      </c>
      <c r="I208" s="137" t="e">
        <f>I209</f>
        <v>#REF!</v>
      </c>
      <c r="J208" s="137" t="e">
        <f>J209</f>
        <v>#REF!</v>
      </c>
      <c r="K208" s="137" t="e">
        <f>K209</f>
        <v>#REF!</v>
      </c>
      <c r="L208" s="137" t="e">
        <f t="shared" si="67"/>
        <v>#REF!</v>
      </c>
      <c r="M208" s="137" t="e">
        <f t="shared" si="68"/>
        <v>#REF!</v>
      </c>
      <c r="N208" s="137" t="e">
        <f t="shared" ref="N208:X208" si="69">N209</f>
        <v>#REF!</v>
      </c>
      <c r="O208" s="137" t="e">
        <f t="shared" si="69"/>
        <v>#REF!</v>
      </c>
      <c r="P208" s="137" t="e">
        <f t="shared" si="69"/>
        <v>#REF!</v>
      </c>
      <c r="Q208" s="393" t="e">
        <f t="shared" si="69"/>
        <v>#REF!</v>
      </c>
      <c r="R208" s="137" t="e">
        <f t="shared" si="69"/>
        <v>#REF!</v>
      </c>
      <c r="S208" s="137" t="e">
        <f t="shared" si="69"/>
        <v>#REF!</v>
      </c>
      <c r="T208" s="137" t="e">
        <f t="shared" si="69"/>
        <v>#REF!</v>
      </c>
      <c r="U208" s="371" t="e">
        <f t="shared" si="69"/>
        <v>#REF!</v>
      </c>
      <c r="V208" s="371" t="e">
        <f t="shared" si="69"/>
        <v>#REF!</v>
      </c>
      <c r="W208" s="371" t="e">
        <f t="shared" si="69"/>
        <v>#REF!</v>
      </c>
      <c r="X208" s="371" t="e">
        <f t="shared" si="69"/>
        <v>#REF!</v>
      </c>
      <c r="Y208" s="371">
        <f>Y209</f>
        <v>141128.70000000001</v>
      </c>
      <c r="Z208" s="590" t="e">
        <f t="shared" si="41"/>
        <v>#REF!</v>
      </c>
      <c r="AA208" s="590" t="e">
        <f t="shared" si="42"/>
        <v>#REF!</v>
      </c>
      <c r="AB208" s="371" t="e">
        <f>AB209</f>
        <v>#REF!</v>
      </c>
      <c r="AC208" s="372"/>
      <c r="AD208" s="372"/>
      <c r="AE208" s="372"/>
      <c r="AF208" s="375"/>
      <c r="AG208" s="375"/>
      <c r="AH208" s="375"/>
      <c r="AI208" s="375"/>
      <c r="AJ208" s="375"/>
      <c r="AK208" s="375"/>
      <c r="AL208" s="375"/>
      <c r="AM208" s="375"/>
      <c r="AN208" s="375"/>
    </row>
    <row r="209" spans="1:40" ht="16.5" customHeight="1" x14ac:dyDescent="0.25">
      <c r="A209" s="133"/>
      <c r="B209" s="133"/>
      <c r="C209" s="133"/>
      <c r="D209" s="133"/>
      <c r="E209" s="133">
        <v>3241</v>
      </c>
      <c r="F209" s="134" t="s">
        <v>530</v>
      </c>
      <c r="G209" s="82" t="e">
        <f>SUMIF(#REF!,'BILANCA PO IZVORIMA'!$E209,#REF!)</f>
        <v>#REF!</v>
      </c>
      <c r="H209" s="82" t="e">
        <f>SUMIF(#REF!,'BILANCA PO IZVORIMA'!$E209,#REF!)</f>
        <v>#REF!</v>
      </c>
      <c r="I209" s="82" t="e">
        <f>SUMIF(#REF!,'BILANCA PO IZVORIMA'!$E209,#REF!)</f>
        <v>#REF!</v>
      </c>
      <c r="J209" s="82" t="e">
        <f>SUMIF(#REF!,'BILANCA PO IZVORIMA'!$E209,#REF!)</f>
        <v>#REF!</v>
      </c>
      <c r="K209" s="82" t="e">
        <f>SUMIF(#REF!,'BILANCA PO IZVORIMA'!$E209,#REF!)</f>
        <v>#REF!</v>
      </c>
      <c r="L209" s="82" t="e">
        <f t="shared" si="67"/>
        <v>#REF!</v>
      </c>
      <c r="M209" s="82" t="e">
        <f t="shared" si="68"/>
        <v>#REF!</v>
      </c>
      <c r="N209" s="82" t="e">
        <f>SUMIF(#REF!,'BILANCA PO IZVORIMA'!$E209,#REF!)</f>
        <v>#REF!</v>
      </c>
      <c r="O209" s="82" t="e">
        <f>SUMIF(#REF!,'BILANCA PO IZVORIMA'!$E209,#REF!)</f>
        <v>#REF!</v>
      </c>
      <c r="P209" s="82" t="e">
        <f>SUMIF(#REF!,'BILANCA PO IZVORIMA'!$E209,#REF!)</f>
        <v>#REF!</v>
      </c>
      <c r="Q209" s="386" t="e">
        <f>SUMIF(#REF!,'BILANCA PO IZVORIMA'!$E209,#REF!)</f>
        <v>#REF!</v>
      </c>
      <c r="R209" s="82" t="e">
        <f>SUMIF(#REF!,'BILANCA PO IZVORIMA'!$E209,#REF!)</f>
        <v>#REF!</v>
      </c>
      <c r="S209" s="82" t="e">
        <f>SUMIF(#REF!,'BILANCA PO IZVORIMA'!$E209,#REF!)</f>
        <v>#REF!</v>
      </c>
      <c r="T209" s="82" t="e">
        <f>SUMIF(#REF!,'BILANCA PO IZVORIMA'!$E$209,#REF!)</f>
        <v>#REF!</v>
      </c>
      <c r="U209" s="357" t="e">
        <f>SUMIF(#REF!,'BILANCA PO IZVORIMA'!$E209,#REF!)</f>
        <v>#REF!</v>
      </c>
      <c r="V209" s="357" t="e">
        <f>SUMIF(#REF!,'BILANCA PO IZVORIMA'!$E209,#REF!)</f>
        <v>#REF!</v>
      </c>
      <c r="W209" s="357" t="e">
        <f>SUMIF(#REF!,'BILANCA PO IZVORIMA'!$E209,#REF!)</f>
        <v>#REF!</v>
      </c>
      <c r="X209" s="357" t="e">
        <f>SUMIF(#REF!,'BILANCA PO IZVORIMA'!$E209,#REF!)</f>
        <v>#REF!</v>
      </c>
      <c r="Y209" s="357">
        <v>141128.70000000001</v>
      </c>
      <c r="Z209" s="614" t="e">
        <f t="shared" si="41"/>
        <v>#REF!</v>
      </c>
      <c r="AA209" s="614" t="e">
        <f t="shared" si="42"/>
        <v>#REF!</v>
      </c>
      <c r="AB209" s="357" t="e">
        <f>SUMIF(#REF!,'BILANCA PO IZVORIMA'!$E209,#REF!)</f>
        <v>#REF!</v>
      </c>
      <c r="AF209" s="300"/>
      <c r="AG209" s="300"/>
      <c r="AH209" s="300"/>
      <c r="AI209" s="300"/>
      <c r="AJ209" s="300"/>
      <c r="AK209" s="300"/>
      <c r="AL209" s="300"/>
      <c r="AM209" s="60"/>
      <c r="AN209" s="60"/>
    </row>
    <row r="210" spans="1:40" s="376" customFormat="1" ht="16.5" customHeight="1" x14ac:dyDescent="0.25">
      <c r="A210" s="119"/>
      <c r="B210" s="119"/>
      <c r="C210" s="119"/>
      <c r="D210" s="119" t="str">
        <f>LEFT(E211,3)</f>
        <v>329</v>
      </c>
      <c r="E210" s="119"/>
      <c r="F210" s="368" t="s">
        <v>531</v>
      </c>
      <c r="G210" s="369" t="e">
        <f t="shared" ref="G210:X210" si="70">SUM(G211:G216)</f>
        <v>#REF!</v>
      </c>
      <c r="H210" s="370" t="e">
        <f t="shared" si="70"/>
        <v>#REF!</v>
      </c>
      <c r="I210" s="369" t="e">
        <f t="shared" si="70"/>
        <v>#REF!</v>
      </c>
      <c r="J210" s="369" t="e">
        <f t="shared" si="70"/>
        <v>#REF!</v>
      </c>
      <c r="K210" s="369" t="e">
        <f t="shared" si="70"/>
        <v>#REF!</v>
      </c>
      <c r="L210" s="369" t="e">
        <f t="shared" si="70"/>
        <v>#REF!</v>
      </c>
      <c r="M210" s="369" t="e">
        <f t="shared" si="70"/>
        <v>#REF!</v>
      </c>
      <c r="N210" s="369" t="e">
        <f t="shared" si="70"/>
        <v>#REF!</v>
      </c>
      <c r="O210" s="369" t="e">
        <f t="shared" si="70"/>
        <v>#REF!</v>
      </c>
      <c r="P210" s="369" t="e">
        <f t="shared" si="70"/>
        <v>#REF!</v>
      </c>
      <c r="Q210" s="392" t="e">
        <f t="shared" si="70"/>
        <v>#REF!</v>
      </c>
      <c r="R210" s="369" t="e">
        <f t="shared" si="70"/>
        <v>#REF!</v>
      </c>
      <c r="S210" s="369" t="e">
        <f t="shared" si="70"/>
        <v>#REF!</v>
      </c>
      <c r="T210" s="369" t="e">
        <f t="shared" si="70"/>
        <v>#REF!</v>
      </c>
      <c r="U210" s="371" t="e">
        <f t="shared" si="70"/>
        <v>#REF!</v>
      </c>
      <c r="V210" s="371" t="e">
        <f t="shared" si="70"/>
        <v>#REF!</v>
      </c>
      <c r="W210" s="371" t="e">
        <f t="shared" si="70"/>
        <v>#REF!</v>
      </c>
      <c r="X210" s="371" t="e">
        <f t="shared" si="70"/>
        <v>#REF!</v>
      </c>
      <c r="Y210" s="371">
        <f>SUM(Y211:Y216)</f>
        <v>1717856.8299999998</v>
      </c>
      <c r="Z210" s="590" t="e">
        <f t="shared" si="41"/>
        <v>#REF!</v>
      </c>
      <c r="AA210" s="590" t="e">
        <f t="shared" si="42"/>
        <v>#REF!</v>
      </c>
      <c r="AB210" s="371" t="e">
        <f>SUM(AB211:AB216)</f>
        <v>#REF!</v>
      </c>
      <c r="AC210" s="372"/>
      <c r="AD210" s="372"/>
      <c r="AE210" s="372"/>
      <c r="AF210" s="377"/>
      <c r="AG210" s="377"/>
      <c r="AH210" s="377"/>
      <c r="AI210" s="377"/>
      <c r="AJ210" s="377"/>
      <c r="AK210" s="377"/>
      <c r="AL210" s="377"/>
      <c r="AM210" s="375"/>
      <c r="AN210" s="375"/>
    </row>
    <row r="211" spans="1:40" ht="16.5" customHeight="1" x14ac:dyDescent="0.25">
      <c r="A211" s="133"/>
      <c r="B211" s="133"/>
      <c r="C211" s="133"/>
      <c r="D211" s="133"/>
      <c r="E211" s="133">
        <v>3291</v>
      </c>
      <c r="F211" s="134" t="s">
        <v>532</v>
      </c>
      <c r="G211" s="82" t="e">
        <f>SUMIF(#REF!,'BILANCA PO IZVORIMA'!$E211,#REF!)</f>
        <v>#REF!</v>
      </c>
      <c r="H211" s="82" t="e">
        <f>SUMIF(#REF!,'BILANCA PO IZVORIMA'!$E211,#REF!)</f>
        <v>#REF!</v>
      </c>
      <c r="I211" s="82" t="e">
        <f>SUMIF(#REF!,'BILANCA PO IZVORIMA'!$E211,#REF!)</f>
        <v>#REF!</v>
      </c>
      <c r="J211" s="82" t="e">
        <f>SUMIF(#REF!,'BILANCA PO IZVORIMA'!$E211,#REF!)</f>
        <v>#REF!</v>
      </c>
      <c r="K211" s="82" t="e">
        <f>SUMIF(#REF!,'BILANCA PO IZVORIMA'!$E211,#REF!)</f>
        <v>#REF!</v>
      </c>
      <c r="L211" s="82" t="e">
        <f t="shared" ref="L211:L219" si="71">ROUND(K211/J211*100,2)</f>
        <v>#REF!</v>
      </c>
      <c r="M211" s="82" t="e">
        <f t="shared" ref="M211:M219" si="72">N211-J211</f>
        <v>#REF!</v>
      </c>
      <c r="N211" s="82" t="e">
        <f>SUMIF(#REF!,'BILANCA PO IZVORIMA'!$E211,#REF!)</f>
        <v>#REF!</v>
      </c>
      <c r="O211" s="82" t="e">
        <f>SUMIF(#REF!,'BILANCA PO IZVORIMA'!$E211,#REF!)</f>
        <v>#REF!</v>
      </c>
      <c r="P211" s="82" t="e">
        <f>SUMIF(#REF!,'BILANCA PO IZVORIMA'!$E211,#REF!)</f>
        <v>#REF!</v>
      </c>
      <c r="Q211" s="386" t="e">
        <f>SUMIF(#REF!,'BILANCA PO IZVORIMA'!$E211,#REF!)</f>
        <v>#REF!</v>
      </c>
      <c r="R211" s="82" t="e">
        <f>SUMIF(#REF!,'BILANCA PO IZVORIMA'!$E211,#REF!)</f>
        <v>#REF!</v>
      </c>
      <c r="S211" s="82" t="e">
        <f>SUMIF(#REF!,'BILANCA PO IZVORIMA'!$E211,#REF!)</f>
        <v>#REF!</v>
      </c>
      <c r="T211" s="82" t="e">
        <f>SUMIF(#REF!,'BILANCA PO IZVORIMA'!$E$211,#REF!)</f>
        <v>#REF!</v>
      </c>
      <c r="U211" s="357" t="e">
        <f>SUMIF(#REF!,'BILANCA PO IZVORIMA'!$E211,#REF!)</f>
        <v>#REF!</v>
      </c>
      <c r="V211" s="357" t="e">
        <f>SUMIF(#REF!,'BILANCA PO IZVORIMA'!$E211,#REF!)</f>
        <v>#REF!</v>
      </c>
      <c r="W211" s="357" t="e">
        <f>SUMIF(#REF!,'BILANCA PO IZVORIMA'!$E211,#REF!)</f>
        <v>#REF!</v>
      </c>
      <c r="X211" s="357" t="e">
        <f>SUMIF(#REF!,'BILANCA PO IZVORIMA'!$E211,#REF!)</f>
        <v>#REF!</v>
      </c>
      <c r="Y211" s="357">
        <v>749561.61</v>
      </c>
      <c r="Z211" s="614" t="e">
        <f t="shared" ref="Z211:Z276" si="73">ROUND(Y211/V211*100,2)</f>
        <v>#REF!</v>
      </c>
      <c r="AA211" s="614" t="e">
        <f t="shared" ref="AA211:AA276" si="74">AB211-V211</f>
        <v>#REF!</v>
      </c>
      <c r="AB211" s="357" t="e">
        <f>SUMIF(#REF!,'BILANCA PO IZVORIMA'!$E211,#REF!)</f>
        <v>#REF!</v>
      </c>
      <c r="AF211" s="300"/>
      <c r="AG211" s="300"/>
      <c r="AH211" s="300"/>
      <c r="AI211" s="300"/>
      <c r="AJ211" s="300"/>
      <c r="AK211" s="300"/>
      <c r="AL211" s="300"/>
      <c r="AM211" s="60"/>
      <c r="AN211" s="60"/>
    </row>
    <row r="212" spans="1:40" ht="18.75" customHeight="1" x14ac:dyDescent="0.25">
      <c r="A212" s="80"/>
      <c r="B212" s="80"/>
      <c r="C212" s="80"/>
      <c r="D212" s="80"/>
      <c r="E212" s="80">
        <v>3292</v>
      </c>
      <c r="F212" s="81" t="s">
        <v>399</v>
      </c>
      <c r="G212" s="82" t="e">
        <f>SUMIF(#REF!,'BILANCA PO IZVORIMA'!$E212,#REF!)</f>
        <v>#REF!</v>
      </c>
      <c r="H212" s="82" t="e">
        <f>SUMIF(#REF!,'BILANCA PO IZVORIMA'!$E212,#REF!)</f>
        <v>#REF!</v>
      </c>
      <c r="I212" s="82" t="e">
        <f>SUMIF(#REF!,'BILANCA PO IZVORIMA'!$E212,#REF!)</f>
        <v>#REF!</v>
      </c>
      <c r="J212" s="82" t="e">
        <f>SUMIF(#REF!,'BILANCA PO IZVORIMA'!$E212,#REF!)</f>
        <v>#REF!</v>
      </c>
      <c r="K212" s="82" t="e">
        <f>SUMIF(#REF!,'BILANCA PO IZVORIMA'!$E212,#REF!)</f>
        <v>#REF!</v>
      </c>
      <c r="L212" s="82" t="e">
        <f t="shared" si="71"/>
        <v>#REF!</v>
      </c>
      <c r="M212" s="82" t="e">
        <f t="shared" si="72"/>
        <v>#REF!</v>
      </c>
      <c r="N212" s="82" t="e">
        <f>SUMIF(#REF!,'BILANCA PO IZVORIMA'!$E212,#REF!)</f>
        <v>#REF!</v>
      </c>
      <c r="O212" s="82" t="e">
        <f>SUMIF(#REF!,'BILANCA PO IZVORIMA'!$E212,#REF!)</f>
        <v>#REF!</v>
      </c>
      <c r="P212" s="82" t="e">
        <f>SUMIF(#REF!,'BILANCA PO IZVORIMA'!$E212,#REF!)</f>
        <v>#REF!</v>
      </c>
      <c r="Q212" s="386" t="e">
        <f>SUMIF(#REF!,'BILANCA PO IZVORIMA'!$E212,#REF!)</f>
        <v>#REF!</v>
      </c>
      <c r="R212" s="82" t="e">
        <f>SUMIF(#REF!,'BILANCA PO IZVORIMA'!$E212,#REF!)</f>
        <v>#REF!</v>
      </c>
      <c r="S212" s="82" t="e">
        <f>SUMIF(#REF!,'BILANCA PO IZVORIMA'!$E212,#REF!)</f>
        <v>#REF!</v>
      </c>
      <c r="T212" s="82" t="e">
        <f>SUMIF(#REF!,'BILANCA PO IZVORIMA'!$E$212,#REF!)</f>
        <v>#REF!</v>
      </c>
      <c r="U212" s="357" t="e">
        <f>SUMIF(#REF!,'BILANCA PO IZVORIMA'!$E212,#REF!)</f>
        <v>#REF!</v>
      </c>
      <c r="V212" s="357" t="e">
        <f>SUMIF(#REF!,'BILANCA PO IZVORIMA'!$E212,#REF!)</f>
        <v>#REF!</v>
      </c>
      <c r="W212" s="357" t="e">
        <f>SUMIF(#REF!,'BILANCA PO IZVORIMA'!$E212,#REF!)</f>
        <v>#REF!</v>
      </c>
      <c r="X212" s="357" t="e">
        <f>SUMIF(#REF!,'BILANCA PO IZVORIMA'!$E212,#REF!)</f>
        <v>#REF!</v>
      </c>
      <c r="Y212" s="357">
        <v>286216.65999999997</v>
      </c>
      <c r="Z212" s="614" t="e">
        <f t="shared" si="73"/>
        <v>#REF!</v>
      </c>
      <c r="AA212" s="614" t="e">
        <f t="shared" si="74"/>
        <v>#REF!</v>
      </c>
      <c r="AB212" s="357" t="e">
        <f>SUMIF(#REF!,'BILANCA PO IZVORIMA'!$E212,#REF!)</f>
        <v>#REF!</v>
      </c>
      <c r="AF212" s="60"/>
      <c r="AG212" s="60"/>
      <c r="AH212" s="60"/>
      <c r="AI212" s="60"/>
      <c r="AJ212" s="60"/>
      <c r="AK212" s="60"/>
      <c r="AL212" s="60"/>
      <c r="AM212" s="60"/>
      <c r="AN212" s="60"/>
    </row>
    <row r="213" spans="1:40" ht="20.25" customHeight="1" x14ac:dyDescent="0.25">
      <c r="A213" s="80"/>
      <c r="B213" s="80"/>
      <c r="C213" s="80"/>
      <c r="D213" s="80"/>
      <c r="E213" s="80">
        <v>3293</v>
      </c>
      <c r="F213" s="81" t="s">
        <v>533</v>
      </c>
      <c r="G213" s="82" t="e">
        <f>SUMIF(#REF!,'BILANCA PO IZVORIMA'!$E213,#REF!)</f>
        <v>#REF!</v>
      </c>
      <c r="H213" s="82" t="e">
        <f>SUMIF(#REF!,'BILANCA PO IZVORIMA'!$E213,#REF!)</f>
        <v>#REF!</v>
      </c>
      <c r="I213" s="82" t="e">
        <f>SUMIF(#REF!,'BILANCA PO IZVORIMA'!$E213,#REF!)</f>
        <v>#REF!</v>
      </c>
      <c r="J213" s="82" t="e">
        <f>SUMIF(#REF!,'BILANCA PO IZVORIMA'!$E213,#REF!)</f>
        <v>#REF!</v>
      </c>
      <c r="K213" s="82" t="e">
        <f>SUMIF(#REF!,'BILANCA PO IZVORIMA'!$E213,#REF!)</f>
        <v>#REF!</v>
      </c>
      <c r="L213" s="82" t="e">
        <f t="shared" si="71"/>
        <v>#REF!</v>
      </c>
      <c r="M213" s="82" t="e">
        <f t="shared" si="72"/>
        <v>#REF!</v>
      </c>
      <c r="N213" s="82" t="e">
        <f>SUMIF(#REF!,'BILANCA PO IZVORIMA'!$E213,#REF!)</f>
        <v>#REF!</v>
      </c>
      <c r="O213" s="82" t="e">
        <f>SUMIF(#REF!,'BILANCA PO IZVORIMA'!$E213,#REF!)</f>
        <v>#REF!</v>
      </c>
      <c r="P213" s="82" t="e">
        <f>SUMIF(#REF!,'BILANCA PO IZVORIMA'!$E213,#REF!)</f>
        <v>#REF!</v>
      </c>
      <c r="Q213" s="386" t="e">
        <f>SUMIF(#REF!,'BILANCA PO IZVORIMA'!$E213,#REF!)</f>
        <v>#REF!</v>
      </c>
      <c r="R213" s="82" t="e">
        <f>SUMIF(#REF!,'BILANCA PO IZVORIMA'!$E213,#REF!)</f>
        <v>#REF!</v>
      </c>
      <c r="S213" s="82" t="e">
        <f>SUMIF(#REF!,'BILANCA PO IZVORIMA'!$E213,#REF!)</f>
        <v>#REF!</v>
      </c>
      <c r="T213" s="82" t="e">
        <f>SUMIF(#REF!,'BILANCA PO IZVORIMA'!$E$213,#REF!)</f>
        <v>#REF!</v>
      </c>
      <c r="U213" s="357" t="e">
        <f>SUMIF(#REF!,'BILANCA PO IZVORIMA'!$E213,#REF!)</f>
        <v>#REF!</v>
      </c>
      <c r="V213" s="357" t="e">
        <f>SUMIF(#REF!,'BILANCA PO IZVORIMA'!$E213,#REF!)</f>
        <v>#REF!</v>
      </c>
      <c r="W213" s="357" t="e">
        <f>SUMIF(#REF!,'BILANCA PO IZVORIMA'!$E213,#REF!)</f>
        <v>#REF!</v>
      </c>
      <c r="X213" s="357" t="e">
        <f>SUMIF(#REF!,'BILANCA PO IZVORIMA'!$E213,#REF!)</f>
        <v>#REF!</v>
      </c>
      <c r="Y213" s="357">
        <v>294279.46999999997</v>
      </c>
      <c r="Z213" s="614" t="e">
        <f t="shared" si="73"/>
        <v>#REF!</v>
      </c>
      <c r="AA213" s="614" t="e">
        <f t="shared" si="74"/>
        <v>#REF!</v>
      </c>
      <c r="AB213" s="357" t="e">
        <f>SUMIF(#REF!,'BILANCA PO IZVORIMA'!$E213,#REF!)</f>
        <v>#REF!</v>
      </c>
      <c r="AF213" s="60"/>
      <c r="AG213" s="60"/>
      <c r="AH213" s="60"/>
      <c r="AI213" s="60"/>
      <c r="AJ213" s="60"/>
      <c r="AK213" s="60"/>
      <c r="AL213" s="60"/>
      <c r="AM213" s="60"/>
      <c r="AN213" s="60"/>
    </row>
    <row r="214" spans="1:40" ht="17.25" customHeight="1" x14ac:dyDescent="0.25">
      <c r="A214" s="80"/>
      <c r="B214" s="80"/>
      <c r="C214" s="80"/>
      <c r="D214" s="80"/>
      <c r="E214" s="80">
        <v>3294</v>
      </c>
      <c r="F214" s="81" t="s">
        <v>567</v>
      </c>
      <c r="G214" s="82" t="e">
        <f>SUMIF(#REF!,'BILANCA PO IZVORIMA'!$E214,#REF!)</f>
        <v>#REF!</v>
      </c>
      <c r="H214" s="82" t="e">
        <f>SUMIF(#REF!,'BILANCA PO IZVORIMA'!$E214,#REF!)</f>
        <v>#REF!</v>
      </c>
      <c r="I214" s="82" t="e">
        <f>SUMIF(#REF!,'BILANCA PO IZVORIMA'!$E214,#REF!)</f>
        <v>#REF!</v>
      </c>
      <c r="J214" s="82" t="e">
        <f>SUMIF(#REF!,'BILANCA PO IZVORIMA'!$E214,#REF!)</f>
        <v>#REF!</v>
      </c>
      <c r="K214" s="82" t="e">
        <f>SUMIF(#REF!,'BILANCA PO IZVORIMA'!$E214,#REF!)</f>
        <v>#REF!</v>
      </c>
      <c r="L214" s="82" t="e">
        <f t="shared" si="71"/>
        <v>#REF!</v>
      </c>
      <c r="M214" s="82" t="e">
        <f t="shared" si="72"/>
        <v>#REF!</v>
      </c>
      <c r="N214" s="82" t="e">
        <f>SUMIF(#REF!,'BILANCA PO IZVORIMA'!$E214,#REF!)</f>
        <v>#REF!</v>
      </c>
      <c r="O214" s="82" t="e">
        <f>SUMIF(#REF!,'BILANCA PO IZVORIMA'!$E214,#REF!)</f>
        <v>#REF!</v>
      </c>
      <c r="P214" s="82" t="e">
        <f>SUMIF(#REF!,'BILANCA PO IZVORIMA'!$E214,#REF!)</f>
        <v>#REF!</v>
      </c>
      <c r="Q214" s="386" t="e">
        <f>SUMIF(#REF!,'BILANCA PO IZVORIMA'!$E214,#REF!)</f>
        <v>#REF!</v>
      </c>
      <c r="R214" s="82" t="e">
        <f>SUMIF(#REF!,'BILANCA PO IZVORIMA'!$E214,#REF!)</f>
        <v>#REF!</v>
      </c>
      <c r="S214" s="82" t="e">
        <f>SUMIF(#REF!,'BILANCA PO IZVORIMA'!$E214,#REF!)</f>
        <v>#REF!</v>
      </c>
      <c r="T214" s="82" t="e">
        <f>SUMIF(#REF!,'BILANCA PO IZVORIMA'!$E$214,#REF!)</f>
        <v>#REF!</v>
      </c>
      <c r="U214" s="357" t="e">
        <f>SUMIF(#REF!,'BILANCA PO IZVORIMA'!$E214,#REF!)</f>
        <v>#REF!</v>
      </c>
      <c r="V214" s="357" t="e">
        <f>SUMIF(#REF!,'BILANCA PO IZVORIMA'!$E214,#REF!)</f>
        <v>#REF!</v>
      </c>
      <c r="W214" s="357" t="e">
        <f>SUMIF(#REF!,'BILANCA PO IZVORIMA'!$E214,#REF!)</f>
        <v>#REF!</v>
      </c>
      <c r="X214" s="357" t="e">
        <f>SUMIF(#REF!,'BILANCA PO IZVORIMA'!$E214,#REF!)</f>
        <v>#REF!</v>
      </c>
      <c r="Y214" s="618">
        <v>59073.5</v>
      </c>
      <c r="Z214" s="614" t="e">
        <f t="shared" si="73"/>
        <v>#REF!</v>
      </c>
      <c r="AA214" s="614" t="e">
        <f t="shared" si="74"/>
        <v>#REF!</v>
      </c>
      <c r="AB214" s="357" t="e">
        <f>SUMIF(#REF!,'BILANCA PO IZVORIMA'!$E214,#REF!)</f>
        <v>#REF!</v>
      </c>
      <c r="AF214" s="60"/>
      <c r="AG214" s="60"/>
      <c r="AH214" s="60"/>
      <c r="AI214" s="60"/>
      <c r="AJ214" s="60"/>
      <c r="AK214" s="60"/>
      <c r="AL214" s="60"/>
      <c r="AM214" s="60"/>
      <c r="AN214" s="60"/>
    </row>
    <row r="215" spans="1:40" ht="15.75" customHeight="1" x14ac:dyDescent="0.25">
      <c r="A215" s="80"/>
      <c r="B215" s="80"/>
      <c r="C215" s="80"/>
      <c r="D215" s="80"/>
      <c r="E215" s="80">
        <v>3295</v>
      </c>
      <c r="F215" s="81" t="s">
        <v>400</v>
      </c>
      <c r="G215" s="82" t="e">
        <f>SUMIF(#REF!,'BILANCA PO IZVORIMA'!$E215,#REF!)</f>
        <v>#REF!</v>
      </c>
      <c r="H215" s="82" t="e">
        <f>SUMIF(#REF!,'BILANCA PO IZVORIMA'!$E215,#REF!)</f>
        <v>#REF!</v>
      </c>
      <c r="I215" s="82" t="e">
        <f>SUMIF(#REF!,'BILANCA PO IZVORIMA'!$E215,#REF!)</f>
        <v>#REF!</v>
      </c>
      <c r="J215" s="82" t="e">
        <f>SUMIF(#REF!,'BILANCA PO IZVORIMA'!$E215,#REF!)</f>
        <v>#REF!</v>
      </c>
      <c r="K215" s="82" t="e">
        <f>SUMIF(#REF!,'BILANCA PO IZVORIMA'!$E215,#REF!)</f>
        <v>#REF!</v>
      </c>
      <c r="L215" s="82" t="e">
        <f t="shared" si="71"/>
        <v>#REF!</v>
      </c>
      <c r="M215" s="82" t="e">
        <f t="shared" si="72"/>
        <v>#REF!</v>
      </c>
      <c r="N215" s="82" t="e">
        <f>SUMIF(#REF!,'BILANCA PO IZVORIMA'!$E215,#REF!)</f>
        <v>#REF!</v>
      </c>
      <c r="O215" s="82" t="e">
        <f>SUMIF(#REF!,'BILANCA PO IZVORIMA'!$E215,#REF!)</f>
        <v>#REF!</v>
      </c>
      <c r="P215" s="82" t="e">
        <f>SUMIF(#REF!,'BILANCA PO IZVORIMA'!$E215,#REF!)</f>
        <v>#REF!</v>
      </c>
      <c r="Q215" s="386" t="e">
        <f>SUMIF(#REF!,'BILANCA PO IZVORIMA'!$E215,#REF!)</f>
        <v>#REF!</v>
      </c>
      <c r="R215" s="82" t="e">
        <f>SUMIF(#REF!,'BILANCA PO IZVORIMA'!$E215,#REF!)</f>
        <v>#REF!</v>
      </c>
      <c r="S215" s="82" t="e">
        <f>SUMIF(#REF!,'BILANCA PO IZVORIMA'!$E215,#REF!)</f>
        <v>#REF!</v>
      </c>
      <c r="T215" s="82" t="e">
        <f>SUMIF(#REF!,'BILANCA PO IZVORIMA'!$E$215,#REF!)</f>
        <v>#REF!</v>
      </c>
      <c r="U215" s="357" t="e">
        <f>SUMIF(#REF!,'BILANCA PO IZVORIMA'!$E215,#REF!)</f>
        <v>#REF!</v>
      </c>
      <c r="V215" s="357" t="e">
        <f>SUMIF(#REF!,'BILANCA PO IZVORIMA'!$E215,#REF!)</f>
        <v>#REF!</v>
      </c>
      <c r="W215" s="357" t="e">
        <f>SUMIF(#REF!,'BILANCA PO IZVORIMA'!$E215,#REF!)</f>
        <v>#REF!</v>
      </c>
      <c r="X215" s="357" t="e">
        <f>SUMIF(#REF!,'BILANCA PO IZVORIMA'!$E215,#REF!)</f>
        <v>#REF!</v>
      </c>
      <c r="Y215" s="357">
        <v>21583.66</v>
      </c>
      <c r="Z215" s="614" t="e">
        <f>ROUND(Y215/V215*100,2)</f>
        <v>#REF!</v>
      </c>
      <c r="AA215" s="614" t="e">
        <f t="shared" si="74"/>
        <v>#REF!</v>
      </c>
      <c r="AB215" s="357" t="e">
        <f>SUMIF(#REF!,'BILANCA PO IZVORIMA'!$E215,#REF!)</f>
        <v>#REF!</v>
      </c>
      <c r="AF215" s="60"/>
      <c r="AG215" s="60"/>
      <c r="AH215" s="60"/>
      <c r="AI215" s="60"/>
      <c r="AJ215" s="60"/>
      <c r="AK215" s="60"/>
      <c r="AL215" s="60"/>
      <c r="AM215" s="60"/>
      <c r="AN215" s="60"/>
    </row>
    <row r="216" spans="1:40" ht="15.75" customHeight="1" x14ac:dyDescent="0.25">
      <c r="A216" s="80"/>
      <c r="B216" s="80"/>
      <c r="C216" s="80"/>
      <c r="D216" s="80"/>
      <c r="E216" s="80">
        <v>3299</v>
      </c>
      <c r="F216" s="81" t="s">
        <v>531</v>
      </c>
      <c r="G216" s="82" t="e">
        <f>SUMIF(#REF!,'BILANCA PO IZVORIMA'!$E216,#REF!)</f>
        <v>#REF!</v>
      </c>
      <c r="H216" s="82" t="e">
        <f>SUMIF(#REF!,'BILANCA PO IZVORIMA'!$E216,#REF!)</f>
        <v>#REF!</v>
      </c>
      <c r="I216" s="82" t="e">
        <f>SUMIF(#REF!,'BILANCA PO IZVORIMA'!$E216,#REF!)</f>
        <v>#REF!</v>
      </c>
      <c r="J216" s="82" t="e">
        <f>SUMIF(#REF!,'BILANCA PO IZVORIMA'!$E216,#REF!)</f>
        <v>#REF!</v>
      </c>
      <c r="K216" s="82" t="e">
        <f>SUMIF(#REF!,'BILANCA PO IZVORIMA'!$E216,#REF!)</f>
        <v>#REF!</v>
      </c>
      <c r="L216" s="82" t="e">
        <f t="shared" si="71"/>
        <v>#REF!</v>
      </c>
      <c r="M216" s="82" t="e">
        <f t="shared" si="72"/>
        <v>#REF!</v>
      </c>
      <c r="N216" s="82" t="e">
        <f>SUMIF(#REF!,'BILANCA PO IZVORIMA'!$E216,#REF!)</f>
        <v>#REF!</v>
      </c>
      <c r="O216" s="82" t="e">
        <f>SUMIF(#REF!,'BILANCA PO IZVORIMA'!$E216,#REF!)</f>
        <v>#REF!</v>
      </c>
      <c r="P216" s="82" t="e">
        <f>SUMIF(#REF!,'BILANCA PO IZVORIMA'!$E216,#REF!)</f>
        <v>#REF!</v>
      </c>
      <c r="Q216" s="386" t="e">
        <f>SUMIF(#REF!,'BILANCA PO IZVORIMA'!$E216,#REF!)</f>
        <v>#REF!</v>
      </c>
      <c r="R216" s="82" t="e">
        <f>SUMIF(#REF!,'BILANCA PO IZVORIMA'!$E216,#REF!)</f>
        <v>#REF!</v>
      </c>
      <c r="S216" s="82" t="e">
        <f>SUMIF(#REF!,'BILANCA PO IZVORIMA'!$E216,#REF!)</f>
        <v>#REF!</v>
      </c>
      <c r="T216" s="82" t="e">
        <f>SUMIF(#REF!,'BILANCA PO IZVORIMA'!$E$216,#REF!)</f>
        <v>#REF!</v>
      </c>
      <c r="U216" s="357" t="e">
        <f>SUMIF(#REF!,'BILANCA PO IZVORIMA'!$E216,#REF!)</f>
        <v>#REF!</v>
      </c>
      <c r="V216" s="357" t="e">
        <f>SUMIF(#REF!,'BILANCA PO IZVORIMA'!$E216,#REF!)</f>
        <v>#REF!</v>
      </c>
      <c r="W216" s="357" t="e">
        <f>SUMIF(#REF!,'BILANCA PO IZVORIMA'!$E216,#REF!)</f>
        <v>#REF!</v>
      </c>
      <c r="X216" s="357" t="e">
        <f>SUMIF(#REF!,'BILANCA PO IZVORIMA'!$E216,#REF!)</f>
        <v>#REF!</v>
      </c>
      <c r="Y216" s="357">
        <v>307141.93</v>
      </c>
      <c r="Z216" s="614" t="e">
        <f t="shared" si="73"/>
        <v>#REF!</v>
      </c>
      <c r="AA216" s="614" t="e">
        <f t="shared" si="74"/>
        <v>#REF!</v>
      </c>
      <c r="AB216" s="357" t="e">
        <f>SUMIF(#REF!,'BILANCA PO IZVORIMA'!$E216,#REF!)</f>
        <v>#REF!</v>
      </c>
      <c r="AF216" s="60"/>
      <c r="AG216" s="60"/>
      <c r="AH216" s="60"/>
      <c r="AI216" s="60"/>
      <c r="AJ216" s="60"/>
      <c r="AK216" s="60"/>
      <c r="AL216" s="60"/>
      <c r="AM216" s="60"/>
      <c r="AN216" s="60"/>
    </row>
    <row r="217" spans="1:40" ht="19.5" customHeight="1" x14ac:dyDescent="0.25">
      <c r="A217" s="125"/>
      <c r="B217" s="74"/>
      <c r="C217" s="74" t="str">
        <f>LEFT(E219,2)</f>
        <v>34</v>
      </c>
      <c r="D217" s="74"/>
      <c r="E217" s="74"/>
      <c r="F217" s="75" t="s">
        <v>208</v>
      </c>
      <c r="G217" s="77" t="e">
        <f>G218+G220</f>
        <v>#REF!</v>
      </c>
      <c r="H217" s="118" t="e">
        <f>H218+H220</f>
        <v>#REF!</v>
      </c>
      <c r="I217" s="77" t="e">
        <f>I218+I220</f>
        <v>#REF!</v>
      </c>
      <c r="J217" s="77" t="e">
        <f>J218+J220</f>
        <v>#REF!</v>
      </c>
      <c r="K217" s="77" t="e">
        <f>K218+K220</f>
        <v>#REF!</v>
      </c>
      <c r="L217" s="77" t="e">
        <f t="shared" si="71"/>
        <v>#REF!</v>
      </c>
      <c r="M217" s="77" t="e">
        <f t="shared" si="72"/>
        <v>#REF!</v>
      </c>
      <c r="N217" s="77" t="e">
        <f t="shared" ref="N217:X217" si="75">N218+N220</f>
        <v>#REF!</v>
      </c>
      <c r="O217" s="76" t="e">
        <f t="shared" si="75"/>
        <v>#REF!</v>
      </c>
      <c r="P217" s="76" t="e">
        <f t="shared" si="75"/>
        <v>#REF!</v>
      </c>
      <c r="Q217" s="385" t="e">
        <f t="shared" si="75"/>
        <v>#REF!</v>
      </c>
      <c r="R217" s="135" t="e">
        <f t="shared" si="75"/>
        <v>#REF!</v>
      </c>
      <c r="S217" s="135" t="e">
        <f t="shared" si="75"/>
        <v>#REF!</v>
      </c>
      <c r="T217" s="135" t="e">
        <f t="shared" si="75"/>
        <v>#REF!</v>
      </c>
      <c r="U217" s="356" t="e">
        <f t="shared" si="75"/>
        <v>#REF!</v>
      </c>
      <c r="V217" s="356" t="e">
        <f t="shared" si="75"/>
        <v>#REF!</v>
      </c>
      <c r="W217" s="356" t="e">
        <f t="shared" si="75"/>
        <v>#REF!</v>
      </c>
      <c r="X217" s="356" t="e">
        <f t="shared" si="75"/>
        <v>#REF!</v>
      </c>
      <c r="Y217" s="356">
        <f>Y218+Y220</f>
        <v>495424.57000000007</v>
      </c>
      <c r="Z217" s="610" t="e">
        <f t="shared" si="73"/>
        <v>#REF!</v>
      </c>
      <c r="AA217" s="610" t="e">
        <f t="shared" si="74"/>
        <v>#REF!</v>
      </c>
      <c r="AB217" s="356" t="e">
        <f>AB218+AB220</f>
        <v>#REF!</v>
      </c>
      <c r="AF217" s="60"/>
      <c r="AG217" s="60"/>
      <c r="AH217" s="60"/>
      <c r="AI217" s="60"/>
      <c r="AJ217" s="60"/>
      <c r="AK217" s="60"/>
      <c r="AL217" s="60"/>
      <c r="AM217" s="60"/>
      <c r="AN217" s="60"/>
    </row>
    <row r="218" spans="1:40" s="373" customFormat="1" ht="22.5" customHeight="1" x14ac:dyDescent="0.25">
      <c r="A218" s="119"/>
      <c r="B218" s="119"/>
      <c r="C218" s="119"/>
      <c r="D218" s="119" t="str">
        <f>LEFT(E219,3)</f>
        <v>342</v>
      </c>
      <c r="E218" s="119"/>
      <c r="F218" s="368" t="s">
        <v>631</v>
      </c>
      <c r="G218" s="369" t="e">
        <f>G219</f>
        <v>#REF!</v>
      </c>
      <c r="H218" s="370" t="e">
        <f>H219</f>
        <v>#REF!</v>
      </c>
      <c r="I218" s="369" t="e">
        <f>I219</f>
        <v>#REF!</v>
      </c>
      <c r="J218" s="369" t="e">
        <f>J219</f>
        <v>#REF!</v>
      </c>
      <c r="K218" s="369" t="e">
        <f>K219</f>
        <v>#REF!</v>
      </c>
      <c r="L218" s="369" t="e">
        <f t="shared" si="71"/>
        <v>#REF!</v>
      </c>
      <c r="M218" s="369" t="e">
        <f t="shared" si="72"/>
        <v>#REF!</v>
      </c>
      <c r="N218" s="369" t="e">
        <f t="shared" ref="N218:X218" si="76">N219</f>
        <v>#REF!</v>
      </c>
      <c r="O218" s="137" t="e">
        <f t="shared" si="76"/>
        <v>#REF!</v>
      </c>
      <c r="P218" s="137" t="e">
        <f t="shared" si="76"/>
        <v>#REF!</v>
      </c>
      <c r="Q218" s="393" t="e">
        <f t="shared" si="76"/>
        <v>#REF!</v>
      </c>
      <c r="R218" s="137" t="e">
        <f t="shared" si="76"/>
        <v>#REF!</v>
      </c>
      <c r="S218" s="137" t="e">
        <f t="shared" si="76"/>
        <v>#REF!</v>
      </c>
      <c r="T218" s="137" t="e">
        <f t="shared" si="76"/>
        <v>#REF!</v>
      </c>
      <c r="U218" s="371" t="e">
        <f t="shared" si="76"/>
        <v>#REF!</v>
      </c>
      <c r="V218" s="371" t="e">
        <f t="shared" si="76"/>
        <v>#REF!</v>
      </c>
      <c r="W218" s="371" t="e">
        <f t="shared" si="76"/>
        <v>#REF!</v>
      </c>
      <c r="X218" s="371" t="e">
        <f t="shared" si="76"/>
        <v>#REF!</v>
      </c>
      <c r="Y218" s="371">
        <f>Y219</f>
        <v>370276.65</v>
      </c>
      <c r="Z218" s="614" t="e">
        <f t="shared" si="73"/>
        <v>#REF!</v>
      </c>
      <c r="AA218" s="614" t="e">
        <f t="shared" si="74"/>
        <v>#REF!</v>
      </c>
      <c r="AB218" s="371" t="e">
        <f>AB219</f>
        <v>#REF!</v>
      </c>
      <c r="AC218" s="372"/>
      <c r="AD218" s="372"/>
      <c r="AE218" s="372"/>
      <c r="AF218" s="372"/>
      <c r="AG218" s="372"/>
      <c r="AH218" s="372"/>
      <c r="AI218" s="372"/>
      <c r="AJ218" s="372"/>
      <c r="AK218" s="372"/>
      <c r="AL218" s="372"/>
      <c r="AM218" s="372"/>
      <c r="AN218" s="372"/>
    </row>
    <row r="219" spans="1:40" ht="38.25" customHeight="1" x14ac:dyDescent="0.25">
      <c r="A219" s="80"/>
      <c r="B219" s="80"/>
      <c r="C219" s="80"/>
      <c r="D219" s="80"/>
      <c r="E219" s="80">
        <v>3422</v>
      </c>
      <c r="F219" s="81" t="s">
        <v>358</v>
      </c>
      <c r="G219" s="82" t="e">
        <f>SUMIF(#REF!,'BILANCA PO IZVORIMA'!$E219,#REF!)</f>
        <v>#REF!</v>
      </c>
      <c r="H219" s="82" t="e">
        <f>SUMIF(#REF!,'BILANCA PO IZVORIMA'!$E219,#REF!)</f>
        <v>#REF!</v>
      </c>
      <c r="I219" s="82" t="e">
        <f>SUMIF(#REF!,'BILANCA PO IZVORIMA'!$E219,#REF!)</f>
        <v>#REF!</v>
      </c>
      <c r="J219" s="82" t="e">
        <f>SUMIF(#REF!,'BILANCA PO IZVORIMA'!$E219,#REF!)</f>
        <v>#REF!</v>
      </c>
      <c r="K219" s="82" t="e">
        <f>SUMIF(#REF!,'BILANCA PO IZVORIMA'!$E219,#REF!)</f>
        <v>#REF!</v>
      </c>
      <c r="L219" s="82" t="e">
        <f t="shared" si="71"/>
        <v>#REF!</v>
      </c>
      <c r="M219" s="82" t="e">
        <f t="shared" si="72"/>
        <v>#REF!</v>
      </c>
      <c r="N219" s="82" t="e">
        <f>SUMIF(#REF!,'BILANCA PO IZVORIMA'!$E219,#REF!)</f>
        <v>#REF!</v>
      </c>
      <c r="O219" s="82" t="e">
        <f>SUMIF(#REF!,'BILANCA PO IZVORIMA'!$E219,#REF!)</f>
        <v>#REF!</v>
      </c>
      <c r="P219" s="82" t="e">
        <f>SUMIF(#REF!,'BILANCA PO IZVORIMA'!$E219,#REF!)</f>
        <v>#REF!</v>
      </c>
      <c r="Q219" s="386" t="e">
        <f>SUMIF(#REF!,'BILANCA PO IZVORIMA'!$E219,#REF!)</f>
        <v>#REF!</v>
      </c>
      <c r="R219" s="82" t="e">
        <f>SUMIF(#REF!,'BILANCA PO IZVORIMA'!$E219,#REF!)</f>
        <v>#REF!</v>
      </c>
      <c r="S219" s="82" t="e">
        <f>SUMIF(#REF!,'BILANCA PO IZVORIMA'!$E219,#REF!)</f>
        <v>#REF!</v>
      </c>
      <c r="T219" s="82" t="e">
        <f>SUMIF(#REF!,'BILANCA PO IZVORIMA'!$E$219,#REF!)</f>
        <v>#REF!</v>
      </c>
      <c r="U219" s="357" t="e">
        <f>SUMIF(#REF!,'BILANCA PO IZVORIMA'!$E219,#REF!)</f>
        <v>#REF!</v>
      </c>
      <c r="V219" s="357" t="e">
        <f>SUMIF(#REF!,'BILANCA PO IZVORIMA'!$E219,#REF!)</f>
        <v>#REF!</v>
      </c>
      <c r="W219" s="357" t="e">
        <f>SUMIF(#REF!,'BILANCA PO IZVORIMA'!$E219,#REF!)</f>
        <v>#REF!</v>
      </c>
      <c r="X219" s="357" t="e">
        <f>SUMIF(#REF!,'BILANCA PO IZVORIMA'!$E219,#REF!)</f>
        <v>#REF!</v>
      </c>
      <c r="Y219" s="357">
        <v>370276.65</v>
      </c>
      <c r="Z219" s="614" t="e">
        <f t="shared" si="73"/>
        <v>#REF!</v>
      </c>
      <c r="AA219" s="614" t="e">
        <f t="shared" si="74"/>
        <v>#REF!</v>
      </c>
      <c r="AB219" s="357" t="e">
        <f>SUMIF(#REF!,'BILANCA PO IZVORIMA'!$E219,#REF!)</f>
        <v>#REF!</v>
      </c>
      <c r="AF219" s="60"/>
      <c r="AG219" s="60"/>
      <c r="AH219" s="60"/>
      <c r="AI219" s="60"/>
      <c r="AJ219" s="60"/>
      <c r="AK219" s="60"/>
      <c r="AL219" s="60"/>
      <c r="AM219" s="60"/>
      <c r="AN219" s="60"/>
    </row>
    <row r="220" spans="1:40" s="373" customFormat="1" ht="17.25" customHeight="1" x14ac:dyDescent="0.25">
      <c r="A220" s="119"/>
      <c r="B220" s="119"/>
      <c r="C220" s="119"/>
      <c r="D220" s="119" t="str">
        <f>LEFT(E221,3)</f>
        <v>343</v>
      </c>
      <c r="E220" s="119"/>
      <c r="F220" s="368" t="s">
        <v>209</v>
      </c>
      <c r="G220" s="369" t="e">
        <f t="shared" ref="G220:X220" si="77">SUM(G221:G223)</f>
        <v>#REF!</v>
      </c>
      <c r="H220" s="370" t="e">
        <f t="shared" si="77"/>
        <v>#REF!</v>
      </c>
      <c r="I220" s="369" t="e">
        <f t="shared" si="77"/>
        <v>#REF!</v>
      </c>
      <c r="J220" s="369" t="e">
        <f t="shared" si="77"/>
        <v>#REF!</v>
      </c>
      <c r="K220" s="369" t="e">
        <f t="shared" si="77"/>
        <v>#REF!</v>
      </c>
      <c r="L220" s="369" t="e">
        <f t="shared" si="77"/>
        <v>#REF!</v>
      </c>
      <c r="M220" s="369" t="e">
        <f t="shared" si="77"/>
        <v>#REF!</v>
      </c>
      <c r="N220" s="369" t="e">
        <f t="shared" si="77"/>
        <v>#REF!</v>
      </c>
      <c r="O220" s="369" t="e">
        <f t="shared" si="77"/>
        <v>#REF!</v>
      </c>
      <c r="P220" s="369" t="e">
        <f t="shared" si="77"/>
        <v>#REF!</v>
      </c>
      <c r="Q220" s="392" t="e">
        <f t="shared" si="77"/>
        <v>#REF!</v>
      </c>
      <c r="R220" s="369" t="e">
        <f t="shared" si="77"/>
        <v>#REF!</v>
      </c>
      <c r="S220" s="369" t="e">
        <f t="shared" si="77"/>
        <v>#REF!</v>
      </c>
      <c r="T220" s="369" t="e">
        <f t="shared" si="77"/>
        <v>#REF!</v>
      </c>
      <c r="U220" s="371" t="e">
        <f t="shared" si="77"/>
        <v>#REF!</v>
      </c>
      <c r="V220" s="371" t="e">
        <f t="shared" si="77"/>
        <v>#REF!</v>
      </c>
      <c r="W220" s="371" t="e">
        <f t="shared" si="77"/>
        <v>#REF!</v>
      </c>
      <c r="X220" s="371" t="e">
        <f t="shared" si="77"/>
        <v>#REF!</v>
      </c>
      <c r="Y220" s="371">
        <f>Y221+Y222+Y223</f>
        <v>125147.92000000001</v>
      </c>
      <c r="Z220" s="614" t="e">
        <f t="shared" si="73"/>
        <v>#REF!</v>
      </c>
      <c r="AA220" s="614" t="e">
        <f t="shared" si="74"/>
        <v>#REF!</v>
      </c>
      <c r="AB220" s="371" t="e">
        <f>SUM(AB221:AB223)</f>
        <v>#REF!</v>
      </c>
      <c r="AC220" s="372"/>
      <c r="AD220" s="372"/>
      <c r="AE220" s="372"/>
      <c r="AF220" s="372"/>
      <c r="AG220" s="372"/>
      <c r="AH220" s="372"/>
      <c r="AI220" s="372"/>
      <c r="AJ220" s="372"/>
      <c r="AK220" s="372"/>
      <c r="AL220" s="372"/>
      <c r="AM220" s="372"/>
      <c r="AN220" s="372"/>
    </row>
    <row r="221" spans="1:40" ht="18.75" customHeight="1" x14ac:dyDescent="0.25">
      <c r="A221" s="80"/>
      <c r="B221" s="80"/>
      <c r="C221" s="80"/>
      <c r="D221" s="80"/>
      <c r="E221" s="80">
        <v>3431</v>
      </c>
      <c r="F221" s="81" t="s">
        <v>211</v>
      </c>
      <c r="G221" s="82" t="e">
        <f>SUMIF(#REF!,'BILANCA PO IZVORIMA'!$E221,#REF!)</f>
        <v>#REF!</v>
      </c>
      <c r="H221" s="82" t="e">
        <f>SUMIF(#REF!,'BILANCA PO IZVORIMA'!$E221,#REF!)</f>
        <v>#REF!</v>
      </c>
      <c r="I221" s="82" t="e">
        <f>SUMIF(#REF!,'BILANCA PO IZVORIMA'!$E221,#REF!)</f>
        <v>#REF!</v>
      </c>
      <c r="J221" s="82" t="e">
        <f>SUMIF(#REF!,'BILANCA PO IZVORIMA'!$E221,#REF!)</f>
        <v>#REF!</v>
      </c>
      <c r="K221" s="82" t="e">
        <f>SUMIF(#REF!,'BILANCA PO IZVORIMA'!$E221,#REF!)</f>
        <v>#REF!</v>
      </c>
      <c r="L221" s="82" t="e">
        <f>ROUND(K221/J221*100,2)</f>
        <v>#REF!</v>
      </c>
      <c r="M221" s="82" t="e">
        <f>N221-J221</f>
        <v>#REF!</v>
      </c>
      <c r="N221" s="82" t="e">
        <f>SUMIF(#REF!,'BILANCA PO IZVORIMA'!$E221,#REF!)</f>
        <v>#REF!</v>
      </c>
      <c r="O221" s="82" t="e">
        <f>SUMIF(#REF!,'BILANCA PO IZVORIMA'!$E221,#REF!)</f>
        <v>#REF!</v>
      </c>
      <c r="P221" s="82" t="e">
        <f>SUMIF(#REF!,'BILANCA PO IZVORIMA'!$E221,#REF!)</f>
        <v>#REF!</v>
      </c>
      <c r="Q221" s="386" t="e">
        <f>SUMIF(#REF!,'BILANCA PO IZVORIMA'!$E221,#REF!)</f>
        <v>#REF!</v>
      </c>
      <c r="R221" s="82" t="e">
        <f>SUMIF(#REF!,'BILANCA PO IZVORIMA'!$E221,#REF!)</f>
        <v>#REF!</v>
      </c>
      <c r="S221" s="82" t="e">
        <f>SUMIF(#REF!,'BILANCA PO IZVORIMA'!$E221,#REF!)</f>
        <v>#REF!</v>
      </c>
      <c r="T221" s="82" t="e">
        <f>SUMIF(#REF!,'BILANCA PO IZVORIMA'!$E$221,#REF!)</f>
        <v>#REF!</v>
      </c>
      <c r="U221" s="357" t="e">
        <f>SUMIF(#REF!,'BILANCA PO IZVORIMA'!$E221,#REF!)</f>
        <v>#REF!</v>
      </c>
      <c r="V221" s="357" t="e">
        <f>SUMIF(#REF!,'BILANCA PO IZVORIMA'!$E221,#REF!)</f>
        <v>#REF!</v>
      </c>
      <c r="W221" s="357" t="e">
        <f>SUMIF(#REF!,'BILANCA PO IZVORIMA'!$E221,#REF!)</f>
        <v>#REF!</v>
      </c>
      <c r="X221" s="357" t="e">
        <f>SUMIF(#REF!,'BILANCA PO IZVORIMA'!$E221,#REF!)</f>
        <v>#REF!</v>
      </c>
      <c r="Y221" s="357">
        <v>64287.33</v>
      </c>
      <c r="Z221" s="614" t="e">
        <f t="shared" si="73"/>
        <v>#REF!</v>
      </c>
      <c r="AA221" s="614" t="e">
        <f t="shared" si="74"/>
        <v>#REF!</v>
      </c>
      <c r="AB221" s="357" t="e">
        <f>SUMIF(#REF!,'BILANCA PO IZVORIMA'!$E221,#REF!)</f>
        <v>#REF!</v>
      </c>
      <c r="AF221" s="60"/>
      <c r="AG221" s="60"/>
      <c r="AH221" s="60"/>
      <c r="AI221" s="60"/>
      <c r="AJ221" s="60"/>
      <c r="AK221" s="60"/>
      <c r="AL221" s="60"/>
      <c r="AM221" s="60"/>
      <c r="AN221" s="60"/>
    </row>
    <row r="222" spans="1:40" ht="18.75" customHeight="1" x14ac:dyDescent="0.25">
      <c r="A222" s="80"/>
      <c r="B222" s="80"/>
      <c r="C222" s="80"/>
      <c r="D222" s="80"/>
      <c r="E222" s="80">
        <v>3433</v>
      </c>
      <c r="F222" s="81" t="s">
        <v>402</v>
      </c>
      <c r="G222" s="82" t="e">
        <f>SUMIF(#REF!,'BILANCA PO IZVORIMA'!$E222,#REF!)</f>
        <v>#REF!</v>
      </c>
      <c r="H222" s="82" t="e">
        <f>SUMIF(#REF!,'BILANCA PO IZVORIMA'!$E222,#REF!)</f>
        <v>#REF!</v>
      </c>
      <c r="I222" s="82" t="e">
        <f>SUMIF(#REF!,'BILANCA PO IZVORIMA'!$E222,#REF!)</f>
        <v>#REF!</v>
      </c>
      <c r="J222" s="82" t="e">
        <f>SUMIF(#REF!,'BILANCA PO IZVORIMA'!$E222,#REF!)</f>
        <v>#REF!</v>
      </c>
      <c r="K222" s="82" t="e">
        <f>SUMIF(#REF!,'BILANCA PO IZVORIMA'!$E222,#REF!)</f>
        <v>#REF!</v>
      </c>
      <c r="L222" s="82" t="e">
        <f>ROUND(K222/J222*100,2)</f>
        <v>#REF!</v>
      </c>
      <c r="M222" s="82" t="e">
        <f>N222-J222</f>
        <v>#REF!</v>
      </c>
      <c r="N222" s="82" t="e">
        <f>SUMIF(#REF!,'BILANCA PO IZVORIMA'!$E222,#REF!)</f>
        <v>#REF!</v>
      </c>
      <c r="O222" s="82" t="e">
        <f>SUMIF(#REF!,'BILANCA PO IZVORIMA'!$E222,#REF!)</f>
        <v>#REF!</v>
      </c>
      <c r="P222" s="82" t="e">
        <f>SUMIF(#REF!,'BILANCA PO IZVORIMA'!$E222,#REF!)</f>
        <v>#REF!</v>
      </c>
      <c r="Q222" s="386" t="e">
        <f>SUMIF(#REF!,'BILANCA PO IZVORIMA'!$E222,#REF!)</f>
        <v>#REF!</v>
      </c>
      <c r="R222" s="82" t="e">
        <f>SUMIF(#REF!,'BILANCA PO IZVORIMA'!$E222,#REF!)</f>
        <v>#REF!</v>
      </c>
      <c r="S222" s="82" t="e">
        <f>SUMIF(#REF!,'BILANCA PO IZVORIMA'!$E222,#REF!)</f>
        <v>#REF!</v>
      </c>
      <c r="T222" s="82" t="e">
        <f>SUMIF(#REF!,'BILANCA PO IZVORIMA'!$E$222,#REF!)</f>
        <v>#REF!</v>
      </c>
      <c r="U222" s="357" t="e">
        <f>SUMIF(#REF!,'BILANCA PO IZVORIMA'!$E222,#REF!)</f>
        <v>#REF!</v>
      </c>
      <c r="V222" s="357" t="e">
        <f>SUMIF(#REF!,'BILANCA PO IZVORIMA'!$E222,#REF!)</f>
        <v>#REF!</v>
      </c>
      <c r="W222" s="357" t="e">
        <f>SUMIF(#REF!,'BILANCA PO IZVORIMA'!$E222,#REF!)</f>
        <v>#REF!</v>
      </c>
      <c r="X222" s="357" t="e">
        <f>SUMIF(#REF!,'BILANCA PO IZVORIMA'!$E222,#REF!)</f>
        <v>#REF!</v>
      </c>
      <c r="Y222" s="357">
        <v>6797.83</v>
      </c>
      <c r="Z222" s="614" t="e">
        <f t="shared" si="73"/>
        <v>#REF!</v>
      </c>
      <c r="AA222" s="614" t="e">
        <f t="shared" si="74"/>
        <v>#REF!</v>
      </c>
      <c r="AB222" s="357" t="e">
        <f>SUMIF(#REF!,'BILANCA PO IZVORIMA'!$E222,#REF!)</f>
        <v>#REF!</v>
      </c>
      <c r="AF222" s="60"/>
      <c r="AG222" s="60"/>
      <c r="AH222" s="60"/>
      <c r="AI222" s="60"/>
      <c r="AJ222" s="60"/>
      <c r="AK222" s="60"/>
      <c r="AL222" s="60"/>
      <c r="AM222" s="60"/>
      <c r="AN222" s="60"/>
    </row>
    <row r="223" spans="1:40" ht="24" customHeight="1" x14ac:dyDescent="0.25">
      <c r="A223" s="80"/>
      <c r="B223" s="80"/>
      <c r="C223" s="80"/>
      <c r="D223" s="80"/>
      <c r="E223" s="80">
        <v>3434</v>
      </c>
      <c r="F223" s="81" t="s">
        <v>403</v>
      </c>
      <c r="G223" s="82" t="e">
        <f>SUMIF(#REF!,'BILANCA PO IZVORIMA'!$E223,#REF!)</f>
        <v>#REF!</v>
      </c>
      <c r="H223" s="82" t="e">
        <f>SUMIF(#REF!,'BILANCA PO IZVORIMA'!$E223,#REF!)</f>
        <v>#REF!</v>
      </c>
      <c r="I223" s="82" t="e">
        <f>SUMIF(#REF!,'BILANCA PO IZVORIMA'!$E223,#REF!)</f>
        <v>#REF!</v>
      </c>
      <c r="J223" s="82" t="e">
        <f>SUMIF(#REF!,'BILANCA PO IZVORIMA'!$E223,#REF!)</f>
        <v>#REF!</v>
      </c>
      <c r="K223" s="82" t="e">
        <f>SUMIF(#REF!,'BILANCA PO IZVORIMA'!$E223,#REF!)</f>
        <v>#REF!</v>
      </c>
      <c r="L223" s="82" t="e">
        <f>ROUND(K223/J223*100,2)</f>
        <v>#REF!</v>
      </c>
      <c r="M223" s="82" t="e">
        <f>N223-J223</f>
        <v>#REF!</v>
      </c>
      <c r="N223" s="82" t="e">
        <f>SUMIF(#REF!,'BILANCA PO IZVORIMA'!$E223,#REF!)</f>
        <v>#REF!</v>
      </c>
      <c r="O223" s="82" t="e">
        <f>SUMIF(#REF!,'BILANCA PO IZVORIMA'!$E223,#REF!)</f>
        <v>#REF!</v>
      </c>
      <c r="P223" s="82" t="e">
        <f>SUMIF(#REF!,'BILANCA PO IZVORIMA'!$E223,#REF!)</f>
        <v>#REF!</v>
      </c>
      <c r="Q223" s="386" t="e">
        <f>SUMIF(#REF!,'BILANCA PO IZVORIMA'!$E223,#REF!)</f>
        <v>#REF!</v>
      </c>
      <c r="R223" s="82" t="e">
        <f>SUMIF(#REF!,'BILANCA PO IZVORIMA'!$E223,#REF!)</f>
        <v>#REF!</v>
      </c>
      <c r="S223" s="82" t="e">
        <f>SUMIF(#REF!,'BILANCA PO IZVORIMA'!$E223,#REF!)</f>
        <v>#REF!</v>
      </c>
      <c r="T223" s="82" t="e">
        <f>SUMIF(#REF!,'BILANCA PO IZVORIMA'!$E$223,#REF!)</f>
        <v>#REF!</v>
      </c>
      <c r="U223" s="357" t="e">
        <f>SUMIF(#REF!,'BILANCA PO IZVORIMA'!$E223,#REF!)</f>
        <v>#REF!</v>
      </c>
      <c r="V223" s="357" t="e">
        <f>SUMIF(#REF!,'BILANCA PO IZVORIMA'!$E223,#REF!)</f>
        <v>#REF!</v>
      </c>
      <c r="W223" s="357" t="e">
        <f>SUMIF(#REF!,'BILANCA PO IZVORIMA'!$E223,#REF!)</f>
        <v>#REF!</v>
      </c>
      <c r="X223" s="357" t="e">
        <f>SUMIF(#REF!,'BILANCA PO IZVORIMA'!$E223,#REF!)</f>
        <v>#REF!</v>
      </c>
      <c r="Y223" s="357">
        <v>54062.76</v>
      </c>
      <c r="Z223" s="614" t="e">
        <f t="shared" si="73"/>
        <v>#REF!</v>
      </c>
      <c r="AA223" s="614" t="e">
        <f t="shared" si="74"/>
        <v>#REF!</v>
      </c>
      <c r="AB223" s="357" t="e">
        <f>SUMIF(#REF!,'BILANCA PO IZVORIMA'!$E223,#REF!)</f>
        <v>#REF!</v>
      </c>
      <c r="AF223" s="60"/>
      <c r="AG223" s="60"/>
      <c r="AH223" s="60"/>
      <c r="AI223" s="60"/>
      <c r="AJ223" s="60"/>
      <c r="AK223" s="60"/>
      <c r="AL223" s="60"/>
      <c r="AM223" s="60"/>
      <c r="AN223" s="60"/>
    </row>
    <row r="224" spans="1:40" ht="18" customHeight="1" x14ac:dyDescent="0.25">
      <c r="A224" s="125"/>
      <c r="B224" s="74"/>
      <c r="C224" s="74" t="str">
        <f>LEFT(E230,2)</f>
        <v>35</v>
      </c>
      <c r="D224" s="74"/>
      <c r="E224" s="74"/>
      <c r="F224" s="75" t="s">
        <v>747</v>
      </c>
      <c r="G224" s="77" t="e">
        <f>G225+G228</f>
        <v>#REF!</v>
      </c>
      <c r="H224" s="118" t="e">
        <f>H225+H228</f>
        <v>#REF!</v>
      </c>
      <c r="I224" s="77" t="e">
        <f>I225+I228</f>
        <v>#REF!</v>
      </c>
      <c r="J224" s="77" t="e">
        <f>J225+J228</f>
        <v>#REF!</v>
      </c>
      <c r="K224" s="77" t="e">
        <f>K225+K228</f>
        <v>#REF!</v>
      </c>
      <c r="L224" s="77" t="e">
        <f>ROUND(K224/J224*100,2)</f>
        <v>#REF!</v>
      </c>
      <c r="M224" s="77" t="e">
        <f>N224-J224</f>
        <v>#REF!</v>
      </c>
      <c r="N224" s="77" t="e">
        <f t="shared" ref="N224:X224" si="78">N225+N228</f>
        <v>#REF!</v>
      </c>
      <c r="O224" s="76" t="e">
        <f t="shared" si="78"/>
        <v>#REF!</v>
      </c>
      <c r="P224" s="76" t="e">
        <f t="shared" si="78"/>
        <v>#REF!</v>
      </c>
      <c r="Q224" s="385" t="e">
        <f t="shared" si="78"/>
        <v>#REF!</v>
      </c>
      <c r="R224" s="135" t="e">
        <f t="shared" si="78"/>
        <v>#REF!</v>
      </c>
      <c r="S224" s="135" t="e">
        <f t="shared" si="78"/>
        <v>#REF!</v>
      </c>
      <c r="T224" s="135" t="e">
        <f t="shared" si="78"/>
        <v>#REF!</v>
      </c>
      <c r="U224" s="356" t="e">
        <f t="shared" si="78"/>
        <v>#REF!</v>
      </c>
      <c r="V224" s="356" t="e">
        <f t="shared" si="78"/>
        <v>#REF!</v>
      </c>
      <c r="W224" s="356" t="e">
        <f t="shared" si="78"/>
        <v>#REF!</v>
      </c>
      <c r="X224" s="356" t="e">
        <f t="shared" si="78"/>
        <v>#REF!</v>
      </c>
      <c r="Y224" s="356">
        <f>Y225+Y228</f>
        <v>1314001.45</v>
      </c>
      <c r="Z224" s="610" t="e">
        <f t="shared" si="73"/>
        <v>#REF!</v>
      </c>
      <c r="AA224" s="610" t="e">
        <f t="shared" si="74"/>
        <v>#REF!</v>
      </c>
      <c r="AB224" s="356" t="e">
        <f>AB225+AB228</f>
        <v>#REF!</v>
      </c>
      <c r="AF224" s="60"/>
      <c r="AG224" s="60"/>
      <c r="AH224" s="60"/>
      <c r="AI224" s="60"/>
      <c r="AJ224" s="60"/>
      <c r="AK224" s="60"/>
      <c r="AL224" s="60"/>
      <c r="AM224" s="60"/>
      <c r="AN224" s="60"/>
    </row>
    <row r="225" spans="1:40" s="373" customFormat="1" ht="20.25" customHeight="1" x14ac:dyDescent="0.25">
      <c r="A225" s="119"/>
      <c r="B225" s="119"/>
      <c r="C225" s="119"/>
      <c r="D225" s="119" t="s">
        <v>1018</v>
      </c>
      <c r="E225" s="119"/>
      <c r="F225" s="368" t="s">
        <v>752</v>
      </c>
      <c r="G225" s="369" t="e">
        <f>G226</f>
        <v>#REF!</v>
      </c>
      <c r="H225" s="370" t="e">
        <f>H226</f>
        <v>#REF!</v>
      </c>
      <c r="I225" s="369" t="e">
        <f t="shared" ref="I225:X225" si="79">I226+I227</f>
        <v>#REF!</v>
      </c>
      <c r="J225" s="369" t="e">
        <f t="shared" si="79"/>
        <v>#REF!</v>
      </c>
      <c r="K225" s="369" t="e">
        <f t="shared" si="79"/>
        <v>#REF!</v>
      </c>
      <c r="L225" s="369" t="e">
        <f t="shared" si="79"/>
        <v>#REF!</v>
      </c>
      <c r="M225" s="369" t="e">
        <f t="shared" si="79"/>
        <v>#REF!</v>
      </c>
      <c r="N225" s="369" t="e">
        <f t="shared" si="79"/>
        <v>#REF!</v>
      </c>
      <c r="O225" s="369" t="e">
        <f t="shared" si="79"/>
        <v>#REF!</v>
      </c>
      <c r="P225" s="369" t="e">
        <f t="shared" si="79"/>
        <v>#REF!</v>
      </c>
      <c r="Q225" s="392" t="e">
        <f t="shared" si="79"/>
        <v>#REF!</v>
      </c>
      <c r="R225" s="369" t="e">
        <f t="shared" si="79"/>
        <v>#REF!</v>
      </c>
      <c r="S225" s="369" t="e">
        <f t="shared" si="79"/>
        <v>#REF!</v>
      </c>
      <c r="T225" s="369" t="e">
        <f t="shared" si="79"/>
        <v>#REF!</v>
      </c>
      <c r="U225" s="371" t="e">
        <f t="shared" si="79"/>
        <v>#REF!</v>
      </c>
      <c r="V225" s="371" t="e">
        <f t="shared" si="79"/>
        <v>#REF!</v>
      </c>
      <c r="W225" s="371" t="e">
        <f t="shared" si="79"/>
        <v>#REF!</v>
      </c>
      <c r="X225" s="371" t="e">
        <f t="shared" si="79"/>
        <v>#REF!</v>
      </c>
      <c r="Y225" s="371">
        <f>Y226+Y227</f>
        <v>585051.19999999995</v>
      </c>
      <c r="Z225" s="590" t="e">
        <f t="shared" si="73"/>
        <v>#REF!</v>
      </c>
      <c r="AA225" s="590" t="e">
        <f t="shared" si="74"/>
        <v>#REF!</v>
      </c>
      <c r="AB225" s="371" t="e">
        <f>AB226+AB227</f>
        <v>#REF!</v>
      </c>
      <c r="AC225" s="372"/>
      <c r="AD225" s="372"/>
      <c r="AE225" s="372"/>
      <c r="AF225" s="372"/>
      <c r="AG225" s="372"/>
      <c r="AH225" s="372"/>
      <c r="AI225" s="372"/>
      <c r="AJ225" s="372"/>
      <c r="AK225" s="372"/>
      <c r="AL225" s="372"/>
      <c r="AM225" s="372"/>
      <c r="AN225" s="372"/>
    </row>
    <row r="226" spans="1:40" ht="54" customHeight="1" x14ac:dyDescent="0.25">
      <c r="A226" s="80"/>
      <c r="B226" s="80"/>
      <c r="C226" s="80"/>
      <c r="D226" s="80"/>
      <c r="E226" s="80">
        <v>3511</v>
      </c>
      <c r="F226" s="81" t="s">
        <v>323</v>
      </c>
      <c r="G226" s="82" t="e">
        <f>SUMIF(#REF!,'BILANCA PO IZVORIMA'!$E226,#REF!)</f>
        <v>#REF!</v>
      </c>
      <c r="H226" s="82" t="e">
        <f>SUMIF(#REF!,'BILANCA PO IZVORIMA'!$E226,#REF!)</f>
        <v>#REF!</v>
      </c>
      <c r="I226" s="82" t="e">
        <f>SUMIF(#REF!,'BILANCA PO IZVORIMA'!$E226,#REF!)</f>
        <v>#REF!</v>
      </c>
      <c r="J226" s="82" t="e">
        <f>SUMIF(#REF!,'BILANCA PO IZVORIMA'!$E226,#REF!)</f>
        <v>#REF!</v>
      </c>
      <c r="K226" s="82" t="e">
        <f>SUMIF(#REF!,'BILANCA PO IZVORIMA'!$E226,#REF!)</f>
        <v>#REF!</v>
      </c>
      <c r="L226" s="82" t="e">
        <f>ROUND(K226/J226*100,2)</f>
        <v>#REF!</v>
      </c>
      <c r="M226" s="82" t="e">
        <f>N226-J226</f>
        <v>#REF!</v>
      </c>
      <c r="N226" s="82" t="e">
        <f>SUMIF(#REF!,'BILANCA PO IZVORIMA'!$E226,#REF!)</f>
        <v>#REF!</v>
      </c>
      <c r="O226" s="82" t="e">
        <f>SUMIF(#REF!,'BILANCA PO IZVORIMA'!$E226,#REF!)</f>
        <v>#REF!</v>
      </c>
      <c r="P226" s="82" t="e">
        <f>SUMIF(#REF!,'BILANCA PO IZVORIMA'!$E226,#REF!)</f>
        <v>#REF!</v>
      </c>
      <c r="Q226" s="386" t="e">
        <f>SUMIF(#REF!,'BILANCA PO IZVORIMA'!$E226,#REF!)</f>
        <v>#REF!</v>
      </c>
      <c r="R226" s="82" t="e">
        <f>SUMIF(#REF!,'BILANCA PO IZVORIMA'!$E226,#REF!)</f>
        <v>#REF!</v>
      </c>
      <c r="S226" s="82" t="e">
        <f>SUMIF(#REF!,'BILANCA PO IZVORIMA'!$E226,#REF!)</f>
        <v>#REF!</v>
      </c>
      <c r="T226" s="82" t="e">
        <f>SUMIF(#REF!,'BILANCA PO IZVORIMA'!$E$226,#REF!)</f>
        <v>#REF!</v>
      </c>
      <c r="U226" s="357" t="e">
        <f>SUMIF(#REF!,'BILANCA PO IZVORIMA'!$E226,#REF!)</f>
        <v>#REF!</v>
      </c>
      <c r="V226" s="357" t="e">
        <f>SUMIF(#REF!,'BILANCA PO IZVORIMA'!$E226,#REF!)</f>
        <v>#REF!</v>
      </c>
      <c r="W226" s="357" t="e">
        <f>SUMIF(#REF!,'BILANCA PO IZVORIMA'!$E226,#REF!)</f>
        <v>#REF!</v>
      </c>
      <c r="X226" s="357" t="e">
        <f>SUMIF(#REF!,'BILANCA PO IZVORIMA'!$E226,#REF!)</f>
        <v>#REF!</v>
      </c>
      <c r="Y226" s="357">
        <v>470581.56</v>
      </c>
      <c r="Z226" s="614" t="e">
        <f t="shared" si="73"/>
        <v>#REF!</v>
      </c>
      <c r="AA226" s="614" t="e">
        <f t="shared" si="74"/>
        <v>#REF!</v>
      </c>
      <c r="AB226" s="357" t="e">
        <f>SUMIF(#REF!,'BILANCA PO IZVORIMA'!$E226,#REF!)</f>
        <v>#REF!</v>
      </c>
      <c r="AF226" s="60"/>
      <c r="AG226" s="60"/>
      <c r="AH226" s="60"/>
      <c r="AI226" s="60"/>
      <c r="AJ226" s="60"/>
      <c r="AK226" s="60"/>
      <c r="AL226" s="60"/>
      <c r="AM226" s="60"/>
      <c r="AN226" s="60"/>
    </row>
    <row r="227" spans="1:40" ht="23.25" customHeight="1" x14ac:dyDescent="0.25">
      <c r="A227" s="80"/>
      <c r="B227" s="80"/>
      <c r="C227" s="80"/>
      <c r="D227" s="80"/>
      <c r="E227" s="136">
        <v>3512</v>
      </c>
      <c r="F227" s="81" t="s">
        <v>752</v>
      </c>
      <c r="G227" s="82" t="e">
        <f>SUMIF(#REF!,'BILANCA PO IZVORIMA'!$E227,#REF!)</f>
        <v>#REF!</v>
      </c>
      <c r="H227" s="82" t="e">
        <f>SUMIF(#REF!,'BILANCA PO IZVORIMA'!$E227,#REF!)</f>
        <v>#REF!</v>
      </c>
      <c r="I227" s="82" t="e">
        <f>SUMIF(#REF!,'BILANCA PO IZVORIMA'!$E227,#REF!)</f>
        <v>#REF!</v>
      </c>
      <c r="J227" s="82" t="e">
        <f>SUMIF(#REF!,'BILANCA PO IZVORIMA'!$E227,#REF!)</f>
        <v>#REF!</v>
      </c>
      <c r="K227" s="82" t="e">
        <f>SUMIF(#REF!,'BILANCA PO IZVORIMA'!$E227,#REF!)</f>
        <v>#REF!</v>
      </c>
      <c r="L227" s="82" t="e">
        <f>ROUND(K227/J227*100,2)</f>
        <v>#REF!</v>
      </c>
      <c r="M227" s="82" t="e">
        <f>N227-J227</f>
        <v>#REF!</v>
      </c>
      <c r="N227" s="82" t="e">
        <f>SUMIF(#REF!,'BILANCA PO IZVORIMA'!$E227,#REF!)</f>
        <v>#REF!</v>
      </c>
      <c r="O227" s="82" t="e">
        <f>SUMIF(#REF!,'BILANCA PO IZVORIMA'!$E227,#REF!)</f>
        <v>#REF!</v>
      </c>
      <c r="P227" s="82" t="e">
        <f>SUMIF(#REF!,'BILANCA PO IZVORIMA'!$E227,#REF!)</f>
        <v>#REF!</v>
      </c>
      <c r="Q227" s="386" t="e">
        <f>SUMIF(#REF!,'BILANCA PO IZVORIMA'!$E227,#REF!)</f>
        <v>#REF!</v>
      </c>
      <c r="R227" s="82" t="e">
        <f>SUMIF(#REF!,'BILANCA PO IZVORIMA'!$E227,#REF!)</f>
        <v>#REF!</v>
      </c>
      <c r="S227" s="82" t="e">
        <f>SUMIF(#REF!,'BILANCA PO IZVORIMA'!$E227,#REF!)</f>
        <v>#REF!</v>
      </c>
      <c r="T227" s="82" t="e">
        <f>SUMIF(#REF!,'BILANCA PO IZVORIMA'!$E$227,#REF!)</f>
        <v>#REF!</v>
      </c>
      <c r="U227" s="357" t="e">
        <f>SUMIF(#REF!,'BILANCA PO IZVORIMA'!$E227,#REF!)</f>
        <v>#REF!</v>
      </c>
      <c r="V227" s="357" t="e">
        <f>SUMIF(#REF!,'BILANCA PO IZVORIMA'!$E227,#REF!)</f>
        <v>#REF!</v>
      </c>
      <c r="W227" s="357" t="e">
        <f>SUMIF(#REF!,'BILANCA PO IZVORIMA'!$E227,#REF!)</f>
        <v>#REF!</v>
      </c>
      <c r="X227" s="357" t="e">
        <f>SUMIF(#REF!,'BILANCA PO IZVORIMA'!$E227,#REF!)</f>
        <v>#REF!</v>
      </c>
      <c r="Y227" s="357">
        <v>114469.64</v>
      </c>
      <c r="Z227" s="614" t="e">
        <f t="shared" si="73"/>
        <v>#REF!</v>
      </c>
      <c r="AA227" s="614" t="e">
        <f t="shared" si="74"/>
        <v>#REF!</v>
      </c>
      <c r="AB227" s="357" t="e">
        <f>SUMIF(#REF!,'BILANCA PO IZVORIMA'!$E227,#REF!)</f>
        <v>#REF!</v>
      </c>
      <c r="AF227" s="60"/>
      <c r="AG227" s="60"/>
      <c r="AH227" s="60"/>
      <c r="AI227" s="60"/>
      <c r="AJ227" s="60"/>
      <c r="AK227" s="60"/>
      <c r="AL227" s="60"/>
      <c r="AM227" s="60"/>
      <c r="AN227" s="60"/>
    </row>
    <row r="228" spans="1:40" s="373" customFormat="1" ht="54.75" customHeight="1" x14ac:dyDescent="0.25">
      <c r="A228" s="119"/>
      <c r="B228" s="119"/>
      <c r="C228" s="119"/>
      <c r="D228" s="119" t="str">
        <f>LEFT(E230,3)</f>
        <v>352</v>
      </c>
      <c r="E228" s="119"/>
      <c r="F228" s="368" t="s">
        <v>748</v>
      </c>
      <c r="G228" s="137" t="e">
        <f t="shared" ref="G228:X228" si="80">G230+G229</f>
        <v>#REF!</v>
      </c>
      <c r="H228" s="137" t="e">
        <f t="shared" si="80"/>
        <v>#REF!</v>
      </c>
      <c r="I228" s="137" t="e">
        <f t="shared" si="80"/>
        <v>#REF!</v>
      </c>
      <c r="J228" s="137" t="e">
        <f t="shared" si="80"/>
        <v>#REF!</v>
      </c>
      <c r="K228" s="137" t="e">
        <f t="shared" si="80"/>
        <v>#REF!</v>
      </c>
      <c r="L228" s="137" t="e">
        <f t="shared" si="80"/>
        <v>#REF!</v>
      </c>
      <c r="M228" s="137" t="e">
        <f t="shared" si="80"/>
        <v>#REF!</v>
      </c>
      <c r="N228" s="137" t="e">
        <f t="shared" si="80"/>
        <v>#REF!</v>
      </c>
      <c r="O228" s="137" t="e">
        <f t="shared" si="80"/>
        <v>#REF!</v>
      </c>
      <c r="P228" s="137" t="e">
        <f t="shared" si="80"/>
        <v>#REF!</v>
      </c>
      <c r="Q228" s="393" t="e">
        <f t="shared" si="80"/>
        <v>#REF!</v>
      </c>
      <c r="R228" s="137" t="e">
        <f t="shared" si="80"/>
        <v>#REF!</v>
      </c>
      <c r="S228" s="137" t="e">
        <f t="shared" si="80"/>
        <v>#REF!</v>
      </c>
      <c r="T228" s="137" t="e">
        <f t="shared" si="80"/>
        <v>#REF!</v>
      </c>
      <c r="U228" s="371" t="e">
        <f t="shared" si="80"/>
        <v>#REF!</v>
      </c>
      <c r="V228" s="371" t="e">
        <f t="shared" si="80"/>
        <v>#REF!</v>
      </c>
      <c r="W228" s="371" t="e">
        <f t="shared" si="80"/>
        <v>#REF!</v>
      </c>
      <c r="X228" s="371" t="e">
        <f t="shared" si="80"/>
        <v>#REF!</v>
      </c>
      <c r="Y228" s="371">
        <f>Y229+Y230</f>
        <v>728950.25</v>
      </c>
      <c r="Z228" s="590" t="e">
        <f t="shared" si="73"/>
        <v>#REF!</v>
      </c>
      <c r="AA228" s="590" t="e">
        <f t="shared" si="74"/>
        <v>#REF!</v>
      </c>
      <c r="AB228" s="371" t="e">
        <f>AB230+AB229</f>
        <v>#REF!</v>
      </c>
      <c r="AC228" s="372"/>
      <c r="AD228" s="372"/>
      <c r="AE228" s="372"/>
      <c r="AF228" s="372"/>
      <c r="AG228" s="372"/>
      <c r="AH228" s="372"/>
      <c r="AI228" s="372"/>
      <c r="AJ228" s="372"/>
      <c r="AK228" s="372"/>
      <c r="AL228" s="372"/>
      <c r="AM228" s="372"/>
      <c r="AN228" s="372"/>
    </row>
    <row r="229" spans="1:40" ht="37.5" customHeight="1" x14ac:dyDescent="0.25">
      <c r="A229" s="80"/>
      <c r="B229" s="80"/>
      <c r="C229" s="80"/>
      <c r="D229" s="80"/>
      <c r="E229" s="80">
        <v>3522</v>
      </c>
      <c r="F229" s="81" t="s">
        <v>498</v>
      </c>
      <c r="G229" s="82" t="e">
        <f>SUMIF(#REF!,'BILANCA PO IZVORIMA'!$E229,#REF!)</f>
        <v>#REF!</v>
      </c>
      <c r="H229" s="82" t="e">
        <f>SUMIF(#REF!,'BILANCA PO IZVORIMA'!$E229,#REF!)</f>
        <v>#REF!</v>
      </c>
      <c r="I229" s="82" t="e">
        <f>SUMIF(#REF!,'BILANCA PO IZVORIMA'!$E229,#REF!)</f>
        <v>#REF!</v>
      </c>
      <c r="J229" s="82" t="e">
        <f>SUMIF(#REF!,'BILANCA PO IZVORIMA'!$E229,#REF!)</f>
        <v>#REF!</v>
      </c>
      <c r="K229" s="82" t="e">
        <f>SUMIF(#REF!,'BILANCA PO IZVORIMA'!$E229,#REF!)</f>
        <v>#REF!</v>
      </c>
      <c r="L229" s="84"/>
      <c r="M229" s="82" t="e">
        <f>N229-J229</f>
        <v>#REF!</v>
      </c>
      <c r="N229" s="82" t="e">
        <f>SUMIF(#REF!,'BILANCA PO IZVORIMA'!$E229,#REF!)</f>
        <v>#REF!</v>
      </c>
      <c r="O229" s="82" t="e">
        <f>SUMIF(#REF!,'BILANCA PO IZVORIMA'!$E229,#REF!)</f>
        <v>#REF!</v>
      </c>
      <c r="P229" s="82" t="e">
        <f>SUMIF(#REF!,'BILANCA PO IZVORIMA'!$E229,#REF!)</f>
        <v>#REF!</v>
      </c>
      <c r="Q229" s="386" t="e">
        <f>SUMIF(#REF!,'BILANCA PO IZVORIMA'!$E229,#REF!)</f>
        <v>#REF!</v>
      </c>
      <c r="R229" s="82" t="e">
        <f>SUMIF(#REF!,'BILANCA PO IZVORIMA'!$E229,#REF!)</f>
        <v>#REF!</v>
      </c>
      <c r="S229" s="82" t="e">
        <f>SUMIF(#REF!,'BILANCA PO IZVORIMA'!$E229,#REF!)</f>
        <v>#REF!</v>
      </c>
      <c r="T229" s="82" t="e">
        <f>SUMIF(#REF!,'BILANCA PO IZVORIMA'!$E$229,#REF!)</f>
        <v>#REF!</v>
      </c>
      <c r="U229" s="357" t="e">
        <f>SUMIF(#REF!,'BILANCA PO IZVORIMA'!$E229,#REF!)</f>
        <v>#REF!</v>
      </c>
      <c r="V229" s="357" t="e">
        <f>SUMIF(#REF!,'BILANCA PO IZVORIMA'!$E229,#REF!)</f>
        <v>#REF!</v>
      </c>
      <c r="W229" s="357" t="e">
        <f>SUMIF(#REF!,'BILANCA PO IZVORIMA'!$E229,#REF!)</f>
        <v>#REF!</v>
      </c>
      <c r="X229" s="357" t="e">
        <f>SUMIF(#REF!,'BILANCA PO IZVORIMA'!$E229,#REF!)</f>
        <v>#REF!</v>
      </c>
      <c r="Y229" s="357">
        <v>0</v>
      </c>
      <c r="Z229" s="614" t="e">
        <f t="shared" si="73"/>
        <v>#REF!</v>
      </c>
      <c r="AA229" s="614" t="e">
        <f t="shared" si="74"/>
        <v>#REF!</v>
      </c>
      <c r="AB229" s="357" t="e">
        <f>SUMIF(#REF!,'BILANCA PO IZVORIMA'!$E229,#REF!)</f>
        <v>#REF!</v>
      </c>
      <c r="AF229" s="60"/>
      <c r="AG229" s="60"/>
      <c r="AH229" s="60"/>
      <c r="AI229" s="60"/>
      <c r="AJ229" s="60"/>
      <c r="AK229" s="60"/>
      <c r="AL229" s="60"/>
      <c r="AM229" s="60"/>
      <c r="AN229" s="60"/>
    </row>
    <row r="230" spans="1:40" ht="26.25" customHeight="1" x14ac:dyDescent="0.25">
      <c r="A230" s="80"/>
      <c r="B230" s="80"/>
      <c r="C230" s="80"/>
      <c r="D230" s="80"/>
      <c r="E230" s="80">
        <v>3523</v>
      </c>
      <c r="F230" s="81" t="s">
        <v>324</v>
      </c>
      <c r="G230" s="82" t="e">
        <f>SUMIF(#REF!,'BILANCA PO IZVORIMA'!$E230,#REF!)</f>
        <v>#REF!</v>
      </c>
      <c r="H230" s="82" t="e">
        <f>SUMIF(#REF!,'BILANCA PO IZVORIMA'!$E230,#REF!)</f>
        <v>#REF!</v>
      </c>
      <c r="I230" s="82" t="e">
        <f>SUMIF(#REF!,'BILANCA PO IZVORIMA'!$E230,#REF!)</f>
        <v>#REF!</v>
      </c>
      <c r="J230" s="82" t="e">
        <f>SUMIF(#REF!,'BILANCA PO IZVORIMA'!$E230,#REF!)</f>
        <v>#REF!</v>
      </c>
      <c r="K230" s="82" t="e">
        <f>SUMIF(#REF!,'BILANCA PO IZVORIMA'!$E230,#REF!)</f>
        <v>#REF!</v>
      </c>
      <c r="L230" s="82" t="e">
        <f>ROUND(K230/J230*100,2)</f>
        <v>#REF!</v>
      </c>
      <c r="M230" s="82" t="e">
        <f>N230-J230</f>
        <v>#REF!</v>
      </c>
      <c r="N230" s="82" t="e">
        <f>SUMIF(#REF!,'BILANCA PO IZVORIMA'!$E230,#REF!)</f>
        <v>#REF!</v>
      </c>
      <c r="O230" s="82" t="e">
        <f>SUMIF(#REF!,'BILANCA PO IZVORIMA'!$E230,#REF!)</f>
        <v>#REF!</v>
      </c>
      <c r="P230" s="82" t="e">
        <f>SUMIF(#REF!,'BILANCA PO IZVORIMA'!$E230,#REF!)</f>
        <v>#REF!</v>
      </c>
      <c r="Q230" s="386" t="e">
        <f>SUMIF(#REF!,'BILANCA PO IZVORIMA'!$E230,#REF!)</f>
        <v>#REF!</v>
      </c>
      <c r="R230" s="82" t="e">
        <f>SUMIF(#REF!,'BILANCA PO IZVORIMA'!$E230,#REF!)</f>
        <v>#REF!</v>
      </c>
      <c r="S230" s="82" t="e">
        <f>SUMIF(#REF!,'BILANCA PO IZVORIMA'!$E230,#REF!)</f>
        <v>#REF!</v>
      </c>
      <c r="T230" s="82" t="e">
        <f>SUMIF(#REF!,'BILANCA PO IZVORIMA'!$E$230,#REF!)</f>
        <v>#REF!</v>
      </c>
      <c r="U230" s="357" t="e">
        <f>SUMIF(#REF!,'BILANCA PO IZVORIMA'!$E230,#REF!)</f>
        <v>#REF!</v>
      </c>
      <c r="V230" s="357" t="e">
        <f>SUMIF(#REF!,'BILANCA PO IZVORIMA'!$E230,#REF!)</f>
        <v>#REF!</v>
      </c>
      <c r="W230" s="357" t="e">
        <f>SUMIF(#REF!,'BILANCA PO IZVORIMA'!$E230,#REF!)</f>
        <v>#REF!</v>
      </c>
      <c r="X230" s="357" t="e">
        <f>SUMIF(#REF!,'BILANCA PO IZVORIMA'!$E230,#REF!)</f>
        <v>#REF!</v>
      </c>
      <c r="Y230" s="357">
        <v>728950.25</v>
      </c>
      <c r="Z230" s="614" t="e">
        <f t="shared" si="73"/>
        <v>#REF!</v>
      </c>
      <c r="AA230" s="614" t="e">
        <f t="shared" si="74"/>
        <v>#REF!</v>
      </c>
      <c r="AB230" s="357" t="e">
        <f>SUMIF(#REF!,'BILANCA PO IZVORIMA'!$E230,#REF!)</f>
        <v>#REF!</v>
      </c>
      <c r="AF230" s="60"/>
      <c r="AG230" s="60"/>
      <c r="AH230" s="60"/>
      <c r="AI230" s="60"/>
      <c r="AJ230" s="60"/>
      <c r="AK230" s="60"/>
      <c r="AL230" s="60"/>
      <c r="AM230" s="60"/>
      <c r="AN230" s="60"/>
    </row>
    <row r="231" spans="1:40" ht="38.25" customHeight="1" x14ac:dyDescent="0.25">
      <c r="A231" s="125"/>
      <c r="B231" s="74"/>
      <c r="C231" s="74" t="str">
        <f>LEFT(E233,2)</f>
        <v>36</v>
      </c>
      <c r="D231" s="74"/>
      <c r="E231" s="74"/>
      <c r="F231" s="75" t="s">
        <v>751</v>
      </c>
      <c r="G231" s="77" t="e">
        <f>G232</f>
        <v>#REF!</v>
      </c>
      <c r="H231" s="118" t="e">
        <f>H232</f>
        <v>#REF!</v>
      </c>
      <c r="I231" s="77" t="e">
        <f>I232</f>
        <v>#REF!</v>
      </c>
      <c r="J231" s="77" t="e">
        <f>J232</f>
        <v>#REF!</v>
      </c>
      <c r="K231" s="77" t="e">
        <f>K232</f>
        <v>#REF!</v>
      </c>
      <c r="L231" s="77" t="e">
        <f>ROUND(K231/J231*100,2)</f>
        <v>#REF!</v>
      </c>
      <c r="M231" s="77" t="e">
        <f>N231-J231</f>
        <v>#REF!</v>
      </c>
      <c r="N231" s="77" t="e">
        <f t="shared" ref="N231:X231" si="81">N232</f>
        <v>#REF!</v>
      </c>
      <c r="O231" s="76" t="e">
        <f t="shared" si="81"/>
        <v>#REF!</v>
      </c>
      <c r="P231" s="76" t="e">
        <f t="shared" si="81"/>
        <v>#REF!</v>
      </c>
      <c r="Q231" s="385" t="e">
        <f t="shared" si="81"/>
        <v>#REF!</v>
      </c>
      <c r="R231" s="135" t="e">
        <f t="shared" si="81"/>
        <v>#REF!</v>
      </c>
      <c r="S231" s="135" t="e">
        <f t="shared" si="81"/>
        <v>#REF!</v>
      </c>
      <c r="T231" s="135" t="e">
        <f t="shared" si="81"/>
        <v>#REF!</v>
      </c>
      <c r="U231" s="356" t="e">
        <f t="shared" si="81"/>
        <v>#REF!</v>
      </c>
      <c r="V231" s="356" t="e">
        <f t="shared" si="81"/>
        <v>#REF!</v>
      </c>
      <c r="W231" s="356" t="e">
        <f t="shared" si="81"/>
        <v>#REF!</v>
      </c>
      <c r="X231" s="356" t="e">
        <f t="shared" si="81"/>
        <v>#REF!</v>
      </c>
      <c r="Y231" s="356">
        <f>Y232</f>
        <v>1378165.56</v>
      </c>
      <c r="Z231" s="610" t="e">
        <f t="shared" si="73"/>
        <v>#REF!</v>
      </c>
      <c r="AA231" s="610" t="e">
        <f t="shared" si="74"/>
        <v>#REF!</v>
      </c>
      <c r="AB231" s="356" t="e">
        <f>AB232</f>
        <v>#REF!</v>
      </c>
      <c r="AF231" s="60"/>
      <c r="AG231" s="60"/>
      <c r="AH231" s="60"/>
      <c r="AI231" s="60"/>
      <c r="AJ231" s="60"/>
      <c r="AK231" s="60"/>
      <c r="AL231" s="60"/>
      <c r="AM231" s="60"/>
      <c r="AN231" s="60"/>
    </row>
    <row r="232" spans="1:40" s="373" customFormat="1" ht="21" customHeight="1" x14ac:dyDescent="0.25">
      <c r="A232" s="119"/>
      <c r="B232" s="119"/>
      <c r="C232" s="119"/>
      <c r="D232" s="119" t="str">
        <f>LEFT(E233,3)</f>
        <v>363</v>
      </c>
      <c r="E232" s="119"/>
      <c r="F232" s="368" t="s">
        <v>536</v>
      </c>
      <c r="G232" s="369" t="e">
        <f t="shared" ref="G232:X232" si="82">SUM(G233:G234)</f>
        <v>#REF!</v>
      </c>
      <c r="H232" s="370" t="e">
        <f t="shared" si="82"/>
        <v>#REF!</v>
      </c>
      <c r="I232" s="369" t="e">
        <f t="shared" si="82"/>
        <v>#REF!</v>
      </c>
      <c r="J232" s="369" t="e">
        <f t="shared" si="82"/>
        <v>#REF!</v>
      </c>
      <c r="K232" s="369" t="e">
        <f t="shared" si="82"/>
        <v>#REF!</v>
      </c>
      <c r="L232" s="369" t="e">
        <f t="shared" si="82"/>
        <v>#REF!</v>
      </c>
      <c r="M232" s="369" t="e">
        <f t="shared" si="82"/>
        <v>#REF!</v>
      </c>
      <c r="N232" s="369" t="e">
        <f t="shared" si="82"/>
        <v>#REF!</v>
      </c>
      <c r="O232" s="369" t="e">
        <f t="shared" si="82"/>
        <v>#REF!</v>
      </c>
      <c r="P232" s="369" t="e">
        <f t="shared" si="82"/>
        <v>#REF!</v>
      </c>
      <c r="Q232" s="392" t="e">
        <f t="shared" si="82"/>
        <v>#REF!</v>
      </c>
      <c r="R232" s="369" t="e">
        <f t="shared" si="82"/>
        <v>#REF!</v>
      </c>
      <c r="S232" s="369" t="e">
        <f t="shared" si="82"/>
        <v>#REF!</v>
      </c>
      <c r="T232" s="369" t="e">
        <f t="shared" si="82"/>
        <v>#REF!</v>
      </c>
      <c r="U232" s="357" t="e">
        <f t="shared" si="82"/>
        <v>#REF!</v>
      </c>
      <c r="V232" s="357" t="e">
        <f t="shared" si="82"/>
        <v>#REF!</v>
      </c>
      <c r="W232" s="357" t="e">
        <f t="shared" si="82"/>
        <v>#REF!</v>
      </c>
      <c r="X232" s="357" t="e">
        <f t="shared" si="82"/>
        <v>#REF!</v>
      </c>
      <c r="Y232" s="357">
        <f>SUM(Y233:Y234)</f>
        <v>1378165.56</v>
      </c>
      <c r="Z232" s="614" t="e">
        <f t="shared" si="73"/>
        <v>#REF!</v>
      </c>
      <c r="AA232" s="614" t="e">
        <f t="shared" si="74"/>
        <v>#REF!</v>
      </c>
      <c r="AB232" s="357" t="e">
        <f>SUM(AB233:AB236)</f>
        <v>#REF!</v>
      </c>
      <c r="AC232" s="372"/>
      <c r="AD232" s="372"/>
      <c r="AE232" s="372"/>
      <c r="AF232" s="372"/>
      <c r="AG232" s="372"/>
      <c r="AH232" s="372"/>
      <c r="AI232" s="372"/>
      <c r="AJ232" s="372"/>
      <c r="AK232" s="372"/>
      <c r="AL232" s="372"/>
      <c r="AM232" s="372"/>
      <c r="AN232" s="372"/>
    </row>
    <row r="233" spans="1:40" ht="20.25" customHeight="1" x14ac:dyDescent="0.25">
      <c r="A233" s="80"/>
      <c r="B233" s="80"/>
      <c r="C233" s="80"/>
      <c r="D233" s="80"/>
      <c r="E233" s="80">
        <v>3631</v>
      </c>
      <c r="F233" s="81" t="s">
        <v>331</v>
      </c>
      <c r="G233" s="82" t="e">
        <f>SUMIF(#REF!,'BILANCA PO IZVORIMA'!$E233,#REF!)</f>
        <v>#REF!</v>
      </c>
      <c r="H233" s="82" t="e">
        <f>SUMIF(#REF!,'BILANCA PO IZVORIMA'!$E233,#REF!)</f>
        <v>#REF!</v>
      </c>
      <c r="I233" s="82" t="e">
        <f>SUMIF(#REF!,'BILANCA PO IZVORIMA'!$E233,#REF!)</f>
        <v>#REF!</v>
      </c>
      <c r="J233" s="82" t="e">
        <f>SUMIF(#REF!,'BILANCA PO IZVORIMA'!$E233,#REF!)</f>
        <v>#REF!</v>
      </c>
      <c r="K233" s="82" t="e">
        <f>SUMIF(#REF!,'BILANCA PO IZVORIMA'!$E233,#REF!)</f>
        <v>#REF!</v>
      </c>
      <c r="L233" s="82" t="e">
        <f>ROUND(K233/J233*100,2)</f>
        <v>#REF!</v>
      </c>
      <c r="M233" s="82" t="e">
        <f>N233-J233</f>
        <v>#REF!</v>
      </c>
      <c r="N233" s="82" t="e">
        <f>SUMIF(#REF!,'BILANCA PO IZVORIMA'!$E233,#REF!)</f>
        <v>#REF!</v>
      </c>
      <c r="O233" s="82" t="e">
        <f>SUMIF(#REF!,'BILANCA PO IZVORIMA'!$E233,#REF!)</f>
        <v>#REF!</v>
      </c>
      <c r="P233" s="82" t="e">
        <f>SUMIF(#REF!,'BILANCA PO IZVORIMA'!$E233,#REF!)</f>
        <v>#REF!</v>
      </c>
      <c r="Q233" s="386" t="e">
        <f>SUMIF(#REF!,'BILANCA PO IZVORIMA'!$E233,#REF!)</f>
        <v>#REF!</v>
      </c>
      <c r="R233" s="82" t="e">
        <f>SUMIF(#REF!,'BILANCA PO IZVORIMA'!$E233,#REF!)</f>
        <v>#REF!</v>
      </c>
      <c r="S233" s="82" t="e">
        <f>SUMIF(#REF!,'BILANCA PO IZVORIMA'!$E233,#REF!)</f>
        <v>#REF!</v>
      </c>
      <c r="T233" s="82" t="e">
        <f>SUMIF(#REF!,'BILANCA PO IZVORIMA'!$E$233,#REF!)</f>
        <v>#REF!</v>
      </c>
      <c r="U233" s="357" t="e">
        <f>SUMIF(#REF!,'BILANCA PO IZVORIMA'!$E233,#REF!)</f>
        <v>#REF!</v>
      </c>
      <c r="V233" s="357" t="e">
        <f>SUMIF(#REF!,'BILANCA PO IZVORIMA'!$E233,#REF!)</f>
        <v>#REF!</v>
      </c>
      <c r="W233" s="357" t="e">
        <f>SUMIF(#REF!,'BILANCA PO IZVORIMA'!$E233,#REF!)</f>
        <v>#REF!</v>
      </c>
      <c r="X233" s="357" t="e">
        <f>SUMIF(#REF!,'BILANCA PO IZVORIMA'!$E233,#REF!)</f>
        <v>#REF!</v>
      </c>
      <c r="Y233" s="357">
        <v>697526.33</v>
      </c>
      <c r="Z233" s="614" t="e">
        <f t="shared" si="73"/>
        <v>#REF!</v>
      </c>
      <c r="AA233" s="614" t="e">
        <f t="shared" si="74"/>
        <v>#REF!</v>
      </c>
      <c r="AB233" s="357" t="e">
        <f>SUMIF(#REF!,'BILANCA PO IZVORIMA'!$E233,#REF!)</f>
        <v>#REF!</v>
      </c>
      <c r="AF233" s="60"/>
      <c r="AG233" s="60"/>
      <c r="AH233" s="60"/>
      <c r="AI233" s="60"/>
      <c r="AJ233" s="60"/>
      <c r="AK233" s="60"/>
      <c r="AL233" s="60"/>
      <c r="AM233" s="60"/>
      <c r="AN233" s="60"/>
    </row>
    <row r="234" spans="1:40" ht="23.25" customHeight="1" x14ac:dyDescent="0.25">
      <c r="A234" s="80"/>
      <c r="B234" s="80"/>
      <c r="C234" s="80"/>
      <c r="D234" s="80"/>
      <c r="E234" s="80">
        <v>3632</v>
      </c>
      <c r="F234" s="81" t="s">
        <v>227</v>
      </c>
      <c r="G234" s="82" t="e">
        <f>SUMIF(#REF!,'BILANCA PO IZVORIMA'!$E234,#REF!)</f>
        <v>#REF!</v>
      </c>
      <c r="H234" s="82" t="e">
        <f>SUMIF(#REF!,'BILANCA PO IZVORIMA'!$E234,#REF!)</f>
        <v>#REF!</v>
      </c>
      <c r="I234" s="82" t="e">
        <f>SUMIF(#REF!,'BILANCA PO IZVORIMA'!$E234,#REF!)</f>
        <v>#REF!</v>
      </c>
      <c r="J234" s="82" t="e">
        <f>SUMIF(#REF!,'BILANCA PO IZVORIMA'!$E234,#REF!)</f>
        <v>#REF!</v>
      </c>
      <c r="K234" s="82" t="e">
        <f>SUMIF(#REF!,'BILANCA PO IZVORIMA'!$E234,#REF!)</f>
        <v>#REF!</v>
      </c>
      <c r="L234" s="82" t="e">
        <f>ROUND(K234/J234*100,2)</f>
        <v>#REF!</v>
      </c>
      <c r="M234" s="82" t="e">
        <f>N234-J234</f>
        <v>#REF!</v>
      </c>
      <c r="N234" s="82" t="e">
        <f>SUMIF(#REF!,'BILANCA PO IZVORIMA'!$E234,#REF!)</f>
        <v>#REF!</v>
      </c>
      <c r="O234" s="82" t="e">
        <f>SUMIF(#REF!,'BILANCA PO IZVORIMA'!$E234,#REF!)</f>
        <v>#REF!</v>
      </c>
      <c r="P234" s="82" t="e">
        <f>SUMIF(#REF!,'BILANCA PO IZVORIMA'!$E234,#REF!)</f>
        <v>#REF!</v>
      </c>
      <c r="Q234" s="386" t="e">
        <f>SUMIF(#REF!,'BILANCA PO IZVORIMA'!$E234,#REF!)</f>
        <v>#REF!</v>
      </c>
      <c r="R234" s="82" t="e">
        <f>SUMIF(#REF!,'BILANCA PO IZVORIMA'!$E234,#REF!)</f>
        <v>#REF!</v>
      </c>
      <c r="S234" s="82" t="e">
        <f>SUMIF(#REF!,'BILANCA PO IZVORIMA'!$E234,#REF!)</f>
        <v>#REF!</v>
      </c>
      <c r="T234" s="82" t="e">
        <f>SUMIF(#REF!,'BILANCA PO IZVORIMA'!$E234,#REF!)</f>
        <v>#REF!</v>
      </c>
      <c r="U234" s="82" t="e">
        <f>SUMIF(#REF!,'BILANCA PO IZVORIMA'!$E234,#REF!)</f>
        <v>#REF!</v>
      </c>
      <c r="V234" s="82" t="e">
        <f>SUMIF(#REF!,'BILANCA PO IZVORIMA'!$E234,#REF!)</f>
        <v>#REF!</v>
      </c>
      <c r="W234" s="82" t="e">
        <f>SUMIF(#REF!,'BILANCA PO IZVORIMA'!$E234,#REF!)</f>
        <v>#REF!</v>
      </c>
      <c r="X234" s="82" t="e">
        <f>SUMIF(#REF!,'BILANCA PO IZVORIMA'!$E234,#REF!)</f>
        <v>#REF!</v>
      </c>
      <c r="Y234" s="82">
        <v>680639.23</v>
      </c>
      <c r="Z234" s="614" t="e">
        <f t="shared" si="73"/>
        <v>#REF!</v>
      </c>
      <c r="AA234" s="614" t="e">
        <f t="shared" si="74"/>
        <v>#REF!</v>
      </c>
      <c r="AB234" s="82" t="e">
        <f>SUMIF(#REF!,'BILANCA PO IZVORIMA'!$E234,#REF!)</f>
        <v>#REF!</v>
      </c>
      <c r="AF234" s="60"/>
      <c r="AG234" s="60"/>
      <c r="AH234" s="60"/>
      <c r="AI234" s="60"/>
      <c r="AJ234" s="60"/>
      <c r="AK234" s="60"/>
      <c r="AL234" s="60"/>
      <c r="AM234" s="60"/>
      <c r="AN234" s="60"/>
    </row>
    <row r="235" spans="1:40" ht="23.25" customHeight="1" x14ac:dyDescent="0.25">
      <c r="A235" s="80"/>
      <c r="B235" s="80"/>
      <c r="C235" s="80"/>
      <c r="D235" s="80"/>
      <c r="E235" s="80">
        <v>3633</v>
      </c>
      <c r="F235" s="81" t="s">
        <v>256</v>
      </c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386"/>
      <c r="R235" s="82"/>
      <c r="S235" s="82"/>
      <c r="T235" s="82"/>
      <c r="U235" s="82"/>
      <c r="V235" s="82">
        <v>0</v>
      </c>
      <c r="W235" s="82"/>
      <c r="X235" s="82"/>
      <c r="Y235" s="82">
        <v>0</v>
      </c>
      <c r="Z235" s="357" t="e">
        <f t="shared" si="73"/>
        <v>#DIV/0!</v>
      </c>
      <c r="AA235" s="614" t="e">
        <f t="shared" si="74"/>
        <v>#REF!</v>
      </c>
      <c r="AB235" s="82" t="e">
        <f>SUMIF(#REF!,'BILANCA PO IZVORIMA'!$E235,#REF!)</f>
        <v>#REF!</v>
      </c>
      <c r="AF235" s="60"/>
      <c r="AG235" s="60"/>
      <c r="AH235" s="60"/>
      <c r="AI235" s="60"/>
      <c r="AJ235" s="60"/>
      <c r="AK235" s="60"/>
      <c r="AL235" s="60"/>
      <c r="AM235" s="60"/>
    </row>
    <row r="236" spans="1:40" ht="23.25" customHeight="1" x14ac:dyDescent="0.25">
      <c r="A236" s="80"/>
      <c r="B236" s="80"/>
      <c r="C236" s="80"/>
      <c r="D236" s="80"/>
      <c r="E236" s="80">
        <v>3634</v>
      </c>
      <c r="F236" s="81" t="s">
        <v>257</v>
      </c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386"/>
      <c r="R236" s="82"/>
      <c r="S236" s="82"/>
      <c r="T236" s="82"/>
      <c r="U236" s="82"/>
      <c r="V236" s="82">
        <v>0</v>
      </c>
      <c r="W236" s="82"/>
      <c r="X236" s="82"/>
      <c r="Y236" s="82" t="e">
        <f>SUMIF(#REF!,#REF!,#REF!)</f>
        <v>#REF!</v>
      </c>
      <c r="Z236" s="357" t="e">
        <f t="shared" si="73"/>
        <v>#REF!</v>
      </c>
      <c r="AA236" s="614" t="e">
        <f t="shared" si="74"/>
        <v>#REF!</v>
      </c>
      <c r="AB236" s="82" t="e">
        <f>SUMIF(#REF!,'BILANCA PO IZVORIMA'!$E236,#REF!)</f>
        <v>#REF!</v>
      </c>
      <c r="AF236" s="60"/>
      <c r="AG236" s="60"/>
      <c r="AH236" s="60"/>
      <c r="AI236" s="60"/>
      <c r="AJ236" s="60"/>
      <c r="AK236" s="60"/>
      <c r="AL236" s="60"/>
      <c r="AM236" s="60"/>
    </row>
    <row r="237" spans="1:40" ht="36.75" customHeight="1" x14ac:dyDescent="0.25">
      <c r="A237" s="125"/>
      <c r="B237" s="74"/>
      <c r="C237" s="74" t="str">
        <f>LEFT(E239,2)</f>
        <v>37</v>
      </c>
      <c r="D237" s="74"/>
      <c r="E237" s="74"/>
      <c r="F237" s="75" t="s">
        <v>410</v>
      </c>
      <c r="G237" s="311" t="e">
        <f>G238</f>
        <v>#REF!</v>
      </c>
      <c r="H237" s="118" t="e">
        <f>H238</f>
        <v>#REF!</v>
      </c>
      <c r="I237" s="311" t="e">
        <f>I238</f>
        <v>#REF!</v>
      </c>
      <c r="J237" s="311" t="e">
        <f>J238</f>
        <v>#REF!</v>
      </c>
      <c r="K237" s="311" t="e">
        <f>K238</f>
        <v>#REF!</v>
      </c>
      <c r="L237" s="311" t="e">
        <f>ROUND(K237/J237*100,2)</f>
        <v>#REF!</v>
      </c>
      <c r="M237" s="311" t="e">
        <f>N237-J237</f>
        <v>#REF!</v>
      </c>
      <c r="N237" s="311" t="e">
        <f t="shared" ref="N237:X237" si="83">N238</f>
        <v>#REF!</v>
      </c>
      <c r="O237" s="312" t="e">
        <f t="shared" si="83"/>
        <v>#REF!</v>
      </c>
      <c r="P237" s="312" t="e">
        <f t="shared" si="83"/>
        <v>#REF!</v>
      </c>
      <c r="Q237" s="385" t="e">
        <f t="shared" si="83"/>
        <v>#REF!</v>
      </c>
      <c r="R237" s="137" t="e">
        <f t="shared" si="83"/>
        <v>#REF!</v>
      </c>
      <c r="S237" s="137" t="e">
        <f t="shared" si="83"/>
        <v>#REF!</v>
      </c>
      <c r="T237" s="137" t="e">
        <f t="shared" si="83"/>
        <v>#REF!</v>
      </c>
      <c r="U237" s="356" t="e">
        <f t="shared" si="83"/>
        <v>#REF!</v>
      </c>
      <c r="V237" s="356" t="e">
        <f t="shared" si="83"/>
        <v>#REF!</v>
      </c>
      <c r="W237" s="356" t="e">
        <f t="shared" si="83"/>
        <v>#REF!</v>
      </c>
      <c r="X237" s="356" t="e">
        <f t="shared" si="83"/>
        <v>#REF!</v>
      </c>
      <c r="Y237" s="356">
        <f>Y238</f>
        <v>8286569.1699999999</v>
      </c>
      <c r="Z237" s="610" t="e">
        <f t="shared" si="73"/>
        <v>#REF!</v>
      </c>
      <c r="AA237" s="610" t="e">
        <f t="shared" si="74"/>
        <v>#REF!</v>
      </c>
      <c r="AB237" s="356" t="e">
        <f>AB238</f>
        <v>#REF!</v>
      </c>
      <c r="AF237" s="60"/>
      <c r="AG237" s="60"/>
      <c r="AH237" s="60"/>
      <c r="AI237" s="60"/>
      <c r="AJ237" s="60"/>
      <c r="AK237" s="60"/>
      <c r="AL237" s="60"/>
      <c r="AM237" s="60"/>
      <c r="AN237" s="60"/>
    </row>
    <row r="238" spans="1:40" s="373" customFormat="1" ht="37.5" customHeight="1" x14ac:dyDescent="0.25">
      <c r="A238" s="119"/>
      <c r="B238" s="119"/>
      <c r="C238" s="119"/>
      <c r="D238" s="119" t="str">
        <f>LEFT(E239,3)</f>
        <v>372</v>
      </c>
      <c r="E238" s="119"/>
      <c r="F238" s="368" t="s">
        <v>411</v>
      </c>
      <c r="G238" s="369" t="e">
        <f t="shared" ref="G238:X238" si="84">SUM(G239:G240)</f>
        <v>#REF!</v>
      </c>
      <c r="H238" s="370" t="e">
        <f t="shared" si="84"/>
        <v>#REF!</v>
      </c>
      <c r="I238" s="369" t="e">
        <f t="shared" si="84"/>
        <v>#REF!</v>
      </c>
      <c r="J238" s="369" t="e">
        <f t="shared" si="84"/>
        <v>#REF!</v>
      </c>
      <c r="K238" s="369" t="e">
        <f t="shared" si="84"/>
        <v>#REF!</v>
      </c>
      <c r="L238" s="369" t="e">
        <f t="shared" si="84"/>
        <v>#REF!</v>
      </c>
      <c r="M238" s="369" t="e">
        <f t="shared" si="84"/>
        <v>#REF!</v>
      </c>
      <c r="N238" s="369" t="e">
        <f t="shared" si="84"/>
        <v>#REF!</v>
      </c>
      <c r="O238" s="369" t="e">
        <f t="shared" si="84"/>
        <v>#REF!</v>
      </c>
      <c r="P238" s="369" t="e">
        <f t="shared" si="84"/>
        <v>#REF!</v>
      </c>
      <c r="Q238" s="392" t="e">
        <f t="shared" si="84"/>
        <v>#REF!</v>
      </c>
      <c r="R238" s="369" t="e">
        <f t="shared" si="84"/>
        <v>#REF!</v>
      </c>
      <c r="S238" s="369" t="e">
        <f t="shared" si="84"/>
        <v>#REF!</v>
      </c>
      <c r="T238" s="369" t="e">
        <f t="shared" si="84"/>
        <v>#REF!</v>
      </c>
      <c r="U238" s="357" t="e">
        <f t="shared" si="84"/>
        <v>#REF!</v>
      </c>
      <c r="V238" s="357" t="e">
        <f t="shared" si="84"/>
        <v>#REF!</v>
      </c>
      <c r="W238" s="357" t="e">
        <f t="shared" si="84"/>
        <v>#REF!</v>
      </c>
      <c r="X238" s="357" t="e">
        <f t="shared" si="84"/>
        <v>#REF!</v>
      </c>
      <c r="Y238" s="357">
        <f>Y239+Y240</f>
        <v>8286569.1699999999</v>
      </c>
      <c r="Z238" s="614" t="e">
        <f t="shared" si="73"/>
        <v>#REF!</v>
      </c>
      <c r="AA238" s="614" t="e">
        <f t="shared" si="74"/>
        <v>#REF!</v>
      </c>
      <c r="AB238" s="357" t="e">
        <f>SUM(AB239:AB240)</f>
        <v>#REF!</v>
      </c>
      <c r="AC238" s="372"/>
      <c r="AD238" s="372"/>
      <c r="AE238" s="372"/>
      <c r="AF238" s="372"/>
      <c r="AG238" s="372"/>
      <c r="AH238" s="372"/>
      <c r="AI238" s="372"/>
      <c r="AJ238" s="372"/>
      <c r="AK238" s="372"/>
      <c r="AL238" s="372"/>
      <c r="AM238" s="372"/>
      <c r="AN238" s="372"/>
    </row>
    <row r="239" spans="1:40" ht="21" customHeight="1" x14ac:dyDescent="0.25">
      <c r="A239" s="80"/>
      <c r="B239" s="80"/>
      <c r="C239" s="80"/>
      <c r="D239" s="80"/>
      <c r="E239" s="80">
        <v>3721</v>
      </c>
      <c r="F239" s="81" t="s">
        <v>412</v>
      </c>
      <c r="G239" s="82" t="e">
        <f>SUMIF(#REF!,'BILANCA PO IZVORIMA'!$E239,#REF!)</f>
        <v>#REF!</v>
      </c>
      <c r="H239" s="82" t="e">
        <f>SUMIF(#REF!,'BILANCA PO IZVORIMA'!$E239,#REF!)</f>
        <v>#REF!</v>
      </c>
      <c r="I239" s="82" t="e">
        <f>SUMIF(#REF!,'BILANCA PO IZVORIMA'!$E239,#REF!)</f>
        <v>#REF!</v>
      </c>
      <c r="J239" s="82" t="e">
        <f>SUMIF(#REF!,'BILANCA PO IZVORIMA'!$E239,#REF!)</f>
        <v>#REF!</v>
      </c>
      <c r="K239" s="82" t="e">
        <f>SUMIF(#REF!,'BILANCA PO IZVORIMA'!$E239,#REF!)</f>
        <v>#REF!</v>
      </c>
      <c r="L239" s="82" t="e">
        <f t="shared" ref="L239:L248" si="85">ROUND(K239/J239*100,2)</f>
        <v>#REF!</v>
      </c>
      <c r="M239" s="82" t="e">
        <f t="shared" ref="M239:M248" si="86">N239-J239</f>
        <v>#REF!</v>
      </c>
      <c r="N239" s="82" t="e">
        <f>SUMIF(#REF!,'BILANCA PO IZVORIMA'!$E239,#REF!)</f>
        <v>#REF!</v>
      </c>
      <c r="O239" s="82" t="e">
        <f>SUMIF(#REF!,'BILANCA PO IZVORIMA'!$E239,#REF!)</f>
        <v>#REF!</v>
      </c>
      <c r="P239" s="82" t="e">
        <f>SUMIF(#REF!,'BILANCA PO IZVORIMA'!$E239,#REF!)</f>
        <v>#REF!</v>
      </c>
      <c r="Q239" s="386" t="e">
        <f>SUMIF(#REF!,'BILANCA PO IZVORIMA'!$E239,#REF!)</f>
        <v>#REF!</v>
      </c>
      <c r="R239" s="82" t="e">
        <f>SUMIF(#REF!,'BILANCA PO IZVORIMA'!$E239,#REF!)</f>
        <v>#REF!</v>
      </c>
      <c r="S239" s="82" t="e">
        <f>SUMIF(#REF!,'BILANCA PO IZVORIMA'!$E239,#REF!)</f>
        <v>#REF!</v>
      </c>
      <c r="T239" s="82" t="e">
        <f>SUMIF(#REF!,'BILANCA PO IZVORIMA'!$E$239,#REF!)</f>
        <v>#REF!</v>
      </c>
      <c r="U239" s="357" t="e">
        <f>SUMIF(#REF!,'BILANCA PO IZVORIMA'!$E239,#REF!)</f>
        <v>#REF!</v>
      </c>
      <c r="V239" s="357" t="e">
        <f>SUMIF(#REF!,'BILANCA PO IZVORIMA'!$E239,#REF!)</f>
        <v>#REF!</v>
      </c>
      <c r="W239" s="357" t="e">
        <f>SUMIF(#REF!,'BILANCA PO IZVORIMA'!$E239,#REF!)</f>
        <v>#REF!</v>
      </c>
      <c r="X239" s="357" t="e">
        <f>SUMIF(#REF!,'BILANCA PO IZVORIMA'!$E239,#REF!)</f>
        <v>#REF!</v>
      </c>
      <c r="Y239" s="357">
        <v>1500</v>
      </c>
      <c r="Z239" s="614" t="e">
        <f t="shared" si="73"/>
        <v>#REF!</v>
      </c>
      <c r="AA239" s="614" t="e">
        <f t="shared" si="74"/>
        <v>#REF!</v>
      </c>
      <c r="AB239" s="357" t="e">
        <f>SUMIF(#REF!,'BILANCA PO IZVORIMA'!$E239,#REF!)</f>
        <v>#REF!</v>
      </c>
      <c r="AF239" s="60"/>
      <c r="AG239" s="60"/>
      <c r="AH239" s="60"/>
      <c r="AI239" s="60"/>
      <c r="AJ239" s="60"/>
      <c r="AK239" s="60"/>
      <c r="AL239" s="60"/>
      <c r="AM239" s="60"/>
      <c r="AN239" s="60"/>
    </row>
    <row r="240" spans="1:40" ht="36.75" customHeight="1" x14ac:dyDescent="0.25">
      <c r="A240" s="80"/>
      <c r="B240" s="80"/>
      <c r="C240" s="80"/>
      <c r="D240" s="80"/>
      <c r="E240" s="80">
        <v>3722</v>
      </c>
      <c r="F240" s="81" t="s">
        <v>1019</v>
      </c>
      <c r="G240" s="82" t="e">
        <f>SUMIF(#REF!,'BILANCA PO IZVORIMA'!$E240,#REF!)</f>
        <v>#REF!</v>
      </c>
      <c r="H240" s="82" t="e">
        <f>SUMIF(#REF!,'BILANCA PO IZVORIMA'!$E240,#REF!)</f>
        <v>#REF!</v>
      </c>
      <c r="I240" s="82" t="e">
        <f>SUMIF(#REF!,'BILANCA PO IZVORIMA'!$E240,#REF!)</f>
        <v>#REF!</v>
      </c>
      <c r="J240" s="82" t="e">
        <f>SUMIF(#REF!,'BILANCA PO IZVORIMA'!$E240,#REF!)</f>
        <v>#REF!</v>
      </c>
      <c r="K240" s="82" t="e">
        <f>SUMIF(#REF!,'BILANCA PO IZVORIMA'!$E240,#REF!)</f>
        <v>#REF!</v>
      </c>
      <c r="L240" s="82" t="e">
        <f t="shared" si="85"/>
        <v>#REF!</v>
      </c>
      <c r="M240" s="82" t="e">
        <f t="shared" si="86"/>
        <v>#REF!</v>
      </c>
      <c r="N240" s="82" t="e">
        <f>SUMIF(#REF!,'BILANCA PO IZVORIMA'!$E240,#REF!)</f>
        <v>#REF!</v>
      </c>
      <c r="O240" s="82" t="e">
        <f>SUMIF(#REF!,'BILANCA PO IZVORIMA'!$E240,#REF!)</f>
        <v>#REF!</v>
      </c>
      <c r="P240" s="82" t="e">
        <f>SUMIF(#REF!,'BILANCA PO IZVORIMA'!$E240,#REF!)</f>
        <v>#REF!</v>
      </c>
      <c r="Q240" s="386" t="e">
        <f>SUMIF(#REF!,'BILANCA PO IZVORIMA'!$E240,#REF!)</f>
        <v>#REF!</v>
      </c>
      <c r="R240" s="82" t="e">
        <f>SUMIF(#REF!,'BILANCA PO IZVORIMA'!$E240,#REF!)</f>
        <v>#REF!</v>
      </c>
      <c r="S240" s="82" t="e">
        <f>SUMIF(#REF!,'BILANCA PO IZVORIMA'!$E240,#REF!)</f>
        <v>#REF!</v>
      </c>
      <c r="T240" s="82" t="e">
        <f>SUMIF(#REF!,'BILANCA PO IZVORIMA'!$E$240,#REF!)</f>
        <v>#REF!</v>
      </c>
      <c r="U240" s="357" t="e">
        <f>SUMIF(#REF!,'BILANCA PO IZVORIMA'!$E240,#REF!)</f>
        <v>#REF!</v>
      </c>
      <c r="V240" s="357" t="e">
        <f>SUMIF(#REF!,'BILANCA PO IZVORIMA'!$E240,#REF!)</f>
        <v>#REF!</v>
      </c>
      <c r="W240" s="357" t="e">
        <f>SUMIF(#REF!,'BILANCA PO IZVORIMA'!$E240,#REF!)</f>
        <v>#REF!</v>
      </c>
      <c r="X240" s="357" t="e">
        <f>SUMIF(#REF!,'BILANCA PO IZVORIMA'!$E240,#REF!)</f>
        <v>#REF!</v>
      </c>
      <c r="Y240" s="357">
        <v>8285069.1699999999</v>
      </c>
      <c r="Z240" s="614" t="e">
        <f t="shared" si="73"/>
        <v>#REF!</v>
      </c>
      <c r="AA240" s="614" t="e">
        <f t="shared" si="74"/>
        <v>#REF!</v>
      </c>
      <c r="AB240" s="357" t="e">
        <f>SUMIF(#REF!,'BILANCA PO IZVORIMA'!$E240,#REF!)</f>
        <v>#REF!</v>
      </c>
      <c r="AF240" s="60"/>
      <c r="AG240" s="60"/>
      <c r="AH240" s="60"/>
      <c r="AI240" s="60"/>
      <c r="AJ240" s="60"/>
      <c r="AK240" s="60"/>
      <c r="AL240" s="60"/>
      <c r="AM240" s="60"/>
      <c r="AN240" s="60"/>
    </row>
    <row r="241" spans="1:40" ht="20.25" customHeight="1" x14ac:dyDescent="0.25">
      <c r="A241" s="125"/>
      <c r="B241" s="74"/>
      <c r="C241" s="74" t="str">
        <f>LEFT(E243,2)</f>
        <v>38</v>
      </c>
      <c r="D241" s="74"/>
      <c r="E241" s="74"/>
      <c r="F241" s="75" t="s">
        <v>539</v>
      </c>
      <c r="G241" s="311" t="e">
        <f>G242+G244+G247</f>
        <v>#REF!</v>
      </c>
      <c r="H241" s="118" t="e">
        <f>H242+H244+H247</f>
        <v>#REF!</v>
      </c>
      <c r="I241" s="311" t="e">
        <f>I242+I244+I247</f>
        <v>#REF!</v>
      </c>
      <c r="J241" s="311" t="e">
        <f>J242+J244+J247</f>
        <v>#REF!</v>
      </c>
      <c r="K241" s="311" t="e">
        <f>K242+K244+K247</f>
        <v>#REF!</v>
      </c>
      <c r="L241" s="311" t="e">
        <f t="shared" si="85"/>
        <v>#REF!</v>
      </c>
      <c r="M241" s="311" t="e">
        <f t="shared" si="86"/>
        <v>#REF!</v>
      </c>
      <c r="N241" s="311" t="e">
        <f t="shared" ref="N241:X241" si="87">N242+N244+N247</f>
        <v>#REF!</v>
      </c>
      <c r="O241" s="312" t="e">
        <f t="shared" si="87"/>
        <v>#REF!</v>
      </c>
      <c r="P241" s="312" t="e">
        <f t="shared" si="87"/>
        <v>#REF!</v>
      </c>
      <c r="Q241" s="385" t="e">
        <f t="shared" si="87"/>
        <v>#REF!</v>
      </c>
      <c r="R241" s="137" t="e">
        <f t="shared" si="87"/>
        <v>#REF!</v>
      </c>
      <c r="S241" s="137" t="e">
        <f t="shared" si="87"/>
        <v>#REF!</v>
      </c>
      <c r="T241" s="137" t="e">
        <f t="shared" si="87"/>
        <v>#REF!</v>
      </c>
      <c r="U241" s="356" t="e">
        <f t="shared" si="87"/>
        <v>#REF!</v>
      </c>
      <c r="V241" s="356" t="e">
        <f t="shared" si="87"/>
        <v>#REF!</v>
      </c>
      <c r="W241" s="356" t="e">
        <f t="shared" si="87"/>
        <v>#REF!</v>
      </c>
      <c r="X241" s="356" t="e">
        <f t="shared" si="87"/>
        <v>#REF!</v>
      </c>
      <c r="Y241" s="356">
        <f>Y242+Y244+Y247</f>
        <v>2659657.0099999998</v>
      </c>
      <c r="Z241" s="610" t="e">
        <f t="shared" si="73"/>
        <v>#REF!</v>
      </c>
      <c r="AA241" s="610" t="e">
        <f t="shared" si="74"/>
        <v>#REF!</v>
      </c>
      <c r="AB241" s="356" t="e">
        <f>AB242+AB244+AB247</f>
        <v>#REF!</v>
      </c>
      <c r="AF241" s="60"/>
      <c r="AG241" s="60"/>
      <c r="AH241" s="60"/>
      <c r="AI241" s="60"/>
      <c r="AJ241" s="60"/>
      <c r="AK241" s="60"/>
      <c r="AL241" s="60"/>
      <c r="AM241" s="60"/>
      <c r="AN241" s="60"/>
    </row>
    <row r="242" spans="1:40" s="373" customFormat="1" ht="17.25" customHeight="1" x14ac:dyDescent="0.25">
      <c r="A242" s="119"/>
      <c r="B242" s="119"/>
      <c r="C242" s="119"/>
      <c r="D242" s="119" t="str">
        <f>LEFT(E243,3)</f>
        <v>381</v>
      </c>
      <c r="E242" s="119"/>
      <c r="F242" s="368" t="s">
        <v>540</v>
      </c>
      <c r="G242" s="369" t="e">
        <f>G243</f>
        <v>#REF!</v>
      </c>
      <c r="H242" s="370" t="e">
        <f>H243</f>
        <v>#REF!</v>
      </c>
      <c r="I242" s="369" t="e">
        <f>I243</f>
        <v>#REF!</v>
      </c>
      <c r="J242" s="369" t="e">
        <f>J243</f>
        <v>#REF!</v>
      </c>
      <c r="K242" s="369" t="e">
        <f>K243</f>
        <v>#REF!</v>
      </c>
      <c r="L242" s="369" t="e">
        <f t="shared" si="85"/>
        <v>#REF!</v>
      </c>
      <c r="M242" s="369" t="e">
        <f t="shared" si="86"/>
        <v>#REF!</v>
      </c>
      <c r="N242" s="369" t="e">
        <f t="shared" ref="N242:X242" si="88">N243</f>
        <v>#REF!</v>
      </c>
      <c r="O242" s="137" t="e">
        <f t="shared" si="88"/>
        <v>#REF!</v>
      </c>
      <c r="P242" s="137" t="e">
        <f t="shared" si="88"/>
        <v>#REF!</v>
      </c>
      <c r="Q242" s="393" t="e">
        <f t="shared" si="88"/>
        <v>#REF!</v>
      </c>
      <c r="R242" s="137" t="e">
        <f t="shared" si="88"/>
        <v>#REF!</v>
      </c>
      <c r="S242" s="137" t="e">
        <f t="shared" si="88"/>
        <v>#REF!</v>
      </c>
      <c r="T242" s="137" t="e">
        <f t="shared" si="88"/>
        <v>#REF!</v>
      </c>
      <c r="U242" s="371" t="e">
        <f t="shared" si="88"/>
        <v>#REF!</v>
      </c>
      <c r="V242" s="371" t="e">
        <f t="shared" si="88"/>
        <v>#REF!</v>
      </c>
      <c r="W242" s="371" t="e">
        <f t="shared" si="88"/>
        <v>#REF!</v>
      </c>
      <c r="X242" s="371" t="e">
        <f t="shared" si="88"/>
        <v>#REF!</v>
      </c>
      <c r="Y242" s="371">
        <f>Y243</f>
        <v>2593057.0099999998</v>
      </c>
      <c r="Z242" s="590" t="e">
        <f t="shared" si="73"/>
        <v>#REF!</v>
      </c>
      <c r="AA242" s="590" t="e">
        <f t="shared" si="74"/>
        <v>#REF!</v>
      </c>
      <c r="AB242" s="371" t="e">
        <f>AB243</f>
        <v>#REF!</v>
      </c>
      <c r="AC242" s="372"/>
      <c r="AD242" s="372"/>
      <c r="AE242" s="372"/>
      <c r="AF242" s="372"/>
      <c r="AG242" s="372"/>
      <c r="AH242" s="372"/>
      <c r="AI242" s="372"/>
      <c r="AJ242" s="372"/>
      <c r="AK242" s="372"/>
      <c r="AL242" s="372"/>
      <c r="AM242" s="372"/>
      <c r="AN242" s="372"/>
    </row>
    <row r="243" spans="1:40" ht="20.25" customHeight="1" x14ac:dyDescent="0.25">
      <c r="A243" s="80"/>
      <c r="B243" s="80"/>
      <c r="C243" s="80"/>
      <c r="D243" s="80"/>
      <c r="E243" s="80">
        <v>3811</v>
      </c>
      <c r="F243" s="81" t="s">
        <v>623</v>
      </c>
      <c r="G243" s="82" t="e">
        <f>SUMIF(#REF!,'BILANCA PO IZVORIMA'!$E243,#REF!)</f>
        <v>#REF!</v>
      </c>
      <c r="H243" s="82" t="e">
        <f>SUMIF(#REF!,'BILANCA PO IZVORIMA'!$E243,#REF!)</f>
        <v>#REF!</v>
      </c>
      <c r="I243" s="82" t="e">
        <f>SUMIF(#REF!,'BILANCA PO IZVORIMA'!$E243,#REF!)</f>
        <v>#REF!</v>
      </c>
      <c r="J243" s="82" t="e">
        <f>SUMIF(#REF!,'BILANCA PO IZVORIMA'!$E243,#REF!)</f>
        <v>#REF!</v>
      </c>
      <c r="K243" s="82" t="e">
        <f>SUMIF(#REF!,'BILANCA PO IZVORIMA'!$E243,#REF!)</f>
        <v>#REF!</v>
      </c>
      <c r="L243" s="82" t="e">
        <f t="shared" si="85"/>
        <v>#REF!</v>
      </c>
      <c r="M243" s="82" t="e">
        <f t="shared" si="86"/>
        <v>#REF!</v>
      </c>
      <c r="N243" s="82" t="e">
        <f>SUMIF(#REF!,'BILANCA PO IZVORIMA'!$E243,#REF!)</f>
        <v>#REF!</v>
      </c>
      <c r="O243" s="82" t="e">
        <f>SUMIF(#REF!,'BILANCA PO IZVORIMA'!$E243,#REF!)</f>
        <v>#REF!</v>
      </c>
      <c r="P243" s="82" t="e">
        <f>SUMIF(#REF!,'BILANCA PO IZVORIMA'!$E243,#REF!)</f>
        <v>#REF!</v>
      </c>
      <c r="Q243" s="386" t="e">
        <f>SUMIF(#REF!,'BILANCA PO IZVORIMA'!$E243,#REF!)</f>
        <v>#REF!</v>
      </c>
      <c r="R243" s="82" t="e">
        <f>SUMIF(#REF!,'BILANCA PO IZVORIMA'!$E243,#REF!)</f>
        <v>#REF!</v>
      </c>
      <c r="S243" s="82" t="e">
        <f>SUMIF(#REF!,'BILANCA PO IZVORIMA'!$E243,#REF!)</f>
        <v>#REF!</v>
      </c>
      <c r="T243" s="82" t="e">
        <f>SUMIF(#REF!,'BILANCA PO IZVORIMA'!$E$243,#REF!)</f>
        <v>#REF!</v>
      </c>
      <c r="U243" s="357" t="e">
        <f>SUMIF(#REF!,'BILANCA PO IZVORIMA'!$E243,#REF!)</f>
        <v>#REF!</v>
      </c>
      <c r="V243" s="357" t="e">
        <f>SUMIF(#REF!,'BILANCA PO IZVORIMA'!$E243,#REF!)</f>
        <v>#REF!</v>
      </c>
      <c r="W243" s="357" t="e">
        <f>SUMIF(#REF!,'BILANCA PO IZVORIMA'!$E243,#REF!)</f>
        <v>#REF!</v>
      </c>
      <c r="X243" s="357" t="e">
        <f>SUMIF(#REF!,'BILANCA PO IZVORIMA'!$E243,#REF!)</f>
        <v>#REF!</v>
      </c>
      <c r="Y243" s="357">
        <v>2593057.0099999998</v>
      </c>
      <c r="Z243" s="614" t="e">
        <f t="shared" si="73"/>
        <v>#REF!</v>
      </c>
      <c r="AA243" s="614" t="e">
        <f t="shared" si="74"/>
        <v>#REF!</v>
      </c>
      <c r="AB243" s="357" t="e">
        <f>SUMIF(#REF!,'BILANCA PO IZVORIMA'!$E243,#REF!)</f>
        <v>#REF!</v>
      </c>
      <c r="AF243" s="60"/>
      <c r="AG243" s="60"/>
      <c r="AH243" s="60"/>
      <c r="AI243" s="60"/>
      <c r="AJ243" s="60"/>
      <c r="AK243" s="60"/>
      <c r="AL243" s="60"/>
      <c r="AM243" s="60"/>
      <c r="AN243" s="60"/>
    </row>
    <row r="244" spans="1:40" s="373" customFormat="1" ht="21" customHeight="1" x14ac:dyDescent="0.25">
      <c r="A244" s="119"/>
      <c r="B244" s="119"/>
      <c r="C244" s="119"/>
      <c r="D244" s="119" t="str">
        <f>LEFT(E245,3)</f>
        <v>382</v>
      </c>
      <c r="E244" s="119"/>
      <c r="F244" s="368" t="s">
        <v>230</v>
      </c>
      <c r="G244" s="369" t="e">
        <f>G245</f>
        <v>#REF!</v>
      </c>
      <c r="H244" s="370" t="e">
        <f>H245</f>
        <v>#REF!</v>
      </c>
      <c r="I244" s="369" t="e">
        <f>I245</f>
        <v>#REF!</v>
      </c>
      <c r="J244" s="369" t="e">
        <f>J245</f>
        <v>#REF!</v>
      </c>
      <c r="K244" s="369" t="e">
        <f>K245</f>
        <v>#REF!</v>
      </c>
      <c r="L244" s="369" t="e">
        <f t="shared" si="85"/>
        <v>#REF!</v>
      </c>
      <c r="M244" s="369" t="e">
        <f t="shared" si="86"/>
        <v>#REF!</v>
      </c>
      <c r="N244" s="369" t="e">
        <f t="shared" ref="N244:U244" si="89">N245</f>
        <v>#REF!</v>
      </c>
      <c r="O244" s="137" t="e">
        <f t="shared" si="89"/>
        <v>#REF!</v>
      </c>
      <c r="P244" s="137" t="e">
        <f t="shared" si="89"/>
        <v>#REF!</v>
      </c>
      <c r="Q244" s="393" t="e">
        <f t="shared" si="89"/>
        <v>#REF!</v>
      </c>
      <c r="R244" s="137" t="e">
        <f t="shared" si="89"/>
        <v>#REF!</v>
      </c>
      <c r="S244" s="137" t="e">
        <f t="shared" si="89"/>
        <v>#REF!</v>
      </c>
      <c r="T244" s="137" t="e">
        <f t="shared" si="89"/>
        <v>#REF!</v>
      </c>
      <c r="U244" s="371" t="e">
        <f t="shared" si="89"/>
        <v>#REF!</v>
      </c>
      <c r="V244" s="371" t="e">
        <f>V245+V246</f>
        <v>#REF!</v>
      </c>
      <c r="W244" s="371" t="e">
        <f>W245+W246</f>
        <v>#REF!</v>
      </c>
      <c r="X244" s="371" t="e">
        <f>X245+X246</f>
        <v>#REF!</v>
      </c>
      <c r="Y244" s="371">
        <f>Y245+Y246</f>
        <v>66600</v>
      </c>
      <c r="Z244" s="590" t="e">
        <f t="shared" si="73"/>
        <v>#REF!</v>
      </c>
      <c r="AA244" s="590" t="e">
        <f t="shared" si="74"/>
        <v>#REF!</v>
      </c>
      <c r="AB244" s="371" t="e">
        <f>AB245+AB246</f>
        <v>#REF!</v>
      </c>
      <c r="AC244" s="372"/>
      <c r="AD244" s="372"/>
      <c r="AE244" s="372"/>
      <c r="AF244" s="372"/>
      <c r="AG244" s="372"/>
      <c r="AH244" s="372"/>
      <c r="AI244" s="372"/>
      <c r="AJ244" s="372"/>
      <c r="AK244" s="372"/>
      <c r="AL244" s="372"/>
      <c r="AM244" s="372"/>
      <c r="AN244" s="372"/>
    </row>
    <row r="245" spans="1:40" ht="23.25" customHeight="1" x14ac:dyDescent="0.25">
      <c r="A245" s="80"/>
      <c r="B245" s="80"/>
      <c r="C245" s="80"/>
      <c r="D245" s="80"/>
      <c r="E245" s="80">
        <v>3821</v>
      </c>
      <c r="F245" s="81" t="s">
        <v>1020</v>
      </c>
      <c r="G245" s="82" t="e">
        <f>SUMIF(#REF!,'BILANCA PO IZVORIMA'!$E245,#REF!)</f>
        <v>#REF!</v>
      </c>
      <c r="H245" s="82" t="e">
        <f>SUMIF(#REF!,'BILANCA PO IZVORIMA'!$E245,#REF!)</f>
        <v>#REF!</v>
      </c>
      <c r="I245" s="82" t="e">
        <f>SUMIF(#REF!,'BILANCA PO IZVORIMA'!$E245,#REF!)</f>
        <v>#REF!</v>
      </c>
      <c r="J245" s="82" t="e">
        <f>SUMIF(#REF!,'BILANCA PO IZVORIMA'!$E245,#REF!)</f>
        <v>#REF!</v>
      </c>
      <c r="K245" s="82" t="e">
        <f>SUMIF(#REF!,'BILANCA PO IZVORIMA'!$E245,#REF!)</f>
        <v>#REF!</v>
      </c>
      <c r="L245" s="82" t="e">
        <f t="shared" si="85"/>
        <v>#REF!</v>
      </c>
      <c r="M245" s="82" t="e">
        <f t="shared" si="86"/>
        <v>#REF!</v>
      </c>
      <c r="N245" s="82" t="e">
        <f>SUMIF(#REF!,'BILANCA PO IZVORIMA'!$E245,#REF!)</f>
        <v>#REF!</v>
      </c>
      <c r="O245" s="82" t="e">
        <f>SUMIF(#REF!,'BILANCA PO IZVORIMA'!$E245,#REF!)</f>
        <v>#REF!</v>
      </c>
      <c r="P245" s="82" t="e">
        <f>SUMIF(#REF!,'BILANCA PO IZVORIMA'!$E245,#REF!)</f>
        <v>#REF!</v>
      </c>
      <c r="Q245" s="386" t="e">
        <f>SUMIF(#REF!,'BILANCA PO IZVORIMA'!$E245,#REF!)</f>
        <v>#REF!</v>
      </c>
      <c r="R245" s="82" t="e">
        <f>SUMIF(#REF!,'BILANCA PO IZVORIMA'!$E245,#REF!)</f>
        <v>#REF!</v>
      </c>
      <c r="S245" s="82" t="e">
        <f>SUMIF(#REF!,'BILANCA PO IZVORIMA'!$E245,#REF!)</f>
        <v>#REF!</v>
      </c>
      <c r="T245" s="82" t="e">
        <f>SUMIF(#REF!,'BILANCA PO IZVORIMA'!$E$245,#REF!)</f>
        <v>#REF!</v>
      </c>
      <c r="U245" s="357" t="e">
        <f>SUMIF(#REF!,'BILANCA PO IZVORIMA'!$E245,#REF!)</f>
        <v>#REF!</v>
      </c>
      <c r="V245" s="357" t="e">
        <f>SUMIF(#REF!,'BILANCA PO IZVORIMA'!$E245,#REF!)</f>
        <v>#REF!</v>
      </c>
      <c r="W245" s="357" t="e">
        <f>SUMIF(#REF!,'BILANCA PO IZVORIMA'!$E245,#REF!)</f>
        <v>#REF!</v>
      </c>
      <c r="X245" s="357" t="e">
        <f>SUMIF(#REF!,'BILANCA PO IZVORIMA'!$E245,#REF!)</f>
        <v>#REF!</v>
      </c>
      <c r="Y245" s="357">
        <v>66600</v>
      </c>
      <c r="Z245" s="614" t="e">
        <f t="shared" si="73"/>
        <v>#REF!</v>
      </c>
      <c r="AA245" s="614" t="e">
        <f t="shared" si="74"/>
        <v>#REF!</v>
      </c>
      <c r="AB245" s="357" t="e">
        <f>SUMIF(#REF!,'BILANCA PO IZVORIMA'!$E245,#REF!)</f>
        <v>#REF!</v>
      </c>
      <c r="AF245" s="60"/>
      <c r="AG245" s="60"/>
      <c r="AH245" s="60"/>
      <c r="AI245" s="60"/>
      <c r="AJ245" s="60"/>
      <c r="AK245" s="60"/>
      <c r="AL245" s="60"/>
      <c r="AM245" s="60"/>
      <c r="AN245" s="60"/>
    </row>
    <row r="246" spans="1:40" ht="23.25" customHeight="1" x14ac:dyDescent="0.25">
      <c r="A246" s="80"/>
      <c r="B246" s="80"/>
      <c r="C246" s="80"/>
      <c r="D246" s="80"/>
      <c r="E246" s="80">
        <v>3822</v>
      </c>
      <c r="F246" s="81" t="s">
        <v>734</v>
      </c>
      <c r="G246" s="82" t="e">
        <f>SUMIF(#REF!,'BILANCA PO IZVORIMA'!$E246,#REF!)</f>
        <v>#REF!</v>
      </c>
      <c r="H246" s="82" t="e">
        <f>SUMIF(#REF!,'BILANCA PO IZVORIMA'!$E246,#REF!)</f>
        <v>#REF!</v>
      </c>
      <c r="I246" s="82" t="e">
        <f>SUMIF(#REF!,'BILANCA PO IZVORIMA'!$E246,#REF!)</f>
        <v>#REF!</v>
      </c>
      <c r="J246" s="82" t="e">
        <f>SUMIF(#REF!,'BILANCA PO IZVORIMA'!$E246,#REF!)</f>
        <v>#REF!</v>
      </c>
      <c r="K246" s="82" t="e">
        <f>SUMIF(#REF!,'BILANCA PO IZVORIMA'!$E246,#REF!)</f>
        <v>#REF!</v>
      </c>
      <c r="L246" s="82" t="e">
        <f t="shared" si="85"/>
        <v>#REF!</v>
      </c>
      <c r="M246" s="82" t="e">
        <f t="shared" si="86"/>
        <v>#REF!</v>
      </c>
      <c r="N246" s="82" t="e">
        <f>SUMIF(#REF!,'BILANCA PO IZVORIMA'!$E246,#REF!)</f>
        <v>#REF!</v>
      </c>
      <c r="O246" s="82" t="e">
        <f>SUMIF(#REF!,'BILANCA PO IZVORIMA'!$E246,#REF!)</f>
        <v>#REF!</v>
      </c>
      <c r="P246" s="82" t="e">
        <f>SUMIF(#REF!,'BILANCA PO IZVORIMA'!$E246,#REF!)</f>
        <v>#REF!</v>
      </c>
      <c r="Q246" s="386" t="e">
        <f>SUMIF(#REF!,'BILANCA PO IZVORIMA'!$E246,#REF!)</f>
        <v>#REF!</v>
      </c>
      <c r="R246" s="82" t="e">
        <f>SUMIF(#REF!,'BILANCA PO IZVORIMA'!$E246,#REF!)</f>
        <v>#REF!</v>
      </c>
      <c r="S246" s="82" t="e">
        <f>SUMIF(#REF!,'BILANCA PO IZVORIMA'!$E246,#REF!)</f>
        <v>#REF!</v>
      </c>
      <c r="T246" s="82" t="e">
        <f>SUMIF(#REF!,'BILANCA PO IZVORIMA'!$E$245,#REF!)</f>
        <v>#REF!</v>
      </c>
      <c r="U246" s="357" t="e">
        <f>SUMIF(#REF!,'BILANCA PO IZVORIMA'!$E246,#REF!)</f>
        <v>#REF!</v>
      </c>
      <c r="V246" s="357" t="e">
        <f>SUMIF(#REF!,'BILANCA PO IZVORIMA'!$E246,#REF!)</f>
        <v>#REF!</v>
      </c>
      <c r="W246" s="357" t="e">
        <f>SUMIF(#REF!,'BILANCA PO IZVORIMA'!$E246,#REF!)</f>
        <v>#REF!</v>
      </c>
      <c r="X246" s="357" t="e">
        <f>SUMIF(#REF!,'BILANCA PO IZVORIMA'!$E246,#REF!)</f>
        <v>#REF!</v>
      </c>
      <c r="Y246" s="357">
        <v>0</v>
      </c>
      <c r="Z246" s="614" t="e">
        <f t="shared" si="73"/>
        <v>#REF!</v>
      </c>
      <c r="AA246" s="614" t="e">
        <f t="shared" si="74"/>
        <v>#REF!</v>
      </c>
      <c r="AB246" s="357" t="e">
        <f>SUMIF(#REF!,'BILANCA PO IZVORIMA'!$E246,#REF!)</f>
        <v>#REF!</v>
      </c>
      <c r="AF246" s="60"/>
      <c r="AG246" s="60"/>
      <c r="AH246" s="60"/>
      <c r="AI246" s="60"/>
      <c r="AJ246" s="60"/>
      <c r="AK246" s="60"/>
      <c r="AL246" s="60"/>
      <c r="AM246" s="60"/>
      <c r="AN246" s="60"/>
    </row>
    <row r="247" spans="1:40" s="373" customFormat="1" ht="21" customHeight="1" x14ac:dyDescent="0.25">
      <c r="A247" s="119"/>
      <c r="B247" s="119"/>
      <c r="C247" s="119"/>
      <c r="D247" s="119" t="str">
        <f>LEFT(E248,3)</f>
        <v>385</v>
      </c>
      <c r="E247" s="119"/>
      <c r="F247" s="368" t="s">
        <v>545</v>
      </c>
      <c r="G247" s="369" t="e">
        <f>G248</f>
        <v>#REF!</v>
      </c>
      <c r="H247" s="370" t="e">
        <f>H248</f>
        <v>#REF!</v>
      </c>
      <c r="I247" s="369" t="e">
        <f>I248</f>
        <v>#REF!</v>
      </c>
      <c r="J247" s="369" t="e">
        <f>J248</f>
        <v>#REF!</v>
      </c>
      <c r="K247" s="369" t="e">
        <f>K248</f>
        <v>#REF!</v>
      </c>
      <c r="L247" s="369" t="e">
        <f t="shared" si="85"/>
        <v>#REF!</v>
      </c>
      <c r="M247" s="369" t="e">
        <f t="shared" si="86"/>
        <v>#REF!</v>
      </c>
      <c r="N247" s="369" t="e">
        <f t="shared" ref="N247:X247" si="90">N248</f>
        <v>#REF!</v>
      </c>
      <c r="O247" s="137" t="e">
        <f t="shared" si="90"/>
        <v>#REF!</v>
      </c>
      <c r="P247" s="137" t="e">
        <f t="shared" si="90"/>
        <v>#REF!</v>
      </c>
      <c r="Q247" s="393" t="e">
        <f t="shared" si="90"/>
        <v>#REF!</v>
      </c>
      <c r="R247" s="137" t="e">
        <f t="shared" si="90"/>
        <v>#REF!</v>
      </c>
      <c r="S247" s="137" t="e">
        <f t="shared" si="90"/>
        <v>#REF!</v>
      </c>
      <c r="T247" s="137" t="e">
        <f t="shared" si="90"/>
        <v>#REF!</v>
      </c>
      <c r="U247" s="371" t="e">
        <f t="shared" si="90"/>
        <v>#REF!</v>
      </c>
      <c r="V247" s="371" t="e">
        <f t="shared" si="90"/>
        <v>#REF!</v>
      </c>
      <c r="W247" s="371" t="e">
        <f t="shared" si="90"/>
        <v>#REF!</v>
      </c>
      <c r="X247" s="371" t="e">
        <f t="shared" si="90"/>
        <v>#REF!</v>
      </c>
      <c r="Y247" s="371">
        <f>Y248</f>
        <v>0</v>
      </c>
      <c r="Z247" s="590" t="e">
        <f t="shared" si="73"/>
        <v>#REF!</v>
      </c>
      <c r="AA247" s="590" t="e">
        <f t="shared" si="74"/>
        <v>#REF!</v>
      </c>
      <c r="AB247" s="371" t="e">
        <f>AB248</f>
        <v>#REF!</v>
      </c>
      <c r="AC247" s="372"/>
      <c r="AD247" s="372"/>
      <c r="AE247" s="372"/>
      <c r="AF247" s="372"/>
      <c r="AG247" s="372"/>
      <c r="AH247" s="372"/>
      <c r="AI247" s="372"/>
      <c r="AJ247" s="372"/>
      <c r="AK247" s="372"/>
      <c r="AL247" s="372"/>
      <c r="AM247" s="372"/>
      <c r="AN247" s="372"/>
    </row>
    <row r="248" spans="1:40" ht="21.75" customHeight="1" x14ac:dyDescent="0.25">
      <c r="A248" s="80"/>
      <c r="B248" s="80"/>
      <c r="C248" s="80"/>
      <c r="D248" s="80"/>
      <c r="E248" s="80">
        <v>3851</v>
      </c>
      <c r="F248" s="81" t="s">
        <v>546</v>
      </c>
      <c r="G248" s="82" t="e">
        <f>SUMIF(#REF!,'BILANCA PO IZVORIMA'!$E248,#REF!)</f>
        <v>#REF!</v>
      </c>
      <c r="H248" s="82" t="e">
        <f>SUMIF(#REF!,'BILANCA PO IZVORIMA'!$E248,#REF!)</f>
        <v>#REF!</v>
      </c>
      <c r="I248" s="82" t="e">
        <f>SUMIF(#REF!,'BILANCA PO IZVORIMA'!$E248,#REF!)</f>
        <v>#REF!</v>
      </c>
      <c r="J248" s="82" t="e">
        <f>SUMIF(#REF!,'BILANCA PO IZVORIMA'!$E248,#REF!)</f>
        <v>#REF!</v>
      </c>
      <c r="K248" s="82" t="e">
        <f>SUMIF(#REF!,'BILANCA PO IZVORIMA'!$E248,#REF!)</f>
        <v>#REF!</v>
      </c>
      <c r="L248" s="82" t="e">
        <f t="shared" si="85"/>
        <v>#REF!</v>
      </c>
      <c r="M248" s="82" t="e">
        <f t="shared" si="86"/>
        <v>#REF!</v>
      </c>
      <c r="N248" s="82" t="e">
        <f>SUMIF(#REF!,'BILANCA PO IZVORIMA'!$E248,#REF!)</f>
        <v>#REF!</v>
      </c>
      <c r="O248" s="82" t="e">
        <f>SUMIF(#REF!,'BILANCA PO IZVORIMA'!$E248,#REF!)</f>
        <v>#REF!</v>
      </c>
      <c r="P248" s="82" t="e">
        <f>SUMIF(#REF!,'BILANCA PO IZVORIMA'!$E248,#REF!)</f>
        <v>#REF!</v>
      </c>
      <c r="Q248" s="386" t="e">
        <f>SUMIF(#REF!,'BILANCA PO IZVORIMA'!$E248,#REF!)</f>
        <v>#REF!</v>
      </c>
      <c r="R248" s="82" t="e">
        <f>SUMIF(#REF!,'BILANCA PO IZVORIMA'!$E248,#REF!)</f>
        <v>#REF!</v>
      </c>
      <c r="S248" s="82" t="e">
        <f>SUMIF(#REF!,'BILANCA PO IZVORIMA'!$E248,#REF!)</f>
        <v>#REF!</v>
      </c>
      <c r="T248" s="82" t="e">
        <f>SUMIF(#REF!,'BILANCA PO IZVORIMA'!$E$248,#REF!)</f>
        <v>#REF!</v>
      </c>
      <c r="U248" s="357" t="e">
        <f>SUMIF(#REF!,'BILANCA PO IZVORIMA'!$E248,#REF!)</f>
        <v>#REF!</v>
      </c>
      <c r="V248" s="357" t="e">
        <f>SUMIF(#REF!,'BILANCA PO IZVORIMA'!$E248,#REF!)</f>
        <v>#REF!</v>
      </c>
      <c r="W248" s="357" t="e">
        <f>SUMIF(#REF!,'BILANCA PO IZVORIMA'!$E248,#REF!)</f>
        <v>#REF!</v>
      </c>
      <c r="X248" s="357" t="e">
        <f>SUMIF(#REF!,'BILANCA PO IZVORIMA'!$E248,#REF!)</f>
        <v>#REF!</v>
      </c>
      <c r="Y248" s="357">
        <v>0</v>
      </c>
      <c r="Z248" s="614" t="e">
        <f t="shared" si="73"/>
        <v>#REF!</v>
      </c>
      <c r="AA248" s="614" t="e">
        <f t="shared" si="74"/>
        <v>#REF!</v>
      </c>
      <c r="AB248" s="357" t="e">
        <f>SUMIF(#REF!,'BILANCA PO IZVORIMA'!$E248,#REF!)</f>
        <v>#REF!</v>
      </c>
      <c r="AF248" s="60"/>
      <c r="AG248" s="60"/>
      <c r="AH248" s="60"/>
      <c r="AI248" s="60"/>
      <c r="AJ248" s="60"/>
      <c r="AK248" s="60"/>
      <c r="AL248" s="60"/>
      <c r="AM248" s="60"/>
      <c r="AN248" s="60"/>
    </row>
    <row r="249" spans="1:40" ht="21.75" customHeight="1" x14ac:dyDescent="0.25">
      <c r="A249" s="108"/>
      <c r="B249" s="108"/>
      <c r="C249" s="108"/>
      <c r="D249" s="108"/>
      <c r="E249" s="108"/>
      <c r="F249" s="109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387"/>
      <c r="R249" s="110"/>
      <c r="S249" s="110"/>
      <c r="T249" s="110"/>
      <c r="U249" s="361"/>
      <c r="V249" s="361"/>
      <c r="W249" s="361"/>
      <c r="X249" s="361"/>
      <c r="Y249" s="361"/>
      <c r="Z249" s="615"/>
      <c r="AA249" s="615"/>
      <c r="AB249" s="361"/>
      <c r="AF249" s="60"/>
      <c r="AG249" s="60"/>
      <c r="AH249" s="60"/>
      <c r="AI249" s="60"/>
      <c r="AJ249" s="60"/>
      <c r="AK249" s="60"/>
      <c r="AL249" s="60"/>
      <c r="AM249" s="60"/>
      <c r="AN249" s="60"/>
    </row>
    <row r="250" spans="1:40" ht="15" customHeight="1" x14ac:dyDescent="0.25">
      <c r="A250" s="108"/>
      <c r="B250" s="108"/>
      <c r="C250" s="108"/>
      <c r="D250" s="108"/>
      <c r="E250" s="108"/>
      <c r="F250" s="109"/>
      <c r="G250" s="110"/>
      <c r="H250" s="103"/>
      <c r="I250" s="110"/>
      <c r="J250" s="110"/>
      <c r="K250" s="110"/>
      <c r="L250" s="110"/>
      <c r="M250" s="110"/>
      <c r="N250" s="110"/>
      <c r="O250" s="110"/>
      <c r="P250" s="110"/>
      <c r="Q250" s="395"/>
      <c r="R250" s="110"/>
      <c r="S250" s="110"/>
      <c r="T250" s="110"/>
      <c r="U250" s="361"/>
      <c r="V250" s="361"/>
      <c r="W250" s="361"/>
      <c r="X250" s="361"/>
      <c r="Y250" s="361"/>
      <c r="Z250" s="615"/>
      <c r="AA250" s="615"/>
      <c r="AB250" s="361"/>
      <c r="AF250" s="60"/>
      <c r="AG250" s="60"/>
      <c r="AH250" s="60"/>
      <c r="AI250" s="60"/>
      <c r="AJ250" s="60"/>
      <c r="AK250" s="60"/>
      <c r="AL250" s="60"/>
      <c r="AM250" s="60"/>
      <c r="AN250" s="60"/>
    </row>
    <row r="251" spans="1:40" x14ac:dyDescent="0.25">
      <c r="A251" s="108"/>
      <c r="B251" s="108"/>
      <c r="C251" s="108"/>
      <c r="D251" s="108"/>
      <c r="E251" s="108"/>
      <c r="F251" s="104" t="s">
        <v>1021</v>
      </c>
      <c r="G251" s="110"/>
      <c r="H251" s="103"/>
      <c r="I251" s="110"/>
      <c r="J251" s="110"/>
      <c r="K251" s="110"/>
      <c r="L251" s="110"/>
      <c r="M251" s="110"/>
      <c r="N251" s="110"/>
      <c r="O251" s="110"/>
      <c r="P251" s="110"/>
      <c r="Q251" s="395"/>
      <c r="R251" s="110"/>
      <c r="S251" s="110"/>
      <c r="T251" s="110"/>
      <c r="U251" s="361"/>
      <c r="V251" s="361"/>
      <c r="W251" s="361"/>
      <c r="X251" s="361"/>
      <c r="Y251" s="361"/>
      <c r="Z251" s="615"/>
      <c r="AA251" s="615"/>
      <c r="AB251" s="361"/>
      <c r="AF251" s="60"/>
      <c r="AG251" s="60"/>
      <c r="AH251" s="60"/>
      <c r="AI251" s="60"/>
      <c r="AJ251" s="60"/>
      <c r="AK251" s="60"/>
      <c r="AL251" s="60"/>
      <c r="AM251" s="60"/>
      <c r="AN251" s="60"/>
    </row>
    <row r="252" spans="1:40" x14ac:dyDescent="0.25">
      <c r="A252" s="74"/>
      <c r="B252" s="105" t="str">
        <f>LEFT(E261,1)</f>
        <v>4</v>
      </c>
      <c r="C252" s="105"/>
      <c r="D252" s="105"/>
      <c r="E252" s="105"/>
      <c r="F252" s="72" t="s">
        <v>552</v>
      </c>
      <c r="G252" s="313" t="e">
        <f>G253+G259+G281</f>
        <v>#REF!</v>
      </c>
      <c r="H252" s="73" t="e">
        <f>H253+H259+H281</f>
        <v>#REF!</v>
      </c>
      <c r="I252" s="313" t="e">
        <f>I253+I259+I281</f>
        <v>#REF!</v>
      </c>
      <c r="J252" s="313" t="e">
        <f>J253+J259+J281</f>
        <v>#REF!</v>
      </c>
      <c r="K252" s="313" t="e">
        <f>K253+K259+K281</f>
        <v>#REF!</v>
      </c>
      <c r="L252" s="313" t="e">
        <f t="shared" ref="L252:L259" si="91">ROUND(K252/J252*100,2)</f>
        <v>#REF!</v>
      </c>
      <c r="M252" s="313" t="e">
        <f t="shared" ref="M252:M259" si="92">N252-J252</f>
        <v>#REF!</v>
      </c>
      <c r="N252" s="313" t="e">
        <f t="shared" ref="N252:X252" si="93">N253+N259+N281</f>
        <v>#REF!</v>
      </c>
      <c r="O252" s="73" t="e">
        <f t="shared" si="93"/>
        <v>#REF!</v>
      </c>
      <c r="P252" s="73" t="e">
        <f t="shared" si="93"/>
        <v>#REF!</v>
      </c>
      <c r="Q252" s="412" t="e">
        <f t="shared" si="93"/>
        <v>#REF!</v>
      </c>
      <c r="R252" s="76" t="e">
        <f t="shared" si="93"/>
        <v>#REF!</v>
      </c>
      <c r="S252" s="76" t="e">
        <f t="shared" si="93"/>
        <v>#REF!</v>
      </c>
      <c r="T252" s="76" t="e">
        <f t="shared" si="93"/>
        <v>#REF!</v>
      </c>
      <c r="U252" s="355" t="e">
        <f t="shared" si="93"/>
        <v>#REF!</v>
      </c>
      <c r="V252" s="355" t="e">
        <f t="shared" si="93"/>
        <v>#REF!</v>
      </c>
      <c r="W252" s="355" t="e">
        <f t="shared" si="93"/>
        <v>#REF!</v>
      </c>
      <c r="X252" s="355" t="e">
        <f t="shared" si="93"/>
        <v>#REF!</v>
      </c>
      <c r="Y252" s="355">
        <f>Y253+Y259+Y281</f>
        <v>3848167.2</v>
      </c>
      <c r="Z252" s="611" t="e">
        <f t="shared" si="73"/>
        <v>#REF!</v>
      </c>
      <c r="AA252" s="611" t="e">
        <f t="shared" si="74"/>
        <v>#REF!</v>
      </c>
      <c r="AB252" s="355" t="e">
        <f>AB253+AB259+AB281</f>
        <v>#REF!</v>
      </c>
      <c r="AF252" s="60"/>
      <c r="AG252" s="60"/>
      <c r="AH252" s="60"/>
      <c r="AI252" s="60"/>
      <c r="AJ252" s="60"/>
      <c r="AK252" s="60"/>
      <c r="AL252" s="60"/>
      <c r="AM252" s="60"/>
      <c r="AN252" s="60"/>
    </row>
    <row r="253" spans="1:40" ht="36" x14ac:dyDescent="0.25">
      <c r="A253" s="125"/>
      <c r="B253" s="74"/>
      <c r="C253" s="74">
        <v>41</v>
      </c>
      <c r="D253" s="74"/>
      <c r="E253" s="74"/>
      <c r="F253" s="75" t="s">
        <v>753</v>
      </c>
      <c r="G253" s="77" t="e">
        <f>G256+G254</f>
        <v>#REF!</v>
      </c>
      <c r="H253" s="118" t="e">
        <f>H256+H254</f>
        <v>#REF!</v>
      </c>
      <c r="I253" s="77" t="e">
        <f>I256+I254</f>
        <v>#REF!</v>
      </c>
      <c r="J253" s="77" t="e">
        <f>J256+J254</f>
        <v>#REF!</v>
      </c>
      <c r="K253" s="77" t="e">
        <f>K256+K254</f>
        <v>#REF!</v>
      </c>
      <c r="L253" s="77" t="e">
        <f t="shared" si="91"/>
        <v>#REF!</v>
      </c>
      <c r="M253" s="77" t="e">
        <f t="shared" si="92"/>
        <v>#REF!</v>
      </c>
      <c r="N253" s="77" t="e">
        <f t="shared" ref="N253:X253" si="94">N256+N254</f>
        <v>#REF!</v>
      </c>
      <c r="O253" s="76" t="e">
        <f t="shared" si="94"/>
        <v>#REF!</v>
      </c>
      <c r="P253" s="76" t="e">
        <f t="shared" si="94"/>
        <v>#REF!</v>
      </c>
      <c r="Q253" s="385" t="e">
        <f t="shared" si="94"/>
        <v>#REF!</v>
      </c>
      <c r="R253" s="135" t="e">
        <f t="shared" si="94"/>
        <v>#REF!</v>
      </c>
      <c r="S253" s="135" t="e">
        <f t="shared" si="94"/>
        <v>#REF!</v>
      </c>
      <c r="T253" s="135" t="e">
        <f t="shared" si="94"/>
        <v>#REF!</v>
      </c>
      <c r="U253" s="356" t="e">
        <f t="shared" si="94"/>
        <v>#REF!</v>
      </c>
      <c r="V253" s="356" t="e">
        <f t="shared" si="94"/>
        <v>#REF!</v>
      </c>
      <c r="W253" s="356" t="e">
        <f t="shared" si="94"/>
        <v>#REF!</v>
      </c>
      <c r="X253" s="356" t="e">
        <f t="shared" si="94"/>
        <v>#REF!</v>
      </c>
      <c r="Y253" s="356">
        <f>Y254+Y256</f>
        <v>0</v>
      </c>
      <c r="Z253" s="610" t="e">
        <f t="shared" si="73"/>
        <v>#REF!</v>
      </c>
      <c r="AA253" s="610" t="e">
        <f t="shared" si="74"/>
        <v>#REF!</v>
      </c>
      <c r="AB253" s="356" t="e">
        <f>AB256+AB254</f>
        <v>#REF!</v>
      </c>
      <c r="AF253" s="60"/>
      <c r="AG253" s="60"/>
      <c r="AH253" s="60"/>
      <c r="AI253" s="60"/>
      <c r="AJ253" s="60"/>
      <c r="AK253" s="60"/>
      <c r="AL253" s="60"/>
      <c r="AM253" s="60"/>
      <c r="AN253" s="60"/>
    </row>
    <row r="254" spans="1:40" s="373" customFormat="1" ht="17.25" customHeight="1" x14ac:dyDescent="0.25">
      <c r="A254" s="119"/>
      <c r="B254" s="119"/>
      <c r="C254" s="119"/>
      <c r="D254" s="119" t="s">
        <v>1022</v>
      </c>
      <c r="E254" s="119"/>
      <c r="F254" s="368" t="s">
        <v>471</v>
      </c>
      <c r="G254" s="369" t="e">
        <f>G255</f>
        <v>#REF!</v>
      </c>
      <c r="H254" s="370" t="e">
        <f>H255</f>
        <v>#REF!</v>
      </c>
      <c r="I254" s="369" t="e">
        <f>I255</f>
        <v>#REF!</v>
      </c>
      <c r="J254" s="369" t="e">
        <f>J255</f>
        <v>#REF!</v>
      </c>
      <c r="K254" s="369" t="e">
        <f>K255</f>
        <v>#REF!</v>
      </c>
      <c r="L254" s="369" t="e">
        <f t="shared" si="91"/>
        <v>#REF!</v>
      </c>
      <c r="M254" s="369" t="e">
        <f t="shared" si="92"/>
        <v>#REF!</v>
      </c>
      <c r="N254" s="369" t="e">
        <f t="shared" ref="N254:X254" si="95">N255</f>
        <v>#REF!</v>
      </c>
      <c r="O254" s="137" t="e">
        <f t="shared" si="95"/>
        <v>#REF!</v>
      </c>
      <c r="P254" s="137" t="e">
        <f t="shared" si="95"/>
        <v>#REF!</v>
      </c>
      <c r="Q254" s="393" t="e">
        <f t="shared" si="95"/>
        <v>#REF!</v>
      </c>
      <c r="R254" s="137" t="e">
        <f t="shared" si="95"/>
        <v>#REF!</v>
      </c>
      <c r="S254" s="137" t="e">
        <f t="shared" si="95"/>
        <v>#REF!</v>
      </c>
      <c r="T254" s="137" t="e">
        <f t="shared" si="95"/>
        <v>#REF!</v>
      </c>
      <c r="U254" s="371" t="e">
        <f t="shared" si="95"/>
        <v>#REF!</v>
      </c>
      <c r="V254" s="371" t="e">
        <f t="shared" si="95"/>
        <v>#REF!</v>
      </c>
      <c r="W254" s="371" t="e">
        <f t="shared" si="95"/>
        <v>#REF!</v>
      </c>
      <c r="X254" s="371" t="e">
        <f t="shared" si="95"/>
        <v>#REF!</v>
      </c>
      <c r="Y254" s="371">
        <f>Y255</f>
        <v>0</v>
      </c>
      <c r="Z254" s="590" t="e">
        <f t="shared" si="73"/>
        <v>#REF!</v>
      </c>
      <c r="AA254" s="590" t="e">
        <f t="shared" si="74"/>
        <v>#REF!</v>
      </c>
      <c r="AB254" s="371" t="e">
        <f>AB255</f>
        <v>#REF!</v>
      </c>
      <c r="AC254" s="372"/>
      <c r="AD254" s="372"/>
      <c r="AE254" s="372"/>
      <c r="AF254" s="372"/>
      <c r="AG254" s="372"/>
      <c r="AH254" s="372"/>
      <c r="AI254" s="372"/>
      <c r="AJ254" s="372"/>
      <c r="AK254" s="372"/>
      <c r="AL254" s="372"/>
      <c r="AM254" s="372"/>
      <c r="AN254" s="372"/>
    </row>
    <row r="255" spans="1:40" ht="24.75" customHeight="1" x14ac:dyDescent="0.25">
      <c r="A255" s="80"/>
      <c r="B255" s="80"/>
      <c r="C255" s="80"/>
      <c r="D255" s="80"/>
      <c r="E255" s="80">
        <v>4111</v>
      </c>
      <c r="F255" s="81" t="s">
        <v>755</v>
      </c>
      <c r="G255" s="82" t="e">
        <f>SUMIF(#REF!,'BILANCA PO IZVORIMA'!$E255,#REF!)</f>
        <v>#REF!</v>
      </c>
      <c r="H255" s="82" t="e">
        <f>SUMIF(#REF!,'BILANCA PO IZVORIMA'!$E255,#REF!)</f>
        <v>#REF!</v>
      </c>
      <c r="I255" s="82" t="e">
        <f>SUMIF(#REF!,'BILANCA PO IZVORIMA'!$E255,#REF!)</f>
        <v>#REF!</v>
      </c>
      <c r="J255" s="82" t="e">
        <f>SUMIF(#REF!,'BILANCA PO IZVORIMA'!$E255,#REF!)</f>
        <v>#REF!</v>
      </c>
      <c r="K255" s="82" t="e">
        <f>SUMIF(#REF!,'BILANCA PO IZVORIMA'!$E255,#REF!)</f>
        <v>#REF!</v>
      </c>
      <c r="L255" s="82" t="e">
        <f t="shared" si="91"/>
        <v>#REF!</v>
      </c>
      <c r="M255" s="82" t="e">
        <f t="shared" si="92"/>
        <v>#REF!</v>
      </c>
      <c r="N255" s="82" t="e">
        <f>SUMIF(#REF!,'BILANCA PO IZVORIMA'!$E255,#REF!)</f>
        <v>#REF!</v>
      </c>
      <c r="O255" s="82" t="e">
        <f>SUMIF(#REF!,'BILANCA PO IZVORIMA'!$E255,#REF!)</f>
        <v>#REF!</v>
      </c>
      <c r="P255" s="82" t="e">
        <f>SUMIF(#REF!,'BILANCA PO IZVORIMA'!$E255,#REF!)</f>
        <v>#REF!</v>
      </c>
      <c r="Q255" s="386" t="e">
        <f>SUMIF(#REF!,'BILANCA PO IZVORIMA'!$E255,#REF!)</f>
        <v>#REF!</v>
      </c>
      <c r="R255" s="82" t="e">
        <f>SUMIF(#REF!,'BILANCA PO IZVORIMA'!$E255,#REF!)</f>
        <v>#REF!</v>
      </c>
      <c r="S255" s="82" t="e">
        <f>SUMIF(#REF!,'BILANCA PO IZVORIMA'!$E255,#REF!)</f>
        <v>#REF!</v>
      </c>
      <c r="T255" s="82" t="e">
        <f>SUMIF(#REF!,'BILANCA PO IZVORIMA'!$E$255,#REF!)</f>
        <v>#REF!</v>
      </c>
      <c r="U255" s="357" t="e">
        <f>SUMIF(#REF!,'BILANCA PO IZVORIMA'!$E255,#REF!)</f>
        <v>#REF!</v>
      </c>
      <c r="V255" s="357" t="e">
        <f>SUMIF(#REF!,'BILANCA PO IZVORIMA'!$E255,#REF!)</f>
        <v>#REF!</v>
      </c>
      <c r="W255" s="357" t="e">
        <f>SUMIF(#REF!,'BILANCA PO IZVORIMA'!$E255,#REF!)</f>
        <v>#REF!</v>
      </c>
      <c r="X255" s="357" t="e">
        <f>SUMIF(#REF!,'BILANCA PO IZVORIMA'!$E255,#REF!)</f>
        <v>#REF!</v>
      </c>
      <c r="Y255" s="357">
        <v>0</v>
      </c>
      <c r="Z255" s="614" t="e">
        <f t="shared" si="73"/>
        <v>#REF!</v>
      </c>
      <c r="AA255" s="614" t="e">
        <f t="shared" si="74"/>
        <v>#REF!</v>
      </c>
      <c r="AB255" s="357" t="e">
        <f>SUMIF(#REF!,'BILANCA PO IZVORIMA'!$E255,#REF!)</f>
        <v>#REF!</v>
      </c>
      <c r="AF255" s="60"/>
      <c r="AG255" s="60"/>
      <c r="AH255" s="60"/>
      <c r="AI255" s="60"/>
      <c r="AJ255" s="60"/>
      <c r="AK255" s="60"/>
      <c r="AL255" s="60"/>
      <c r="AM255" s="60"/>
      <c r="AN255" s="60"/>
    </row>
    <row r="256" spans="1:40" s="373" customFormat="1" ht="18.75" customHeight="1" x14ac:dyDescent="0.25">
      <c r="A256" s="119"/>
      <c r="B256" s="119"/>
      <c r="C256" s="119"/>
      <c r="D256" s="119">
        <v>412</v>
      </c>
      <c r="E256" s="119"/>
      <c r="F256" s="368" t="s">
        <v>553</v>
      </c>
      <c r="G256" s="137" t="e">
        <f>G257+G258</f>
        <v>#REF!</v>
      </c>
      <c r="H256" s="137" t="e">
        <f>H257+H258</f>
        <v>#REF!</v>
      </c>
      <c r="I256" s="137" t="e">
        <f>I257+I258</f>
        <v>#REF!</v>
      </c>
      <c r="J256" s="137" t="e">
        <f>J257+J258</f>
        <v>#REF!</v>
      </c>
      <c r="K256" s="137" t="e">
        <f>K257+K258</f>
        <v>#REF!</v>
      </c>
      <c r="L256" s="137" t="e">
        <f t="shared" si="91"/>
        <v>#REF!</v>
      </c>
      <c r="M256" s="137" t="e">
        <f t="shared" si="92"/>
        <v>#REF!</v>
      </c>
      <c r="N256" s="137" t="e">
        <f t="shared" ref="N256:X256" si="96">N257+N258</f>
        <v>#REF!</v>
      </c>
      <c r="O256" s="137" t="e">
        <f t="shared" si="96"/>
        <v>#REF!</v>
      </c>
      <c r="P256" s="137" t="e">
        <f t="shared" si="96"/>
        <v>#REF!</v>
      </c>
      <c r="Q256" s="393" t="e">
        <f t="shared" si="96"/>
        <v>#REF!</v>
      </c>
      <c r="R256" s="137" t="e">
        <f t="shared" si="96"/>
        <v>#REF!</v>
      </c>
      <c r="S256" s="137" t="e">
        <f t="shared" si="96"/>
        <v>#REF!</v>
      </c>
      <c r="T256" s="137" t="e">
        <f t="shared" si="96"/>
        <v>#REF!</v>
      </c>
      <c r="U256" s="371" t="e">
        <f t="shared" si="96"/>
        <v>#REF!</v>
      </c>
      <c r="V256" s="371" t="e">
        <f t="shared" si="96"/>
        <v>#REF!</v>
      </c>
      <c r="W256" s="371" t="e">
        <f t="shared" si="96"/>
        <v>#REF!</v>
      </c>
      <c r="X256" s="371" t="e">
        <f t="shared" si="96"/>
        <v>#REF!</v>
      </c>
      <c r="Y256" s="371">
        <f>Y257</f>
        <v>0</v>
      </c>
      <c r="Z256" s="590" t="e">
        <f t="shared" si="73"/>
        <v>#REF!</v>
      </c>
      <c r="AA256" s="590" t="e">
        <f t="shared" si="74"/>
        <v>#REF!</v>
      </c>
      <c r="AB256" s="371" t="e">
        <f>AB257+AB258</f>
        <v>#REF!</v>
      </c>
      <c r="AC256" s="372"/>
      <c r="AD256" s="372"/>
      <c r="AE256" s="372"/>
      <c r="AF256" s="372"/>
      <c r="AG256" s="372"/>
      <c r="AH256" s="372"/>
      <c r="AI256" s="372"/>
      <c r="AJ256" s="372"/>
      <c r="AK256" s="372"/>
      <c r="AL256" s="372"/>
      <c r="AM256" s="372"/>
      <c r="AN256" s="372"/>
    </row>
    <row r="257" spans="1:40" ht="18" customHeight="1" x14ac:dyDescent="0.25">
      <c r="A257" s="80"/>
      <c r="B257" s="80"/>
      <c r="C257" s="80"/>
      <c r="D257" s="80"/>
      <c r="E257" s="80">
        <v>4123</v>
      </c>
      <c r="F257" s="81" t="s">
        <v>554</v>
      </c>
      <c r="G257" s="82" t="e">
        <f>SUMIF(#REF!,'BILANCA PO IZVORIMA'!$E257,#REF!)</f>
        <v>#REF!</v>
      </c>
      <c r="H257" s="82" t="e">
        <f>SUMIF(#REF!,'BILANCA PO IZVORIMA'!$E257,#REF!)</f>
        <v>#REF!</v>
      </c>
      <c r="I257" s="82" t="e">
        <f>SUMIF(#REF!,'BILANCA PO IZVORIMA'!$E257,#REF!)</f>
        <v>#REF!</v>
      </c>
      <c r="J257" s="82" t="e">
        <f>SUMIF(#REF!,'BILANCA PO IZVORIMA'!$E257,#REF!)</f>
        <v>#REF!</v>
      </c>
      <c r="K257" s="82" t="e">
        <f>SUMIF(#REF!,'BILANCA PO IZVORIMA'!$E257,#REF!)</f>
        <v>#REF!</v>
      </c>
      <c r="L257" s="82" t="e">
        <f t="shared" si="91"/>
        <v>#REF!</v>
      </c>
      <c r="M257" s="82" t="e">
        <f t="shared" si="92"/>
        <v>#REF!</v>
      </c>
      <c r="N257" s="82" t="e">
        <f>SUMIF(#REF!,'BILANCA PO IZVORIMA'!$E257,#REF!)</f>
        <v>#REF!</v>
      </c>
      <c r="O257" s="82" t="e">
        <f>SUMIF(#REF!,'BILANCA PO IZVORIMA'!$E257,#REF!)</f>
        <v>#REF!</v>
      </c>
      <c r="P257" s="82" t="e">
        <f>SUMIF(#REF!,'BILANCA PO IZVORIMA'!$E257,#REF!)</f>
        <v>#REF!</v>
      </c>
      <c r="Q257" s="386" t="e">
        <f>SUMIF(#REF!,'BILANCA PO IZVORIMA'!$E257,#REF!)</f>
        <v>#REF!</v>
      </c>
      <c r="R257" s="82" t="e">
        <f>SUMIF(#REF!,'BILANCA PO IZVORIMA'!$E257,#REF!)</f>
        <v>#REF!</v>
      </c>
      <c r="S257" s="82" t="e">
        <f>SUMIF(#REF!,'BILANCA PO IZVORIMA'!$E257,#REF!)</f>
        <v>#REF!</v>
      </c>
      <c r="T257" s="82" t="e">
        <f>SUMIF(#REF!,'BILANCA PO IZVORIMA'!$E$257,#REF!)</f>
        <v>#REF!</v>
      </c>
      <c r="U257" s="357" t="e">
        <f>SUMIF(#REF!,'BILANCA PO IZVORIMA'!$E257,#REF!)</f>
        <v>#REF!</v>
      </c>
      <c r="V257" s="357" t="e">
        <f>SUMIF(#REF!,'BILANCA PO IZVORIMA'!$E257,#REF!)</f>
        <v>#REF!</v>
      </c>
      <c r="W257" s="357" t="e">
        <f>SUMIF(#REF!,'BILANCA PO IZVORIMA'!$E257,#REF!)</f>
        <v>#REF!</v>
      </c>
      <c r="X257" s="357" t="e">
        <f>SUMIF(#REF!,'BILANCA PO IZVORIMA'!$E257,#REF!)</f>
        <v>#REF!</v>
      </c>
      <c r="Y257" s="357">
        <v>0</v>
      </c>
      <c r="Z257" s="614" t="e">
        <f t="shared" si="73"/>
        <v>#REF!</v>
      </c>
      <c r="AA257" s="614" t="e">
        <f t="shared" si="74"/>
        <v>#REF!</v>
      </c>
      <c r="AB257" s="357" t="e">
        <f>SUMIF(#REF!,'BILANCA PO IZVORIMA'!$E257,#REF!)</f>
        <v>#REF!</v>
      </c>
      <c r="AF257" s="60"/>
      <c r="AG257" s="60"/>
      <c r="AH257" s="60"/>
      <c r="AI257" s="60"/>
      <c r="AJ257" s="60"/>
      <c r="AK257" s="60"/>
      <c r="AL257" s="60"/>
      <c r="AM257" s="60"/>
      <c r="AN257" s="60"/>
    </row>
    <row r="258" spans="1:40" ht="18.75" hidden="1" customHeight="1" x14ac:dyDescent="0.25">
      <c r="A258" s="80"/>
      <c r="B258" s="80"/>
      <c r="C258" s="80"/>
      <c r="D258" s="80"/>
      <c r="E258" s="136" t="s">
        <v>1023</v>
      </c>
      <c r="F258" s="81" t="s">
        <v>1024</v>
      </c>
      <c r="G258" s="82" t="e">
        <f>SUMIF(#REF!,'BILANCA PO IZVORIMA'!$E258,#REF!)</f>
        <v>#REF!</v>
      </c>
      <c r="H258" s="82" t="e">
        <f>SUMIF(#REF!,'BILANCA PO IZVORIMA'!$E258,#REF!)</f>
        <v>#REF!</v>
      </c>
      <c r="I258" s="82" t="e">
        <f>SUMIF(#REF!,'BILANCA PO IZVORIMA'!$E258,#REF!)</f>
        <v>#REF!</v>
      </c>
      <c r="J258" s="82" t="e">
        <f>SUMIF(#REF!,'BILANCA PO IZVORIMA'!$E258,#REF!)</f>
        <v>#REF!</v>
      </c>
      <c r="K258" s="82" t="e">
        <f>SUMIF(#REF!,'BILANCA PO IZVORIMA'!$E258,#REF!)</f>
        <v>#REF!</v>
      </c>
      <c r="L258" s="82" t="e">
        <f t="shared" si="91"/>
        <v>#REF!</v>
      </c>
      <c r="M258" s="82" t="e">
        <f t="shared" si="92"/>
        <v>#REF!</v>
      </c>
      <c r="N258" s="82" t="e">
        <f>SUMIF(#REF!,'BILANCA PO IZVORIMA'!$E258,#REF!)</f>
        <v>#REF!</v>
      </c>
      <c r="O258" s="82" t="e">
        <f>SUMIF(#REF!,'BILANCA PO IZVORIMA'!$E258,#REF!)</f>
        <v>#REF!</v>
      </c>
      <c r="P258" s="82" t="e">
        <f>SUMIF(#REF!,'BILANCA PO IZVORIMA'!$E258,#REF!)</f>
        <v>#REF!</v>
      </c>
      <c r="Q258" s="389" t="e">
        <f>U258-O258</f>
        <v>#REF!</v>
      </c>
      <c r="R258" s="82" t="e">
        <f>SUMIF(#REF!,'BILANCA PO IZVORIMA'!$E258,#REF!)</f>
        <v>#REF!</v>
      </c>
      <c r="S258" s="82" t="e">
        <f>SUMIF(#REF!,'BILANCA PO IZVORIMA'!$E258,#REF!)</f>
        <v>#REF!</v>
      </c>
      <c r="T258" s="82" t="e">
        <f>SUMIF(#REF!,'BILANCA PO IZVORIMA'!$E$258,#REF!)</f>
        <v>#REF!</v>
      </c>
      <c r="U258" s="357" t="e">
        <f>SUMIF(#REF!,'BILANCA PO IZVORIMA'!$E258,#REF!)</f>
        <v>#REF!</v>
      </c>
      <c r="V258" s="357" t="e">
        <f>SUMIF(#REF!,'BILANCA PO IZVORIMA'!$E258,#REF!)</f>
        <v>#REF!</v>
      </c>
      <c r="W258" s="357" t="e">
        <f>SUMIF(#REF!,'BILANCA PO IZVORIMA'!$E258,#REF!)</f>
        <v>#REF!</v>
      </c>
      <c r="X258" s="357" t="e">
        <f>SUMIF(#REF!,'BILANCA PO IZVORIMA'!$E258,#REF!)</f>
        <v>#REF!</v>
      </c>
      <c r="Y258" s="357"/>
      <c r="Z258" s="590" t="e">
        <f t="shared" si="73"/>
        <v>#REF!</v>
      </c>
      <c r="AA258" s="590" t="e">
        <f t="shared" si="74"/>
        <v>#REF!</v>
      </c>
      <c r="AB258" s="357" t="e">
        <f>SUMIF(#REF!,'BILANCA PO IZVORIMA'!$E258,#REF!)</f>
        <v>#REF!</v>
      </c>
      <c r="AF258" s="60"/>
      <c r="AG258" s="60"/>
      <c r="AH258" s="60"/>
      <c r="AI258" s="60"/>
      <c r="AJ258" s="60"/>
      <c r="AK258" s="60"/>
      <c r="AL258" s="60"/>
      <c r="AM258" s="60"/>
      <c r="AN258" s="60"/>
    </row>
    <row r="259" spans="1:40" ht="36.75" customHeight="1" x14ac:dyDescent="0.25">
      <c r="A259" s="125"/>
      <c r="B259" s="74"/>
      <c r="C259" s="74" t="str">
        <f>LEFT(E261,2)</f>
        <v>42</v>
      </c>
      <c r="D259" s="74"/>
      <c r="E259" s="74"/>
      <c r="F259" s="75" t="s">
        <v>212</v>
      </c>
      <c r="G259" s="77" t="e">
        <f>G260+G264+G272+G274+G278+G276</f>
        <v>#REF!</v>
      </c>
      <c r="H259" s="118" t="e">
        <f>H260+H264+H272+H274+H278+H276</f>
        <v>#REF!</v>
      </c>
      <c r="I259" s="77" t="e">
        <f>I260+I264+I272+I274+I278+I276</f>
        <v>#REF!</v>
      </c>
      <c r="J259" s="77" t="e">
        <f>J260+J264+J272+J274+J278+J276</f>
        <v>#REF!</v>
      </c>
      <c r="K259" s="77" t="e">
        <f>K260+K264+K272+K274+K278+K276</f>
        <v>#REF!</v>
      </c>
      <c r="L259" s="77" t="e">
        <f t="shared" si="91"/>
        <v>#REF!</v>
      </c>
      <c r="M259" s="77" t="e">
        <f t="shared" si="92"/>
        <v>#REF!</v>
      </c>
      <c r="N259" s="77" t="e">
        <f t="shared" ref="N259:X259" si="97">N260+N264+N272+N274+N278+N276</f>
        <v>#REF!</v>
      </c>
      <c r="O259" s="76" t="e">
        <f t="shared" si="97"/>
        <v>#REF!</v>
      </c>
      <c r="P259" s="76" t="e">
        <f t="shared" si="97"/>
        <v>#REF!</v>
      </c>
      <c r="Q259" s="385" t="e">
        <f t="shared" si="97"/>
        <v>#REF!</v>
      </c>
      <c r="R259" s="135" t="e">
        <f t="shared" si="97"/>
        <v>#REF!</v>
      </c>
      <c r="S259" s="135" t="e">
        <f t="shared" si="97"/>
        <v>#REF!</v>
      </c>
      <c r="T259" s="135" t="e">
        <f t="shared" si="97"/>
        <v>#REF!</v>
      </c>
      <c r="U259" s="356" t="e">
        <f t="shared" si="97"/>
        <v>#REF!</v>
      </c>
      <c r="V259" s="356" t="e">
        <f t="shared" si="97"/>
        <v>#REF!</v>
      </c>
      <c r="W259" s="356" t="e">
        <f t="shared" si="97"/>
        <v>#REF!</v>
      </c>
      <c r="X259" s="356" t="e">
        <f t="shared" si="97"/>
        <v>#REF!</v>
      </c>
      <c r="Y259" s="356">
        <f>Y260+Y264+Y272+Y274+Y278</f>
        <v>1904839.07</v>
      </c>
      <c r="Z259" s="610" t="e">
        <f t="shared" si="73"/>
        <v>#REF!</v>
      </c>
      <c r="AA259" s="610" t="e">
        <f t="shared" si="74"/>
        <v>#REF!</v>
      </c>
      <c r="AB259" s="356" t="e">
        <f>AB260+AB264+AB272+AB274+AB278+AB276</f>
        <v>#REF!</v>
      </c>
      <c r="AF259" s="60"/>
      <c r="AG259" s="60"/>
      <c r="AH259" s="60"/>
      <c r="AI259" s="60"/>
      <c r="AJ259" s="60"/>
      <c r="AK259" s="60"/>
      <c r="AL259" s="60"/>
      <c r="AM259" s="60"/>
      <c r="AN259" s="60"/>
    </row>
    <row r="260" spans="1:40" s="373" customFormat="1" ht="17.25" customHeight="1" x14ac:dyDescent="0.25">
      <c r="A260" s="119"/>
      <c r="B260" s="119"/>
      <c r="C260" s="119"/>
      <c r="D260" s="119" t="str">
        <f>LEFT(E261,3)</f>
        <v>421</v>
      </c>
      <c r="E260" s="119"/>
      <c r="F260" s="368" t="s">
        <v>759</v>
      </c>
      <c r="G260" s="369" t="e">
        <f t="shared" ref="G260:X260" si="98">SUM(G261:G263)</f>
        <v>#REF!</v>
      </c>
      <c r="H260" s="370" t="e">
        <f t="shared" si="98"/>
        <v>#REF!</v>
      </c>
      <c r="I260" s="369" t="e">
        <f t="shared" si="98"/>
        <v>#REF!</v>
      </c>
      <c r="J260" s="369" t="e">
        <f t="shared" si="98"/>
        <v>#REF!</v>
      </c>
      <c r="K260" s="369" t="e">
        <f t="shared" si="98"/>
        <v>#REF!</v>
      </c>
      <c r="L260" s="369" t="e">
        <f t="shared" si="98"/>
        <v>#REF!</v>
      </c>
      <c r="M260" s="369" t="e">
        <f t="shared" si="98"/>
        <v>#REF!</v>
      </c>
      <c r="N260" s="369" t="e">
        <f t="shared" si="98"/>
        <v>#REF!</v>
      </c>
      <c r="O260" s="369" t="e">
        <f t="shared" si="98"/>
        <v>#REF!</v>
      </c>
      <c r="P260" s="369" t="e">
        <f t="shared" si="98"/>
        <v>#REF!</v>
      </c>
      <c r="Q260" s="392" t="e">
        <f t="shared" si="98"/>
        <v>#REF!</v>
      </c>
      <c r="R260" s="369" t="e">
        <f t="shared" si="98"/>
        <v>#REF!</v>
      </c>
      <c r="S260" s="369" t="e">
        <f t="shared" si="98"/>
        <v>#REF!</v>
      </c>
      <c r="T260" s="369" t="e">
        <f t="shared" si="98"/>
        <v>#REF!</v>
      </c>
      <c r="U260" s="374" t="e">
        <f t="shared" si="98"/>
        <v>#REF!</v>
      </c>
      <c r="V260" s="374" t="e">
        <f t="shared" si="98"/>
        <v>#REF!</v>
      </c>
      <c r="W260" s="374" t="e">
        <f t="shared" si="98"/>
        <v>#REF!</v>
      </c>
      <c r="X260" s="374" t="e">
        <f t="shared" si="98"/>
        <v>#REF!</v>
      </c>
      <c r="Y260" s="374">
        <f>Y261+Y262+Y263</f>
        <v>1522482.1</v>
      </c>
      <c r="Z260" s="590" t="e">
        <f t="shared" si="73"/>
        <v>#REF!</v>
      </c>
      <c r="AA260" s="590" t="e">
        <f t="shared" si="74"/>
        <v>#REF!</v>
      </c>
      <c r="AB260" s="374" t="e">
        <f>SUM(AB261:AB263)</f>
        <v>#REF!</v>
      </c>
      <c r="AC260" s="372"/>
      <c r="AD260" s="372"/>
      <c r="AE260" s="372"/>
      <c r="AF260" s="372"/>
      <c r="AG260" s="372"/>
      <c r="AH260" s="372"/>
      <c r="AI260" s="372"/>
      <c r="AJ260" s="372"/>
      <c r="AK260" s="372"/>
      <c r="AL260" s="372"/>
      <c r="AM260" s="372"/>
      <c r="AN260" s="372"/>
    </row>
    <row r="261" spans="1:40" ht="21" customHeight="1" x14ac:dyDescent="0.25">
      <c r="A261" s="80"/>
      <c r="B261" s="80"/>
      <c r="C261" s="80"/>
      <c r="D261" s="80"/>
      <c r="E261" s="80">
        <v>4212</v>
      </c>
      <c r="F261" s="81" t="s">
        <v>1025</v>
      </c>
      <c r="G261" s="82" t="e">
        <f>SUMIF(#REF!,'BILANCA PO IZVORIMA'!$E261,#REF!)</f>
        <v>#REF!</v>
      </c>
      <c r="H261" s="82" t="e">
        <f>SUMIF(#REF!,'BILANCA PO IZVORIMA'!$E261,#REF!)</f>
        <v>#REF!</v>
      </c>
      <c r="I261" s="82" t="e">
        <f>SUMIF(#REF!,'BILANCA PO IZVORIMA'!$E261,#REF!)</f>
        <v>#REF!</v>
      </c>
      <c r="J261" s="82" t="e">
        <f>SUMIF(#REF!,'BILANCA PO IZVORIMA'!$E261,#REF!)</f>
        <v>#REF!</v>
      </c>
      <c r="K261" s="82" t="e">
        <f>SUMIF(#REF!,'BILANCA PO IZVORIMA'!$E261,#REF!)</f>
        <v>#REF!</v>
      </c>
      <c r="L261" s="82" t="e">
        <f>ROUND(K261/J261*100,2)</f>
        <v>#REF!</v>
      </c>
      <c r="M261" s="82" t="e">
        <f>N261-J261</f>
        <v>#REF!</v>
      </c>
      <c r="N261" s="82" t="e">
        <f>SUMIF(#REF!,'BILANCA PO IZVORIMA'!$E261,#REF!)</f>
        <v>#REF!</v>
      </c>
      <c r="O261" s="82" t="e">
        <f>SUMIF(#REF!,'BILANCA PO IZVORIMA'!$E261,#REF!)</f>
        <v>#REF!</v>
      </c>
      <c r="P261" s="82" t="e">
        <f>SUMIF(#REF!,'BILANCA PO IZVORIMA'!$E261,#REF!)</f>
        <v>#REF!</v>
      </c>
      <c r="Q261" s="386" t="e">
        <f>SUMIF(#REF!,'BILANCA PO IZVORIMA'!$E261,#REF!)</f>
        <v>#REF!</v>
      </c>
      <c r="R261" s="82" t="e">
        <f>SUMIF(#REF!,'BILANCA PO IZVORIMA'!$E261,#REF!)</f>
        <v>#REF!</v>
      </c>
      <c r="S261" s="82" t="e">
        <f>SUMIF(#REF!,'BILANCA PO IZVORIMA'!$E261,#REF!)</f>
        <v>#REF!</v>
      </c>
      <c r="T261" s="82" t="e">
        <f>SUMIF(#REF!,'BILANCA PO IZVORIMA'!$E$261,#REF!)</f>
        <v>#REF!</v>
      </c>
      <c r="U261" s="357" t="e">
        <f>SUMIF(#REF!,'BILANCA PO IZVORIMA'!$E261,#REF!)</f>
        <v>#REF!</v>
      </c>
      <c r="V261" s="357" t="e">
        <f>SUMIF(#REF!,'BILANCA PO IZVORIMA'!$E261,#REF!)</f>
        <v>#REF!</v>
      </c>
      <c r="W261" s="357" t="e">
        <f>SUMIF(#REF!,'BILANCA PO IZVORIMA'!$E261,#REF!)</f>
        <v>#REF!</v>
      </c>
      <c r="X261" s="357" t="e">
        <f>SUMIF(#REF!,'BILANCA PO IZVORIMA'!$E261,#REF!)</f>
        <v>#REF!</v>
      </c>
      <c r="Y261" s="357">
        <v>1522482.1</v>
      </c>
      <c r="Z261" s="614" t="e">
        <f t="shared" si="73"/>
        <v>#REF!</v>
      </c>
      <c r="AA261" s="614" t="e">
        <f t="shared" si="74"/>
        <v>#REF!</v>
      </c>
      <c r="AB261" s="357" t="e">
        <f>SUMIF(#REF!,'BILANCA PO IZVORIMA'!$E261,#REF!)</f>
        <v>#REF!</v>
      </c>
      <c r="AF261" s="60"/>
      <c r="AG261" s="60"/>
      <c r="AH261" s="60"/>
      <c r="AI261" s="60"/>
      <c r="AJ261" s="60"/>
      <c r="AK261" s="60"/>
      <c r="AL261" s="60"/>
      <c r="AM261" s="60"/>
      <c r="AN261" s="60"/>
    </row>
    <row r="262" spans="1:40" ht="15" customHeight="1" x14ac:dyDescent="0.25">
      <c r="A262" s="80"/>
      <c r="B262" s="80"/>
      <c r="C262" s="80"/>
      <c r="D262" s="80"/>
      <c r="E262" s="80">
        <v>4213</v>
      </c>
      <c r="F262" s="81" t="s">
        <v>1026</v>
      </c>
      <c r="G262" s="82" t="e">
        <f>SUMIF(#REF!,'BILANCA PO IZVORIMA'!$E262,#REF!)</f>
        <v>#REF!</v>
      </c>
      <c r="H262" s="82" t="e">
        <f>SUMIF(#REF!,'BILANCA PO IZVORIMA'!$E262,#REF!)</f>
        <v>#REF!</v>
      </c>
      <c r="I262" s="82" t="e">
        <f>SUMIF(#REF!,'BILANCA PO IZVORIMA'!$E262,#REF!)</f>
        <v>#REF!</v>
      </c>
      <c r="J262" s="82" t="e">
        <f>SUMIF(#REF!,'BILANCA PO IZVORIMA'!$E262,#REF!)</f>
        <v>#REF!</v>
      </c>
      <c r="K262" s="82" t="e">
        <f>SUMIF(#REF!,'BILANCA PO IZVORIMA'!$E262,#REF!)</f>
        <v>#REF!</v>
      </c>
      <c r="L262" s="82" t="e">
        <f>ROUND(K262/J262*100,2)</f>
        <v>#REF!</v>
      </c>
      <c r="M262" s="82" t="e">
        <f>N262-J262</f>
        <v>#REF!</v>
      </c>
      <c r="N262" s="82" t="e">
        <f>SUMIF(#REF!,'BILANCA PO IZVORIMA'!$E262,#REF!)</f>
        <v>#REF!</v>
      </c>
      <c r="O262" s="82" t="e">
        <f>SUMIF(#REF!,'BILANCA PO IZVORIMA'!$E262,#REF!)</f>
        <v>#REF!</v>
      </c>
      <c r="P262" s="82" t="e">
        <f>SUMIF(#REF!,'BILANCA PO IZVORIMA'!$E262,#REF!)</f>
        <v>#REF!</v>
      </c>
      <c r="Q262" s="386" t="e">
        <f>SUMIF(#REF!,'BILANCA PO IZVORIMA'!$E262,#REF!)</f>
        <v>#REF!</v>
      </c>
      <c r="R262" s="82" t="e">
        <f>SUMIF(#REF!,'BILANCA PO IZVORIMA'!$E262,#REF!)</f>
        <v>#REF!</v>
      </c>
      <c r="S262" s="82" t="e">
        <f>SUMIF(#REF!,'BILANCA PO IZVORIMA'!$E262,#REF!)</f>
        <v>#REF!</v>
      </c>
      <c r="T262" s="82" t="e">
        <f>SUMIF(#REF!,'BILANCA PO IZVORIMA'!$E$262,#REF!)</f>
        <v>#REF!</v>
      </c>
      <c r="U262" s="357" t="e">
        <f>SUMIF(#REF!,'BILANCA PO IZVORIMA'!$E262,#REF!)</f>
        <v>#REF!</v>
      </c>
      <c r="V262" s="357" t="e">
        <f>SUMIF(#REF!,'BILANCA PO IZVORIMA'!$E262,#REF!)</f>
        <v>#REF!</v>
      </c>
      <c r="W262" s="357" t="e">
        <f>SUMIF(#REF!,'BILANCA PO IZVORIMA'!$E262,#REF!)</f>
        <v>#REF!</v>
      </c>
      <c r="X262" s="357" t="e">
        <f>SUMIF(#REF!,'BILANCA PO IZVORIMA'!$E262,#REF!)</f>
        <v>#REF!</v>
      </c>
      <c r="Y262" s="357">
        <v>0</v>
      </c>
      <c r="Z262" s="614" t="e">
        <f t="shared" si="73"/>
        <v>#REF!</v>
      </c>
      <c r="AA262" s="614" t="e">
        <f t="shared" si="74"/>
        <v>#REF!</v>
      </c>
      <c r="AB262" s="357" t="e">
        <f>SUMIF(#REF!,'BILANCA PO IZVORIMA'!$E262,#REF!)</f>
        <v>#REF!</v>
      </c>
      <c r="AF262" s="60"/>
      <c r="AG262" s="60"/>
      <c r="AH262" s="60"/>
      <c r="AI262" s="60"/>
      <c r="AJ262" s="60"/>
      <c r="AK262" s="60"/>
      <c r="AL262" s="60"/>
      <c r="AM262" s="60"/>
      <c r="AN262" s="60"/>
    </row>
    <row r="263" spans="1:40" ht="20.25" customHeight="1" x14ac:dyDescent="0.25">
      <c r="A263" s="80"/>
      <c r="B263" s="80"/>
      <c r="C263" s="80"/>
      <c r="D263" s="80"/>
      <c r="E263" s="80">
        <v>4214</v>
      </c>
      <c r="F263" s="132" t="s">
        <v>1027</v>
      </c>
      <c r="G263" s="82" t="e">
        <f>SUMIF(#REF!,'BILANCA PO IZVORIMA'!$E263,#REF!)</f>
        <v>#REF!</v>
      </c>
      <c r="H263" s="82" t="e">
        <f>SUMIF(#REF!,'BILANCA PO IZVORIMA'!$E263,#REF!)</f>
        <v>#REF!</v>
      </c>
      <c r="I263" s="82" t="e">
        <f>SUMIF(#REF!,'BILANCA PO IZVORIMA'!$E263,#REF!)</f>
        <v>#REF!</v>
      </c>
      <c r="J263" s="82" t="e">
        <f>SUMIF(#REF!,'BILANCA PO IZVORIMA'!$E263,#REF!)</f>
        <v>#REF!</v>
      </c>
      <c r="K263" s="82" t="e">
        <f>SUMIF(#REF!,'BILANCA PO IZVORIMA'!$E263,#REF!)</f>
        <v>#REF!</v>
      </c>
      <c r="L263" s="82" t="e">
        <f>ROUND(K263/J263*100,2)</f>
        <v>#REF!</v>
      </c>
      <c r="M263" s="82" t="e">
        <f>N263-J263</f>
        <v>#REF!</v>
      </c>
      <c r="N263" s="82" t="e">
        <f>SUMIF(#REF!,'BILANCA PO IZVORIMA'!$E263,#REF!)</f>
        <v>#REF!</v>
      </c>
      <c r="O263" s="82" t="e">
        <f>SUMIF(#REF!,'BILANCA PO IZVORIMA'!$E263,#REF!)</f>
        <v>#REF!</v>
      </c>
      <c r="P263" s="82" t="e">
        <f>SUMIF(#REF!,'BILANCA PO IZVORIMA'!$E263,#REF!)</f>
        <v>#REF!</v>
      </c>
      <c r="Q263" s="386" t="e">
        <f>SUMIF(#REF!,'BILANCA PO IZVORIMA'!$E263,#REF!)</f>
        <v>#REF!</v>
      </c>
      <c r="R263" s="82" t="e">
        <f>SUMIF(#REF!,'BILANCA PO IZVORIMA'!$E263,#REF!)</f>
        <v>#REF!</v>
      </c>
      <c r="S263" s="82" t="e">
        <f>SUMIF(#REF!,'BILANCA PO IZVORIMA'!$E263,#REF!)</f>
        <v>#REF!</v>
      </c>
      <c r="T263" s="82" t="e">
        <f>SUMIF(#REF!,'BILANCA PO IZVORIMA'!$E$263,#REF!)</f>
        <v>#REF!</v>
      </c>
      <c r="U263" s="357" t="e">
        <f>SUMIF(#REF!,'BILANCA PO IZVORIMA'!$E263,#REF!)</f>
        <v>#REF!</v>
      </c>
      <c r="V263" s="357" t="e">
        <f>SUMIF(#REF!,'BILANCA PO IZVORIMA'!$E263,#REF!)</f>
        <v>#REF!</v>
      </c>
      <c r="W263" s="357" t="e">
        <f>SUMIF(#REF!,'BILANCA PO IZVORIMA'!$E263,#REF!)</f>
        <v>#REF!</v>
      </c>
      <c r="X263" s="357" t="e">
        <f>SUMIF(#REF!,'BILANCA PO IZVORIMA'!$E263,#REF!)</f>
        <v>#REF!</v>
      </c>
      <c r="Y263" s="357">
        <v>0</v>
      </c>
      <c r="Z263" s="614" t="e">
        <f t="shared" si="73"/>
        <v>#REF!</v>
      </c>
      <c r="AA263" s="614" t="e">
        <f t="shared" si="74"/>
        <v>#REF!</v>
      </c>
      <c r="AB263" s="357" t="e">
        <f>SUMIF(#REF!,'BILANCA PO IZVORIMA'!$E263,#REF!)</f>
        <v>#REF!</v>
      </c>
      <c r="AF263" s="60"/>
      <c r="AG263" s="60"/>
      <c r="AH263" s="60"/>
      <c r="AI263" s="60"/>
      <c r="AJ263" s="60"/>
      <c r="AK263" s="60"/>
      <c r="AL263" s="60"/>
      <c r="AM263" s="60"/>
      <c r="AN263" s="60"/>
    </row>
    <row r="264" spans="1:40" s="373" customFormat="1" ht="17.25" customHeight="1" x14ac:dyDescent="0.25">
      <c r="A264" s="119"/>
      <c r="B264" s="119"/>
      <c r="C264" s="119"/>
      <c r="D264" s="119" t="str">
        <f>LEFT(E265,3)</f>
        <v>422</v>
      </c>
      <c r="E264" s="119"/>
      <c r="F264" s="368" t="s">
        <v>555</v>
      </c>
      <c r="G264" s="369" t="e">
        <f t="shared" ref="G264:X264" si="99">SUM(G265:G271)</f>
        <v>#REF!</v>
      </c>
      <c r="H264" s="370" t="e">
        <f t="shared" si="99"/>
        <v>#REF!</v>
      </c>
      <c r="I264" s="369" t="e">
        <f t="shared" si="99"/>
        <v>#REF!</v>
      </c>
      <c r="J264" s="369" t="e">
        <f t="shared" si="99"/>
        <v>#REF!</v>
      </c>
      <c r="K264" s="369" t="e">
        <f t="shared" si="99"/>
        <v>#REF!</v>
      </c>
      <c r="L264" s="369" t="e">
        <f t="shared" si="99"/>
        <v>#REF!</v>
      </c>
      <c r="M264" s="369" t="e">
        <f t="shared" si="99"/>
        <v>#REF!</v>
      </c>
      <c r="N264" s="369" t="e">
        <f t="shared" si="99"/>
        <v>#REF!</v>
      </c>
      <c r="O264" s="369" t="e">
        <f t="shared" si="99"/>
        <v>#REF!</v>
      </c>
      <c r="P264" s="369" t="e">
        <f t="shared" si="99"/>
        <v>#REF!</v>
      </c>
      <c r="Q264" s="392" t="e">
        <f t="shared" si="99"/>
        <v>#REF!</v>
      </c>
      <c r="R264" s="369" t="e">
        <f t="shared" si="99"/>
        <v>#REF!</v>
      </c>
      <c r="S264" s="369" t="e">
        <f t="shared" si="99"/>
        <v>#REF!</v>
      </c>
      <c r="T264" s="369" t="e">
        <f t="shared" si="99"/>
        <v>#REF!</v>
      </c>
      <c r="U264" s="371" t="e">
        <f t="shared" si="99"/>
        <v>#REF!</v>
      </c>
      <c r="V264" s="371" t="e">
        <f t="shared" si="99"/>
        <v>#REF!</v>
      </c>
      <c r="W264" s="371" t="e">
        <f t="shared" si="99"/>
        <v>#REF!</v>
      </c>
      <c r="X264" s="371" t="e">
        <f t="shared" si="99"/>
        <v>#REF!</v>
      </c>
      <c r="Y264" s="371">
        <f>SUM(Y265:Y271)</f>
        <v>381215.76999999996</v>
      </c>
      <c r="Z264" s="590" t="e">
        <f t="shared" si="73"/>
        <v>#REF!</v>
      </c>
      <c r="AA264" s="590" t="e">
        <f t="shared" si="74"/>
        <v>#REF!</v>
      </c>
      <c r="AB264" s="371" t="e">
        <f>SUM(AB265:AB271)</f>
        <v>#REF!</v>
      </c>
      <c r="AC264" s="372"/>
      <c r="AD264" s="372"/>
      <c r="AE264" s="372"/>
      <c r="AF264" s="372"/>
      <c r="AG264" s="372"/>
      <c r="AH264" s="372"/>
      <c r="AI264" s="372"/>
      <c r="AJ264" s="372"/>
      <c r="AK264" s="372"/>
      <c r="AL264" s="372"/>
      <c r="AM264" s="372"/>
      <c r="AN264" s="372"/>
    </row>
    <row r="265" spans="1:40" ht="18.75" customHeight="1" x14ac:dyDescent="0.25">
      <c r="A265" s="80"/>
      <c r="B265" s="80"/>
      <c r="C265" s="80"/>
      <c r="D265" s="80"/>
      <c r="E265" s="80">
        <v>4221</v>
      </c>
      <c r="F265" s="81" t="s">
        <v>558</v>
      </c>
      <c r="G265" s="82" t="e">
        <f>SUMIF(#REF!,'BILANCA PO IZVORIMA'!$E265,#REF!)</f>
        <v>#REF!</v>
      </c>
      <c r="H265" s="82" t="e">
        <f>SUMIF(#REF!,'BILANCA PO IZVORIMA'!$E265,#REF!)</f>
        <v>#REF!</v>
      </c>
      <c r="I265" s="82" t="e">
        <f>SUMIF(#REF!,'BILANCA PO IZVORIMA'!$E265,#REF!)</f>
        <v>#REF!</v>
      </c>
      <c r="J265" s="82" t="e">
        <f>SUMIF(#REF!,'BILANCA PO IZVORIMA'!$E265,#REF!)</f>
        <v>#REF!</v>
      </c>
      <c r="K265" s="82" t="e">
        <f>SUMIF(#REF!,'BILANCA PO IZVORIMA'!$E265,#REF!)</f>
        <v>#REF!</v>
      </c>
      <c r="L265" s="82" t="e">
        <f t="shared" ref="L265:L277" si="100">ROUND(K265/J265*100,2)</f>
        <v>#REF!</v>
      </c>
      <c r="M265" s="82" t="e">
        <f t="shared" ref="M265:M277" si="101">N265-J265</f>
        <v>#REF!</v>
      </c>
      <c r="N265" s="82" t="e">
        <f>SUMIF(#REF!,'BILANCA PO IZVORIMA'!$E265,#REF!)</f>
        <v>#REF!</v>
      </c>
      <c r="O265" s="82" t="e">
        <f>SUMIF(#REF!,'BILANCA PO IZVORIMA'!$E265,#REF!)</f>
        <v>#REF!</v>
      </c>
      <c r="P265" s="82" t="e">
        <f>SUMIF(#REF!,'BILANCA PO IZVORIMA'!$E265,#REF!)</f>
        <v>#REF!</v>
      </c>
      <c r="Q265" s="386" t="e">
        <f>SUMIF(#REF!,'BILANCA PO IZVORIMA'!$E265,#REF!)</f>
        <v>#REF!</v>
      </c>
      <c r="R265" s="82" t="e">
        <f>SUMIF(#REF!,'BILANCA PO IZVORIMA'!$E265,#REF!)</f>
        <v>#REF!</v>
      </c>
      <c r="S265" s="82" t="e">
        <f>SUMIF(#REF!,'BILANCA PO IZVORIMA'!$E265,#REF!)</f>
        <v>#REF!</v>
      </c>
      <c r="T265" s="82" t="e">
        <f>SUMIF(#REF!,'BILANCA PO IZVORIMA'!$E$265,#REF!)</f>
        <v>#REF!</v>
      </c>
      <c r="U265" s="357" t="e">
        <f>SUMIF(#REF!,'BILANCA PO IZVORIMA'!$E265,#REF!)</f>
        <v>#REF!</v>
      </c>
      <c r="V265" s="357" t="e">
        <f>SUMIF(#REF!,'BILANCA PO IZVORIMA'!$E265,#REF!)</f>
        <v>#REF!</v>
      </c>
      <c r="W265" s="357" t="e">
        <f>SUMIF(#REF!,'BILANCA PO IZVORIMA'!$E265,#REF!)</f>
        <v>#REF!</v>
      </c>
      <c r="X265" s="357" t="e">
        <f>SUMIF(#REF!,'BILANCA PO IZVORIMA'!$E265,#REF!)</f>
        <v>#REF!</v>
      </c>
      <c r="Y265" s="357">
        <v>142844.43</v>
      </c>
      <c r="Z265" s="614" t="e">
        <f t="shared" si="73"/>
        <v>#REF!</v>
      </c>
      <c r="AA265" s="614" t="e">
        <f t="shared" si="74"/>
        <v>#REF!</v>
      </c>
      <c r="AB265" s="357" t="e">
        <f>SUMIF(#REF!,'BILANCA PO IZVORIMA'!$E265,#REF!)</f>
        <v>#REF!</v>
      </c>
      <c r="AF265" s="60"/>
      <c r="AG265" s="60"/>
      <c r="AH265" s="60"/>
      <c r="AI265" s="60"/>
      <c r="AJ265" s="60"/>
      <c r="AK265" s="60"/>
      <c r="AL265" s="60"/>
      <c r="AM265" s="60"/>
      <c r="AN265" s="60"/>
    </row>
    <row r="266" spans="1:40" ht="20.25" customHeight="1" x14ac:dyDescent="0.25">
      <c r="A266" s="80"/>
      <c r="B266" s="80"/>
      <c r="C266" s="80"/>
      <c r="D266" s="80"/>
      <c r="E266" s="80">
        <v>4222</v>
      </c>
      <c r="F266" s="81" t="s">
        <v>559</v>
      </c>
      <c r="G266" s="82" t="e">
        <f>SUMIF(#REF!,'BILANCA PO IZVORIMA'!$E266,#REF!)</f>
        <v>#REF!</v>
      </c>
      <c r="H266" s="82" t="e">
        <f>SUMIF(#REF!,'BILANCA PO IZVORIMA'!$E266,#REF!)</f>
        <v>#REF!</v>
      </c>
      <c r="I266" s="82" t="e">
        <f>SUMIF(#REF!,'BILANCA PO IZVORIMA'!$E266,#REF!)</f>
        <v>#REF!</v>
      </c>
      <c r="J266" s="82" t="e">
        <f>SUMIF(#REF!,'BILANCA PO IZVORIMA'!$E266,#REF!)</f>
        <v>#REF!</v>
      </c>
      <c r="K266" s="82" t="e">
        <f>SUMIF(#REF!,'BILANCA PO IZVORIMA'!$E266,#REF!)</f>
        <v>#REF!</v>
      </c>
      <c r="L266" s="82" t="e">
        <f t="shared" si="100"/>
        <v>#REF!</v>
      </c>
      <c r="M266" s="82" t="e">
        <f t="shared" si="101"/>
        <v>#REF!</v>
      </c>
      <c r="N266" s="82" t="e">
        <f>SUMIF(#REF!,'BILANCA PO IZVORIMA'!$E266,#REF!)</f>
        <v>#REF!</v>
      </c>
      <c r="O266" s="82" t="e">
        <f>SUMIF(#REF!,'BILANCA PO IZVORIMA'!$E266,#REF!)</f>
        <v>#REF!</v>
      </c>
      <c r="P266" s="82" t="e">
        <f>SUMIF(#REF!,'BILANCA PO IZVORIMA'!$E266,#REF!)</f>
        <v>#REF!</v>
      </c>
      <c r="Q266" s="386" t="e">
        <f>SUMIF(#REF!,'BILANCA PO IZVORIMA'!$E266,#REF!)</f>
        <v>#REF!</v>
      </c>
      <c r="R266" s="82" t="e">
        <f>SUMIF(#REF!,'BILANCA PO IZVORIMA'!$E266,#REF!)</f>
        <v>#REF!</v>
      </c>
      <c r="S266" s="82" t="e">
        <f>SUMIF(#REF!,'BILANCA PO IZVORIMA'!$E266,#REF!)</f>
        <v>#REF!</v>
      </c>
      <c r="T266" s="82" t="e">
        <f>SUMIF(#REF!,'BILANCA PO IZVORIMA'!$E$266,#REF!)</f>
        <v>#REF!</v>
      </c>
      <c r="U266" s="357" t="e">
        <f>SUMIF(#REF!,'BILANCA PO IZVORIMA'!$E266,#REF!)</f>
        <v>#REF!</v>
      </c>
      <c r="V266" s="357" t="e">
        <f>SUMIF(#REF!,'BILANCA PO IZVORIMA'!$E266,#REF!)</f>
        <v>#REF!</v>
      </c>
      <c r="W266" s="357" t="e">
        <f>SUMIF(#REF!,'BILANCA PO IZVORIMA'!$E266,#REF!)</f>
        <v>#REF!</v>
      </c>
      <c r="X266" s="357" t="e">
        <f>SUMIF(#REF!,'BILANCA PO IZVORIMA'!$E266,#REF!)</f>
        <v>#REF!</v>
      </c>
      <c r="Y266" s="357">
        <v>0</v>
      </c>
      <c r="Z266" s="614" t="e">
        <f t="shared" si="73"/>
        <v>#REF!</v>
      </c>
      <c r="AA266" s="614" t="e">
        <f t="shared" si="74"/>
        <v>#REF!</v>
      </c>
      <c r="AB266" s="357" t="e">
        <f>SUMIF(#REF!,'BILANCA PO IZVORIMA'!$E266,#REF!)</f>
        <v>#REF!</v>
      </c>
      <c r="AF266" s="60"/>
      <c r="AG266" s="60"/>
      <c r="AH266" s="60"/>
      <c r="AI266" s="60"/>
      <c r="AJ266" s="60"/>
      <c r="AK266" s="60"/>
      <c r="AL266" s="60"/>
      <c r="AM266" s="60"/>
      <c r="AN266" s="60"/>
    </row>
    <row r="267" spans="1:40" ht="23.25" customHeight="1" x14ac:dyDescent="0.25">
      <c r="A267" s="80"/>
      <c r="B267" s="80"/>
      <c r="C267" s="80"/>
      <c r="D267" s="80"/>
      <c r="E267" s="80">
        <v>4223</v>
      </c>
      <c r="F267" s="81" t="s">
        <v>628</v>
      </c>
      <c r="G267" s="82" t="e">
        <f>SUMIF(#REF!,'BILANCA PO IZVORIMA'!$E267,#REF!)</f>
        <v>#REF!</v>
      </c>
      <c r="H267" s="82" t="e">
        <f>SUMIF(#REF!,'BILANCA PO IZVORIMA'!$E267,#REF!)</f>
        <v>#REF!</v>
      </c>
      <c r="I267" s="82" t="e">
        <f>SUMIF(#REF!,'BILANCA PO IZVORIMA'!$E267,#REF!)</f>
        <v>#REF!</v>
      </c>
      <c r="J267" s="82" t="e">
        <f>SUMIF(#REF!,'BILANCA PO IZVORIMA'!$E267,#REF!)</f>
        <v>#REF!</v>
      </c>
      <c r="K267" s="82" t="e">
        <f>SUMIF(#REF!,'BILANCA PO IZVORIMA'!$E267,#REF!)</f>
        <v>#REF!</v>
      </c>
      <c r="L267" s="82" t="e">
        <f t="shared" si="100"/>
        <v>#REF!</v>
      </c>
      <c r="M267" s="82" t="e">
        <f t="shared" si="101"/>
        <v>#REF!</v>
      </c>
      <c r="N267" s="82" t="e">
        <f>SUMIF(#REF!,'BILANCA PO IZVORIMA'!$E267,#REF!)</f>
        <v>#REF!</v>
      </c>
      <c r="O267" s="82" t="e">
        <f>SUMIF(#REF!,'BILANCA PO IZVORIMA'!$E267,#REF!)</f>
        <v>#REF!</v>
      </c>
      <c r="P267" s="82" t="e">
        <f>SUMIF(#REF!,'BILANCA PO IZVORIMA'!$E267,#REF!)</f>
        <v>#REF!</v>
      </c>
      <c r="Q267" s="386" t="e">
        <f>SUMIF(#REF!,'BILANCA PO IZVORIMA'!$E267,#REF!)</f>
        <v>#REF!</v>
      </c>
      <c r="R267" s="82" t="e">
        <f>SUMIF(#REF!,'BILANCA PO IZVORIMA'!$E267,#REF!)</f>
        <v>#REF!</v>
      </c>
      <c r="S267" s="82" t="e">
        <f>SUMIF(#REF!,'BILANCA PO IZVORIMA'!$E267,#REF!)</f>
        <v>#REF!</v>
      </c>
      <c r="T267" s="82" t="e">
        <f>SUMIF(#REF!,'BILANCA PO IZVORIMA'!$E$267,#REF!)</f>
        <v>#REF!</v>
      </c>
      <c r="U267" s="357" t="e">
        <f>SUMIF(#REF!,'BILANCA PO IZVORIMA'!$E267,#REF!)</f>
        <v>#REF!</v>
      </c>
      <c r="V267" s="357" t="e">
        <f>SUMIF(#REF!,'BILANCA PO IZVORIMA'!$E267,#REF!)</f>
        <v>#REF!</v>
      </c>
      <c r="W267" s="357" t="e">
        <f>SUMIF(#REF!,'BILANCA PO IZVORIMA'!$E267,#REF!)</f>
        <v>#REF!</v>
      </c>
      <c r="X267" s="357" t="e">
        <f>SUMIF(#REF!,'BILANCA PO IZVORIMA'!$E267,#REF!)</f>
        <v>#REF!</v>
      </c>
      <c r="Y267" s="357">
        <v>11203.65</v>
      </c>
      <c r="Z267" s="614" t="e">
        <f t="shared" si="73"/>
        <v>#REF!</v>
      </c>
      <c r="AA267" s="614" t="e">
        <f t="shared" si="74"/>
        <v>#REF!</v>
      </c>
      <c r="AB267" s="357" t="e">
        <f>SUMIF(#REF!,'BILANCA PO IZVORIMA'!$E267,#REF!)</f>
        <v>#REF!</v>
      </c>
      <c r="AF267" s="60"/>
      <c r="AG267" s="60"/>
      <c r="AH267" s="60"/>
      <c r="AI267" s="60"/>
      <c r="AJ267" s="60"/>
      <c r="AK267" s="60"/>
      <c r="AL267" s="60"/>
      <c r="AM267" s="60"/>
      <c r="AN267" s="60"/>
    </row>
    <row r="268" spans="1:40" x14ac:dyDescent="0.25">
      <c r="A268" s="80"/>
      <c r="B268" s="80"/>
      <c r="C268" s="80"/>
      <c r="D268" s="80"/>
      <c r="E268" s="80">
        <v>4224</v>
      </c>
      <c r="F268" s="81" t="s">
        <v>638</v>
      </c>
      <c r="G268" s="82" t="e">
        <f>SUMIF(#REF!,'BILANCA PO IZVORIMA'!$E268,#REF!)</f>
        <v>#REF!</v>
      </c>
      <c r="H268" s="82" t="e">
        <f>SUMIF(#REF!,'BILANCA PO IZVORIMA'!$E268,#REF!)</f>
        <v>#REF!</v>
      </c>
      <c r="I268" s="82" t="e">
        <f>SUMIF(#REF!,'BILANCA PO IZVORIMA'!$E268,#REF!)</f>
        <v>#REF!</v>
      </c>
      <c r="J268" s="82" t="e">
        <f>SUMIF(#REF!,'BILANCA PO IZVORIMA'!$E268,#REF!)</f>
        <v>#REF!</v>
      </c>
      <c r="K268" s="82" t="e">
        <f>SUMIF(#REF!,'BILANCA PO IZVORIMA'!$E268,#REF!)</f>
        <v>#REF!</v>
      </c>
      <c r="L268" s="82" t="e">
        <f t="shared" si="100"/>
        <v>#REF!</v>
      </c>
      <c r="M268" s="82" t="e">
        <f t="shared" si="101"/>
        <v>#REF!</v>
      </c>
      <c r="N268" s="82" t="e">
        <f>SUMIF(#REF!,'BILANCA PO IZVORIMA'!$E268,#REF!)</f>
        <v>#REF!</v>
      </c>
      <c r="O268" s="82" t="e">
        <f>SUMIF(#REF!,'BILANCA PO IZVORIMA'!$E268,#REF!)</f>
        <v>#REF!</v>
      </c>
      <c r="P268" s="82" t="e">
        <f>SUMIF(#REF!,'BILANCA PO IZVORIMA'!$E268,#REF!)</f>
        <v>#REF!</v>
      </c>
      <c r="Q268" s="386" t="e">
        <f>SUMIF(#REF!,'BILANCA PO IZVORIMA'!$E268,#REF!)</f>
        <v>#REF!</v>
      </c>
      <c r="R268" s="82" t="e">
        <f>SUMIF(#REF!,'BILANCA PO IZVORIMA'!$E268,#REF!)</f>
        <v>#REF!</v>
      </c>
      <c r="S268" s="82" t="e">
        <f>SUMIF(#REF!,'BILANCA PO IZVORIMA'!$E268,#REF!)</f>
        <v>#REF!</v>
      </c>
      <c r="T268" s="82" t="e">
        <f>SUMIF(#REF!,'BILANCA PO IZVORIMA'!$E$268,#REF!)</f>
        <v>#REF!</v>
      </c>
      <c r="U268" s="357" t="e">
        <f>SUMIF(#REF!,'BILANCA PO IZVORIMA'!$E268,#REF!)</f>
        <v>#REF!</v>
      </c>
      <c r="V268" s="357" t="e">
        <f>SUMIF(#REF!,'BILANCA PO IZVORIMA'!$E268,#REF!)</f>
        <v>#REF!</v>
      </c>
      <c r="W268" s="357" t="e">
        <f>SUMIF(#REF!,'BILANCA PO IZVORIMA'!$E268,#REF!)</f>
        <v>#REF!</v>
      </c>
      <c r="X268" s="357" t="e">
        <f>SUMIF(#REF!,'BILANCA PO IZVORIMA'!$E268,#REF!)</f>
        <v>#REF!</v>
      </c>
      <c r="Y268" s="357">
        <v>62348.63</v>
      </c>
      <c r="Z268" s="614" t="e">
        <f t="shared" si="73"/>
        <v>#REF!</v>
      </c>
      <c r="AA268" s="614" t="e">
        <f t="shared" si="74"/>
        <v>#REF!</v>
      </c>
      <c r="AB268" s="357" t="e">
        <f>SUMIF(#REF!,'BILANCA PO IZVORIMA'!$E268,#REF!)</f>
        <v>#REF!</v>
      </c>
      <c r="AF268" s="60"/>
      <c r="AG268" s="60"/>
      <c r="AH268" s="60"/>
      <c r="AI268" s="60"/>
      <c r="AJ268" s="60"/>
      <c r="AK268" s="60"/>
      <c r="AL268" s="60"/>
      <c r="AM268" s="60"/>
      <c r="AN268" s="60"/>
    </row>
    <row r="269" spans="1:40" ht="18" customHeight="1" x14ac:dyDescent="0.25">
      <c r="A269" s="80"/>
      <c r="B269" s="80"/>
      <c r="C269" s="80"/>
      <c r="D269" s="80"/>
      <c r="E269" s="80">
        <v>4225</v>
      </c>
      <c r="F269" s="81" t="s">
        <v>844</v>
      </c>
      <c r="G269" s="82" t="e">
        <f>SUMIF(#REF!,'BILANCA PO IZVORIMA'!$E269,#REF!)</f>
        <v>#REF!</v>
      </c>
      <c r="H269" s="82" t="e">
        <f>SUMIF(#REF!,'BILANCA PO IZVORIMA'!$E269,#REF!)</f>
        <v>#REF!</v>
      </c>
      <c r="I269" s="82" t="e">
        <f>SUMIF(#REF!,'BILANCA PO IZVORIMA'!$E269,#REF!)</f>
        <v>#REF!</v>
      </c>
      <c r="J269" s="82" t="e">
        <f>SUMIF(#REF!,'BILANCA PO IZVORIMA'!$E269,#REF!)</f>
        <v>#REF!</v>
      </c>
      <c r="K269" s="82" t="e">
        <f>SUMIF(#REF!,'BILANCA PO IZVORIMA'!$E269,#REF!)</f>
        <v>#REF!</v>
      </c>
      <c r="L269" s="82" t="e">
        <f t="shared" si="100"/>
        <v>#REF!</v>
      </c>
      <c r="M269" s="82" t="e">
        <f t="shared" si="101"/>
        <v>#REF!</v>
      </c>
      <c r="N269" s="82" t="e">
        <f>SUMIF(#REF!,'BILANCA PO IZVORIMA'!$E269,#REF!)</f>
        <v>#REF!</v>
      </c>
      <c r="O269" s="82" t="e">
        <f>SUMIF(#REF!,'BILANCA PO IZVORIMA'!$E269,#REF!)</f>
        <v>#REF!</v>
      </c>
      <c r="P269" s="82" t="e">
        <f>SUMIF(#REF!,'BILANCA PO IZVORIMA'!$E269,#REF!)</f>
        <v>#REF!</v>
      </c>
      <c r="Q269" s="386" t="e">
        <f>SUMIF(#REF!,'BILANCA PO IZVORIMA'!$E269,#REF!)</f>
        <v>#REF!</v>
      </c>
      <c r="R269" s="82" t="e">
        <f>SUMIF(#REF!,'BILANCA PO IZVORIMA'!$E269,#REF!)</f>
        <v>#REF!</v>
      </c>
      <c r="S269" s="82" t="e">
        <f>SUMIF(#REF!,'BILANCA PO IZVORIMA'!$E269,#REF!)</f>
        <v>#REF!</v>
      </c>
      <c r="T269" s="82" t="e">
        <f>SUMIF(#REF!,'BILANCA PO IZVORIMA'!$E$269,#REF!)</f>
        <v>#REF!</v>
      </c>
      <c r="U269" s="357" t="e">
        <f>SUMIF(#REF!,'BILANCA PO IZVORIMA'!$E269,#REF!)</f>
        <v>#REF!</v>
      </c>
      <c r="V269" s="357" t="e">
        <f>SUMIF(#REF!,'BILANCA PO IZVORIMA'!$E269,#REF!)</f>
        <v>#REF!</v>
      </c>
      <c r="W269" s="357" t="e">
        <f>SUMIF(#REF!,'BILANCA PO IZVORIMA'!$E269,#REF!)</f>
        <v>#REF!</v>
      </c>
      <c r="X269" s="357" t="e">
        <f>SUMIF(#REF!,'BILANCA PO IZVORIMA'!$E269,#REF!)</f>
        <v>#REF!</v>
      </c>
      <c r="Y269" s="357">
        <v>60000</v>
      </c>
      <c r="Z269" s="614" t="e">
        <f t="shared" si="73"/>
        <v>#REF!</v>
      </c>
      <c r="AA269" s="614" t="e">
        <f t="shared" si="74"/>
        <v>#REF!</v>
      </c>
      <c r="AB269" s="357" t="e">
        <f>SUMIF(#REF!,'BILANCA PO IZVORIMA'!$E269,#REF!)</f>
        <v>#REF!</v>
      </c>
      <c r="AF269" s="60"/>
      <c r="AG269" s="60"/>
      <c r="AH269" s="60"/>
      <c r="AI269" s="60"/>
      <c r="AJ269" s="60"/>
      <c r="AK269" s="60"/>
      <c r="AL269" s="60"/>
      <c r="AM269" s="60"/>
      <c r="AN269" s="60"/>
    </row>
    <row r="270" spans="1:40" ht="20.25" customHeight="1" x14ac:dyDescent="0.25">
      <c r="A270" s="80"/>
      <c r="B270" s="80"/>
      <c r="C270" s="80"/>
      <c r="D270" s="80"/>
      <c r="E270" s="80">
        <v>4226</v>
      </c>
      <c r="F270" s="81" t="s">
        <v>432</v>
      </c>
      <c r="G270" s="82" t="e">
        <f>SUMIF(#REF!,'BILANCA PO IZVORIMA'!$E270,#REF!)</f>
        <v>#REF!</v>
      </c>
      <c r="H270" s="82" t="e">
        <f>SUMIF(#REF!,'BILANCA PO IZVORIMA'!$E270,#REF!)</f>
        <v>#REF!</v>
      </c>
      <c r="I270" s="82" t="e">
        <f>SUMIF(#REF!,'BILANCA PO IZVORIMA'!$E270,#REF!)</f>
        <v>#REF!</v>
      </c>
      <c r="J270" s="82" t="e">
        <f>SUMIF(#REF!,'BILANCA PO IZVORIMA'!$E270,#REF!)</f>
        <v>#REF!</v>
      </c>
      <c r="K270" s="82" t="e">
        <f>SUMIF(#REF!,'BILANCA PO IZVORIMA'!$E270,#REF!)</f>
        <v>#REF!</v>
      </c>
      <c r="L270" s="82" t="e">
        <f t="shared" si="100"/>
        <v>#REF!</v>
      </c>
      <c r="M270" s="82" t="e">
        <f t="shared" si="101"/>
        <v>#REF!</v>
      </c>
      <c r="N270" s="82" t="e">
        <f>SUMIF(#REF!,'BILANCA PO IZVORIMA'!$E270,#REF!)</f>
        <v>#REF!</v>
      </c>
      <c r="O270" s="82" t="e">
        <f>SUMIF(#REF!,'BILANCA PO IZVORIMA'!$E270,#REF!)</f>
        <v>#REF!</v>
      </c>
      <c r="P270" s="82" t="e">
        <f>SUMIF(#REF!,'BILANCA PO IZVORIMA'!$E270,#REF!)</f>
        <v>#REF!</v>
      </c>
      <c r="Q270" s="386" t="e">
        <f>SUMIF(#REF!,'BILANCA PO IZVORIMA'!$E270,#REF!)</f>
        <v>#REF!</v>
      </c>
      <c r="R270" s="82" t="e">
        <f>SUMIF(#REF!,'BILANCA PO IZVORIMA'!$E270,#REF!)</f>
        <v>#REF!</v>
      </c>
      <c r="S270" s="82" t="e">
        <f>SUMIF(#REF!,'BILANCA PO IZVORIMA'!$E270,#REF!)</f>
        <v>#REF!</v>
      </c>
      <c r="T270" s="82" t="e">
        <f>SUMIF(#REF!,'BILANCA PO IZVORIMA'!$E$270,#REF!)</f>
        <v>#REF!</v>
      </c>
      <c r="U270" s="357" t="e">
        <f>SUMIF(#REF!,'BILANCA PO IZVORIMA'!$E270,#REF!)</f>
        <v>#REF!</v>
      </c>
      <c r="V270" s="357" t="e">
        <f>SUMIF(#REF!,'BILANCA PO IZVORIMA'!$E270,#REF!)</f>
        <v>#REF!</v>
      </c>
      <c r="W270" s="357" t="e">
        <f>SUMIF(#REF!,'BILANCA PO IZVORIMA'!$E270,#REF!)</f>
        <v>#REF!</v>
      </c>
      <c r="X270" s="357" t="e">
        <f>SUMIF(#REF!,'BILANCA PO IZVORIMA'!$E270,#REF!)</f>
        <v>#REF!</v>
      </c>
      <c r="Y270" s="357">
        <v>0</v>
      </c>
      <c r="Z270" s="614" t="e">
        <f t="shared" si="73"/>
        <v>#REF!</v>
      </c>
      <c r="AA270" s="614" t="e">
        <f t="shared" si="74"/>
        <v>#REF!</v>
      </c>
      <c r="AB270" s="357" t="e">
        <f>SUMIF(#REF!,'BILANCA PO IZVORIMA'!$E270,#REF!)</f>
        <v>#REF!</v>
      </c>
      <c r="AF270" s="60"/>
      <c r="AG270" s="60"/>
      <c r="AH270" s="60"/>
      <c r="AI270" s="60"/>
      <c r="AJ270" s="60"/>
      <c r="AK270" s="60"/>
      <c r="AL270" s="60"/>
      <c r="AM270" s="60"/>
      <c r="AN270" s="60"/>
    </row>
    <row r="271" spans="1:40" ht="18.75" customHeight="1" x14ac:dyDescent="0.25">
      <c r="A271" s="80"/>
      <c r="B271" s="80"/>
      <c r="C271" s="80"/>
      <c r="D271" s="80"/>
      <c r="E271" s="80">
        <v>4227</v>
      </c>
      <c r="F271" s="81" t="s">
        <v>413</v>
      </c>
      <c r="G271" s="82" t="e">
        <f>SUMIF(#REF!,'BILANCA PO IZVORIMA'!$E271,#REF!)</f>
        <v>#REF!</v>
      </c>
      <c r="H271" s="82" t="e">
        <f>SUMIF(#REF!,'BILANCA PO IZVORIMA'!$E271,#REF!)</f>
        <v>#REF!</v>
      </c>
      <c r="I271" s="82" t="e">
        <f>SUMIF(#REF!,'BILANCA PO IZVORIMA'!$E271,#REF!)</f>
        <v>#REF!</v>
      </c>
      <c r="J271" s="82" t="e">
        <f>SUMIF(#REF!,'BILANCA PO IZVORIMA'!$E271,#REF!)</f>
        <v>#REF!</v>
      </c>
      <c r="K271" s="82" t="e">
        <f>SUMIF(#REF!,'BILANCA PO IZVORIMA'!$E271,#REF!)</f>
        <v>#REF!</v>
      </c>
      <c r="L271" s="82" t="e">
        <f t="shared" si="100"/>
        <v>#REF!</v>
      </c>
      <c r="M271" s="82" t="e">
        <f t="shared" si="101"/>
        <v>#REF!</v>
      </c>
      <c r="N271" s="82" t="e">
        <f>SUMIF(#REF!,'BILANCA PO IZVORIMA'!$E271,#REF!)</f>
        <v>#REF!</v>
      </c>
      <c r="O271" s="82" t="e">
        <f>SUMIF(#REF!,'BILANCA PO IZVORIMA'!$E271,#REF!)</f>
        <v>#REF!</v>
      </c>
      <c r="P271" s="82" t="e">
        <f>SUMIF(#REF!,'BILANCA PO IZVORIMA'!$E271,#REF!)</f>
        <v>#REF!</v>
      </c>
      <c r="Q271" s="386" t="e">
        <f>SUMIF(#REF!,'BILANCA PO IZVORIMA'!$E271,#REF!)</f>
        <v>#REF!</v>
      </c>
      <c r="R271" s="82" t="e">
        <f>SUMIF(#REF!,'BILANCA PO IZVORIMA'!$E271,#REF!)</f>
        <v>#REF!</v>
      </c>
      <c r="S271" s="82" t="e">
        <f>SUMIF(#REF!,'BILANCA PO IZVORIMA'!$E271,#REF!)</f>
        <v>#REF!</v>
      </c>
      <c r="T271" s="82" t="e">
        <f>SUMIF(#REF!,'BILANCA PO IZVORIMA'!$E$271,#REF!)</f>
        <v>#REF!</v>
      </c>
      <c r="U271" s="357" t="e">
        <f>SUMIF(#REF!,'BILANCA PO IZVORIMA'!$E271,#REF!)</f>
        <v>#REF!</v>
      </c>
      <c r="V271" s="357" t="e">
        <f>SUMIF(#REF!,'BILANCA PO IZVORIMA'!$E271,#REF!)</f>
        <v>#REF!</v>
      </c>
      <c r="W271" s="357" t="e">
        <f>SUMIF(#REF!,'BILANCA PO IZVORIMA'!$E271,#REF!)</f>
        <v>#REF!</v>
      </c>
      <c r="X271" s="357" t="e">
        <f>SUMIF(#REF!,'BILANCA PO IZVORIMA'!$E271,#REF!)</f>
        <v>#REF!</v>
      </c>
      <c r="Y271" s="357">
        <v>104819.06</v>
      </c>
      <c r="Z271" s="614" t="e">
        <f t="shared" si="73"/>
        <v>#REF!</v>
      </c>
      <c r="AA271" s="614" t="e">
        <f t="shared" si="74"/>
        <v>#REF!</v>
      </c>
      <c r="AB271" s="357" t="e">
        <f>SUMIF(#REF!,'BILANCA PO IZVORIMA'!$E271,#REF!)</f>
        <v>#REF!</v>
      </c>
      <c r="AF271" s="60"/>
      <c r="AG271" s="60"/>
      <c r="AH271" s="60"/>
      <c r="AI271" s="60"/>
      <c r="AJ271" s="60"/>
      <c r="AK271" s="60"/>
      <c r="AL271" s="60"/>
      <c r="AM271" s="60"/>
      <c r="AN271" s="60"/>
    </row>
    <row r="272" spans="1:40" s="373" customFormat="1" ht="17.25" customHeight="1" x14ac:dyDescent="0.25">
      <c r="A272" s="119"/>
      <c r="B272" s="119"/>
      <c r="C272" s="119"/>
      <c r="D272" s="119" t="str">
        <f>LEFT(E273,3)</f>
        <v>423</v>
      </c>
      <c r="E272" s="119"/>
      <c r="F272" s="368" t="s">
        <v>223</v>
      </c>
      <c r="G272" s="369" t="e">
        <f>G273</f>
        <v>#REF!</v>
      </c>
      <c r="H272" s="370" t="e">
        <f>H273</f>
        <v>#REF!</v>
      </c>
      <c r="I272" s="369" t="e">
        <f>I273</f>
        <v>#REF!</v>
      </c>
      <c r="J272" s="369" t="e">
        <f>J273</f>
        <v>#REF!</v>
      </c>
      <c r="K272" s="369" t="e">
        <f>K273</f>
        <v>#REF!</v>
      </c>
      <c r="L272" s="369" t="e">
        <f t="shared" si="100"/>
        <v>#REF!</v>
      </c>
      <c r="M272" s="369" t="e">
        <f t="shared" si="101"/>
        <v>#REF!</v>
      </c>
      <c r="N272" s="369" t="e">
        <f t="shared" ref="N272:X272" si="102">N273</f>
        <v>#REF!</v>
      </c>
      <c r="O272" s="137" t="e">
        <f t="shared" si="102"/>
        <v>#REF!</v>
      </c>
      <c r="P272" s="137" t="e">
        <f t="shared" si="102"/>
        <v>#REF!</v>
      </c>
      <c r="Q272" s="393" t="e">
        <f t="shared" si="102"/>
        <v>#REF!</v>
      </c>
      <c r="R272" s="137" t="e">
        <f t="shared" si="102"/>
        <v>#REF!</v>
      </c>
      <c r="S272" s="137" t="e">
        <f t="shared" si="102"/>
        <v>#REF!</v>
      </c>
      <c r="T272" s="137" t="e">
        <f t="shared" si="102"/>
        <v>#REF!</v>
      </c>
      <c r="U272" s="371" t="e">
        <f t="shared" si="102"/>
        <v>#REF!</v>
      </c>
      <c r="V272" s="371" t="e">
        <f t="shared" si="102"/>
        <v>#REF!</v>
      </c>
      <c r="W272" s="371" t="e">
        <f t="shared" si="102"/>
        <v>#REF!</v>
      </c>
      <c r="X272" s="371" t="e">
        <f t="shared" si="102"/>
        <v>#REF!</v>
      </c>
      <c r="Y272" s="371">
        <f>Y273</f>
        <v>0</v>
      </c>
      <c r="Z272" s="590" t="e">
        <f t="shared" si="73"/>
        <v>#REF!</v>
      </c>
      <c r="AA272" s="590" t="e">
        <f t="shared" si="74"/>
        <v>#REF!</v>
      </c>
      <c r="AB272" s="371" t="e">
        <f>AB273</f>
        <v>#REF!</v>
      </c>
      <c r="AC272" s="372"/>
      <c r="AD272" s="372"/>
      <c r="AE272" s="372"/>
      <c r="AF272" s="372"/>
      <c r="AG272" s="372"/>
      <c r="AH272" s="372"/>
      <c r="AI272" s="372"/>
      <c r="AJ272" s="372"/>
      <c r="AK272" s="372"/>
      <c r="AL272" s="372"/>
      <c r="AM272" s="372"/>
      <c r="AN272" s="372"/>
    </row>
    <row r="273" spans="1:40" ht="21" customHeight="1" x14ac:dyDescent="0.25">
      <c r="A273" s="80"/>
      <c r="B273" s="80"/>
      <c r="C273" s="80"/>
      <c r="D273" s="80"/>
      <c r="E273" s="80">
        <v>4231</v>
      </c>
      <c r="F273" s="81" t="s">
        <v>1028</v>
      </c>
      <c r="G273" s="82" t="e">
        <f>SUMIF(#REF!,'BILANCA PO IZVORIMA'!$E273,#REF!)</f>
        <v>#REF!</v>
      </c>
      <c r="H273" s="82" t="e">
        <f>SUMIF(#REF!,'BILANCA PO IZVORIMA'!$E273,#REF!)</f>
        <v>#REF!</v>
      </c>
      <c r="I273" s="82" t="e">
        <f>SUMIF(#REF!,'BILANCA PO IZVORIMA'!$E273,#REF!)</f>
        <v>#REF!</v>
      </c>
      <c r="J273" s="82" t="e">
        <f>SUMIF(#REF!,'BILANCA PO IZVORIMA'!$E273,#REF!)</f>
        <v>#REF!</v>
      </c>
      <c r="K273" s="82" t="e">
        <f>SUMIF(#REF!,'BILANCA PO IZVORIMA'!$E273,#REF!)</f>
        <v>#REF!</v>
      </c>
      <c r="L273" s="82" t="e">
        <f t="shared" si="100"/>
        <v>#REF!</v>
      </c>
      <c r="M273" s="82" t="e">
        <f t="shared" si="101"/>
        <v>#REF!</v>
      </c>
      <c r="N273" s="82" t="e">
        <f>SUMIF(#REF!,'BILANCA PO IZVORIMA'!$E273,#REF!)</f>
        <v>#REF!</v>
      </c>
      <c r="O273" s="82" t="e">
        <f>SUMIF(#REF!,'BILANCA PO IZVORIMA'!$E273,#REF!)</f>
        <v>#REF!</v>
      </c>
      <c r="P273" s="82" t="e">
        <f>SUMIF(#REF!,'BILANCA PO IZVORIMA'!$E273,#REF!)</f>
        <v>#REF!</v>
      </c>
      <c r="Q273" s="386" t="e">
        <f>SUMIF(#REF!,'BILANCA PO IZVORIMA'!$E273,#REF!)</f>
        <v>#REF!</v>
      </c>
      <c r="R273" s="82" t="e">
        <f>SUMIF(#REF!,'BILANCA PO IZVORIMA'!$E273,#REF!)</f>
        <v>#REF!</v>
      </c>
      <c r="S273" s="82" t="e">
        <f>SUMIF(#REF!,'BILANCA PO IZVORIMA'!$E273,#REF!)</f>
        <v>#REF!</v>
      </c>
      <c r="T273" s="82" t="e">
        <f>SUMIF(#REF!,'BILANCA PO IZVORIMA'!$E$273,#REF!)</f>
        <v>#REF!</v>
      </c>
      <c r="U273" s="357" t="e">
        <f>SUMIF(#REF!,'BILANCA PO IZVORIMA'!$E273,#REF!)</f>
        <v>#REF!</v>
      </c>
      <c r="V273" s="357" t="e">
        <f>SUMIF(#REF!,'BILANCA PO IZVORIMA'!$E273,#REF!)</f>
        <v>#REF!</v>
      </c>
      <c r="W273" s="357" t="e">
        <f>SUMIF(#REF!,'BILANCA PO IZVORIMA'!$E273,#REF!)</f>
        <v>#REF!</v>
      </c>
      <c r="X273" s="357" t="e">
        <f>SUMIF(#REF!,'BILANCA PO IZVORIMA'!$E273,#REF!)</f>
        <v>#REF!</v>
      </c>
      <c r="Y273" s="357">
        <v>0</v>
      </c>
      <c r="Z273" s="614" t="e">
        <f t="shared" si="73"/>
        <v>#REF!</v>
      </c>
      <c r="AA273" s="614" t="e">
        <f t="shared" si="74"/>
        <v>#REF!</v>
      </c>
      <c r="AB273" s="357" t="e">
        <f>SUMIF(#REF!,'BILANCA PO IZVORIMA'!$E273,#REF!)</f>
        <v>#REF!</v>
      </c>
      <c r="AF273" s="60"/>
      <c r="AG273" s="60"/>
      <c r="AH273" s="60"/>
      <c r="AI273" s="60"/>
      <c r="AJ273" s="60"/>
      <c r="AK273" s="60"/>
      <c r="AL273" s="60"/>
      <c r="AM273" s="60"/>
      <c r="AN273" s="60"/>
    </row>
    <row r="274" spans="1:40" s="373" customFormat="1" ht="37.5" customHeight="1" x14ac:dyDescent="0.25">
      <c r="A274" s="119"/>
      <c r="B274" s="119"/>
      <c r="C274" s="119"/>
      <c r="D274" s="119" t="str">
        <f>LEFT(E275,3)</f>
        <v>424</v>
      </c>
      <c r="E274" s="119"/>
      <c r="F274" s="368" t="s">
        <v>447</v>
      </c>
      <c r="G274" s="369" t="e">
        <f>G275</f>
        <v>#REF!</v>
      </c>
      <c r="H274" s="370" t="e">
        <f>H275</f>
        <v>#REF!</v>
      </c>
      <c r="I274" s="369" t="e">
        <f>I275</f>
        <v>#REF!</v>
      </c>
      <c r="J274" s="369" t="e">
        <f>J275</f>
        <v>#REF!</v>
      </c>
      <c r="K274" s="369" t="e">
        <f>K275</f>
        <v>#REF!</v>
      </c>
      <c r="L274" s="369" t="e">
        <f t="shared" si="100"/>
        <v>#REF!</v>
      </c>
      <c r="M274" s="369" t="e">
        <f t="shared" si="101"/>
        <v>#REF!</v>
      </c>
      <c r="N274" s="369" t="e">
        <f t="shared" ref="N274:X274" si="103">N275</f>
        <v>#REF!</v>
      </c>
      <c r="O274" s="137" t="e">
        <f t="shared" si="103"/>
        <v>#REF!</v>
      </c>
      <c r="P274" s="137" t="e">
        <f t="shared" si="103"/>
        <v>#REF!</v>
      </c>
      <c r="Q274" s="393" t="e">
        <f t="shared" si="103"/>
        <v>#REF!</v>
      </c>
      <c r="R274" s="137" t="e">
        <f t="shared" si="103"/>
        <v>#REF!</v>
      </c>
      <c r="S274" s="137" t="e">
        <f t="shared" si="103"/>
        <v>#REF!</v>
      </c>
      <c r="T274" s="137" t="e">
        <f t="shared" si="103"/>
        <v>#REF!</v>
      </c>
      <c r="U274" s="371" t="e">
        <f t="shared" si="103"/>
        <v>#REF!</v>
      </c>
      <c r="V274" s="371" t="e">
        <f t="shared" si="103"/>
        <v>#REF!</v>
      </c>
      <c r="W274" s="371" t="e">
        <f t="shared" si="103"/>
        <v>#REF!</v>
      </c>
      <c r="X274" s="371" t="e">
        <f t="shared" si="103"/>
        <v>#REF!</v>
      </c>
      <c r="Y274" s="371">
        <f>Y275</f>
        <v>1141.2</v>
      </c>
      <c r="Z274" s="590" t="e">
        <f t="shared" si="73"/>
        <v>#REF!</v>
      </c>
      <c r="AA274" s="590" t="e">
        <f t="shared" si="74"/>
        <v>#REF!</v>
      </c>
      <c r="AB274" s="371" t="e">
        <f>AB275</f>
        <v>#REF!</v>
      </c>
      <c r="AC274" s="372"/>
      <c r="AD274" s="372"/>
      <c r="AE274" s="372"/>
      <c r="AF274" s="372"/>
      <c r="AG274" s="372"/>
      <c r="AH274" s="372"/>
      <c r="AI274" s="372"/>
      <c r="AJ274" s="372"/>
      <c r="AK274" s="372"/>
      <c r="AL274" s="372"/>
      <c r="AM274" s="372"/>
      <c r="AN274" s="372"/>
    </row>
    <row r="275" spans="1:40" ht="21" customHeight="1" x14ac:dyDescent="0.25">
      <c r="A275" s="80"/>
      <c r="B275" s="80"/>
      <c r="C275" s="80"/>
      <c r="D275" s="80"/>
      <c r="E275" s="80">
        <v>4241</v>
      </c>
      <c r="F275" s="81" t="s">
        <v>437</v>
      </c>
      <c r="G275" s="82" t="e">
        <f>SUMIF(#REF!,'BILANCA PO IZVORIMA'!$E275,#REF!)</f>
        <v>#REF!</v>
      </c>
      <c r="H275" s="82" t="e">
        <f>SUMIF(#REF!,'BILANCA PO IZVORIMA'!$E275,#REF!)</f>
        <v>#REF!</v>
      </c>
      <c r="I275" s="82" t="e">
        <f>SUMIF(#REF!,'BILANCA PO IZVORIMA'!$E275,#REF!)</f>
        <v>#REF!</v>
      </c>
      <c r="J275" s="82" t="e">
        <f>SUMIF(#REF!,'BILANCA PO IZVORIMA'!$E275,#REF!)</f>
        <v>#REF!</v>
      </c>
      <c r="K275" s="82" t="e">
        <f>SUMIF(#REF!,'BILANCA PO IZVORIMA'!$E275,#REF!)</f>
        <v>#REF!</v>
      </c>
      <c r="L275" s="82" t="e">
        <f t="shared" si="100"/>
        <v>#REF!</v>
      </c>
      <c r="M275" s="82" t="e">
        <f t="shared" si="101"/>
        <v>#REF!</v>
      </c>
      <c r="N275" s="82" t="e">
        <f>SUMIF(#REF!,'BILANCA PO IZVORIMA'!$E275,#REF!)</f>
        <v>#REF!</v>
      </c>
      <c r="O275" s="82" t="e">
        <f>SUMIF(#REF!,'BILANCA PO IZVORIMA'!$E275,#REF!)</f>
        <v>#REF!</v>
      </c>
      <c r="P275" s="82" t="e">
        <f>SUMIF(#REF!,'BILANCA PO IZVORIMA'!$E275,#REF!)</f>
        <v>#REF!</v>
      </c>
      <c r="Q275" s="386" t="e">
        <f>SUMIF(#REF!,'BILANCA PO IZVORIMA'!$E275,#REF!)</f>
        <v>#REF!</v>
      </c>
      <c r="R275" s="82" t="e">
        <f>SUMIF(#REF!,'BILANCA PO IZVORIMA'!$E275,#REF!)</f>
        <v>#REF!</v>
      </c>
      <c r="S275" s="82" t="e">
        <f>SUMIF(#REF!,'BILANCA PO IZVORIMA'!$E275,#REF!)</f>
        <v>#REF!</v>
      </c>
      <c r="T275" s="82" t="e">
        <f>SUMIF(#REF!,'BILANCA PO IZVORIMA'!$E$275,#REF!)</f>
        <v>#REF!</v>
      </c>
      <c r="U275" s="357" t="e">
        <f>SUMIF(#REF!,'BILANCA PO IZVORIMA'!$E275,#REF!)</f>
        <v>#REF!</v>
      </c>
      <c r="V275" s="357" t="e">
        <f>SUMIF(#REF!,'BILANCA PO IZVORIMA'!$E275,#REF!)</f>
        <v>#REF!</v>
      </c>
      <c r="W275" s="357" t="e">
        <f>SUMIF(#REF!,'BILANCA PO IZVORIMA'!$E275,#REF!)</f>
        <v>#REF!</v>
      </c>
      <c r="X275" s="357" t="e">
        <f>SUMIF(#REF!,'BILANCA PO IZVORIMA'!$E275,#REF!)</f>
        <v>#REF!</v>
      </c>
      <c r="Y275" s="357">
        <v>1141.2</v>
      </c>
      <c r="Z275" s="614" t="e">
        <f t="shared" si="73"/>
        <v>#REF!</v>
      </c>
      <c r="AA275" s="614" t="e">
        <f t="shared" si="74"/>
        <v>#REF!</v>
      </c>
      <c r="AB275" s="357" t="e">
        <f>SUMIF(#REF!,'BILANCA PO IZVORIMA'!$E275,#REF!)</f>
        <v>#REF!</v>
      </c>
      <c r="AF275" s="60"/>
      <c r="AG275" s="60"/>
      <c r="AH275" s="60"/>
      <c r="AI275" s="60"/>
      <c r="AJ275" s="60"/>
      <c r="AK275" s="60"/>
      <c r="AL275" s="60"/>
      <c r="AM275" s="60"/>
      <c r="AN275" s="60"/>
    </row>
    <row r="276" spans="1:40" ht="18" hidden="1" customHeight="1" x14ac:dyDescent="0.25">
      <c r="A276" s="80"/>
      <c r="B276" s="80"/>
      <c r="C276" s="80"/>
      <c r="D276" s="80" t="str">
        <f>LEFT(E277,3)</f>
        <v>425</v>
      </c>
      <c r="E276" s="80"/>
      <c r="F276" s="81" t="s">
        <v>839</v>
      </c>
      <c r="G276" s="84" t="e">
        <f>G277</f>
        <v>#REF!</v>
      </c>
      <c r="H276" s="102" t="e">
        <f>H277</f>
        <v>#REF!</v>
      </c>
      <c r="I276" s="84" t="e">
        <f>I277</f>
        <v>#REF!</v>
      </c>
      <c r="J276" s="84" t="e">
        <f>J277</f>
        <v>#REF!</v>
      </c>
      <c r="K276" s="84" t="e">
        <f>K277</f>
        <v>#REF!</v>
      </c>
      <c r="L276" s="84" t="e">
        <f t="shared" si="100"/>
        <v>#REF!</v>
      </c>
      <c r="M276" s="84" t="e">
        <f t="shared" si="101"/>
        <v>#REF!</v>
      </c>
      <c r="N276" s="84" t="e">
        <f>N277</f>
        <v>#REF!</v>
      </c>
      <c r="O276" s="82" t="e">
        <f>O277</f>
        <v>#REF!</v>
      </c>
      <c r="P276" s="82" t="e">
        <f>P277</f>
        <v>#REF!</v>
      </c>
      <c r="Q276" s="389" t="e">
        <f>U276-O276</f>
        <v>#REF!</v>
      </c>
      <c r="R276" s="82" t="e">
        <f t="shared" ref="R276:X276" si="104">R277</f>
        <v>#REF!</v>
      </c>
      <c r="S276" s="82" t="e">
        <f t="shared" si="104"/>
        <v>#REF!</v>
      </c>
      <c r="T276" s="82" t="e">
        <f t="shared" si="104"/>
        <v>#REF!</v>
      </c>
      <c r="U276" s="357" t="e">
        <f t="shared" si="104"/>
        <v>#REF!</v>
      </c>
      <c r="V276" s="357" t="e">
        <f t="shared" si="104"/>
        <v>#REF!</v>
      </c>
      <c r="W276" s="357" t="e">
        <f t="shared" si="104"/>
        <v>#REF!</v>
      </c>
      <c r="X276" s="357" t="e">
        <f t="shared" si="104"/>
        <v>#REF!</v>
      </c>
      <c r="Y276" s="357"/>
      <c r="Z276" s="590" t="e">
        <f t="shared" si="73"/>
        <v>#REF!</v>
      </c>
      <c r="AA276" s="590" t="e">
        <f t="shared" si="74"/>
        <v>#REF!</v>
      </c>
      <c r="AB276" s="357" t="e">
        <f>AB277</f>
        <v>#REF!</v>
      </c>
      <c r="AF276" s="60"/>
      <c r="AG276" s="60"/>
      <c r="AH276" s="60"/>
      <c r="AI276" s="60"/>
      <c r="AJ276" s="60"/>
      <c r="AK276" s="60"/>
      <c r="AL276" s="60"/>
      <c r="AM276" s="60"/>
      <c r="AN276" s="60"/>
    </row>
    <row r="277" spans="1:40" ht="22.5" hidden="1" customHeight="1" x14ac:dyDescent="0.25">
      <c r="A277" s="80"/>
      <c r="B277" s="80"/>
      <c r="C277" s="80"/>
      <c r="D277" s="80"/>
      <c r="E277" s="80" t="s">
        <v>1029</v>
      </c>
      <c r="F277" s="81" t="s">
        <v>840</v>
      </c>
      <c r="G277" s="82" t="e">
        <f>SUMIF(#REF!,'BILANCA PO IZVORIMA'!$E277,#REF!)</f>
        <v>#REF!</v>
      </c>
      <c r="H277" s="82" t="e">
        <f>SUMIF(#REF!,'BILANCA PO IZVORIMA'!$E277,#REF!)</f>
        <v>#REF!</v>
      </c>
      <c r="I277" s="82" t="e">
        <f>SUMIF(#REF!,'BILANCA PO IZVORIMA'!$E277,#REF!)</f>
        <v>#REF!</v>
      </c>
      <c r="J277" s="82" t="e">
        <f>SUMIF(#REF!,'BILANCA PO IZVORIMA'!$E277,#REF!)</f>
        <v>#REF!</v>
      </c>
      <c r="K277" s="82" t="e">
        <f>SUMIF(#REF!,'BILANCA PO IZVORIMA'!$E277,#REF!)</f>
        <v>#REF!</v>
      </c>
      <c r="L277" s="82" t="e">
        <f t="shared" si="100"/>
        <v>#REF!</v>
      </c>
      <c r="M277" s="82" t="e">
        <f t="shared" si="101"/>
        <v>#REF!</v>
      </c>
      <c r="N277" s="82" t="e">
        <f>SUMIF(#REF!,'BILANCA PO IZVORIMA'!$E277,#REF!)</f>
        <v>#REF!</v>
      </c>
      <c r="O277" s="82" t="e">
        <f>SUMIF(#REF!,'BILANCA PO IZVORIMA'!$E277,#REF!)</f>
        <v>#REF!</v>
      </c>
      <c r="P277" s="82" t="e">
        <f>SUMIF(#REF!,'BILANCA PO IZVORIMA'!$E277,#REF!)</f>
        <v>#REF!</v>
      </c>
      <c r="Q277" s="389" t="e">
        <f>U277-O277</f>
        <v>#REF!</v>
      </c>
      <c r="R277" s="82" t="e">
        <f>SUMIF(#REF!,'BILANCA PO IZVORIMA'!$E277,#REF!)</f>
        <v>#REF!</v>
      </c>
      <c r="S277" s="82" t="e">
        <f>SUMIF(#REF!,'BILANCA PO IZVORIMA'!$E277,#REF!)</f>
        <v>#REF!</v>
      </c>
      <c r="T277" s="82" t="e">
        <f>SUMIF(#REF!,'BILANCA PO IZVORIMA'!$E$277,#REF!)</f>
        <v>#REF!</v>
      </c>
      <c r="U277" s="357" t="e">
        <f>SUMIF(#REF!,'BILANCA PO IZVORIMA'!$E277,#REF!)</f>
        <v>#REF!</v>
      </c>
      <c r="V277" s="357" t="e">
        <f>SUMIF(#REF!,'BILANCA PO IZVORIMA'!$E277,#REF!)</f>
        <v>#REF!</v>
      </c>
      <c r="W277" s="357" t="e">
        <f>SUMIF(#REF!,'BILANCA PO IZVORIMA'!$E277,#REF!)</f>
        <v>#REF!</v>
      </c>
      <c r="X277" s="357" t="e">
        <f>SUMIF(#REF!,'BILANCA PO IZVORIMA'!$E277,#REF!)</f>
        <v>#REF!</v>
      </c>
      <c r="Y277" s="357"/>
      <c r="Z277" s="590" t="e">
        <f t="shared" ref="Z277:Z320" si="105">ROUND(Y277/V277*100,2)</f>
        <v>#REF!</v>
      </c>
      <c r="AA277" s="590" t="e">
        <f t="shared" ref="AA277:AA320" si="106">AB277-V277</f>
        <v>#REF!</v>
      </c>
      <c r="AB277" s="357" t="e">
        <f>SUMIF(#REF!,'BILANCA PO IZVORIMA'!$E277,#REF!)</f>
        <v>#REF!</v>
      </c>
      <c r="AF277" s="60"/>
      <c r="AG277" s="60"/>
      <c r="AH277" s="60"/>
      <c r="AI277" s="60"/>
      <c r="AJ277" s="60"/>
      <c r="AK277" s="60"/>
      <c r="AL277" s="60"/>
      <c r="AM277" s="60"/>
      <c r="AN277" s="60"/>
    </row>
    <row r="278" spans="1:40" s="373" customFormat="1" ht="21" customHeight="1" x14ac:dyDescent="0.25">
      <c r="A278" s="119"/>
      <c r="B278" s="119"/>
      <c r="C278" s="119"/>
      <c r="D278" s="119" t="str">
        <f>LEFT(E279,3)</f>
        <v>426</v>
      </c>
      <c r="E278" s="119"/>
      <c r="F278" s="368" t="s">
        <v>560</v>
      </c>
      <c r="G278" s="369" t="e">
        <f t="shared" ref="G278:X278" si="107">SUM(G279:G280)</f>
        <v>#REF!</v>
      </c>
      <c r="H278" s="370" t="e">
        <f t="shared" si="107"/>
        <v>#REF!</v>
      </c>
      <c r="I278" s="369" t="e">
        <f t="shared" si="107"/>
        <v>#REF!</v>
      </c>
      <c r="J278" s="369" t="e">
        <f t="shared" si="107"/>
        <v>#REF!</v>
      </c>
      <c r="K278" s="369" t="e">
        <f t="shared" si="107"/>
        <v>#REF!</v>
      </c>
      <c r="L278" s="369" t="e">
        <f t="shared" si="107"/>
        <v>#REF!</v>
      </c>
      <c r="M278" s="369" t="e">
        <f t="shared" si="107"/>
        <v>#REF!</v>
      </c>
      <c r="N278" s="369" t="e">
        <f t="shared" si="107"/>
        <v>#REF!</v>
      </c>
      <c r="O278" s="369" t="e">
        <f t="shared" si="107"/>
        <v>#REF!</v>
      </c>
      <c r="P278" s="369" t="e">
        <f t="shared" si="107"/>
        <v>#REF!</v>
      </c>
      <c r="Q278" s="392" t="e">
        <f t="shared" si="107"/>
        <v>#REF!</v>
      </c>
      <c r="R278" s="369" t="e">
        <f t="shared" si="107"/>
        <v>#REF!</v>
      </c>
      <c r="S278" s="369" t="e">
        <f t="shared" si="107"/>
        <v>#REF!</v>
      </c>
      <c r="T278" s="137" t="e">
        <f t="shared" si="107"/>
        <v>#REF!</v>
      </c>
      <c r="U278" s="371" t="e">
        <f t="shared" si="107"/>
        <v>#REF!</v>
      </c>
      <c r="V278" s="371" t="e">
        <f t="shared" si="107"/>
        <v>#REF!</v>
      </c>
      <c r="W278" s="371" t="e">
        <f t="shared" si="107"/>
        <v>#REF!</v>
      </c>
      <c r="X278" s="371" t="e">
        <f t="shared" si="107"/>
        <v>#REF!</v>
      </c>
      <c r="Y278" s="371">
        <f>Y279+Y280</f>
        <v>0</v>
      </c>
      <c r="Z278" s="590" t="e">
        <f t="shared" si="105"/>
        <v>#REF!</v>
      </c>
      <c r="AA278" s="590" t="e">
        <f t="shared" si="106"/>
        <v>#REF!</v>
      </c>
      <c r="AB278" s="371" t="e">
        <f>SUM(AB279:AB280)</f>
        <v>#REF!</v>
      </c>
      <c r="AC278" s="372"/>
      <c r="AD278" s="372"/>
      <c r="AE278" s="372"/>
      <c r="AF278" s="372"/>
      <c r="AG278" s="372"/>
      <c r="AH278" s="372"/>
      <c r="AI278" s="372"/>
      <c r="AJ278" s="372"/>
      <c r="AK278" s="372"/>
      <c r="AL278" s="372"/>
      <c r="AM278" s="372"/>
      <c r="AN278" s="372"/>
    </row>
    <row r="279" spans="1:40" ht="21.75" customHeight="1" x14ac:dyDescent="0.25">
      <c r="A279" s="80"/>
      <c r="B279" s="80"/>
      <c r="C279" s="80"/>
      <c r="D279" s="80"/>
      <c r="E279" s="80">
        <v>4262</v>
      </c>
      <c r="F279" s="81" t="s">
        <v>561</v>
      </c>
      <c r="G279" s="82" t="e">
        <f>SUMIF(#REF!,'BILANCA PO IZVORIMA'!$E279,#REF!)</f>
        <v>#REF!</v>
      </c>
      <c r="H279" s="82" t="e">
        <f>SUMIF(#REF!,'BILANCA PO IZVORIMA'!$E279,#REF!)</f>
        <v>#REF!</v>
      </c>
      <c r="I279" s="82" t="e">
        <f>SUMIF(#REF!,'BILANCA PO IZVORIMA'!$E279,#REF!)</f>
        <v>#REF!</v>
      </c>
      <c r="J279" s="82" t="e">
        <f>SUMIF(#REF!,'BILANCA PO IZVORIMA'!$E279,#REF!)</f>
        <v>#REF!</v>
      </c>
      <c r="K279" s="82" t="e">
        <f>SUMIF(#REF!,'BILANCA PO IZVORIMA'!$E279,#REF!)</f>
        <v>#REF!</v>
      </c>
      <c r="L279" s="82" t="e">
        <f t="shared" ref="L279:L285" si="108">ROUND(K279/J279*100,2)</f>
        <v>#REF!</v>
      </c>
      <c r="M279" s="82" t="e">
        <f t="shared" ref="M279:M285" si="109">N279-J279</f>
        <v>#REF!</v>
      </c>
      <c r="N279" s="82" t="e">
        <f>SUMIF(#REF!,'BILANCA PO IZVORIMA'!$E279,#REF!)</f>
        <v>#REF!</v>
      </c>
      <c r="O279" s="82" t="e">
        <f>SUMIF(#REF!,'BILANCA PO IZVORIMA'!$E279,#REF!)</f>
        <v>#REF!</v>
      </c>
      <c r="P279" s="82" t="e">
        <f>SUMIF(#REF!,'BILANCA PO IZVORIMA'!$E279,#REF!)</f>
        <v>#REF!</v>
      </c>
      <c r="Q279" s="386" t="e">
        <f>SUMIF(#REF!,'BILANCA PO IZVORIMA'!$E279,#REF!)</f>
        <v>#REF!</v>
      </c>
      <c r="R279" s="82" t="e">
        <f>SUMIF(#REF!,'BILANCA PO IZVORIMA'!$E279,#REF!)</f>
        <v>#REF!</v>
      </c>
      <c r="S279" s="82" t="e">
        <f>SUMIF(#REF!,'BILANCA PO IZVORIMA'!$E279,#REF!)</f>
        <v>#REF!</v>
      </c>
      <c r="T279" s="82" t="e">
        <f>SUMIF(#REF!,'BILANCA PO IZVORIMA'!$E$279,#REF!)</f>
        <v>#REF!</v>
      </c>
      <c r="U279" s="357" t="e">
        <f>SUMIF(#REF!,'BILANCA PO IZVORIMA'!$E279,#REF!)</f>
        <v>#REF!</v>
      </c>
      <c r="V279" s="357" t="e">
        <f>SUMIF(#REF!,'BILANCA PO IZVORIMA'!$E279,#REF!)</f>
        <v>#REF!</v>
      </c>
      <c r="W279" s="357" t="e">
        <f>SUMIF(#REF!,'BILANCA PO IZVORIMA'!$E279,#REF!)</f>
        <v>#REF!</v>
      </c>
      <c r="X279" s="357" t="e">
        <f>SUMIF(#REF!,'BILANCA PO IZVORIMA'!$E279,#REF!)</f>
        <v>#REF!</v>
      </c>
      <c r="Y279" s="357">
        <v>0</v>
      </c>
      <c r="Z279" s="614" t="e">
        <f t="shared" si="105"/>
        <v>#REF!</v>
      </c>
      <c r="AA279" s="614" t="e">
        <f t="shared" si="106"/>
        <v>#REF!</v>
      </c>
      <c r="AB279" s="357" t="e">
        <f>SUMIF(#REF!,'BILANCA PO IZVORIMA'!$E279,#REF!)</f>
        <v>#REF!</v>
      </c>
      <c r="AF279" s="60"/>
      <c r="AG279" s="60"/>
      <c r="AH279" s="60"/>
      <c r="AI279" s="60"/>
      <c r="AJ279" s="60"/>
      <c r="AK279" s="60"/>
      <c r="AL279" s="60"/>
      <c r="AM279" s="60"/>
      <c r="AN279" s="60"/>
    </row>
    <row r="280" spans="1:40" ht="21" customHeight="1" x14ac:dyDescent="0.25">
      <c r="A280" s="80"/>
      <c r="B280" s="80"/>
      <c r="C280" s="80"/>
      <c r="D280" s="80"/>
      <c r="E280" s="80">
        <v>4264</v>
      </c>
      <c r="F280" s="81" t="s">
        <v>1030</v>
      </c>
      <c r="G280" s="82" t="e">
        <f>SUMIF(#REF!,'BILANCA PO IZVORIMA'!$E280,#REF!)</f>
        <v>#REF!</v>
      </c>
      <c r="H280" s="82" t="e">
        <f>SUMIF(#REF!,'BILANCA PO IZVORIMA'!$E280,#REF!)</f>
        <v>#REF!</v>
      </c>
      <c r="I280" s="82" t="e">
        <f>SUMIF(#REF!,'BILANCA PO IZVORIMA'!$E280,#REF!)</f>
        <v>#REF!</v>
      </c>
      <c r="J280" s="82" t="e">
        <f>SUMIF(#REF!,'BILANCA PO IZVORIMA'!$E280,#REF!)</f>
        <v>#REF!</v>
      </c>
      <c r="K280" s="82" t="e">
        <f>SUMIF(#REF!,'BILANCA PO IZVORIMA'!$E280,#REF!)</f>
        <v>#REF!</v>
      </c>
      <c r="L280" s="82" t="e">
        <f t="shared" si="108"/>
        <v>#REF!</v>
      </c>
      <c r="M280" s="82" t="e">
        <f t="shared" si="109"/>
        <v>#REF!</v>
      </c>
      <c r="N280" s="82" t="e">
        <f>SUMIF(#REF!,'BILANCA PO IZVORIMA'!$E280,#REF!)</f>
        <v>#REF!</v>
      </c>
      <c r="O280" s="82" t="e">
        <f>SUMIF(#REF!,'BILANCA PO IZVORIMA'!$E280,#REF!)</f>
        <v>#REF!</v>
      </c>
      <c r="P280" s="82" t="e">
        <f>SUMIF(#REF!,'BILANCA PO IZVORIMA'!$E280,#REF!)</f>
        <v>#REF!</v>
      </c>
      <c r="Q280" s="386" t="e">
        <f>SUMIF(#REF!,'BILANCA PO IZVORIMA'!$E280,#REF!)</f>
        <v>#REF!</v>
      </c>
      <c r="R280" s="82" t="e">
        <f>SUMIF(#REF!,'BILANCA PO IZVORIMA'!$E280,#REF!)</f>
        <v>#REF!</v>
      </c>
      <c r="S280" s="82" t="e">
        <f>SUMIF(#REF!,'BILANCA PO IZVORIMA'!$E280,#REF!)</f>
        <v>#REF!</v>
      </c>
      <c r="T280" s="82" t="e">
        <f>SUMIF(#REF!,'BILANCA PO IZVORIMA'!$E$280,#REF!)</f>
        <v>#REF!</v>
      </c>
      <c r="U280" s="357" t="e">
        <f>SUMIF(#REF!,'BILANCA PO IZVORIMA'!$E280,#REF!)</f>
        <v>#REF!</v>
      </c>
      <c r="V280" s="357" t="e">
        <f>SUMIF(#REF!,'BILANCA PO IZVORIMA'!$E280,#REF!)</f>
        <v>#REF!</v>
      </c>
      <c r="W280" s="357" t="e">
        <f>SUMIF(#REF!,'BILANCA PO IZVORIMA'!$E280,#REF!)</f>
        <v>#REF!</v>
      </c>
      <c r="X280" s="357" t="e">
        <f>SUMIF(#REF!,'BILANCA PO IZVORIMA'!$E280,#REF!)</f>
        <v>#REF!</v>
      </c>
      <c r="Y280" s="357">
        <v>0</v>
      </c>
      <c r="Z280" s="614" t="e">
        <f t="shared" si="105"/>
        <v>#REF!</v>
      </c>
      <c r="AA280" s="614" t="e">
        <f t="shared" si="106"/>
        <v>#REF!</v>
      </c>
      <c r="AB280" s="357" t="e">
        <f>SUMIF(#REF!,'BILANCA PO IZVORIMA'!$E280,#REF!)</f>
        <v>#REF!</v>
      </c>
      <c r="AF280" s="60"/>
      <c r="AG280" s="60"/>
      <c r="AH280" s="60"/>
      <c r="AI280" s="60"/>
      <c r="AJ280" s="60"/>
      <c r="AK280" s="60"/>
      <c r="AL280" s="60"/>
      <c r="AM280" s="60"/>
      <c r="AN280" s="60"/>
    </row>
    <row r="281" spans="1:40" ht="36.75" customHeight="1" x14ac:dyDescent="0.25">
      <c r="A281" s="125"/>
      <c r="B281" s="74"/>
      <c r="C281" s="74" t="str">
        <f>LEFT(E283,2)</f>
        <v>45</v>
      </c>
      <c r="D281" s="74"/>
      <c r="E281" s="74"/>
      <c r="F281" s="75" t="s">
        <v>808</v>
      </c>
      <c r="G281" s="77" t="e">
        <f>G282+G284+G286</f>
        <v>#REF!</v>
      </c>
      <c r="H281" s="118" t="e">
        <f>H282+H284+H286</f>
        <v>#REF!</v>
      </c>
      <c r="I281" s="77" t="e">
        <f>I282+I284+I286</f>
        <v>#REF!</v>
      </c>
      <c r="J281" s="77" t="e">
        <f>J282+J284+J286</f>
        <v>#REF!</v>
      </c>
      <c r="K281" s="77" t="e">
        <f>K282+K284+K286</f>
        <v>#REF!</v>
      </c>
      <c r="L281" s="77" t="e">
        <f t="shared" si="108"/>
        <v>#REF!</v>
      </c>
      <c r="M281" s="77" t="e">
        <f t="shared" si="109"/>
        <v>#REF!</v>
      </c>
      <c r="N281" s="77" t="e">
        <f t="shared" ref="N281:X281" si="110">N282+N284+N286</f>
        <v>#REF!</v>
      </c>
      <c r="O281" s="76" t="e">
        <f t="shared" si="110"/>
        <v>#REF!</v>
      </c>
      <c r="P281" s="76" t="e">
        <f t="shared" si="110"/>
        <v>#REF!</v>
      </c>
      <c r="Q281" s="385" t="e">
        <f t="shared" si="110"/>
        <v>#REF!</v>
      </c>
      <c r="R281" s="135" t="e">
        <f t="shared" si="110"/>
        <v>#REF!</v>
      </c>
      <c r="S281" s="135" t="e">
        <f t="shared" si="110"/>
        <v>#REF!</v>
      </c>
      <c r="T281" s="135" t="e">
        <f t="shared" si="110"/>
        <v>#REF!</v>
      </c>
      <c r="U281" s="356" t="e">
        <f t="shared" si="110"/>
        <v>#REF!</v>
      </c>
      <c r="V281" s="356" t="e">
        <f t="shared" si="110"/>
        <v>#REF!</v>
      </c>
      <c r="W281" s="356" t="e">
        <f t="shared" si="110"/>
        <v>#REF!</v>
      </c>
      <c r="X281" s="356" t="e">
        <f t="shared" si="110"/>
        <v>#REF!</v>
      </c>
      <c r="Y281" s="356">
        <f>Y282+Y284</f>
        <v>1943328.13</v>
      </c>
      <c r="Z281" s="610" t="e">
        <f t="shared" si="105"/>
        <v>#REF!</v>
      </c>
      <c r="AA281" s="610" t="e">
        <f t="shared" si="106"/>
        <v>#REF!</v>
      </c>
      <c r="AB281" s="356" t="e">
        <f>AB282+AB284+AB286</f>
        <v>#REF!</v>
      </c>
      <c r="AF281" s="60"/>
      <c r="AG281" s="60"/>
      <c r="AH281" s="60"/>
      <c r="AI281" s="60"/>
      <c r="AJ281" s="60"/>
      <c r="AK281" s="60"/>
      <c r="AL281" s="60"/>
      <c r="AM281" s="60"/>
      <c r="AN281" s="60"/>
    </row>
    <row r="282" spans="1:40" s="373" customFormat="1" ht="20.25" customHeight="1" x14ac:dyDescent="0.25">
      <c r="A282" s="119"/>
      <c r="B282" s="119"/>
      <c r="C282" s="119"/>
      <c r="D282" s="119" t="str">
        <f>LEFT(E283,3)</f>
        <v>451</v>
      </c>
      <c r="E282" s="119"/>
      <c r="F282" s="368" t="s">
        <v>809</v>
      </c>
      <c r="G282" s="369" t="e">
        <f>G283</f>
        <v>#REF!</v>
      </c>
      <c r="H282" s="370" t="e">
        <f>H283</f>
        <v>#REF!</v>
      </c>
      <c r="I282" s="369" t="e">
        <f>I283</f>
        <v>#REF!</v>
      </c>
      <c r="J282" s="369" t="e">
        <f>J283</f>
        <v>#REF!</v>
      </c>
      <c r="K282" s="369" t="e">
        <f>K283</f>
        <v>#REF!</v>
      </c>
      <c r="L282" s="369" t="e">
        <f t="shared" si="108"/>
        <v>#REF!</v>
      </c>
      <c r="M282" s="369" t="e">
        <f t="shared" si="109"/>
        <v>#REF!</v>
      </c>
      <c r="N282" s="369" t="e">
        <f t="shared" ref="N282:X282" si="111">N283</f>
        <v>#REF!</v>
      </c>
      <c r="O282" s="137" t="e">
        <f t="shared" si="111"/>
        <v>#REF!</v>
      </c>
      <c r="P282" s="137" t="e">
        <f t="shared" si="111"/>
        <v>#REF!</v>
      </c>
      <c r="Q282" s="393" t="e">
        <f t="shared" si="111"/>
        <v>#REF!</v>
      </c>
      <c r="R282" s="137" t="e">
        <f t="shared" si="111"/>
        <v>#REF!</v>
      </c>
      <c r="S282" s="137" t="e">
        <f t="shared" si="111"/>
        <v>#REF!</v>
      </c>
      <c r="T282" s="137" t="e">
        <f t="shared" si="111"/>
        <v>#REF!</v>
      </c>
      <c r="U282" s="371" t="e">
        <f t="shared" si="111"/>
        <v>#REF!</v>
      </c>
      <c r="V282" s="371" t="e">
        <f t="shared" si="111"/>
        <v>#REF!</v>
      </c>
      <c r="W282" s="371" t="e">
        <f t="shared" si="111"/>
        <v>#REF!</v>
      </c>
      <c r="X282" s="371" t="e">
        <f t="shared" si="111"/>
        <v>#REF!</v>
      </c>
      <c r="Y282" s="371">
        <f>Y283</f>
        <v>1943328.13</v>
      </c>
      <c r="Z282" s="590" t="e">
        <f t="shared" si="105"/>
        <v>#REF!</v>
      </c>
      <c r="AA282" s="590" t="e">
        <f t="shared" si="106"/>
        <v>#REF!</v>
      </c>
      <c r="AB282" s="371" t="e">
        <f>AB283</f>
        <v>#REF!</v>
      </c>
      <c r="AC282" s="372"/>
      <c r="AD282" s="372"/>
      <c r="AE282" s="372"/>
      <c r="AF282" s="372"/>
      <c r="AG282" s="372"/>
      <c r="AH282" s="372"/>
      <c r="AI282" s="372"/>
      <c r="AJ282" s="372"/>
      <c r="AK282" s="372"/>
      <c r="AL282" s="372"/>
      <c r="AM282" s="372"/>
      <c r="AN282" s="372"/>
    </row>
    <row r="283" spans="1:40" ht="21" customHeight="1" x14ac:dyDescent="0.25">
      <c r="A283" s="80"/>
      <c r="B283" s="80"/>
      <c r="C283" s="80"/>
      <c r="D283" s="80"/>
      <c r="E283" s="80">
        <v>4511</v>
      </c>
      <c r="F283" s="81" t="s">
        <v>809</v>
      </c>
      <c r="G283" s="82" t="e">
        <f>SUMIF(#REF!,'BILANCA PO IZVORIMA'!E283,#REF!)</f>
        <v>#REF!</v>
      </c>
      <c r="H283" s="82" t="e">
        <f>SUMIF(#REF!,'BILANCA PO IZVORIMA'!$E283,#REF!)</f>
        <v>#REF!</v>
      </c>
      <c r="I283" s="82" t="e">
        <f>SUMIF(#REF!,'BILANCA PO IZVORIMA'!$E283,#REF!)</f>
        <v>#REF!</v>
      </c>
      <c r="J283" s="82" t="e">
        <f>SUMIF(#REF!,'BILANCA PO IZVORIMA'!$E283,#REF!)</f>
        <v>#REF!</v>
      </c>
      <c r="K283" s="82" t="e">
        <f>SUMIF(#REF!,'BILANCA PO IZVORIMA'!$E283,#REF!)</f>
        <v>#REF!</v>
      </c>
      <c r="L283" s="82" t="e">
        <f t="shared" si="108"/>
        <v>#REF!</v>
      </c>
      <c r="M283" s="82" t="e">
        <f t="shared" si="109"/>
        <v>#REF!</v>
      </c>
      <c r="N283" s="82" t="e">
        <f>SUMIF(#REF!,'BILANCA PO IZVORIMA'!$E283,#REF!)</f>
        <v>#REF!</v>
      </c>
      <c r="O283" s="82" t="e">
        <f>SUMIF(#REF!,'BILANCA PO IZVORIMA'!$E283,#REF!)</f>
        <v>#REF!</v>
      </c>
      <c r="P283" s="82" t="e">
        <f>SUMIF(#REF!,'BILANCA PO IZVORIMA'!$E283,#REF!)</f>
        <v>#REF!</v>
      </c>
      <c r="Q283" s="386" t="e">
        <f>SUMIF(#REF!,'BILANCA PO IZVORIMA'!$E283,#REF!)</f>
        <v>#REF!</v>
      </c>
      <c r="R283" s="82" t="e">
        <f>SUMIF(#REF!,'BILANCA PO IZVORIMA'!$E283,#REF!)</f>
        <v>#REF!</v>
      </c>
      <c r="S283" s="82" t="e">
        <f>SUMIF(#REF!,'BILANCA PO IZVORIMA'!$E283,#REF!)</f>
        <v>#REF!</v>
      </c>
      <c r="T283" s="82" t="e">
        <f>SUMIF(#REF!,'BILANCA PO IZVORIMA'!$E$283,#REF!)</f>
        <v>#REF!</v>
      </c>
      <c r="U283" s="357" t="e">
        <f>SUMIF(#REF!,'BILANCA PO IZVORIMA'!$E283,#REF!)</f>
        <v>#REF!</v>
      </c>
      <c r="V283" s="357" t="e">
        <f>SUMIF(#REF!,'BILANCA PO IZVORIMA'!$E283,#REF!)</f>
        <v>#REF!</v>
      </c>
      <c r="W283" s="357" t="e">
        <f>SUMIF(#REF!,'BILANCA PO IZVORIMA'!$E283,#REF!)</f>
        <v>#REF!</v>
      </c>
      <c r="X283" s="357" t="e">
        <f>SUMIF(#REF!,'BILANCA PO IZVORIMA'!$E283,#REF!)</f>
        <v>#REF!</v>
      </c>
      <c r="Y283" s="357">
        <v>1943328.13</v>
      </c>
      <c r="Z283" s="614" t="e">
        <f t="shared" si="105"/>
        <v>#REF!</v>
      </c>
      <c r="AA283" s="614" t="e">
        <f t="shared" si="106"/>
        <v>#REF!</v>
      </c>
      <c r="AB283" s="357" t="e">
        <f>SUMIF(#REF!,'BILANCA PO IZVORIMA'!$E283,#REF!)</f>
        <v>#REF!</v>
      </c>
      <c r="AF283" s="60"/>
      <c r="AG283" s="60"/>
      <c r="AH283" s="60"/>
      <c r="AI283" s="60"/>
      <c r="AJ283" s="60"/>
      <c r="AK283" s="60"/>
      <c r="AL283" s="60"/>
      <c r="AM283" s="60"/>
      <c r="AN283" s="60"/>
    </row>
    <row r="284" spans="1:40" s="373" customFormat="1" ht="21.75" customHeight="1" x14ac:dyDescent="0.25">
      <c r="A284" s="119"/>
      <c r="B284" s="119"/>
      <c r="C284" s="119"/>
      <c r="D284" s="119">
        <v>452</v>
      </c>
      <c r="E284" s="119"/>
      <c r="F284" s="368" t="s">
        <v>639</v>
      </c>
      <c r="G284" s="137" t="e">
        <f>G285</f>
        <v>#REF!</v>
      </c>
      <c r="H284" s="370" t="e">
        <f>H285</f>
        <v>#REF!</v>
      </c>
      <c r="I284" s="137" t="e">
        <f>I285</f>
        <v>#REF!</v>
      </c>
      <c r="J284" s="137" t="e">
        <f>J285</f>
        <v>#REF!</v>
      </c>
      <c r="K284" s="137" t="e">
        <f>K285</f>
        <v>#REF!</v>
      </c>
      <c r="L284" s="137" t="e">
        <f t="shared" si="108"/>
        <v>#REF!</v>
      </c>
      <c r="M284" s="137" t="e">
        <f t="shared" si="109"/>
        <v>#REF!</v>
      </c>
      <c r="N284" s="137" t="e">
        <f t="shared" ref="N284:X284" si="112">N285</f>
        <v>#REF!</v>
      </c>
      <c r="O284" s="137" t="e">
        <f t="shared" si="112"/>
        <v>#REF!</v>
      </c>
      <c r="P284" s="137" t="e">
        <f t="shared" si="112"/>
        <v>#REF!</v>
      </c>
      <c r="Q284" s="393" t="e">
        <f t="shared" si="112"/>
        <v>#REF!</v>
      </c>
      <c r="R284" s="137" t="e">
        <f t="shared" si="112"/>
        <v>#REF!</v>
      </c>
      <c r="S284" s="137" t="e">
        <f t="shared" si="112"/>
        <v>#REF!</v>
      </c>
      <c r="T284" s="137" t="e">
        <f t="shared" si="112"/>
        <v>#REF!</v>
      </c>
      <c r="U284" s="371" t="e">
        <f t="shared" si="112"/>
        <v>#REF!</v>
      </c>
      <c r="V284" s="371" t="e">
        <f t="shared" si="112"/>
        <v>#REF!</v>
      </c>
      <c r="W284" s="371" t="e">
        <f t="shared" si="112"/>
        <v>#REF!</v>
      </c>
      <c r="X284" s="371" t="e">
        <f t="shared" si="112"/>
        <v>#REF!</v>
      </c>
      <c r="Y284" s="371">
        <f>Y285</f>
        <v>0</v>
      </c>
      <c r="Z284" s="590" t="e">
        <f t="shared" si="105"/>
        <v>#REF!</v>
      </c>
      <c r="AA284" s="590" t="e">
        <f t="shared" si="106"/>
        <v>#REF!</v>
      </c>
      <c r="AB284" s="371" t="e">
        <f>AB285</f>
        <v>#REF!</v>
      </c>
      <c r="AC284" s="372"/>
      <c r="AD284" s="372"/>
      <c r="AE284" s="372"/>
      <c r="AF284" s="372"/>
      <c r="AG284" s="372"/>
      <c r="AH284" s="372"/>
      <c r="AI284" s="372"/>
      <c r="AJ284" s="372"/>
      <c r="AK284" s="372"/>
      <c r="AL284" s="372"/>
      <c r="AM284" s="372"/>
      <c r="AN284" s="372"/>
    </row>
    <row r="285" spans="1:40" ht="21" customHeight="1" x14ac:dyDescent="0.25">
      <c r="A285" s="80"/>
      <c r="B285" s="80"/>
      <c r="C285" s="80"/>
      <c r="D285" s="80"/>
      <c r="E285" s="80">
        <v>4521</v>
      </c>
      <c r="F285" s="81" t="s">
        <v>639</v>
      </c>
      <c r="G285" s="82" t="e">
        <f>SUMIF(#REF!,'BILANCA PO IZVORIMA'!E285,#REF!)</f>
        <v>#REF!</v>
      </c>
      <c r="H285" s="82" t="e">
        <f>SUMIF(#REF!,'BILANCA PO IZVORIMA'!$E285,#REF!)</f>
        <v>#REF!</v>
      </c>
      <c r="I285" s="82" t="e">
        <f>SUMIF(#REF!,'BILANCA PO IZVORIMA'!$E285,#REF!)</f>
        <v>#REF!</v>
      </c>
      <c r="J285" s="82" t="e">
        <f>SUMIF(#REF!,'BILANCA PO IZVORIMA'!$E285,#REF!)</f>
        <v>#REF!</v>
      </c>
      <c r="K285" s="82" t="e">
        <f>SUMIF(#REF!,'BILANCA PO IZVORIMA'!$E285,#REF!)</f>
        <v>#REF!</v>
      </c>
      <c r="L285" s="82" t="e">
        <f t="shared" si="108"/>
        <v>#REF!</v>
      </c>
      <c r="M285" s="82" t="e">
        <f t="shared" si="109"/>
        <v>#REF!</v>
      </c>
      <c r="N285" s="82" t="e">
        <f>SUMIF(#REF!,'BILANCA PO IZVORIMA'!$E285,#REF!)</f>
        <v>#REF!</v>
      </c>
      <c r="O285" s="82" t="e">
        <f>SUMIF(#REF!,'BILANCA PO IZVORIMA'!$E285,#REF!)</f>
        <v>#REF!</v>
      </c>
      <c r="P285" s="82" t="e">
        <f>SUMIF(#REF!,'BILANCA PO IZVORIMA'!$E285,#REF!)</f>
        <v>#REF!</v>
      </c>
      <c r="Q285" s="386" t="e">
        <f>SUMIF(#REF!,'BILANCA PO IZVORIMA'!$E285,#REF!)</f>
        <v>#REF!</v>
      </c>
      <c r="R285" s="82" t="e">
        <f>SUMIF(#REF!,'BILANCA PO IZVORIMA'!$E285,#REF!)</f>
        <v>#REF!</v>
      </c>
      <c r="S285" s="82" t="e">
        <f>SUMIF(#REF!,'BILANCA PO IZVORIMA'!$E285,#REF!)</f>
        <v>#REF!</v>
      </c>
      <c r="T285" s="82" t="e">
        <f>SUMIF(#REF!,'BILANCA PO IZVORIMA'!$E$285,#REF!)</f>
        <v>#REF!</v>
      </c>
      <c r="U285" s="357" t="e">
        <f>SUMIF(#REF!,'BILANCA PO IZVORIMA'!$E285,#REF!)</f>
        <v>#REF!</v>
      </c>
      <c r="V285" s="357" t="e">
        <f>SUMIF(#REF!,'BILANCA PO IZVORIMA'!$E285,#REF!)</f>
        <v>#REF!</v>
      </c>
      <c r="W285" s="357" t="e">
        <f>SUMIF(#REF!,'BILANCA PO IZVORIMA'!$E285,#REF!)</f>
        <v>#REF!</v>
      </c>
      <c r="X285" s="357" t="e">
        <f>SUMIF(#REF!,'BILANCA PO IZVORIMA'!$E285,#REF!)</f>
        <v>#REF!</v>
      </c>
      <c r="Y285" s="357">
        <v>0</v>
      </c>
      <c r="Z285" s="614" t="e">
        <f t="shared" si="105"/>
        <v>#REF!</v>
      </c>
      <c r="AA285" s="614" t="e">
        <f t="shared" si="106"/>
        <v>#REF!</v>
      </c>
      <c r="AB285" s="357" t="e">
        <f>SUMIF(#REF!,'BILANCA PO IZVORIMA'!$E285,#REF!)</f>
        <v>#REF!</v>
      </c>
      <c r="AF285" s="60"/>
      <c r="AG285" s="60"/>
      <c r="AH285" s="60"/>
      <c r="AI285" s="60"/>
      <c r="AJ285" s="60"/>
      <c r="AK285" s="60"/>
      <c r="AL285" s="60"/>
      <c r="AM285" s="60"/>
      <c r="AN285" s="60"/>
    </row>
    <row r="286" spans="1:40" x14ac:dyDescent="0.25">
      <c r="A286" s="108"/>
      <c r="B286" s="108"/>
      <c r="C286" s="108"/>
      <c r="D286" s="108"/>
      <c r="E286" s="108"/>
      <c r="F286" s="109"/>
      <c r="G286" s="110"/>
      <c r="H286" s="110"/>
      <c r="I286" s="268"/>
      <c r="J286" s="110"/>
      <c r="K286" s="110"/>
      <c r="L286" s="110"/>
      <c r="M286" s="110"/>
      <c r="N286" s="268"/>
      <c r="O286" s="268"/>
      <c r="P286" s="268"/>
      <c r="Q286" s="394"/>
      <c r="R286" s="268"/>
      <c r="S286" s="268"/>
      <c r="T286" s="268"/>
      <c r="U286" s="268"/>
      <c r="V286" s="268"/>
      <c r="W286" s="268"/>
      <c r="X286" s="268"/>
      <c r="Y286" s="268"/>
      <c r="Z286" s="613"/>
      <c r="AA286" s="613"/>
      <c r="AB286" s="268"/>
    </row>
    <row r="287" spans="1:40" x14ac:dyDescent="0.25">
      <c r="A287" s="111"/>
      <c r="B287" s="269"/>
      <c r="C287" s="103"/>
      <c r="D287" s="103"/>
      <c r="E287" s="103"/>
      <c r="F287" s="112" t="s">
        <v>990</v>
      </c>
      <c r="G287" s="114"/>
      <c r="H287" s="113"/>
      <c r="I287" s="268"/>
      <c r="J287" s="114"/>
      <c r="K287" s="114"/>
      <c r="L287" s="114"/>
      <c r="M287" s="114"/>
      <c r="N287" s="268"/>
      <c r="O287" s="268"/>
      <c r="P287" s="268"/>
      <c r="Q287" s="395"/>
      <c r="R287" s="268"/>
      <c r="S287" s="268"/>
      <c r="T287" s="268"/>
      <c r="U287" s="268"/>
      <c r="V287" s="268"/>
      <c r="W287" s="268"/>
      <c r="X287" s="268"/>
      <c r="Y287" s="268"/>
      <c r="Z287" s="613"/>
      <c r="AA287" s="613"/>
      <c r="AB287" s="268"/>
    </row>
    <row r="288" spans="1:40" ht="18.75" customHeight="1" x14ac:dyDescent="0.25">
      <c r="A288" s="111"/>
      <c r="B288" s="269"/>
      <c r="C288" s="103"/>
      <c r="D288" s="103"/>
      <c r="E288" s="103"/>
      <c r="F288" s="58" t="s">
        <v>991</v>
      </c>
      <c r="G288" s="114"/>
      <c r="H288" s="113"/>
      <c r="I288" s="114"/>
      <c r="J288" s="114"/>
      <c r="K288" s="114"/>
      <c r="L288" s="114"/>
      <c r="M288" s="114"/>
      <c r="N288" s="268"/>
      <c r="O288" s="268"/>
      <c r="P288" s="268"/>
      <c r="Q288" s="582"/>
      <c r="R288" s="268"/>
      <c r="S288" s="268"/>
      <c r="T288" s="268"/>
      <c r="U288" s="268"/>
      <c r="V288" s="268"/>
      <c r="W288" s="268"/>
      <c r="X288" s="268"/>
      <c r="Y288" s="268"/>
      <c r="Z288" s="613"/>
      <c r="AA288" s="613"/>
      <c r="AB288" s="268"/>
    </row>
    <row r="289" spans="1:43" ht="18.75" customHeight="1" x14ac:dyDescent="0.25">
      <c r="A289" s="111"/>
      <c r="B289" s="269"/>
      <c r="C289" s="103"/>
      <c r="D289" s="103"/>
      <c r="E289" s="103"/>
      <c r="F289" s="58"/>
      <c r="G289" s="114"/>
      <c r="H289" s="113"/>
      <c r="I289" s="114"/>
      <c r="J289" s="114"/>
      <c r="K289" s="114"/>
      <c r="L289" s="114"/>
      <c r="M289" s="114"/>
      <c r="N289" s="268"/>
      <c r="O289" s="268"/>
      <c r="P289" s="268"/>
      <c r="Q289" s="582"/>
      <c r="R289" s="268"/>
      <c r="S289" s="268"/>
      <c r="T289" s="268"/>
      <c r="U289" s="268"/>
      <c r="V289" s="268"/>
      <c r="W289" s="268"/>
      <c r="X289" s="268"/>
      <c r="Y289" s="268"/>
      <c r="Z289" s="613"/>
      <c r="AA289" s="613"/>
      <c r="AB289" s="268"/>
    </row>
    <row r="290" spans="1:43" s="541" customFormat="1" ht="18.75" customHeight="1" x14ac:dyDescent="0.25">
      <c r="A290" s="583"/>
      <c r="B290" s="584"/>
      <c r="C290" s="433"/>
      <c r="D290" s="433"/>
      <c r="E290" s="433"/>
      <c r="F290" s="555" t="s">
        <v>824</v>
      </c>
      <c r="G290" s="585"/>
      <c r="H290" s="586"/>
      <c r="I290" s="585"/>
      <c r="J290" s="585"/>
      <c r="K290" s="585"/>
      <c r="L290" s="585"/>
      <c r="M290" s="585"/>
      <c r="N290" s="587"/>
      <c r="O290" s="587"/>
      <c r="P290" s="587"/>
      <c r="Q290" s="588"/>
      <c r="R290" s="587"/>
      <c r="S290" s="587"/>
      <c r="T290" s="587"/>
      <c r="U290" s="587"/>
      <c r="V290" s="589">
        <f>V291</f>
        <v>1075000</v>
      </c>
      <c r="W290" s="589">
        <f>W291</f>
        <v>1075000</v>
      </c>
      <c r="X290" s="589">
        <f>X291</f>
        <v>610000</v>
      </c>
      <c r="Y290" s="589">
        <f>Y291</f>
        <v>385603.16000000003</v>
      </c>
      <c r="Z290" s="590"/>
      <c r="AA290" s="590"/>
      <c r="AB290" s="589">
        <f>AB291</f>
        <v>985000</v>
      </c>
      <c r="AC290" s="533"/>
      <c r="AD290" s="533"/>
      <c r="AE290" s="533"/>
    </row>
    <row r="291" spans="1:43" s="106" customFormat="1" x14ac:dyDescent="0.25">
      <c r="A291" s="105"/>
      <c r="B291" s="105" t="s">
        <v>992</v>
      </c>
      <c r="C291" s="105"/>
      <c r="D291" s="105"/>
      <c r="E291" s="105"/>
      <c r="F291" s="72" t="s">
        <v>993</v>
      </c>
      <c r="G291" s="73">
        <f>G292+G301</f>
        <v>6086614.8899999997</v>
      </c>
      <c r="H291" s="73">
        <f>H292+H301</f>
        <v>13024786</v>
      </c>
      <c r="I291" s="73">
        <f>I292+I301</f>
        <v>13082391.83</v>
      </c>
      <c r="J291" s="73">
        <f>J292+J301</f>
        <v>5828493</v>
      </c>
      <c r="K291" s="73">
        <f>K292+K301</f>
        <v>4422224.74</v>
      </c>
      <c r="L291" s="73">
        <f>ROUND(K291/J291*100,2)</f>
        <v>75.87</v>
      </c>
      <c r="M291" s="73">
        <f>N291-J291</f>
        <v>-902847.66999999993</v>
      </c>
      <c r="N291" s="73">
        <f>N292+N301</f>
        <v>4925645.33</v>
      </c>
      <c r="O291" s="73">
        <f>O292+O301</f>
        <v>2244015</v>
      </c>
      <c r="P291" s="73">
        <f>P292+P301</f>
        <v>1446944.88</v>
      </c>
      <c r="Q291" s="397">
        <f t="shared" ref="Q291:Q305" si="113">U291-O291</f>
        <v>-619015</v>
      </c>
      <c r="R291" s="73">
        <f t="shared" ref="R291:X291" si="114">R292+R301</f>
        <v>2220983</v>
      </c>
      <c r="S291" s="73">
        <f t="shared" si="114"/>
        <v>902000</v>
      </c>
      <c r="T291" s="73">
        <f t="shared" si="114"/>
        <v>700000</v>
      </c>
      <c r="U291" s="355">
        <f t="shared" si="114"/>
        <v>1625000</v>
      </c>
      <c r="V291" s="355">
        <f t="shared" si="114"/>
        <v>1075000</v>
      </c>
      <c r="W291" s="355">
        <f t="shared" si="114"/>
        <v>1075000</v>
      </c>
      <c r="X291" s="355">
        <f t="shared" si="114"/>
        <v>610000</v>
      </c>
      <c r="Y291" s="355">
        <f>Y292</f>
        <v>385603.16000000003</v>
      </c>
      <c r="Z291" s="611">
        <f t="shared" si="105"/>
        <v>35.869999999999997</v>
      </c>
      <c r="AA291" s="611">
        <f t="shared" si="106"/>
        <v>-90000</v>
      </c>
      <c r="AB291" s="355">
        <f>AB292+AB301</f>
        <v>985000</v>
      </c>
      <c r="AC291" s="60"/>
      <c r="AD291" s="60"/>
      <c r="AE291" s="60"/>
      <c r="AF291" s="298"/>
      <c r="AG291" s="298"/>
      <c r="AH291" s="298"/>
      <c r="AI291" s="298"/>
      <c r="AJ291" s="298"/>
      <c r="AK291" s="298"/>
      <c r="AL291" s="298"/>
      <c r="AM291" s="298"/>
      <c r="AN291" s="298"/>
      <c r="AO291" s="298"/>
      <c r="AP291" s="298"/>
      <c r="AQ291" s="298"/>
    </row>
    <row r="292" spans="1:43" s="107" customFormat="1" ht="36" customHeight="1" x14ac:dyDescent="0.25">
      <c r="A292" s="74"/>
      <c r="B292" s="74"/>
      <c r="C292" s="74" t="s">
        <v>994</v>
      </c>
      <c r="D292" s="74"/>
      <c r="E292" s="74"/>
      <c r="F292" s="75" t="s">
        <v>995</v>
      </c>
      <c r="G292" s="76">
        <f>G295+G293</f>
        <v>6086614.8899999997</v>
      </c>
      <c r="H292" s="76">
        <f>H295+H293</f>
        <v>2074786</v>
      </c>
      <c r="I292" s="76">
        <f>I295+I293</f>
        <v>2257283.56</v>
      </c>
      <c r="J292" s="76">
        <f>J295</f>
        <v>1778493</v>
      </c>
      <c r="K292" s="76">
        <f>K295</f>
        <v>709407.49</v>
      </c>
      <c r="L292" s="76">
        <f>ROUND(K292/J292*100,2)</f>
        <v>39.89</v>
      </c>
      <c r="M292" s="76">
        <f>N292-J292</f>
        <v>-707336.6100000001</v>
      </c>
      <c r="N292" s="76">
        <f>N295+N293</f>
        <v>1071156.3899999999</v>
      </c>
      <c r="O292" s="76">
        <f>O295+O293</f>
        <v>2244015</v>
      </c>
      <c r="P292" s="76">
        <f>P295+P293</f>
        <v>1446944.88</v>
      </c>
      <c r="Q292" s="398">
        <f t="shared" si="113"/>
        <v>-619015</v>
      </c>
      <c r="R292" s="76">
        <f t="shared" ref="R292:X292" si="115">R295+R293</f>
        <v>2220983</v>
      </c>
      <c r="S292" s="76">
        <f t="shared" si="115"/>
        <v>902000</v>
      </c>
      <c r="T292" s="76">
        <f t="shared" si="115"/>
        <v>700000</v>
      </c>
      <c r="U292" s="356">
        <f t="shared" si="115"/>
        <v>1625000</v>
      </c>
      <c r="V292" s="356">
        <f t="shared" si="115"/>
        <v>1075000</v>
      </c>
      <c r="W292" s="356">
        <f t="shared" si="115"/>
        <v>1075000</v>
      </c>
      <c r="X292" s="356">
        <f t="shared" si="115"/>
        <v>610000</v>
      </c>
      <c r="Y292" s="356">
        <f>Y293+Y295</f>
        <v>385603.16000000003</v>
      </c>
      <c r="Z292" s="610">
        <f t="shared" si="105"/>
        <v>35.869999999999997</v>
      </c>
      <c r="AA292" s="610">
        <f t="shared" si="106"/>
        <v>-90000</v>
      </c>
      <c r="AB292" s="356">
        <f>AB295+AB293</f>
        <v>985000</v>
      </c>
      <c r="AC292" s="60"/>
      <c r="AD292" s="60"/>
      <c r="AE292" s="60"/>
      <c r="AF292" s="298"/>
      <c r="AG292" s="298"/>
      <c r="AH292" s="298"/>
      <c r="AI292" s="298"/>
      <c r="AJ292" s="298"/>
      <c r="AK292" s="298"/>
      <c r="AL292" s="298"/>
      <c r="AM292" s="298"/>
      <c r="AN292" s="298"/>
      <c r="AO292" s="298"/>
      <c r="AP292" s="298"/>
      <c r="AQ292" s="298"/>
    </row>
    <row r="293" spans="1:43" ht="54" x14ac:dyDescent="0.25">
      <c r="A293" s="79"/>
      <c r="B293" s="80"/>
      <c r="C293" s="80"/>
      <c r="D293" s="80" t="s">
        <v>47</v>
      </c>
      <c r="E293" s="80"/>
      <c r="F293" s="81" t="s">
        <v>49</v>
      </c>
      <c r="G293" s="82">
        <f>G294</f>
        <v>0</v>
      </c>
      <c r="H293" s="82">
        <f>H294</f>
        <v>0</v>
      </c>
      <c r="I293" s="82">
        <f>I294</f>
        <v>0</v>
      </c>
      <c r="J293" s="82"/>
      <c r="K293" s="82"/>
      <c r="L293" s="82"/>
      <c r="M293" s="82"/>
      <c r="N293" s="82">
        <f>N294</f>
        <v>0</v>
      </c>
      <c r="O293" s="82">
        <f>O294</f>
        <v>1884032</v>
      </c>
      <c r="P293" s="82">
        <f>P294</f>
        <v>1261544.51</v>
      </c>
      <c r="Q293" s="389">
        <f t="shared" si="113"/>
        <v>-534032</v>
      </c>
      <c r="R293" s="82">
        <f t="shared" ref="R293:X293" si="116">R294</f>
        <v>1261000</v>
      </c>
      <c r="S293" s="82">
        <f t="shared" si="116"/>
        <v>350000</v>
      </c>
      <c r="T293" s="82">
        <f t="shared" si="116"/>
        <v>300000</v>
      </c>
      <c r="U293" s="357">
        <f t="shared" si="116"/>
        <v>1350000</v>
      </c>
      <c r="V293" s="357">
        <f t="shared" si="116"/>
        <v>700000</v>
      </c>
      <c r="W293" s="357">
        <f t="shared" si="116"/>
        <v>700000</v>
      </c>
      <c r="X293" s="357">
        <f t="shared" si="116"/>
        <v>400000</v>
      </c>
      <c r="Y293" s="357">
        <f>Y294</f>
        <v>322594.03000000003</v>
      </c>
      <c r="Z293" s="614">
        <f t="shared" si="105"/>
        <v>46.08</v>
      </c>
      <c r="AA293" s="614">
        <f t="shared" si="106"/>
        <v>0</v>
      </c>
      <c r="AB293" s="357">
        <f>AB294</f>
        <v>700000</v>
      </c>
      <c r="AF293" s="298"/>
      <c r="AG293" s="298"/>
      <c r="AH293" s="298"/>
      <c r="AI293" s="298"/>
      <c r="AJ293" s="298"/>
      <c r="AK293" s="298"/>
      <c r="AL293" s="298"/>
      <c r="AM293" s="298"/>
      <c r="AN293" s="298"/>
      <c r="AO293" s="298"/>
      <c r="AP293" s="298"/>
      <c r="AQ293" s="298"/>
    </row>
    <row r="294" spans="1:43" ht="39" customHeight="1" x14ac:dyDescent="0.25">
      <c r="A294" s="80"/>
      <c r="B294" s="80"/>
      <c r="C294" s="80"/>
      <c r="D294" s="80"/>
      <c r="E294" s="80" t="s">
        <v>48</v>
      </c>
      <c r="F294" s="81" t="s">
        <v>354</v>
      </c>
      <c r="G294" s="82"/>
      <c r="H294" s="82"/>
      <c r="I294" s="82">
        <v>0</v>
      </c>
      <c r="J294" s="82"/>
      <c r="K294" s="82"/>
      <c r="L294" s="82"/>
      <c r="M294" s="82"/>
      <c r="N294" s="82">
        <v>0</v>
      </c>
      <c r="O294" s="82">
        <v>1884032</v>
      </c>
      <c r="P294" s="82">
        <v>1261544.51</v>
      </c>
      <c r="Q294" s="389">
        <f t="shared" si="113"/>
        <v>-534032</v>
      </c>
      <c r="R294" s="82">
        <f>1341000-80000</f>
        <v>1261000</v>
      </c>
      <c r="S294" s="82">
        <v>350000</v>
      </c>
      <c r="T294" s="82">
        <v>300000</v>
      </c>
      <c r="U294" s="357">
        <f>1300000+50000</f>
        <v>1350000</v>
      </c>
      <c r="V294" s="357">
        <v>700000</v>
      </c>
      <c r="W294" s="357">
        <v>700000</v>
      </c>
      <c r="X294" s="357">
        <v>400000</v>
      </c>
      <c r="Y294" s="357">
        <v>322594.03000000003</v>
      </c>
      <c r="Z294" s="614">
        <f t="shared" si="105"/>
        <v>46.08</v>
      </c>
      <c r="AA294" s="614">
        <f t="shared" si="106"/>
        <v>0</v>
      </c>
      <c r="AB294" s="357">
        <v>700000</v>
      </c>
      <c r="AF294" s="298"/>
      <c r="AG294" s="298"/>
      <c r="AH294" s="298"/>
      <c r="AI294" s="298"/>
      <c r="AJ294" s="298"/>
      <c r="AK294" s="298"/>
      <c r="AL294" s="298"/>
      <c r="AM294" s="298"/>
      <c r="AN294" s="298"/>
      <c r="AO294" s="298"/>
      <c r="AP294" s="298"/>
      <c r="AQ294" s="298"/>
    </row>
    <row r="295" spans="1:43" ht="40.5" customHeight="1" x14ac:dyDescent="0.25">
      <c r="A295" s="79" t="s">
        <v>746</v>
      </c>
      <c r="B295" s="80"/>
      <c r="C295" s="80"/>
      <c r="D295" s="80" t="s">
        <v>996</v>
      </c>
      <c r="E295" s="80"/>
      <c r="F295" s="81" t="s">
        <v>997</v>
      </c>
      <c r="G295" s="82">
        <f>G296</f>
        <v>6086614.8899999997</v>
      </c>
      <c r="H295" s="82">
        <f>H296</f>
        <v>2074786</v>
      </c>
      <c r="I295" s="82">
        <f>I296</f>
        <v>2257283.56</v>
      </c>
      <c r="J295" s="82">
        <f>J296+J297</f>
        <v>1778493</v>
      </c>
      <c r="K295" s="82">
        <f>K296+K297</f>
        <v>709407.49</v>
      </c>
      <c r="L295" s="82">
        <f t="shared" ref="L295:L305" si="117">ROUND(K295/J295*100,2)</f>
        <v>39.89</v>
      </c>
      <c r="M295" s="82">
        <f t="shared" ref="M295:M305" si="118">N295-J295</f>
        <v>-707336.6100000001</v>
      </c>
      <c r="N295" s="82">
        <f>N296+N297</f>
        <v>1071156.3899999999</v>
      </c>
      <c r="O295" s="82">
        <f>O296+O297</f>
        <v>359983</v>
      </c>
      <c r="P295" s="82">
        <f>P296+P297</f>
        <v>185400.37</v>
      </c>
      <c r="Q295" s="389">
        <f t="shared" si="113"/>
        <v>-84983</v>
      </c>
      <c r="R295" s="82">
        <f t="shared" ref="R295:X295" si="119">R296+R297</f>
        <v>959983</v>
      </c>
      <c r="S295" s="82">
        <f t="shared" si="119"/>
        <v>552000</v>
      </c>
      <c r="T295" s="82">
        <f t="shared" si="119"/>
        <v>400000</v>
      </c>
      <c r="U295" s="357">
        <f t="shared" si="119"/>
        <v>275000</v>
      </c>
      <c r="V295" s="357">
        <f t="shared" si="119"/>
        <v>375000</v>
      </c>
      <c r="W295" s="357">
        <f t="shared" si="119"/>
        <v>375000</v>
      </c>
      <c r="X295" s="357">
        <f t="shared" si="119"/>
        <v>210000</v>
      </c>
      <c r="Y295" s="357">
        <f>Y296+Y297</f>
        <v>63009.13</v>
      </c>
      <c r="Z295" s="614">
        <f t="shared" si="105"/>
        <v>16.8</v>
      </c>
      <c r="AA295" s="614">
        <f t="shared" si="106"/>
        <v>-90000</v>
      </c>
      <c r="AB295" s="357">
        <f>AB296+AB297</f>
        <v>285000</v>
      </c>
      <c r="AF295" s="298"/>
      <c r="AG295" s="298"/>
      <c r="AH295" s="298"/>
      <c r="AI295" s="298"/>
      <c r="AJ295" s="298"/>
      <c r="AK295" s="298"/>
      <c r="AL295" s="298"/>
      <c r="AM295" s="298"/>
      <c r="AN295" s="298"/>
      <c r="AO295" s="298"/>
      <c r="AP295" s="298"/>
      <c r="AQ295" s="298"/>
    </row>
    <row r="296" spans="1:43" ht="36" customHeight="1" x14ac:dyDescent="0.25">
      <c r="A296" s="80"/>
      <c r="B296" s="80"/>
      <c r="C296" s="80"/>
      <c r="D296" s="80"/>
      <c r="E296" s="80" t="s">
        <v>998</v>
      </c>
      <c r="F296" s="81" t="s">
        <v>999</v>
      </c>
      <c r="G296" s="82">
        <v>6086614.8899999997</v>
      </c>
      <c r="H296" s="82">
        <f>1807786+187000+80000</f>
        <v>2074786</v>
      </c>
      <c r="I296" s="82">
        <v>2257283.56</v>
      </c>
      <c r="J296" s="82">
        <f>1188793+761000+9000-149300-31000</f>
        <v>1778493</v>
      </c>
      <c r="K296" s="82">
        <v>494409.85</v>
      </c>
      <c r="L296" s="82">
        <f t="shared" si="117"/>
        <v>27.8</v>
      </c>
      <c r="M296" s="82">
        <f t="shared" si="118"/>
        <v>-961921.41</v>
      </c>
      <c r="N296" s="82">
        <v>816571.59</v>
      </c>
      <c r="O296" s="82">
        <v>100000</v>
      </c>
      <c r="P296" s="82">
        <v>43353.79</v>
      </c>
      <c r="Q296" s="389">
        <f t="shared" si="113"/>
        <v>-45000</v>
      </c>
      <c r="R296" s="82">
        <f>200000+1000000-500000</f>
        <v>700000</v>
      </c>
      <c r="S296" s="82">
        <f>600000+92000-350000</f>
        <v>342000</v>
      </c>
      <c r="T296" s="82">
        <f>500000-300000</f>
        <v>200000</v>
      </c>
      <c r="U296" s="357">
        <f>45000+10000</f>
        <v>55000</v>
      </c>
      <c r="V296" s="357">
        <v>65000</v>
      </c>
      <c r="W296" s="357">
        <v>65000</v>
      </c>
      <c r="X296" s="357">
        <v>60000</v>
      </c>
      <c r="Y296" s="357">
        <v>0</v>
      </c>
      <c r="Z296" s="614">
        <f t="shared" si="105"/>
        <v>0</v>
      </c>
      <c r="AA296" s="614">
        <f t="shared" si="106"/>
        <v>0</v>
      </c>
      <c r="AB296" s="357">
        <v>65000</v>
      </c>
      <c r="AF296" s="298"/>
      <c r="AG296" s="298"/>
      <c r="AH296" s="298"/>
      <c r="AI296" s="298"/>
      <c r="AJ296" s="298"/>
      <c r="AK296" s="298"/>
      <c r="AL296" s="298"/>
      <c r="AM296" s="298"/>
      <c r="AN296" s="298"/>
      <c r="AO296" s="298"/>
      <c r="AP296" s="298"/>
      <c r="AQ296" s="298"/>
    </row>
    <row r="297" spans="1:43" ht="19.5" customHeight="1" x14ac:dyDescent="0.25">
      <c r="A297" s="80"/>
      <c r="B297" s="80"/>
      <c r="C297" s="80"/>
      <c r="D297" s="80"/>
      <c r="E297" s="80" t="s">
        <v>1000</v>
      </c>
      <c r="F297" s="81" t="s">
        <v>1001</v>
      </c>
      <c r="G297" s="82">
        <v>0</v>
      </c>
      <c r="H297" s="82"/>
      <c r="I297" s="82">
        <v>0</v>
      </c>
      <c r="J297" s="82">
        <v>0</v>
      </c>
      <c r="K297" s="82">
        <v>214997.64</v>
      </c>
      <c r="L297" s="82" t="e">
        <f t="shared" si="117"/>
        <v>#DIV/0!</v>
      </c>
      <c r="M297" s="82">
        <f t="shared" si="118"/>
        <v>254584.8</v>
      </c>
      <c r="N297" s="82">
        <v>254584.8</v>
      </c>
      <c r="O297" s="82">
        <f>220000+13000+10000+16983</f>
        <v>259983</v>
      </c>
      <c r="P297" s="82">
        <v>142046.57999999999</v>
      </c>
      <c r="Q297" s="389">
        <f t="shared" si="113"/>
        <v>-39983</v>
      </c>
      <c r="R297" s="82">
        <f>220000+13000+10000+16983</f>
        <v>259983</v>
      </c>
      <c r="S297" s="82">
        <v>210000</v>
      </c>
      <c r="T297" s="82">
        <v>200000</v>
      </c>
      <c r="U297" s="357">
        <f>150000+70000</f>
        <v>220000</v>
      </c>
      <c r="V297" s="357">
        <v>310000</v>
      </c>
      <c r="W297" s="357">
        <v>310000</v>
      </c>
      <c r="X297" s="357">
        <v>150000</v>
      </c>
      <c r="Y297" s="357">
        <v>63009.13</v>
      </c>
      <c r="Z297" s="614">
        <f t="shared" si="105"/>
        <v>20.329999999999998</v>
      </c>
      <c r="AA297" s="614">
        <f t="shared" si="106"/>
        <v>-90000</v>
      </c>
      <c r="AB297" s="357">
        <v>220000</v>
      </c>
      <c r="AF297" s="298"/>
      <c r="AG297" s="298"/>
      <c r="AH297" s="298"/>
      <c r="AI297" s="298"/>
      <c r="AJ297" s="298"/>
      <c r="AK297" s="298"/>
      <c r="AL297" s="298"/>
      <c r="AM297" s="298"/>
      <c r="AN297" s="298"/>
      <c r="AO297" s="298"/>
      <c r="AP297" s="298"/>
      <c r="AQ297" s="298"/>
    </row>
    <row r="298" spans="1:43" s="107" customFormat="1" ht="33" hidden="1" customHeight="1" x14ac:dyDescent="0.25">
      <c r="A298" s="115"/>
      <c r="B298" s="115"/>
      <c r="C298" s="116" t="s">
        <v>1002</v>
      </c>
      <c r="D298" s="115"/>
      <c r="E298" s="115"/>
      <c r="F298" s="117" t="s">
        <v>1003</v>
      </c>
      <c r="G298" s="118"/>
      <c r="H298" s="118"/>
      <c r="I298" s="118"/>
      <c r="J298" s="118"/>
      <c r="K298" s="118"/>
      <c r="L298" s="118" t="e">
        <f t="shared" si="117"/>
        <v>#DIV/0!</v>
      </c>
      <c r="M298" s="118">
        <f t="shared" si="118"/>
        <v>0</v>
      </c>
      <c r="N298" s="118"/>
      <c r="O298" s="118"/>
      <c r="P298" s="118"/>
      <c r="Q298" s="389">
        <f t="shared" si="113"/>
        <v>0</v>
      </c>
      <c r="R298" s="118"/>
      <c r="S298" s="118"/>
      <c r="T298" s="118"/>
      <c r="U298" s="365"/>
      <c r="V298" s="367"/>
      <c r="W298" s="367"/>
      <c r="X298" s="367"/>
      <c r="Y298" s="367"/>
      <c r="Z298" s="590" t="e">
        <f t="shared" si="105"/>
        <v>#DIV/0!</v>
      </c>
      <c r="AA298" s="590">
        <f t="shared" si="106"/>
        <v>0</v>
      </c>
      <c r="AB298" s="367"/>
      <c r="AC298" s="60"/>
      <c r="AD298" s="60"/>
      <c r="AE298" s="60"/>
      <c r="AF298" s="298"/>
      <c r="AG298" s="298"/>
      <c r="AH298" s="298"/>
      <c r="AI298" s="298"/>
      <c r="AJ298" s="298"/>
      <c r="AK298" s="298"/>
      <c r="AL298" s="298"/>
      <c r="AM298" s="298"/>
      <c r="AN298" s="298"/>
      <c r="AO298" s="298"/>
      <c r="AP298" s="298"/>
      <c r="AQ298" s="298"/>
    </row>
    <row r="299" spans="1:43" ht="38.25" hidden="1" customHeight="1" x14ac:dyDescent="0.25">
      <c r="A299" s="80"/>
      <c r="B299" s="80"/>
      <c r="C299" s="119"/>
      <c r="D299" s="80" t="s">
        <v>1004</v>
      </c>
      <c r="E299" s="80"/>
      <c r="F299" s="120" t="s">
        <v>1005</v>
      </c>
      <c r="G299" s="82"/>
      <c r="H299" s="82"/>
      <c r="I299" s="82"/>
      <c r="J299" s="82"/>
      <c r="K299" s="82"/>
      <c r="L299" s="82" t="e">
        <f t="shared" si="117"/>
        <v>#DIV/0!</v>
      </c>
      <c r="M299" s="82">
        <f t="shared" si="118"/>
        <v>0</v>
      </c>
      <c r="N299" s="82"/>
      <c r="O299" s="82"/>
      <c r="P299" s="82"/>
      <c r="Q299" s="389">
        <f t="shared" si="113"/>
        <v>0</v>
      </c>
      <c r="R299" s="82"/>
      <c r="S299" s="82"/>
      <c r="T299" s="82"/>
      <c r="U299" s="357"/>
      <c r="V299" s="361"/>
      <c r="W299" s="361"/>
      <c r="X299" s="361"/>
      <c r="Y299" s="361"/>
      <c r="Z299" s="590" t="e">
        <f t="shared" si="105"/>
        <v>#DIV/0!</v>
      </c>
      <c r="AA299" s="590">
        <f t="shared" si="106"/>
        <v>0</v>
      </c>
      <c r="AB299" s="361"/>
      <c r="AF299" s="298"/>
      <c r="AG299" s="298"/>
      <c r="AH299" s="298"/>
      <c r="AI299" s="298"/>
      <c r="AJ299" s="298"/>
      <c r="AK299" s="298"/>
      <c r="AL299" s="298"/>
      <c r="AM299" s="298"/>
      <c r="AN299" s="298"/>
      <c r="AO299" s="298"/>
      <c r="AP299" s="298"/>
      <c r="AQ299" s="298"/>
    </row>
    <row r="300" spans="1:43" ht="33" hidden="1" customHeight="1" x14ac:dyDescent="0.25">
      <c r="A300" s="80"/>
      <c r="B300" s="80"/>
      <c r="C300" s="119"/>
      <c r="D300" s="80"/>
      <c r="E300" s="80" t="s">
        <v>1006</v>
      </c>
      <c r="F300" s="120" t="s">
        <v>1008</v>
      </c>
      <c r="G300" s="82"/>
      <c r="H300" s="82"/>
      <c r="I300" s="82"/>
      <c r="J300" s="82"/>
      <c r="K300" s="82"/>
      <c r="L300" s="82" t="e">
        <f t="shared" si="117"/>
        <v>#DIV/0!</v>
      </c>
      <c r="M300" s="82">
        <f t="shared" si="118"/>
        <v>0</v>
      </c>
      <c r="N300" s="82"/>
      <c r="O300" s="82"/>
      <c r="P300" s="82"/>
      <c r="Q300" s="389">
        <f t="shared" si="113"/>
        <v>0</v>
      </c>
      <c r="R300" s="82"/>
      <c r="S300" s="82"/>
      <c r="T300" s="82"/>
      <c r="U300" s="357"/>
      <c r="V300" s="361"/>
      <c r="W300" s="361"/>
      <c r="X300" s="361"/>
      <c r="Y300" s="361"/>
      <c r="Z300" s="590" t="e">
        <f t="shared" si="105"/>
        <v>#DIV/0!</v>
      </c>
      <c r="AA300" s="590">
        <f t="shared" si="106"/>
        <v>0</v>
      </c>
      <c r="AB300" s="361"/>
      <c r="AF300" s="298"/>
      <c r="AG300" s="298"/>
      <c r="AH300" s="298"/>
      <c r="AI300" s="298"/>
      <c r="AJ300" s="298"/>
      <c r="AK300" s="298"/>
      <c r="AL300" s="298"/>
      <c r="AM300" s="298"/>
      <c r="AN300" s="298"/>
      <c r="AO300" s="298"/>
      <c r="AP300" s="298"/>
      <c r="AQ300" s="298"/>
    </row>
    <row r="301" spans="1:43" s="107" customFormat="1" ht="21" hidden="1" customHeight="1" x14ac:dyDescent="0.25">
      <c r="A301" s="74"/>
      <c r="B301" s="74"/>
      <c r="C301" s="74" t="s">
        <v>1009</v>
      </c>
      <c r="D301" s="74"/>
      <c r="E301" s="74"/>
      <c r="F301" s="117" t="s">
        <v>1010</v>
      </c>
      <c r="G301" s="76">
        <f>G302+G304</f>
        <v>0</v>
      </c>
      <c r="H301" s="76">
        <f>H302</f>
        <v>10950000</v>
      </c>
      <c r="I301" s="76">
        <f>I302+I304</f>
        <v>10825108.27</v>
      </c>
      <c r="J301" s="76">
        <f>J302+J304</f>
        <v>4050000</v>
      </c>
      <c r="K301" s="76">
        <f>K302+K304</f>
        <v>3712817.25</v>
      </c>
      <c r="L301" s="76">
        <f t="shared" si="117"/>
        <v>91.67</v>
      </c>
      <c r="M301" s="76">
        <f t="shared" si="118"/>
        <v>-195511.06000000006</v>
      </c>
      <c r="N301" s="76">
        <f>N302+N304</f>
        <v>3854488.94</v>
      </c>
      <c r="O301" s="76">
        <f>O302+O304</f>
        <v>0</v>
      </c>
      <c r="P301" s="76">
        <f>P302+P304</f>
        <v>0</v>
      </c>
      <c r="Q301" s="398">
        <f t="shared" si="113"/>
        <v>0</v>
      </c>
      <c r="R301" s="76">
        <f t="shared" ref="R301:X301" si="120">R302+R304</f>
        <v>0</v>
      </c>
      <c r="S301" s="76">
        <f t="shared" si="120"/>
        <v>0</v>
      </c>
      <c r="T301" s="76">
        <f t="shared" si="120"/>
        <v>0</v>
      </c>
      <c r="U301" s="356">
        <f t="shared" si="120"/>
        <v>0</v>
      </c>
      <c r="V301" s="356">
        <f t="shared" si="120"/>
        <v>0</v>
      </c>
      <c r="W301" s="356">
        <f t="shared" si="120"/>
        <v>0</v>
      </c>
      <c r="X301" s="356">
        <f t="shared" si="120"/>
        <v>0</v>
      </c>
      <c r="Y301" s="356"/>
      <c r="Z301" s="590" t="e">
        <f t="shared" si="105"/>
        <v>#DIV/0!</v>
      </c>
      <c r="AA301" s="590">
        <f t="shared" si="106"/>
        <v>0</v>
      </c>
      <c r="AB301" s="356">
        <f>AB302+AB304</f>
        <v>0</v>
      </c>
      <c r="AC301" s="60"/>
      <c r="AD301" s="60"/>
      <c r="AE301" s="60"/>
      <c r="AF301" s="298"/>
      <c r="AG301" s="298"/>
      <c r="AH301" s="298"/>
      <c r="AI301" s="298"/>
      <c r="AJ301" s="298"/>
      <c r="AK301" s="298"/>
      <c r="AL301" s="298"/>
      <c r="AM301" s="298"/>
      <c r="AN301" s="298"/>
      <c r="AO301" s="298"/>
      <c r="AP301" s="298"/>
      <c r="AQ301" s="298"/>
    </row>
    <row r="302" spans="1:43" ht="42" hidden="1" customHeight="1" x14ac:dyDescent="0.25">
      <c r="A302" s="80"/>
      <c r="B302" s="80"/>
      <c r="C302" s="80"/>
      <c r="D302" s="80" t="s">
        <v>1011</v>
      </c>
      <c r="E302" s="121"/>
      <c r="F302" s="81" t="s">
        <v>1012</v>
      </c>
      <c r="G302" s="82">
        <f>G303</f>
        <v>0</v>
      </c>
      <c r="H302" s="82">
        <f>H303</f>
        <v>10950000</v>
      </c>
      <c r="I302" s="82">
        <v>0</v>
      </c>
      <c r="J302" s="82">
        <f>J303</f>
        <v>4050000</v>
      </c>
      <c r="K302" s="82">
        <f>K303</f>
        <v>3712817.25</v>
      </c>
      <c r="L302" s="82">
        <f t="shared" si="117"/>
        <v>91.67</v>
      </c>
      <c r="M302" s="82">
        <f t="shared" si="118"/>
        <v>-195511.06000000006</v>
      </c>
      <c r="N302" s="82">
        <f>N303</f>
        <v>3854488.94</v>
      </c>
      <c r="O302" s="82">
        <f>O303</f>
        <v>0</v>
      </c>
      <c r="P302" s="82">
        <f>P303</f>
        <v>0</v>
      </c>
      <c r="Q302" s="389">
        <f t="shared" si="113"/>
        <v>0</v>
      </c>
      <c r="R302" s="82">
        <f t="shared" ref="R302:X302" si="121">R303</f>
        <v>0</v>
      </c>
      <c r="S302" s="82">
        <f t="shared" si="121"/>
        <v>0</v>
      </c>
      <c r="T302" s="82">
        <f t="shared" si="121"/>
        <v>0</v>
      </c>
      <c r="U302" s="357">
        <f t="shared" si="121"/>
        <v>0</v>
      </c>
      <c r="V302" s="357">
        <f t="shared" si="121"/>
        <v>0</v>
      </c>
      <c r="W302" s="357">
        <f t="shared" si="121"/>
        <v>0</v>
      </c>
      <c r="X302" s="357">
        <f t="shared" si="121"/>
        <v>0</v>
      </c>
      <c r="Y302" s="357"/>
      <c r="Z302" s="590" t="e">
        <f t="shared" si="105"/>
        <v>#DIV/0!</v>
      </c>
      <c r="AA302" s="590">
        <f t="shared" si="106"/>
        <v>0</v>
      </c>
      <c r="AB302" s="357">
        <f>AB303</f>
        <v>0</v>
      </c>
      <c r="AF302" s="298"/>
      <c r="AG302" s="298"/>
      <c r="AH302" s="298"/>
      <c r="AI302" s="298"/>
      <c r="AJ302" s="298"/>
      <c r="AK302" s="298"/>
      <c r="AL302" s="298"/>
      <c r="AM302" s="298"/>
      <c r="AN302" s="298"/>
      <c r="AO302" s="298"/>
      <c r="AP302" s="298"/>
      <c r="AQ302" s="298"/>
    </row>
    <row r="303" spans="1:43" ht="36" hidden="1" customHeight="1" x14ac:dyDescent="0.25">
      <c r="A303" s="122"/>
      <c r="B303" s="80"/>
      <c r="C303" s="80"/>
      <c r="D303" s="121"/>
      <c r="E303" s="80" t="s">
        <v>1013</v>
      </c>
      <c r="F303" s="81" t="s">
        <v>355</v>
      </c>
      <c r="G303" s="82">
        <v>0</v>
      </c>
      <c r="H303" s="82">
        <v>10950000</v>
      </c>
      <c r="I303" s="82">
        <v>0</v>
      </c>
      <c r="J303" s="82">
        <v>4050000</v>
      </c>
      <c r="K303" s="82">
        <v>3712817.25</v>
      </c>
      <c r="L303" s="82">
        <f t="shared" si="117"/>
        <v>91.67</v>
      </c>
      <c r="M303" s="82">
        <f t="shared" si="118"/>
        <v>-195511.06000000006</v>
      </c>
      <c r="N303" s="82">
        <v>3854488.94</v>
      </c>
      <c r="O303" s="82">
        <v>0</v>
      </c>
      <c r="P303" s="82">
        <v>0</v>
      </c>
      <c r="Q303" s="389">
        <f t="shared" si="113"/>
        <v>0</v>
      </c>
      <c r="R303" s="82"/>
      <c r="S303" s="82"/>
      <c r="T303" s="82"/>
      <c r="U303" s="357"/>
      <c r="V303" s="357"/>
      <c r="W303" s="357"/>
      <c r="X303" s="357"/>
      <c r="Y303" s="357"/>
      <c r="Z303" s="590" t="e">
        <f t="shared" si="105"/>
        <v>#DIV/0!</v>
      </c>
      <c r="AA303" s="590">
        <f t="shared" si="106"/>
        <v>0</v>
      </c>
      <c r="AB303" s="357"/>
    </row>
    <row r="304" spans="1:43" ht="36.75" hidden="1" customHeight="1" x14ac:dyDescent="0.25">
      <c r="A304" s="80"/>
      <c r="B304" s="80"/>
      <c r="C304" s="80"/>
      <c r="D304" s="80" t="s">
        <v>1014</v>
      </c>
      <c r="E304" s="121"/>
      <c r="F304" s="81" t="s">
        <v>357</v>
      </c>
      <c r="G304" s="82">
        <f>G305</f>
        <v>0</v>
      </c>
      <c r="H304" s="82"/>
      <c r="I304" s="82">
        <f>I305</f>
        <v>10825108.27</v>
      </c>
      <c r="J304" s="82">
        <f>J305</f>
        <v>0</v>
      </c>
      <c r="K304" s="82">
        <f>K305</f>
        <v>0</v>
      </c>
      <c r="L304" s="82" t="e">
        <f t="shared" si="117"/>
        <v>#DIV/0!</v>
      </c>
      <c r="M304" s="82">
        <f t="shared" si="118"/>
        <v>0</v>
      </c>
      <c r="N304" s="82">
        <f>N305</f>
        <v>0</v>
      </c>
      <c r="O304" s="82">
        <f>O305</f>
        <v>0</v>
      </c>
      <c r="P304" s="82">
        <f>P305</f>
        <v>0</v>
      </c>
      <c r="Q304" s="389">
        <f t="shared" si="113"/>
        <v>0</v>
      </c>
      <c r="R304" s="82">
        <f t="shared" ref="R304:X304" si="122">R305</f>
        <v>0</v>
      </c>
      <c r="S304" s="82">
        <f t="shared" si="122"/>
        <v>0</v>
      </c>
      <c r="T304" s="82">
        <f t="shared" si="122"/>
        <v>0</v>
      </c>
      <c r="U304" s="357">
        <f t="shared" si="122"/>
        <v>0</v>
      </c>
      <c r="V304" s="357">
        <f t="shared" si="122"/>
        <v>0</v>
      </c>
      <c r="W304" s="357">
        <f t="shared" si="122"/>
        <v>0</v>
      </c>
      <c r="X304" s="357">
        <f t="shared" si="122"/>
        <v>0</v>
      </c>
      <c r="Y304" s="357"/>
      <c r="Z304" s="590" t="e">
        <f t="shared" si="105"/>
        <v>#DIV/0!</v>
      </c>
      <c r="AA304" s="590">
        <f t="shared" si="106"/>
        <v>0</v>
      </c>
      <c r="AB304" s="357">
        <f>AB305</f>
        <v>0</v>
      </c>
    </row>
    <row r="305" spans="1:40" ht="39.75" hidden="1" customHeight="1" x14ac:dyDescent="0.25">
      <c r="A305" s="122"/>
      <c r="B305" s="80"/>
      <c r="C305" s="80"/>
      <c r="D305" s="121"/>
      <c r="E305" s="80" t="s">
        <v>1015</v>
      </c>
      <c r="F305" s="81" t="s">
        <v>356</v>
      </c>
      <c r="G305" s="82">
        <v>0</v>
      </c>
      <c r="H305" s="82"/>
      <c r="I305" s="82">
        <v>10825108.27</v>
      </c>
      <c r="J305" s="82">
        <v>0</v>
      </c>
      <c r="K305" s="82">
        <v>0</v>
      </c>
      <c r="L305" s="82" t="e">
        <f t="shared" si="117"/>
        <v>#DIV/0!</v>
      </c>
      <c r="M305" s="82">
        <f t="shared" si="118"/>
        <v>0</v>
      </c>
      <c r="N305" s="82"/>
      <c r="O305" s="82"/>
      <c r="P305" s="82"/>
      <c r="Q305" s="399">
        <f t="shared" si="113"/>
        <v>0</v>
      </c>
      <c r="R305" s="82"/>
      <c r="S305" s="82"/>
      <c r="T305" s="82"/>
      <c r="U305" s="357"/>
      <c r="V305" s="357"/>
      <c r="W305" s="357"/>
      <c r="X305" s="357"/>
      <c r="Y305" s="357"/>
      <c r="Z305" s="612" t="e">
        <f t="shared" si="105"/>
        <v>#DIV/0!</v>
      </c>
      <c r="AA305" s="612">
        <f t="shared" si="106"/>
        <v>0</v>
      </c>
      <c r="AB305" s="357"/>
    </row>
    <row r="306" spans="1:40" x14ac:dyDescent="0.25">
      <c r="A306" s="123"/>
      <c r="B306" s="123"/>
      <c r="C306" s="123"/>
      <c r="D306" s="123"/>
      <c r="E306" s="123"/>
      <c r="F306" s="124"/>
      <c r="Q306" s="395"/>
      <c r="Z306" s="613"/>
      <c r="AA306" s="613"/>
    </row>
    <row r="307" spans="1:40" ht="27" customHeight="1" x14ac:dyDescent="0.25">
      <c r="A307" s="108"/>
      <c r="B307" s="108"/>
      <c r="C307" s="108"/>
      <c r="D307" s="108"/>
      <c r="E307" s="108"/>
      <c r="F307" s="58" t="s">
        <v>1031</v>
      </c>
      <c r="G307" s="110"/>
      <c r="H307" s="103"/>
      <c r="I307" s="110"/>
      <c r="J307" s="110"/>
      <c r="K307" s="110"/>
      <c r="L307" s="110"/>
      <c r="M307" s="110"/>
      <c r="N307" s="110"/>
      <c r="O307" s="110"/>
      <c r="P307" s="110"/>
      <c r="Q307" s="396"/>
      <c r="R307" s="110"/>
      <c r="S307" s="110"/>
      <c r="T307" s="110"/>
      <c r="U307" s="361"/>
      <c r="V307" s="361"/>
      <c r="W307" s="361"/>
      <c r="X307" s="361"/>
      <c r="Y307" s="361"/>
      <c r="Z307" s="613"/>
      <c r="AA307" s="613"/>
      <c r="AB307" s="361"/>
      <c r="AF307" s="60"/>
      <c r="AG307" s="60"/>
      <c r="AH307" s="60"/>
      <c r="AI307" s="60"/>
      <c r="AJ307" s="60"/>
      <c r="AK307" s="60"/>
      <c r="AL307" s="60"/>
      <c r="AM307" s="60"/>
      <c r="AN307" s="60"/>
    </row>
    <row r="308" spans="1:40" ht="23.25" customHeight="1" x14ac:dyDescent="0.25">
      <c r="A308" s="258"/>
      <c r="B308" s="105" t="str">
        <f>LEFT(E311,1)</f>
        <v>5</v>
      </c>
      <c r="C308" s="105"/>
      <c r="D308" s="105"/>
      <c r="E308" s="105"/>
      <c r="F308" s="72" t="s">
        <v>415</v>
      </c>
      <c r="G308" s="73" t="e">
        <f>G309+G314+G317</f>
        <v>#REF!</v>
      </c>
      <c r="H308" s="73" t="e">
        <f>H309+H314+H317</f>
        <v>#REF!</v>
      </c>
      <c r="I308" s="73" t="e">
        <f>I309+I314+I317</f>
        <v>#REF!</v>
      </c>
      <c r="J308" s="73" t="e">
        <f>J309+J314+J317</f>
        <v>#REF!</v>
      </c>
      <c r="K308" s="73" t="e">
        <f>K309+K314+K317</f>
        <v>#REF!</v>
      </c>
      <c r="L308" s="73" t="e">
        <f t="shared" ref="L308:L320" si="123">ROUND(K308/J308*100,2)</f>
        <v>#REF!</v>
      </c>
      <c r="M308" s="73" t="e">
        <f t="shared" ref="M308:M320" si="124">N308-J308</f>
        <v>#REF!</v>
      </c>
      <c r="N308" s="73" t="e">
        <f>N309+N314+N317</f>
        <v>#REF!</v>
      </c>
      <c r="O308" s="73" t="e">
        <f>O309+O314+O317</f>
        <v>#REF!</v>
      </c>
      <c r="P308" s="73" t="e">
        <f>P309+P314+P317</f>
        <v>#REF!</v>
      </c>
      <c r="Q308" s="397" t="e">
        <f t="shared" ref="Q308:Q320" si="125">U308-O308</f>
        <v>#REF!</v>
      </c>
      <c r="R308" s="76" t="e">
        <f t="shared" ref="R308:X308" si="126">R309+R314+R317</f>
        <v>#REF!</v>
      </c>
      <c r="S308" s="76" t="e">
        <f t="shared" si="126"/>
        <v>#REF!</v>
      </c>
      <c r="T308" s="76" t="e">
        <f t="shared" si="126"/>
        <v>#REF!</v>
      </c>
      <c r="U308" s="355" t="e">
        <f t="shared" si="126"/>
        <v>#REF!</v>
      </c>
      <c r="V308" s="355" t="e">
        <f t="shared" si="126"/>
        <v>#REF!</v>
      </c>
      <c r="W308" s="355" t="e">
        <f t="shared" si="126"/>
        <v>#REF!</v>
      </c>
      <c r="X308" s="355" t="e">
        <f t="shared" si="126"/>
        <v>#REF!</v>
      </c>
      <c r="Y308" s="355">
        <f>Y309+Y317</f>
        <v>2384789.79</v>
      </c>
      <c r="Z308" s="611" t="e">
        <f t="shared" si="105"/>
        <v>#REF!</v>
      </c>
      <c r="AA308" s="611" t="e">
        <f t="shared" si="106"/>
        <v>#REF!</v>
      </c>
      <c r="AB308" s="355" t="e">
        <f>AB309+AB314+AB317</f>
        <v>#REF!</v>
      </c>
      <c r="AF308" s="60"/>
      <c r="AG308" s="60"/>
      <c r="AH308" s="60"/>
      <c r="AI308" s="60"/>
      <c r="AJ308" s="60"/>
      <c r="AK308" s="60"/>
      <c r="AL308" s="60"/>
      <c r="AM308" s="60"/>
      <c r="AN308" s="60"/>
    </row>
    <row r="309" spans="1:40" ht="21.75" customHeight="1" x14ac:dyDescent="0.25">
      <c r="A309" s="125"/>
      <c r="B309" s="74"/>
      <c r="C309" s="74" t="str">
        <f>LEFT(E311,2)</f>
        <v>51</v>
      </c>
      <c r="D309" s="74"/>
      <c r="E309" s="74"/>
      <c r="F309" s="75" t="s">
        <v>750</v>
      </c>
      <c r="G309" s="118" t="e">
        <f>G310+G312</f>
        <v>#REF!</v>
      </c>
      <c r="H309" s="118" t="e">
        <f>H310+H312</f>
        <v>#REF!</v>
      </c>
      <c r="I309" s="118" t="e">
        <f>I310+I312</f>
        <v>#REF!</v>
      </c>
      <c r="J309" s="118" t="e">
        <f>J310+J312</f>
        <v>#REF!</v>
      </c>
      <c r="K309" s="118" t="e">
        <f>K310+K312</f>
        <v>#REF!</v>
      </c>
      <c r="L309" s="118" t="e">
        <f t="shared" si="123"/>
        <v>#REF!</v>
      </c>
      <c r="M309" s="118" t="e">
        <f t="shared" si="124"/>
        <v>#REF!</v>
      </c>
      <c r="N309" s="118" t="e">
        <f>N310+N312</f>
        <v>#REF!</v>
      </c>
      <c r="O309" s="118" t="e">
        <f>O310+O312</f>
        <v>#REF!</v>
      </c>
      <c r="P309" s="118" t="e">
        <f>P310+P312</f>
        <v>#REF!</v>
      </c>
      <c r="Q309" s="398" t="e">
        <f t="shared" si="125"/>
        <v>#REF!</v>
      </c>
      <c r="R309" s="118" t="e">
        <f t="shared" ref="R309:X309" si="127">R310+R312</f>
        <v>#REF!</v>
      </c>
      <c r="S309" s="118" t="e">
        <f t="shared" si="127"/>
        <v>#REF!</v>
      </c>
      <c r="T309" s="118" t="e">
        <f t="shared" si="127"/>
        <v>#REF!</v>
      </c>
      <c r="U309" s="365" t="e">
        <f t="shared" si="127"/>
        <v>#REF!</v>
      </c>
      <c r="V309" s="365" t="e">
        <f t="shared" si="127"/>
        <v>#REF!</v>
      </c>
      <c r="W309" s="365" t="e">
        <f t="shared" si="127"/>
        <v>#REF!</v>
      </c>
      <c r="X309" s="365" t="e">
        <f t="shared" si="127"/>
        <v>#REF!</v>
      </c>
      <c r="Y309" s="365">
        <f>Y310</f>
        <v>0</v>
      </c>
      <c r="Z309" s="617" t="e">
        <f t="shared" si="105"/>
        <v>#REF!</v>
      </c>
      <c r="AA309" s="617" t="e">
        <f t="shared" si="106"/>
        <v>#REF!</v>
      </c>
      <c r="AB309" s="365" t="e">
        <f>AB310+AB312</f>
        <v>#REF!</v>
      </c>
      <c r="AF309" s="60"/>
      <c r="AG309" s="60"/>
      <c r="AH309" s="60"/>
      <c r="AI309" s="60"/>
      <c r="AJ309" s="60"/>
      <c r="AK309" s="60"/>
      <c r="AL309" s="60"/>
      <c r="AM309" s="60"/>
      <c r="AN309" s="60"/>
    </row>
    <row r="310" spans="1:40" ht="42" customHeight="1" x14ac:dyDescent="0.25">
      <c r="A310" s="80"/>
      <c r="B310" s="80"/>
      <c r="C310" s="80"/>
      <c r="D310" s="80" t="str">
        <f>LEFT(E311,3)</f>
        <v>512</v>
      </c>
      <c r="E310" s="80"/>
      <c r="F310" s="81" t="s">
        <v>485</v>
      </c>
      <c r="G310" s="82" t="e">
        <f>G311</f>
        <v>#REF!</v>
      </c>
      <c r="H310" s="82" t="e">
        <f>H311</f>
        <v>#REF!</v>
      </c>
      <c r="I310" s="82" t="e">
        <f>I311</f>
        <v>#REF!</v>
      </c>
      <c r="J310" s="82" t="e">
        <f>J311</f>
        <v>#REF!</v>
      </c>
      <c r="K310" s="82" t="e">
        <f>K311</f>
        <v>#REF!</v>
      </c>
      <c r="L310" s="82" t="e">
        <f t="shared" si="123"/>
        <v>#REF!</v>
      </c>
      <c r="M310" s="82" t="e">
        <f t="shared" si="124"/>
        <v>#REF!</v>
      </c>
      <c r="N310" s="82" t="e">
        <f>N311</f>
        <v>#REF!</v>
      </c>
      <c r="O310" s="82" t="e">
        <f>O311</f>
        <v>#REF!</v>
      </c>
      <c r="P310" s="82" t="e">
        <f>P311</f>
        <v>#REF!</v>
      </c>
      <c r="Q310" s="389" t="e">
        <f t="shared" si="125"/>
        <v>#REF!</v>
      </c>
      <c r="R310" s="82" t="e">
        <f t="shared" ref="R310:X310" si="128">R311</f>
        <v>#REF!</v>
      </c>
      <c r="S310" s="82" t="e">
        <f t="shared" si="128"/>
        <v>#REF!</v>
      </c>
      <c r="T310" s="82" t="e">
        <f t="shared" si="128"/>
        <v>#REF!</v>
      </c>
      <c r="U310" s="357" t="e">
        <f t="shared" si="128"/>
        <v>#REF!</v>
      </c>
      <c r="V310" s="357" t="e">
        <f t="shared" si="128"/>
        <v>#REF!</v>
      </c>
      <c r="W310" s="357" t="e">
        <f t="shared" si="128"/>
        <v>#REF!</v>
      </c>
      <c r="X310" s="357" t="e">
        <f t="shared" si="128"/>
        <v>#REF!</v>
      </c>
      <c r="Y310" s="357">
        <f>Y311</f>
        <v>0</v>
      </c>
      <c r="Z310" s="614" t="e">
        <f t="shared" si="105"/>
        <v>#REF!</v>
      </c>
      <c r="AA310" s="614" t="e">
        <f t="shared" si="106"/>
        <v>#REF!</v>
      </c>
      <c r="AB310" s="357" t="e">
        <f>AB311</f>
        <v>#REF!</v>
      </c>
      <c r="AF310" s="60"/>
      <c r="AG310" s="60"/>
      <c r="AH310" s="60"/>
      <c r="AI310" s="60"/>
      <c r="AJ310" s="60"/>
      <c r="AK310" s="60"/>
      <c r="AL310" s="60"/>
      <c r="AM310" s="60"/>
      <c r="AN310" s="60"/>
    </row>
    <row r="311" spans="1:40" s="139" customFormat="1" ht="41.25" customHeight="1" x14ac:dyDescent="0.25">
      <c r="A311" s="80"/>
      <c r="B311" s="80"/>
      <c r="C311" s="80"/>
      <c r="D311" s="80"/>
      <c r="E311" s="80">
        <v>5121</v>
      </c>
      <c r="F311" s="81" t="s">
        <v>1032</v>
      </c>
      <c r="G311" s="82" t="e">
        <f>SUMIF(#REF!,'BILANCA PO IZVORIMA'!E311,#REF!)</f>
        <v>#REF!</v>
      </c>
      <c r="H311" s="82" t="e">
        <f>SUMIF(#REF!,'BILANCA PO IZVORIMA'!$E311,#REF!)</f>
        <v>#REF!</v>
      </c>
      <c r="I311" s="82" t="e">
        <f>SUMIF(#REF!,'BILANCA PO IZVORIMA'!$E311,#REF!)</f>
        <v>#REF!</v>
      </c>
      <c r="J311" s="82" t="e">
        <f>SUMIF(#REF!,'BILANCA PO IZVORIMA'!$E311,#REF!)</f>
        <v>#REF!</v>
      </c>
      <c r="K311" s="82" t="e">
        <f>SUMIF(#REF!,'BILANCA PO IZVORIMA'!$E311,#REF!)</f>
        <v>#REF!</v>
      </c>
      <c r="L311" s="82" t="e">
        <f t="shared" si="123"/>
        <v>#REF!</v>
      </c>
      <c r="M311" s="82" t="e">
        <f t="shared" si="124"/>
        <v>#REF!</v>
      </c>
      <c r="N311" s="82" t="e">
        <f>SUMIF(#REF!,'BILANCA PO IZVORIMA'!$E311,#REF!)</f>
        <v>#REF!</v>
      </c>
      <c r="O311" s="82" t="e">
        <f>SUMIF(#REF!,'BILANCA PO IZVORIMA'!$E311,#REF!)</f>
        <v>#REF!</v>
      </c>
      <c r="P311" s="82" t="e">
        <f>SUMIF(#REF!,'BILANCA PO IZVORIMA'!$E311,#REF!)</f>
        <v>#REF!</v>
      </c>
      <c r="Q311" s="389" t="e">
        <f t="shared" si="125"/>
        <v>#REF!</v>
      </c>
      <c r="R311" s="82" t="e">
        <f>SUMIF(#REF!,'BILANCA PO IZVORIMA'!$E311,#REF!)</f>
        <v>#REF!</v>
      </c>
      <c r="S311" s="82" t="e">
        <f>SUMIF(#REF!,'BILANCA PO IZVORIMA'!$E311,#REF!)</f>
        <v>#REF!</v>
      </c>
      <c r="T311" s="82" t="e">
        <f>SUMIF(#REF!,'BILANCA PO IZVORIMA'!$E$311,#REF!)</f>
        <v>#REF!</v>
      </c>
      <c r="U311" s="82" t="e">
        <f>SUMIF(#REF!,'BILANCA PO IZVORIMA'!$E311,#REF!)</f>
        <v>#REF!</v>
      </c>
      <c r="V311" s="82" t="e">
        <f>SUMIF(#REF!,'BILANCA PO IZVORIMA'!$E311,#REF!)</f>
        <v>#REF!</v>
      </c>
      <c r="W311" s="82" t="e">
        <f>SUMIF(#REF!,'BILANCA PO IZVORIMA'!$E311,#REF!)</f>
        <v>#REF!</v>
      </c>
      <c r="X311" s="82" t="e">
        <f>SUMIF(#REF!,'BILANCA PO IZVORIMA'!$E311,#REF!)</f>
        <v>#REF!</v>
      </c>
      <c r="Y311" s="82">
        <v>0</v>
      </c>
      <c r="Z311" s="614" t="e">
        <f t="shared" si="105"/>
        <v>#REF!</v>
      </c>
      <c r="AA311" s="614" t="e">
        <f t="shared" si="106"/>
        <v>#REF!</v>
      </c>
      <c r="AB311" s="82" t="e">
        <f>SUMIF(#REF!,'BILANCA PO IZVORIMA'!$E311,#REF!)</f>
        <v>#REF!</v>
      </c>
      <c r="AC311" s="60"/>
      <c r="AD311" s="60"/>
      <c r="AE311" s="60"/>
      <c r="AF311" s="138"/>
      <c r="AG311" s="138"/>
      <c r="AH311" s="138"/>
      <c r="AI311" s="138"/>
      <c r="AJ311" s="138"/>
      <c r="AK311" s="138"/>
      <c r="AL311" s="138"/>
      <c r="AM311" s="138"/>
      <c r="AN311" s="138"/>
    </row>
    <row r="312" spans="1:40" ht="54.75" hidden="1" customHeight="1" x14ac:dyDescent="0.25">
      <c r="A312" s="80"/>
      <c r="B312" s="80"/>
      <c r="C312" s="80"/>
      <c r="D312" s="80" t="str">
        <f>LEFT(E313,3)</f>
        <v>516</v>
      </c>
      <c r="E312" s="80"/>
      <c r="F312" s="81" t="s">
        <v>1034</v>
      </c>
      <c r="G312" s="127" t="e">
        <f>G313</f>
        <v>#REF!</v>
      </c>
      <c r="H312" s="127"/>
      <c r="I312" s="127" t="e">
        <f>I313</f>
        <v>#REF!</v>
      </c>
      <c r="J312" s="127" t="e">
        <f>J313</f>
        <v>#REF!</v>
      </c>
      <c r="K312" s="127" t="e">
        <f>K313</f>
        <v>#REF!</v>
      </c>
      <c r="L312" s="127" t="e">
        <f t="shared" si="123"/>
        <v>#REF!</v>
      </c>
      <c r="M312" s="127" t="e">
        <f t="shared" si="124"/>
        <v>#REF!</v>
      </c>
      <c r="N312" s="127" t="e">
        <f>N313</f>
        <v>#REF!</v>
      </c>
      <c r="O312" s="127" t="e">
        <f>O313</f>
        <v>#REF!</v>
      </c>
      <c r="P312" s="127" t="e">
        <f>P313</f>
        <v>#REF!</v>
      </c>
      <c r="Q312" s="389" t="e">
        <f t="shared" si="125"/>
        <v>#REF!</v>
      </c>
      <c r="R312" s="127" t="e">
        <f t="shared" ref="R312:X312" si="129">R313</f>
        <v>#REF!</v>
      </c>
      <c r="S312" s="127" t="e">
        <f t="shared" si="129"/>
        <v>#REF!</v>
      </c>
      <c r="T312" s="127" t="e">
        <f t="shared" si="129"/>
        <v>#REF!</v>
      </c>
      <c r="U312" s="366">
        <f t="shared" si="129"/>
        <v>0</v>
      </c>
      <c r="V312" s="366">
        <f t="shared" si="129"/>
        <v>0</v>
      </c>
      <c r="W312" s="366">
        <f t="shared" si="129"/>
        <v>0</v>
      </c>
      <c r="X312" s="366">
        <f t="shared" si="129"/>
        <v>0</v>
      </c>
      <c r="Y312" s="366"/>
      <c r="Z312" s="590" t="e">
        <f t="shared" si="105"/>
        <v>#DIV/0!</v>
      </c>
      <c r="AA312" s="590">
        <f t="shared" si="106"/>
        <v>0</v>
      </c>
      <c r="AB312" s="366">
        <f>AB313</f>
        <v>0</v>
      </c>
      <c r="AF312" s="60"/>
      <c r="AG312" s="60"/>
      <c r="AH312" s="60"/>
      <c r="AI312" s="60"/>
      <c r="AJ312" s="60"/>
      <c r="AK312" s="60"/>
      <c r="AL312" s="60"/>
      <c r="AM312" s="60"/>
      <c r="AN312" s="60"/>
    </row>
    <row r="313" spans="1:40" s="139" customFormat="1" ht="52.5" hidden="1" customHeight="1" x14ac:dyDescent="0.25">
      <c r="A313" s="80"/>
      <c r="B313" s="80"/>
      <c r="C313" s="80"/>
      <c r="D313" s="80"/>
      <c r="E313" s="80">
        <v>5161</v>
      </c>
      <c r="F313" s="81" t="s">
        <v>1035</v>
      </c>
      <c r="G313" s="82" t="e">
        <f>SUMIF(#REF!,'BILANCA PO IZVORIMA'!E313,#REF!)</f>
        <v>#REF!</v>
      </c>
      <c r="H313" s="82" t="e">
        <f>SUMIF(#REF!,'BILANCA PO IZVORIMA'!$E313,#REF!)</f>
        <v>#REF!</v>
      </c>
      <c r="I313" s="82" t="e">
        <f>SUMIF(#REF!,'BILANCA PO IZVORIMA'!$E313,#REF!)</f>
        <v>#REF!</v>
      </c>
      <c r="J313" s="82" t="e">
        <f>SUMIF(#REF!,'BILANCA PO IZVORIMA'!$E313,#REF!)</f>
        <v>#REF!</v>
      </c>
      <c r="K313" s="82" t="e">
        <f>SUMIF(#REF!,'BILANCA PO IZVORIMA'!$E313,#REF!)</f>
        <v>#REF!</v>
      </c>
      <c r="L313" s="82" t="e">
        <f t="shared" si="123"/>
        <v>#REF!</v>
      </c>
      <c r="M313" s="82" t="e">
        <f t="shared" si="124"/>
        <v>#REF!</v>
      </c>
      <c r="N313" s="82" t="e">
        <f>SUMIF(#REF!,'BILANCA PO IZVORIMA'!$E313,#REF!)</f>
        <v>#REF!</v>
      </c>
      <c r="O313" s="82" t="e">
        <f>SUMIF(#REF!,'BILANCA PO IZVORIMA'!$E313,#REF!)</f>
        <v>#REF!</v>
      </c>
      <c r="P313" s="82" t="e">
        <f>SUMIF(#REF!,'BILANCA PO IZVORIMA'!$E313,#REF!)</f>
        <v>#REF!</v>
      </c>
      <c r="Q313" s="389" t="e">
        <f t="shared" si="125"/>
        <v>#REF!</v>
      </c>
      <c r="R313" s="82" t="e">
        <f>SUMIF(#REF!,'BILANCA PO IZVORIMA'!$E313,#REF!)</f>
        <v>#REF!</v>
      </c>
      <c r="S313" s="82" t="e">
        <f>SUMIF(#REF!,'BILANCA PO IZVORIMA'!$E313,#REF!)</f>
        <v>#REF!</v>
      </c>
      <c r="T313" s="82" t="e">
        <f>SUMIF(#REF!,'BILANCA PO IZVORIMA'!$E$313,#REF!)</f>
        <v>#REF!</v>
      </c>
      <c r="U313" s="357"/>
      <c r="V313" s="357"/>
      <c r="W313" s="357"/>
      <c r="X313" s="357"/>
      <c r="Y313" s="357"/>
      <c r="Z313" s="590" t="e">
        <f t="shared" si="105"/>
        <v>#DIV/0!</v>
      </c>
      <c r="AA313" s="590">
        <f t="shared" si="106"/>
        <v>0</v>
      </c>
      <c r="AB313" s="357"/>
      <c r="AC313" s="60"/>
      <c r="AD313" s="60"/>
      <c r="AE313" s="60"/>
      <c r="AF313" s="138"/>
      <c r="AG313" s="138"/>
      <c r="AH313" s="138"/>
      <c r="AI313" s="138"/>
      <c r="AJ313" s="138"/>
      <c r="AK313" s="138"/>
      <c r="AL313" s="138"/>
      <c r="AM313" s="138"/>
      <c r="AN313" s="138"/>
    </row>
    <row r="314" spans="1:40" s="139" customFormat="1" hidden="1" x14ac:dyDescent="0.25">
      <c r="A314" s="80"/>
      <c r="B314" s="80"/>
      <c r="C314" s="125" t="s">
        <v>1036</v>
      </c>
      <c r="D314" s="80"/>
      <c r="E314" s="80"/>
      <c r="F314" s="126" t="s">
        <v>429</v>
      </c>
      <c r="G314" s="83" t="e">
        <f t="shared" ref="G314:K315" si="130">G315</f>
        <v>#REF!</v>
      </c>
      <c r="H314" s="102" t="e">
        <f t="shared" si="130"/>
        <v>#REF!</v>
      </c>
      <c r="I314" s="83" t="e">
        <f t="shared" si="130"/>
        <v>#REF!</v>
      </c>
      <c r="J314" s="83" t="e">
        <f t="shared" si="130"/>
        <v>#REF!</v>
      </c>
      <c r="K314" s="83" t="e">
        <f t="shared" si="130"/>
        <v>#REF!</v>
      </c>
      <c r="L314" s="83" t="e">
        <f t="shared" si="123"/>
        <v>#REF!</v>
      </c>
      <c r="M314" s="83" t="e">
        <f t="shared" si="124"/>
        <v>#REF!</v>
      </c>
      <c r="N314" s="83" t="e">
        <f t="shared" ref="N314:P315" si="131">N315</f>
        <v>#REF!</v>
      </c>
      <c r="O314" s="83" t="e">
        <f t="shared" si="131"/>
        <v>#REF!</v>
      </c>
      <c r="P314" s="83" t="e">
        <f t="shared" si="131"/>
        <v>#REF!</v>
      </c>
      <c r="Q314" s="389" t="e">
        <f t="shared" si="125"/>
        <v>#REF!</v>
      </c>
      <c r="R314" s="83" t="e">
        <f t="shared" ref="R314:X315" si="132">R315</f>
        <v>#REF!</v>
      </c>
      <c r="S314" s="83" t="e">
        <f t="shared" si="132"/>
        <v>#REF!</v>
      </c>
      <c r="T314" s="83" t="e">
        <f t="shared" si="132"/>
        <v>#REF!</v>
      </c>
      <c r="U314" s="363">
        <f t="shared" si="132"/>
        <v>0</v>
      </c>
      <c r="V314" s="363">
        <f t="shared" si="132"/>
        <v>0</v>
      </c>
      <c r="W314" s="363">
        <f t="shared" si="132"/>
        <v>0</v>
      </c>
      <c r="X314" s="363">
        <f t="shared" si="132"/>
        <v>0</v>
      </c>
      <c r="Y314" s="363"/>
      <c r="Z314" s="590" t="e">
        <f t="shared" si="105"/>
        <v>#DIV/0!</v>
      </c>
      <c r="AA314" s="590">
        <f t="shared" si="106"/>
        <v>0</v>
      </c>
      <c r="AB314" s="363">
        <f>AB315</f>
        <v>0</v>
      </c>
      <c r="AC314" s="60"/>
      <c r="AD314" s="60"/>
      <c r="AE314" s="60"/>
      <c r="AF314" s="138"/>
      <c r="AG314" s="138"/>
      <c r="AH314" s="138"/>
      <c r="AI314" s="138"/>
      <c r="AJ314" s="138"/>
      <c r="AK314" s="138"/>
      <c r="AL314" s="138"/>
      <c r="AM314" s="138"/>
      <c r="AN314" s="138"/>
    </row>
    <row r="315" spans="1:40" s="139" customFormat="1" ht="36" hidden="1" x14ac:dyDescent="0.25">
      <c r="A315" s="80"/>
      <c r="B315" s="80"/>
      <c r="C315" s="80"/>
      <c r="D315" s="80" t="s">
        <v>1037</v>
      </c>
      <c r="E315" s="80"/>
      <c r="F315" s="140" t="s">
        <v>430</v>
      </c>
      <c r="G315" s="83" t="e">
        <f t="shared" si="130"/>
        <v>#REF!</v>
      </c>
      <c r="H315" s="102" t="e">
        <f t="shared" si="130"/>
        <v>#REF!</v>
      </c>
      <c r="I315" s="83" t="e">
        <f t="shared" si="130"/>
        <v>#REF!</v>
      </c>
      <c r="J315" s="83" t="e">
        <f t="shared" si="130"/>
        <v>#REF!</v>
      </c>
      <c r="K315" s="83" t="e">
        <f t="shared" si="130"/>
        <v>#REF!</v>
      </c>
      <c r="L315" s="83" t="e">
        <f t="shared" si="123"/>
        <v>#REF!</v>
      </c>
      <c r="M315" s="83" t="e">
        <f t="shared" si="124"/>
        <v>#REF!</v>
      </c>
      <c r="N315" s="83" t="e">
        <f t="shared" si="131"/>
        <v>#REF!</v>
      </c>
      <c r="O315" s="83" t="e">
        <f t="shared" si="131"/>
        <v>#REF!</v>
      </c>
      <c r="P315" s="83" t="e">
        <f t="shared" si="131"/>
        <v>#REF!</v>
      </c>
      <c r="Q315" s="389" t="e">
        <f t="shared" si="125"/>
        <v>#REF!</v>
      </c>
      <c r="R315" s="83" t="e">
        <f t="shared" si="132"/>
        <v>#REF!</v>
      </c>
      <c r="S315" s="83" t="e">
        <f t="shared" si="132"/>
        <v>#REF!</v>
      </c>
      <c r="T315" s="83" t="e">
        <f t="shared" si="132"/>
        <v>#REF!</v>
      </c>
      <c r="U315" s="363">
        <f t="shared" si="132"/>
        <v>0</v>
      </c>
      <c r="V315" s="363">
        <f t="shared" si="132"/>
        <v>0</v>
      </c>
      <c r="W315" s="363">
        <f t="shared" si="132"/>
        <v>0</v>
      </c>
      <c r="X315" s="363">
        <f t="shared" si="132"/>
        <v>0</v>
      </c>
      <c r="Y315" s="363"/>
      <c r="Z315" s="590" t="e">
        <f t="shared" si="105"/>
        <v>#DIV/0!</v>
      </c>
      <c r="AA315" s="590">
        <f t="shared" si="106"/>
        <v>0</v>
      </c>
      <c r="AB315" s="363">
        <f>AB316</f>
        <v>0</v>
      </c>
      <c r="AC315" s="60"/>
      <c r="AD315" s="60"/>
      <c r="AE315" s="60"/>
      <c r="AF315" s="138"/>
      <c r="AG315" s="138"/>
      <c r="AH315" s="138"/>
      <c r="AI315" s="138"/>
      <c r="AJ315" s="138"/>
      <c r="AK315" s="138"/>
      <c r="AL315" s="138"/>
      <c r="AM315" s="138"/>
      <c r="AN315" s="138"/>
    </row>
    <row r="316" spans="1:40" s="139" customFormat="1" ht="36" hidden="1" x14ac:dyDescent="0.25">
      <c r="A316" s="80"/>
      <c r="B316" s="80"/>
      <c r="C316" s="80"/>
      <c r="D316" s="80"/>
      <c r="E316" s="80">
        <v>5321</v>
      </c>
      <c r="F316" s="140" t="s">
        <v>745</v>
      </c>
      <c r="G316" s="82" t="e">
        <f>SUMIF(#REF!,'BILANCA PO IZVORIMA'!E316,#REF!)</f>
        <v>#REF!</v>
      </c>
      <c r="H316" s="82" t="e">
        <f>SUMIF(#REF!,'BILANCA PO IZVORIMA'!$E316,#REF!)</f>
        <v>#REF!</v>
      </c>
      <c r="I316" s="82" t="e">
        <f>SUMIF(#REF!,'BILANCA PO IZVORIMA'!$E316,#REF!)</f>
        <v>#REF!</v>
      </c>
      <c r="J316" s="82" t="e">
        <f>SUMIF(#REF!,'BILANCA PO IZVORIMA'!$E316,#REF!)</f>
        <v>#REF!</v>
      </c>
      <c r="K316" s="82" t="e">
        <f>SUMIF(#REF!,'BILANCA PO IZVORIMA'!$E316,#REF!)</f>
        <v>#REF!</v>
      </c>
      <c r="L316" s="82" t="e">
        <f t="shared" si="123"/>
        <v>#REF!</v>
      </c>
      <c r="M316" s="82" t="e">
        <f t="shared" si="124"/>
        <v>#REF!</v>
      </c>
      <c r="N316" s="82" t="e">
        <f>SUMIF(#REF!,'BILANCA PO IZVORIMA'!$E316,#REF!)</f>
        <v>#REF!</v>
      </c>
      <c r="O316" s="82" t="e">
        <f>SUMIF(#REF!,'BILANCA PO IZVORIMA'!$E316,#REF!)</f>
        <v>#REF!</v>
      </c>
      <c r="P316" s="82" t="e">
        <f>SUMIF(#REF!,'BILANCA PO IZVORIMA'!$E316,#REF!)</f>
        <v>#REF!</v>
      </c>
      <c r="Q316" s="389" t="e">
        <f t="shared" si="125"/>
        <v>#REF!</v>
      </c>
      <c r="R316" s="82" t="e">
        <f>SUMIF(#REF!,'BILANCA PO IZVORIMA'!$E316,#REF!)</f>
        <v>#REF!</v>
      </c>
      <c r="S316" s="82" t="e">
        <f>SUMIF(#REF!,'BILANCA PO IZVORIMA'!$E316,#REF!)</f>
        <v>#REF!</v>
      </c>
      <c r="T316" s="82" t="e">
        <f>SUMIF(#REF!,'BILANCA PO IZVORIMA'!$E$316,#REF!)</f>
        <v>#REF!</v>
      </c>
      <c r="U316" s="357"/>
      <c r="V316" s="357"/>
      <c r="W316" s="357"/>
      <c r="X316" s="357"/>
      <c r="Y316" s="357"/>
      <c r="Z316" s="590" t="e">
        <f t="shared" si="105"/>
        <v>#DIV/0!</v>
      </c>
      <c r="AA316" s="590">
        <f t="shared" si="106"/>
        <v>0</v>
      </c>
      <c r="AB316" s="357"/>
      <c r="AC316" s="60"/>
      <c r="AD316" s="60"/>
      <c r="AE316" s="60"/>
      <c r="AF316" s="138"/>
      <c r="AG316" s="138"/>
      <c r="AH316" s="138"/>
      <c r="AI316" s="138"/>
      <c r="AJ316" s="138"/>
      <c r="AK316" s="138"/>
      <c r="AL316" s="138"/>
      <c r="AM316" s="138"/>
      <c r="AN316" s="138"/>
    </row>
    <row r="317" spans="1:40" s="373" customFormat="1" ht="35.25" customHeight="1" x14ac:dyDescent="0.25">
      <c r="A317" s="119"/>
      <c r="B317" s="116"/>
      <c r="C317" s="116" t="str">
        <f>LEFT(E319,2)</f>
        <v>54</v>
      </c>
      <c r="D317" s="116"/>
      <c r="E317" s="116"/>
      <c r="F317" s="117" t="s">
        <v>416</v>
      </c>
      <c r="G317" s="312" t="e">
        <f>G318</f>
        <v>#REF!</v>
      </c>
      <c r="H317" s="312" t="e">
        <f>H318</f>
        <v>#REF!</v>
      </c>
      <c r="I317" s="312" t="e">
        <f>I318</f>
        <v>#REF!</v>
      </c>
      <c r="J317" s="312" t="e">
        <f>J318</f>
        <v>#REF!</v>
      </c>
      <c r="K317" s="312" t="e">
        <f>K318</f>
        <v>#REF!</v>
      </c>
      <c r="L317" s="312" t="e">
        <f t="shared" si="123"/>
        <v>#REF!</v>
      </c>
      <c r="M317" s="312" t="e">
        <f t="shared" si="124"/>
        <v>#REF!</v>
      </c>
      <c r="N317" s="312" t="e">
        <f>N318</f>
        <v>#REF!</v>
      </c>
      <c r="O317" s="312" t="e">
        <f>O318</f>
        <v>#REF!</v>
      </c>
      <c r="P317" s="312" t="e">
        <f>P318</f>
        <v>#REF!</v>
      </c>
      <c r="Q317" s="400" t="e">
        <f t="shared" si="125"/>
        <v>#REF!</v>
      </c>
      <c r="R317" s="137" t="e">
        <f t="shared" ref="R317:X317" si="133">R318</f>
        <v>#REF!</v>
      </c>
      <c r="S317" s="137" t="e">
        <f t="shared" si="133"/>
        <v>#REF!</v>
      </c>
      <c r="T317" s="137" t="e">
        <f t="shared" si="133"/>
        <v>#REF!</v>
      </c>
      <c r="U317" s="356" t="e">
        <f t="shared" si="133"/>
        <v>#REF!</v>
      </c>
      <c r="V317" s="356" t="e">
        <f t="shared" si="133"/>
        <v>#REF!</v>
      </c>
      <c r="W317" s="356" t="e">
        <f t="shared" si="133"/>
        <v>#REF!</v>
      </c>
      <c r="X317" s="356" t="e">
        <f t="shared" si="133"/>
        <v>#REF!</v>
      </c>
      <c r="Y317" s="356">
        <f>Y318</f>
        <v>2384789.79</v>
      </c>
      <c r="Z317" s="610" t="e">
        <f t="shared" si="105"/>
        <v>#REF!</v>
      </c>
      <c r="AA317" s="610" t="e">
        <f t="shared" si="106"/>
        <v>#REF!</v>
      </c>
      <c r="AB317" s="356" t="e">
        <f>AB318</f>
        <v>#REF!</v>
      </c>
      <c r="AC317" s="372"/>
      <c r="AD317" s="372"/>
      <c r="AE317" s="372"/>
      <c r="AF317" s="372"/>
      <c r="AG317" s="372"/>
      <c r="AH317" s="372"/>
      <c r="AI317" s="372"/>
      <c r="AJ317" s="372"/>
      <c r="AK317" s="372"/>
      <c r="AL317" s="372"/>
      <c r="AM317" s="372"/>
      <c r="AN317" s="372"/>
    </row>
    <row r="318" spans="1:40" ht="59.25" customHeight="1" x14ac:dyDescent="0.25">
      <c r="A318" s="80"/>
      <c r="B318" s="80"/>
      <c r="C318" s="80"/>
      <c r="D318" s="80" t="str">
        <f>LEFT(E319,3)</f>
        <v>542</v>
      </c>
      <c r="E318" s="80"/>
      <c r="F318" s="81" t="s">
        <v>633</v>
      </c>
      <c r="G318" s="82" t="e">
        <f>G319+G320</f>
        <v>#REF!</v>
      </c>
      <c r="H318" s="82" t="e">
        <f>H319+H320</f>
        <v>#REF!</v>
      </c>
      <c r="I318" s="82" t="e">
        <f>I319+I320</f>
        <v>#REF!</v>
      </c>
      <c r="J318" s="82" t="e">
        <f>J319+J320</f>
        <v>#REF!</v>
      </c>
      <c r="K318" s="82" t="e">
        <f>K319+K320</f>
        <v>#REF!</v>
      </c>
      <c r="L318" s="82" t="e">
        <f t="shared" si="123"/>
        <v>#REF!</v>
      </c>
      <c r="M318" s="82" t="e">
        <f t="shared" si="124"/>
        <v>#REF!</v>
      </c>
      <c r="N318" s="82" t="e">
        <f>N319+N320</f>
        <v>#REF!</v>
      </c>
      <c r="O318" s="82" t="e">
        <f>O319+O320</f>
        <v>#REF!</v>
      </c>
      <c r="P318" s="82" t="e">
        <f>P319+P320</f>
        <v>#REF!</v>
      </c>
      <c r="Q318" s="389" t="e">
        <f t="shared" si="125"/>
        <v>#REF!</v>
      </c>
      <c r="R318" s="82" t="e">
        <f t="shared" ref="R318:X318" si="134">R319+R320</f>
        <v>#REF!</v>
      </c>
      <c r="S318" s="82" t="e">
        <f t="shared" si="134"/>
        <v>#REF!</v>
      </c>
      <c r="T318" s="82" t="e">
        <f t="shared" si="134"/>
        <v>#REF!</v>
      </c>
      <c r="U318" s="357" t="e">
        <f t="shared" si="134"/>
        <v>#REF!</v>
      </c>
      <c r="V318" s="357" t="e">
        <f t="shared" si="134"/>
        <v>#REF!</v>
      </c>
      <c r="W318" s="357" t="e">
        <f t="shared" si="134"/>
        <v>#REF!</v>
      </c>
      <c r="X318" s="357" t="e">
        <f t="shared" si="134"/>
        <v>#REF!</v>
      </c>
      <c r="Y318" s="357">
        <f>Y320</f>
        <v>2384789.79</v>
      </c>
      <c r="Z318" s="614" t="e">
        <f t="shared" si="105"/>
        <v>#REF!</v>
      </c>
      <c r="AA318" s="614" t="e">
        <f t="shared" si="106"/>
        <v>#REF!</v>
      </c>
      <c r="AB318" s="357" t="e">
        <f>AB319+AB320</f>
        <v>#REF!</v>
      </c>
      <c r="AF318" s="60"/>
      <c r="AG318" s="60"/>
      <c r="AH318" s="60"/>
      <c r="AI318" s="60"/>
      <c r="AJ318" s="60"/>
      <c r="AK318" s="60"/>
      <c r="AL318" s="60"/>
      <c r="AM318" s="60"/>
      <c r="AN318" s="60"/>
    </row>
    <row r="319" spans="1:40" s="139" customFormat="1" ht="34.5" hidden="1" customHeight="1" x14ac:dyDescent="0.25">
      <c r="A319" s="80"/>
      <c r="B319" s="80"/>
      <c r="C319" s="80"/>
      <c r="D319" s="80"/>
      <c r="E319" s="80">
        <v>5421</v>
      </c>
      <c r="F319" s="81" t="s">
        <v>634</v>
      </c>
      <c r="G319" s="82" t="e">
        <f>SUMIF(#REF!,'BILANCA PO IZVORIMA'!E319,#REF!)</f>
        <v>#REF!</v>
      </c>
      <c r="H319" s="82" t="e">
        <f>SUMIF(#REF!,'BILANCA PO IZVORIMA'!$E319,#REF!)</f>
        <v>#REF!</v>
      </c>
      <c r="I319" s="82" t="e">
        <f>SUMIF(#REF!,'BILANCA PO IZVORIMA'!$E319,#REF!)</f>
        <v>#REF!</v>
      </c>
      <c r="J319" s="82" t="e">
        <f>SUMIF(#REF!,'BILANCA PO IZVORIMA'!$E319,#REF!)</f>
        <v>#REF!</v>
      </c>
      <c r="K319" s="82" t="e">
        <f>SUMIF(#REF!,'BILANCA PO IZVORIMA'!$E319,#REF!)</f>
        <v>#REF!</v>
      </c>
      <c r="L319" s="82" t="e">
        <f t="shared" si="123"/>
        <v>#REF!</v>
      </c>
      <c r="M319" s="82" t="e">
        <f t="shared" si="124"/>
        <v>#REF!</v>
      </c>
      <c r="N319" s="82" t="e">
        <f>SUMIF(#REF!,'BILANCA PO IZVORIMA'!$E319,#REF!)</f>
        <v>#REF!</v>
      </c>
      <c r="O319" s="82" t="e">
        <f>SUMIF(#REF!,'BILANCA PO IZVORIMA'!$E319,#REF!)</f>
        <v>#REF!</v>
      </c>
      <c r="P319" s="82" t="e">
        <f>SUMIF(#REF!,'BILANCA PO IZVORIMA'!$E319,#REF!)</f>
        <v>#REF!</v>
      </c>
      <c r="Q319" s="389" t="e">
        <f t="shared" si="125"/>
        <v>#REF!</v>
      </c>
      <c r="R319" s="82" t="e">
        <f>SUMIF(#REF!,'BILANCA PO IZVORIMA'!$E319,#REF!)</f>
        <v>#REF!</v>
      </c>
      <c r="S319" s="82" t="e">
        <f>SUMIF(#REF!,'BILANCA PO IZVORIMA'!$E319,#REF!)</f>
        <v>#REF!</v>
      </c>
      <c r="T319" s="82" t="e">
        <f>SUMIF(#REF!,'BILANCA PO IZVORIMA'!$E$319,#REF!)</f>
        <v>#REF!</v>
      </c>
      <c r="U319" s="357" t="e">
        <f>SUMIF(#REF!,'BILANCA PO IZVORIMA'!$E319,#REF!)</f>
        <v>#REF!</v>
      </c>
      <c r="V319" s="361"/>
      <c r="W319" s="361"/>
      <c r="X319" s="361"/>
      <c r="Y319" s="361"/>
      <c r="Z319" s="614" t="e">
        <f t="shared" si="105"/>
        <v>#DIV/0!</v>
      </c>
      <c r="AA319" s="614">
        <f t="shared" si="106"/>
        <v>0</v>
      </c>
      <c r="AB319" s="361"/>
      <c r="AC319" s="60"/>
      <c r="AD319" s="60"/>
      <c r="AE319" s="60"/>
      <c r="AF319" s="138"/>
      <c r="AG319" s="138"/>
      <c r="AH319" s="138"/>
      <c r="AI319" s="138"/>
      <c r="AJ319" s="138"/>
      <c r="AK319" s="138"/>
      <c r="AL319" s="138"/>
      <c r="AM319" s="138"/>
      <c r="AN319" s="138"/>
    </row>
    <row r="320" spans="1:40" s="139" customFormat="1" ht="36.75" customHeight="1" x14ac:dyDescent="0.25">
      <c r="A320" s="80"/>
      <c r="B320" s="80"/>
      <c r="C320" s="80"/>
      <c r="D320" s="80"/>
      <c r="E320" s="80">
        <v>5422</v>
      </c>
      <c r="F320" s="81" t="s">
        <v>634</v>
      </c>
      <c r="G320" s="82" t="e">
        <f>SUMIF(#REF!,'BILANCA PO IZVORIMA'!E320,#REF!)</f>
        <v>#REF!</v>
      </c>
      <c r="H320" s="82" t="e">
        <f>SUMIF(#REF!,'BILANCA PO IZVORIMA'!$E320,#REF!)</f>
        <v>#REF!</v>
      </c>
      <c r="I320" s="82" t="e">
        <f>SUMIF(#REF!,'BILANCA PO IZVORIMA'!$E320,#REF!)</f>
        <v>#REF!</v>
      </c>
      <c r="J320" s="82" t="e">
        <f>SUMIF(#REF!,'BILANCA PO IZVORIMA'!$E320,#REF!)</f>
        <v>#REF!</v>
      </c>
      <c r="K320" s="82" t="e">
        <f>SUMIF(#REF!,'BILANCA PO IZVORIMA'!$E320,#REF!)</f>
        <v>#REF!</v>
      </c>
      <c r="L320" s="82" t="e">
        <f t="shared" si="123"/>
        <v>#REF!</v>
      </c>
      <c r="M320" s="82" t="e">
        <f t="shared" si="124"/>
        <v>#REF!</v>
      </c>
      <c r="N320" s="82" t="e">
        <f>SUMIF(#REF!,'BILANCA PO IZVORIMA'!$E320,#REF!)</f>
        <v>#REF!</v>
      </c>
      <c r="O320" s="82" t="e">
        <f>SUMIF(#REF!,'BILANCA PO IZVORIMA'!$E320,#REF!)</f>
        <v>#REF!</v>
      </c>
      <c r="P320" s="82" t="e">
        <f>SUMIF(#REF!,'BILANCA PO IZVORIMA'!$E320,#REF!)</f>
        <v>#REF!</v>
      </c>
      <c r="Q320" s="389" t="e">
        <f t="shared" si="125"/>
        <v>#REF!</v>
      </c>
      <c r="R320" s="82" t="e">
        <f>SUMIF(#REF!,'BILANCA PO IZVORIMA'!$E320,#REF!)</f>
        <v>#REF!</v>
      </c>
      <c r="S320" s="82" t="e">
        <f>SUMIF(#REF!,'BILANCA PO IZVORIMA'!$E320,#REF!)</f>
        <v>#REF!</v>
      </c>
      <c r="T320" s="82" t="e">
        <f>SUMIF(#REF!,'BILANCA PO IZVORIMA'!$E$320,#REF!)</f>
        <v>#REF!</v>
      </c>
      <c r="U320" s="82" t="e">
        <f>SUMIF(#REF!,'BILANCA PO IZVORIMA'!$E320,#REF!)</f>
        <v>#REF!</v>
      </c>
      <c r="V320" s="82" t="e">
        <f>SUMIF(#REF!,'BILANCA PO IZVORIMA'!$E320,#REF!)</f>
        <v>#REF!</v>
      </c>
      <c r="W320" s="82" t="e">
        <f>SUMIF(#REF!,'BILANCA PO IZVORIMA'!$E320,#REF!)</f>
        <v>#REF!</v>
      </c>
      <c r="X320" s="82" t="e">
        <f>SUMIF(#REF!,'BILANCA PO IZVORIMA'!$E320,#REF!)</f>
        <v>#REF!</v>
      </c>
      <c r="Y320" s="82">
        <v>2384789.79</v>
      </c>
      <c r="Z320" s="614" t="e">
        <f t="shared" si="105"/>
        <v>#REF!</v>
      </c>
      <c r="AA320" s="614" t="e">
        <f t="shared" si="106"/>
        <v>#REF!</v>
      </c>
      <c r="AB320" s="82" t="e">
        <f>SUMIF(#REF!,'BILANCA PO IZVORIMA'!$E320,#REF!)</f>
        <v>#REF!</v>
      </c>
      <c r="AC320" s="60"/>
      <c r="AD320" s="60"/>
      <c r="AE320" s="60"/>
      <c r="AF320" s="138"/>
      <c r="AG320" s="138"/>
      <c r="AH320" s="138"/>
      <c r="AI320" s="138"/>
      <c r="AJ320" s="138"/>
      <c r="AK320" s="138"/>
      <c r="AL320" s="138"/>
      <c r="AM320" s="138"/>
      <c r="AN320" s="138"/>
    </row>
    <row r="321" spans="1:5" x14ac:dyDescent="0.25">
      <c r="A321" s="123"/>
      <c r="B321" s="123"/>
      <c r="C321" s="123"/>
      <c r="D321" s="123"/>
      <c r="E321" s="123"/>
    </row>
    <row r="322" spans="1:5" x14ac:dyDescent="0.25">
      <c r="A322" s="123"/>
      <c r="B322" s="123"/>
      <c r="C322" s="123"/>
      <c r="D322" s="123"/>
      <c r="E322" s="123"/>
    </row>
    <row r="323" spans="1:5" x14ac:dyDescent="0.25">
      <c r="A323" s="123"/>
      <c r="B323" s="123"/>
      <c r="C323" s="123"/>
      <c r="D323" s="123"/>
      <c r="E323" s="123"/>
    </row>
    <row r="324" spans="1:5" x14ac:dyDescent="0.25">
      <c r="A324" s="123"/>
      <c r="B324" s="123"/>
      <c r="C324" s="123"/>
      <c r="D324" s="123"/>
      <c r="E324" s="123"/>
    </row>
    <row r="325" spans="1:5" x14ac:dyDescent="0.25">
      <c r="A325" s="123"/>
      <c r="B325" s="123"/>
      <c r="C325" s="123"/>
      <c r="D325" s="123"/>
      <c r="E325" s="123"/>
    </row>
    <row r="326" spans="1:5" x14ac:dyDescent="0.25">
      <c r="A326" s="123"/>
      <c r="B326" s="123"/>
      <c r="C326" s="123"/>
      <c r="D326" s="123"/>
      <c r="E326" s="123"/>
    </row>
    <row r="327" spans="1:5" x14ac:dyDescent="0.25">
      <c r="A327" s="123"/>
      <c r="B327" s="123"/>
      <c r="C327" s="123"/>
      <c r="D327" s="123"/>
      <c r="E327" s="123"/>
    </row>
    <row r="328" spans="1:5" x14ac:dyDescent="0.25">
      <c r="A328" s="123"/>
      <c r="B328" s="123"/>
      <c r="C328" s="123"/>
      <c r="D328" s="123"/>
      <c r="E328" s="123"/>
    </row>
    <row r="329" spans="1:5" x14ac:dyDescent="0.25">
      <c r="A329" s="123"/>
      <c r="B329" s="123"/>
      <c r="C329" s="123"/>
      <c r="D329" s="123"/>
      <c r="E329" s="123"/>
    </row>
    <row r="330" spans="1:5" x14ac:dyDescent="0.25">
      <c r="A330" s="123"/>
      <c r="B330" s="123"/>
      <c r="C330" s="123"/>
      <c r="D330" s="123"/>
      <c r="E330" s="123"/>
    </row>
    <row r="331" spans="1:5" x14ac:dyDescent="0.25">
      <c r="A331" s="123"/>
      <c r="B331" s="123"/>
      <c r="C331" s="123"/>
      <c r="D331" s="123"/>
      <c r="E331" s="123"/>
    </row>
    <row r="332" spans="1:5" x14ac:dyDescent="0.25">
      <c r="A332" s="123"/>
      <c r="B332" s="123"/>
      <c r="C332" s="123"/>
      <c r="D332" s="123"/>
      <c r="E332" s="123"/>
    </row>
    <row r="333" spans="1:5" x14ac:dyDescent="0.25">
      <c r="A333" s="123"/>
      <c r="B333" s="123"/>
      <c r="C333" s="123"/>
      <c r="D333" s="123"/>
      <c r="E333" s="123"/>
    </row>
    <row r="334" spans="1:5" x14ac:dyDescent="0.25">
      <c r="A334" s="123"/>
      <c r="B334" s="123"/>
      <c r="C334" s="123"/>
      <c r="D334" s="123"/>
      <c r="E334" s="123"/>
    </row>
    <row r="335" spans="1:5" x14ac:dyDescent="0.25">
      <c r="A335" s="123"/>
      <c r="B335" s="123"/>
      <c r="C335" s="123"/>
      <c r="D335" s="123"/>
      <c r="E335" s="123"/>
    </row>
    <row r="336" spans="1:5" x14ac:dyDescent="0.25">
      <c r="A336" s="123"/>
      <c r="B336" s="123"/>
      <c r="C336" s="123"/>
      <c r="D336" s="123"/>
      <c r="E336" s="123"/>
    </row>
    <row r="337" spans="1:5" x14ac:dyDescent="0.25">
      <c r="A337" s="123"/>
      <c r="B337" s="123"/>
      <c r="C337" s="123"/>
      <c r="D337" s="123"/>
      <c r="E337" s="123"/>
    </row>
    <row r="338" spans="1:5" x14ac:dyDescent="0.25">
      <c r="A338" s="123"/>
      <c r="B338" s="123"/>
      <c r="C338" s="123"/>
      <c r="D338" s="123"/>
      <c r="E338" s="123"/>
    </row>
    <row r="339" spans="1:5" x14ac:dyDescent="0.25">
      <c r="A339" s="123"/>
      <c r="B339" s="123"/>
      <c r="C339" s="123"/>
      <c r="D339" s="123"/>
      <c r="E339" s="123"/>
    </row>
    <row r="340" spans="1:5" x14ac:dyDescent="0.25">
      <c r="A340" s="123"/>
      <c r="B340" s="123"/>
      <c r="C340" s="123"/>
      <c r="D340" s="123"/>
      <c r="E340" s="123"/>
    </row>
    <row r="341" spans="1:5" x14ac:dyDescent="0.25">
      <c r="A341" s="123"/>
      <c r="B341" s="123"/>
      <c r="C341" s="123"/>
      <c r="D341" s="123"/>
      <c r="E341" s="123"/>
    </row>
    <row r="342" spans="1:5" x14ac:dyDescent="0.25">
      <c r="A342" s="123"/>
      <c r="B342" s="123"/>
      <c r="C342" s="123"/>
      <c r="D342" s="123"/>
      <c r="E342" s="123"/>
    </row>
    <row r="343" spans="1:5" x14ac:dyDescent="0.25">
      <c r="A343" s="123"/>
      <c r="B343" s="123"/>
      <c r="C343" s="123"/>
      <c r="D343" s="123"/>
      <c r="E343" s="123"/>
    </row>
    <row r="344" spans="1:5" x14ac:dyDescent="0.25">
      <c r="A344" s="123"/>
      <c r="B344" s="123"/>
      <c r="C344" s="123"/>
      <c r="D344" s="123"/>
      <c r="E344" s="123"/>
    </row>
    <row r="345" spans="1:5" x14ac:dyDescent="0.25">
      <c r="A345" s="123"/>
      <c r="B345" s="123"/>
      <c r="C345" s="123"/>
      <c r="D345" s="123"/>
      <c r="E345" s="123"/>
    </row>
    <row r="346" spans="1:5" x14ac:dyDescent="0.25">
      <c r="A346" s="123"/>
      <c r="B346" s="123"/>
      <c r="C346" s="123"/>
      <c r="D346" s="123"/>
      <c r="E346" s="123"/>
    </row>
    <row r="347" spans="1:5" x14ac:dyDescent="0.25">
      <c r="A347" s="123"/>
      <c r="B347" s="123"/>
      <c r="C347" s="123"/>
      <c r="D347" s="123"/>
      <c r="E347" s="123"/>
    </row>
    <row r="348" spans="1:5" x14ac:dyDescent="0.25">
      <c r="A348" s="123"/>
      <c r="B348" s="123"/>
      <c r="C348" s="123"/>
      <c r="D348" s="123"/>
      <c r="E348" s="123"/>
    </row>
    <row r="349" spans="1:5" x14ac:dyDescent="0.25">
      <c r="A349" s="123"/>
      <c r="B349" s="123"/>
      <c r="C349" s="123"/>
      <c r="D349" s="123"/>
      <c r="E349" s="123"/>
    </row>
    <row r="350" spans="1:5" x14ac:dyDescent="0.25">
      <c r="A350" s="123"/>
      <c r="B350" s="123"/>
      <c r="C350" s="123"/>
      <c r="D350" s="123"/>
      <c r="E350" s="123"/>
    </row>
    <row r="351" spans="1:5" x14ac:dyDescent="0.25">
      <c r="A351" s="123"/>
      <c r="B351" s="123"/>
      <c r="C351" s="123"/>
      <c r="D351" s="123"/>
      <c r="E351" s="123"/>
    </row>
    <row r="352" spans="1:5" x14ac:dyDescent="0.25">
      <c r="A352" s="123"/>
      <c r="B352" s="123"/>
      <c r="C352" s="123"/>
      <c r="D352" s="123"/>
      <c r="E352" s="123"/>
    </row>
    <row r="353" spans="1:5" x14ac:dyDescent="0.25">
      <c r="A353" s="123"/>
      <c r="B353" s="123"/>
      <c r="C353" s="123"/>
      <c r="D353" s="123"/>
      <c r="E353" s="123"/>
    </row>
    <row r="354" spans="1:5" x14ac:dyDescent="0.25">
      <c r="A354" s="123"/>
      <c r="B354" s="123"/>
      <c r="C354" s="123"/>
      <c r="D354" s="123"/>
      <c r="E354" s="123"/>
    </row>
    <row r="355" spans="1:5" x14ac:dyDescent="0.25">
      <c r="A355" s="123"/>
      <c r="B355" s="123"/>
      <c r="C355" s="123"/>
      <c r="D355" s="123"/>
      <c r="E355" s="123"/>
    </row>
    <row r="356" spans="1:5" x14ac:dyDescent="0.25">
      <c r="A356" s="123"/>
      <c r="B356" s="123"/>
      <c r="C356" s="123"/>
      <c r="D356" s="123"/>
      <c r="E356" s="123"/>
    </row>
    <row r="357" spans="1:5" x14ac:dyDescent="0.25">
      <c r="A357" s="123"/>
      <c r="B357" s="123"/>
      <c r="C357" s="123"/>
      <c r="D357" s="123"/>
      <c r="E357" s="123"/>
    </row>
    <row r="358" spans="1:5" x14ac:dyDescent="0.25">
      <c r="A358" s="123"/>
      <c r="B358" s="123"/>
      <c r="C358" s="123"/>
      <c r="D358" s="123"/>
      <c r="E358" s="123"/>
    </row>
    <row r="359" spans="1:5" x14ac:dyDescent="0.25">
      <c r="A359" s="123"/>
      <c r="B359" s="123"/>
      <c r="C359" s="123"/>
      <c r="D359" s="123"/>
      <c r="E359" s="123"/>
    </row>
    <row r="360" spans="1:5" x14ac:dyDescent="0.25">
      <c r="A360" s="123"/>
      <c r="B360" s="123"/>
      <c r="C360" s="123"/>
      <c r="D360" s="123"/>
      <c r="E360" s="123"/>
    </row>
    <row r="361" spans="1:5" x14ac:dyDescent="0.25">
      <c r="A361" s="123"/>
      <c r="B361" s="123"/>
      <c r="C361" s="123"/>
      <c r="D361" s="123"/>
      <c r="E361" s="123"/>
    </row>
    <row r="362" spans="1:5" x14ac:dyDescent="0.25">
      <c r="A362" s="123"/>
      <c r="B362" s="123"/>
      <c r="C362" s="123"/>
      <c r="D362" s="123"/>
      <c r="E362" s="123"/>
    </row>
    <row r="363" spans="1:5" x14ac:dyDescent="0.25">
      <c r="A363" s="123"/>
      <c r="B363" s="123"/>
      <c r="C363" s="123"/>
      <c r="D363" s="123"/>
      <c r="E363" s="123"/>
    </row>
    <row r="364" spans="1:5" x14ac:dyDescent="0.25">
      <c r="A364" s="123"/>
      <c r="B364" s="123"/>
      <c r="C364" s="123"/>
      <c r="D364" s="123"/>
      <c r="E364" s="123"/>
    </row>
    <row r="365" spans="1:5" x14ac:dyDescent="0.25">
      <c r="A365" s="123"/>
      <c r="B365" s="123"/>
      <c r="C365" s="123"/>
      <c r="D365" s="123"/>
      <c r="E365" s="123"/>
    </row>
    <row r="366" spans="1:5" x14ac:dyDescent="0.25">
      <c r="A366" s="123"/>
      <c r="B366" s="123"/>
      <c r="C366" s="123"/>
      <c r="D366" s="123"/>
      <c r="E366" s="123"/>
    </row>
    <row r="367" spans="1:5" x14ac:dyDescent="0.25">
      <c r="A367" s="123"/>
      <c r="B367" s="123"/>
      <c r="C367" s="123"/>
      <c r="D367" s="123"/>
      <c r="E367" s="123"/>
    </row>
    <row r="368" spans="1:5" x14ac:dyDescent="0.25">
      <c r="A368" s="123"/>
      <c r="B368" s="123"/>
      <c r="C368" s="123"/>
      <c r="D368" s="123"/>
      <c r="E368" s="123"/>
    </row>
    <row r="369" spans="1:5" x14ac:dyDescent="0.25">
      <c r="A369" s="123"/>
      <c r="B369" s="123"/>
      <c r="C369" s="123"/>
      <c r="D369" s="123"/>
      <c r="E369" s="123"/>
    </row>
    <row r="370" spans="1:5" x14ac:dyDescent="0.25">
      <c r="A370" s="123"/>
      <c r="B370" s="123"/>
      <c r="C370" s="123"/>
      <c r="D370" s="123"/>
      <c r="E370" s="123"/>
    </row>
  </sheetData>
  <autoFilter ref="A4:U161"/>
  <dataConsolidate/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E308:E315 E247:E250 E317:E320 E176:E207 E209:E226 D208 E228 E278:E285 E252:E254 E256:E257 E264:E276 E259:E262 E230:E245">
      <formula1>0</formula1>
      <formula2>9999</formula2>
    </dataValidation>
  </dataValidations>
  <printOptions horizontalCentered="1"/>
  <pageMargins left="0.27559055118110237" right="0.19685039370078741" top="0.39370078740157483" bottom="0.43307086614173229" header="0.35433070866141736" footer="0.23622047244094491"/>
  <pageSetup paperSize="9" scale="65" fitToHeight="2" orientation="landscape" r:id="rId1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BX895"/>
  <sheetViews>
    <sheetView topLeftCell="B70" zoomScale="75" zoomScaleNormal="75" workbookViewId="0">
      <pane xSplit="5" topLeftCell="G1" activePane="topRight" state="frozen"/>
      <selection activeCell="F259" sqref="F259"/>
      <selection pane="topRight" activeCell="F259" sqref="F259"/>
    </sheetView>
  </sheetViews>
  <sheetFormatPr defaultRowHeight="18" x14ac:dyDescent="0.25"/>
  <cols>
    <col min="1" max="1" width="8.5703125" style="57" hidden="1" customWidth="1"/>
    <col min="2" max="2" width="6.28515625" style="57" customWidth="1"/>
    <col min="3" max="3" width="6.5703125" style="57" customWidth="1"/>
    <col min="4" max="4" width="8.85546875" style="57" customWidth="1"/>
    <col min="5" max="5" width="9.140625" style="57"/>
    <col min="6" max="6" width="62" style="57" customWidth="1"/>
    <col min="7" max="7" width="20.28515625" style="57" hidden="1" customWidth="1"/>
    <col min="8" max="9" width="20.140625" style="57" hidden="1" customWidth="1"/>
    <col min="10" max="10" width="20.28515625" style="57" hidden="1" customWidth="1"/>
    <col min="11" max="12" width="18.85546875" style="57" hidden="1" customWidth="1"/>
    <col min="13" max="13" width="19.42578125" style="57" hidden="1" customWidth="1"/>
    <col min="14" max="14" width="20.140625" style="57" hidden="1" customWidth="1"/>
    <col min="15" max="16" width="20.42578125" style="60" hidden="1" customWidth="1"/>
    <col min="17" max="17" width="22.42578125" style="60" hidden="1" customWidth="1"/>
    <col min="18" max="18" width="20.42578125" style="60" hidden="1" customWidth="1"/>
    <col min="19" max="19" width="21.140625" style="60" hidden="1" customWidth="1"/>
    <col min="20" max="20" width="20.7109375" style="60" hidden="1" customWidth="1"/>
    <col min="21" max="21" width="3.42578125" style="60" hidden="1" customWidth="1"/>
    <col min="22" max="24" width="20.42578125" style="60" customWidth="1"/>
    <col min="25" max="25" width="20" style="60" customWidth="1"/>
    <col min="26" max="26" width="19.85546875" style="60" customWidth="1"/>
    <col min="27" max="27" width="22.28515625" style="60" customWidth="1"/>
    <col min="28" max="28" width="29.42578125" style="60" customWidth="1"/>
    <col min="29" max="29" width="27" style="60" customWidth="1"/>
    <col min="30" max="16384" width="9.140625" style="61"/>
  </cols>
  <sheetData>
    <row r="1" spans="1:76" ht="62.25" customHeight="1" x14ac:dyDescent="0.25">
      <c r="B1" s="769" t="s">
        <v>783</v>
      </c>
      <c r="C1" s="769"/>
      <c r="D1" s="769"/>
      <c r="E1" s="769"/>
      <c r="F1" s="769"/>
      <c r="G1" s="769"/>
      <c r="H1" s="769"/>
      <c r="I1" s="769"/>
      <c r="J1" s="769"/>
      <c r="K1" s="769"/>
      <c r="L1" s="769"/>
      <c r="M1" s="769"/>
      <c r="N1" s="769"/>
      <c r="O1" s="769"/>
      <c r="P1" s="769"/>
      <c r="Q1" s="769"/>
      <c r="R1" s="769"/>
      <c r="S1" s="769"/>
      <c r="T1" s="769"/>
      <c r="U1" s="769"/>
      <c r="V1" s="769"/>
      <c r="W1" s="769"/>
      <c r="X1" s="769"/>
    </row>
    <row r="3" spans="1:76" ht="113.25" customHeight="1" x14ac:dyDescent="0.25">
      <c r="A3" s="64" t="s">
        <v>657</v>
      </c>
      <c r="B3" s="64" t="s">
        <v>510</v>
      </c>
      <c r="C3" s="64" t="s">
        <v>511</v>
      </c>
      <c r="D3" s="64" t="s">
        <v>512</v>
      </c>
      <c r="E3" s="64" t="s">
        <v>513</v>
      </c>
      <c r="F3" s="65" t="s">
        <v>784</v>
      </c>
      <c r="G3" s="65" t="s">
        <v>659</v>
      </c>
      <c r="H3" s="65" t="s">
        <v>660</v>
      </c>
      <c r="I3" s="65" t="s">
        <v>661</v>
      </c>
      <c r="J3" s="65" t="s">
        <v>517</v>
      </c>
      <c r="K3" s="65" t="s">
        <v>651</v>
      </c>
      <c r="L3" s="65" t="s">
        <v>482</v>
      </c>
      <c r="M3" s="65" t="s">
        <v>483</v>
      </c>
      <c r="N3" s="66" t="s">
        <v>344</v>
      </c>
      <c r="O3" s="66" t="s">
        <v>636</v>
      </c>
      <c r="P3" s="66" t="s">
        <v>353</v>
      </c>
      <c r="Q3" s="66" t="s">
        <v>979</v>
      </c>
      <c r="R3" s="66" t="s">
        <v>871</v>
      </c>
      <c r="S3" s="66" t="s">
        <v>662</v>
      </c>
      <c r="T3" s="66" t="s">
        <v>663</v>
      </c>
      <c r="U3" s="66" t="s">
        <v>384</v>
      </c>
      <c r="V3" s="66" t="s">
        <v>385</v>
      </c>
      <c r="W3" s="66" t="s">
        <v>785</v>
      </c>
      <c r="X3" s="66" t="s">
        <v>786</v>
      </c>
    </row>
    <row r="4" spans="1:76" s="70" customFormat="1" ht="15.75" customHeight="1" x14ac:dyDescent="0.25">
      <c r="A4" s="67"/>
      <c r="B4" s="545" t="s">
        <v>664</v>
      </c>
      <c r="C4" s="545">
        <v>2</v>
      </c>
      <c r="D4" s="545">
        <v>3</v>
      </c>
      <c r="E4" s="545">
        <v>4</v>
      </c>
      <c r="F4" s="545">
        <v>5</v>
      </c>
      <c r="G4" s="68">
        <v>5</v>
      </c>
      <c r="H4" s="68">
        <v>5</v>
      </c>
      <c r="I4" s="68">
        <v>6</v>
      </c>
      <c r="J4" s="68">
        <v>6</v>
      </c>
      <c r="K4" s="68">
        <v>7</v>
      </c>
      <c r="L4" s="68"/>
      <c r="M4" s="68"/>
      <c r="N4" s="68">
        <v>7</v>
      </c>
      <c r="O4" s="546">
        <v>8</v>
      </c>
      <c r="P4" s="68">
        <v>9</v>
      </c>
      <c r="Q4" s="547">
        <v>10</v>
      </c>
      <c r="R4" s="548"/>
      <c r="S4" s="548"/>
      <c r="T4" s="548"/>
      <c r="U4" s="547">
        <v>11</v>
      </c>
      <c r="V4" s="547">
        <v>6</v>
      </c>
      <c r="W4" s="547">
        <v>7</v>
      </c>
      <c r="X4" s="547">
        <v>8</v>
      </c>
      <c r="Y4" s="60"/>
      <c r="Z4" s="60"/>
      <c r="AA4" s="60"/>
      <c r="AB4" s="60"/>
      <c r="AC4" s="60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  <c r="AP4" s="295"/>
      <c r="AQ4" s="295"/>
      <c r="AR4" s="295"/>
      <c r="AS4" s="295"/>
      <c r="AT4" s="295"/>
      <c r="AU4" s="295"/>
      <c r="AV4" s="295"/>
      <c r="AW4" s="295"/>
      <c r="AX4" s="295"/>
      <c r="AY4" s="295"/>
      <c r="AZ4" s="295"/>
      <c r="BA4" s="295"/>
      <c r="BB4" s="295"/>
      <c r="BC4" s="295"/>
      <c r="BD4" s="295"/>
      <c r="BE4" s="295"/>
      <c r="BF4" s="295"/>
      <c r="BG4" s="295"/>
      <c r="BH4" s="295"/>
      <c r="BI4" s="295"/>
      <c r="BJ4" s="295"/>
      <c r="BK4" s="295"/>
      <c r="BL4" s="295"/>
      <c r="BM4" s="295"/>
      <c r="BN4" s="295"/>
      <c r="BO4" s="295"/>
      <c r="BP4" s="295"/>
      <c r="BQ4" s="295"/>
      <c r="BR4" s="295"/>
      <c r="BS4" s="295"/>
      <c r="BT4" s="295"/>
      <c r="BU4" s="295"/>
      <c r="BV4" s="295"/>
      <c r="BW4" s="295"/>
      <c r="BX4" s="295"/>
    </row>
    <row r="5" spans="1:76" s="534" customFormat="1" x14ac:dyDescent="0.25">
      <c r="B5" s="549"/>
      <c r="C5" s="549"/>
      <c r="D5" s="549"/>
      <c r="E5" s="549"/>
      <c r="F5" s="549" t="s">
        <v>782</v>
      </c>
      <c r="G5" s="549"/>
      <c r="H5" s="549"/>
      <c r="I5" s="549"/>
      <c r="J5" s="549"/>
      <c r="K5" s="549"/>
      <c r="L5" s="549"/>
      <c r="M5" s="549"/>
      <c r="N5" s="549"/>
      <c r="O5" s="550"/>
      <c r="P5" s="550"/>
      <c r="Q5" s="550"/>
      <c r="R5" s="550"/>
      <c r="S5" s="550"/>
      <c r="T5" s="550"/>
      <c r="U5" s="550"/>
      <c r="V5" s="551" t="e">
        <f>V7+V133+V145+V257+V370+V482+V608+V632+V744</f>
        <v>#REF!</v>
      </c>
      <c r="W5" s="551" t="e">
        <f>W7+W133+W145+W257+W370+W482+W608+W632+W744</f>
        <v>#REF!</v>
      </c>
      <c r="X5" s="551" t="e">
        <f>X7+X133+X145+X257+X370+X482+X608+X632+X744</f>
        <v>#REF!</v>
      </c>
      <c r="Y5" s="535"/>
      <c r="Z5" s="535"/>
      <c r="AA5" s="535"/>
      <c r="AB5" s="535"/>
      <c r="AC5" s="535"/>
    </row>
    <row r="6" spans="1:76" x14ac:dyDescent="0.25">
      <c r="B6" s="552"/>
      <c r="C6" s="552"/>
      <c r="D6" s="552"/>
      <c r="E6" s="552"/>
      <c r="F6" s="552"/>
      <c r="G6" s="552"/>
      <c r="H6" s="552"/>
      <c r="I6" s="552"/>
      <c r="J6" s="552"/>
      <c r="K6" s="552"/>
      <c r="L6" s="552"/>
      <c r="M6" s="552"/>
      <c r="N6" s="552"/>
      <c r="O6" s="553"/>
      <c r="P6" s="553"/>
      <c r="Q6" s="553"/>
      <c r="R6" s="553"/>
      <c r="S6" s="553"/>
      <c r="T6" s="553"/>
      <c r="U6" s="553"/>
      <c r="V6" s="553"/>
      <c r="W6" s="553"/>
      <c r="X6" s="553"/>
    </row>
    <row r="7" spans="1:76" ht="36" x14ac:dyDescent="0.25">
      <c r="B7" s="552"/>
      <c r="C7" s="552"/>
      <c r="D7" s="552"/>
      <c r="E7" s="552"/>
      <c r="F7" s="554" t="s">
        <v>770</v>
      </c>
      <c r="G7" s="549"/>
      <c r="H7" s="549"/>
      <c r="I7" s="549"/>
      <c r="J7" s="549"/>
      <c r="K7" s="549"/>
      <c r="L7" s="549"/>
      <c r="M7" s="549"/>
      <c r="N7" s="549"/>
      <c r="O7" s="550"/>
      <c r="P7" s="550"/>
      <c r="Q7" s="550"/>
      <c r="R7" s="550"/>
      <c r="S7" s="550"/>
      <c r="T7" s="550"/>
      <c r="U7" s="550"/>
      <c r="V7" s="551" t="e">
        <f>V9+V84+V119</f>
        <v>#REF!</v>
      </c>
      <c r="W7" s="551" t="e">
        <f>W9+W84+W119</f>
        <v>#REF!</v>
      </c>
      <c r="X7" s="551" t="e">
        <f>X9+X84+X119</f>
        <v>#REF!</v>
      </c>
    </row>
    <row r="8" spans="1:76" ht="29.25" customHeight="1" x14ac:dyDescent="0.25">
      <c r="A8" s="108"/>
      <c r="B8" s="80"/>
      <c r="C8" s="80"/>
      <c r="D8" s="80"/>
      <c r="E8" s="80"/>
      <c r="F8" s="555" t="s">
        <v>1016</v>
      </c>
      <c r="G8" s="82"/>
      <c r="H8" s="102"/>
      <c r="I8" s="82"/>
      <c r="J8" s="82"/>
      <c r="K8" s="82"/>
      <c r="L8" s="82"/>
      <c r="M8" s="82"/>
      <c r="N8" s="82"/>
      <c r="O8" s="82"/>
      <c r="P8" s="82"/>
      <c r="Q8" s="386"/>
      <c r="R8" s="82"/>
      <c r="S8" s="82"/>
      <c r="T8" s="82"/>
      <c r="U8" s="357"/>
      <c r="V8" s="357"/>
      <c r="W8" s="357"/>
      <c r="X8" s="357"/>
      <c r="AD8" s="60"/>
      <c r="AE8" s="60"/>
      <c r="AF8" s="60"/>
      <c r="AG8" s="60"/>
      <c r="AH8" s="60"/>
      <c r="AI8" s="60"/>
      <c r="AJ8" s="60"/>
      <c r="AK8" s="60"/>
      <c r="AL8" s="60"/>
    </row>
    <row r="9" spans="1:76" x14ac:dyDescent="0.25">
      <c r="A9" s="544"/>
      <c r="B9" s="105" t="str">
        <f>LEFT(E12,1)</f>
        <v>3</v>
      </c>
      <c r="C9" s="105"/>
      <c r="D9" s="105"/>
      <c r="E9" s="105"/>
      <c r="F9" s="72" t="s">
        <v>524</v>
      </c>
      <c r="G9" s="73" t="e">
        <f>G10+G21+G53+G60+G67+G71+G75</f>
        <v>#REF!</v>
      </c>
      <c r="H9" s="73" t="e">
        <f>H10+H21+H53+H60+H67+H71+H75</f>
        <v>#REF!</v>
      </c>
      <c r="I9" s="73" t="e">
        <f>I10+I21+I53+I60+I67+I71+I75</f>
        <v>#REF!</v>
      </c>
      <c r="J9" s="73" t="e">
        <f>J10+J21+J53+J60+J67+J71+J75</f>
        <v>#REF!</v>
      </c>
      <c r="K9" s="73" t="e">
        <f>K10+K21+K53+K60+K67+K71+K75</f>
        <v>#REF!</v>
      </c>
      <c r="L9" s="73" t="e">
        <f>ROUND(K9/J9*100,2)</f>
        <v>#REF!</v>
      </c>
      <c r="M9" s="73" t="e">
        <f>N9-J9</f>
        <v>#REF!</v>
      </c>
      <c r="N9" s="73" t="e">
        <f t="shared" ref="N9:X9" si="0">N10+N21+N53+N60+N67+N71+N75</f>
        <v>#REF!</v>
      </c>
      <c r="O9" s="73" t="e">
        <f t="shared" si="0"/>
        <v>#REF!</v>
      </c>
      <c r="P9" s="73" t="e">
        <f t="shared" si="0"/>
        <v>#REF!</v>
      </c>
      <c r="Q9" s="384" t="e">
        <f t="shared" si="0"/>
        <v>#REF!</v>
      </c>
      <c r="R9" s="76" t="e">
        <f t="shared" si="0"/>
        <v>#REF!</v>
      </c>
      <c r="S9" s="76" t="e">
        <f t="shared" si="0"/>
        <v>#REF!</v>
      </c>
      <c r="T9" s="76" t="e">
        <f t="shared" si="0"/>
        <v>#REF!</v>
      </c>
      <c r="U9" s="355" t="e">
        <f t="shared" si="0"/>
        <v>#REF!</v>
      </c>
      <c r="V9" s="355" t="e">
        <f t="shared" si="0"/>
        <v>#REF!</v>
      </c>
      <c r="W9" s="355" t="e">
        <f t="shared" si="0"/>
        <v>#REF!</v>
      </c>
      <c r="X9" s="355" t="e">
        <f t="shared" si="0"/>
        <v>#REF!</v>
      </c>
      <c r="AD9" s="60"/>
      <c r="AE9" s="60"/>
      <c r="AF9" s="60"/>
      <c r="AG9" s="60"/>
      <c r="AH9" s="60"/>
      <c r="AI9" s="60"/>
      <c r="AJ9" s="60"/>
      <c r="AK9" s="60"/>
      <c r="AL9" s="60"/>
    </row>
    <row r="10" spans="1:76" ht="16.5" customHeight="1" x14ac:dyDescent="0.25">
      <c r="A10" s="125"/>
      <c r="B10" s="74"/>
      <c r="C10" s="74" t="str">
        <f>LEFT(E12,2)</f>
        <v>31</v>
      </c>
      <c r="D10" s="74"/>
      <c r="E10" s="74"/>
      <c r="F10" s="75" t="s">
        <v>197</v>
      </c>
      <c r="G10" s="77" t="e">
        <f>G11+G16+G18</f>
        <v>#REF!</v>
      </c>
      <c r="H10" s="76" t="e">
        <f>H11+H16+H18</f>
        <v>#REF!</v>
      </c>
      <c r="I10" s="77" t="e">
        <f>I11+I16+I18</f>
        <v>#REF!</v>
      </c>
      <c r="J10" s="77" t="e">
        <f>J11+J16+J18</f>
        <v>#REF!</v>
      </c>
      <c r="K10" s="77" t="e">
        <f>K11+K16+K18</f>
        <v>#REF!</v>
      </c>
      <c r="L10" s="77" t="e">
        <f>ROUND(K10/J10*100,2)</f>
        <v>#REF!</v>
      </c>
      <c r="M10" s="77" t="e">
        <f>N10-J10</f>
        <v>#REF!</v>
      </c>
      <c r="N10" s="77" t="e">
        <f t="shared" ref="N10:X10" si="1">N11+N16+N18</f>
        <v>#REF!</v>
      </c>
      <c r="O10" s="76" t="e">
        <f t="shared" si="1"/>
        <v>#REF!</v>
      </c>
      <c r="P10" s="76" t="e">
        <f t="shared" si="1"/>
        <v>#REF!</v>
      </c>
      <c r="Q10" s="385" t="e">
        <f t="shared" si="1"/>
        <v>#REF!</v>
      </c>
      <c r="R10" s="127" t="e">
        <f t="shared" si="1"/>
        <v>#REF!</v>
      </c>
      <c r="S10" s="127" t="e">
        <f t="shared" si="1"/>
        <v>#REF!</v>
      </c>
      <c r="T10" s="127" t="e">
        <f t="shared" si="1"/>
        <v>#REF!</v>
      </c>
      <c r="U10" s="356" t="e">
        <f t="shared" si="1"/>
        <v>#REF!</v>
      </c>
      <c r="V10" s="356" t="e">
        <f t="shared" si="1"/>
        <v>#REF!</v>
      </c>
      <c r="W10" s="356" t="e">
        <f t="shared" si="1"/>
        <v>#REF!</v>
      </c>
      <c r="X10" s="356" t="e">
        <f t="shared" si="1"/>
        <v>#REF!</v>
      </c>
      <c r="AD10" s="128"/>
      <c r="AE10" s="60"/>
      <c r="AF10" s="60"/>
      <c r="AG10" s="60"/>
      <c r="AH10" s="60"/>
      <c r="AI10" s="60"/>
      <c r="AJ10" s="60"/>
      <c r="AK10" s="60"/>
      <c r="AL10" s="60"/>
    </row>
    <row r="11" spans="1:76" ht="18" customHeight="1" x14ac:dyDescent="0.25">
      <c r="A11" s="80"/>
      <c r="B11" s="80"/>
      <c r="C11" s="80"/>
      <c r="D11" s="80" t="str">
        <f>LEFT(E12,3)</f>
        <v>311</v>
      </c>
      <c r="E11" s="80"/>
      <c r="F11" s="81" t="s">
        <v>198</v>
      </c>
      <c r="G11" s="129" t="e">
        <f t="shared" ref="G11:X11" si="2">SUM(G12:G15)</f>
        <v>#REF!</v>
      </c>
      <c r="H11" s="102" t="e">
        <f t="shared" si="2"/>
        <v>#REF!</v>
      </c>
      <c r="I11" s="129" t="e">
        <f t="shared" si="2"/>
        <v>#REF!</v>
      </c>
      <c r="J11" s="129" t="e">
        <f t="shared" si="2"/>
        <v>#REF!</v>
      </c>
      <c r="K11" s="129" t="e">
        <f t="shared" si="2"/>
        <v>#REF!</v>
      </c>
      <c r="L11" s="129" t="e">
        <f t="shared" si="2"/>
        <v>#REF!</v>
      </c>
      <c r="M11" s="129" t="e">
        <f t="shared" si="2"/>
        <v>#REF!</v>
      </c>
      <c r="N11" s="129" t="e">
        <f t="shared" si="2"/>
        <v>#REF!</v>
      </c>
      <c r="O11" s="129" t="e">
        <f t="shared" si="2"/>
        <v>#REF!</v>
      </c>
      <c r="P11" s="129" t="e">
        <f t="shared" si="2"/>
        <v>#REF!</v>
      </c>
      <c r="Q11" s="389" t="e">
        <f t="shared" si="2"/>
        <v>#REF!</v>
      </c>
      <c r="R11" s="129" t="e">
        <f t="shared" si="2"/>
        <v>#REF!</v>
      </c>
      <c r="S11" s="129" t="e">
        <f t="shared" si="2"/>
        <v>#REF!</v>
      </c>
      <c r="T11" s="129" t="e">
        <f t="shared" si="2"/>
        <v>#REF!</v>
      </c>
      <c r="U11" s="363" t="e">
        <f t="shared" si="2"/>
        <v>#REF!</v>
      </c>
      <c r="V11" s="363" t="e">
        <f t="shared" si="2"/>
        <v>#REF!</v>
      </c>
      <c r="W11" s="363" t="e">
        <f t="shared" si="2"/>
        <v>#REF!</v>
      </c>
      <c r="X11" s="363" t="e">
        <f t="shared" si="2"/>
        <v>#REF!</v>
      </c>
      <c r="AD11" s="60"/>
      <c r="AE11" s="60"/>
      <c r="AF11" s="60"/>
      <c r="AG11" s="60"/>
      <c r="AH11" s="60"/>
      <c r="AI11" s="60"/>
      <c r="AJ11" s="60"/>
      <c r="AK11" s="60"/>
      <c r="AL11" s="60"/>
    </row>
    <row r="12" spans="1:76" ht="18" customHeight="1" x14ac:dyDescent="0.25">
      <c r="A12" s="80"/>
      <c r="B12" s="80"/>
      <c r="C12" s="80"/>
      <c r="D12" s="80"/>
      <c r="E12" s="80">
        <v>3111</v>
      </c>
      <c r="F12" s="81" t="s">
        <v>199</v>
      </c>
      <c r="G12" s="82" t="e">
        <f>SUMIF(#REF!,funkcijska!$E12,#REF!)</f>
        <v>#REF!</v>
      </c>
      <c r="H12" s="82" t="e">
        <f>SUMIF(#REF!,funkcijska!$E12,#REF!)</f>
        <v>#REF!</v>
      </c>
      <c r="I12" s="82" t="e">
        <f>SUMIF(#REF!,funkcijska!$E12,#REF!)</f>
        <v>#REF!</v>
      </c>
      <c r="J12" s="82" t="e">
        <f>SUMIF(#REF!,funkcijska!$E12,#REF!)</f>
        <v>#REF!</v>
      </c>
      <c r="K12" s="82" t="e">
        <f>SUMIF(#REF!,funkcijska!$E12,#REF!)</f>
        <v>#REF!</v>
      </c>
      <c r="L12" s="82" t="e">
        <f t="shared" ref="L12:L17" si="3">ROUND(K12/J12*100,2)</f>
        <v>#REF!</v>
      </c>
      <c r="M12" s="82" t="e">
        <f t="shared" ref="M12:M17" si="4">N12-J12</f>
        <v>#REF!</v>
      </c>
      <c r="N12" s="82" t="e">
        <f>SUMIF(#REF!,funkcijska!$E12,#REF!)</f>
        <v>#REF!</v>
      </c>
      <c r="O12" s="82" t="e">
        <f>SUMIF(#REF!,funkcijska!$E12,#REF!)</f>
        <v>#REF!</v>
      </c>
      <c r="P12" s="82" t="e">
        <f>SUMIF(#REF!,funkcijska!$E12,#REF!)</f>
        <v>#REF!</v>
      </c>
      <c r="Q12" s="386" t="e">
        <f>SUMIF(#REF!,funkcijska!$E12,#REF!)</f>
        <v>#REF!</v>
      </c>
      <c r="R12" s="82" t="e">
        <f>SUMIF(#REF!,funkcijska!$E12,#REF!)</f>
        <v>#REF!</v>
      </c>
      <c r="S12" s="82" t="e">
        <f>SUMIF(#REF!,funkcijska!$E12,#REF!)</f>
        <v>#REF!</v>
      </c>
      <c r="T12" s="82" t="e">
        <f>SUMIF(#REF!,funkcijska!$E$12,#REF!)</f>
        <v>#REF!</v>
      </c>
      <c r="U12" s="357" t="e">
        <f>SUMIF(#REF!,funkcijska!$E12,#REF!)</f>
        <v>#REF!</v>
      </c>
      <c r="V12" s="357" t="e">
        <f>SUMIF(#REF!,funkcijska!$E12,#REF!)+SUMIF(#REF!,funkcijska!$E12,#REF!)</f>
        <v>#REF!</v>
      </c>
      <c r="W12" s="357" t="e">
        <f>SUMIF(#REF!,funkcijska!$E12,#REF!)+SUMIF(#REF!,funkcijska!$E12,#REF!)</f>
        <v>#REF!</v>
      </c>
      <c r="X12" s="357" t="e">
        <f>SUMIF(#REF!,funkcijska!$E12,#REF!)+SUMIF(#REF!,funkcijska!$E12,#REF!)</f>
        <v>#REF!</v>
      </c>
      <c r="AD12" s="60"/>
      <c r="AE12" s="60"/>
      <c r="AF12" s="60"/>
      <c r="AG12" s="60"/>
      <c r="AH12" s="60"/>
      <c r="AI12" s="60"/>
      <c r="AJ12" s="60"/>
      <c r="AK12" s="60"/>
      <c r="AL12" s="60"/>
    </row>
    <row r="13" spans="1:76" x14ac:dyDescent="0.25">
      <c r="A13" s="80"/>
      <c r="B13" s="80"/>
      <c r="C13" s="80"/>
      <c r="D13" s="80"/>
      <c r="E13" s="80">
        <v>3112</v>
      </c>
      <c r="F13" s="81" t="s">
        <v>219</v>
      </c>
      <c r="G13" s="82" t="e">
        <f>SUMIF(#REF!,funkcijska!$E13,#REF!)</f>
        <v>#REF!</v>
      </c>
      <c r="H13" s="82" t="e">
        <f>SUMIF(#REF!,funkcijska!$E13,#REF!)</f>
        <v>#REF!</v>
      </c>
      <c r="I13" s="82" t="e">
        <f>SUMIF(#REF!,funkcijska!$E13,#REF!)</f>
        <v>#REF!</v>
      </c>
      <c r="J13" s="82" t="e">
        <f>SUMIF(#REF!,funkcijska!$E13,#REF!)</f>
        <v>#REF!</v>
      </c>
      <c r="K13" s="82" t="e">
        <f>SUMIF(#REF!,funkcijska!$E13,#REF!)</f>
        <v>#REF!</v>
      </c>
      <c r="L13" s="82" t="e">
        <f t="shared" si="3"/>
        <v>#REF!</v>
      </c>
      <c r="M13" s="82" t="e">
        <f t="shared" si="4"/>
        <v>#REF!</v>
      </c>
      <c r="N13" s="82" t="e">
        <f>SUMIF(#REF!,funkcijska!$E13,#REF!)</f>
        <v>#REF!</v>
      </c>
      <c r="O13" s="82" t="e">
        <f>SUMIF(#REF!,funkcijska!$E13,#REF!)</f>
        <v>#REF!</v>
      </c>
      <c r="P13" s="82" t="e">
        <f>SUMIF(#REF!,funkcijska!$E13,#REF!)</f>
        <v>#REF!</v>
      </c>
      <c r="Q13" s="386" t="e">
        <f>SUMIF(#REF!,funkcijska!$E13,#REF!)</f>
        <v>#REF!</v>
      </c>
      <c r="R13" s="82" t="e">
        <f>SUMIF(#REF!,funkcijska!$E13,#REF!)</f>
        <v>#REF!</v>
      </c>
      <c r="S13" s="82" t="e">
        <f>SUMIF(#REF!,funkcijska!$E13,#REF!)</f>
        <v>#REF!</v>
      </c>
      <c r="T13" s="82" t="e">
        <f>SUMIF(#REF!,funkcijska!$E$13,#REF!)</f>
        <v>#REF!</v>
      </c>
      <c r="U13" s="357" t="e">
        <f>SUMIF(#REF!,funkcijska!$E13,#REF!)</f>
        <v>#REF!</v>
      </c>
      <c r="V13" s="357" t="e">
        <f>SUMIF(#REF!,funkcijska!$E13,#REF!)+SUMIF(#REF!,funkcijska!$E13,#REF!)</f>
        <v>#REF!</v>
      </c>
      <c r="W13" s="357" t="e">
        <f>SUMIF(#REF!,funkcijska!$E13,#REF!)+SUMIF(#REF!,funkcijska!$E13,#REF!)</f>
        <v>#REF!</v>
      </c>
      <c r="X13" s="357" t="e">
        <f>SUMIF(#REF!,funkcijska!$E13,#REF!)+SUMIF(#REF!,funkcijska!$E13,#REF!)</f>
        <v>#REF!</v>
      </c>
      <c r="AD13" s="60"/>
      <c r="AE13" s="60"/>
      <c r="AF13" s="60"/>
      <c r="AG13" s="60"/>
      <c r="AH13" s="60"/>
      <c r="AI13" s="60"/>
      <c r="AJ13" s="60"/>
      <c r="AK13" s="60"/>
      <c r="AL13" s="60"/>
    </row>
    <row r="14" spans="1:76" x14ac:dyDescent="0.25">
      <c r="A14" s="80"/>
      <c r="B14" s="80"/>
      <c r="C14" s="80"/>
      <c r="D14" s="80"/>
      <c r="E14" s="80">
        <v>3113</v>
      </c>
      <c r="F14" s="81" t="s">
        <v>476</v>
      </c>
      <c r="G14" s="82" t="e">
        <f>SUMIF(#REF!,funkcijska!$E14,#REF!)</f>
        <v>#REF!</v>
      </c>
      <c r="H14" s="82" t="e">
        <f>SUMIF(#REF!,funkcijska!$E14,#REF!)</f>
        <v>#REF!</v>
      </c>
      <c r="I14" s="82" t="e">
        <f>SUMIF(#REF!,funkcijska!$E14,#REF!)</f>
        <v>#REF!</v>
      </c>
      <c r="J14" s="82" t="e">
        <f>SUMIF(#REF!,funkcijska!$E14,#REF!)</f>
        <v>#REF!</v>
      </c>
      <c r="K14" s="82" t="e">
        <f>SUMIF(#REF!,funkcijska!$E14,#REF!)</f>
        <v>#REF!</v>
      </c>
      <c r="L14" s="82" t="e">
        <f t="shared" si="3"/>
        <v>#REF!</v>
      </c>
      <c r="M14" s="82" t="e">
        <f t="shared" si="4"/>
        <v>#REF!</v>
      </c>
      <c r="N14" s="82" t="e">
        <f>SUMIF(#REF!,funkcijska!$E14,#REF!)</f>
        <v>#REF!</v>
      </c>
      <c r="O14" s="82" t="e">
        <f>SUMIF(#REF!,funkcijska!$E14,#REF!)</f>
        <v>#REF!</v>
      </c>
      <c r="P14" s="82" t="e">
        <f>SUMIF(#REF!,funkcijska!$E14,#REF!)</f>
        <v>#REF!</v>
      </c>
      <c r="Q14" s="386" t="e">
        <f>SUMIF(#REF!,funkcijska!$E14,#REF!)</f>
        <v>#REF!</v>
      </c>
      <c r="R14" s="82" t="e">
        <f>SUMIF(#REF!,funkcijska!$E14,#REF!)</f>
        <v>#REF!</v>
      </c>
      <c r="S14" s="82" t="e">
        <f>SUMIF(#REF!,funkcijska!$E14,#REF!)</f>
        <v>#REF!</v>
      </c>
      <c r="T14" s="82" t="e">
        <f>SUMIF(#REF!,funkcijska!$E$14,#REF!)</f>
        <v>#REF!</v>
      </c>
      <c r="U14" s="357" t="e">
        <f>SUMIF(#REF!,funkcijska!$E14,#REF!)</f>
        <v>#REF!</v>
      </c>
      <c r="V14" s="357" t="e">
        <f>SUMIF(#REF!,funkcijska!$E14,#REF!)+SUMIF(#REF!,funkcijska!$E14,#REF!)</f>
        <v>#REF!</v>
      </c>
      <c r="W14" s="357" t="e">
        <f>SUMIF(#REF!,funkcijska!$E14,#REF!)+SUMIF(#REF!,funkcijska!$E14,#REF!)</f>
        <v>#REF!</v>
      </c>
      <c r="X14" s="357" t="e">
        <f>SUMIF(#REF!,funkcijska!$E14,#REF!)+SUMIF(#REF!,funkcijska!$E14,#REF!)</f>
        <v>#REF!</v>
      </c>
      <c r="AD14" s="60"/>
      <c r="AE14" s="60"/>
      <c r="AF14" s="60"/>
      <c r="AG14" s="60"/>
      <c r="AH14" s="60"/>
      <c r="AI14" s="60"/>
      <c r="AJ14" s="60"/>
      <c r="AK14" s="60"/>
      <c r="AL14" s="60"/>
    </row>
    <row r="15" spans="1:76" x14ac:dyDescent="0.25">
      <c r="A15" s="80"/>
      <c r="B15" s="80"/>
      <c r="C15" s="80"/>
      <c r="D15" s="80"/>
      <c r="E15" s="80">
        <v>3114</v>
      </c>
      <c r="F15" s="81" t="s">
        <v>643</v>
      </c>
      <c r="G15" s="82" t="e">
        <f>SUMIF(#REF!,funkcijska!$E15,#REF!)</f>
        <v>#REF!</v>
      </c>
      <c r="H15" s="82" t="e">
        <f>SUMIF(#REF!,funkcijska!$E15,#REF!)</f>
        <v>#REF!</v>
      </c>
      <c r="I15" s="82" t="e">
        <f>SUMIF(#REF!,funkcijska!$E15,#REF!)</f>
        <v>#REF!</v>
      </c>
      <c r="J15" s="82" t="e">
        <f>SUMIF(#REF!,funkcijska!$E15,#REF!)</f>
        <v>#REF!</v>
      </c>
      <c r="K15" s="82" t="e">
        <f>SUMIF(#REF!,funkcijska!$E15,#REF!)</f>
        <v>#REF!</v>
      </c>
      <c r="L15" s="82" t="e">
        <f t="shared" si="3"/>
        <v>#REF!</v>
      </c>
      <c r="M15" s="82" t="e">
        <f t="shared" si="4"/>
        <v>#REF!</v>
      </c>
      <c r="N15" s="82" t="e">
        <f>SUMIF(#REF!,funkcijska!$E15,#REF!)</f>
        <v>#REF!</v>
      </c>
      <c r="O15" s="82" t="e">
        <f>SUMIF(#REF!,funkcijska!$E15,#REF!)</f>
        <v>#REF!</v>
      </c>
      <c r="P15" s="82" t="e">
        <f>SUMIF(#REF!,funkcijska!$E15,#REF!)</f>
        <v>#REF!</v>
      </c>
      <c r="Q15" s="386" t="e">
        <f>SUMIF(#REF!,funkcijska!$E15,#REF!)</f>
        <v>#REF!</v>
      </c>
      <c r="R15" s="82" t="e">
        <f>SUMIF(#REF!,funkcijska!$E15,#REF!)</f>
        <v>#REF!</v>
      </c>
      <c r="S15" s="82" t="e">
        <f>SUMIF(#REF!,funkcijska!$E15,#REF!)</f>
        <v>#REF!</v>
      </c>
      <c r="T15" s="82" t="e">
        <f>SUMIF(#REF!,funkcijska!$E$15,#REF!)</f>
        <v>#REF!</v>
      </c>
      <c r="U15" s="357" t="e">
        <f>SUMIF(#REF!,funkcijska!$E15,#REF!)</f>
        <v>#REF!</v>
      </c>
      <c r="V15" s="357" t="e">
        <f>SUMIF(#REF!,funkcijska!$E15,#REF!)+SUMIF(#REF!,funkcijska!$E15,#REF!)</f>
        <v>#REF!</v>
      </c>
      <c r="W15" s="357" t="e">
        <f>SUMIF(#REF!,funkcijska!$E15,#REF!)+SUMIF(#REF!,funkcijska!$E15,#REF!)</f>
        <v>#REF!</v>
      </c>
      <c r="X15" s="357" t="e">
        <f>SUMIF(#REF!,funkcijska!$E15,#REF!)+SUMIF(#REF!,funkcijska!$E15,#REF!)</f>
        <v>#REF!</v>
      </c>
      <c r="AD15" s="60"/>
      <c r="AE15" s="60"/>
      <c r="AF15" s="60"/>
      <c r="AG15" s="60"/>
      <c r="AH15" s="60"/>
      <c r="AI15" s="60"/>
      <c r="AJ15" s="60"/>
      <c r="AK15" s="60"/>
      <c r="AL15" s="60"/>
    </row>
    <row r="16" spans="1:76" ht="17.25" customHeight="1" x14ac:dyDescent="0.25">
      <c r="A16" s="80"/>
      <c r="B16" s="80"/>
      <c r="C16" s="80"/>
      <c r="D16" s="80" t="str">
        <f>LEFT(E17,3)</f>
        <v>312</v>
      </c>
      <c r="E16" s="80"/>
      <c r="F16" s="81" t="s">
        <v>200</v>
      </c>
      <c r="G16" s="84" t="e">
        <f>G17</f>
        <v>#REF!</v>
      </c>
      <c r="H16" s="82" t="e">
        <f>SUMIF(#REF!,funkcijska!$E16,#REF!)</f>
        <v>#REF!</v>
      </c>
      <c r="I16" s="84" t="e">
        <f>I17</f>
        <v>#REF!</v>
      </c>
      <c r="J16" s="84" t="e">
        <f>J17</f>
        <v>#REF!</v>
      </c>
      <c r="K16" s="84" t="e">
        <f>K17</f>
        <v>#REF!</v>
      </c>
      <c r="L16" s="84" t="e">
        <f t="shared" si="3"/>
        <v>#REF!</v>
      </c>
      <c r="M16" s="84" t="e">
        <f t="shared" si="4"/>
        <v>#REF!</v>
      </c>
      <c r="N16" s="84" t="e">
        <f t="shared" ref="N16:X16" si="5">N17</f>
        <v>#REF!</v>
      </c>
      <c r="O16" s="84" t="e">
        <f t="shared" si="5"/>
        <v>#REF!</v>
      </c>
      <c r="P16" s="84" t="e">
        <f t="shared" si="5"/>
        <v>#REF!</v>
      </c>
      <c r="Q16" s="390" t="e">
        <f t="shared" si="5"/>
        <v>#REF!</v>
      </c>
      <c r="R16" s="84" t="e">
        <f t="shared" si="5"/>
        <v>#REF!</v>
      </c>
      <c r="S16" s="84" t="e">
        <f t="shared" si="5"/>
        <v>#REF!</v>
      </c>
      <c r="T16" s="84" t="e">
        <f t="shared" si="5"/>
        <v>#REF!</v>
      </c>
      <c r="U16" s="357" t="e">
        <f t="shared" si="5"/>
        <v>#REF!</v>
      </c>
      <c r="V16" s="357" t="e">
        <f t="shared" si="5"/>
        <v>#REF!</v>
      </c>
      <c r="W16" s="357" t="e">
        <f t="shared" si="5"/>
        <v>#REF!</v>
      </c>
      <c r="X16" s="357" t="e">
        <f t="shared" si="5"/>
        <v>#REF!</v>
      </c>
      <c r="AD16" s="60"/>
      <c r="AE16" s="60"/>
      <c r="AF16" s="60"/>
      <c r="AG16" s="60"/>
      <c r="AH16" s="60"/>
      <c r="AI16" s="60"/>
      <c r="AJ16" s="60"/>
      <c r="AK16" s="60"/>
      <c r="AL16" s="60"/>
    </row>
    <row r="17" spans="1:38" x14ac:dyDescent="0.25">
      <c r="A17" s="80"/>
      <c r="B17" s="80"/>
      <c r="C17" s="80"/>
      <c r="D17" s="80"/>
      <c r="E17" s="80">
        <v>3121</v>
      </c>
      <c r="F17" s="81" t="s">
        <v>200</v>
      </c>
      <c r="G17" s="82" t="e">
        <f>SUMIF(#REF!,funkcijska!$E17,#REF!)</f>
        <v>#REF!</v>
      </c>
      <c r="H17" s="82" t="e">
        <f>SUMIF(#REF!,funkcijska!$E17,#REF!)</f>
        <v>#REF!</v>
      </c>
      <c r="I17" s="82" t="e">
        <f>SUMIF(#REF!,funkcijska!$E17,#REF!)</f>
        <v>#REF!</v>
      </c>
      <c r="J17" s="82" t="e">
        <f>SUMIF(#REF!,funkcijska!$E17,#REF!)</f>
        <v>#REF!</v>
      </c>
      <c r="K17" s="82" t="e">
        <f>SUMIF(#REF!,funkcijska!$E17,#REF!)</f>
        <v>#REF!</v>
      </c>
      <c r="L17" s="82" t="e">
        <f t="shared" si="3"/>
        <v>#REF!</v>
      </c>
      <c r="M17" s="82" t="e">
        <f t="shared" si="4"/>
        <v>#REF!</v>
      </c>
      <c r="N17" s="82" t="e">
        <f>SUMIF(#REF!,funkcijska!$E17,#REF!)</f>
        <v>#REF!</v>
      </c>
      <c r="O17" s="82" t="e">
        <f>SUMIF(#REF!,funkcijska!$E17,#REF!)</f>
        <v>#REF!</v>
      </c>
      <c r="P17" s="82" t="e">
        <f>SUMIF(#REF!,funkcijska!$E17,#REF!)</f>
        <v>#REF!</v>
      </c>
      <c r="Q17" s="386" t="e">
        <f>SUMIF(#REF!,funkcijska!$E17,#REF!)</f>
        <v>#REF!</v>
      </c>
      <c r="R17" s="82" t="e">
        <f>SUMIF(#REF!,funkcijska!$E17,#REF!)</f>
        <v>#REF!</v>
      </c>
      <c r="S17" s="82" t="e">
        <f>SUMIF(#REF!,funkcijska!$E17,#REF!)</f>
        <v>#REF!</v>
      </c>
      <c r="T17" s="82" t="e">
        <f>SUMIF(#REF!,funkcijska!$E$17,#REF!)</f>
        <v>#REF!</v>
      </c>
      <c r="U17" s="357" t="e">
        <f>SUMIF(#REF!,funkcijska!$E17,#REF!)</f>
        <v>#REF!</v>
      </c>
      <c r="V17" s="357" t="e">
        <f>SUMIF(#REF!,funkcijska!$E17,#REF!)+SUMIF(#REF!,funkcijska!$E17,#REF!)</f>
        <v>#REF!</v>
      </c>
      <c r="W17" s="357" t="e">
        <f>SUMIF(#REF!,funkcijska!$E17,#REF!)+SUMIF(#REF!,funkcijska!$E17,#REF!)</f>
        <v>#REF!</v>
      </c>
      <c r="X17" s="357" t="e">
        <f>SUMIF(#REF!,funkcijska!$E17,#REF!)+SUMIF(#REF!,funkcijska!$E17,#REF!)</f>
        <v>#REF!</v>
      </c>
      <c r="AD17" s="60"/>
      <c r="AE17" s="60"/>
      <c r="AF17" s="60"/>
      <c r="AG17" s="60"/>
      <c r="AH17" s="60"/>
      <c r="AI17" s="60"/>
      <c r="AJ17" s="60"/>
      <c r="AK17" s="60"/>
      <c r="AL17" s="60"/>
    </row>
    <row r="18" spans="1:38" ht="17.25" customHeight="1" x14ac:dyDescent="0.25">
      <c r="A18" s="80"/>
      <c r="B18" s="80"/>
      <c r="C18" s="80"/>
      <c r="D18" s="80" t="str">
        <f>LEFT(E19,3)</f>
        <v>313</v>
      </c>
      <c r="E18" s="80"/>
      <c r="F18" s="81" t="s">
        <v>201</v>
      </c>
      <c r="G18" s="84" t="e">
        <f>SUM(G19:G20)</f>
        <v>#REF!</v>
      </c>
      <c r="H18" s="82" t="e">
        <f>SUMIF(#REF!,funkcijska!$E18,#REF!)</f>
        <v>#REF!</v>
      </c>
      <c r="I18" s="84" t="e">
        <f t="shared" ref="I18:X18" si="6">SUM(I19:I20)</f>
        <v>#REF!</v>
      </c>
      <c r="J18" s="84" t="e">
        <f t="shared" si="6"/>
        <v>#REF!</v>
      </c>
      <c r="K18" s="84" t="e">
        <f t="shared" si="6"/>
        <v>#REF!</v>
      </c>
      <c r="L18" s="84" t="e">
        <f t="shared" si="6"/>
        <v>#REF!</v>
      </c>
      <c r="M18" s="84" t="e">
        <f t="shared" si="6"/>
        <v>#REF!</v>
      </c>
      <c r="N18" s="84" t="e">
        <f t="shared" si="6"/>
        <v>#REF!</v>
      </c>
      <c r="O18" s="84" t="e">
        <f t="shared" si="6"/>
        <v>#REF!</v>
      </c>
      <c r="P18" s="84" t="e">
        <f t="shared" si="6"/>
        <v>#REF!</v>
      </c>
      <c r="Q18" s="390" t="e">
        <f t="shared" si="6"/>
        <v>#REF!</v>
      </c>
      <c r="R18" s="84" t="e">
        <f t="shared" si="6"/>
        <v>#REF!</v>
      </c>
      <c r="S18" s="84" t="e">
        <f t="shared" si="6"/>
        <v>#REF!</v>
      </c>
      <c r="T18" s="84" t="e">
        <f t="shared" si="6"/>
        <v>#REF!</v>
      </c>
      <c r="U18" s="357" t="e">
        <f t="shared" si="6"/>
        <v>#REF!</v>
      </c>
      <c r="V18" s="357" t="e">
        <f t="shared" si="6"/>
        <v>#REF!</v>
      </c>
      <c r="W18" s="357" t="e">
        <f t="shared" si="6"/>
        <v>#REF!</v>
      </c>
      <c r="X18" s="357" t="e">
        <f t="shared" si="6"/>
        <v>#REF!</v>
      </c>
      <c r="AD18" s="60"/>
      <c r="AE18" s="60"/>
      <c r="AF18" s="60"/>
      <c r="AG18" s="60"/>
      <c r="AH18" s="60"/>
      <c r="AI18" s="60"/>
      <c r="AJ18" s="60"/>
      <c r="AK18" s="60"/>
      <c r="AL18" s="60"/>
    </row>
    <row r="19" spans="1:38" x14ac:dyDescent="0.25">
      <c r="A19" s="80"/>
      <c r="B19" s="80"/>
      <c r="C19" s="80"/>
      <c r="D19" s="80"/>
      <c r="E19" s="80">
        <v>3132</v>
      </c>
      <c r="F19" s="81" t="s">
        <v>202</v>
      </c>
      <c r="G19" s="82" t="e">
        <f>SUMIF(#REF!,funkcijska!$E19,#REF!)</f>
        <v>#REF!</v>
      </c>
      <c r="H19" s="82" t="e">
        <f>SUMIF(#REF!,funkcijska!$E19,#REF!)</f>
        <v>#REF!</v>
      </c>
      <c r="I19" s="82" t="e">
        <f>SUMIF(#REF!,funkcijska!$E19,#REF!)</f>
        <v>#REF!</v>
      </c>
      <c r="J19" s="82" t="e">
        <f>SUMIF(#REF!,funkcijska!$E19,#REF!)</f>
        <v>#REF!</v>
      </c>
      <c r="K19" s="82" t="e">
        <f>SUMIF(#REF!,funkcijska!$E19,#REF!)</f>
        <v>#REF!</v>
      </c>
      <c r="L19" s="82" t="e">
        <f>ROUND(K19/J19*100,2)</f>
        <v>#REF!</v>
      </c>
      <c r="M19" s="82" t="e">
        <f>N19-J19</f>
        <v>#REF!</v>
      </c>
      <c r="N19" s="82" t="e">
        <f>SUMIF(#REF!,funkcijska!$E19,#REF!)</f>
        <v>#REF!</v>
      </c>
      <c r="O19" s="82" t="e">
        <f>SUMIF(#REF!,funkcijska!$E19,#REF!)</f>
        <v>#REF!</v>
      </c>
      <c r="P19" s="82" t="e">
        <f>SUMIF(#REF!,funkcijska!$E19,#REF!)</f>
        <v>#REF!</v>
      </c>
      <c r="Q19" s="386" t="e">
        <f>SUMIF(#REF!,funkcijska!$E19,#REF!)</f>
        <v>#REF!</v>
      </c>
      <c r="R19" s="82" t="e">
        <f>SUMIF(#REF!,funkcijska!$E19,#REF!)</f>
        <v>#REF!</v>
      </c>
      <c r="S19" s="82" t="e">
        <f>SUMIF(#REF!,funkcijska!$E19,#REF!)</f>
        <v>#REF!</v>
      </c>
      <c r="T19" s="82" t="e">
        <f>SUMIF(#REF!,funkcijska!$E$19,#REF!)</f>
        <v>#REF!</v>
      </c>
      <c r="U19" s="357" t="e">
        <f>SUMIF(#REF!,funkcijska!$E19,#REF!)</f>
        <v>#REF!</v>
      </c>
      <c r="V19" s="357" t="e">
        <f>SUMIF(#REF!,funkcijska!$E19,#REF!)+SUMIF(#REF!,funkcijska!$E19,#REF!)</f>
        <v>#REF!</v>
      </c>
      <c r="W19" s="357" t="e">
        <f>SUMIF(#REF!,funkcijska!$E19,#REF!)+SUMIF(#REF!,funkcijska!$E19,#REF!)</f>
        <v>#REF!</v>
      </c>
      <c r="X19" s="357" t="e">
        <f>SUMIF(#REF!,funkcijska!$E19,#REF!)+SUMIF(#REF!,funkcijska!$E19,#REF!)</f>
        <v>#REF!</v>
      </c>
      <c r="AD19" s="60"/>
      <c r="AE19" s="60"/>
      <c r="AF19" s="60"/>
      <c r="AG19" s="60"/>
      <c r="AH19" s="60"/>
      <c r="AI19" s="60"/>
      <c r="AJ19" s="60"/>
      <c r="AK19" s="60"/>
      <c r="AL19" s="60"/>
    </row>
    <row r="20" spans="1:38" ht="36" x14ac:dyDescent="0.25">
      <c r="A20" s="80"/>
      <c r="B20" s="80"/>
      <c r="C20" s="80"/>
      <c r="D20" s="80"/>
      <c r="E20" s="80">
        <v>3133</v>
      </c>
      <c r="F20" s="81" t="s">
        <v>203</v>
      </c>
      <c r="G20" s="82" t="e">
        <f>SUMIF(#REF!,funkcijska!$E20,#REF!)</f>
        <v>#REF!</v>
      </c>
      <c r="H20" s="82" t="e">
        <f>SUMIF(#REF!,funkcijska!$E20,#REF!)</f>
        <v>#REF!</v>
      </c>
      <c r="I20" s="82" t="e">
        <f>SUMIF(#REF!,funkcijska!$E20,#REF!)</f>
        <v>#REF!</v>
      </c>
      <c r="J20" s="82" t="e">
        <f>SUMIF(#REF!,funkcijska!$E20,#REF!)</f>
        <v>#REF!</v>
      </c>
      <c r="K20" s="82" t="e">
        <f>SUMIF(#REF!,funkcijska!$E20,#REF!)</f>
        <v>#REF!</v>
      </c>
      <c r="L20" s="82" t="e">
        <f>ROUND(K20/J20*100,2)</f>
        <v>#REF!</v>
      </c>
      <c r="M20" s="82" t="e">
        <f>N20-J20</f>
        <v>#REF!</v>
      </c>
      <c r="N20" s="82" t="e">
        <f>SUMIF(#REF!,funkcijska!$E20,#REF!)</f>
        <v>#REF!</v>
      </c>
      <c r="O20" s="82" t="e">
        <f>SUMIF(#REF!,funkcijska!$E20,#REF!)</f>
        <v>#REF!</v>
      </c>
      <c r="P20" s="82" t="e">
        <f>SUMIF(#REF!,funkcijska!$E20,#REF!)</f>
        <v>#REF!</v>
      </c>
      <c r="Q20" s="386" t="e">
        <f>SUMIF(#REF!,funkcijska!$E20,#REF!)</f>
        <v>#REF!</v>
      </c>
      <c r="R20" s="82" t="e">
        <f>SUMIF(#REF!,funkcijska!$E20,#REF!)</f>
        <v>#REF!</v>
      </c>
      <c r="S20" s="82" t="e">
        <f>SUMIF(#REF!,funkcijska!$E20,#REF!)</f>
        <v>#REF!</v>
      </c>
      <c r="T20" s="82" t="e">
        <f>SUMIF(#REF!,funkcijska!$E$20,#REF!)</f>
        <v>#REF!</v>
      </c>
      <c r="U20" s="357" t="e">
        <f>SUMIF(#REF!,funkcijska!$E20,#REF!)</f>
        <v>#REF!</v>
      </c>
      <c r="V20" s="357" t="e">
        <f>SUMIF(#REF!,funkcijska!$E20,#REF!)+SUMIF(#REF!,funkcijska!$E20,#REF!)</f>
        <v>#REF!</v>
      </c>
      <c r="W20" s="357" t="e">
        <f>SUMIF(#REF!,funkcijska!$E20,#REF!)+SUMIF(#REF!,funkcijska!$E20,#REF!)</f>
        <v>#REF!</v>
      </c>
      <c r="X20" s="357" t="e">
        <f>SUMIF(#REF!,funkcijska!$E20,#REF!)+SUMIF(#REF!,funkcijska!$E20,#REF!)</f>
        <v>#REF!</v>
      </c>
      <c r="AD20" s="60"/>
      <c r="AE20" s="60"/>
      <c r="AF20" s="60"/>
      <c r="AG20" s="60"/>
      <c r="AH20" s="60"/>
      <c r="AI20" s="60"/>
      <c r="AJ20" s="60"/>
      <c r="AK20" s="60"/>
      <c r="AL20" s="60"/>
    </row>
    <row r="21" spans="1:38" ht="18.75" customHeight="1" x14ac:dyDescent="0.25">
      <c r="A21" s="125"/>
      <c r="B21" s="74"/>
      <c r="C21" s="74" t="str">
        <f>LEFT(E23,2)</f>
        <v>32</v>
      </c>
      <c r="D21" s="74"/>
      <c r="E21" s="74"/>
      <c r="F21" s="75" t="s">
        <v>525</v>
      </c>
      <c r="G21" s="310" t="e">
        <f>G22+G27+G34+G46</f>
        <v>#REF!</v>
      </c>
      <c r="H21" s="118" t="e">
        <f>H22+H27+H34+H46</f>
        <v>#REF!</v>
      </c>
      <c r="I21" s="310" t="e">
        <f>I22+I27+I34+I46</f>
        <v>#REF!</v>
      </c>
      <c r="J21" s="310" t="e">
        <f>J22+J27+J34+J44+J46</f>
        <v>#REF!</v>
      </c>
      <c r="K21" s="310" t="e">
        <f>K22+K27+K34+K44+K46</f>
        <v>#REF!</v>
      </c>
      <c r="L21" s="310" t="e">
        <f>ROUND(K21/J21*100,2)</f>
        <v>#REF!</v>
      </c>
      <c r="M21" s="310" t="e">
        <f>N21-J21</f>
        <v>#REF!</v>
      </c>
      <c r="N21" s="310" t="e">
        <f t="shared" ref="N21:X21" si="7">N22+N27+N34+N44+N46</f>
        <v>#REF!</v>
      </c>
      <c r="O21" s="310" t="e">
        <f t="shared" si="7"/>
        <v>#REF!</v>
      </c>
      <c r="P21" s="310" t="e">
        <f t="shared" si="7"/>
        <v>#REF!</v>
      </c>
      <c r="Q21" s="391" t="e">
        <f t="shared" si="7"/>
        <v>#REF!</v>
      </c>
      <c r="R21" s="130" t="e">
        <f t="shared" si="7"/>
        <v>#REF!</v>
      </c>
      <c r="S21" s="130" t="e">
        <f t="shared" si="7"/>
        <v>#REF!</v>
      </c>
      <c r="T21" s="130" t="e">
        <f t="shared" si="7"/>
        <v>#REF!</v>
      </c>
      <c r="U21" s="364" t="e">
        <f t="shared" si="7"/>
        <v>#REF!</v>
      </c>
      <c r="V21" s="364" t="e">
        <f t="shared" si="7"/>
        <v>#REF!</v>
      </c>
      <c r="W21" s="364" t="e">
        <f t="shared" si="7"/>
        <v>#REF!</v>
      </c>
      <c r="X21" s="364" t="e">
        <f t="shared" si="7"/>
        <v>#REF!</v>
      </c>
      <c r="AD21" s="60"/>
      <c r="AE21" s="60"/>
      <c r="AF21" s="60"/>
      <c r="AG21" s="60"/>
      <c r="AH21" s="60"/>
      <c r="AI21" s="60"/>
      <c r="AJ21" s="60"/>
      <c r="AK21" s="60"/>
      <c r="AL21" s="60"/>
    </row>
    <row r="22" spans="1:38" s="373" customFormat="1" ht="16.5" customHeight="1" x14ac:dyDescent="0.25">
      <c r="A22" s="119"/>
      <c r="B22" s="119"/>
      <c r="C22" s="119"/>
      <c r="D22" s="119" t="str">
        <f>LEFT(E23,3)</f>
        <v>321</v>
      </c>
      <c r="E22" s="119"/>
      <c r="F22" s="368" t="s">
        <v>564</v>
      </c>
      <c r="G22" s="369" t="e">
        <f>SUM(G23:G25)</f>
        <v>#REF!</v>
      </c>
      <c r="H22" s="370" t="e">
        <f>SUM(H23:H25)</f>
        <v>#REF!</v>
      </c>
      <c r="I22" s="369" t="e">
        <f t="shared" ref="I22:X22" si="8">SUM(I23:I26)</f>
        <v>#REF!</v>
      </c>
      <c r="J22" s="369" t="e">
        <f t="shared" si="8"/>
        <v>#REF!</v>
      </c>
      <c r="K22" s="369" t="e">
        <f t="shared" si="8"/>
        <v>#REF!</v>
      </c>
      <c r="L22" s="369" t="e">
        <f t="shared" si="8"/>
        <v>#REF!</v>
      </c>
      <c r="M22" s="369" t="e">
        <f t="shared" si="8"/>
        <v>#REF!</v>
      </c>
      <c r="N22" s="369" t="e">
        <f t="shared" si="8"/>
        <v>#REF!</v>
      </c>
      <c r="O22" s="369" t="e">
        <f t="shared" si="8"/>
        <v>#REF!</v>
      </c>
      <c r="P22" s="369" t="e">
        <f t="shared" si="8"/>
        <v>#REF!</v>
      </c>
      <c r="Q22" s="392" t="e">
        <f t="shared" si="8"/>
        <v>#REF!</v>
      </c>
      <c r="R22" s="369" t="e">
        <f t="shared" si="8"/>
        <v>#REF!</v>
      </c>
      <c r="S22" s="369" t="e">
        <f t="shared" si="8"/>
        <v>#REF!</v>
      </c>
      <c r="T22" s="369" t="e">
        <f t="shared" si="8"/>
        <v>#REF!</v>
      </c>
      <c r="U22" s="374" t="e">
        <f t="shared" si="8"/>
        <v>#REF!</v>
      </c>
      <c r="V22" s="374" t="e">
        <f t="shared" si="8"/>
        <v>#REF!</v>
      </c>
      <c r="W22" s="374" t="e">
        <f t="shared" si="8"/>
        <v>#REF!</v>
      </c>
      <c r="X22" s="374" t="e">
        <f t="shared" si="8"/>
        <v>#REF!</v>
      </c>
      <c r="Y22" s="372"/>
      <c r="Z22" s="372"/>
      <c r="AA22" s="372"/>
      <c r="AB22" s="372"/>
      <c r="AC22" s="372"/>
      <c r="AD22" s="372"/>
      <c r="AE22" s="372"/>
      <c r="AF22" s="372"/>
      <c r="AG22" s="372"/>
      <c r="AH22" s="372"/>
      <c r="AI22" s="372"/>
      <c r="AJ22" s="372"/>
      <c r="AK22" s="372"/>
      <c r="AL22" s="372"/>
    </row>
    <row r="23" spans="1:38" x14ac:dyDescent="0.25">
      <c r="A23" s="80"/>
      <c r="B23" s="80"/>
      <c r="C23" s="80"/>
      <c r="D23" s="80"/>
      <c r="E23" s="80">
        <v>3211</v>
      </c>
      <c r="F23" s="81" t="s">
        <v>565</v>
      </c>
      <c r="G23" s="82" t="e">
        <f>SUMIF(#REF!,funkcijska!$E23,#REF!)</f>
        <v>#REF!</v>
      </c>
      <c r="H23" s="82" t="e">
        <f>SUMIF(#REF!,funkcijska!$E23,#REF!)</f>
        <v>#REF!</v>
      </c>
      <c r="I23" s="82" t="e">
        <f>SUMIF(#REF!,funkcijska!$E23,#REF!)</f>
        <v>#REF!</v>
      </c>
      <c r="J23" s="82" t="e">
        <f>SUMIF(#REF!,funkcijska!$E23,#REF!)</f>
        <v>#REF!</v>
      </c>
      <c r="K23" s="82" t="e">
        <f>SUMIF(#REF!,funkcijska!$E23,#REF!)</f>
        <v>#REF!</v>
      </c>
      <c r="L23" s="82" t="e">
        <f>ROUND(K23/J23*100,2)</f>
        <v>#REF!</v>
      </c>
      <c r="M23" s="82" t="e">
        <f>N23-J23</f>
        <v>#REF!</v>
      </c>
      <c r="N23" s="82" t="e">
        <f>SUMIF(#REF!,funkcijska!$E23,#REF!)</f>
        <v>#REF!</v>
      </c>
      <c r="O23" s="82" t="e">
        <f>SUMIF(#REF!,funkcijska!$E23,#REF!)</f>
        <v>#REF!</v>
      </c>
      <c r="P23" s="82" t="e">
        <f>SUMIF(#REF!,funkcijska!$E23,#REF!)</f>
        <v>#REF!</v>
      </c>
      <c r="Q23" s="386" t="e">
        <f>SUMIF(#REF!,funkcijska!$E23,#REF!)</f>
        <v>#REF!</v>
      </c>
      <c r="R23" s="82" t="e">
        <f>SUMIF(#REF!,funkcijska!$E23,#REF!)</f>
        <v>#REF!</v>
      </c>
      <c r="S23" s="82" t="e">
        <f>SUMIF(#REF!,funkcijska!$E23,#REF!)</f>
        <v>#REF!</v>
      </c>
      <c r="T23" s="82" t="e">
        <f>SUMIF(#REF!,funkcijska!$E$23,#REF!)</f>
        <v>#REF!</v>
      </c>
      <c r="U23" s="357" t="e">
        <f>SUMIF(#REF!,funkcijska!$E23,#REF!)</f>
        <v>#REF!</v>
      </c>
      <c r="V23" s="357" t="e">
        <f>SUMIF(#REF!,funkcijska!$E23,#REF!)+SUMIF(#REF!,funkcijska!$E23,#REF!)</f>
        <v>#REF!</v>
      </c>
      <c r="W23" s="357" t="e">
        <f>SUMIF(#REF!,funkcijska!$E23,#REF!)+SUMIF(#REF!,funkcijska!$E23,#REF!)</f>
        <v>#REF!</v>
      </c>
      <c r="X23" s="357" t="e">
        <f>SUMIF(#REF!,funkcijska!$E23,#REF!)+SUMIF(#REF!,funkcijska!$E23,#REF!)</f>
        <v>#REF!</v>
      </c>
      <c r="AD23" s="60"/>
      <c r="AE23" s="60"/>
      <c r="AF23" s="60"/>
      <c r="AG23" s="60"/>
      <c r="AH23" s="60"/>
      <c r="AI23" s="60"/>
      <c r="AJ23" s="60"/>
      <c r="AK23" s="60"/>
      <c r="AL23" s="60"/>
    </row>
    <row r="24" spans="1:38" ht="39" customHeight="1" x14ac:dyDescent="0.25">
      <c r="A24" s="80"/>
      <c r="B24" s="80"/>
      <c r="C24" s="80"/>
      <c r="D24" s="80"/>
      <c r="E24" s="80">
        <v>3212</v>
      </c>
      <c r="F24" s="81" t="s">
        <v>220</v>
      </c>
      <c r="G24" s="82" t="e">
        <f>SUMIF(#REF!,funkcijska!$E24,#REF!)</f>
        <v>#REF!</v>
      </c>
      <c r="H24" s="82" t="e">
        <f>SUMIF(#REF!,funkcijska!$E24,#REF!)</f>
        <v>#REF!</v>
      </c>
      <c r="I24" s="82" t="e">
        <f>SUMIF(#REF!,funkcijska!$E24,#REF!)</f>
        <v>#REF!</v>
      </c>
      <c r="J24" s="82" t="e">
        <f>SUMIF(#REF!,funkcijska!$E24,#REF!)</f>
        <v>#REF!</v>
      </c>
      <c r="K24" s="82" t="e">
        <f>SUMIF(#REF!,funkcijska!$E24,#REF!)</f>
        <v>#REF!</v>
      </c>
      <c r="L24" s="82" t="e">
        <f>ROUND(K24/J24*100,2)</f>
        <v>#REF!</v>
      </c>
      <c r="M24" s="82" t="e">
        <f>N24-J24</f>
        <v>#REF!</v>
      </c>
      <c r="N24" s="82" t="e">
        <f>SUMIF(#REF!,funkcijska!$E24,#REF!)</f>
        <v>#REF!</v>
      </c>
      <c r="O24" s="82" t="e">
        <f>SUMIF(#REF!,funkcijska!$E24,#REF!)</f>
        <v>#REF!</v>
      </c>
      <c r="P24" s="82" t="e">
        <f>SUMIF(#REF!,funkcijska!$E24,#REF!)</f>
        <v>#REF!</v>
      </c>
      <c r="Q24" s="386" t="e">
        <f>SUMIF(#REF!,funkcijska!$E24,#REF!)</f>
        <v>#REF!</v>
      </c>
      <c r="R24" s="82" t="e">
        <f>SUMIF(#REF!,funkcijska!$E24,#REF!)</f>
        <v>#REF!</v>
      </c>
      <c r="S24" s="82" t="e">
        <f>SUMIF(#REF!,funkcijska!$E24,#REF!)</f>
        <v>#REF!</v>
      </c>
      <c r="T24" s="82" t="e">
        <f>SUMIF(#REF!,funkcijska!$E$24,#REF!)</f>
        <v>#REF!</v>
      </c>
      <c r="U24" s="357" t="e">
        <f>SUMIF(#REF!,funkcijska!$E24,#REF!)</f>
        <v>#REF!</v>
      </c>
      <c r="V24" s="357" t="e">
        <f>SUMIF(#REF!,funkcijska!$E24,#REF!)+SUMIF(#REF!,funkcijska!$E24,#REF!)</f>
        <v>#REF!</v>
      </c>
      <c r="W24" s="357" t="e">
        <f>SUMIF(#REF!,funkcijska!$E24,#REF!)+SUMIF(#REF!,funkcijska!$E24,#REF!)</f>
        <v>#REF!</v>
      </c>
      <c r="X24" s="357" t="e">
        <f>SUMIF(#REF!,funkcijska!$E24,#REF!)+SUMIF(#REF!,funkcijska!$E24,#REF!)</f>
        <v>#REF!</v>
      </c>
      <c r="AD24" s="60"/>
      <c r="AE24" s="60"/>
      <c r="AF24" s="60"/>
      <c r="AG24" s="60"/>
      <c r="AH24" s="60"/>
      <c r="AI24" s="60"/>
      <c r="AJ24" s="60"/>
      <c r="AK24" s="60"/>
      <c r="AL24" s="60"/>
    </row>
    <row r="25" spans="1:38" ht="22.5" customHeight="1" x14ac:dyDescent="0.25">
      <c r="A25" s="80"/>
      <c r="B25" s="80"/>
      <c r="C25" s="80"/>
      <c r="D25" s="80"/>
      <c r="E25" s="80">
        <v>3213</v>
      </c>
      <c r="F25" s="81" t="s">
        <v>221</v>
      </c>
      <c r="G25" s="82" t="e">
        <f>SUMIF(#REF!,funkcijska!$E25,#REF!)</f>
        <v>#REF!</v>
      </c>
      <c r="H25" s="82" t="e">
        <f>SUMIF(#REF!,funkcijska!$E25,#REF!)</f>
        <v>#REF!</v>
      </c>
      <c r="I25" s="82" t="e">
        <f>SUMIF(#REF!,funkcijska!$E25,#REF!)</f>
        <v>#REF!</v>
      </c>
      <c r="J25" s="82" t="e">
        <f>SUMIF(#REF!,funkcijska!$E25,#REF!)</f>
        <v>#REF!</v>
      </c>
      <c r="K25" s="82" t="e">
        <f>SUMIF(#REF!,funkcijska!$E25,#REF!)</f>
        <v>#REF!</v>
      </c>
      <c r="L25" s="82" t="e">
        <f>ROUND(K25/J25*100,2)</f>
        <v>#REF!</v>
      </c>
      <c r="M25" s="82" t="e">
        <f>N25-J25</f>
        <v>#REF!</v>
      </c>
      <c r="N25" s="82" t="e">
        <f>SUMIF(#REF!,funkcijska!$E25,#REF!)</f>
        <v>#REF!</v>
      </c>
      <c r="O25" s="82" t="e">
        <f>SUMIF(#REF!,funkcijska!$E25,#REF!)</f>
        <v>#REF!</v>
      </c>
      <c r="P25" s="82" t="e">
        <f>SUMIF(#REF!,funkcijska!$E25,#REF!)</f>
        <v>#REF!</v>
      </c>
      <c r="Q25" s="386" t="e">
        <f>SUMIF(#REF!,funkcijska!$E25,#REF!)</f>
        <v>#REF!</v>
      </c>
      <c r="R25" s="82" t="e">
        <f>SUMIF(#REF!,funkcijska!$E25,#REF!)</f>
        <v>#REF!</v>
      </c>
      <c r="S25" s="82" t="e">
        <f>SUMIF(#REF!,funkcijska!$E25,#REF!)</f>
        <v>#REF!</v>
      </c>
      <c r="T25" s="82" t="e">
        <f>SUMIF(#REF!,funkcijska!$E$25,#REF!)</f>
        <v>#REF!</v>
      </c>
      <c r="U25" s="357" t="e">
        <f>SUMIF(#REF!,funkcijska!$E25,#REF!)</f>
        <v>#REF!</v>
      </c>
      <c r="V25" s="357" t="e">
        <f>SUMIF(#REF!,funkcijska!$E25,#REF!)+SUMIF(#REF!,funkcijska!$E25,#REF!)</f>
        <v>#REF!</v>
      </c>
      <c r="W25" s="357" t="e">
        <f>SUMIF(#REF!,funkcijska!$E25,#REF!)+SUMIF(#REF!,funkcijska!$E25,#REF!)</f>
        <v>#REF!</v>
      </c>
      <c r="X25" s="357" t="e">
        <f>SUMIF(#REF!,funkcijska!$E25,#REF!)+SUMIF(#REF!,funkcijska!$E25,#REF!)</f>
        <v>#REF!</v>
      </c>
      <c r="AD25" s="60"/>
      <c r="AE25" s="60"/>
      <c r="AF25" s="60"/>
      <c r="AG25" s="60"/>
      <c r="AH25" s="60"/>
      <c r="AI25" s="60"/>
      <c r="AJ25" s="60"/>
      <c r="AK25" s="60"/>
      <c r="AL25" s="60"/>
    </row>
    <row r="26" spans="1:38" ht="22.5" customHeight="1" x14ac:dyDescent="0.25">
      <c r="A26" s="80"/>
      <c r="B26" s="80"/>
      <c r="C26" s="80"/>
      <c r="D26" s="80"/>
      <c r="E26" s="80">
        <v>3214</v>
      </c>
      <c r="F26" s="81" t="s">
        <v>852</v>
      </c>
      <c r="G26" s="82" t="e">
        <f>SUMIF(#REF!,funkcijska!$E26,#REF!)</f>
        <v>#REF!</v>
      </c>
      <c r="H26" s="82" t="e">
        <f>SUMIF(#REF!,funkcijska!$E26,#REF!)</f>
        <v>#REF!</v>
      </c>
      <c r="I26" s="82" t="e">
        <f>SUMIF(#REF!,funkcijska!$E26,#REF!)</f>
        <v>#REF!</v>
      </c>
      <c r="J26" s="82" t="e">
        <f>SUMIF(#REF!,funkcijska!$E26,#REF!)</f>
        <v>#REF!</v>
      </c>
      <c r="K26" s="82" t="e">
        <f>SUMIF(#REF!,funkcijska!$E26,#REF!)</f>
        <v>#REF!</v>
      </c>
      <c r="L26" s="82" t="e">
        <f>ROUND(K26/J26*100,2)</f>
        <v>#REF!</v>
      </c>
      <c r="M26" s="82" t="e">
        <f>N26-J26</f>
        <v>#REF!</v>
      </c>
      <c r="N26" s="82" t="e">
        <f>SUMIF(#REF!,funkcijska!$E26,#REF!)</f>
        <v>#REF!</v>
      </c>
      <c r="O26" s="82" t="e">
        <f>SUMIF(#REF!,funkcijska!$E26,#REF!)</f>
        <v>#REF!</v>
      </c>
      <c r="P26" s="82" t="e">
        <f>SUMIF(#REF!,funkcijska!$E26,#REF!)</f>
        <v>#REF!</v>
      </c>
      <c r="Q26" s="386" t="e">
        <f>SUMIF(#REF!,funkcijska!$E26,#REF!)</f>
        <v>#REF!</v>
      </c>
      <c r="R26" s="82" t="e">
        <f>SUMIF(#REF!,funkcijska!$E26,#REF!)</f>
        <v>#REF!</v>
      </c>
      <c r="S26" s="82" t="e">
        <f>SUMIF(#REF!,funkcijska!$E26,#REF!)</f>
        <v>#REF!</v>
      </c>
      <c r="T26" s="82" t="e">
        <f>SUMIF(#REF!,funkcijska!$E$26,#REF!)</f>
        <v>#REF!</v>
      </c>
      <c r="U26" s="357" t="e">
        <f>SUMIF(#REF!,funkcijska!$E26,#REF!)</f>
        <v>#REF!</v>
      </c>
      <c r="V26" s="357" t="e">
        <f>SUMIF(#REF!,funkcijska!$E26,#REF!)+SUMIF(#REF!,funkcijska!$E26,#REF!)</f>
        <v>#REF!</v>
      </c>
      <c r="W26" s="357" t="e">
        <f>SUMIF(#REF!,funkcijska!$E26,#REF!)+SUMIF(#REF!,funkcijska!$E26,#REF!)</f>
        <v>#REF!</v>
      </c>
      <c r="X26" s="357" t="e">
        <f>SUMIF(#REF!,funkcijska!$E26,#REF!)+SUMIF(#REF!,funkcijska!$E26,#REF!)</f>
        <v>#REF!</v>
      </c>
      <c r="AD26" s="60"/>
      <c r="AE26" s="60"/>
      <c r="AF26" s="60"/>
      <c r="AG26" s="60"/>
      <c r="AH26" s="60"/>
      <c r="AI26" s="60"/>
      <c r="AJ26" s="60"/>
      <c r="AK26" s="60"/>
      <c r="AL26" s="60"/>
    </row>
    <row r="27" spans="1:38" s="373" customFormat="1" ht="22.5" customHeight="1" x14ac:dyDescent="0.25">
      <c r="A27" s="119"/>
      <c r="B27" s="119"/>
      <c r="C27" s="119"/>
      <c r="D27" s="119" t="str">
        <f>LEFT(E28,3)</f>
        <v>322</v>
      </c>
      <c r="E27" s="119"/>
      <c r="F27" s="368" t="s">
        <v>547</v>
      </c>
      <c r="G27" s="369" t="e">
        <f>SUM(G28:G32)</f>
        <v>#REF!</v>
      </c>
      <c r="H27" s="370" t="e">
        <f>SUM(H28:H32)</f>
        <v>#REF!</v>
      </c>
      <c r="I27" s="369" t="e">
        <f t="shared" ref="I27:X27" si="9">SUM(I28:I33)</f>
        <v>#REF!</v>
      </c>
      <c r="J27" s="369" t="e">
        <f t="shared" si="9"/>
        <v>#REF!</v>
      </c>
      <c r="K27" s="369" t="e">
        <f t="shared" si="9"/>
        <v>#REF!</v>
      </c>
      <c r="L27" s="369" t="e">
        <f t="shared" si="9"/>
        <v>#REF!</v>
      </c>
      <c r="M27" s="369" t="e">
        <f t="shared" si="9"/>
        <v>#REF!</v>
      </c>
      <c r="N27" s="369" t="e">
        <f t="shared" si="9"/>
        <v>#REF!</v>
      </c>
      <c r="O27" s="369" t="e">
        <f t="shared" si="9"/>
        <v>#REF!</v>
      </c>
      <c r="P27" s="369" t="e">
        <f t="shared" si="9"/>
        <v>#REF!</v>
      </c>
      <c r="Q27" s="392" t="e">
        <f t="shared" si="9"/>
        <v>#REF!</v>
      </c>
      <c r="R27" s="369" t="e">
        <f t="shared" si="9"/>
        <v>#REF!</v>
      </c>
      <c r="S27" s="369" t="e">
        <f t="shared" si="9"/>
        <v>#REF!</v>
      </c>
      <c r="T27" s="369" t="e">
        <f t="shared" si="9"/>
        <v>#REF!</v>
      </c>
      <c r="U27" s="371" t="e">
        <f t="shared" si="9"/>
        <v>#REF!</v>
      </c>
      <c r="V27" s="371" t="e">
        <f t="shared" si="9"/>
        <v>#REF!</v>
      </c>
      <c r="W27" s="371" t="e">
        <f t="shared" si="9"/>
        <v>#REF!</v>
      </c>
      <c r="X27" s="371" t="e">
        <f t="shared" si="9"/>
        <v>#REF!</v>
      </c>
      <c r="Y27" s="372"/>
      <c r="Z27" s="372"/>
      <c r="AA27" s="372"/>
      <c r="AB27" s="372"/>
      <c r="AC27" s="372"/>
      <c r="AD27" s="372"/>
      <c r="AE27" s="372"/>
      <c r="AF27" s="372"/>
      <c r="AG27" s="372"/>
      <c r="AH27" s="372"/>
      <c r="AI27" s="372"/>
      <c r="AJ27" s="372"/>
      <c r="AK27" s="372"/>
      <c r="AL27" s="372"/>
    </row>
    <row r="28" spans="1:38" ht="20.25" customHeight="1" x14ac:dyDescent="0.25">
      <c r="A28" s="80"/>
      <c r="B28" s="80"/>
      <c r="C28" s="80"/>
      <c r="D28" s="80"/>
      <c r="E28" s="80">
        <v>3221</v>
      </c>
      <c r="F28" s="81" t="s">
        <v>548</v>
      </c>
      <c r="G28" s="82" t="e">
        <f>SUMIF(#REF!,funkcijska!$E28,#REF!)</f>
        <v>#REF!</v>
      </c>
      <c r="H28" s="82" t="e">
        <f>SUMIF(#REF!,funkcijska!$E28,#REF!)</f>
        <v>#REF!</v>
      </c>
      <c r="I28" s="82" t="e">
        <f>SUMIF(#REF!,funkcijska!$E28,#REF!)</f>
        <v>#REF!</v>
      </c>
      <c r="J28" s="82" t="e">
        <f>SUMIF(#REF!,funkcijska!$E28,#REF!)</f>
        <v>#REF!</v>
      </c>
      <c r="K28" s="82" t="e">
        <f>SUMIF(#REF!,funkcijska!$E28,#REF!)</f>
        <v>#REF!</v>
      </c>
      <c r="L28" s="82" t="e">
        <f t="shared" ref="L28:L33" si="10">ROUND(K28/J28*100,2)</f>
        <v>#REF!</v>
      </c>
      <c r="M28" s="82" t="e">
        <f t="shared" ref="M28:M33" si="11">N28-J28</f>
        <v>#REF!</v>
      </c>
      <c r="N28" s="82" t="e">
        <f>SUMIF(#REF!,funkcijska!$E28,#REF!)</f>
        <v>#REF!</v>
      </c>
      <c r="O28" s="82" t="e">
        <f>SUMIF(#REF!,funkcijska!$E28,#REF!)</f>
        <v>#REF!</v>
      </c>
      <c r="P28" s="82" t="e">
        <f>SUMIF(#REF!,funkcijska!$E28,#REF!)</f>
        <v>#REF!</v>
      </c>
      <c r="Q28" s="386" t="e">
        <f>SUMIF(#REF!,funkcijska!$E28,#REF!)</f>
        <v>#REF!</v>
      </c>
      <c r="R28" s="82" t="e">
        <f>SUMIF(#REF!,funkcijska!$E28,#REF!)</f>
        <v>#REF!</v>
      </c>
      <c r="S28" s="82" t="e">
        <f>SUMIF(#REF!,funkcijska!$E28,#REF!)</f>
        <v>#REF!</v>
      </c>
      <c r="T28" s="82" t="e">
        <f>SUMIF(#REF!,funkcijska!$E$28,#REF!)</f>
        <v>#REF!</v>
      </c>
      <c r="U28" s="357" t="e">
        <f>SUMIF(#REF!,funkcijska!$E28,#REF!)</f>
        <v>#REF!</v>
      </c>
      <c r="V28" s="357" t="e">
        <f>SUMIF(#REF!,funkcijska!$E28,#REF!)+SUMIF(#REF!,funkcijska!$E28,#REF!)</f>
        <v>#REF!</v>
      </c>
      <c r="W28" s="357" t="e">
        <f>SUMIF(#REF!,funkcijska!$E28,#REF!)+SUMIF(#REF!,funkcijska!$E28,#REF!)</f>
        <v>#REF!</v>
      </c>
      <c r="X28" s="357" t="e">
        <f>SUMIF(#REF!,funkcijska!$E28,#REF!)+SUMIF(#REF!,funkcijska!$E28,#REF!)</f>
        <v>#REF!</v>
      </c>
      <c r="AD28" s="60"/>
      <c r="AE28" s="60"/>
      <c r="AF28" s="60"/>
      <c r="AG28" s="60"/>
      <c r="AH28" s="60"/>
      <c r="AI28" s="60"/>
      <c r="AJ28" s="60"/>
      <c r="AK28" s="60"/>
      <c r="AL28" s="60"/>
    </row>
    <row r="29" spans="1:38" ht="16.5" customHeight="1" x14ac:dyDescent="0.25">
      <c r="A29" s="80"/>
      <c r="B29" s="80"/>
      <c r="C29" s="80"/>
      <c r="D29" s="80"/>
      <c r="E29" s="80">
        <v>3222</v>
      </c>
      <c r="F29" s="81" t="s">
        <v>474</v>
      </c>
      <c r="G29" s="82" t="e">
        <f>SUMIF(#REF!,funkcijska!$E29,#REF!)</f>
        <v>#REF!</v>
      </c>
      <c r="H29" s="82" t="e">
        <f>SUMIF(#REF!,funkcijska!$E29,#REF!)</f>
        <v>#REF!</v>
      </c>
      <c r="I29" s="82" t="e">
        <f>SUMIF(#REF!,funkcijska!$E29,#REF!)</f>
        <v>#REF!</v>
      </c>
      <c r="J29" s="82" t="e">
        <f>SUMIF(#REF!,funkcijska!$E29,#REF!)</f>
        <v>#REF!</v>
      </c>
      <c r="K29" s="82" t="e">
        <f>SUMIF(#REF!,funkcijska!$E29,#REF!)</f>
        <v>#REF!</v>
      </c>
      <c r="L29" s="82" t="e">
        <f t="shared" si="10"/>
        <v>#REF!</v>
      </c>
      <c r="M29" s="82" t="e">
        <f t="shared" si="11"/>
        <v>#REF!</v>
      </c>
      <c r="N29" s="82" t="e">
        <f>SUMIF(#REF!,funkcijska!$E29,#REF!)</f>
        <v>#REF!</v>
      </c>
      <c r="O29" s="82" t="e">
        <f>SUMIF(#REF!,funkcijska!$E29,#REF!)</f>
        <v>#REF!</v>
      </c>
      <c r="P29" s="82" t="e">
        <f>SUMIF(#REF!,funkcijska!$E29,#REF!)</f>
        <v>#REF!</v>
      </c>
      <c r="Q29" s="386" t="e">
        <f>SUMIF(#REF!,funkcijska!$E29,#REF!)</f>
        <v>#REF!</v>
      </c>
      <c r="R29" s="82" t="e">
        <f>SUMIF(#REF!,funkcijska!$E29,#REF!)</f>
        <v>#REF!</v>
      </c>
      <c r="S29" s="82" t="e">
        <f>SUMIF(#REF!,funkcijska!$E29,#REF!)</f>
        <v>#REF!</v>
      </c>
      <c r="T29" s="82" t="e">
        <f>SUMIF(#REF!,funkcijska!$E$29,#REF!)</f>
        <v>#REF!</v>
      </c>
      <c r="U29" s="357" t="e">
        <f>SUMIF(#REF!,funkcijska!$E29,#REF!)</f>
        <v>#REF!</v>
      </c>
      <c r="V29" s="357" t="e">
        <f>SUMIF(#REF!,funkcijska!$E29,#REF!)+SUMIF(#REF!,funkcijska!$E29,#REF!)</f>
        <v>#REF!</v>
      </c>
      <c r="W29" s="357" t="e">
        <f>SUMIF(#REF!,funkcijska!$E29,#REF!)+SUMIF(#REF!,funkcijska!$E29,#REF!)</f>
        <v>#REF!</v>
      </c>
      <c r="X29" s="357" t="e">
        <f>SUMIF(#REF!,funkcijska!$E29,#REF!)+SUMIF(#REF!,funkcijska!$E29,#REF!)</f>
        <v>#REF!</v>
      </c>
      <c r="AD29" s="60"/>
      <c r="AE29" s="60"/>
      <c r="AF29" s="60"/>
      <c r="AG29" s="60"/>
      <c r="AH29" s="60"/>
      <c r="AI29" s="60"/>
      <c r="AJ29" s="60"/>
      <c r="AK29" s="60"/>
      <c r="AL29" s="60"/>
    </row>
    <row r="30" spans="1:38" ht="16.5" customHeight="1" x14ac:dyDescent="0.25">
      <c r="A30" s="80"/>
      <c r="B30" s="80"/>
      <c r="C30" s="80"/>
      <c r="D30" s="80"/>
      <c r="E30" s="80">
        <v>3223</v>
      </c>
      <c r="F30" s="81" t="s">
        <v>204</v>
      </c>
      <c r="G30" s="82" t="e">
        <f>SUMIF(#REF!,funkcijska!$E30,#REF!)</f>
        <v>#REF!</v>
      </c>
      <c r="H30" s="82" t="e">
        <f>SUMIF(#REF!,funkcijska!$E30,#REF!)</f>
        <v>#REF!</v>
      </c>
      <c r="I30" s="82" t="e">
        <f>SUMIF(#REF!,funkcijska!$E30,#REF!)</f>
        <v>#REF!</v>
      </c>
      <c r="J30" s="82" t="e">
        <f>SUMIF(#REF!,funkcijska!$E30,#REF!)</f>
        <v>#REF!</v>
      </c>
      <c r="K30" s="82" t="e">
        <f>SUMIF(#REF!,funkcijska!$E30,#REF!)</f>
        <v>#REF!</v>
      </c>
      <c r="L30" s="82" t="e">
        <f t="shared" si="10"/>
        <v>#REF!</v>
      </c>
      <c r="M30" s="82" t="e">
        <f t="shared" si="11"/>
        <v>#REF!</v>
      </c>
      <c r="N30" s="82" t="e">
        <f>SUMIF(#REF!,funkcijska!$E30,#REF!)</f>
        <v>#REF!</v>
      </c>
      <c r="O30" s="82" t="e">
        <f>SUMIF(#REF!,funkcijska!$E30,#REF!)</f>
        <v>#REF!</v>
      </c>
      <c r="P30" s="82" t="e">
        <f>SUMIF(#REF!,funkcijska!$E30,#REF!)</f>
        <v>#REF!</v>
      </c>
      <c r="Q30" s="386" t="e">
        <f>SUMIF(#REF!,funkcijska!$E30,#REF!)</f>
        <v>#REF!</v>
      </c>
      <c r="R30" s="82" t="e">
        <f>SUMIF(#REF!,funkcijska!$E30,#REF!)</f>
        <v>#REF!</v>
      </c>
      <c r="S30" s="82" t="e">
        <f>SUMIF(#REF!,funkcijska!$E30,#REF!)</f>
        <v>#REF!</v>
      </c>
      <c r="T30" s="82" t="e">
        <f>SUMIF(#REF!,funkcijska!$E$30,#REF!)</f>
        <v>#REF!</v>
      </c>
      <c r="U30" s="357" t="e">
        <f>SUMIF(#REF!,funkcijska!$E30,#REF!)</f>
        <v>#REF!</v>
      </c>
      <c r="V30" s="357" t="e">
        <f>SUMIF(#REF!,funkcijska!$E30,#REF!)+SUMIF(#REF!,funkcijska!$E30,#REF!)</f>
        <v>#REF!</v>
      </c>
      <c r="W30" s="357" t="e">
        <f>SUMIF(#REF!,funkcijska!$E30,#REF!)+SUMIF(#REF!,funkcijska!$E30,#REF!)</f>
        <v>#REF!</v>
      </c>
      <c r="X30" s="357" t="e">
        <f>SUMIF(#REF!,funkcijska!$E30,#REF!)+SUMIF(#REF!,funkcijska!$E30,#REF!)</f>
        <v>#REF!</v>
      </c>
      <c r="AD30" s="60"/>
      <c r="AE30" s="60"/>
      <c r="AF30" s="60"/>
      <c r="AG30" s="60"/>
      <c r="AH30" s="60"/>
      <c r="AI30" s="60"/>
      <c r="AJ30" s="60"/>
      <c r="AK30" s="60"/>
      <c r="AL30" s="60"/>
    </row>
    <row r="31" spans="1:38" ht="36.75" customHeight="1" x14ac:dyDescent="0.25">
      <c r="A31" s="80"/>
      <c r="B31" s="80"/>
      <c r="C31" s="80"/>
      <c r="D31" s="80"/>
      <c r="E31" s="80">
        <v>3224</v>
      </c>
      <c r="F31" s="81" t="s">
        <v>853</v>
      </c>
      <c r="G31" s="82" t="e">
        <f>SUMIF(#REF!,funkcijska!$E31,#REF!)</f>
        <v>#REF!</v>
      </c>
      <c r="H31" s="82" t="e">
        <f>SUMIF(#REF!,funkcijska!$E31,#REF!)</f>
        <v>#REF!</v>
      </c>
      <c r="I31" s="82" t="e">
        <f>SUMIF(#REF!,funkcijska!$E31,#REF!)</f>
        <v>#REF!</v>
      </c>
      <c r="J31" s="82" t="e">
        <f>SUMIF(#REF!,funkcijska!$E31,#REF!)</f>
        <v>#REF!</v>
      </c>
      <c r="K31" s="82" t="e">
        <f>SUMIF(#REF!,funkcijska!$E31,#REF!)</f>
        <v>#REF!</v>
      </c>
      <c r="L31" s="82" t="e">
        <f t="shared" si="10"/>
        <v>#REF!</v>
      </c>
      <c r="M31" s="82" t="e">
        <f t="shared" si="11"/>
        <v>#REF!</v>
      </c>
      <c r="N31" s="82" t="e">
        <f>SUMIF(#REF!,funkcijska!$E31,#REF!)</f>
        <v>#REF!</v>
      </c>
      <c r="O31" s="82" t="e">
        <f>SUMIF(#REF!,funkcijska!$E31,#REF!)</f>
        <v>#REF!</v>
      </c>
      <c r="P31" s="82" t="e">
        <f>SUMIF(#REF!,funkcijska!$E31,#REF!)</f>
        <v>#REF!</v>
      </c>
      <c r="Q31" s="386" t="e">
        <f>SUMIF(#REF!,funkcijska!$E31,#REF!)</f>
        <v>#REF!</v>
      </c>
      <c r="R31" s="82" t="e">
        <f>SUMIF(#REF!,funkcijska!$E31,#REF!)</f>
        <v>#REF!</v>
      </c>
      <c r="S31" s="82" t="e">
        <f>SUMIF(#REF!,funkcijska!$E31,#REF!)</f>
        <v>#REF!</v>
      </c>
      <c r="T31" s="82" t="e">
        <f>SUMIF(#REF!,funkcijska!$E$31,#REF!)</f>
        <v>#REF!</v>
      </c>
      <c r="U31" s="357" t="e">
        <f>SUMIF(#REF!,funkcijska!$E31,#REF!)</f>
        <v>#REF!</v>
      </c>
      <c r="V31" s="357" t="e">
        <f>SUMIF(#REF!,funkcijska!$E31,#REF!)+SUMIF(#REF!,funkcijska!$E31,#REF!)</f>
        <v>#REF!</v>
      </c>
      <c r="W31" s="357" t="e">
        <f>SUMIF(#REF!,funkcijska!$E31,#REF!)+SUMIF(#REF!,funkcijska!$E31,#REF!)</f>
        <v>#REF!</v>
      </c>
      <c r="X31" s="357" t="e">
        <f>SUMIF(#REF!,funkcijska!$E31,#REF!)+SUMIF(#REF!,funkcijska!$E31,#REF!)</f>
        <v>#REF!</v>
      </c>
      <c r="AD31" s="60"/>
      <c r="AE31" s="60"/>
      <c r="AF31" s="60"/>
      <c r="AG31" s="60"/>
      <c r="AH31" s="60"/>
      <c r="AI31" s="60"/>
      <c r="AJ31" s="60"/>
      <c r="AK31" s="60"/>
      <c r="AL31" s="60"/>
    </row>
    <row r="32" spans="1:38" ht="16.5" customHeight="1" x14ac:dyDescent="0.25">
      <c r="A32" s="80"/>
      <c r="B32" s="80"/>
      <c r="C32" s="80"/>
      <c r="D32" s="80"/>
      <c r="E32" s="80">
        <v>3225</v>
      </c>
      <c r="F32" s="81" t="s">
        <v>205</v>
      </c>
      <c r="G32" s="82" t="e">
        <f>SUMIF(#REF!,funkcijska!$E32,#REF!)</f>
        <v>#REF!</v>
      </c>
      <c r="H32" s="82" t="e">
        <f>SUMIF(#REF!,funkcijska!$E32,#REF!)</f>
        <v>#REF!</v>
      </c>
      <c r="I32" s="82" t="e">
        <f>SUMIF(#REF!,funkcijska!$E32,#REF!)</f>
        <v>#REF!</v>
      </c>
      <c r="J32" s="82" t="e">
        <f>SUMIF(#REF!,funkcijska!$E32,#REF!)</f>
        <v>#REF!</v>
      </c>
      <c r="K32" s="82" t="e">
        <f>SUMIF(#REF!,funkcijska!$E32,#REF!)</f>
        <v>#REF!</v>
      </c>
      <c r="L32" s="82" t="e">
        <f t="shared" si="10"/>
        <v>#REF!</v>
      </c>
      <c r="M32" s="82" t="e">
        <f t="shared" si="11"/>
        <v>#REF!</v>
      </c>
      <c r="N32" s="82" t="e">
        <f>SUMIF(#REF!,funkcijska!$E32,#REF!)</f>
        <v>#REF!</v>
      </c>
      <c r="O32" s="82" t="e">
        <f>SUMIF(#REF!,funkcijska!$E32,#REF!)</f>
        <v>#REF!</v>
      </c>
      <c r="P32" s="82" t="e">
        <f>SUMIF(#REF!,funkcijska!$E32,#REF!)</f>
        <v>#REF!</v>
      </c>
      <c r="Q32" s="386" t="e">
        <f>SUMIF(#REF!,funkcijska!$E32,#REF!)</f>
        <v>#REF!</v>
      </c>
      <c r="R32" s="82" t="e">
        <f>SUMIF(#REF!,funkcijska!$E32,#REF!)</f>
        <v>#REF!</v>
      </c>
      <c r="S32" s="82" t="e">
        <f>SUMIF(#REF!,funkcijska!$E32,#REF!)</f>
        <v>#REF!</v>
      </c>
      <c r="T32" s="82" t="e">
        <f>SUMIF(#REF!,funkcijska!$E$32,#REF!)</f>
        <v>#REF!</v>
      </c>
      <c r="U32" s="357" t="e">
        <f>SUMIF(#REF!,funkcijska!$E32,#REF!)</f>
        <v>#REF!</v>
      </c>
      <c r="V32" s="357" t="e">
        <f>SUMIF(#REF!,funkcijska!$E32,#REF!)+SUMIF(#REF!,funkcijska!$E32,#REF!)</f>
        <v>#REF!</v>
      </c>
      <c r="W32" s="357" t="e">
        <f>SUMIF(#REF!,funkcijska!$E32,#REF!)+SUMIF(#REF!,funkcijska!$E32,#REF!)</f>
        <v>#REF!</v>
      </c>
      <c r="X32" s="357" t="e">
        <f>SUMIF(#REF!,funkcijska!$E32,#REF!)+SUMIF(#REF!,funkcijska!$E32,#REF!)</f>
        <v>#REF!</v>
      </c>
      <c r="AD32" s="60"/>
      <c r="AE32" s="60"/>
      <c r="AF32" s="60"/>
      <c r="AG32" s="60"/>
      <c r="AH32" s="60"/>
      <c r="AI32" s="60"/>
      <c r="AJ32" s="60"/>
      <c r="AK32" s="60"/>
      <c r="AL32" s="60"/>
    </row>
    <row r="33" spans="1:38" ht="16.5" customHeight="1" x14ac:dyDescent="0.25">
      <c r="A33" s="80"/>
      <c r="B33" s="80"/>
      <c r="C33" s="80"/>
      <c r="D33" s="80"/>
      <c r="E33" s="131">
        <v>3227</v>
      </c>
      <c r="F33" s="132" t="s">
        <v>646</v>
      </c>
      <c r="G33" s="82" t="e">
        <f>SUMIF(#REF!,funkcijska!$E33,#REF!)</f>
        <v>#REF!</v>
      </c>
      <c r="H33" s="82" t="e">
        <f>SUMIF(#REF!,funkcijska!$E33,#REF!)</f>
        <v>#REF!</v>
      </c>
      <c r="I33" s="82" t="e">
        <f>SUMIF(#REF!,funkcijska!$E33,#REF!)</f>
        <v>#REF!</v>
      </c>
      <c r="J33" s="82" t="e">
        <f>SUMIF(#REF!,funkcijska!$E33,#REF!)</f>
        <v>#REF!</v>
      </c>
      <c r="K33" s="82" t="e">
        <f>SUMIF(#REF!,funkcijska!$E33,#REF!)</f>
        <v>#REF!</v>
      </c>
      <c r="L33" s="82" t="e">
        <f t="shared" si="10"/>
        <v>#REF!</v>
      </c>
      <c r="M33" s="82" t="e">
        <f t="shared" si="11"/>
        <v>#REF!</v>
      </c>
      <c r="N33" s="82" t="e">
        <f>SUMIF(#REF!,funkcijska!$E33,#REF!)</f>
        <v>#REF!</v>
      </c>
      <c r="O33" s="82" t="e">
        <f>SUMIF(#REF!,funkcijska!$E33,#REF!)</f>
        <v>#REF!</v>
      </c>
      <c r="P33" s="82" t="e">
        <f>SUMIF(#REF!,funkcijska!$E33,#REF!)</f>
        <v>#REF!</v>
      </c>
      <c r="Q33" s="386" t="e">
        <f>SUMIF(#REF!,funkcijska!$E33,#REF!)</f>
        <v>#REF!</v>
      </c>
      <c r="R33" s="82" t="e">
        <f>SUMIF(#REF!,funkcijska!$E33,#REF!)</f>
        <v>#REF!</v>
      </c>
      <c r="S33" s="82" t="e">
        <f>SUMIF(#REF!,funkcijska!$E33,#REF!)</f>
        <v>#REF!</v>
      </c>
      <c r="T33" s="82" t="e">
        <f>SUMIF(#REF!,funkcijska!$E$33,#REF!)</f>
        <v>#REF!</v>
      </c>
      <c r="U33" s="357" t="e">
        <f>SUMIF(#REF!,funkcijska!$E33,#REF!)</f>
        <v>#REF!</v>
      </c>
      <c r="V33" s="357" t="e">
        <f>SUMIF(#REF!,funkcijska!$E33,#REF!)+SUMIF(#REF!,funkcijska!$E33,#REF!)</f>
        <v>#REF!</v>
      </c>
      <c r="W33" s="357" t="e">
        <f>SUMIF(#REF!,funkcijska!$E33,#REF!)+SUMIF(#REF!,funkcijska!$E33,#REF!)</f>
        <v>#REF!</v>
      </c>
      <c r="X33" s="357" t="e">
        <f>SUMIF(#REF!,funkcijska!$E33,#REF!)+SUMIF(#REF!,funkcijska!$E33,#REF!)</f>
        <v>#REF!</v>
      </c>
      <c r="AD33" s="60"/>
      <c r="AE33" s="60"/>
      <c r="AF33" s="60"/>
      <c r="AG33" s="60"/>
      <c r="AH33" s="60"/>
      <c r="AI33" s="60"/>
      <c r="AJ33" s="60"/>
      <c r="AK33" s="60"/>
      <c r="AL33" s="60"/>
    </row>
    <row r="34" spans="1:38" s="373" customFormat="1" ht="20.25" customHeight="1" x14ac:dyDescent="0.25">
      <c r="A34" s="119"/>
      <c r="B34" s="119"/>
      <c r="C34" s="119"/>
      <c r="D34" s="119" t="str">
        <f>LEFT(E35,3)</f>
        <v>323</v>
      </c>
      <c r="E34" s="119"/>
      <c r="F34" s="368" t="s">
        <v>526</v>
      </c>
      <c r="G34" s="369" t="e">
        <f t="shared" ref="G34:X34" si="12">SUM(G35:G43)</f>
        <v>#REF!</v>
      </c>
      <c r="H34" s="370" t="e">
        <f t="shared" si="12"/>
        <v>#REF!</v>
      </c>
      <c r="I34" s="369" t="e">
        <f t="shared" si="12"/>
        <v>#REF!</v>
      </c>
      <c r="J34" s="369" t="e">
        <f t="shared" si="12"/>
        <v>#REF!</v>
      </c>
      <c r="K34" s="369" t="e">
        <f t="shared" si="12"/>
        <v>#REF!</v>
      </c>
      <c r="L34" s="369" t="e">
        <f t="shared" si="12"/>
        <v>#REF!</v>
      </c>
      <c r="M34" s="369" t="e">
        <f t="shared" si="12"/>
        <v>#REF!</v>
      </c>
      <c r="N34" s="369" t="e">
        <f t="shared" si="12"/>
        <v>#REF!</v>
      </c>
      <c r="O34" s="369" t="e">
        <f t="shared" si="12"/>
        <v>#REF!</v>
      </c>
      <c r="P34" s="369" t="e">
        <f t="shared" si="12"/>
        <v>#REF!</v>
      </c>
      <c r="Q34" s="392" t="e">
        <f t="shared" si="12"/>
        <v>#REF!</v>
      </c>
      <c r="R34" s="369" t="e">
        <f t="shared" si="12"/>
        <v>#REF!</v>
      </c>
      <c r="S34" s="369" t="e">
        <f t="shared" si="12"/>
        <v>#REF!</v>
      </c>
      <c r="T34" s="369" t="e">
        <f t="shared" si="12"/>
        <v>#REF!</v>
      </c>
      <c r="U34" s="371" t="e">
        <f t="shared" si="12"/>
        <v>#REF!</v>
      </c>
      <c r="V34" s="371" t="e">
        <f t="shared" si="12"/>
        <v>#REF!</v>
      </c>
      <c r="W34" s="371" t="e">
        <f t="shared" si="12"/>
        <v>#REF!</v>
      </c>
      <c r="X34" s="371" t="e">
        <f t="shared" si="12"/>
        <v>#REF!</v>
      </c>
      <c r="Y34" s="372"/>
      <c r="Z34" s="372"/>
      <c r="AA34" s="372"/>
      <c r="AB34" s="372"/>
      <c r="AC34" s="372"/>
      <c r="AD34" s="372"/>
      <c r="AE34" s="372"/>
      <c r="AF34" s="372"/>
      <c r="AG34" s="372"/>
      <c r="AH34" s="372"/>
      <c r="AI34" s="372"/>
      <c r="AJ34" s="372"/>
      <c r="AK34" s="372"/>
      <c r="AL34" s="372"/>
    </row>
    <row r="35" spans="1:38" ht="18" customHeight="1" x14ac:dyDescent="0.25">
      <c r="A35" s="80"/>
      <c r="B35" s="80"/>
      <c r="C35" s="80"/>
      <c r="D35" s="80"/>
      <c r="E35" s="80">
        <v>3231</v>
      </c>
      <c r="F35" s="81" t="s">
        <v>206</v>
      </c>
      <c r="G35" s="82" t="e">
        <f>SUMIF(#REF!,funkcijska!$E35,#REF!)</f>
        <v>#REF!</v>
      </c>
      <c r="H35" s="82" t="e">
        <f>SUMIF(#REF!,funkcijska!$E35,#REF!)</f>
        <v>#REF!</v>
      </c>
      <c r="I35" s="82" t="e">
        <f>SUMIF(#REF!,funkcijska!$E35,#REF!)</f>
        <v>#REF!</v>
      </c>
      <c r="J35" s="82" t="e">
        <f>SUMIF(#REF!,funkcijska!$E35,#REF!)</f>
        <v>#REF!</v>
      </c>
      <c r="K35" s="82" t="e">
        <f>SUMIF(#REF!,funkcijska!$E35,#REF!)</f>
        <v>#REF!</v>
      </c>
      <c r="L35" s="82" t="e">
        <f t="shared" ref="L35:L45" si="13">ROUND(K35/J35*100,2)</f>
        <v>#REF!</v>
      </c>
      <c r="M35" s="82" t="e">
        <f t="shared" ref="M35:M45" si="14">N35-J35</f>
        <v>#REF!</v>
      </c>
      <c r="N35" s="102" t="e">
        <f>SUMIF(#REF!,funkcijska!$E35,#REF!)</f>
        <v>#REF!</v>
      </c>
      <c r="O35" s="82" t="e">
        <f>SUMIF(#REF!,funkcijska!$E35,#REF!)</f>
        <v>#REF!</v>
      </c>
      <c r="P35" s="82" t="e">
        <f>SUMIF(#REF!,funkcijska!$E35,#REF!)</f>
        <v>#REF!</v>
      </c>
      <c r="Q35" s="386" t="e">
        <f>SUMIF(#REF!,funkcijska!$E35,#REF!)</f>
        <v>#REF!</v>
      </c>
      <c r="R35" s="82" t="e">
        <f>SUMIF(#REF!,funkcijska!$E35,#REF!)</f>
        <v>#REF!</v>
      </c>
      <c r="S35" s="82" t="e">
        <f>SUMIF(#REF!,funkcijska!$E35,#REF!)</f>
        <v>#REF!</v>
      </c>
      <c r="T35" s="82" t="e">
        <f>SUMIF(#REF!,funkcijska!$E$35,#REF!)</f>
        <v>#REF!</v>
      </c>
      <c r="U35" s="357" t="e">
        <f>SUMIF(#REF!,funkcijska!$E35,#REF!)</f>
        <v>#REF!</v>
      </c>
      <c r="V35" s="357" t="e">
        <f>SUMIF(#REF!,funkcijska!$E35,#REF!)+SUMIF(#REF!,funkcijska!$E35,#REF!)</f>
        <v>#REF!</v>
      </c>
      <c r="W35" s="357" t="e">
        <f>SUMIF(#REF!,funkcijska!$E35,#REF!)+SUMIF(#REF!,funkcijska!$E35,#REF!)</f>
        <v>#REF!</v>
      </c>
      <c r="X35" s="357" t="e">
        <f>SUMIF(#REF!,funkcijska!$E35,#REF!)+SUMIF(#REF!,funkcijska!$E35,#REF!)</f>
        <v>#REF!</v>
      </c>
      <c r="AD35" s="60"/>
      <c r="AE35" s="60"/>
      <c r="AF35" s="60"/>
      <c r="AG35" s="60"/>
      <c r="AH35" s="60"/>
      <c r="AI35" s="60"/>
      <c r="AJ35" s="60"/>
      <c r="AK35" s="60"/>
      <c r="AL35" s="60"/>
    </row>
    <row r="36" spans="1:38" ht="18" customHeight="1" x14ac:dyDescent="0.25">
      <c r="A36" s="80"/>
      <c r="B36" s="80"/>
      <c r="C36" s="80"/>
      <c r="D36" s="80"/>
      <c r="E36" s="80">
        <v>3232</v>
      </c>
      <c r="F36" s="81" t="s">
        <v>207</v>
      </c>
      <c r="G36" s="82" t="e">
        <f>SUMIF(#REF!,funkcijska!$E36,#REF!)</f>
        <v>#REF!</v>
      </c>
      <c r="H36" s="82" t="e">
        <f>SUMIF(#REF!,funkcijska!$E36,#REF!)</f>
        <v>#REF!</v>
      </c>
      <c r="I36" s="82" t="e">
        <f>SUMIF(#REF!,funkcijska!$E36,#REF!)</f>
        <v>#REF!</v>
      </c>
      <c r="J36" s="82" t="e">
        <f>SUMIF(#REF!,funkcijska!$E36,#REF!)</f>
        <v>#REF!</v>
      </c>
      <c r="K36" s="82" t="e">
        <f>SUMIF(#REF!,funkcijska!$E36,#REF!)</f>
        <v>#REF!</v>
      </c>
      <c r="L36" s="82" t="e">
        <f t="shared" si="13"/>
        <v>#REF!</v>
      </c>
      <c r="M36" s="82" t="e">
        <f t="shared" si="14"/>
        <v>#REF!</v>
      </c>
      <c r="N36" s="82" t="e">
        <f>SUMIF(#REF!,funkcijska!$E36,#REF!)</f>
        <v>#REF!</v>
      </c>
      <c r="O36" s="82" t="e">
        <f>SUMIF(#REF!,funkcijska!$E36,#REF!)</f>
        <v>#REF!</v>
      </c>
      <c r="P36" s="82" t="e">
        <f>SUMIF(#REF!,funkcijska!$E36,#REF!)</f>
        <v>#REF!</v>
      </c>
      <c r="Q36" s="386" t="e">
        <f>SUMIF(#REF!,funkcijska!$E36,#REF!)</f>
        <v>#REF!</v>
      </c>
      <c r="R36" s="82" t="e">
        <f>SUMIF(#REF!,funkcijska!$E36,#REF!)</f>
        <v>#REF!</v>
      </c>
      <c r="S36" s="82" t="e">
        <f>SUMIF(#REF!,funkcijska!$E36,#REF!)</f>
        <v>#REF!</v>
      </c>
      <c r="T36" s="82" t="e">
        <f>SUMIF(#REF!,funkcijska!$E$36,#REF!)</f>
        <v>#REF!</v>
      </c>
      <c r="U36" s="357" t="e">
        <f>SUMIF(#REF!,funkcijska!$E36,#REF!)</f>
        <v>#REF!</v>
      </c>
      <c r="V36" s="357" t="e">
        <f>SUMIF(#REF!,funkcijska!$E36,#REF!)+SUMIF(#REF!,funkcijska!$E36,#REF!)</f>
        <v>#REF!</v>
      </c>
      <c r="W36" s="357" t="e">
        <f>SUMIF(#REF!,funkcijska!$E36,#REF!)+SUMIF(#REF!,funkcijska!$E36,#REF!)</f>
        <v>#REF!</v>
      </c>
      <c r="X36" s="357" t="e">
        <f>SUMIF(#REF!,funkcijska!$E36,#REF!)+SUMIF(#REF!,funkcijska!$E36,#REF!)</f>
        <v>#REF!</v>
      </c>
      <c r="AD36" s="60"/>
      <c r="AE36" s="60"/>
      <c r="AF36" s="60"/>
      <c r="AG36" s="60"/>
      <c r="AH36" s="60"/>
      <c r="AI36" s="60"/>
      <c r="AJ36" s="60"/>
      <c r="AK36" s="60"/>
      <c r="AL36" s="60"/>
    </row>
    <row r="37" spans="1:38" ht="19.5" customHeight="1" x14ac:dyDescent="0.25">
      <c r="A37" s="80"/>
      <c r="B37" s="80"/>
      <c r="C37" s="80"/>
      <c r="D37" s="80"/>
      <c r="E37" s="80">
        <v>3233</v>
      </c>
      <c r="F37" s="81" t="s">
        <v>528</v>
      </c>
      <c r="G37" s="82" t="e">
        <f>SUMIF(#REF!,funkcijska!$E37,#REF!)</f>
        <v>#REF!</v>
      </c>
      <c r="H37" s="82" t="e">
        <f>SUMIF(#REF!,funkcijska!$E37,#REF!)</f>
        <v>#REF!</v>
      </c>
      <c r="I37" s="82" t="e">
        <f>SUMIF(#REF!,funkcijska!$E37,#REF!)</f>
        <v>#REF!</v>
      </c>
      <c r="J37" s="82" t="e">
        <f>SUMIF(#REF!,funkcijska!$E37,#REF!)</f>
        <v>#REF!</v>
      </c>
      <c r="K37" s="82" t="e">
        <f>SUMIF(#REF!,funkcijska!$E37,#REF!)</f>
        <v>#REF!</v>
      </c>
      <c r="L37" s="82" t="e">
        <f t="shared" si="13"/>
        <v>#REF!</v>
      </c>
      <c r="M37" s="82" t="e">
        <f t="shared" si="14"/>
        <v>#REF!</v>
      </c>
      <c r="N37" s="102" t="e">
        <f>SUMIF(#REF!,funkcijska!$E37,#REF!)</f>
        <v>#REF!</v>
      </c>
      <c r="O37" s="82" t="e">
        <f>SUMIF(#REF!,funkcijska!$E37,#REF!)</f>
        <v>#REF!</v>
      </c>
      <c r="P37" s="82" t="e">
        <f>SUMIF(#REF!,funkcijska!$E37,#REF!)</f>
        <v>#REF!</v>
      </c>
      <c r="Q37" s="386" t="e">
        <f>SUMIF(#REF!,funkcijska!$E37,#REF!)</f>
        <v>#REF!</v>
      </c>
      <c r="R37" s="82" t="e">
        <f>SUMIF(#REF!,funkcijska!$E37,#REF!)</f>
        <v>#REF!</v>
      </c>
      <c r="S37" s="82" t="e">
        <f>SUMIF(#REF!,funkcijska!$E37,#REF!)</f>
        <v>#REF!</v>
      </c>
      <c r="T37" s="82" t="e">
        <f>SUMIF(#REF!,funkcijska!$E$37,#REF!)</f>
        <v>#REF!</v>
      </c>
      <c r="U37" s="357" t="e">
        <f>SUMIF(#REF!,funkcijska!$E37,#REF!)</f>
        <v>#REF!</v>
      </c>
      <c r="V37" s="357" t="e">
        <f>SUMIF(#REF!,funkcijska!$E37,#REF!)+SUMIF(#REF!,funkcijska!$E37,#REF!)</f>
        <v>#REF!</v>
      </c>
      <c r="W37" s="357" t="e">
        <f>SUMIF(#REF!,funkcijska!$E37,#REF!)+SUMIF(#REF!,funkcijska!$E37,#REF!)</f>
        <v>#REF!</v>
      </c>
      <c r="X37" s="357" t="e">
        <f>SUMIF(#REF!,funkcijska!$E37,#REF!)+SUMIF(#REF!,funkcijska!$E37,#REF!)</f>
        <v>#REF!</v>
      </c>
      <c r="AD37" s="60"/>
      <c r="AE37" s="60"/>
      <c r="AF37" s="60"/>
      <c r="AG37" s="60"/>
      <c r="AH37" s="60"/>
      <c r="AI37" s="60"/>
      <c r="AJ37" s="60"/>
      <c r="AK37" s="60"/>
      <c r="AL37" s="60"/>
    </row>
    <row r="38" spans="1:38" ht="18.75" customHeight="1" x14ac:dyDescent="0.25">
      <c r="A38" s="80"/>
      <c r="B38" s="80"/>
      <c r="C38" s="80"/>
      <c r="D38" s="80"/>
      <c r="E38" s="80">
        <v>3234</v>
      </c>
      <c r="F38" s="81" t="s">
        <v>238</v>
      </c>
      <c r="G38" s="82" t="e">
        <f>SUMIF(#REF!,funkcijska!$E38,#REF!)</f>
        <v>#REF!</v>
      </c>
      <c r="H38" s="82" t="e">
        <f>SUMIF(#REF!,funkcijska!$E38,#REF!)</f>
        <v>#REF!</v>
      </c>
      <c r="I38" s="82" t="e">
        <f>SUMIF(#REF!,funkcijska!$E38,#REF!)</f>
        <v>#REF!</v>
      </c>
      <c r="J38" s="82" t="e">
        <f>SUMIF(#REF!,funkcijska!$E38,#REF!)</f>
        <v>#REF!</v>
      </c>
      <c r="K38" s="82" t="e">
        <f>SUMIF(#REF!,funkcijska!$E38,#REF!)</f>
        <v>#REF!</v>
      </c>
      <c r="L38" s="82" t="e">
        <f t="shared" si="13"/>
        <v>#REF!</v>
      </c>
      <c r="M38" s="82" t="e">
        <f t="shared" si="14"/>
        <v>#REF!</v>
      </c>
      <c r="N38" s="102" t="e">
        <f>SUMIF(#REF!,funkcijska!$E38,#REF!)</f>
        <v>#REF!</v>
      </c>
      <c r="O38" s="82" t="e">
        <f>SUMIF(#REF!,funkcijska!$E38,#REF!)</f>
        <v>#REF!</v>
      </c>
      <c r="P38" s="82" t="e">
        <f>SUMIF(#REF!,funkcijska!$E38,#REF!)</f>
        <v>#REF!</v>
      </c>
      <c r="Q38" s="386" t="e">
        <f>SUMIF(#REF!,funkcijska!$E38,#REF!)</f>
        <v>#REF!</v>
      </c>
      <c r="R38" s="82" t="e">
        <f>SUMIF(#REF!,funkcijska!$E38,#REF!)</f>
        <v>#REF!</v>
      </c>
      <c r="S38" s="82" t="e">
        <f>SUMIF(#REF!,funkcijska!$E38,#REF!)</f>
        <v>#REF!</v>
      </c>
      <c r="T38" s="82" t="e">
        <f>SUMIF(#REF!,funkcijska!$E$38,#REF!)</f>
        <v>#REF!</v>
      </c>
      <c r="U38" s="357" t="e">
        <f>SUMIF(#REF!,funkcijska!$E38,#REF!)</f>
        <v>#REF!</v>
      </c>
      <c r="V38" s="357" t="e">
        <f>SUMIF(#REF!,funkcijska!$E38,#REF!)+SUMIF(#REF!,funkcijska!$E38,#REF!)</f>
        <v>#REF!</v>
      </c>
      <c r="W38" s="357" t="e">
        <f>SUMIF(#REF!,funkcijska!$E38,#REF!)+SUMIF(#REF!,funkcijska!$E38,#REF!)</f>
        <v>#REF!</v>
      </c>
      <c r="X38" s="357" t="e">
        <f>SUMIF(#REF!,funkcijska!$E38,#REF!)+SUMIF(#REF!,funkcijska!$E38,#REF!)</f>
        <v>#REF!</v>
      </c>
      <c r="AD38" s="60"/>
      <c r="AE38" s="60"/>
      <c r="AF38" s="60"/>
      <c r="AG38" s="60"/>
      <c r="AH38" s="60"/>
      <c r="AI38" s="60"/>
      <c r="AJ38" s="60"/>
      <c r="AK38" s="60"/>
      <c r="AL38" s="60"/>
    </row>
    <row r="39" spans="1:38" ht="21" customHeight="1" x14ac:dyDescent="0.25">
      <c r="A39" s="80"/>
      <c r="B39" s="80"/>
      <c r="C39" s="80"/>
      <c r="D39" s="80"/>
      <c r="E39" s="80">
        <v>3235</v>
      </c>
      <c r="F39" s="81" t="s">
        <v>640</v>
      </c>
      <c r="G39" s="82" t="e">
        <f>SUMIF(#REF!,funkcijska!$E39,#REF!)</f>
        <v>#REF!</v>
      </c>
      <c r="H39" s="82" t="e">
        <f>SUMIF(#REF!,funkcijska!$E39,#REF!)</f>
        <v>#REF!</v>
      </c>
      <c r="I39" s="82" t="e">
        <f>SUMIF(#REF!,funkcijska!$E39,#REF!)</f>
        <v>#REF!</v>
      </c>
      <c r="J39" s="82" t="e">
        <f>SUMIF(#REF!,funkcijska!$E39,#REF!)</f>
        <v>#REF!</v>
      </c>
      <c r="K39" s="82" t="e">
        <f>SUMIF(#REF!,funkcijska!$E39,#REF!)</f>
        <v>#REF!</v>
      </c>
      <c r="L39" s="82" t="e">
        <f t="shared" si="13"/>
        <v>#REF!</v>
      </c>
      <c r="M39" s="82" t="e">
        <f t="shared" si="14"/>
        <v>#REF!</v>
      </c>
      <c r="N39" s="102" t="e">
        <f>SUMIF(#REF!,funkcijska!$E39,#REF!)</f>
        <v>#REF!</v>
      </c>
      <c r="O39" s="82" t="e">
        <f>SUMIF(#REF!,funkcijska!$E39,#REF!)</f>
        <v>#REF!</v>
      </c>
      <c r="P39" s="82" t="e">
        <f>SUMIF(#REF!,funkcijska!$E39,#REF!)</f>
        <v>#REF!</v>
      </c>
      <c r="Q39" s="386" t="e">
        <f>SUMIF(#REF!,funkcijska!$E39,#REF!)</f>
        <v>#REF!</v>
      </c>
      <c r="R39" s="82" t="e">
        <f>SUMIF(#REF!,funkcijska!$E39,#REF!)</f>
        <v>#REF!</v>
      </c>
      <c r="S39" s="82" t="e">
        <f>SUMIF(#REF!,funkcijska!$E39,#REF!)</f>
        <v>#REF!</v>
      </c>
      <c r="T39" s="82" t="e">
        <f>SUMIF(#REF!,funkcijska!$E$39,#REF!)</f>
        <v>#REF!</v>
      </c>
      <c r="U39" s="357" t="e">
        <f>SUMIF(#REF!,funkcijska!$E39,#REF!)</f>
        <v>#REF!</v>
      </c>
      <c r="V39" s="357" t="e">
        <f>SUMIF(#REF!,funkcijska!$E39,#REF!)+SUMIF(#REF!,funkcijska!$E39,#REF!)</f>
        <v>#REF!</v>
      </c>
      <c r="W39" s="357" t="e">
        <f>SUMIF(#REF!,funkcijska!$E39,#REF!)+SUMIF(#REF!,funkcijska!$E39,#REF!)</f>
        <v>#REF!</v>
      </c>
      <c r="X39" s="357" t="e">
        <f>SUMIF(#REF!,funkcijska!$E39,#REF!)+SUMIF(#REF!,funkcijska!$E39,#REF!)</f>
        <v>#REF!</v>
      </c>
      <c r="AD39" s="60"/>
      <c r="AE39" s="60"/>
      <c r="AF39" s="60"/>
      <c r="AG39" s="60"/>
      <c r="AH39" s="60"/>
      <c r="AI39" s="60"/>
      <c r="AJ39" s="60"/>
      <c r="AK39" s="60"/>
      <c r="AL39" s="60"/>
    </row>
    <row r="40" spans="1:38" ht="20.25" customHeight="1" x14ac:dyDescent="0.25">
      <c r="A40" s="80"/>
      <c r="B40" s="80"/>
      <c r="C40" s="80"/>
      <c r="D40" s="80"/>
      <c r="E40" s="80">
        <v>3236</v>
      </c>
      <c r="F40" s="81" t="s">
        <v>843</v>
      </c>
      <c r="G40" s="82" t="e">
        <f>SUMIF(#REF!,funkcijska!$E40,#REF!)</f>
        <v>#REF!</v>
      </c>
      <c r="H40" s="82" t="e">
        <f>SUMIF(#REF!,funkcijska!$E40,#REF!)</f>
        <v>#REF!</v>
      </c>
      <c r="I40" s="82" t="e">
        <f>SUMIF(#REF!,funkcijska!$E40,#REF!)</f>
        <v>#REF!</v>
      </c>
      <c r="J40" s="82" t="e">
        <f>SUMIF(#REF!,funkcijska!$E40,#REF!)</f>
        <v>#REF!</v>
      </c>
      <c r="K40" s="82" t="e">
        <f>SUMIF(#REF!,funkcijska!$E40,#REF!)</f>
        <v>#REF!</v>
      </c>
      <c r="L40" s="82" t="e">
        <f t="shared" si="13"/>
        <v>#REF!</v>
      </c>
      <c r="M40" s="82" t="e">
        <f t="shared" si="14"/>
        <v>#REF!</v>
      </c>
      <c r="N40" s="102" t="e">
        <f>SUMIF(#REF!,funkcijska!$E40,#REF!)</f>
        <v>#REF!</v>
      </c>
      <c r="O40" s="82" t="e">
        <f>SUMIF(#REF!,funkcijska!$E40,#REF!)</f>
        <v>#REF!</v>
      </c>
      <c r="P40" s="82" t="e">
        <f>SUMIF(#REF!,funkcijska!$E40,#REF!)</f>
        <v>#REF!</v>
      </c>
      <c r="Q40" s="386" t="e">
        <f>SUMIF(#REF!,funkcijska!$E40,#REF!)</f>
        <v>#REF!</v>
      </c>
      <c r="R40" s="82" t="e">
        <f>SUMIF(#REF!,funkcijska!$E40,#REF!)</f>
        <v>#REF!</v>
      </c>
      <c r="S40" s="82" t="e">
        <f>SUMIF(#REF!,funkcijska!$E40,#REF!)</f>
        <v>#REF!</v>
      </c>
      <c r="T40" s="82" t="e">
        <f>SUMIF(#REF!,funkcijska!$E$40,#REF!)</f>
        <v>#REF!</v>
      </c>
      <c r="U40" s="357" t="e">
        <f>SUMIF(#REF!,funkcijska!$E40,#REF!)</f>
        <v>#REF!</v>
      </c>
      <c r="V40" s="357" t="e">
        <f>SUMIF(#REF!,funkcijska!$E40,#REF!)+SUMIF(#REF!,funkcijska!$E40,#REF!)</f>
        <v>#REF!</v>
      </c>
      <c r="W40" s="357" t="e">
        <f>SUMIF(#REF!,funkcijska!$E40,#REF!)+SUMIF(#REF!,funkcijska!$E40,#REF!)</f>
        <v>#REF!</v>
      </c>
      <c r="X40" s="357" t="e">
        <f>SUMIF(#REF!,funkcijska!$E40,#REF!)+SUMIF(#REF!,funkcijska!$E40,#REF!)</f>
        <v>#REF!</v>
      </c>
      <c r="AD40" s="60"/>
      <c r="AE40" s="60"/>
      <c r="AF40" s="60"/>
      <c r="AG40" s="60"/>
      <c r="AH40" s="60"/>
      <c r="AI40" s="60"/>
      <c r="AJ40" s="60"/>
      <c r="AK40" s="60"/>
      <c r="AL40" s="60"/>
    </row>
    <row r="41" spans="1:38" ht="20.25" customHeight="1" x14ac:dyDescent="0.25">
      <c r="A41" s="80"/>
      <c r="B41" s="80"/>
      <c r="C41" s="80"/>
      <c r="D41" s="80"/>
      <c r="E41" s="80">
        <v>3237</v>
      </c>
      <c r="F41" s="81" t="s">
        <v>566</v>
      </c>
      <c r="G41" s="82" t="e">
        <f>SUMIF(#REF!,funkcijska!$E41,#REF!)</f>
        <v>#REF!</v>
      </c>
      <c r="H41" s="82" t="e">
        <f>SUMIF(#REF!,funkcijska!$E41,#REF!)</f>
        <v>#REF!</v>
      </c>
      <c r="I41" s="82" t="e">
        <f>SUMIF(#REF!,funkcijska!$E41,#REF!)</f>
        <v>#REF!</v>
      </c>
      <c r="J41" s="82" t="e">
        <f>SUMIF(#REF!,funkcijska!$E41,#REF!)</f>
        <v>#REF!</v>
      </c>
      <c r="K41" s="82" t="e">
        <f>SUMIF(#REF!,funkcijska!$E41,#REF!)</f>
        <v>#REF!</v>
      </c>
      <c r="L41" s="82" t="e">
        <f t="shared" si="13"/>
        <v>#REF!</v>
      </c>
      <c r="M41" s="82" t="e">
        <f t="shared" si="14"/>
        <v>#REF!</v>
      </c>
      <c r="N41" s="102" t="e">
        <f>SUMIF(#REF!,funkcijska!$E41,#REF!)</f>
        <v>#REF!</v>
      </c>
      <c r="O41" s="82" t="e">
        <f>SUMIF(#REF!,funkcijska!$E41,#REF!)</f>
        <v>#REF!</v>
      </c>
      <c r="P41" s="82" t="e">
        <f>SUMIF(#REF!,funkcijska!$E41,#REF!)</f>
        <v>#REF!</v>
      </c>
      <c r="Q41" s="386" t="e">
        <f>SUMIF(#REF!,funkcijska!$E41,#REF!)</f>
        <v>#REF!</v>
      </c>
      <c r="R41" s="82" t="e">
        <f>SUMIF(#REF!,funkcijska!$E41,#REF!)</f>
        <v>#REF!</v>
      </c>
      <c r="S41" s="82" t="e">
        <f>SUMIF(#REF!,funkcijska!$E41,#REF!)</f>
        <v>#REF!</v>
      </c>
      <c r="T41" s="82" t="e">
        <f>SUMIF(#REF!,funkcijska!$E$41,#REF!)</f>
        <v>#REF!</v>
      </c>
      <c r="U41" s="357" t="e">
        <f>SUMIF(#REF!,funkcijska!$E41,#REF!)</f>
        <v>#REF!</v>
      </c>
      <c r="V41" s="357" t="e">
        <f>SUMIF(#REF!,funkcijska!$E41,#REF!)+SUMIF(#REF!,funkcijska!$E41,#REF!)</f>
        <v>#REF!</v>
      </c>
      <c r="W41" s="357" t="e">
        <f>SUMIF(#REF!,funkcijska!$E41,#REF!)+SUMIF(#REF!,funkcijska!$E41,#REF!)</f>
        <v>#REF!</v>
      </c>
      <c r="X41" s="357" t="e">
        <f>SUMIF(#REF!,funkcijska!$E41,#REF!)+SUMIF(#REF!,funkcijska!$E41,#REF!)</f>
        <v>#REF!</v>
      </c>
      <c r="AD41" s="60"/>
      <c r="AE41" s="60"/>
      <c r="AF41" s="60"/>
      <c r="AG41" s="60"/>
      <c r="AH41" s="60"/>
      <c r="AI41" s="60"/>
      <c r="AJ41" s="60"/>
      <c r="AK41" s="60"/>
      <c r="AL41" s="60"/>
    </row>
    <row r="42" spans="1:38" ht="16.5" customHeight="1" x14ac:dyDescent="0.25">
      <c r="A42" s="80"/>
      <c r="B42" s="80"/>
      <c r="C42" s="80"/>
      <c r="D42" s="80"/>
      <c r="E42" s="80">
        <v>3238</v>
      </c>
      <c r="F42" s="81" t="s">
        <v>398</v>
      </c>
      <c r="G42" s="82" t="e">
        <f>SUMIF(#REF!,funkcijska!$E42,#REF!)</f>
        <v>#REF!</v>
      </c>
      <c r="H42" s="82" t="e">
        <f>SUMIF(#REF!,funkcijska!$E42,#REF!)</f>
        <v>#REF!</v>
      </c>
      <c r="I42" s="82" t="e">
        <f>SUMIF(#REF!,funkcijska!$E42,#REF!)</f>
        <v>#REF!</v>
      </c>
      <c r="J42" s="82" t="e">
        <f>SUMIF(#REF!,funkcijska!$E42,#REF!)</f>
        <v>#REF!</v>
      </c>
      <c r="K42" s="82" t="e">
        <f>SUMIF(#REF!,funkcijska!$E42,#REF!)</f>
        <v>#REF!</v>
      </c>
      <c r="L42" s="82" t="e">
        <f t="shared" si="13"/>
        <v>#REF!</v>
      </c>
      <c r="M42" s="82" t="e">
        <f t="shared" si="14"/>
        <v>#REF!</v>
      </c>
      <c r="N42" s="82" t="e">
        <f>SUMIF(#REF!,funkcijska!$E42,#REF!)</f>
        <v>#REF!</v>
      </c>
      <c r="O42" s="82" t="e">
        <f>SUMIF(#REF!,funkcijska!$E42,#REF!)</f>
        <v>#REF!</v>
      </c>
      <c r="P42" s="82" t="e">
        <f>SUMIF(#REF!,funkcijska!$E42,#REF!)</f>
        <v>#REF!</v>
      </c>
      <c r="Q42" s="386" t="e">
        <f>SUMIF(#REF!,funkcijska!$E42,#REF!)</f>
        <v>#REF!</v>
      </c>
      <c r="R42" s="82" t="e">
        <f>SUMIF(#REF!,funkcijska!$E42,#REF!)</f>
        <v>#REF!</v>
      </c>
      <c r="S42" s="82" t="e">
        <f>SUMIF(#REF!,funkcijska!$E42,#REF!)</f>
        <v>#REF!</v>
      </c>
      <c r="T42" s="82" t="e">
        <f>SUMIF(#REF!,funkcijska!$E$42,#REF!)</f>
        <v>#REF!</v>
      </c>
      <c r="U42" s="357" t="e">
        <f>SUMIF(#REF!,funkcijska!$E42,#REF!)</f>
        <v>#REF!</v>
      </c>
      <c r="V42" s="357" t="e">
        <f>SUMIF(#REF!,funkcijska!$E42,#REF!)+SUMIF(#REF!,funkcijska!$E42,#REF!)</f>
        <v>#REF!</v>
      </c>
      <c r="W42" s="357" t="e">
        <f>SUMIF(#REF!,funkcijska!$E42,#REF!)+SUMIF(#REF!,funkcijska!$E42,#REF!)</f>
        <v>#REF!</v>
      </c>
      <c r="X42" s="357" t="e">
        <f>SUMIF(#REF!,funkcijska!$E42,#REF!)+SUMIF(#REF!,funkcijska!$E42,#REF!)</f>
        <v>#REF!</v>
      </c>
      <c r="AD42" s="60"/>
      <c r="AE42" s="60"/>
      <c r="AF42" s="60"/>
      <c r="AG42" s="60"/>
      <c r="AH42" s="60"/>
      <c r="AI42" s="60"/>
      <c r="AJ42" s="60"/>
      <c r="AK42" s="60"/>
      <c r="AL42" s="60"/>
    </row>
    <row r="43" spans="1:38" ht="18" customHeight="1" x14ac:dyDescent="0.25">
      <c r="A43" s="80"/>
      <c r="B43" s="80"/>
      <c r="C43" s="80"/>
      <c r="D43" s="80"/>
      <c r="E43" s="80">
        <v>3239</v>
      </c>
      <c r="F43" s="81" t="s">
        <v>1017</v>
      </c>
      <c r="G43" s="82" t="e">
        <f>SUMIF(#REF!,funkcijska!$E43,#REF!)</f>
        <v>#REF!</v>
      </c>
      <c r="H43" s="82" t="e">
        <f>SUMIF(#REF!,funkcijska!$E43,#REF!)</f>
        <v>#REF!</v>
      </c>
      <c r="I43" s="82" t="e">
        <f>SUMIF(#REF!,funkcijska!$E43,#REF!)</f>
        <v>#REF!</v>
      </c>
      <c r="J43" s="82" t="e">
        <f>SUMIF(#REF!,funkcijska!$E43,#REF!)</f>
        <v>#REF!</v>
      </c>
      <c r="K43" s="82" t="e">
        <f>SUMIF(#REF!,funkcijska!$E43,#REF!)</f>
        <v>#REF!</v>
      </c>
      <c r="L43" s="82" t="e">
        <f t="shared" si="13"/>
        <v>#REF!</v>
      </c>
      <c r="M43" s="82" t="e">
        <f t="shared" si="14"/>
        <v>#REF!</v>
      </c>
      <c r="N43" s="82" t="e">
        <f>SUMIF(#REF!,funkcijska!$E43,#REF!)</f>
        <v>#REF!</v>
      </c>
      <c r="O43" s="82" t="e">
        <f>SUMIF(#REF!,funkcijska!$E43,#REF!)</f>
        <v>#REF!</v>
      </c>
      <c r="P43" s="82" t="e">
        <f>SUMIF(#REF!,funkcijska!$E43,#REF!)</f>
        <v>#REF!</v>
      </c>
      <c r="Q43" s="386" t="e">
        <f>SUMIF(#REF!,funkcijska!$E43,#REF!)</f>
        <v>#REF!</v>
      </c>
      <c r="R43" s="82" t="e">
        <f>SUMIF(#REF!,funkcijska!$E43,#REF!)</f>
        <v>#REF!</v>
      </c>
      <c r="S43" s="82" t="e">
        <f>SUMIF(#REF!,funkcijska!$E43,#REF!)</f>
        <v>#REF!</v>
      </c>
      <c r="T43" s="82" t="e">
        <f>SUMIF(#REF!,funkcijska!$E$43,#REF!)</f>
        <v>#REF!</v>
      </c>
      <c r="U43" s="357" t="e">
        <f>SUMIF(#REF!,funkcijska!$E43,#REF!)</f>
        <v>#REF!</v>
      </c>
      <c r="V43" s="357" t="e">
        <f>SUMIF(#REF!,funkcijska!$E43,#REF!)+SUMIF(#REF!,funkcijska!$E43,#REF!)</f>
        <v>#REF!</v>
      </c>
      <c r="W43" s="357" t="e">
        <f>SUMIF(#REF!,funkcijska!$E43,#REF!)+SUMIF(#REF!,funkcijska!$E43,#REF!)</f>
        <v>#REF!</v>
      </c>
      <c r="X43" s="357" t="e">
        <f>SUMIF(#REF!,funkcijska!$E43,#REF!)+SUMIF(#REF!,funkcijska!$E43,#REF!)</f>
        <v>#REF!</v>
      </c>
      <c r="AD43" s="60"/>
      <c r="AE43" s="60"/>
      <c r="AF43" s="60"/>
      <c r="AG43" s="60"/>
      <c r="AH43" s="60"/>
      <c r="AI43" s="60"/>
      <c r="AJ43" s="60"/>
      <c r="AK43" s="60"/>
      <c r="AL43" s="60"/>
    </row>
    <row r="44" spans="1:38" s="376" customFormat="1" ht="18.75" customHeight="1" x14ac:dyDescent="0.25">
      <c r="A44" s="119"/>
      <c r="B44" s="119"/>
      <c r="C44" s="119"/>
      <c r="D44" s="119">
        <v>324</v>
      </c>
      <c r="E44" s="119"/>
      <c r="F44" s="368" t="s">
        <v>530</v>
      </c>
      <c r="G44" s="137" t="e">
        <f>G45</f>
        <v>#REF!</v>
      </c>
      <c r="H44" s="137" t="e">
        <f>H45</f>
        <v>#REF!</v>
      </c>
      <c r="I44" s="137" t="e">
        <f>I45</f>
        <v>#REF!</v>
      </c>
      <c r="J44" s="137" t="e">
        <f>J45</f>
        <v>#REF!</v>
      </c>
      <c r="K44" s="137" t="e">
        <f>K45</f>
        <v>#REF!</v>
      </c>
      <c r="L44" s="137" t="e">
        <f t="shared" si="13"/>
        <v>#REF!</v>
      </c>
      <c r="M44" s="137" t="e">
        <f t="shared" si="14"/>
        <v>#REF!</v>
      </c>
      <c r="N44" s="137" t="e">
        <f t="shared" ref="N44:X44" si="15">N45</f>
        <v>#REF!</v>
      </c>
      <c r="O44" s="137" t="e">
        <f t="shared" si="15"/>
        <v>#REF!</v>
      </c>
      <c r="P44" s="137" t="e">
        <f t="shared" si="15"/>
        <v>#REF!</v>
      </c>
      <c r="Q44" s="393" t="e">
        <f t="shared" si="15"/>
        <v>#REF!</v>
      </c>
      <c r="R44" s="137" t="e">
        <f t="shared" si="15"/>
        <v>#REF!</v>
      </c>
      <c r="S44" s="137" t="e">
        <f t="shared" si="15"/>
        <v>#REF!</v>
      </c>
      <c r="T44" s="137" t="e">
        <f t="shared" si="15"/>
        <v>#REF!</v>
      </c>
      <c r="U44" s="371" t="e">
        <f t="shared" si="15"/>
        <v>#REF!</v>
      </c>
      <c r="V44" s="371" t="e">
        <f t="shared" si="15"/>
        <v>#REF!</v>
      </c>
      <c r="W44" s="371" t="e">
        <f t="shared" si="15"/>
        <v>#REF!</v>
      </c>
      <c r="X44" s="371" t="e">
        <f t="shared" si="15"/>
        <v>#REF!</v>
      </c>
      <c r="Y44" s="372"/>
      <c r="Z44" s="372"/>
      <c r="AA44" s="372"/>
      <c r="AB44" s="372"/>
      <c r="AC44" s="372"/>
      <c r="AD44" s="375"/>
      <c r="AE44" s="375"/>
      <c r="AF44" s="375"/>
      <c r="AG44" s="375"/>
      <c r="AH44" s="375"/>
      <c r="AI44" s="375"/>
      <c r="AJ44" s="375"/>
      <c r="AK44" s="375"/>
      <c r="AL44" s="375"/>
    </row>
    <row r="45" spans="1:38" ht="16.5" customHeight="1" x14ac:dyDescent="0.25">
      <c r="A45" s="133"/>
      <c r="B45" s="133"/>
      <c r="C45" s="133"/>
      <c r="D45" s="133"/>
      <c r="E45" s="133">
        <v>3241</v>
      </c>
      <c r="F45" s="134" t="s">
        <v>530</v>
      </c>
      <c r="G45" s="82" t="e">
        <f>SUMIF(#REF!,funkcijska!$E45,#REF!)</f>
        <v>#REF!</v>
      </c>
      <c r="H45" s="82" t="e">
        <f>SUMIF(#REF!,funkcijska!$E45,#REF!)</f>
        <v>#REF!</v>
      </c>
      <c r="I45" s="82" t="e">
        <f>SUMIF(#REF!,funkcijska!$E45,#REF!)</f>
        <v>#REF!</v>
      </c>
      <c r="J45" s="82" t="e">
        <f>SUMIF(#REF!,funkcijska!$E45,#REF!)</f>
        <v>#REF!</v>
      </c>
      <c r="K45" s="82" t="e">
        <f>SUMIF(#REF!,funkcijska!$E45,#REF!)</f>
        <v>#REF!</v>
      </c>
      <c r="L45" s="82" t="e">
        <f t="shared" si="13"/>
        <v>#REF!</v>
      </c>
      <c r="M45" s="82" t="e">
        <f t="shared" si="14"/>
        <v>#REF!</v>
      </c>
      <c r="N45" s="82" t="e">
        <f>SUMIF(#REF!,funkcijska!$E45,#REF!)</f>
        <v>#REF!</v>
      </c>
      <c r="O45" s="82" t="e">
        <f>SUMIF(#REF!,funkcijska!$E45,#REF!)</f>
        <v>#REF!</v>
      </c>
      <c r="P45" s="82" t="e">
        <f>SUMIF(#REF!,funkcijska!$E45,#REF!)</f>
        <v>#REF!</v>
      </c>
      <c r="Q45" s="386" t="e">
        <f>SUMIF(#REF!,funkcijska!$E45,#REF!)</f>
        <v>#REF!</v>
      </c>
      <c r="R45" s="82" t="e">
        <f>SUMIF(#REF!,funkcijska!$E45,#REF!)</f>
        <v>#REF!</v>
      </c>
      <c r="S45" s="82" t="e">
        <f>SUMIF(#REF!,funkcijska!$E45,#REF!)</f>
        <v>#REF!</v>
      </c>
      <c r="T45" s="82" t="e">
        <f>SUMIF(#REF!,funkcijska!$E$45,#REF!)</f>
        <v>#REF!</v>
      </c>
      <c r="U45" s="357" t="e">
        <f>SUMIF(#REF!,funkcijska!$E45,#REF!)</f>
        <v>#REF!</v>
      </c>
      <c r="V45" s="357" t="e">
        <f>SUMIF(#REF!,funkcijska!$E45,#REF!)+SUMIF(#REF!,funkcijska!$E45,#REF!)</f>
        <v>#REF!</v>
      </c>
      <c r="W45" s="357" t="e">
        <f>SUMIF(#REF!,funkcijska!$E45,#REF!)+SUMIF(#REF!,funkcijska!$E45,#REF!)</f>
        <v>#REF!</v>
      </c>
      <c r="X45" s="357" t="e">
        <f>SUMIF(#REF!,funkcijska!$E45,#REF!)+SUMIF(#REF!,funkcijska!$E45,#REF!)</f>
        <v>#REF!</v>
      </c>
      <c r="AD45" s="300"/>
      <c r="AE45" s="300"/>
      <c r="AF45" s="300"/>
      <c r="AG45" s="300"/>
      <c r="AH45" s="300"/>
      <c r="AI45" s="300"/>
      <c r="AJ45" s="300"/>
      <c r="AK45" s="60"/>
      <c r="AL45" s="60"/>
    </row>
    <row r="46" spans="1:38" s="376" customFormat="1" ht="16.5" customHeight="1" x14ac:dyDescent="0.25">
      <c r="A46" s="119"/>
      <c r="B46" s="119"/>
      <c r="C46" s="119"/>
      <c r="D46" s="119" t="str">
        <f>LEFT(E47,3)</f>
        <v>329</v>
      </c>
      <c r="E46" s="119"/>
      <c r="F46" s="368" t="s">
        <v>531</v>
      </c>
      <c r="G46" s="369" t="e">
        <f t="shared" ref="G46:X46" si="16">SUM(G47:G52)</f>
        <v>#REF!</v>
      </c>
      <c r="H46" s="370" t="e">
        <f t="shared" si="16"/>
        <v>#REF!</v>
      </c>
      <c r="I46" s="369" t="e">
        <f t="shared" si="16"/>
        <v>#REF!</v>
      </c>
      <c r="J46" s="369" t="e">
        <f t="shared" si="16"/>
        <v>#REF!</v>
      </c>
      <c r="K46" s="369" t="e">
        <f t="shared" si="16"/>
        <v>#REF!</v>
      </c>
      <c r="L46" s="369" t="e">
        <f t="shared" si="16"/>
        <v>#REF!</v>
      </c>
      <c r="M46" s="369" t="e">
        <f t="shared" si="16"/>
        <v>#REF!</v>
      </c>
      <c r="N46" s="369" t="e">
        <f t="shared" si="16"/>
        <v>#REF!</v>
      </c>
      <c r="O46" s="369" t="e">
        <f t="shared" si="16"/>
        <v>#REF!</v>
      </c>
      <c r="P46" s="369" t="e">
        <f t="shared" si="16"/>
        <v>#REF!</v>
      </c>
      <c r="Q46" s="392" t="e">
        <f t="shared" si="16"/>
        <v>#REF!</v>
      </c>
      <c r="R46" s="369" t="e">
        <f t="shared" si="16"/>
        <v>#REF!</v>
      </c>
      <c r="S46" s="369" t="e">
        <f t="shared" si="16"/>
        <v>#REF!</v>
      </c>
      <c r="T46" s="369" t="e">
        <f t="shared" si="16"/>
        <v>#REF!</v>
      </c>
      <c r="U46" s="371" t="e">
        <f t="shared" si="16"/>
        <v>#REF!</v>
      </c>
      <c r="V46" s="371" t="e">
        <f t="shared" si="16"/>
        <v>#REF!</v>
      </c>
      <c r="W46" s="371" t="e">
        <f t="shared" si="16"/>
        <v>#REF!</v>
      </c>
      <c r="X46" s="371" t="e">
        <f t="shared" si="16"/>
        <v>#REF!</v>
      </c>
      <c r="Y46" s="372"/>
      <c r="Z46" s="372"/>
      <c r="AA46" s="372"/>
      <c r="AB46" s="372"/>
      <c r="AC46" s="372"/>
      <c r="AD46" s="377"/>
      <c r="AE46" s="377"/>
      <c r="AF46" s="377"/>
      <c r="AG46" s="377"/>
      <c r="AH46" s="377"/>
      <c r="AI46" s="377"/>
      <c r="AJ46" s="377"/>
      <c r="AK46" s="375"/>
      <c r="AL46" s="375"/>
    </row>
    <row r="47" spans="1:38" ht="16.5" customHeight="1" x14ac:dyDescent="0.25">
      <c r="A47" s="133"/>
      <c r="B47" s="133"/>
      <c r="C47" s="133"/>
      <c r="D47" s="133"/>
      <c r="E47" s="133">
        <v>3291</v>
      </c>
      <c r="F47" s="134" t="s">
        <v>532</v>
      </c>
      <c r="G47" s="82" t="e">
        <f>SUMIF(#REF!,funkcijska!$E47,#REF!)</f>
        <v>#REF!</v>
      </c>
      <c r="H47" s="82" t="e">
        <f>SUMIF(#REF!,funkcijska!$E47,#REF!)</f>
        <v>#REF!</v>
      </c>
      <c r="I47" s="82" t="e">
        <f>SUMIF(#REF!,funkcijska!$E47,#REF!)</f>
        <v>#REF!</v>
      </c>
      <c r="J47" s="82" t="e">
        <f>SUMIF(#REF!,funkcijska!$E47,#REF!)</f>
        <v>#REF!</v>
      </c>
      <c r="K47" s="82" t="e">
        <f>SUMIF(#REF!,funkcijska!$E47,#REF!)</f>
        <v>#REF!</v>
      </c>
      <c r="L47" s="82" t="e">
        <f t="shared" ref="L47:L55" si="17">ROUND(K47/J47*100,2)</f>
        <v>#REF!</v>
      </c>
      <c r="M47" s="82" t="e">
        <f t="shared" ref="M47:M55" si="18">N47-J47</f>
        <v>#REF!</v>
      </c>
      <c r="N47" s="82" t="e">
        <f>SUMIF(#REF!,funkcijska!$E47,#REF!)</f>
        <v>#REF!</v>
      </c>
      <c r="O47" s="82" t="e">
        <f>SUMIF(#REF!,funkcijska!$E47,#REF!)</f>
        <v>#REF!</v>
      </c>
      <c r="P47" s="82" t="e">
        <f>SUMIF(#REF!,funkcijska!$E47,#REF!)</f>
        <v>#REF!</v>
      </c>
      <c r="Q47" s="386" t="e">
        <f>SUMIF(#REF!,funkcijska!$E47,#REF!)</f>
        <v>#REF!</v>
      </c>
      <c r="R47" s="82" t="e">
        <f>SUMIF(#REF!,funkcijska!$E47,#REF!)</f>
        <v>#REF!</v>
      </c>
      <c r="S47" s="82" t="e">
        <f>SUMIF(#REF!,funkcijska!$E47,#REF!)</f>
        <v>#REF!</v>
      </c>
      <c r="T47" s="82" t="e">
        <f>SUMIF(#REF!,funkcijska!$E$47,#REF!)</f>
        <v>#REF!</v>
      </c>
      <c r="U47" s="357" t="e">
        <f>SUMIF(#REF!,funkcijska!$E47,#REF!)</f>
        <v>#REF!</v>
      </c>
      <c r="V47" s="357" t="e">
        <f>SUMIF(#REF!,funkcijska!$E47,#REF!)+SUMIF(#REF!,funkcijska!$E47,#REF!)</f>
        <v>#REF!</v>
      </c>
      <c r="W47" s="357" t="e">
        <f>SUMIF(#REF!,funkcijska!$E47,#REF!)+SUMIF(#REF!,funkcijska!$E47,#REF!)</f>
        <v>#REF!</v>
      </c>
      <c r="X47" s="357" t="e">
        <f>SUMIF(#REF!,funkcijska!$E47,#REF!)+SUMIF(#REF!,funkcijska!$E47,#REF!)</f>
        <v>#REF!</v>
      </c>
      <c r="AD47" s="300"/>
      <c r="AE47" s="300"/>
      <c r="AF47" s="300"/>
      <c r="AG47" s="300"/>
      <c r="AH47" s="300"/>
      <c r="AI47" s="300"/>
      <c r="AJ47" s="300"/>
      <c r="AK47" s="60"/>
      <c r="AL47" s="60"/>
    </row>
    <row r="48" spans="1:38" ht="18.75" customHeight="1" x14ac:dyDescent="0.25">
      <c r="A48" s="80"/>
      <c r="B48" s="80"/>
      <c r="C48" s="80"/>
      <c r="D48" s="80"/>
      <c r="E48" s="80">
        <v>3292</v>
      </c>
      <c r="F48" s="81" t="s">
        <v>399</v>
      </c>
      <c r="G48" s="82" t="e">
        <f>SUMIF(#REF!,funkcijska!$E48,#REF!)</f>
        <v>#REF!</v>
      </c>
      <c r="H48" s="82" t="e">
        <f>SUMIF(#REF!,funkcijska!$E48,#REF!)</f>
        <v>#REF!</v>
      </c>
      <c r="I48" s="82" t="e">
        <f>SUMIF(#REF!,funkcijska!$E48,#REF!)</f>
        <v>#REF!</v>
      </c>
      <c r="J48" s="82" t="e">
        <f>SUMIF(#REF!,funkcijska!$E48,#REF!)</f>
        <v>#REF!</v>
      </c>
      <c r="K48" s="82" t="e">
        <f>SUMIF(#REF!,funkcijska!$E48,#REF!)</f>
        <v>#REF!</v>
      </c>
      <c r="L48" s="82" t="e">
        <f t="shared" si="17"/>
        <v>#REF!</v>
      </c>
      <c r="M48" s="82" t="e">
        <f t="shared" si="18"/>
        <v>#REF!</v>
      </c>
      <c r="N48" s="82" t="e">
        <f>SUMIF(#REF!,funkcijska!$E48,#REF!)</f>
        <v>#REF!</v>
      </c>
      <c r="O48" s="82" t="e">
        <f>SUMIF(#REF!,funkcijska!$E48,#REF!)</f>
        <v>#REF!</v>
      </c>
      <c r="P48" s="82" t="e">
        <f>SUMIF(#REF!,funkcijska!$E48,#REF!)</f>
        <v>#REF!</v>
      </c>
      <c r="Q48" s="386" t="e">
        <f>SUMIF(#REF!,funkcijska!$E48,#REF!)</f>
        <v>#REF!</v>
      </c>
      <c r="R48" s="82" t="e">
        <f>SUMIF(#REF!,funkcijska!$E48,#REF!)</f>
        <v>#REF!</v>
      </c>
      <c r="S48" s="82" t="e">
        <f>SUMIF(#REF!,funkcijska!$E48,#REF!)</f>
        <v>#REF!</v>
      </c>
      <c r="T48" s="82" t="e">
        <f>SUMIF(#REF!,funkcijska!$E$48,#REF!)</f>
        <v>#REF!</v>
      </c>
      <c r="U48" s="357" t="e">
        <f>SUMIF(#REF!,funkcijska!$E48,#REF!)</f>
        <v>#REF!</v>
      </c>
      <c r="V48" s="357" t="e">
        <f>SUMIF(#REF!,funkcijska!$E48,#REF!)+SUMIF(#REF!,funkcijska!$E48,#REF!)</f>
        <v>#REF!</v>
      </c>
      <c r="W48" s="357" t="e">
        <f>SUMIF(#REF!,funkcijska!$E48,#REF!)+SUMIF(#REF!,funkcijska!$E48,#REF!)</f>
        <v>#REF!</v>
      </c>
      <c r="X48" s="357" t="e">
        <f>SUMIF(#REF!,funkcijska!$E48,#REF!)+SUMIF(#REF!,funkcijska!$E48,#REF!)</f>
        <v>#REF!</v>
      </c>
      <c r="AD48" s="60"/>
      <c r="AE48" s="60"/>
      <c r="AF48" s="60"/>
      <c r="AG48" s="60"/>
      <c r="AH48" s="60"/>
      <c r="AI48" s="60"/>
      <c r="AJ48" s="60"/>
      <c r="AK48" s="60"/>
      <c r="AL48" s="60"/>
    </row>
    <row r="49" spans="1:38" ht="20.25" customHeight="1" x14ac:dyDescent="0.25">
      <c r="A49" s="80"/>
      <c r="B49" s="80"/>
      <c r="C49" s="80"/>
      <c r="D49" s="80"/>
      <c r="E49" s="80">
        <v>3293</v>
      </c>
      <c r="F49" s="81" t="s">
        <v>533</v>
      </c>
      <c r="G49" s="82" t="e">
        <f>SUMIF(#REF!,funkcijska!$E49,#REF!)</f>
        <v>#REF!</v>
      </c>
      <c r="H49" s="82" t="e">
        <f>SUMIF(#REF!,funkcijska!$E49,#REF!)</f>
        <v>#REF!</v>
      </c>
      <c r="I49" s="82" t="e">
        <f>SUMIF(#REF!,funkcijska!$E49,#REF!)</f>
        <v>#REF!</v>
      </c>
      <c r="J49" s="82" t="e">
        <f>SUMIF(#REF!,funkcijska!$E49,#REF!)</f>
        <v>#REF!</v>
      </c>
      <c r="K49" s="82" t="e">
        <f>SUMIF(#REF!,funkcijska!$E49,#REF!)</f>
        <v>#REF!</v>
      </c>
      <c r="L49" s="82" t="e">
        <f t="shared" si="17"/>
        <v>#REF!</v>
      </c>
      <c r="M49" s="82" t="e">
        <f t="shared" si="18"/>
        <v>#REF!</v>
      </c>
      <c r="N49" s="82" t="e">
        <f>SUMIF(#REF!,funkcijska!$E49,#REF!)</f>
        <v>#REF!</v>
      </c>
      <c r="O49" s="82" t="e">
        <f>SUMIF(#REF!,funkcijska!$E49,#REF!)</f>
        <v>#REF!</v>
      </c>
      <c r="P49" s="82" t="e">
        <f>SUMIF(#REF!,funkcijska!$E49,#REF!)</f>
        <v>#REF!</v>
      </c>
      <c r="Q49" s="386" t="e">
        <f>SUMIF(#REF!,funkcijska!$E49,#REF!)</f>
        <v>#REF!</v>
      </c>
      <c r="R49" s="82" t="e">
        <f>SUMIF(#REF!,funkcijska!$E49,#REF!)</f>
        <v>#REF!</v>
      </c>
      <c r="S49" s="82" t="e">
        <f>SUMIF(#REF!,funkcijska!$E49,#REF!)</f>
        <v>#REF!</v>
      </c>
      <c r="T49" s="82" t="e">
        <f>SUMIF(#REF!,funkcijska!$E$49,#REF!)</f>
        <v>#REF!</v>
      </c>
      <c r="U49" s="357" t="e">
        <f>SUMIF(#REF!,funkcijska!$E49,#REF!)</f>
        <v>#REF!</v>
      </c>
      <c r="V49" s="357" t="e">
        <f>SUMIF(#REF!,funkcijska!$E49,#REF!)+SUMIF(#REF!,funkcijska!$E49,#REF!)</f>
        <v>#REF!</v>
      </c>
      <c r="W49" s="357" t="e">
        <f>SUMIF(#REF!,funkcijska!$E49,#REF!)+SUMIF(#REF!,funkcijska!$E49,#REF!)</f>
        <v>#REF!</v>
      </c>
      <c r="X49" s="357" t="e">
        <f>SUMIF(#REF!,funkcijska!$E49,#REF!)+SUMIF(#REF!,funkcijska!$E49,#REF!)</f>
        <v>#REF!</v>
      </c>
      <c r="AD49" s="60"/>
      <c r="AE49" s="60"/>
      <c r="AF49" s="60"/>
      <c r="AG49" s="60"/>
      <c r="AH49" s="60"/>
      <c r="AI49" s="60"/>
      <c r="AJ49" s="60"/>
      <c r="AK49" s="60"/>
      <c r="AL49" s="60"/>
    </row>
    <row r="50" spans="1:38" ht="17.25" customHeight="1" x14ac:dyDescent="0.25">
      <c r="A50" s="80"/>
      <c r="B50" s="80"/>
      <c r="C50" s="80"/>
      <c r="D50" s="80"/>
      <c r="E50" s="80">
        <v>3294</v>
      </c>
      <c r="F50" s="81" t="s">
        <v>567</v>
      </c>
      <c r="G50" s="82" t="e">
        <f>SUMIF(#REF!,funkcijska!$E50,#REF!)</f>
        <v>#REF!</v>
      </c>
      <c r="H50" s="82" t="e">
        <f>SUMIF(#REF!,funkcijska!$E50,#REF!)</f>
        <v>#REF!</v>
      </c>
      <c r="I50" s="82" t="e">
        <f>SUMIF(#REF!,funkcijska!$E50,#REF!)</f>
        <v>#REF!</v>
      </c>
      <c r="J50" s="82" t="e">
        <f>SUMIF(#REF!,funkcijska!$E50,#REF!)</f>
        <v>#REF!</v>
      </c>
      <c r="K50" s="82" t="e">
        <f>SUMIF(#REF!,funkcijska!$E50,#REF!)</f>
        <v>#REF!</v>
      </c>
      <c r="L50" s="82" t="e">
        <f t="shared" si="17"/>
        <v>#REF!</v>
      </c>
      <c r="M50" s="82" t="e">
        <f t="shared" si="18"/>
        <v>#REF!</v>
      </c>
      <c r="N50" s="82" t="e">
        <f>SUMIF(#REF!,funkcijska!$E50,#REF!)</f>
        <v>#REF!</v>
      </c>
      <c r="O50" s="82" t="e">
        <f>SUMIF(#REF!,funkcijska!$E50,#REF!)</f>
        <v>#REF!</v>
      </c>
      <c r="P50" s="82" t="e">
        <f>SUMIF(#REF!,funkcijska!$E50,#REF!)</f>
        <v>#REF!</v>
      </c>
      <c r="Q50" s="386" t="e">
        <f>SUMIF(#REF!,funkcijska!$E50,#REF!)</f>
        <v>#REF!</v>
      </c>
      <c r="R50" s="82" t="e">
        <f>SUMIF(#REF!,funkcijska!$E50,#REF!)</f>
        <v>#REF!</v>
      </c>
      <c r="S50" s="82" t="e">
        <f>SUMIF(#REF!,funkcijska!$E50,#REF!)</f>
        <v>#REF!</v>
      </c>
      <c r="T50" s="82" t="e">
        <f>SUMIF(#REF!,funkcijska!$E$50,#REF!)</f>
        <v>#REF!</v>
      </c>
      <c r="U50" s="357" t="e">
        <f>SUMIF(#REF!,funkcijska!$E50,#REF!)</f>
        <v>#REF!</v>
      </c>
      <c r="V50" s="357" t="e">
        <f>SUMIF(#REF!,funkcijska!$E50,#REF!)+SUMIF(#REF!,funkcijska!$E50,#REF!)</f>
        <v>#REF!</v>
      </c>
      <c r="W50" s="357" t="e">
        <f>SUMIF(#REF!,funkcijska!$E50,#REF!)+SUMIF(#REF!,funkcijska!$E50,#REF!)</f>
        <v>#REF!</v>
      </c>
      <c r="X50" s="357" t="e">
        <f>SUMIF(#REF!,funkcijska!$E50,#REF!)+SUMIF(#REF!,funkcijska!$E50,#REF!)</f>
        <v>#REF!</v>
      </c>
      <c r="AD50" s="60"/>
      <c r="AE50" s="60"/>
      <c r="AF50" s="60"/>
      <c r="AG50" s="60"/>
      <c r="AH50" s="60"/>
      <c r="AI50" s="60"/>
      <c r="AJ50" s="60"/>
      <c r="AK50" s="60"/>
      <c r="AL50" s="60"/>
    </row>
    <row r="51" spans="1:38" ht="15.75" customHeight="1" x14ac:dyDescent="0.25">
      <c r="A51" s="80"/>
      <c r="B51" s="80"/>
      <c r="C51" s="80"/>
      <c r="D51" s="80"/>
      <c r="E51" s="80">
        <v>3295</v>
      </c>
      <c r="F51" s="81" t="s">
        <v>400</v>
      </c>
      <c r="G51" s="82" t="e">
        <f>SUMIF(#REF!,funkcijska!$E51,#REF!)</f>
        <v>#REF!</v>
      </c>
      <c r="H51" s="82" t="e">
        <f>SUMIF(#REF!,funkcijska!$E51,#REF!)</f>
        <v>#REF!</v>
      </c>
      <c r="I51" s="82" t="e">
        <f>SUMIF(#REF!,funkcijska!$E51,#REF!)</f>
        <v>#REF!</v>
      </c>
      <c r="J51" s="82" t="e">
        <f>SUMIF(#REF!,funkcijska!$E51,#REF!)</f>
        <v>#REF!</v>
      </c>
      <c r="K51" s="82" t="e">
        <f>SUMIF(#REF!,funkcijska!$E51,#REF!)</f>
        <v>#REF!</v>
      </c>
      <c r="L51" s="82" t="e">
        <f t="shared" si="17"/>
        <v>#REF!</v>
      </c>
      <c r="M51" s="82" t="e">
        <f t="shared" si="18"/>
        <v>#REF!</v>
      </c>
      <c r="N51" s="82" t="e">
        <f>SUMIF(#REF!,funkcijska!$E51,#REF!)</f>
        <v>#REF!</v>
      </c>
      <c r="O51" s="82" t="e">
        <f>SUMIF(#REF!,funkcijska!$E51,#REF!)</f>
        <v>#REF!</v>
      </c>
      <c r="P51" s="82" t="e">
        <f>SUMIF(#REF!,funkcijska!$E51,#REF!)</f>
        <v>#REF!</v>
      </c>
      <c r="Q51" s="386" t="e">
        <f>SUMIF(#REF!,funkcijska!$E51,#REF!)</f>
        <v>#REF!</v>
      </c>
      <c r="R51" s="82" t="e">
        <f>SUMIF(#REF!,funkcijska!$E51,#REF!)</f>
        <v>#REF!</v>
      </c>
      <c r="S51" s="82" t="e">
        <f>SUMIF(#REF!,funkcijska!$E51,#REF!)</f>
        <v>#REF!</v>
      </c>
      <c r="T51" s="82" t="e">
        <f>SUMIF(#REF!,funkcijska!$E$51,#REF!)</f>
        <v>#REF!</v>
      </c>
      <c r="U51" s="357" t="e">
        <f>SUMIF(#REF!,funkcijska!$E51,#REF!)</f>
        <v>#REF!</v>
      </c>
      <c r="V51" s="357" t="e">
        <f>SUMIF(#REF!,funkcijska!$E51,#REF!)+SUMIF(#REF!,funkcijska!$E51,#REF!)</f>
        <v>#REF!</v>
      </c>
      <c r="W51" s="357" t="e">
        <f>SUMIF(#REF!,funkcijska!$E51,#REF!)+SUMIF(#REF!,funkcijska!$E51,#REF!)</f>
        <v>#REF!</v>
      </c>
      <c r="X51" s="357" t="e">
        <f>SUMIF(#REF!,funkcijska!$E51,#REF!)+SUMIF(#REF!,funkcijska!$E51,#REF!)</f>
        <v>#REF!</v>
      </c>
      <c r="AD51" s="60"/>
      <c r="AE51" s="60"/>
      <c r="AF51" s="60"/>
      <c r="AG51" s="60"/>
      <c r="AH51" s="60"/>
      <c r="AI51" s="60"/>
      <c r="AJ51" s="60"/>
      <c r="AK51" s="60"/>
      <c r="AL51" s="60"/>
    </row>
    <row r="52" spans="1:38" ht="15.75" customHeight="1" x14ac:dyDescent="0.25">
      <c r="A52" s="80"/>
      <c r="B52" s="80"/>
      <c r="C52" s="80"/>
      <c r="D52" s="80"/>
      <c r="E52" s="80">
        <v>3299</v>
      </c>
      <c r="F52" s="81" t="s">
        <v>531</v>
      </c>
      <c r="G52" s="82" t="e">
        <f>SUMIF(#REF!,funkcijska!$E52,#REF!)</f>
        <v>#REF!</v>
      </c>
      <c r="H52" s="82" t="e">
        <f>SUMIF(#REF!,funkcijska!$E52,#REF!)</f>
        <v>#REF!</v>
      </c>
      <c r="I52" s="82" t="e">
        <f>SUMIF(#REF!,funkcijska!$E52,#REF!)</f>
        <v>#REF!</v>
      </c>
      <c r="J52" s="82" t="e">
        <f>SUMIF(#REF!,funkcijska!$E52,#REF!)</f>
        <v>#REF!</v>
      </c>
      <c r="K52" s="82" t="e">
        <f>SUMIF(#REF!,funkcijska!$E52,#REF!)</f>
        <v>#REF!</v>
      </c>
      <c r="L52" s="82" t="e">
        <f t="shared" si="17"/>
        <v>#REF!</v>
      </c>
      <c r="M52" s="82" t="e">
        <f t="shared" si="18"/>
        <v>#REF!</v>
      </c>
      <c r="N52" s="82" t="e">
        <f>SUMIF(#REF!,funkcijska!$E52,#REF!)</f>
        <v>#REF!</v>
      </c>
      <c r="O52" s="82" t="e">
        <f>SUMIF(#REF!,funkcijska!$E52,#REF!)</f>
        <v>#REF!</v>
      </c>
      <c r="P52" s="82" t="e">
        <f>SUMIF(#REF!,funkcijska!$E52,#REF!)</f>
        <v>#REF!</v>
      </c>
      <c r="Q52" s="386" t="e">
        <f>SUMIF(#REF!,funkcijska!$E52,#REF!)</f>
        <v>#REF!</v>
      </c>
      <c r="R52" s="82" t="e">
        <f>SUMIF(#REF!,funkcijska!$E52,#REF!)</f>
        <v>#REF!</v>
      </c>
      <c r="S52" s="82" t="e">
        <f>SUMIF(#REF!,funkcijska!$E52,#REF!)</f>
        <v>#REF!</v>
      </c>
      <c r="T52" s="82" t="e">
        <f>SUMIF(#REF!,funkcijska!$E$52,#REF!)</f>
        <v>#REF!</v>
      </c>
      <c r="U52" s="357" t="e">
        <f>SUMIF(#REF!,funkcijska!$E52,#REF!)</f>
        <v>#REF!</v>
      </c>
      <c r="V52" s="357" t="e">
        <f>SUMIF(#REF!,funkcijska!$E52,#REF!)+SUMIF(#REF!,funkcijska!$E52,#REF!)</f>
        <v>#REF!</v>
      </c>
      <c r="W52" s="357" t="e">
        <f>SUMIF(#REF!,funkcijska!$E52,#REF!)+SUMIF(#REF!,funkcijska!$E52,#REF!)</f>
        <v>#REF!</v>
      </c>
      <c r="X52" s="357" t="e">
        <f>SUMIF(#REF!,funkcijska!$E52,#REF!)+SUMIF(#REF!,funkcijska!$E52,#REF!)</f>
        <v>#REF!</v>
      </c>
      <c r="AD52" s="60"/>
      <c r="AE52" s="60"/>
      <c r="AF52" s="60"/>
      <c r="AG52" s="60"/>
      <c r="AH52" s="60"/>
      <c r="AI52" s="60"/>
      <c r="AJ52" s="60"/>
      <c r="AK52" s="60"/>
      <c r="AL52" s="60"/>
    </row>
    <row r="53" spans="1:38" ht="19.5" customHeight="1" x14ac:dyDescent="0.25">
      <c r="A53" s="125"/>
      <c r="B53" s="74"/>
      <c r="C53" s="74" t="str">
        <f>LEFT(E55,2)</f>
        <v>34</v>
      </c>
      <c r="D53" s="74"/>
      <c r="E53" s="74"/>
      <c r="F53" s="75" t="s">
        <v>208</v>
      </c>
      <c r="G53" s="77" t="e">
        <f>G54+G56</f>
        <v>#REF!</v>
      </c>
      <c r="H53" s="118" t="e">
        <f>H54+H56</f>
        <v>#REF!</v>
      </c>
      <c r="I53" s="77" t="e">
        <f>I54+I56</f>
        <v>#REF!</v>
      </c>
      <c r="J53" s="77" t="e">
        <f>J54+J56</f>
        <v>#REF!</v>
      </c>
      <c r="K53" s="77" t="e">
        <f>K54+K56</f>
        <v>#REF!</v>
      </c>
      <c r="L53" s="77" t="e">
        <f t="shared" si="17"/>
        <v>#REF!</v>
      </c>
      <c r="M53" s="77" t="e">
        <f t="shared" si="18"/>
        <v>#REF!</v>
      </c>
      <c r="N53" s="77" t="e">
        <f t="shared" ref="N53:X53" si="19">N54+N56</f>
        <v>#REF!</v>
      </c>
      <c r="O53" s="76" t="e">
        <f t="shared" si="19"/>
        <v>#REF!</v>
      </c>
      <c r="P53" s="76" t="e">
        <f t="shared" si="19"/>
        <v>#REF!</v>
      </c>
      <c r="Q53" s="385" t="e">
        <f t="shared" si="19"/>
        <v>#REF!</v>
      </c>
      <c r="R53" s="135" t="e">
        <f t="shared" si="19"/>
        <v>#REF!</v>
      </c>
      <c r="S53" s="135" t="e">
        <f t="shared" si="19"/>
        <v>#REF!</v>
      </c>
      <c r="T53" s="135" t="e">
        <f t="shared" si="19"/>
        <v>#REF!</v>
      </c>
      <c r="U53" s="356" t="e">
        <f t="shared" si="19"/>
        <v>#REF!</v>
      </c>
      <c r="V53" s="356" t="e">
        <f t="shared" si="19"/>
        <v>#REF!</v>
      </c>
      <c r="W53" s="356" t="e">
        <f t="shared" si="19"/>
        <v>#REF!</v>
      </c>
      <c r="X53" s="356" t="e">
        <f t="shared" si="19"/>
        <v>#REF!</v>
      </c>
      <c r="AD53" s="60"/>
      <c r="AE53" s="60"/>
      <c r="AF53" s="60"/>
      <c r="AG53" s="60"/>
      <c r="AH53" s="60"/>
      <c r="AI53" s="60"/>
      <c r="AJ53" s="60"/>
      <c r="AK53" s="60"/>
      <c r="AL53" s="60"/>
    </row>
    <row r="54" spans="1:38" s="373" customFormat="1" ht="22.5" customHeight="1" x14ac:dyDescent="0.25">
      <c r="A54" s="119"/>
      <c r="B54" s="119"/>
      <c r="C54" s="119"/>
      <c r="D54" s="119" t="str">
        <f>LEFT(E55,3)</f>
        <v>342</v>
      </c>
      <c r="E54" s="119"/>
      <c r="F54" s="368" t="s">
        <v>631</v>
      </c>
      <c r="G54" s="369" t="e">
        <f>G55</f>
        <v>#REF!</v>
      </c>
      <c r="H54" s="370" t="e">
        <f>H55</f>
        <v>#REF!</v>
      </c>
      <c r="I54" s="369" t="e">
        <f>I55</f>
        <v>#REF!</v>
      </c>
      <c r="J54" s="369" t="e">
        <f>J55</f>
        <v>#REF!</v>
      </c>
      <c r="K54" s="369" t="e">
        <f>K55</f>
        <v>#REF!</v>
      </c>
      <c r="L54" s="369" t="e">
        <f t="shared" si="17"/>
        <v>#REF!</v>
      </c>
      <c r="M54" s="369" t="e">
        <f t="shared" si="18"/>
        <v>#REF!</v>
      </c>
      <c r="N54" s="369" t="e">
        <f t="shared" ref="N54:X54" si="20">N55</f>
        <v>#REF!</v>
      </c>
      <c r="O54" s="137" t="e">
        <f t="shared" si="20"/>
        <v>#REF!</v>
      </c>
      <c r="P54" s="137" t="e">
        <f t="shared" si="20"/>
        <v>#REF!</v>
      </c>
      <c r="Q54" s="393" t="e">
        <f t="shared" si="20"/>
        <v>#REF!</v>
      </c>
      <c r="R54" s="137" t="e">
        <f t="shared" si="20"/>
        <v>#REF!</v>
      </c>
      <c r="S54" s="137" t="e">
        <f t="shared" si="20"/>
        <v>#REF!</v>
      </c>
      <c r="T54" s="137" t="e">
        <f t="shared" si="20"/>
        <v>#REF!</v>
      </c>
      <c r="U54" s="371" t="e">
        <f t="shared" si="20"/>
        <v>#REF!</v>
      </c>
      <c r="V54" s="371" t="e">
        <f t="shared" si="20"/>
        <v>#REF!</v>
      </c>
      <c r="W54" s="371" t="e">
        <f t="shared" si="20"/>
        <v>#REF!</v>
      </c>
      <c r="X54" s="371" t="e">
        <f t="shared" si="20"/>
        <v>#REF!</v>
      </c>
      <c r="Y54" s="372"/>
      <c r="Z54" s="372"/>
      <c r="AA54" s="372"/>
      <c r="AB54" s="372"/>
      <c r="AC54" s="372"/>
      <c r="AD54" s="372"/>
      <c r="AE54" s="372"/>
      <c r="AF54" s="372"/>
      <c r="AG54" s="372"/>
      <c r="AH54" s="372"/>
      <c r="AI54" s="372"/>
      <c r="AJ54" s="372"/>
      <c r="AK54" s="372"/>
      <c r="AL54" s="372"/>
    </row>
    <row r="55" spans="1:38" ht="38.25" customHeight="1" x14ac:dyDescent="0.25">
      <c r="A55" s="80"/>
      <c r="B55" s="80"/>
      <c r="C55" s="80"/>
      <c r="D55" s="80"/>
      <c r="E55" s="80">
        <v>3422</v>
      </c>
      <c r="F55" s="81" t="s">
        <v>358</v>
      </c>
      <c r="G55" s="82" t="e">
        <f>SUMIF(#REF!,funkcijska!$E55,#REF!)</f>
        <v>#REF!</v>
      </c>
      <c r="H55" s="82" t="e">
        <f>SUMIF(#REF!,funkcijska!$E55,#REF!)</f>
        <v>#REF!</v>
      </c>
      <c r="I55" s="82" t="e">
        <f>SUMIF(#REF!,funkcijska!$E55,#REF!)</f>
        <v>#REF!</v>
      </c>
      <c r="J55" s="82" t="e">
        <f>SUMIF(#REF!,funkcijska!$E55,#REF!)</f>
        <v>#REF!</v>
      </c>
      <c r="K55" s="82" t="e">
        <f>SUMIF(#REF!,funkcijska!$E55,#REF!)</f>
        <v>#REF!</v>
      </c>
      <c r="L55" s="82" t="e">
        <f t="shared" si="17"/>
        <v>#REF!</v>
      </c>
      <c r="M55" s="82" t="e">
        <f t="shared" si="18"/>
        <v>#REF!</v>
      </c>
      <c r="N55" s="82" t="e">
        <f>SUMIF(#REF!,funkcijska!$E55,#REF!)</f>
        <v>#REF!</v>
      </c>
      <c r="O55" s="82" t="e">
        <f>SUMIF(#REF!,funkcijska!$E55,#REF!)</f>
        <v>#REF!</v>
      </c>
      <c r="P55" s="82" t="e">
        <f>SUMIF(#REF!,funkcijska!$E55,#REF!)</f>
        <v>#REF!</v>
      </c>
      <c r="Q55" s="386" t="e">
        <f>SUMIF(#REF!,funkcijska!$E55,#REF!)</f>
        <v>#REF!</v>
      </c>
      <c r="R55" s="82" t="e">
        <f>SUMIF(#REF!,funkcijska!$E55,#REF!)</f>
        <v>#REF!</v>
      </c>
      <c r="S55" s="82" t="e">
        <f>SUMIF(#REF!,funkcijska!$E55,#REF!)</f>
        <v>#REF!</v>
      </c>
      <c r="T55" s="82" t="e">
        <f>SUMIF(#REF!,funkcijska!$E$55,#REF!)</f>
        <v>#REF!</v>
      </c>
      <c r="U55" s="357" t="e">
        <f>SUMIF(#REF!,funkcijska!$E55,#REF!)</f>
        <v>#REF!</v>
      </c>
      <c r="V55" s="357" t="e">
        <f>SUMIF(#REF!,funkcijska!$E55,#REF!)+SUMIF(#REF!,funkcijska!$E55,#REF!)</f>
        <v>#REF!</v>
      </c>
      <c r="W55" s="357" t="e">
        <f>SUMIF(#REF!,funkcijska!$E55,#REF!)+SUMIF(#REF!,funkcijska!$E55,#REF!)</f>
        <v>#REF!</v>
      </c>
      <c r="X55" s="357" t="e">
        <f>SUMIF(#REF!,funkcijska!$E55,#REF!)+SUMIF(#REF!,funkcijska!$E55,#REF!)</f>
        <v>#REF!</v>
      </c>
      <c r="AD55" s="60"/>
      <c r="AE55" s="60"/>
      <c r="AF55" s="60"/>
      <c r="AG55" s="60"/>
      <c r="AH55" s="60"/>
      <c r="AI55" s="60"/>
      <c r="AJ55" s="60"/>
      <c r="AK55" s="60"/>
      <c r="AL55" s="60"/>
    </row>
    <row r="56" spans="1:38" s="373" customFormat="1" ht="17.25" customHeight="1" x14ac:dyDescent="0.25">
      <c r="A56" s="119"/>
      <c r="B56" s="119"/>
      <c r="C56" s="119"/>
      <c r="D56" s="119" t="str">
        <f>LEFT(E57,3)</f>
        <v>343</v>
      </c>
      <c r="E56" s="119"/>
      <c r="F56" s="368" t="s">
        <v>209</v>
      </c>
      <c r="G56" s="369" t="e">
        <f t="shared" ref="G56:X56" si="21">SUM(G57:G59)</f>
        <v>#REF!</v>
      </c>
      <c r="H56" s="370" t="e">
        <f t="shared" si="21"/>
        <v>#REF!</v>
      </c>
      <c r="I56" s="369" t="e">
        <f t="shared" si="21"/>
        <v>#REF!</v>
      </c>
      <c r="J56" s="369" t="e">
        <f t="shared" si="21"/>
        <v>#REF!</v>
      </c>
      <c r="K56" s="369" t="e">
        <f t="shared" si="21"/>
        <v>#REF!</v>
      </c>
      <c r="L56" s="369" t="e">
        <f t="shared" si="21"/>
        <v>#REF!</v>
      </c>
      <c r="M56" s="369" t="e">
        <f t="shared" si="21"/>
        <v>#REF!</v>
      </c>
      <c r="N56" s="369" t="e">
        <f t="shared" si="21"/>
        <v>#REF!</v>
      </c>
      <c r="O56" s="369" t="e">
        <f t="shared" si="21"/>
        <v>#REF!</v>
      </c>
      <c r="P56" s="369" t="e">
        <f t="shared" si="21"/>
        <v>#REF!</v>
      </c>
      <c r="Q56" s="392" t="e">
        <f t="shared" si="21"/>
        <v>#REF!</v>
      </c>
      <c r="R56" s="369" t="e">
        <f t="shared" si="21"/>
        <v>#REF!</v>
      </c>
      <c r="S56" s="369" t="e">
        <f t="shared" si="21"/>
        <v>#REF!</v>
      </c>
      <c r="T56" s="369" t="e">
        <f t="shared" si="21"/>
        <v>#REF!</v>
      </c>
      <c r="U56" s="371" t="e">
        <f t="shared" si="21"/>
        <v>#REF!</v>
      </c>
      <c r="V56" s="371" t="e">
        <f t="shared" si="21"/>
        <v>#REF!</v>
      </c>
      <c r="W56" s="371" t="e">
        <f t="shared" si="21"/>
        <v>#REF!</v>
      </c>
      <c r="X56" s="371" t="e">
        <f t="shared" si="21"/>
        <v>#REF!</v>
      </c>
      <c r="Y56" s="372"/>
      <c r="Z56" s="372"/>
      <c r="AA56" s="372"/>
      <c r="AB56" s="372"/>
      <c r="AC56" s="372"/>
      <c r="AD56" s="372"/>
      <c r="AE56" s="372"/>
      <c r="AF56" s="372"/>
      <c r="AG56" s="372"/>
      <c r="AH56" s="372"/>
      <c r="AI56" s="372"/>
      <c r="AJ56" s="372"/>
      <c r="AK56" s="372"/>
      <c r="AL56" s="372"/>
    </row>
    <row r="57" spans="1:38" ht="18.75" customHeight="1" x14ac:dyDescent="0.25">
      <c r="A57" s="80"/>
      <c r="B57" s="80"/>
      <c r="C57" s="80"/>
      <c r="D57" s="80"/>
      <c r="E57" s="80">
        <v>3431</v>
      </c>
      <c r="F57" s="81" t="s">
        <v>211</v>
      </c>
      <c r="G57" s="82" t="e">
        <f>SUMIF(#REF!,funkcijska!$E57,#REF!)</f>
        <v>#REF!</v>
      </c>
      <c r="H57" s="82" t="e">
        <f>SUMIF(#REF!,funkcijska!$E57,#REF!)</f>
        <v>#REF!</v>
      </c>
      <c r="I57" s="82" t="e">
        <f>SUMIF(#REF!,funkcijska!$E57,#REF!)</f>
        <v>#REF!</v>
      </c>
      <c r="J57" s="82" t="e">
        <f>SUMIF(#REF!,funkcijska!$E57,#REF!)</f>
        <v>#REF!</v>
      </c>
      <c r="K57" s="82" t="e">
        <f>SUMIF(#REF!,funkcijska!$E57,#REF!)</f>
        <v>#REF!</v>
      </c>
      <c r="L57" s="82" t="e">
        <f>ROUND(K57/J57*100,2)</f>
        <v>#REF!</v>
      </c>
      <c r="M57" s="82" t="e">
        <f>N57-J57</f>
        <v>#REF!</v>
      </c>
      <c r="N57" s="82" t="e">
        <f>SUMIF(#REF!,funkcijska!$E57,#REF!)</f>
        <v>#REF!</v>
      </c>
      <c r="O57" s="82" t="e">
        <f>SUMIF(#REF!,funkcijska!$E57,#REF!)</f>
        <v>#REF!</v>
      </c>
      <c r="P57" s="82" t="e">
        <f>SUMIF(#REF!,funkcijska!$E57,#REF!)</f>
        <v>#REF!</v>
      </c>
      <c r="Q57" s="386" t="e">
        <f>SUMIF(#REF!,funkcijska!$E57,#REF!)</f>
        <v>#REF!</v>
      </c>
      <c r="R57" s="82" t="e">
        <f>SUMIF(#REF!,funkcijska!$E57,#REF!)</f>
        <v>#REF!</v>
      </c>
      <c r="S57" s="82" t="e">
        <f>SUMIF(#REF!,funkcijska!$E57,#REF!)</f>
        <v>#REF!</v>
      </c>
      <c r="T57" s="82" t="e">
        <f>SUMIF(#REF!,funkcijska!$E$57,#REF!)</f>
        <v>#REF!</v>
      </c>
      <c r="U57" s="357" t="e">
        <f>SUMIF(#REF!,funkcijska!$E57,#REF!)</f>
        <v>#REF!</v>
      </c>
      <c r="V57" s="357" t="e">
        <f>SUMIF(#REF!,funkcijska!$E57,#REF!)+SUMIF(#REF!,funkcijska!$E57,#REF!)</f>
        <v>#REF!</v>
      </c>
      <c r="W57" s="357" t="e">
        <f>SUMIF(#REF!,funkcijska!$E57,#REF!)+SUMIF(#REF!,funkcijska!$E57,#REF!)</f>
        <v>#REF!</v>
      </c>
      <c r="X57" s="357" t="e">
        <f>SUMIF(#REF!,funkcijska!$E57,#REF!)+SUMIF(#REF!,funkcijska!$E57,#REF!)</f>
        <v>#REF!</v>
      </c>
      <c r="AD57" s="60"/>
      <c r="AE57" s="60"/>
      <c r="AF57" s="60"/>
      <c r="AG57" s="60"/>
      <c r="AH57" s="60"/>
      <c r="AI57" s="60"/>
      <c r="AJ57" s="60"/>
      <c r="AK57" s="60"/>
      <c r="AL57" s="60"/>
    </row>
    <row r="58" spans="1:38" ht="18.75" customHeight="1" x14ac:dyDescent="0.25">
      <c r="A58" s="80"/>
      <c r="B58" s="80"/>
      <c r="C58" s="80"/>
      <c r="D58" s="80"/>
      <c r="E58" s="80">
        <v>3433</v>
      </c>
      <c r="F58" s="81" t="s">
        <v>402</v>
      </c>
      <c r="G58" s="82" t="e">
        <f>SUMIF(#REF!,funkcijska!$E58,#REF!)</f>
        <v>#REF!</v>
      </c>
      <c r="H58" s="82" t="e">
        <f>SUMIF(#REF!,funkcijska!$E58,#REF!)</f>
        <v>#REF!</v>
      </c>
      <c r="I58" s="82" t="e">
        <f>SUMIF(#REF!,funkcijska!$E58,#REF!)</f>
        <v>#REF!</v>
      </c>
      <c r="J58" s="82" t="e">
        <f>SUMIF(#REF!,funkcijska!$E58,#REF!)</f>
        <v>#REF!</v>
      </c>
      <c r="K58" s="82" t="e">
        <f>SUMIF(#REF!,funkcijska!$E58,#REF!)</f>
        <v>#REF!</v>
      </c>
      <c r="L58" s="82" t="e">
        <f>ROUND(K58/J58*100,2)</f>
        <v>#REF!</v>
      </c>
      <c r="M58" s="82" t="e">
        <f>N58-J58</f>
        <v>#REF!</v>
      </c>
      <c r="N58" s="82" t="e">
        <f>SUMIF(#REF!,funkcijska!$E58,#REF!)</f>
        <v>#REF!</v>
      </c>
      <c r="O58" s="82" t="e">
        <f>SUMIF(#REF!,funkcijska!$E58,#REF!)</f>
        <v>#REF!</v>
      </c>
      <c r="P58" s="82" t="e">
        <f>SUMIF(#REF!,funkcijska!$E58,#REF!)</f>
        <v>#REF!</v>
      </c>
      <c r="Q58" s="386" t="e">
        <f>SUMIF(#REF!,funkcijska!$E58,#REF!)</f>
        <v>#REF!</v>
      </c>
      <c r="R58" s="82" t="e">
        <f>SUMIF(#REF!,funkcijska!$E58,#REF!)</f>
        <v>#REF!</v>
      </c>
      <c r="S58" s="82" t="e">
        <f>SUMIF(#REF!,funkcijska!$E58,#REF!)</f>
        <v>#REF!</v>
      </c>
      <c r="T58" s="82" t="e">
        <f>SUMIF(#REF!,funkcijska!$E$58,#REF!)</f>
        <v>#REF!</v>
      </c>
      <c r="U58" s="357" t="e">
        <f>SUMIF(#REF!,funkcijska!$E58,#REF!)</f>
        <v>#REF!</v>
      </c>
      <c r="V58" s="357" t="e">
        <f>SUMIF(#REF!,funkcijska!$E58,#REF!)+SUMIF(#REF!,funkcijska!$E58,#REF!)</f>
        <v>#REF!</v>
      </c>
      <c r="W58" s="357" t="e">
        <f>SUMIF(#REF!,funkcijska!$E58,#REF!)+SUMIF(#REF!,funkcijska!$E58,#REF!)</f>
        <v>#REF!</v>
      </c>
      <c r="X58" s="357" t="e">
        <f>SUMIF(#REF!,funkcijska!$E58,#REF!)+SUMIF(#REF!,funkcijska!$E58,#REF!)</f>
        <v>#REF!</v>
      </c>
      <c r="AD58" s="60"/>
      <c r="AE58" s="60"/>
      <c r="AF58" s="60"/>
      <c r="AG58" s="60"/>
      <c r="AH58" s="60"/>
      <c r="AI58" s="60"/>
      <c r="AJ58" s="60"/>
      <c r="AK58" s="60"/>
      <c r="AL58" s="60"/>
    </row>
    <row r="59" spans="1:38" ht="24" customHeight="1" x14ac:dyDescent="0.25">
      <c r="A59" s="80"/>
      <c r="B59" s="80"/>
      <c r="C59" s="80"/>
      <c r="D59" s="80"/>
      <c r="E59" s="80">
        <v>3434</v>
      </c>
      <c r="F59" s="81" t="s">
        <v>403</v>
      </c>
      <c r="G59" s="82" t="e">
        <f>SUMIF(#REF!,funkcijska!$E59,#REF!)</f>
        <v>#REF!</v>
      </c>
      <c r="H59" s="82" t="e">
        <f>SUMIF(#REF!,funkcijska!$E59,#REF!)</f>
        <v>#REF!</v>
      </c>
      <c r="I59" s="82" t="e">
        <f>SUMIF(#REF!,funkcijska!$E59,#REF!)</f>
        <v>#REF!</v>
      </c>
      <c r="J59" s="82" t="e">
        <f>SUMIF(#REF!,funkcijska!$E59,#REF!)</f>
        <v>#REF!</v>
      </c>
      <c r="K59" s="82" t="e">
        <f>SUMIF(#REF!,funkcijska!$E59,#REF!)</f>
        <v>#REF!</v>
      </c>
      <c r="L59" s="82" t="e">
        <f>ROUND(K59/J59*100,2)</f>
        <v>#REF!</v>
      </c>
      <c r="M59" s="82" t="e">
        <f>N59-J59</f>
        <v>#REF!</v>
      </c>
      <c r="N59" s="82" t="e">
        <f>SUMIF(#REF!,funkcijska!$E59,#REF!)</f>
        <v>#REF!</v>
      </c>
      <c r="O59" s="82" t="e">
        <f>SUMIF(#REF!,funkcijska!$E59,#REF!)</f>
        <v>#REF!</v>
      </c>
      <c r="P59" s="82" t="e">
        <f>SUMIF(#REF!,funkcijska!$E59,#REF!)</f>
        <v>#REF!</v>
      </c>
      <c r="Q59" s="386" t="e">
        <f>SUMIF(#REF!,funkcijska!$E59,#REF!)</f>
        <v>#REF!</v>
      </c>
      <c r="R59" s="82" t="e">
        <f>SUMIF(#REF!,funkcijska!$E59,#REF!)</f>
        <v>#REF!</v>
      </c>
      <c r="S59" s="82" t="e">
        <f>SUMIF(#REF!,funkcijska!$E59,#REF!)</f>
        <v>#REF!</v>
      </c>
      <c r="T59" s="82" t="e">
        <f>SUMIF(#REF!,funkcijska!$E$59,#REF!)</f>
        <v>#REF!</v>
      </c>
      <c r="U59" s="357" t="e">
        <f>SUMIF(#REF!,funkcijska!$E59,#REF!)</f>
        <v>#REF!</v>
      </c>
      <c r="V59" s="357" t="e">
        <f>SUMIF(#REF!,funkcijska!$E59,#REF!)+SUMIF(#REF!,funkcijska!$E59,#REF!)</f>
        <v>#REF!</v>
      </c>
      <c r="W59" s="357" t="e">
        <f>SUMIF(#REF!,funkcijska!$E59,#REF!)+SUMIF(#REF!,funkcijska!$E59,#REF!)</f>
        <v>#REF!</v>
      </c>
      <c r="X59" s="357" t="e">
        <f>SUMIF(#REF!,funkcijska!$E59,#REF!)+SUMIF(#REF!,funkcijska!$E59,#REF!)</f>
        <v>#REF!</v>
      </c>
      <c r="AD59" s="60"/>
      <c r="AE59" s="60"/>
      <c r="AF59" s="60"/>
      <c r="AG59" s="60"/>
      <c r="AH59" s="60"/>
      <c r="AI59" s="60"/>
      <c r="AJ59" s="60"/>
      <c r="AK59" s="60"/>
      <c r="AL59" s="60"/>
    </row>
    <row r="60" spans="1:38" ht="18" hidden="1" customHeight="1" x14ac:dyDescent="0.25">
      <c r="A60" s="125"/>
      <c r="B60" s="74"/>
      <c r="C60" s="74" t="str">
        <f>LEFT(E66,2)</f>
        <v>35</v>
      </c>
      <c r="D60" s="74"/>
      <c r="E60" s="74"/>
      <c r="F60" s="75" t="s">
        <v>747</v>
      </c>
      <c r="G60" s="77" t="e">
        <f>G61+G64</f>
        <v>#REF!</v>
      </c>
      <c r="H60" s="118" t="e">
        <f>H61+H64</f>
        <v>#REF!</v>
      </c>
      <c r="I60" s="77" t="e">
        <f>I61+I64</f>
        <v>#REF!</v>
      </c>
      <c r="J60" s="77" t="e">
        <f>J61+J64</f>
        <v>#REF!</v>
      </c>
      <c r="K60" s="77" t="e">
        <f>K61+K64</f>
        <v>#REF!</v>
      </c>
      <c r="L60" s="77" t="e">
        <f>ROUND(K60/J60*100,2)</f>
        <v>#REF!</v>
      </c>
      <c r="M60" s="77" t="e">
        <f>N60-J60</f>
        <v>#REF!</v>
      </c>
      <c r="N60" s="77" t="e">
        <f t="shared" ref="N60:X60" si="22">N61+N64</f>
        <v>#REF!</v>
      </c>
      <c r="O60" s="76" t="e">
        <f t="shared" si="22"/>
        <v>#REF!</v>
      </c>
      <c r="P60" s="76" t="e">
        <f t="shared" si="22"/>
        <v>#REF!</v>
      </c>
      <c r="Q60" s="385" t="e">
        <f t="shared" si="22"/>
        <v>#REF!</v>
      </c>
      <c r="R60" s="135" t="e">
        <f t="shared" si="22"/>
        <v>#REF!</v>
      </c>
      <c r="S60" s="135" t="e">
        <f t="shared" si="22"/>
        <v>#REF!</v>
      </c>
      <c r="T60" s="135" t="e">
        <f t="shared" si="22"/>
        <v>#REF!</v>
      </c>
      <c r="U60" s="356" t="e">
        <f t="shared" si="22"/>
        <v>#REF!</v>
      </c>
      <c r="V60" s="356" t="e">
        <f t="shared" si="22"/>
        <v>#REF!</v>
      </c>
      <c r="W60" s="356" t="e">
        <f t="shared" si="22"/>
        <v>#REF!</v>
      </c>
      <c r="X60" s="356" t="e">
        <f t="shared" si="22"/>
        <v>#REF!</v>
      </c>
      <c r="AD60" s="60"/>
      <c r="AE60" s="60"/>
      <c r="AF60" s="60"/>
      <c r="AG60" s="60"/>
      <c r="AH60" s="60"/>
      <c r="AI60" s="60"/>
      <c r="AJ60" s="60"/>
      <c r="AK60" s="60"/>
      <c r="AL60" s="60"/>
    </row>
    <row r="61" spans="1:38" s="373" customFormat="1" ht="20.25" hidden="1" customHeight="1" x14ac:dyDescent="0.25">
      <c r="A61" s="119"/>
      <c r="B61" s="119"/>
      <c r="C61" s="119"/>
      <c r="D61" s="119" t="s">
        <v>1018</v>
      </c>
      <c r="E61" s="119"/>
      <c r="F61" s="368" t="s">
        <v>752</v>
      </c>
      <c r="G61" s="369" t="e">
        <f>G62</f>
        <v>#REF!</v>
      </c>
      <c r="H61" s="370" t="e">
        <f>H62</f>
        <v>#REF!</v>
      </c>
      <c r="I61" s="369" t="e">
        <f t="shared" ref="I61:X61" si="23">I62+I63</f>
        <v>#REF!</v>
      </c>
      <c r="J61" s="369" t="e">
        <f t="shared" si="23"/>
        <v>#REF!</v>
      </c>
      <c r="K61" s="369" t="e">
        <f t="shared" si="23"/>
        <v>#REF!</v>
      </c>
      <c r="L61" s="369" t="e">
        <f t="shared" si="23"/>
        <v>#REF!</v>
      </c>
      <c r="M61" s="369" t="e">
        <f t="shared" si="23"/>
        <v>#REF!</v>
      </c>
      <c r="N61" s="369" t="e">
        <f t="shared" si="23"/>
        <v>#REF!</v>
      </c>
      <c r="O61" s="369" t="e">
        <f t="shared" si="23"/>
        <v>#REF!</v>
      </c>
      <c r="P61" s="369" t="e">
        <f t="shared" si="23"/>
        <v>#REF!</v>
      </c>
      <c r="Q61" s="392" t="e">
        <f t="shared" si="23"/>
        <v>#REF!</v>
      </c>
      <c r="R61" s="369" t="e">
        <f t="shared" si="23"/>
        <v>#REF!</v>
      </c>
      <c r="S61" s="369" t="e">
        <f t="shared" si="23"/>
        <v>#REF!</v>
      </c>
      <c r="T61" s="369" t="e">
        <f t="shared" si="23"/>
        <v>#REF!</v>
      </c>
      <c r="U61" s="371" t="e">
        <f t="shared" si="23"/>
        <v>#REF!</v>
      </c>
      <c r="V61" s="371" t="e">
        <f t="shared" si="23"/>
        <v>#REF!</v>
      </c>
      <c r="W61" s="371" t="e">
        <f t="shared" si="23"/>
        <v>#REF!</v>
      </c>
      <c r="X61" s="371" t="e">
        <f t="shared" si="23"/>
        <v>#REF!</v>
      </c>
      <c r="Y61" s="372"/>
      <c r="Z61" s="372"/>
      <c r="AA61" s="372"/>
      <c r="AB61" s="372"/>
      <c r="AC61" s="372"/>
      <c r="AD61" s="372"/>
      <c r="AE61" s="372"/>
      <c r="AF61" s="372"/>
      <c r="AG61" s="372"/>
      <c r="AH61" s="372"/>
      <c r="AI61" s="372"/>
      <c r="AJ61" s="372"/>
      <c r="AK61" s="372"/>
      <c r="AL61" s="372"/>
    </row>
    <row r="62" spans="1:38" ht="63" hidden="1" customHeight="1" x14ac:dyDescent="0.25">
      <c r="A62" s="80"/>
      <c r="B62" s="80"/>
      <c r="C62" s="80"/>
      <c r="D62" s="80"/>
      <c r="E62" s="80">
        <v>3511</v>
      </c>
      <c r="F62" s="81" t="s">
        <v>323</v>
      </c>
      <c r="G62" s="82" t="e">
        <f>SUMIF(#REF!,funkcijska!$E62,#REF!)</f>
        <v>#REF!</v>
      </c>
      <c r="H62" s="82" t="e">
        <f>SUMIF(#REF!,funkcijska!$E62,#REF!)</f>
        <v>#REF!</v>
      </c>
      <c r="I62" s="82" t="e">
        <f>SUMIF(#REF!,funkcijska!$E62,#REF!)</f>
        <v>#REF!</v>
      </c>
      <c r="J62" s="82" t="e">
        <f>SUMIF(#REF!,funkcijska!$E62,#REF!)</f>
        <v>#REF!</v>
      </c>
      <c r="K62" s="82" t="e">
        <f>SUMIF(#REF!,funkcijska!$E62,#REF!)</f>
        <v>#REF!</v>
      </c>
      <c r="L62" s="82" t="e">
        <f>ROUND(K62/J62*100,2)</f>
        <v>#REF!</v>
      </c>
      <c r="M62" s="82" t="e">
        <f>N62-J62</f>
        <v>#REF!</v>
      </c>
      <c r="N62" s="82" t="e">
        <f>SUMIF(#REF!,funkcijska!$E62,#REF!)</f>
        <v>#REF!</v>
      </c>
      <c r="O62" s="82" t="e">
        <f>SUMIF(#REF!,funkcijska!$E62,#REF!)</f>
        <v>#REF!</v>
      </c>
      <c r="P62" s="82" t="e">
        <f>SUMIF(#REF!,funkcijska!$E62,#REF!)</f>
        <v>#REF!</v>
      </c>
      <c r="Q62" s="386" t="e">
        <f>SUMIF(#REF!,funkcijska!$E62,#REF!)</f>
        <v>#REF!</v>
      </c>
      <c r="R62" s="82" t="e">
        <f>SUMIF(#REF!,funkcijska!$E62,#REF!)</f>
        <v>#REF!</v>
      </c>
      <c r="S62" s="82" t="e">
        <f>SUMIF(#REF!,funkcijska!$E62,#REF!)</f>
        <v>#REF!</v>
      </c>
      <c r="T62" s="82" t="e">
        <f>SUMIF(#REF!,funkcijska!$E$62,#REF!)</f>
        <v>#REF!</v>
      </c>
      <c r="U62" s="357" t="e">
        <f>SUMIF(#REF!,funkcijska!$E62,#REF!)</f>
        <v>#REF!</v>
      </c>
      <c r="V62" s="357" t="e">
        <f>SUMIF(#REF!,funkcijska!$E62,#REF!)+SUMIF(#REF!,funkcijska!$E62,#REF!)</f>
        <v>#REF!</v>
      </c>
      <c r="W62" s="357" t="e">
        <f>SUMIF(#REF!,funkcijska!$E62,#REF!)+SUMIF(#REF!,funkcijska!$E62,#REF!)</f>
        <v>#REF!</v>
      </c>
      <c r="X62" s="357" t="e">
        <f>SUMIF(#REF!,funkcijska!$E62,#REF!)+SUMIF(#REF!,funkcijska!$E62,#REF!)</f>
        <v>#REF!</v>
      </c>
      <c r="AD62" s="60"/>
      <c r="AE62" s="60"/>
      <c r="AF62" s="60"/>
      <c r="AG62" s="60"/>
      <c r="AH62" s="60"/>
      <c r="AI62" s="60"/>
      <c r="AJ62" s="60"/>
      <c r="AK62" s="60"/>
      <c r="AL62" s="60"/>
    </row>
    <row r="63" spans="1:38" ht="23.25" hidden="1" customHeight="1" x14ac:dyDescent="0.25">
      <c r="A63" s="80"/>
      <c r="B63" s="80"/>
      <c r="C63" s="80"/>
      <c r="D63" s="80"/>
      <c r="E63" s="136">
        <v>3512</v>
      </c>
      <c r="F63" s="81" t="s">
        <v>752</v>
      </c>
      <c r="G63" s="82" t="e">
        <f>SUMIF(#REF!,funkcijska!$E63,#REF!)</f>
        <v>#REF!</v>
      </c>
      <c r="H63" s="82" t="e">
        <f>SUMIF(#REF!,funkcijska!$E63,#REF!)</f>
        <v>#REF!</v>
      </c>
      <c r="I63" s="82" t="e">
        <f>SUMIF(#REF!,funkcijska!$E63,#REF!)</f>
        <v>#REF!</v>
      </c>
      <c r="J63" s="82" t="e">
        <f>SUMIF(#REF!,funkcijska!$E63,#REF!)</f>
        <v>#REF!</v>
      </c>
      <c r="K63" s="82" t="e">
        <f>SUMIF(#REF!,funkcijska!$E63,#REF!)</f>
        <v>#REF!</v>
      </c>
      <c r="L63" s="82" t="e">
        <f>ROUND(K63/J63*100,2)</f>
        <v>#REF!</v>
      </c>
      <c r="M63" s="82" t="e">
        <f>N63-J63</f>
        <v>#REF!</v>
      </c>
      <c r="N63" s="82" t="e">
        <f>SUMIF(#REF!,funkcijska!$E63,#REF!)</f>
        <v>#REF!</v>
      </c>
      <c r="O63" s="82" t="e">
        <f>SUMIF(#REF!,funkcijska!$E63,#REF!)</f>
        <v>#REF!</v>
      </c>
      <c r="P63" s="82" t="e">
        <f>SUMIF(#REF!,funkcijska!$E63,#REF!)</f>
        <v>#REF!</v>
      </c>
      <c r="Q63" s="386" t="e">
        <f>SUMIF(#REF!,funkcijska!$E63,#REF!)</f>
        <v>#REF!</v>
      </c>
      <c r="R63" s="82" t="e">
        <f>SUMIF(#REF!,funkcijska!$E63,#REF!)</f>
        <v>#REF!</v>
      </c>
      <c r="S63" s="82" t="e">
        <f>SUMIF(#REF!,funkcijska!$E63,#REF!)</f>
        <v>#REF!</v>
      </c>
      <c r="T63" s="82" t="e">
        <f>SUMIF(#REF!,funkcijska!$E$63,#REF!)</f>
        <v>#REF!</v>
      </c>
      <c r="U63" s="357" t="e">
        <f>SUMIF(#REF!,funkcijska!$E63,#REF!)</f>
        <v>#REF!</v>
      </c>
      <c r="V63" s="357" t="e">
        <f>SUMIF(#REF!,funkcijska!$E63,#REF!)+SUMIF(#REF!,funkcijska!$E63,#REF!)</f>
        <v>#REF!</v>
      </c>
      <c r="W63" s="357" t="e">
        <f>SUMIF(#REF!,funkcijska!$E63,#REF!)+SUMIF(#REF!,funkcijska!$E63,#REF!)</f>
        <v>#REF!</v>
      </c>
      <c r="X63" s="357" t="e">
        <f>SUMIF(#REF!,funkcijska!$E63,#REF!)+SUMIF(#REF!,funkcijska!$E63,#REF!)</f>
        <v>#REF!</v>
      </c>
      <c r="AD63" s="60"/>
      <c r="AE63" s="60"/>
      <c r="AF63" s="60"/>
      <c r="AG63" s="60"/>
      <c r="AH63" s="60"/>
      <c r="AI63" s="60"/>
      <c r="AJ63" s="60"/>
      <c r="AK63" s="60"/>
      <c r="AL63" s="60"/>
    </row>
    <row r="64" spans="1:38" s="373" customFormat="1" ht="54.75" hidden="1" customHeight="1" x14ac:dyDescent="0.25">
      <c r="A64" s="119"/>
      <c r="B64" s="119"/>
      <c r="C64" s="119"/>
      <c r="D64" s="119" t="str">
        <f>LEFT(E66,3)</f>
        <v>352</v>
      </c>
      <c r="E64" s="119"/>
      <c r="F64" s="368" t="s">
        <v>748</v>
      </c>
      <c r="G64" s="137" t="e">
        <f t="shared" ref="G64:X64" si="24">G66+G65</f>
        <v>#REF!</v>
      </c>
      <c r="H64" s="137" t="e">
        <f t="shared" si="24"/>
        <v>#REF!</v>
      </c>
      <c r="I64" s="137" t="e">
        <f t="shared" si="24"/>
        <v>#REF!</v>
      </c>
      <c r="J64" s="137" t="e">
        <f t="shared" si="24"/>
        <v>#REF!</v>
      </c>
      <c r="K64" s="137" t="e">
        <f t="shared" si="24"/>
        <v>#REF!</v>
      </c>
      <c r="L64" s="137" t="e">
        <f t="shared" si="24"/>
        <v>#REF!</v>
      </c>
      <c r="M64" s="137" t="e">
        <f t="shared" si="24"/>
        <v>#REF!</v>
      </c>
      <c r="N64" s="137" t="e">
        <f t="shared" si="24"/>
        <v>#REF!</v>
      </c>
      <c r="O64" s="137" t="e">
        <f t="shared" si="24"/>
        <v>#REF!</v>
      </c>
      <c r="P64" s="137" t="e">
        <f t="shared" si="24"/>
        <v>#REF!</v>
      </c>
      <c r="Q64" s="393" t="e">
        <f t="shared" si="24"/>
        <v>#REF!</v>
      </c>
      <c r="R64" s="137" t="e">
        <f t="shared" si="24"/>
        <v>#REF!</v>
      </c>
      <c r="S64" s="137" t="e">
        <f t="shared" si="24"/>
        <v>#REF!</v>
      </c>
      <c r="T64" s="137" t="e">
        <f t="shared" si="24"/>
        <v>#REF!</v>
      </c>
      <c r="U64" s="371" t="e">
        <f t="shared" si="24"/>
        <v>#REF!</v>
      </c>
      <c r="V64" s="371" t="e">
        <f t="shared" si="24"/>
        <v>#REF!</v>
      </c>
      <c r="W64" s="371" t="e">
        <f t="shared" si="24"/>
        <v>#REF!</v>
      </c>
      <c r="X64" s="371" t="e">
        <f t="shared" si="24"/>
        <v>#REF!</v>
      </c>
      <c r="Y64" s="372"/>
      <c r="Z64" s="372"/>
      <c r="AA64" s="372"/>
      <c r="AB64" s="372"/>
      <c r="AC64" s="372"/>
      <c r="AD64" s="372"/>
      <c r="AE64" s="372"/>
      <c r="AF64" s="372"/>
      <c r="AG64" s="372"/>
      <c r="AH64" s="372"/>
      <c r="AI64" s="372"/>
      <c r="AJ64" s="372"/>
      <c r="AK64" s="372"/>
      <c r="AL64" s="372"/>
    </row>
    <row r="65" spans="1:38" ht="37.5" hidden="1" customHeight="1" x14ac:dyDescent="0.25">
      <c r="A65" s="80"/>
      <c r="B65" s="80"/>
      <c r="C65" s="80"/>
      <c r="D65" s="80"/>
      <c r="E65" s="80">
        <v>3522</v>
      </c>
      <c r="F65" s="81" t="s">
        <v>498</v>
      </c>
      <c r="G65" s="82" t="e">
        <f>SUMIF(#REF!,funkcijska!$E65,#REF!)</f>
        <v>#REF!</v>
      </c>
      <c r="H65" s="82" t="e">
        <f>SUMIF(#REF!,funkcijska!$E65,#REF!)</f>
        <v>#REF!</v>
      </c>
      <c r="I65" s="82" t="e">
        <f>SUMIF(#REF!,funkcijska!$E65,#REF!)</f>
        <v>#REF!</v>
      </c>
      <c r="J65" s="82" t="e">
        <f>SUMIF(#REF!,funkcijska!$E65,#REF!)</f>
        <v>#REF!</v>
      </c>
      <c r="K65" s="82" t="e">
        <f>SUMIF(#REF!,funkcijska!$E65,#REF!)</f>
        <v>#REF!</v>
      </c>
      <c r="L65" s="84"/>
      <c r="M65" s="82" t="e">
        <f>N65-J65</f>
        <v>#REF!</v>
      </c>
      <c r="N65" s="82" t="e">
        <f>SUMIF(#REF!,funkcijska!$E65,#REF!)</f>
        <v>#REF!</v>
      </c>
      <c r="O65" s="82" t="e">
        <f>SUMIF(#REF!,funkcijska!$E65,#REF!)</f>
        <v>#REF!</v>
      </c>
      <c r="P65" s="82" t="e">
        <f>SUMIF(#REF!,funkcijska!$E65,#REF!)</f>
        <v>#REF!</v>
      </c>
      <c r="Q65" s="386" t="e">
        <f>SUMIF(#REF!,funkcijska!$E65,#REF!)</f>
        <v>#REF!</v>
      </c>
      <c r="R65" s="82" t="e">
        <f>SUMIF(#REF!,funkcijska!$E65,#REF!)</f>
        <v>#REF!</v>
      </c>
      <c r="S65" s="82" t="e">
        <f>SUMIF(#REF!,funkcijska!$E65,#REF!)</f>
        <v>#REF!</v>
      </c>
      <c r="T65" s="82" t="e">
        <f>SUMIF(#REF!,funkcijska!$E$65,#REF!)</f>
        <v>#REF!</v>
      </c>
      <c r="U65" s="357" t="e">
        <f>SUMIF(#REF!,funkcijska!$E65,#REF!)</f>
        <v>#REF!</v>
      </c>
      <c r="V65" s="357" t="e">
        <f>SUMIF(#REF!,funkcijska!$E65,#REF!)+SUMIF(#REF!,funkcijska!$E65,#REF!)</f>
        <v>#REF!</v>
      </c>
      <c r="W65" s="357" t="e">
        <f>SUMIF(#REF!,funkcijska!$E65,#REF!)+SUMIF(#REF!,funkcijska!$E65,#REF!)</f>
        <v>#REF!</v>
      </c>
      <c r="X65" s="357" t="e">
        <f>SUMIF(#REF!,funkcijska!$E65,#REF!)+SUMIF(#REF!,funkcijska!$E65,#REF!)</f>
        <v>#REF!</v>
      </c>
      <c r="AD65" s="60"/>
      <c r="AE65" s="60"/>
      <c r="AF65" s="60"/>
      <c r="AG65" s="60"/>
      <c r="AH65" s="60"/>
      <c r="AI65" s="60"/>
      <c r="AJ65" s="60"/>
      <c r="AK65" s="60"/>
      <c r="AL65" s="60"/>
    </row>
    <row r="66" spans="1:38" ht="26.25" hidden="1" customHeight="1" x14ac:dyDescent="0.25">
      <c r="A66" s="80"/>
      <c r="B66" s="80"/>
      <c r="C66" s="80"/>
      <c r="D66" s="80"/>
      <c r="E66" s="80">
        <v>3523</v>
      </c>
      <c r="F66" s="81" t="s">
        <v>324</v>
      </c>
      <c r="G66" s="82" t="e">
        <f>SUMIF(#REF!,funkcijska!$E66,#REF!)</f>
        <v>#REF!</v>
      </c>
      <c r="H66" s="82" t="e">
        <f>SUMIF(#REF!,funkcijska!$E66,#REF!)</f>
        <v>#REF!</v>
      </c>
      <c r="I66" s="82" t="e">
        <f>SUMIF(#REF!,funkcijska!$E66,#REF!)</f>
        <v>#REF!</v>
      </c>
      <c r="J66" s="82" t="e">
        <f>SUMIF(#REF!,funkcijska!$E66,#REF!)</f>
        <v>#REF!</v>
      </c>
      <c r="K66" s="82" t="e">
        <f>SUMIF(#REF!,funkcijska!$E66,#REF!)</f>
        <v>#REF!</v>
      </c>
      <c r="L66" s="82" t="e">
        <f>ROUND(K66/J66*100,2)</f>
        <v>#REF!</v>
      </c>
      <c r="M66" s="82" t="e">
        <f>N66-J66</f>
        <v>#REF!</v>
      </c>
      <c r="N66" s="82" t="e">
        <f>SUMIF(#REF!,funkcijska!$E66,#REF!)</f>
        <v>#REF!</v>
      </c>
      <c r="O66" s="82" t="e">
        <f>SUMIF(#REF!,funkcijska!$E66,#REF!)</f>
        <v>#REF!</v>
      </c>
      <c r="P66" s="82" t="e">
        <f>SUMIF(#REF!,funkcijska!$E66,#REF!)</f>
        <v>#REF!</v>
      </c>
      <c r="Q66" s="386" t="e">
        <f>SUMIF(#REF!,funkcijska!$E66,#REF!)</f>
        <v>#REF!</v>
      </c>
      <c r="R66" s="82" t="e">
        <f>SUMIF(#REF!,funkcijska!$E66,#REF!)</f>
        <v>#REF!</v>
      </c>
      <c r="S66" s="82" t="e">
        <f>SUMIF(#REF!,funkcijska!$E66,#REF!)</f>
        <v>#REF!</v>
      </c>
      <c r="T66" s="82" t="e">
        <f>SUMIF(#REF!,funkcijska!$E$66,#REF!)</f>
        <v>#REF!</v>
      </c>
      <c r="U66" s="357" t="e">
        <f>SUMIF(#REF!,funkcijska!$E66,#REF!)</f>
        <v>#REF!</v>
      </c>
      <c r="V66" s="357" t="e">
        <f>SUMIF(#REF!,funkcijska!$E66,#REF!)+SUMIF(#REF!,funkcijska!$E66,#REF!)</f>
        <v>#REF!</v>
      </c>
      <c r="W66" s="357" t="e">
        <f>SUMIF(#REF!,funkcijska!$E66,#REF!)+SUMIF(#REF!,funkcijska!$E66,#REF!)</f>
        <v>#REF!</v>
      </c>
      <c r="X66" s="357" t="e">
        <f>SUMIF(#REF!,funkcijska!$E66,#REF!)+SUMIF(#REF!,funkcijska!$E66,#REF!)</f>
        <v>#REF!</v>
      </c>
      <c r="AD66" s="60"/>
      <c r="AE66" s="60"/>
      <c r="AF66" s="60"/>
      <c r="AG66" s="60"/>
      <c r="AH66" s="60"/>
      <c r="AI66" s="60"/>
      <c r="AJ66" s="60"/>
      <c r="AK66" s="60"/>
      <c r="AL66" s="60"/>
    </row>
    <row r="67" spans="1:38" ht="38.25" customHeight="1" x14ac:dyDescent="0.25">
      <c r="A67" s="125"/>
      <c r="B67" s="74"/>
      <c r="C67" s="74" t="str">
        <f>LEFT(E69,2)</f>
        <v>36</v>
      </c>
      <c r="D67" s="74"/>
      <c r="E67" s="74"/>
      <c r="F67" s="75" t="s">
        <v>751</v>
      </c>
      <c r="G67" s="77" t="e">
        <f>G68</f>
        <v>#REF!</v>
      </c>
      <c r="H67" s="118" t="e">
        <f>H68</f>
        <v>#REF!</v>
      </c>
      <c r="I67" s="77" t="e">
        <f>I68</f>
        <v>#REF!</v>
      </c>
      <c r="J67" s="77" t="e">
        <f>J68</f>
        <v>#REF!</v>
      </c>
      <c r="K67" s="77" t="e">
        <f>K68</f>
        <v>#REF!</v>
      </c>
      <c r="L67" s="77" t="e">
        <f>ROUND(K67/J67*100,2)</f>
        <v>#REF!</v>
      </c>
      <c r="M67" s="77" t="e">
        <f>N67-J67</f>
        <v>#REF!</v>
      </c>
      <c r="N67" s="77" t="e">
        <f t="shared" ref="N67:X67" si="25">N68</f>
        <v>#REF!</v>
      </c>
      <c r="O67" s="76" t="e">
        <f t="shared" si="25"/>
        <v>#REF!</v>
      </c>
      <c r="P67" s="76" t="e">
        <f t="shared" si="25"/>
        <v>#REF!</v>
      </c>
      <c r="Q67" s="385" t="e">
        <f t="shared" si="25"/>
        <v>#REF!</v>
      </c>
      <c r="R67" s="135" t="e">
        <f t="shared" si="25"/>
        <v>#REF!</v>
      </c>
      <c r="S67" s="135" t="e">
        <f t="shared" si="25"/>
        <v>#REF!</v>
      </c>
      <c r="T67" s="135" t="e">
        <f t="shared" si="25"/>
        <v>#REF!</v>
      </c>
      <c r="U67" s="356" t="e">
        <f t="shared" si="25"/>
        <v>#REF!</v>
      </c>
      <c r="V67" s="356" t="e">
        <f t="shared" si="25"/>
        <v>#REF!</v>
      </c>
      <c r="W67" s="356" t="e">
        <f t="shared" si="25"/>
        <v>#REF!</v>
      </c>
      <c r="X67" s="356" t="e">
        <f t="shared" si="25"/>
        <v>#REF!</v>
      </c>
      <c r="AD67" s="60"/>
      <c r="AE67" s="60"/>
      <c r="AF67" s="60"/>
      <c r="AG67" s="60"/>
      <c r="AH67" s="60"/>
      <c r="AI67" s="60"/>
      <c r="AJ67" s="60"/>
      <c r="AK67" s="60"/>
      <c r="AL67" s="60"/>
    </row>
    <row r="68" spans="1:38" s="373" customFormat="1" ht="21" customHeight="1" x14ac:dyDescent="0.25">
      <c r="A68" s="119"/>
      <c r="B68" s="119"/>
      <c r="C68" s="119"/>
      <c r="D68" s="119" t="str">
        <f>LEFT(E69,3)</f>
        <v>363</v>
      </c>
      <c r="E68" s="119"/>
      <c r="F68" s="368" t="s">
        <v>536</v>
      </c>
      <c r="G68" s="369" t="e">
        <f t="shared" ref="G68:X68" si="26">SUM(G69:G70)</f>
        <v>#REF!</v>
      </c>
      <c r="H68" s="370" t="e">
        <f t="shared" si="26"/>
        <v>#REF!</v>
      </c>
      <c r="I68" s="369" t="e">
        <f t="shared" si="26"/>
        <v>#REF!</v>
      </c>
      <c r="J68" s="369" t="e">
        <f t="shared" si="26"/>
        <v>#REF!</v>
      </c>
      <c r="K68" s="369" t="e">
        <f t="shared" si="26"/>
        <v>#REF!</v>
      </c>
      <c r="L68" s="369" t="e">
        <f t="shared" si="26"/>
        <v>#REF!</v>
      </c>
      <c r="M68" s="369" t="e">
        <f t="shared" si="26"/>
        <v>#REF!</v>
      </c>
      <c r="N68" s="369" t="e">
        <f t="shared" si="26"/>
        <v>#REF!</v>
      </c>
      <c r="O68" s="369" t="e">
        <f t="shared" si="26"/>
        <v>#REF!</v>
      </c>
      <c r="P68" s="369" t="e">
        <f t="shared" si="26"/>
        <v>#REF!</v>
      </c>
      <c r="Q68" s="392" t="e">
        <f t="shared" si="26"/>
        <v>#REF!</v>
      </c>
      <c r="R68" s="369" t="e">
        <f t="shared" si="26"/>
        <v>#REF!</v>
      </c>
      <c r="S68" s="369" t="e">
        <f t="shared" si="26"/>
        <v>#REF!</v>
      </c>
      <c r="T68" s="369" t="e">
        <f t="shared" si="26"/>
        <v>#REF!</v>
      </c>
      <c r="U68" s="357" t="e">
        <f t="shared" si="26"/>
        <v>#REF!</v>
      </c>
      <c r="V68" s="357" t="e">
        <f t="shared" si="26"/>
        <v>#REF!</v>
      </c>
      <c r="W68" s="357" t="e">
        <f t="shared" si="26"/>
        <v>#REF!</v>
      </c>
      <c r="X68" s="357" t="e">
        <f t="shared" si="26"/>
        <v>#REF!</v>
      </c>
      <c r="Y68" s="372"/>
      <c r="Z68" s="372"/>
      <c r="AA68" s="372"/>
      <c r="AB68" s="372"/>
      <c r="AC68" s="372"/>
      <c r="AD68" s="372"/>
      <c r="AE68" s="372"/>
      <c r="AF68" s="372"/>
      <c r="AG68" s="372"/>
      <c r="AH68" s="372"/>
      <c r="AI68" s="372"/>
      <c r="AJ68" s="372"/>
      <c r="AK68" s="372"/>
      <c r="AL68" s="372"/>
    </row>
    <row r="69" spans="1:38" ht="20.25" customHeight="1" x14ac:dyDescent="0.25">
      <c r="A69" s="80"/>
      <c r="B69" s="80"/>
      <c r="C69" s="80"/>
      <c r="D69" s="80"/>
      <c r="E69" s="80">
        <v>3631</v>
      </c>
      <c r="F69" s="81" t="s">
        <v>331</v>
      </c>
      <c r="G69" s="82" t="e">
        <f>SUMIF(#REF!,funkcijska!$E69,#REF!)</f>
        <v>#REF!</v>
      </c>
      <c r="H69" s="82" t="e">
        <f>SUMIF(#REF!,funkcijska!$E69,#REF!)</f>
        <v>#REF!</v>
      </c>
      <c r="I69" s="82" t="e">
        <f>SUMIF(#REF!,funkcijska!$E69,#REF!)</f>
        <v>#REF!</v>
      </c>
      <c r="J69" s="82" t="e">
        <f>SUMIF(#REF!,funkcijska!$E69,#REF!)</f>
        <v>#REF!</v>
      </c>
      <c r="K69" s="82" t="e">
        <f>SUMIF(#REF!,funkcijska!$E69,#REF!)</f>
        <v>#REF!</v>
      </c>
      <c r="L69" s="82" t="e">
        <f>ROUND(K69/J69*100,2)</f>
        <v>#REF!</v>
      </c>
      <c r="M69" s="82" t="e">
        <f>N69-J69</f>
        <v>#REF!</v>
      </c>
      <c r="N69" s="82" t="e">
        <f>SUMIF(#REF!,funkcijska!$E69,#REF!)</f>
        <v>#REF!</v>
      </c>
      <c r="O69" s="82" t="e">
        <f>SUMIF(#REF!,funkcijska!$E69,#REF!)</f>
        <v>#REF!</v>
      </c>
      <c r="P69" s="82" t="e">
        <f>SUMIF(#REF!,funkcijska!$E69,#REF!)</f>
        <v>#REF!</v>
      </c>
      <c r="Q69" s="386" t="e">
        <f>SUMIF(#REF!,funkcijska!$E69,#REF!)</f>
        <v>#REF!</v>
      </c>
      <c r="R69" s="82" t="e">
        <f>SUMIF(#REF!,funkcijska!$E69,#REF!)</f>
        <v>#REF!</v>
      </c>
      <c r="S69" s="82" t="e">
        <f>SUMIF(#REF!,funkcijska!$E69,#REF!)</f>
        <v>#REF!</v>
      </c>
      <c r="T69" s="82" t="e">
        <f>SUMIF(#REF!,funkcijska!$E$69,#REF!)</f>
        <v>#REF!</v>
      </c>
      <c r="U69" s="357" t="e">
        <f>SUMIF(#REF!,funkcijska!$E69,#REF!)</f>
        <v>#REF!</v>
      </c>
      <c r="V69" s="357" t="e">
        <f>SUMIF(#REF!,funkcijska!$E69,#REF!)+SUMIF(#REF!,funkcijska!$E69,#REF!)</f>
        <v>#REF!</v>
      </c>
      <c r="W69" s="357" t="e">
        <f>SUMIF(#REF!,funkcijska!$E69,#REF!)+SUMIF(#REF!,funkcijska!$E69,#REF!)</f>
        <v>#REF!</v>
      </c>
      <c r="X69" s="357" t="e">
        <f>SUMIF(#REF!,funkcijska!$E69,#REF!)+SUMIF(#REF!,funkcijska!$E69,#REF!)</f>
        <v>#REF!</v>
      </c>
      <c r="AD69" s="60"/>
      <c r="AE69" s="60"/>
      <c r="AF69" s="60"/>
      <c r="AG69" s="60"/>
      <c r="AH69" s="60"/>
      <c r="AI69" s="60"/>
      <c r="AJ69" s="60"/>
      <c r="AK69" s="60"/>
      <c r="AL69" s="60"/>
    </row>
    <row r="70" spans="1:38" ht="23.25" customHeight="1" x14ac:dyDescent="0.25">
      <c r="A70" s="80"/>
      <c r="B70" s="80"/>
      <c r="C70" s="80"/>
      <c r="D70" s="80"/>
      <c r="E70" s="80">
        <v>3632</v>
      </c>
      <c r="F70" s="81" t="s">
        <v>227</v>
      </c>
      <c r="G70" s="82" t="e">
        <f>SUMIF(#REF!,funkcijska!$E70,#REF!)</f>
        <v>#REF!</v>
      </c>
      <c r="H70" s="82" t="e">
        <f>SUMIF(#REF!,funkcijska!$E70,#REF!)</f>
        <v>#REF!</v>
      </c>
      <c r="I70" s="82" t="e">
        <f>SUMIF(#REF!,funkcijska!$E70,#REF!)</f>
        <v>#REF!</v>
      </c>
      <c r="J70" s="82" t="e">
        <f>SUMIF(#REF!,funkcijska!$E70,#REF!)</f>
        <v>#REF!</v>
      </c>
      <c r="K70" s="82" t="e">
        <f>SUMIF(#REF!,funkcijska!$E70,#REF!)</f>
        <v>#REF!</v>
      </c>
      <c r="L70" s="82" t="e">
        <f>ROUND(K70/J70*100,2)</f>
        <v>#REF!</v>
      </c>
      <c r="M70" s="82" t="e">
        <f>N70-J70</f>
        <v>#REF!</v>
      </c>
      <c r="N70" s="82" t="e">
        <f>SUMIF(#REF!,funkcijska!$E70,#REF!)</f>
        <v>#REF!</v>
      </c>
      <c r="O70" s="82" t="e">
        <f>SUMIF(#REF!,funkcijska!$E70,#REF!)</f>
        <v>#REF!</v>
      </c>
      <c r="P70" s="82" t="e">
        <f>SUMIF(#REF!,funkcijska!$E70,#REF!)</f>
        <v>#REF!</v>
      </c>
      <c r="Q70" s="386" t="e">
        <f>SUMIF(#REF!,funkcijska!$E70,#REF!)</f>
        <v>#REF!</v>
      </c>
      <c r="R70" s="82" t="e">
        <f>SUMIF(#REF!,funkcijska!$E70,#REF!)</f>
        <v>#REF!</v>
      </c>
      <c r="S70" s="82" t="e">
        <f>SUMIF(#REF!,funkcijska!$E70,#REF!)</f>
        <v>#REF!</v>
      </c>
      <c r="T70" s="82" t="e">
        <f>SUMIF(#REF!,funkcijska!$E70,#REF!)</f>
        <v>#REF!</v>
      </c>
      <c r="U70" s="82" t="e">
        <f>SUMIF(#REF!,funkcijska!$E70,#REF!)</f>
        <v>#REF!</v>
      </c>
      <c r="V70" s="357" t="e">
        <f>SUMIF(#REF!,funkcijska!$E70,#REF!)+SUMIF(#REF!,funkcijska!$E70,#REF!)</f>
        <v>#REF!</v>
      </c>
      <c r="W70" s="357" t="e">
        <f>SUMIF(#REF!,funkcijska!$E70,#REF!)+SUMIF(#REF!,funkcijska!$E70,#REF!)</f>
        <v>#REF!</v>
      </c>
      <c r="X70" s="357" t="e">
        <f>SUMIF(#REF!,funkcijska!$E70,#REF!)+SUMIF(#REF!,funkcijska!$E70,#REF!)</f>
        <v>#REF!</v>
      </c>
      <c r="AD70" s="60"/>
      <c r="AE70" s="60"/>
      <c r="AF70" s="60"/>
      <c r="AG70" s="60"/>
      <c r="AH70" s="60"/>
      <c r="AI70" s="60"/>
      <c r="AJ70" s="60"/>
      <c r="AK70" s="60"/>
      <c r="AL70" s="60"/>
    </row>
    <row r="71" spans="1:38" ht="36.75" customHeight="1" x14ac:dyDescent="0.25">
      <c r="A71" s="125"/>
      <c r="B71" s="74"/>
      <c r="C71" s="74" t="str">
        <f>LEFT(E73,2)</f>
        <v>37</v>
      </c>
      <c r="D71" s="74"/>
      <c r="E71" s="74"/>
      <c r="F71" s="75" t="s">
        <v>410</v>
      </c>
      <c r="G71" s="311" t="e">
        <f>G72</f>
        <v>#REF!</v>
      </c>
      <c r="H71" s="118" t="e">
        <f>H72</f>
        <v>#REF!</v>
      </c>
      <c r="I71" s="311" t="e">
        <f>I72</f>
        <v>#REF!</v>
      </c>
      <c r="J71" s="311" t="e">
        <f>J72</f>
        <v>#REF!</v>
      </c>
      <c r="K71" s="311" t="e">
        <f>K72</f>
        <v>#REF!</v>
      </c>
      <c r="L71" s="311" t="e">
        <f>ROUND(K71/J71*100,2)</f>
        <v>#REF!</v>
      </c>
      <c r="M71" s="311" t="e">
        <f>N71-J71</f>
        <v>#REF!</v>
      </c>
      <c r="N71" s="311" t="e">
        <f t="shared" ref="N71:X71" si="27">N72</f>
        <v>#REF!</v>
      </c>
      <c r="O71" s="312" t="e">
        <f t="shared" si="27"/>
        <v>#REF!</v>
      </c>
      <c r="P71" s="312" t="e">
        <f t="shared" si="27"/>
        <v>#REF!</v>
      </c>
      <c r="Q71" s="385" t="e">
        <f t="shared" si="27"/>
        <v>#REF!</v>
      </c>
      <c r="R71" s="137" t="e">
        <f t="shared" si="27"/>
        <v>#REF!</v>
      </c>
      <c r="S71" s="137" t="e">
        <f t="shared" si="27"/>
        <v>#REF!</v>
      </c>
      <c r="T71" s="137" t="e">
        <f t="shared" si="27"/>
        <v>#REF!</v>
      </c>
      <c r="U71" s="356" t="e">
        <f t="shared" si="27"/>
        <v>#REF!</v>
      </c>
      <c r="V71" s="356" t="e">
        <f t="shared" si="27"/>
        <v>#REF!</v>
      </c>
      <c r="W71" s="356" t="e">
        <f t="shared" si="27"/>
        <v>#REF!</v>
      </c>
      <c r="X71" s="356" t="e">
        <f t="shared" si="27"/>
        <v>#REF!</v>
      </c>
      <c r="AD71" s="60"/>
      <c r="AE71" s="60"/>
      <c r="AF71" s="60"/>
      <c r="AG71" s="60"/>
      <c r="AH71" s="60"/>
      <c r="AI71" s="60"/>
      <c r="AJ71" s="60"/>
      <c r="AK71" s="60"/>
      <c r="AL71" s="60"/>
    </row>
    <row r="72" spans="1:38" s="373" customFormat="1" ht="37.5" customHeight="1" x14ac:dyDescent="0.25">
      <c r="A72" s="119"/>
      <c r="B72" s="119"/>
      <c r="C72" s="119"/>
      <c r="D72" s="119" t="str">
        <f>LEFT(E73,3)</f>
        <v>372</v>
      </c>
      <c r="E72" s="119"/>
      <c r="F72" s="368" t="s">
        <v>411</v>
      </c>
      <c r="G72" s="369" t="e">
        <f t="shared" ref="G72:X72" si="28">SUM(G73:G74)</f>
        <v>#REF!</v>
      </c>
      <c r="H72" s="370" t="e">
        <f t="shared" si="28"/>
        <v>#REF!</v>
      </c>
      <c r="I72" s="369" t="e">
        <f t="shared" si="28"/>
        <v>#REF!</v>
      </c>
      <c r="J72" s="369" t="e">
        <f t="shared" si="28"/>
        <v>#REF!</v>
      </c>
      <c r="K72" s="369" t="e">
        <f t="shared" si="28"/>
        <v>#REF!</v>
      </c>
      <c r="L72" s="369" t="e">
        <f t="shared" si="28"/>
        <v>#REF!</v>
      </c>
      <c r="M72" s="369" t="e">
        <f t="shared" si="28"/>
        <v>#REF!</v>
      </c>
      <c r="N72" s="369" t="e">
        <f t="shared" si="28"/>
        <v>#REF!</v>
      </c>
      <c r="O72" s="369" t="e">
        <f t="shared" si="28"/>
        <v>#REF!</v>
      </c>
      <c r="P72" s="369" t="e">
        <f t="shared" si="28"/>
        <v>#REF!</v>
      </c>
      <c r="Q72" s="392" t="e">
        <f t="shared" si="28"/>
        <v>#REF!</v>
      </c>
      <c r="R72" s="369" t="e">
        <f t="shared" si="28"/>
        <v>#REF!</v>
      </c>
      <c r="S72" s="369" t="e">
        <f t="shared" si="28"/>
        <v>#REF!</v>
      </c>
      <c r="T72" s="369" t="e">
        <f t="shared" si="28"/>
        <v>#REF!</v>
      </c>
      <c r="U72" s="357" t="e">
        <f t="shared" si="28"/>
        <v>#REF!</v>
      </c>
      <c r="V72" s="357" t="e">
        <f t="shared" si="28"/>
        <v>#REF!</v>
      </c>
      <c r="W72" s="357" t="e">
        <f t="shared" si="28"/>
        <v>#REF!</v>
      </c>
      <c r="X72" s="357" t="e">
        <f t="shared" si="28"/>
        <v>#REF!</v>
      </c>
      <c r="Y72" s="372"/>
      <c r="Z72" s="372"/>
      <c r="AA72" s="372"/>
      <c r="AB72" s="372"/>
      <c r="AC72" s="372"/>
      <c r="AD72" s="372"/>
      <c r="AE72" s="372"/>
      <c r="AF72" s="372"/>
      <c r="AG72" s="372"/>
      <c r="AH72" s="372"/>
      <c r="AI72" s="372"/>
      <c r="AJ72" s="372"/>
      <c r="AK72" s="372"/>
      <c r="AL72" s="372"/>
    </row>
    <row r="73" spans="1:38" ht="21" customHeight="1" x14ac:dyDescent="0.25">
      <c r="A73" s="80"/>
      <c r="B73" s="80"/>
      <c r="C73" s="80"/>
      <c r="D73" s="80"/>
      <c r="E73" s="80">
        <v>3721</v>
      </c>
      <c r="F73" s="81" t="s">
        <v>412</v>
      </c>
      <c r="G73" s="82" t="e">
        <f>SUMIF(#REF!,funkcijska!$E73,#REF!)</f>
        <v>#REF!</v>
      </c>
      <c r="H73" s="82" t="e">
        <f>SUMIF(#REF!,funkcijska!$E73,#REF!)</f>
        <v>#REF!</v>
      </c>
      <c r="I73" s="82" t="e">
        <f>SUMIF(#REF!,funkcijska!$E73,#REF!)</f>
        <v>#REF!</v>
      </c>
      <c r="J73" s="82" t="e">
        <f>SUMIF(#REF!,funkcijska!$E73,#REF!)</f>
        <v>#REF!</v>
      </c>
      <c r="K73" s="82" t="e">
        <f>SUMIF(#REF!,funkcijska!$E73,#REF!)</f>
        <v>#REF!</v>
      </c>
      <c r="L73" s="82" t="e">
        <f t="shared" ref="L73:L82" si="29">ROUND(K73/J73*100,2)</f>
        <v>#REF!</v>
      </c>
      <c r="M73" s="82" t="e">
        <f t="shared" ref="M73:M82" si="30">N73-J73</f>
        <v>#REF!</v>
      </c>
      <c r="N73" s="82" t="e">
        <f>SUMIF(#REF!,funkcijska!$E73,#REF!)</f>
        <v>#REF!</v>
      </c>
      <c r="O73" s="82" t="e">
        <f>SUMIF(#REF!,funkcijska!$E73,#REF!)</f>
        <v>#REF!</v>
      </c>
      <c r="P73" s="82" t="e">
        <f>SUMIF(#REF!,funkcijska!$E73,#REF!)</f>
        <v>#REF!</v>
      </c>
      <c r="Q73" s="386" t="e">
        <f>SUMIF(#REF!,funkcijska!$E73,#REF!)</f>
        <v>#REF!</v>
      </c>
      <c r="R73" s="82" t="e">
        <f>SUMIF(#REF!,funkcijska!$E73,#REF!)</f>
        <v>#REF!</v>
      </c>
      <c r="S73" s="82" t="e">
        <f>SUMIF(#REF!,funkcijska!$E73,#REF!)</f>
        <v>#REF!</v>
      </c>
      <c r="T73" s="82" t="e">
        <f>SUMIF(#REF!,funkcijska!$E$73,#REF!)</f>
        <v>#REF!</v>
      </c>
      <c r="U73" s="357" t="e">
        <f>SUMIF(#REF!,funkcijska!$E73,#REF!)</f>
        <v>#REF!</v>
      </c>
      <c r="V73" s="357" t="e">
        <f>SUMIF(#REF!,funkcijska!$E73,#REF!)+SUMIF(#REF!,funkcijska!$E73,#REF!)</f>
        <v>#REF!</v>
      </c>
      <c r="W73" s="357" t="e">
        <f>SUMIF(#REF!,funkcijska!$E73,#REF!)+SUMIF(#REF!,funkcijska!$E73,#REF!)</f>
        <v>#REF!</v>
      </c>
      <c r="X73" s="357" t="e">
        <f>SUMIF(#REF!,funkcijska!$E73,#REF!)+SUMIF(#REF!,funkcijska!$E73,#REF!)</f>
        <v>#REF!</v>
      </c>
      <c r="AD73" s="60"/>
      <c r="AE73" s="60"/>
      <c r="AF73" s="60"/>
      <c r="AG73" s="60"/>
      <c r="AH73" s="60"/>
      <c r="AI73" s="60"/>
      <c r="AJ73" s="60"/>
      <c r="AK73" s="60"/>
      <c r="AL73" s="60"/>
    </row>
    <row r="74" spans="1:38" ht="36.75" customHeight="1" x14ac:dyDescent="0.25">
      <c r="A74" s="80"/>
      <c r="B74" s="80"/>
      <c r="C74" s="80"/>
      <c r="D74" s="80"/>
      <c r="E74" s="80">
        <v>3722</v>
      </c>
      <c r="F74" s="81" t="s">
        <v>1019</v>
      </c>
      <c r="G74" s="82" t="e">
        <f>SUMIF(#REF!,funkcijska!$E74,#REF!)</f>
        <v>#REF!</v>
      </c>
      <c r="H74" s="82" t="e">
        <f>SUMIF(#REF!,funkcijska!$E74,#REF!)</f>
        <v>#REF!</v>
      </c>
      <c r="I74" s="82" t="e">
        <f>SUMIF(#REF!,funkcijska!$E74,#REF!)</f>
        <v>#REF!</v>
      </c>
      <c r="J74" s="82" t="e">
        <f>SUMIF(#REF!,funkcijska!$E74,#REF!)</f>
        <v>#REF!</v>
      </c>
      <c r="K74" s="82" t="e">
        <f>SUMIF(#REF!,funkcijska!$E74,#REF!)</f>
        <v>#REF!</v>
      </c>
      <c r="L74" s="82" t="e">
        <f t="shared" si="29"/>
        <v>#REF!</v>
      </c>
      <c r="M74" s="82" t="e">
        <f t="shared" si="30"/>
        <v>#REF!</v>
      </c>
      <c r="N74" s="82" t="e">
        <f>SUMIF(#REF!,funkcijska!$E74,#REF!)</f>
        <v>#REF!</v>
      </c>
      <c r="O74" s="82" t="e">
        <f>SUMIF(#REF!,funkcijska!$E74,#REF!)</f>
        <v>#REF!</v>
      </c>
      <c r="P74" s="82" t="e">
        <f>SUMIF(#REF!,funkcijska!$E74,#REF!)</f>
        <v>#REF!</v>
      </c>
      <c r="Q74" s="386" t="e">
        <f>SUMIF(#REF!,funkcijska!$E74,#REF!)</f>
        <v>#REF!</v>
      </c>
      <c r="R74" s="82" t="e">
        <f>SUMIF(#REF!,funkcijska!$E74,#REF!)</f>
        <v>#REF!</v>
      </c>
      <c r="S74" s="82" t="e">
        <f>SUMIF(#REF!,funkcijska!$E74,#REF!)</f>
        <v>#REF!</v>
      </c>
      <c r="T74" s="82" t="e">
        <f>SUMIF(#REF!,funkcijska!$E$74,#REF!)</f>
        <v>#REF!</v>
      </c>
      <c r="U74" s="357" t="e">
        <f>SUMIF(#REF!,funkcijska!$E74,#REF!)</f>
        <v>#REF!</v>
      </c>
      <c r="V74" s="357" t="e">
        <f>SUMIF(#REF!,funkcijska!$E74,#REF!)+SUMIF(#REF!,funkcijska!$E74,#REF!)</f>
        <v>#REF!</v>
      </c>
      <c r="W74" s="357" t="e">
        <f>SUMIF(#REF!,funkcijska!$E74,#REF!)+SUMIF(#REF!,funkcijska!$E74,#REF!)</f>
        <v>#REF!</v>
      </c>
      <c r="X74" s="357" t="e">
        <f>SUMIF(#REF!,funkcijska!$E74,#REF!)+SUMIF(#REF!,funkcijska!$E74,#REF!)</f>
        <v>#REF!</v>
      </c>
      <c r="AD74" s="60"/>
      <c r="AE74" s="60"/>
      <c r="AF74" s="60"/>
      <c r="AG74" s="60"/>
      <c r="AH74" s="60"/>
      <c r="AI74" s="60"/>
      <c r="AJ74" s="60"/>
      <c r="AK74" s="60"/>
      <c r="AL74" s="60"/>
    </row>
    <row r="75" spans="1:38" ht="20.25" customHeight="1" x14ac:dyDescent="0.25">
      <c r="A75" s="125"/>
      <c r="B75" s="74"/>
      <c r="C75" s="74" t="str">
        <f>LEFT(E77,2)</f>
        <v>38</v>
      </c>
      <c r="D75" s="74"/>
      <c r="E75" s="74"/>
      <c r="F75" s="75" t="s">
        <v>539</v>
      </c>
      <c r="G75" s="311" t="e">
        <f>G76+G78+G81</f>
        <v>#REF!</v>
      </c>
      <c r="H75" s="118" t="e">
        <f>H76+H78+H81</f>
        <v>#REF!</v>
      </c>
      <c r="I75" s="311" t="e">
        <f>I76+I78+I81</f>
        <v>#REF!</v>
      </c>
      <c r="J75" s="311" t="e">
        <f>J76+J78+J81</f>
        <v>#REF!</v>
      </c>
      <c r="K75" s="311" t="e">
        <f>K76+K78+K81</f>
        <v>#REF!</v>
      </c>
      <c r="L75" s="311" t="e">
        <f t="shared" si="29"/>
        <v>#REF!</v>
      </c>
      <c r="M75" s="311" t="e">
        <f t="shared" si="30"/>
        <v>#REF!</v>
      </c>
      <c r="N75" s="311" t="e">
        <f t="shared" ref="N75:X75" si="31">N76+N78+N81</f>
        <v>#REF!</v>
      </c>
      <c r="O75" s="312" t="e">
        <f t="shared" si="31"/>
        <v>#REF!</v>
      </c>
      <c r="P75" s="312" t="e">
        <f t="shared" si="31"/>
        <v>#REF!</v>
      </c>
      <c r="Q75" s="385" t="e">
        <f t="shared" si="31"/>
        <v>#REF!</v>
      </c>
      <c r="R75" s="137" t="e">
        <f t="shared" si="31"/>
        <v>#REF!</v>
      </c>
      <c r="S75" s="137" t="e">
        <f t="shared" si="31"/>
        <v>#REF!</v>
      </c>
      <c r="T75" s="137" t="e">
        <f t="shared" si="31"/>
        <v>#REF!</v>
      </c>
      <c r="U75" s="356" t="e">
        <f t="shared" si="31"/>
        <v>#REF!</v>
      </c>
      <c r="V75" s="356" t="e">
        <f t="shared" si="31"/>
        <v>#REF!</v>
      </c>
      <c r="W75" s="356" t="e">
        <f t="shared" si="31"/>
        <v>#REF!</v>
      </c>
      <c r="X75" s="356" t="e">
        <f t="shared" si="31"/>
        <v>#REF!</v>
      </c>
      <c r="AD75" s="60"/>
      <c r="AE75" s="60"/>
      <c r="AF75" s="60"/>
      <c r="AG75" s="60"/>
      <c r="AH75" s="60"/>
      <c r="AI75" s="60"/>
      <c r="AJ75" s="60"/>
      <c r="AK75" s="60"/>
      <c r="AL75" s="60"/>
    </row>
    <row r="76" spans="1:38" s="373" customFormat="1" ht="17.25" customHeight="1" x14ac:dyDescent="0.25">
      <c r="A76" s="119"/>
      <c r="B76" s="119"/>
      <c r="C76" s="119"/>
      <c r="D76" s="119" t="str">
        <f>LEFT(E77,3)</f>
        <v>381</v>
      </c>
      <c r="E76" s="119"/>
      <c r="F76" s="368" t="s">
        <v>540</v>
      </c>
      <c r="G76" s="369" t="e">
        <f>G77</f>
        <v>#REF!</v>
      </c>
      <c r="H76" s="370" t="e">
        <f>H77</f>
        <v>#REF!</v>
      </c>
      <c r="I76" s="369" t="e">
        <f>I77</f>
        <v>#REF!</v>
      </c>
      <c r="J76" s="369" t="e">
        <f>J77</f>
        <v>#REF!</v>
      </c>
      <c r="K76" s="369" t="e">
        <f>K77</f>
        <v>#REF!</v>
      </c>
      <c r="L76" s="369" t="e">
        <f t="shared" si="29"/>
        <v>#REF!</v>
      </c>
      <c r="M76" s="369" t="e">
        <f t="shared" si="30"/>
        <v>#REF!</v>
      </c>
      <c r="N76" s="369" t="e">
        <f t="shared" ref="N76:X76" si="32">N77</f>
        <v>#REF!</v>
      </c>
      <c r="O76" s="137" t="e">
        <f t="shared" si="32"/>
        <v>#REF!</v>
      </c>
      <c r="P76" s="137" t="e">
        <f t="shared" si="32"/>
        <v>#REF!</v>
      </c>
      <c r="Q76" s="393" t="e">
        <f t="shared" si="32"/>
        <v>#REF!</v>
      </c>
      <c r="R76" s="137" t="e">
        <f t="shared" si="32"/>
        <v>#REF!</v>
      </c>
      <c r="S76" s="137" t="e">
        <f t="shared" si="32"/>
        <v>#REF!</v>
      </c>
      <c r="T76" s="137" t="e">
        <f t="shared" si="32"/>
        <v>#REF!</v>
      </c>
      <c r="U76" s="371" t="e">
        <f t="shared" si="32"/>
        <v>#REF!</v>
      </c>
      <c r="V76" s="371" t="e">
        <f t="shared" si="32"/>
        <v>#REF!</v>
      </c>
      <c r="W76" s="371" t="e">
        <f t="shared" si="32"/>
        <v>#REF!</v>
      </c>
      <c r="X76" s="371" t="e">
        <f t="shared" si="32"/>
        <v>#REF!</v>
      </c>
      <c r="Y76" s="372"/>
      <c r="Z76" s="372"/>
      <c r="AA76" s="372"/>
      <c r="AB76" s="372"/>
      <c r="AC76" s="372"/>
      <c r="AD76" s="372"/>
      <c r="AE76" s="372"/>
      <c r="AF76" s="372"/>
      <c r="AG76" s="372"/>
      <c r="AH76" s="372"/>
      <c r="AI76" s="372"/>
      <c r="AJ76" s="372"/>
      <c r="AK76" s="372"/>
      <c r="AL76" s="372"/>
    </row>
    <row r="77" spans="1:38" ht="20.25" customHeight="1" x14ac:dyDescent="0.25">
      <c r="A77" s="80"/>
      <c r="B77" s="80"/>
      <c r="C77" s="80"/>
      <c r="D77" s="80"/>
      <c r="E77" s="80">
        <v>3811</v>
      </c>
      <c r="F77" s="81" t="s">
        <v>623</v>
      </c>
      <c r="G77" s="82" t="e">
        <f>SUMIF(#REF!,funkcijska!$E77,#REF!)</f>
        <v>#REF!</v>
      </c>
      <c r="H77" s="82" t="e">
        <f>SUMIF(#REF!,funkcijska!$E77,#REF!)</f>
        <v>#REF!</v>
      </c>
      <c r="I77" s="82" t="e">
        <f>SUMIF(#REF!,funkcijska!$E77,#REF!)</f>
        <v>#REF!</v>
      </c>
      <c r="J77" s="82" t="e">
        <f>SUMIF(#REF!,funkcijska!$E77,#REF!)</f>
        <v>#REF!</v>
      </c>
      <c r="K77" s="82" t="e">
        <f>SUMIF(#REF!,funkcijska!$E77,#REF!)</f>
        <v>#REF!</v>
      </c>
      <c r="L77" s="82" t="e">
        <f t="shared" si="29"/>
        <v>#REF!</v>
      </c>
      <c r="M77" s="82" t="e">
        <f t="shared" si="30"/>
        <v>#REF!</v>
      </c>
      <c r="N77" s="82" t="e">
        <f>SUMIF(#REF!,funkcijska!$E77,#REF!)</f>
        <v>#REF!</v>
      </c>
      <c r="O77" s="82" t="e">
        <f>SUMIF(#REF!,funkcijska!$E77,#REF!)</f>
        <v>#REF!</v>
      </c>
      <c r="P77" s="82" t="e">
        <f>SUMIF(#REF!,funkcijska!$E77,#REF!)</f>
        <v>#REF!</v>
      </c>
      <c r="Q77" s="386" t="e">
        <f>SUMIF(#REF!,funkcijska!$E77,#REF!)</f>
        <v>#REF!</v>
      </c>
      <c r="R77" s="82" t="e">
        <f>SUMIF(#REF!,funkcijska!$E77,#REF!)</f>
        <v>#REF!</v>
      </c>
      <c r="S77" s="82" t="e">
        <f>SUMIF(#REF!,funkcijska!$E77,#REF!)</f>
        <v>#REF!</v>
      </c>
      <c r="T77" s="82" t="e">
        <f>SUMIF(#REF!,funkcijska!$E$77,#REF!)</f>
        <v>#REF!</v>
      </c>
      <c r="U77" s="357" t="e">
        <f>SUMIF(#REF!,funkcijska!$E77,#REF!)</f>
        <v>#REF!</v>
      </c>
      <c r="V77" s="357" t="e">
        <f>SUMIF(#REF!,funkcijska!$E77,#REF!)+SUMIF(#REF!,funkcijska!$E77,#REF!)</f>
        <v>#REF!</v>
      </c>
      <c r="W77" s="357" t="e">
        <f>SUMIF(#REF!,funkcijska!$E77,#REF!)+SUMIF(#REF!,funkcijska!$E77,#REF!)</f>
        <v>#REF!</v>
      </c>
      <c r="X77" s="357" t="e">
        <f>SUMIF(#REF!,funkcijska!$E77,#REF!)+SUMIF(#REF!,funkcijska!$E77,#REF!)</f>
        <v>#REF!</v>
      </c>
      <c r="AD77" s="60"/>
      <c r="AE77" s="60"/>
      <c r="AF77" s="60"/>
      <c r="AG77" s="60"/>
      <c r="AH77" s="60"/>
      <c r="AI77" s="60"/>
      <c r="AJ77" s="60"/>
      <c r="AK77" s="60"/>
      <c r="AL77" s="60"/>
    </row>
    <row r="78" spans="1:38" s="373" customFormat="1" ht="21" customHeight="1" x14ac:dyDescent="0.25">
      <c r="A78" s="119"/>
      <c r="B78" s="119"/>
      <c r="C78" s="119"/>
      <c r="D78" s="119" t="str">
        <f>LEFT(E79,3)</f>
        <v>382</v>
      </c>
      <c r="E78" s="119"/>
      <c r="F78" s="368" t="s">
        <v>230</v>
      </c>
      <c r="G78" s="369" t="e">
        <f>G79</f>
        <v>#REF!</v>
      </c>
      <c r="H78" s="370" t="e">
        <f>H79</f>
        <v>#REF!</v>
      </c>
      <c r="I78" s="369" t="e">
        <f>I79</f>
        <v>#REF!</v>
      </c>
      <c r="J78" s="369" t="e">
        <f>J79</f>
        <v>#REF!</v>
      </c>
      <c r="K78" s="369" t="e">
        <f>K79</f>
        <v>#REF!</v>
      </c>
      <c r="L78" s="369" t="e">
        <f t="shared" si="29"/>
        <v>#REF!</v>
      </c>
      <c r="M78" s="369" t="e">
        <f t="shared" si="30"/>
        <v>#REF!</v>
      </c>
      <c r="N78" s="369" t="e">
        <f t="shared" ref="N78:U78" si="33">N79</f>
        <v>#REF!</v>
      </c>
      <c r="O78" s="137" t="e">
        <f t="shared" si="33"/>
        <v>#REF!</v>
      </c>
      <c r="P78" s="137" t="e">
        <f t="shared" si="33"/>
        <v>#REF!</v>
      </c>
      <c r="Q78" s="393" t="e">
        <f t="shared" si="33"/>
        <v>#REF!</v>
      </c>
      <c r="R78" s="137" t="e">
        <f t="shared" si="33"/>
        <v>#REF!</v>
      </c>
      <c r="S78" s="137" t="e">
        <f t="shared" si="33"/>
        <v>#REF!</v>
      </c>
      <c r="T78" s="137" t="e">
        <f t="shared" si="33"/>
        <v>#REF!</v>
      </c>
      <c r="U78" s="371" t="e">
        <f t="shared" si="33"/>
        <v>#REF!</v>
      </c>
      <c r="V78" s="371" t="e">
        <f>V79+V80</f>
        <v>#REF!</v>
      </c>
      <c r="W78" s="371" t="e">
        <f>W79+W80</f>
        <v>#REF!</v>
      </c>
      <c r="X78" s="371" t="e">
        <f>X79+X80</f>
        <v>#REF!</v>
      </c>
      <c r="Y78" s="372"/>
      <c r="Z78" s="372"/>
      <c r="AA78" s="372"/>
      <c r="AB78" s="372"/>
      <c r="AC78" s="372"/>
      <c r="AD78" s="372"/>
      <c r="AE78" s="372"/>
      <c r="AF78" s="372"/>
      <c r="AG78" s="372"/>
      <c r="AH78" s="372"/>
      <c r="AI78" s="372"/>
      <c r="AJ78" s="372"/>
      <c r="AK78" s="372"/>
      <c r="AL78" s="372"/>
    </row>
    <row r="79" spans="1:38" ht="23.25" customHeight="1" x14ac:dyDescent="0.25">
      <c r="A79" s="80"/>
      <c r="B79" s="80"/>
      <c r="C79" s="80"/>
      <c r="D79" s="80"/>
      <c r="E79" s="80">
        <v>3821</v>
      </c>
      <c r="F79" s="81" t="s">
        <v>1020</v>
      </c>
      <c r="G79" s="82" t="e">
        <f>SUMIF(#REF!,funkcijska!$E79,#REF!)</f>
        <v>#REF!</v>
      </c>
      <c r="H79" s="82" t="e">
        <f>SUMIF(#REF!,funkcijska!$E79,#REF!)</f>
        <v>#REF!</v>
      </c>
      <c r="I79" s="82" t="e">
        <f>SUMIF(#REF!,funkcijska!$E79,#REF!)</f>
        <v>#REF!</v>
      </c>
      <c r="J79" s="82" t="e">
        <f>SUMIF(#REF!,funkcijska!$E79,#REF!)</f>
        <v>#REF!</v>
      </c>
      <c r="K79" s="82" t="e">
        <f>SUMIF(#REF!,funkcijska!$E79,#REF!)</f>
        <v>#REF!</v>
      </c>
      <c r="L79" s="82" t="e">
        <f t="shared" si="29"/>
        <v>#REF!</v>
      </c>
      <c r="M79" s="82" t="e">
        <f t="shared" si="30"/>
        <v>#REF!</v>
      </c>
      <c r="N79" s="82" t="e">
        <f>SUMIF(#REF!,funkcijska!$E79,#REF!)</f>
        <v>#REF!</v>
      </c>
      <c r="O79" s="82" t="e">
        <f>SUMIF(#REF!,funkcijska!$E79,#REF!)</f>
        <v>#REF!</v>
      </c>
      <c r="P79" s="82" t="e">
        <f>SUMIF(#REF!,funkcijska!$E79,#REF!)</f>
        <v>#REF!</v>
      </c>
      <c r="Q79" s="386" t="e">
        <f>SUMIF(#REF!,funkcijska!$E79,#REF!)</f>
        <v>#REF!</v>
      </c>
      <c r="R79" s="82" t="e">
        <f>SUMIF(#REF!,funkcijska!$E79,#REF!)</f>
        <v>#REF!</v>
      </c>
      <c r="S79" s="82" t="e">
        <f>SUMIF(#REF!,funkcijska!$E79,#REF!)</f>
        <v>#REF!</v>
      </c>
      <c r="T79" s="82" t="e">
        <f>SUMIF(#REF!,funkcijska!$E$79,#REF!)</f>
        <v>#REF!</v>
      </c>
      <c r="U79" s="357" t="e">
        <f>SUMIF(#REF!,funkcijska!$E79,#REF!)</f>
        <v>#REF!</v>
      </c>
      <c r="V79" s="357" t="e">
        <f>SUMIF(#REF!,funkcijska!$E79,#REF!)+SUMIF(#REF!,funkcijska!$E79,#REF!)</f>
        <v>#REF!</v>
      </c>
      <c r="W79" s="357" t="e">
        <f>SUMIF(#REF!,funkcijska!$E79,#REF!)+SUMIF(#REF!,funkcijska!$E79,#REF!)</f>
        <v>#REF!</v>
      </c>
      <c r="X79" s="357" t="e">
        <f>SUMIF(#REF!,funkcijska!$E79,#REF!)+SUMIF(#REF!,funkcijska!$E79,#REF!)</f>
        <v>#REF!</v>
      </c>
      <c r="AD79" s="60"/>
      <c r="AE79" s="60"/>
      <c r="AF79" s="60"/>
      <c r="AG79" s="60"/>
      <c r="AH79" s="60"/>
      <c r="AI79" s="60"/>
      <c r="AJ79" s="60"/>
      <c r="AK79" s="60"/>
      <c r="AL79" s="60"/>
    </row>
    <row r="80" spans="1:38" ht="23.25" customHeight="1" x14ac:dyDescent="0.25">
      <c r="A80" s="80"/>
      <c r="B80" s="80"/>
      <c r="C80" s="80"/>
      <c r="D80" s="80"/>
      <c r="E80" s="80">
        <v>3822</v>
      </c>
      <c r="F80" s="81" t="s">
        <v>734</v>
      </c>
      <c r="G80" s="82" t="e">
        <f>SUMIF(#REF!,funkcijska!$E80,#REF!)</f>
        <v>#REF!</v>
      </c>
      <c r="H80" s="82" t="e">
        <f>SUMIF(#REF!,funkcijska!$E80,#REF!)</f>
        <v>#REF!</v>
      </c>
      <c r="I80" s="82" t="e">
        <f>SUMIF(#REF!,funkcijska!$E80,#REF!)</f>
        <v>#REF!</v>
      </c>
      <c r="J80" s="82" t="e">
        <f>SUMIF(#REF!,funkcijska!$E80,#REF!)</f>
        <v>#REF!</v>
      </c>
      <c r="K80" s="82" t="e">
        <f>SUMIF(#REF!,funkcijska!$E80,#REF!)</f>
        <v>#REF!</v>
      </c>
      <c r="L80" s="82" t="e">
        <f t="shared" si="29"/>
        <v>#REF!</v>
      </c>
      <c r="M80" s="82" t="e">
        <f t="shared" si="30"/>
        <v>#REF!</v>
      </c>
      <c r="N80" s="82" t="e">
        <f>SUMIF(#REF!,funkcijska!$E80,#REF!)</f>
        <v>#REF!</v>
      </c>
      <c r="O80" s="82" t="e">
        <f>SUMIF(#REF!,funkcijska!$E80,#REF!)</f>
        <v>#REF!</v>
      </c>
      <c r="P80" s="82" t="e">
        <f>SUMIF(#REF!,funkcijska!$E80,#REF!)</f>
        <v>#REF!</v>
      </c>
      <c r="Q80" s="386" t="e">
        <f>SUMIF(#REF!,funkcijska!$E80,#REF!)</f>
        <v>#REF!</v>
      </c>
      <c r="R80" s="82" t="e">
        <f>SUMIF(#REF!,funkcijska!$E80,#REF!)</f>
        <v>#REF!</v>
      </c>
      <c r="S80" s="82" t="e">
        <f>SUMIF(#REF!,funkcijska!$E80,#REF!)</f>
        <v>#REF!</v>
      </c>
      <c r="T80" s="82" t="e">
        <f>SUMIF(#REF!,funkcijska!$E$79,#REF!)</f>
        <v>#REF!</v>
      </c>
      <c r="U80" s="357" t="e">
        <f>SUMIF(#REF!,funkcijska!$E80,#REF!)</f>
        <v>#REF!</v>
      </c>
      <c r="V80" s="357" t="e">
        <f>SUMIF(#REF!,funkcijska!$E80,#REF!)+SUMIF(#REF!,funkcijska!$E80,#REF!)</f>
        <v>#REF!</v>
      </c>
      <c r="W80" s="357" t="e">
        <f>SUMIF(#REF!,funkcijska!$E80,#REF!)+SUMIF(#REF!,funkcijska!$E80,#REF!)</f>
        <v>#REF!</v>
      </c>
      <c r="X80" s="357" t="e">
        <f>SUMIF(#REF!,funkcijska!$E80,#REF!)+SUMIF(#REF!,funkcijska!$E80,#REF!)</f>
        <v>#REF!</v>
      </c>
      <c r="AD80" s="60"/>
      <c r="AE80" s="60"/>
      <c r="AF80" s="60"/>
      <c r="AG80" s="60"/>
      <c r="AH80" s="60"/>
      <c r="AI80" s="60"/>
      <c r="AJ80" s="60"/>
      <c r="AK80" s="60"/>
      <c r="AL80" s="60"/>
    </row>
    <row r="81" spans="1:38" s="373" customFormat="1" ht="21" customHeight="1" x14ac:dyDescent="0.25">
      <c r="A81" s="119"/>
      <c r="B81" s="119"/>
      <c r="C81" s="119"/>
      <c r="D81" s="119" t="str">
        <f>LEFT(E82,3)</f>
        <v>385</v>
      </c>
      <c r="E81" s="119"/>
      <c r="F81" s="368" t="s">
        <v>545</v>
      </c>
      <c r="G81" s="369" t="e">
        <f>G82</f>
        <v>#REF!</v>
      </c>
      <c r="H81" s="370" t="e">
        <f>H82</f>
        <v>#REF!</v>
      </c>
      <c r="I81" s="369" t="e">
        <f>I82</f>
        <v>#REF!</v>
      </c>
      <c r="J81" s="369" t="e">
        <f>J82</f>
        <v>#REF!</v>
      </c>
      <c r="K81" s="369" t="e">
        <f>K82</f>
        <v>#REF!</v>
      </c>
      <c r="L81" s="369" t="e">
        <f t="shared" si="29"/>
        <v>#REF!</v>
      </c>
      <c r="M81" s="369" t="e">
        <f t="shared" si="30"/>
        <v>#REF!</v>
      </c>
      <c r="N81" s="369" t="e">
        <f t="shared" ref="N81:X81" si="34">N82</f>
        <v>#REF!</v>
      </c>
      <c r="O81" s="137" t="e">
        <f t="shared" si="34"/>
        <v>#REF!</v>
      </c>
      <c r="P81" s="137" t="e">
        <f t="shared" si="34"/>
        <v>#REF!</v>
      </c>
      <c r="Q81" s="393" t="e">
        <f t="shared" si="34"/>
        <v>#REF!</v>
      </c>
      <c r="R81" s="137" t="e">
        <f t="shared" si="34"/>
        <v>#REF!</v>
      </c>
      <c r="S81" s="137" t="e">
        <f t="shared" si="34"/>
        <v>#REF!</v>
      </c>
      <c r="T81" s="137" t="e">
        <f t="shared" si="34"/>
        <v>#REF!</v>
      </c>
      <c r="U81" s="371" t="e">
        <f t="shared" si="34"/>
        <v>#REF!</v>
      </c>
      <c r="V81" s="371" t="e">
        <f t="shared" si="34"/>
        <v>#REF!</v>
      </c>
      <c r="W81" s="371" t="e">
        <f t="shared" si="34"/>
        <v>#REF!</v>
      </c>
      <c r="X81" s="371" t="e">
        <f t="shared" si="34"/>
        <v>#REF!</v>
      </c>
      <c r="Y81" s="372"/>
      <c r="Z81" s="372"/>
      <c r="AA81" s="372"/>
      <c r="AB81" s="372"/>
      <c r="AC81" s="372"/>
      <c r="AD81" s="372"/>
      <c r="AE81" s="372"/>
      <c r="AF81" s="372"/>
      <c r="AG81" s="372"/>
      <c r="AH81" s="372"/>
      <c r="AI81" s="372"/>
      <c r="AJ81" s="372"/>
      <c r="AK81" s="372"/>
      <c r="AL81" s="372"/>
    </row>
    <row r="82" spans="1:38" ht="21.75" customHeight="1" x14ac:dyDescent="0.25">
      <c r="A82" s="80"/>
      <c r="B82" s="80"/>
      <c r="C82" s="80"/>
      <c r="D82" s="80"/>
      <c r="E82" s="80">
        <v>3851</v>
      </c>
      <c r="F82" s="81" t="s">
        <v>546</v>
      </c>
      <c r="G82" s="82" t="e">
        <f>SUMIF(#REF!,funkcijska!$E82,#REF!)</f>
        <v>#REF!</v>
      </c>
      <c r="H82" s="82" t="e">
        <f>SUMIF(#REF!,funkcijska!$E82,#REF!)</f>
        <v>#REF!</v>
      </c>
      <c r="I82" s="82" t="e">
        <f>SUMIF(#REF!,funkcijska!$E82,#REF!)</f>
        <v>#REF!</v>
      </c>
      <c r="J82" s="82" t="e">
        <f>SUMIF(#REF!,funkcijska!$E82,#REF!)</f>
        <v>#REF!</v>
      </c>
      <c r="K82" s="82" t="e">
        <f>SUMIF(#REF!,funkcijska!$E82,#REF!)</f>
        <v>#REF!</v>
      </c>
      <c r="L82" s="82" t="e">
        <f t="shared" si="29"/>
        <v>#REF!</v>
      </c>
      <c r="M82" s="82" t="e">
        <f t="shared" si="30"/>
        <v>#REF!</v>
      </c>
      <c r="N82" s="82" t="e">
        <f>SUMIF(#REF!,funkcijska!$E82,#REF!)</f>
        <v>#REF!</v>
      </c>
      <c r="O82" s="82" t="e">
        <f>SUMIF(#REF!,funkcijska!$E82,#REF!)</f>
        <v>#REF!</v>
      </c>
      <c r="P82" s="82" t="e">
        <f>SUMIF(#REF!,funkcijska!$E82,#REF!)</f>
        <v>#REF!</v>
      </c>
      <c r="Q82" s="386" t="e">
        <f>SUMIF(#REF!,funkcijska!$E82,#REF!)</f>
        <v>#REF!</v>
      </c>
      <c r="R82" s="82" t="e">
        <f>SUMIF(#REF!,funkcijska!$E82,#REF!)</f>
        <v>#REF!</v>
      </c>
      <c r="S82" s="82" t="e">
        <f>SUMIF(#REF!,funkcijska!$E82,#REF!)</f>
        <v>#REF!</v>
      </c>
      <c r="T82" s="82" t="e">
        <f>SUMIF(#REF!,funkcijska!$E$82,#REF!)</f>
        <v>#REF!</v>
      </c>
      <c r="U82" s="357" t="e">
        <f>SUMIF(#REF!,funkcijska!$E82,#REF!)</f>
        <v>#REF!</v>
      </c>
      <c r="V82" s="357" t="e">
        <f>SUMIF(#REF!,funkcijska!$E82,#REF!)+SUMIF(#REF!,funkcijska!$E82,#REF!)</f>
        <v>#REF!</v>
      </c>
      <c r="W82" s="357" t="e">
        <f>SUMIF(#REF!,funkcijska!$E82,#REF!)+SUMIF(#REF!,funkcijska!$E82,#REF!)</f>
        <v>#REF!</v>
      </c>
      <c r="X82" s="357" t="e">
        <f>SUMIF(#REF!,funkcijska!$E82,#REF!)+SUMIF(#REF!,funkcijska!$E82,#REF!)</f>
        <v>#REF!</v>
      </c>
      <c r="AD82" s="60"/>
      <c r="AE82" s="60"/>
      <c r="AF82" s="60"/>
      <c r="AG82" s="60"/>
      <c r="AH82" s="60"/>
      <c r="AI82" s="60"/>
      <c r="AJ82" s="60"/>
      <c r="AK82" s="60"/>
      <c r="AL82" s="60"/>
    </row>
    <row r="83" spans="1:38" x14ac:dyDescent="0.25">
      <c r="A83" s="108"/>
      <c r="B83" s="108"/>
      <c r="C83" s="108"/>
      <c r="D83" s="108"/>
      <c r="E83" s="108"/>
      <c r="F83" s="104" t="s">
        <v>1021</v>
      </c>
      <c r="G83" s="110"/>
      <c r="H83" s="103"/>
      <c r="I83" s="110"/>
      <c r="J83" s="110"/>
      <c r="K83" s="110"/>
      <c r="L83" s="110"/>
      <c r="M83" s="110"/>
      <c r="N83" s="110"/>
      <c r="O83" s="110"/>
      <c r="P83" s="110"/>
      <c r="Q83" s="395"/>
      <c r="R83" s="110"/>
      <c r="S83" s="110"/>
      <c r="T83" s="110"/>
      <c r="U83" s="361"/>
      <c r="V83" s="361"/>
      <c r="W83" s="361"/>
      <c r="X83" s="361"/>
      <c r="AD83" s="60"/>
      <c r="AE83" s="60"/>
      <c r="AF83" s="60"/>
      <c r="AG83" s="60"/>
      <c r="AH83" s="60"/>
      <c r="AI83" s="60"/>
      <c r="AJ83" s="60"/>
      <c r="AK83" s="60"/>
      <c r="AL83" s="60"/>
    </row>
    <row r="84" spans="1:38" x14ac:dyDescent="0.25">
      <c r="A84" s="74"/>
      <c r="B84" s="105" t="str">
        <f>LEFT(E93,1)</f>
        <v>4</v>
      </c>
      <c r="C84" s="105"/>
      <c r="D84" s="105"/>
      <c r="E84" s="105"/>
      <c r="F84" s="72" t="s">
        <v>552</v>
      </c>
      <c r="G84" s="313" t="e">
        <f>G85+G91+G113</f>
        <v>#REF!</v>
      </c>
      <c r="H84" s="73" t="e">
        <f>H85+H91+H113</f>
        <v>#REF!</v>
      </c>
      <c r="I84" s="313" t="e">
        <f>I85+I91+I113</f>
        <v>#REF!</v>
      </c>
      <c r="J84" s="313" t="e">
        <f>J85+J91+J113</f>
        <v>#REF!</v>
      </c>
      <c r="K84" s="313" t="e">
        <f>K85+K91+K113</f>
        <v>#REF!</v>
      </c>
      <c r="L84" s="313" t="e">
        <f t="shared" ref="L84:L91" si="35">ROUND(K84/J84*100,2)</f>
        <v>#REF!</v>
      </c>
      <c r="M84" s="313" t="e">
        <f t="shared" ref="M84:M91" si="36">N84-J84</f>
        <v>#REF!</v>
      </c>
      <c r="N84" s="313" t="e">
        <f t="shared" ref="N84:X84" si="37">N85+N91+N113</f>
        <v>#REF!</v>
      </c>
      <c r="O84" s="73" t="e">
        <f t="shared" si="37"/>
        <v>#REF!</v>
      </c>
      <c r="P84" s="73" t="e">
        <f t="shared" si="37"/>
        <v>#REF!</v>
      </c>
      <c r="Q84" s="412" t="e">
        <f t="shared" si="37"/>
        <v>#REF!</v>
      </c>
      <c r="R84" s="76" t="e">
        <f t="shared" si="37"/>
        <v>#REF!</v>
      </c>
      <c r="S84" s="76" t="e">
        <f t="shared" si="37"/>
        <v>#REF!</v>
      </c>
      <c r="T84" s="76" t="e">
        <f t="shared" si="37"/>
        <v>#REF!</v>
      </c>
      <c r="U84" s="355" t="e">
        <f t="shared" si="37"/>
        <v>#REF!</v>
      </c>
      <c r="V84" s="355" t="e">
        <f t="shared" si="37"/>
        <v>#REF!</v>
      </c>
      <c r="W84" s="355" t="e">
        <f t="shared" si="37"/>
        <v>#REF!</v>
      </c>
      <c r="X84" s="355" t="e">
        <f t="shared" si="37"/>
        <v>#REF!</v>
      </c>
      <c r="AD84" s="60"/>
      <c r="AE84" s="60"/>
      <c r="AF84" s="60"/>
      <c r="AG84" s="60"/>
      <c r="AH84" s="60"/>
      <c r="AI84" s="60"/>
      <c r="AJ84" s="60"/>
      <c r="AK84" s="60"/>
      <c r="AL84" s="60"/>
    </row>
    <row r="85" spans="1:38" ht="36" hidden="1" x14ac:dyDescent="0.25">
      <c r="A85" s="125"/>
      <c r="B85" s="74"/>
      <c r="C85" s="74">
        <v>41</v>
      </c>
      <c r="D85" s="74"/>
      <c r="E85" s="74"/>
      <c r="F85" s="75" t="s">
        <v>753</v>
      </c>
      <c r="G85" s="77" t="e">
        <f>G88+G86</f>
        <v>#REF!</v>
      </c>
      <c r="H85" s="118" t="e">
        <f>H88+H86</f>
        <v>#REF!</v>
      </c>
      <c r="I85" s="77" t="e">
        <f>I88+I86</f>
        <v>#REF!</v>
      </c>
      <c r="J85" s="77" t="e">
        <f>J88+J86</f>
        <v>#REF!</v>
      </c>
      <c r="K85" s="77" t="e">
        <f>K88+K86</f>
        <v>#REF!</v>
      </c>
      <c r="L85" s="77" t="e">
        <f t="shared" si="35"/>
        <v>#REF!</v>
      </c>
      <c r="M85" s="77" t="e">
        <f t="shared" si="36"/>
        <v>#REF!</v>
      </c>
      <c r="N85" s="77" t="e">
        <f t="shared" ref="N85:X85" si="38">N88+N86</f>
        <v>#REF!</v>
      </c>
      <c r="O85" s="76" t="e">
        <f t="shared" si="38"/>
        <v>#REF!</v>
      </c>
      <c r="P85" s="76" t="e">
        <f t="shared" si="38"/>
        <v>#REF!</v>
      </c>
      <c r="Q85" s="385" t="e">
        <f t="shared" si="38"/>
        <v>#REF!</v>
      </c>
      <c r="R85" s="135" t="e">
        <f t="shared" si="38"/>
        <v>#REF!</v>
      </c>
      <c r="S85" s="135" t="e">
        <f t="shared" si="38"/>
        <v>#REF!</v>
      </c>
      <c r="T85" s="135" t="e">
        <f t="shared" si="38"/>
        <v>#REF!</v>
      </c>
      <c r="U85" s="356" t="e">
        <f t="shared" si="38"/>
        <v>#REF!</v>
      </c>
      <c r="V85" s="356" t="e">
        <f t="shared" si="38"/>
        <v>#REF!</v>
      </c>
      <c r="W85" s="356" t="e">
        <f t="shared" si="38"/>
        <v>#REF!</v>
      </c>
      <c r="X85" s="356" t="e">
        <f t="shared" si="38"/>
        <v>#REF!</v>
      </c>
      <c r="AD85" s="60"/>
      <c r="AE85" s="60"/>
      <c r="AF85" s="60"/>
      <c r="AG85" s="60"/>
      <c r="AH85" s="60"/>
      <c r="AI85" s="60"/>
      <c r="AJ85" s="60"/>
      <c r="AK85" s="60"/>
      <c r="AL85" s="60"/>
    </row>
    <row r="86" spans="1:38" s="373" customFormat="1" ht="17.25" hidden="1" customHeight="1" x14ac:dyDescent="0.25">
      <c r="A86" s="119"/>
      <c r="B86" s="119"/>
      <c r="C86" s="119"/>
      <c r="D86" s="119" t="s">
        <v>1022</v>
      </c>
      <c r="E86" s="119"/>
      <c r="F86" s="368" t="s">
        <v>471</v>
      </c>
      <c r="G86" s="369" t="e">
        <f>G87</f>
        <v>#REF!</v>
      </c>
      <c r="H86" s="370" t="e">
        <f>H87</f>
        <v>#REF!</v>
      </c>
      <c r="I86" s="369" t="e">
        <f>I87</f>
        <v>#REF!</v>
      </c>
      <c r="J86" s="369" t="e">
        <f>J87</f>
        <v>#REF!</v>
      </c>
      <c r="K86" s="369" t="e">
        <f>K87</f>
        <v>#REF!</v>
      </c>
      <c r="L86" s="369" t="e">
        <f t="shared" si="35"/>
        <v>#REF!</v>
      </c>
      <c r="M86" s="369" t="e">
        <f t="shared" si="36"/>
        <v>#REF!</v>
      </c>
      <c r="N86" s="369" t="e">
        <f t="shared" ref="N86:X86" si="39">N87</f>
        <v>#REF!</v>
      </c>
      <c r="O86" s="137" t="e">
        <f t="shared" si="39"/>
        <v>#REF!</v>
      </c>
      <c r="P86" s="137" t="e">
        <f t="shared" si="39"/>
        <v>#REF!</v>
      </c>
      <c r="Q86" s="393" t="e">
        <f t="shared" si="39"/>
        <v>#REF!</v>
      </c>
      <c r="R86" s="137" t="e">
        <f t="shared" si="39"/>
        <v>#REF!</v>
      </c>
      <c r="S86" s="137" t="e">
        <f t="shared" si="39"/>
        <v>#REF!</v>
      </c>
      <c r="T86" s="137" t="e">
        <f t="shared" si="39"/>
        <v>#REF!</v>
      </c>
      <c r="U86" s="371" t="e">
        <f t="shared" si="39"/>
        <v>#REF!</v>
      </c>
      <c r="V86" s="371" t="e">
        <f t="shared" si="39"/>
        <v>#REF!</v>
      </c>
      <c r="W86" s="371" t="e">
        <f t="shared" si="39"/>
        <v>#REF!</v>
      </c>
      <c r="X86" s="371" t="e">
        <f t="shared" si="39"/>
        <v>#REF!</v>
      </c>
      <c r="Y86" s="372"/>
      <c r="Z86" s="372"/>
      <c r="AA86" s="372"/>
      <c r="AB86" s="372"/>
      <c r="AC86" s="372"/>
      <c r="AD86" s="372"/>
      <c r="AE86" s="372"/>
      <c r="AF86" s="372"/>
      <c r="AG86" s="372"/>
      <c r="AH86" s="372"/>
      <c r="AI86" s="372"/>
      <c r="AJ86" s="372"/>
      <c r="AK86" s="372"/>
      <c r="AL86" s="372"/>
    </row>
    <row r="87" spans="1:38" ht="24.75" hidden="1" customHeight="1" x14ac:dyDescent="0.25">
      <c r="A87" s="80"/>
      <c r="B87" s="80"/>
      <c r="C87" s="80"/>
      <c r="D87" s="80"/>
      <c r="E87" s="80">
        <v>4111</v>
      </c>
      <c r="F87" s="81" t="s">
        <v>755</v>
      </c>
      <c r="G87" s="82" t="e">
        <f>SUMIF(#REF!,funkcijska!$E87,#REF!)</f>
        <v>#REF!</v>
      </c>
      <c r="H87" s="82" t="e">
        <f>SUMIF(#REF!,funkcijska!$E87,#REF!)</f>
        <v>#REF!</v>
      </c>
      <c r="I87" s="82" t="e">
        <f>SUMIF(#REF!,funkcijska!$E87,#REF!)</f>
        <v>#REF!</v>
      </c>
      <c r="J87" s="82" t="e">
        <f>SUMIF(#REF!,funkcijska!$E87,#REF!)</f>
        <v>#REF!</v>
      </c>
      <c r="K87" s="82" t="e">
        <f>SUMIF(#REF!,funkcijska!$E87,#REF!)</f>
        <v>#REF!</v>
      </c>
      <c r="L87" s="82" t="e">
        <f t="shared" si="35"/>
        <v>#REF!</v>
      </c>
      <c r="M87" s="82" t="e">
        <f t="shared" si="36"/>
        <v>#REF!</v>
      </c>
      <c r="N87" s="82" t="e">
        <f>SUMIF(#REF!,funkcijska!$E87,#REF!)</f>
        <v>#REF!</v>
      </c>
      <c r="O87" s="82" t="e">
        <f>SUMIF(#REF!,funkcijska!$E87,#REF!)</f>
        <v>#REF!</v>
      </c>
      <c r="P87" s="82" t="e">
        <f>SUMIF(#REF!,funkcijska!$E87,#REF!)</f>
        <v>#REF!</v>
      </c>
      <c r="Q87" s="386" t="e">
        <f>SUMIF(#REF!,funkcijska!$E87,#REF!)</f>
        <v>#REF!</v>
      </c>
      <c r="R87" s="82" t="e">
        <f>SUMIF(#REF!,funkcijska!$E87,#REF!)</f>
        <v>#REF!</v>
      </c>
      <c r="S87" s="82" t="e">
        <f>SUMIF(#REF!,funkcijska!$E87,#REF!)</f>
        <v>#REF!</v>
      </c>
      <c r="T87" s="82" t="e">
        <f>SUMIF(#REF!,funkcijska!$E$87,#REF!)</f>
        <v>#REF!</v>
      </c>
      <c r="U87" s="357" t="e">
        <f>SUMIF(#REF!,funkcijska!$E87,#REF!)</f>
        <v>#REF!</v>
      </c>
      <c r="V87" s="357" t="e">
        <f>SUMIF(#REF!,funkcijska!$E87,#REF!)+SUMIF(#REF!,funkcijska!$E87,#REF!)</f>
        <v>#REF!</v>
      </c>
      <c r="W87" s="357" t="e">
        <f>SUMIF(#REF!,funkcijska!$E87,#REF!)+SUMIF(#REF!,funkcijska!$E87,#REF!)</f>
        <v>#REF!</v>
      </c>
      <c r="X87" s="357" t="e">
        <f>SUMIF(#REF!,funkcijska!$E87,#REF!)+SUMIF(#REF!,funkcijska!$E87,#REF!)</f>
        <v>#REF!</v>
      </c>
      <c r="AD87" s="60"/>
      <c r="AE87" s="60"/>
      <c r="AF87" s="60"/>
      <c r="AG87" s="60"/>
      <c r="AH87" s="60"/>
      <c r="AI87" s="60"/>
      <c r="AJ87" s="60"/>
      <c r="AK87" s="60"/>
      <c r="AL87" s="60"/>
    </row>
    <row r="88" spans="1:38" s="373" customFormat="1" ht="18.75" hidden="1" customHeight="1" x14ac:dyDescent="0.25">
      <c r="A88" s="119"/>
      <c r="B88" s="119"/>
      <c r="C88" s="119"/>
      <c r="D88" s="119">
        <v>412</v>
      </c>
      <c r="E88" s="119"/>
      <c r="F88" s="368" t="s">
        <v>553</v>
      </c>
      <c r="G88" s="137" t="e">
        <f>G89+G90</f>
        <v>#REF!</v>
      </c>
      <c r="H88" s="137" t="e">
        <f>H89+H90</f>
        <v>#REF!</v>
      </c>
      <c r="I88" s="137" t="e">
        <f>I89+I90</f>
        <v>#REF!</v>
      </c>
      <c r="J88" s="137" t="e">
        <f>J89+J90</f>
        <v>#REF!</v>
      </c>
      <c r="K88" s="137" t="e">
        <f>K89+K90</f>
        <v>#REF!</v>
      </c>
      <c r="L88" s="137" t="e">
        <f t="shared" si="35"/>
        <v>#REF!</v>
      </c>
      <c r="M88" s="137" t="e">
        <f t="shared" si="36"/>
        <v>#REF!</v>
      </c>
      <c r="N88" s="137" t="e">
        <f t="shared" ref="N88:X88" si="40">N89+N90</f>
        <v>#REF!</v>
      </c>
      <c r="O88" s="137" t="e">
        <f t="shared" si="40"/>
        <v>#REF!</v>
      </c>
      <c r="P88" s="137" t="e">
        <f t="shared" si="40"/>
        <v>#REF!</v>
      </c>
      <c r="Q88" s="393" t="e">
        <f t="shared" si="40"/>
        <v>#REF!</v>
      </c>
      <c r="R88" s="137" t="e">
        <f t="shared" si="40"/>
        <v>#REF!</v>
      </c>
      <c r="S88" s="137" t="e">
        <f t="shared" si="40"/>
        <v>#REF!</v>
      </c>
      <c r="T88" s="137" t="e">
        <f t="shared" si="40"/>
        <v>#REF!</v>
      </c>
      <c r="U88" s="371" t="e">
        <f t="shared" si="40"/>
        <v>#REF!</v>
      </c>
      <c r="V88" s="371" t="e">
        <f t="shared" si="40"/>
        <v>#REF!</v>
      </c>
      <c r="W88" s="371" t="e">
        <f t="shared" si="40"/>
        <v>#REF!</v>
      </c>
      <c r="X88" s="371" t="e">
        <f t="shared" si="40"/>
        <v>#REF!</v>
      </c>
      <c r="Y88" s="372"/>
      <c r="Z88" s="372"/>
      <c r="AA88" s="372"/>
      <c r="AB88" s="372"/>
      <c r="AC88" s="372"/>
      <c r="AD88" s="372"/>
      <c r="AE88" s="372"/>
      <c r="AF88" s="372"/>
      <c r="AG88" s="372"/>
      <c r="AH88" s="372"/>
      <c r="AI88" s="372"/>
      <c r="AJ88" s="372"/>
      <c r="AK88" s="372"/>
      <c r="AL88" s="372"/>
    </row>
    <row r="89" spans="1:38" ht="18" hidden="1" customHeight="1" x14ac:dyDescent="0.25">
      <c r="A89" s="80"/>
      <c r="B89" s="80"/>
      <c r="C89" s="80"/>
      <c r="D89" s="80"/>
      <c r="E89" s="80">
        <v>4123</v>
      </c>
      <c r="F89" s="81" t="s">
        <v>554</v>
      </c>
      <c r="G89" s="82" t="e">
        <f>SUMIF(#REF!,funkcijska!$E89,#REF!)</f>
        <v>#REF!</v>
      </c>
      <c r="H89" s="82" t="e">
        <f>SUMIF(#REF!,funkcijska!$E89,#REF!)</f>
        <v>#REF!</v>
      </c>
      <c r="I89" s="82" t="e">
        <f>SUMIF(#REF!,funkcijska!$E89,#REF!)</f>
        <v>#REF!</v>
      </c>
      <c r="J89" s="82" t="e">
        <f>SUMIF(#REF!,funkcijska!$E89,#REF!)</f>
        <v>#REF!</v>
      </c>
      <c r="K89" s="82" t="e">
        <f>SUMIF(#REF!,funkcijska!$E89,#REF!)</f>
        <v>#REF!</v>
      </c>
      <c r="L89" s="82" t="e">
        <f t="shared" si="35"/>
        <v>#REF!</v>
      </c>
      <c r="M89" s="82" t="e">
        <f t="shared" si="36"/>
        <v>#REF!</v>
      </c>
      <c r="N89" s="82" t="e">
        <f>SUMIF(#REF!,funkcijska!$E89,#REF!)</f>
        <v>#REF!</v>
      </c>
      <c r="O89" s="82" t="e">
        <f>SUMIF(#REF!,funkcijska!$E89,#REF!)</f>
        <v>#REF!</v>
      </c>
      <c r="P89" s="82" t="e">
        <f>SUMIF(#REF!,funkcijska!$E89,#REF!)</f>
        <v>#REF!</v>
      </c>
      <c r="Q89" s="386" t="e">
        <f>SUMIF(#REF!,funkcijska!$E89,#REF!)</f>
        <v>#REF!</v>
      </c>
      <c r="R89" s="82" t="e">
        <f>SUMIF(#REF!,funkcijska!$E89,#REF!)</f>
        <v>#REF!</v>
      </c>
      <c r="S89" s="82" t="e">
        <f>SUMIF(#REF!,funkcijska!$E89,#REF!)</f>
        <v>#REF!</v>
      </c>
      <c r="T89" s="82" t="e">
        <f>SUMIF(#REF!,funkcijska!$E$89,#REF!)</f>
        <v>#REF!</v>
      </c>
      <c r="U89" s="357" t="e">
        <f>SUMIF(#REF!,funkcijska!$E89,#REF!)</f>
        <v>#REF!</v>
      </c>
      <c r="V89" s="357" t="e">
        <f>SUMIF(#REF!,funkcijska!$E89,#REF!)+SUMIF(#REF!,funkcijska!$E89,#REF!)</f>
        <v>#REF!</v>
      </c>
      <c r="W89" s="357" t="e">
        <f>SUMIF(#REF!,funkcijska!$E89,#REF!)+SUMIF(#REF!,funkcijska!$E89,#REF!)</f>
        <v>#REF!</v>
      </c>
      <c r="X89" s="357" t="e">
        <f>SUMIF(#REF!,funkcijska!$E89,#REF!)+SUMIF(#REF!,funkcijska!$E89,#REF!)</f>
        <v>#REF!</v>
      </c>
      <c r="Y89" s="357"/>
      <c r="AD89" s="60"/>
      <c r="AE89" s="60"/>
      <c r="AF89" s="60"/>
      <c r="AG89" s="60"/>
      <c r="AH89" s="60"/>
      <c r="AI89" s="60"/>
      <c r="AJ89" s="60"/>
      <c r="AK89" s="60"/>
      <c r="AL89" s="60"/>
    </row>
    <row r="90" spans="1:38" ht="18.75" hidden="1" customHeight="1" x14ac:dyDescent="0.25">
      <c r="A90" s="80"/>
      <c r="B90" s="80"/>
      <c r="C90" s="80"/>
      <c r="D90" s="80"/>
      <c r="E90" s="136" t="s">
        <v>1023</v>
      </c>
      <c r="F90" s="81" t="s">
        <v>1024</v>
      </c>
      <c r="G90" s="82" t="e">
        <f>SUMIF(#REF!,funkcijska!$E90,#REF!)</f>
        <v>#REF!</v>
      </c>
      <c r="H90" s="82" t="e">
        <f>SUMIF(#REF!,funkcijska!$E90,#REF!)</f>
        <v>#REF!</v>
      </c>
      <c r="I90" s="82" t="e">
        <f>SUMIF(#REF!,funkcijska!$E90,#REF!)</f>
        <v>#REF!</v>
      </c>
      <c r="J90" s="82" t="e">
        <f>SUMIF(#REF!,funkcijska!$E90,#REF!)</f>
        <v>#REF!</v>
      </c>
      <c r="K90" s="82" t="e">
        <f>SUMIF(#REF!,funkcijska!$E90,#REF!)</f>
        <v>#REF!</v>
      </c>
      <c r="L90" s="82" t="e">
        <f t="shared" si="35"/>
        <v>#REF!</v>
      </c>
      <c r="M90" s="82" t="e">
        <f t="shared" si="36"/>
        <v>#REF!</v>
      </c>
      <c r="N90" s="82" t="e">
        <f>SUMIF(#REF!,funkcijska!$E90,#REF!)</f>
        <v>#REF!</v>
      </c>
      <c r="O90" s="82" t="e">
        <f>SUMIF(#REF!,funkcijska!$E90,#REF!)</f>
        <v>#REF!</v>
      </c>
      <c r="P90" s="82" t="e">
        <f>SUMIF(#REF!,funkcijska!$E90,#REF!)</f>
        <v>#REF!</v>
      </c>
      <c r="Q90" s="389" t="e">
        <f>U90-O90</f>
        <v>#REF!</v>
      </c>
      <c r="R90" s="82" t="e">
        <f>SUMIF(#REF!,funkcijska!$E90,#REF!)</f>
        <v>#REF!</v>
      </c>
      <c r="S90" s="82" t="e">
        <f>SUMIF(#REF!,funkcijska!$E90,#REF!)</f>
        <v>#REF!</v>
      </c>
      <c r="T90" s="82" t="e">
        <f>SUMIF(#REF!,funkcijska!$E$90,#REF!)</f>
        <v>#REF!</v>
      </c>
      <c r="U90" s="357" t="e">
        <f>SUMIF(#REF!,funkcijska!$E90,#REF!)</f>
        <v>#REF!</v>
      </c>
      <c r="V90" s="357" t="e">
        <f>SUMIF(#REF!,funkcijska!$E90,#REF!)</f>
        <v>#REF!</v>
      </c>
      <c r="W90" s="357" t="e">
        <f>SUMIF(#REF!,funkcijska!$E90,#REF!)</f>
        <v>#REF!</v>
      </c>
      <c r="X90" s="357" t="e">
        <f>SUMIF(#REF!,funkcijska!$E90,#REF!)</f>
        <v>#REF!</v>
      </c>
      <c r="AD90" s="60"/>
      <c r="AE90" s="60"/>
      <c r="AF90" s="60"/>
      <c r="AG90" s="60"/>
      <c r="AH90" s="60"/>
      <c r="AI90" s="60"/>
      <c r="AJ90" s="60"/>
      <c r="AK90" s="60"/>
      <c r="AL90" s="60"/>
    </row>
    <row r="91" spans="1:38" ht="36.75" customHeight="1" x14ac:dyDescent="0.25">
      <c r="A91" s="125"/>
      <c r="B91" s="74"/>
      <c r="C91" s="74" t="str">
        <f>LEFT(E93,2)</f>
        <v>42</v>
      </c>
      <c r="D91" s="74"/>
      <c r="E91" s="74"/>
      <c r="F91" s="75" t="s">
        <v>212</v>
      </c>
      <c r="G91" s="77" t="e">
        <f>G92+G96+G104+G106+G110+G108</f>
        <v>#REF!</v>
      </c>
      <c r="H91" s="118" t="e">
        <f>H92+H96+H104+H106+H110+H108</f>
        <v>#REF!</v>
      </c>
      <c r="I91" s="77" t="e">
        <f>I92+I96+I104+I106+I110+I108</f>
        <v>#REF!</v>
      </c>
      <c r="J91" s="77" t="e">
        <f>J92+J96+J104+J106+J110+J108</f>
        <v>#REF!</v>
      </c>
      <c r="K91" s="77" t="e">
        <f>K92+K96+K104+K106+K110+K108</f>
        <v>#REF!</v>
      </c>
      <c r="L91" s="77" t="e">
        <f t="shared" si="35"/>
        <v>#REF!</v>
      </c>
      <c r="M91" s="77" t="e">
        <f t="shared" si="36"/>
        <v>#REF!</v>
      </c>
      <c r="N91" s="77" t="e">
        <f t="shared" ref="N91:X91" si="41">N92+N96+N104+N106+N110+N108</f>
        <v>#REF!</v>
      </c>
      <c r="O91" s="76" t="e">
        <f t="shared" si="41"/>
        <v>#REF!</v>
      </c>
      <c r="P91" s="76" t="e">
        <f t="shared" si="41"/>
        <v>#REF!</v>
      </c>
      <c r="Q91" s="385" t="e">
        <f t="shared" si="41"/>
        <v>#REF!</v>
      </c>
      <c r="R91" s="135" t="e">
        <f t="shared" si="41"/>
        <v>#REF!</v>
      </c>
      <c r="S91" s="135" t="e">
        <f t="shared" si="41"/>
        <v>#REF!</v>
      </c>
      <c r="T91" s="135" t="e">
        <f t="shared" si="41"/>
        <v>#REF!</v>
      </c>
      <c r="U91" s="356" t="e">
        <f t="shared" si="41"/>
        <v>#REF!</v>
      </c>
      <c r="V91" s="356" t="e">
        <f t="shared" si="41"/>
        <v>#REF!</v>
      </c>
      <c r="W91" s="356" t="e">
        <f t="shared" si="41"/>
        <v>#REF!</v>
      </c>
      <c r="X91" s="356" t="e">
        <f t="shared" si="41"/>
        <v>#REF!</v>
      </c>
      <c r="AD91" s="60"/>
      <c r="AE91" s="60"/>
      <c r="AF91" s="60"/>
      <c r="AG91" s="60"/>
      <c r="AH91" s="60"/>
      <c r="AI91" s="60"/>
      <c r="AJ91" s="60"/>
      <c r="AK91" s="60"/>
      <c r="AL91" s="60"/>
    </row>
    <row r="92" spans="1:38" s="373" customFormat="1" ht="17.25" hidden="1" customHeight="1" x14ac:dyDescent="0.25">
      <c r="A92" s="119"/>
      <c r="B92" s="119"/>
      <c r="C92" s="119"/>
      <c r="D92" s="119" t="str">
        <f>LEFT(E93,3)</f>
        <v>421</v>
      </c>
      <c r="E92" s="119"/>
      <c r="F92" s="368" t="s">
        <v>759</v>
      </c>
      <c r="G92" s="369" t="e">
        <f t="shared" ref="G92:X92" si="42">SUM(G93:G95)</f>
        <v>#REF!</v>
      </c>
      <c r="H92" s="370" t="e">
        <f t="shared" si="42"/>
        <v>#REF!</v>
      </c>
      <c r="I92" s="369" t="e">
        <f t="shared" si="42"/>
        <v>#REF!</v>
      </c>
      <c r="J92" s="369" t="e">
        <f t="shared" si="42"/>
        <v>#REF!</v>
      </c>
      <c r="K92" s="369" t="e">
        <f t="shared" si="42"/>
        <v>#REF!</v>
      </c>
      <c r="L92" s="369" t="e">
        <f t="shared" si="42"/>
        <v>#REF!</v>
      </c>
      <c r="M92" s="369" t="e">
        <f t="shared" si="42"/>
        <v>#REF!</v>
      </c>
      <c r="N92" s="369" t="e">
        <f t="shared" si="42"/>
        <v>#REF!</v>
      </c>
      <c r="O92" s="369" t="e">
        <f t="shared" si="42"/>
        <v>#REF!</v>
      </c>
      <c r="P92" s="369" t="e">
        <f t="shared" si="42"/>
        <v>#REF!</v>
      </c>
      <c r="Q92" s="392" t="e">
        <f t="shared" si="42"/>
        <v>#REF!</v>
      </c>
      <c r="R92" s="369" t="e">
        <f t="shared" si="42"/>
        <v>#REF!</v>
      </c>
      <c r="S92" s="369" t="e">
        <f t="shared" si="42"/>
        <v>#REF!</v>
      </c>
      <c r="T92" s="369" t="e">
        <f t="shared" si="42"/>
        <v>#REF!</v>
      </c>
      <c r="U92" s="374" t="e">
        <f t="shared" si="42"/>
        <v>#REF!</v>
      </c>
      <c r="V92" s="374" t="e">
        <f t="shared" si="42"/>
        <v>#REF!</v>
      </c>
      <c r="W92" s="374" t="e">
        <f t="shared" si="42"/>
        <v>#REF!</v>
      </c>
      <c r="X92" s="374" t="e">
        <f t="shared" si="42"/>
        <v>#REF!</v>
      </c>
      <c r="Y92" s="372"/>
      <c r="Z92" s="372"/>
      <c r="AA92" s="372"/>
      <c r="AB92" s="372"/>
      <c r="AC92" s="372"/>
      <c r="AD92" s="372"/>
      <c r="AE92" s="372"/>
      <c r="AF92" s="372"/>
      <c r="AG92" s="372"/>
      <c r="AH92" s="372"/>
      <c r="AI92" s="372"/>
      <c r="AJ92" s="372"/>
      <c r="AK92" s="372"/>
      <c r="AL92" s="372"/>
    </row>
    <row r="93" spans="1:38" ht="21" hidden="1" customHeight="1" x14ac:dyDescent="0.25">
      <c r="A93" s="80"/>
      <c r="B93" s="80"/>
      <c r="C93" s="80"/>
      <c r="D93" s="80"/>
      <c r="E93" s="80">
        <v>4212</v>
      </c>
      <c r="F93" s="81" t="s">
        <v>1025</v>
      </c>
      <c r="G93" s="82" t="e">
        <f>SUMIF(#REF!,funkcijska!$E93,#REF!)</f>
        <v>#REF!</v>
      </c>
      <c r="H93" s="82" t="e">
        <f>SUMIF(#REF!,funkcijska!$E93,#REF!)</f>
        <v>#REF!</v>
      </c>
      <c r="I93" s="82" t="e">
        <f>SUMIF(#REF!,funkcijska!$E93,#REF!)</f>
        <v>#REF!</v>
      </c>
      <c r="J93" s="82" t="e">
        <f>SUMIF(#REF!,funkcijska!$E93,#REF!)</f>
        <v>#REF!</v>
      </c>
      <c r="K93" s="82" t="e">
        <f>SUMIF(#REF!,funkcijska!$E93,#REF!)</f>
        <v>#REF!</v>
      </c>
      <c r="L93" s="82" t="e">
        <f>ROUND(K93/J93*100,2)</f>
        <v>#REF!</v>
      </c>
      <c r="M93" s="82" t="e">
        <f>N93-J93</f>
        <v>#REF!</v>
      </c>
      <c r="N93" s="82" t="e">
        <f>SUMIF(#REF!,funkcijska!$E93,#REF!)</f>
        <v>#REF!</v>
      </c>
      <c r="O93" s="82" t="e">
        <f>SUMIF(#REF!,funkcijska!$E93,#REF!)</f>
        <v>#REF!</v>
      </c>
      <c r="P93" s="82" t="e">
        <f>SUMIF(#REF!,funkcijska!$E93,#REF!)</f>
        <v>#REF!</v>
      </c>
      <c r="Q93" s="386" t="e">
        <f>SUMIF(#REF!,funkcijska!$E93,#REF!)</f>
        <v>#REF!</v>
      </c>
      <c r="R93" s="82" t="e">
        <f>SUMIF(#REF!,funkcijska!$E93,#REF!)</f>
        <v>#REF!</v>
      </c>
      <c r="S93" s="82" t="e">
        <f>SUMIF(#REF!,funkcijska!$E93,#REF!)</f>
        <v>#REF!</v>
      </c>
      <c r="T93" s="82" t="e">
        <f>SUMIF(#REF!,funkcijska!$E$93,#REF!)</f>
        <v>#REF!</v>
      </c>
      <c r="U93" s="357" t="e">
        <f>SUMIF(#REF!,funkcijska!$E93,#REF!)</f>
        <v>#REF!</v>
      </c>
      <c r="V93" s="357" t="e">
        <f>SUMIF(#REF!,funkcijska!$E93,#REF!)+SUMIF(#REF!,funkcijska!$E93,#REF!)</f>
        <v>#REF!</v>
      </c>
      <c r="W93" s="357" t="e">
        <f>SUMIF(#REF!,funkcijska!$E93,#REF!)+SUMIF(#REF!,funkcijska!$E93,#REF!)</f>
        <v>#REF!</v>
      </c>
      <c r="X93" s="357" t="e">
        <f>SUMIF(#REF!,funkcijska!$E93,#REF!)+SUMIF(#REF!,funkcijska!$E93,#REF!)</f>
        <v>#REF!</v>
      </c>
      <c r="AD93" s="60"/>
      <c r="AE93" s="60"/>
      <c r="AF93" s="60"/>
      <c r="AG93" s="60"/>
      <c r="AH93" s="60"/>
      <c r="AI93" s="60"/>
      <c r="AJ93" s="60"/>
      <c r="AK93" s="60"/>
      <c r="AL93" s="60"/>
    </row>
    <row r="94" spans="1:38" ht="15" hidden="1" customHeight="1" x14ac:dyDescent="0.25">
      <c r="A94" s="80"/>
      <c r="B94" s="80"/>
      <c r="C94" s="80"/>
      <c r="D94" s="80"/>
      <c r="E94" s="80">
        <v>4213</v>
      </c>
      <c r="F94" s="81" t="s">
        <v>1026</v>
      </c>
      <c r="G94" s="82" t="e">
        <f>SUMIF(#REF!,funkcijska!$E94,#REF!)</f>
        <v>#REF!</v>
      </c>
      <c r="H94" s="82" t="e">
        <f>SUMIF(#REF!,funkcijska!$E94,#REF!)</f>
        <v>#REF!</v>
      </c>
      <c r="I94" s="82" t="e">
        <f>SUMIF(#REF!,funkcijska!$E94,#REF!)</f>
        <v>#REF!</v>
      </c>
      <c r="J94" s="82" t="e">
        <f>SUMIF(#REF!,funkcijska!$E94,#REF!)</f>
        <v>#REF!</v>
      </c>
      <c r="K94" s="82" t="e">
        <f>SUMIF(#REF!,funkcijska!$E94,#REF!)</f>
        <v>#REF!</v>
      </c>
      <c r="L94" s="82" t="e">
        <f>ROUND(K94/J94*100,2)</f>
        <v>#REF!</v>
      </c>
      <c r="M94" s="82" t="e">
        <f>N94-J94</f>
        <v>#REF!</v>
      </c>
      <c r="N94" s="82" t="e">
        <f>SUMIF(#REF!,funkcijska!$E94,#REF!)</f>
        <v>#REF!</v>
      </c>
      <c r="O94" s="82" t="e">
        <f>SUMIF(#REF!,funkcijska!$E94,#REF!)</f>
        <v>#REF!</v>
      </c>
      <c r="P94" s="82" t="e">
        <f>SUMIF(#REF!,funkcijska!$E94,#REF!)</f>
        <v>#REF!</v>
      </c>
      <c r="Q94" s="386" t="e">
        <f>SUMIF(#REF!,funkcijska!$E94,#REF!)</f>
        <v>#REF!</v>
      </c>
      <c r="R94" s="82" t="e">
        <f>SUMIF(#REF!,funkcijska!$E94,#REF!)</f>
        <v>#REF!</v>
      </c>
      <c r="S94" s="82" t="e">
        <f>SUMIF(#REF!,funkcijska!$E94,#REF!)</f>
        <v>#REF!</v>
      </c>
      <c r="T94" s="82" t="e">
        <f>SUMIF(#REF!,funkcijska!$E$94,#REF!)</f>
        <v>#REF!</v>
      </c>
      <c r="U94" s="357" t="e">
        <f>SUMIF(#REF!,funkcijska!$E94,#REF!)</f>
        <v>#REF!</v>
      </c>
      <c r="V94" s="357" t="e">
        <f>SUMIF(#REF!,funkcijska!$E94,#REF!)+SUMIF(#REF!,funkcijska!$E94,#REF!)</f>
        <v>#REF!</v>
      </c>
      <c r="W94" s="357" t="e">
        <f>SUMIF(#REF!,funkcijska!$E94,#REF!)+SUMIF(#REF!,funkcijska!$E94,#REF!)</f>
        <v>#REF!</v>
      </c>
      <c r="X94" s="357" t="e">
        <f>SUMIF(#REF!,funkcijska!$E94,#REF!)+SUMIF(#REF!,funkcijska!$E94,#REF!)</f>
        <v>#REF!</v>
      </c>
      <c r="AD94" s="60"/>
      <c r="AE94" s="60"/>
      <c r="AF94" s="60"/>
      <c r="AG94" s="60"/>
      <c r="AH94" s="60"/>
      <c r="AI94" s="60"/>
      <c r="AJ94" s="60"/>
      <c r="AK94" s="60"/>
      <c r="AL94" s="60"/>
    </row>
    <row r="95" spans="1:38" ht="20.25" hidden="1" customHeight="1" x14ac:dyDescent="0.25">
      <c r="A95" s="80"/>
      <c r="B95" s="80"/>
      <c r="C95" s="80"/>
      <c r="D95" s="80"/>
      <c r="E95" s="80">
        <v>4214</v>
      </c>
      <c r="F95" s="132" t="s">
        <v>1027</v>
      </c>
      <c r="G95" s="82" t="e">
        <f>SUMIF(#REF!,funkcijska!$E95,#REF!)</f>
        <v>#REF!</v>
      </c>
      <c r="H95" s="82" t="e">
        <f>SUMIF(#REF!,funkcijska!$E95,#REF!)</f>
        <v>#REF!</v>
      </c>
      <c r="I95" s="82" t="e">
        <f>SUMIF(#REF!,funkcijska!$E95,#REF!)</f>
        <v>#REF!</v>
      </c>
      <c r="J95" s="82" t="e">
        <f>SUMIF(#REF!,funkcijska!$E95,#REF!)</f>
        <v>#REF!</v>
      </c>
      <c r="K95" s="82" t="e">
        <f>SUMIF(#REF!,funkcijska!$E95,#REF!)</f>
        <v>#REF!</v>
      </c>
      <c r="L95" s="82" t="e">
        <f>ROUND(K95/J95*100,2)</f>
        <v>#REF!</v>
      </c>
      <c r="M95" s="82" t="e">
        <f>N95-J95</f>
        <v>#REF!</v>
      </c>
      <c r="N95" s="82" t="e">
        <f>SUMIF(#REF!,funkcijska!$E95,#REF!)</f>
        <v>#REF!</v>
      </c>
      <c r="O95" s="82" t="e">
        <f>SUMIF(#REF!,funkcijska!$E95,#REF!)</f>
        <v>#REF!</v>
      </c>
      <c r="P95" s="82" t="e">
        <f>SUMIF(#REF!,funkcijska!$E95,#REF!)</f>
        <v>#REF!</v>
      </c>
      <c r="Q95" s="386" t="e">
        <f>SUMIF(#REF!,funkcijska!$E95,#REF!)</f>
        <v>#REF!</v>
      </c>
      <c r="R95" s="82" t="e">
        <f>SUMIF(#REF!,funkcijska!$E95,#REF!)</f>
        <v>#REF!</v>
      </c>
      <c r="S95" s="82" t="e">
        <f>SUMIF(#REF!,funkcijska!$E95,#REF!)</f>
        <v>#REF!</v>
      </c>
      <c r="T95" s="82" t="e">
        <f>SUMIF(#REF!,funkcijska!$E$95,#REF!)</f>
        <v>#REF!</v>
      </c>
      <c r="U95" s="357" t="e">
        <f>SUMIF(#REF!,funkcijska!$E95,#REF!)</f>
        <v>#REF!</v>
      </c>
      <c r="V95" s="357" t="e">
        <f>SUMIF(#REF!,funkcijska!$E95,#REF!)+SUMIF(#REF!,funkcijska!$E95,#REF!)</f>
        <v>#REF!</v>
      </c>
      <c r="W95" s="357" t="e">
        <f>SUMIF(#REF!,funkcijska!$E95,#REF!)+SUMIF(#REF!,funkcijska!$E95,#REF!)</f>
        <v>#REF!</v>
      </c>
      <c r="X95" s="357" t="e">
        <f>SUMIF(#REF!,funkcijska!$E95,#REF!)+SUMIF(#REF!,funkcijska!$E95,#REF!)</f>
        <v>#REF!</v>
      </c>
      <c r="AD95" s="60"/>
      <c r="AE95" s="60"/>
      <c r="AF95" s="60"/>
      <c r="AG95" s="60"/>
      <c r="AH95" s="60"/>
      <c r="AI95" s="60"/>
      <c r="AJ95" s="60"/>
      <c r="AK95" s="60"/>
      <c r="AL95" s="60"/>
    </row>
    <row r="96" spans="1:38" s="373" customFormat="1" ht="17.25" customHeight="1" x14ac:dyDescent="0.25">
      <c r="A96" s="119"/>
      <c r="B96" s="119"/>
      <c r="C96" s="119"/>
      <c r="D96" s="119" t="str">
        <f>LEFT(E97,3)</f>
        <v>422</v>
      </c>
      <c r="E96" s="119"/>
      <c r="F96" s="368" t="s">
        <v>555</v>
      </c>
      <c r="G96" s="369" t="e">
        <f t="shared" ref="G96:X96" si="43">SUM(G97:G103)</f>
        <v>#REF!</v>
      </c>
      <c r="H96" s="370" t="e">
        <f t="shared" si="43"/>
        <v>#REF!</v>
      </c>
      <c r="I96" s="369" t="e">
        <f t="shared" si="43"/>
        <v>#REF!</v>
      </c>
      <c r="J96" s="369" t="e">
        <f t="shared" si="43"/>
        <v>#REF!</v>
      </c>
      <c r="K96" s="369" t="e">
        <f t="shared" si="43"/>
        <v>#REF!</v>
      </c>
      <c r="L96" s="369" t="e">
        <f t="shared" si="43"/>
        <v>#REF!</v>
      </c>
      <c r="M96" s="369" t="e">
        <f t="shared" si="43"/>
        <v>#REF!</v>
      </c>
      <c r="N96" s="369" t="e">
        <f t="shared" si="43"/>
        <v>#REF!</v>
      </c>
      <c r="O96" s="369" t="e">
        <f t="shared" si="43"/>
        <v>#REF!</v>
      </c>
      <c r="P96" s="369" t="e">
        <f t="shared" si="43"/>
        <v>#REF!</v>
      </c>
      <c r="Q96" s="392" t="e">
        <f t="shared" si="43"/>
        <v>#REF!</v>
      </c>
      <c r="R96" s="369" t="e">
        <f t="shared" si="43"/>
        <v>#REF!</v>
      </c>
      <c r="S96" s="369" t="e">
        <f t="shared" si="43"/>
        <v>#REF!</v>
      </c>
      <c r="T96" s="369" t="e">
        <f t="shared" si="43"/>
        <v>#REF!</v>
      </c>
      <c r="U96" s="371" t="e">
        <f t="shared" si="43"/>
        <v>#REF!</v>
      </c>
      <c r="V96" s="371" t="e">
        <f t="shared" si="43"/>
        <v>#REF!</v>
      </c>
      <c r="W96" s="371" t="e">
        <f t="shared" si="43"/>
        <v>#REF!</v>
      </c>
      <c r="X96" s="371" t="e">
        <f t="shared" si="43"/>
        <v>#REF!</v>
      </c>
      <c r="Y96" s="372"/>
      <c r="Z96" s="372"/>
      <c r="AA96" s="372"/>
      <c r="AB96" s="372"/>
      <c r="AC96" s="372"/>
      <c r="AD96" s="372"/>
      <c r="AE96" s="372"/>
      <c r="AF96" s="372"/>
      <c r="AG96" s="372"/>
      <c r="AH96" s="372"/>
      <c r="AI96" s="372"/>
      <c r="AJ96" s="372"/>
      <c r="AK96" s="372"/>
      <c r="AL96" s="372"/>
    </row>
    <row r="97" spans="1:38" ht="18.75" customHeight="1" x14ac:dyDescent="0.25">
      <c r="A97" s="80"/>
      <c r="B97" s="80"/>
      <c r="C97" s="80"/>
      <c r="D97" s="80"/>
      <c r="E97" s="80">
        <v>4221</v>
      </c>
      <c r="F97" s="81" t="s">
        <v>558</v>
      </c>
      <c r="G97" s="82" t="e">
        <f>SUMIF(#REF!,funkcijska!$E97,#REF!)</f>
        <v>#REF!</v>
      </c>
      <c r="H97" s="82" t="e">
        <f>SUMIF(#REF!,funkcijska!$E97,#REF!)</f>
        <v>#REF!</v>
      </c>
      <c r="I97" s="82" t="e">
        <f>SUMIF(#REF!,funkcijska!$E97,#REF!)</f>
        <v>#REF!</v>
      </c>
      <c r="J97" s="82" t="e">
        <f>SUMIF(#REF!,funkcijska!$E97,#REF!)</f>
        <v>#REF!</v>
      </c>
      <c r="K97" s="82" t="e">
        <f>SUMIF(#REF!,funkcijska!$E97,#REF!)</f>
        <v>#REF!</v>
      </c>
      <c r="L97" s="82" t="e">
        <f t="shared" ref="L97:L109" si="44">ROUND(K97/J97*100,2)</f>
        <v>#REF!</v>
      </c>
      <c r="M97" s="82" t="e">
        <f t="shared" ref="M97:M109" si="45">N97-J97</f>
        <v>#REF!</v>
      </c>
      <c r="N97" s="82" t="e">
        <f>SUMIF(#REF!,funkcijska!$E97,#REF!)</f>
        <v>#REF!</v>
      </c>
      <c r="O97" s="82" t="e">
        <f>SUMIF(#REF!,funkcijska!$E97,#REF!)</f>
        <v>#REF!</v>
      </c>
      <c r="P97" s="82" t="e">
        <f>SUMIF(#REF!,funkcijska!$E97,#REF!)</f>
        <v>#REF!</v>
      </c>
      <c r="Q97" s="386" t="e">
        <f>SUMIF(#REF!,funkcijska!$E97,#REF!)</f>
        <v>#REF!</v>
      </c>
      <c r="R97" s="82" t="e">
        <f>SUMIF(#REF!,funkcijska!$E97,#REF!)</f>
        <v>#REF!</v>
      </c>
      <c r="S97" s="82" t="e">
        <f>SUMIF(#REF!,funkcijska!$E97,#REF!)</f>
        <v>#REF!</v>
      </c>
      <c r="T97" s="82" t="e">
        <f>SUMIF(#REF!,funkcijska!$E$97,#REF!)</f>
        <v>#REF!</v>
      </c>
      <c r="U97" s="357" t="e">
        <f>SUMIF(#REF!,funkcijska!$E97,#REF!)</f>
        <v>#REF!</v>
      </c>
      <c r="V97" s="357" t="e">
        <f>SUMIF(#REF!,funkcijska!$E97,#REF!)+SUMIF(#REF!,funkcijska!$E97,#REF!)</f>
        <v>#REF!</v>
      </c>
      <c r="W97" s="357" t="e">
        <f>SUMIF(#REF!,funkcijska!$E97,#REF!)+SUMIF(#REF!,funkcijska!$E97,#REF!)</f>
        <v>#REF!</v>
      </c>
      <c r="X97" s="357" t="e">
        <f>SUMIF(#REF!,funkcijska!$E97,#REF!)+SUMIF(#REF!,funkcijska!$E97,#REF!)</f>
        <v>#REF!</v>
      </c>
      <c r="AD97" s="60"/>
      <c r="AE97" s="60"/>
      <c r="AF97" s="60"/>
      <c r="AG97" s="60"/>
      <c r="AH97" s="60"/>
      <c r="AI97" s="60"/>
      <c r="AJ97" s="60"/>
      <c r="AK97" s="60"/>
      <c r="AL97" s="60"/>
    </row>
    <row r="98" spans="1:38" ht="20.25" customHeight="1" x14ac:dyDescent="0.25">
      <c r="A98" s="80"/>
      <c r="B98" s="80"/>
      <c r="C98" s="80"/>
      <c r="D98" s="80"/>
      <c r="E98" s="80">
        <v>4222</v>
      </c>
      <c r="F98" s="81" t="s">
        <v>559</v>
      </c>
      <c r="G98" s="82" t="e">
        <f>SUMIF(#REF!,funkcijska!$E98,#REF!)</f>
        <v>#REF!</v>
      </c>
      <c r="H98" s="82" t="e">
        <f>SUMIF(#REF!,funkcijska!$E98,#REF!)</f>
        <v>#REF!</v>
      </c>
      <c r="I98" s="82" t="e">
        <f>SUMIF(#REF!,funkcijska!$E98,#REF!)</f>
        <v>#REF!</v>
      </c>
      <c r="J98" s="82" t="e">
        <f>SUMIF(#REF!,funkcijska!$E98,#REF!)</f>
        <v>#REF!</v>
      </c>
      <c r="K98" s="82" t="e">
        <f>SUMIF(#REF!,funkcijska!$E98,#REF!)</f>
        <v>#REF!</v>
      </c>
      <c r="L98" s="82" t="e">
        <f t="shared" si="44"/>
        <v>#REF!</v>
      </c>
      <c r="M98" s="82" t="e">
        <f t="shared" si="45"/>
        <v>#REF!</v>
      </c>
      <c r="N98" s="82" t="e">
        <f>SUMIF(#REF!,funkcijska!$E98,#REF!)</f>
        <v>#REF!</v>
      </c>
      <c r="O98" s="82" t="e">
        <f>SUMIF(#REF!,funkcijska!$E98,#REF!)</f>
        <v>#REF!</v>
      </c>
      <c r="P98" s="82" t="e">
        <f>SUMIF(#REF!,funkcijska!$E98,#REF!)</f>
        <v>#REF!</v>
      </c>
      <c r="Q98" s="386" t="e">
        <f>SUMIF(#REF!,funkcijska!$E98,#REF!)</f>
        <v>#REF!</v>
      </c>
      <c r="R98" s="82" t="e">
        <f>SUMIF(#REF!,funkcijska!$E98,#REF!)</f>
        <v>#REF!</v>
      </c>
      <c r="S98" s="82" t="e">
        <f>SUMIF(#REF!,funkcijska!$E98,#REF!)</f>
        <v>#REF!</v>
      </c>
      <c r="T98" s="82" t="e">
        <f>SUMIF(#REF!,funkcijska!$E$98,#REF!)</f>
        <v>#REF!</v>
      </c>
      <c r="U98" s="357" t="e">
        <f>SUMIF(#REF!,funkcijska!$E98,#REF!)</f>
        <v>#REF!</v>
      </c>
      <c r="V98" s="357" t="e">
        <f>SUMIF(#REF!,funkcijska!$E98,#REF!)+SUMIF(#REF!,funkcijska!$E98,#REF!)</f>
        <v>#REF!</v>
      </c>
      <c r="W98" s="357" t="e">
        <f>SUMIF(#REF!,funkcijska!$E98,#REF!)+SUMIF(#REF!,funkcijska!$E98,#REF!)</f>
        <v>#REF!</v>
      </c>
      <c r="X98" s="357" t="e">
        <f>SUMIF(#REF!,funkcijska!$E98,#REF!)+SUMIF(#REF!,funkcijska!$E98,#REF!)</f>
        <v>#REF!</v>
      </c>
      <c r="AD98" s="60"/>
      <c r="AE98" s="60"/>
      <c r="AF98" s="60"/>
      <c r="AG98" s="60"/>
      <c r="AH98" s="60"/>
      <c r="AI98" s="60"/>
      <c r="AJ98" s="60"/>
      <c r="AK98" s="60"/>
      <c r="AL98" s="60"/>
    </row>
    <row r="99" spans="1:38" ht="23.25" customHeight="1" x14ac:dyDescent="0.25">
      <c r="A99" s="80"/>
      <c r="B99" s="80"/>
      <c r="C99" s="80"/>
      <c r="D99" s="80"/>
      <c r="E99" s="80">
        <v>4223</v>
      </c>
      <c r="F99" s="81" t="s">
        <v>628</v>
      </c>
      <c r="G99" s="82" t="e">
        <f>SUMIF(#REF!,funkcijska!$E99,#REF!)</f>
        <v>#REF!</v>
      </c>
      <c r="H99" s="82" t="e">
        <f>SUMIF(#REF!,funkcijska!$E99,#REF!)</f>
        <v>#REF!</v>
      </c>
      <c r="I99" s="82" t="e">
        <f>SUMIF(#REF!,funkcijska!$E99,#REF!)</f>
        <v>#REF!</v>
      </c>
      <c r="J99" s="82" t="e">
        <f>SUMIF(#REF!,funkcijska!$E99,#REF!)</f>
        <v>#REF!</v>
      </c>
      <c r="K99" s="82" t="e">
        <f>SUMIF(#REF!,funkcijska!$E99,#REF!)</f>
        <v>#REF!</v>
      </c>
      <c r="L99" s="82" t="e">
        <f t="shared" si="44"/>
        <v>#REF!</v>
      </c>
      <c r="M99" s="82" t="e">
        <f t="shared" si="45"/>
        <v>#REF!</v>
      </c>
      <c r="N99" s="82" t="e">
        <f>SUMIF(#REF!,funkcijska!$E99,#REF!)</f>
        <v>#REF!</v>
      </c>
      <c r="O99" s="82" t="e">
        <f>SUMIF(#REF!,funkcijska!$E99,#REF!)</f>
        <v>#REF!</v>
      </c>
      <c r="P99" s="82" t="e">
        <f>SUMIF(#REF!,funkcijska!$E99,#REF!)</f>
        <v>#REF!</v>
      </c>
      <c r="Q99" s="386" t="e">
        <f>SUMIF(#REF!,funkcijska!$E99,#REF!)</f>
        <v>#REF!</v>
      </c>
      <c r="R99" s="82" t="e">
        <f>SUMIF(#REF!,funkcijska!$E99,#REF!)</f>
        <v>#REF!</v>
      </c>
      <c r="S99" s="82" t="e">
        <f>SUMIF(#REF!,funkcijska!$E99,#REF!)</f>
        <v>#REF!</v>
      </c>
      <c r="T99" s="82" t="e">
        <f>SUMIF(#REF!,funkcijska!$E$99,#REF!)</f>
        <v>#REF!</v>
      </c>
      <c r="U99" s="357" t="e">
        <f>SUMIF(#REF!,funkcijska!$E99,#REF!)</f>
        <v>#REF!</v>
      </c>
      <c r="V99" s="357" t="e">
        <f>SUMIF(#REF!,funkcijska!$E99,#REF!)+SUMIF(#REF!,funkcijska!$E99,#REF!)</f>
        <v>#REF!</v>
      </c>
      <c r="W99" s="357" t="e">
        <f>SUMIF(#REF!,funkcijska!$E99,#REF!)+SUMIF(#REF!,funkcijska!$E99,#REF!)</f>
        <v>#REF!</v>
      </c>
      <c r="X99" s="357" t="e">
        <f>SUMIF(#REF!,funkcijska!$E99,#REF!)+SUMIF(#REF!,funkcijska!$E99,#REF!)</f>
        <v>#REF!</v>
      </c>
      <c r="AD99" s="60"/>
      <c r="AE99" s="60"/>
      <c r="AF99" s="60"/>
      <c r="AG99" s="60"/>
      <c r="AH99" s="60"/>
      <c r="AI99" s="60"/>
      <c r="AJ99" s="60"/>
      <c r="AK99" s="60"/>
      <c r="AL99" s="60"/>
    </row>
    <row r="100" spans="1:38" hidden="1" x14ac:dyDescent="0.25">
      <c r="A100" s="80"/>
      <c r="B100" s="80"/>
      <c r="C100" s="80"/>
      <c r="D100" s="80"/>
      <c r="E100" s="80">
        <v>4224</v>
      </c>
      <c r="F100" s="81" t="s">
        <v>638</v>
      </c>
      <c r="G100" s="82" t="e">
        <f>SUMIF(#REF!,funkcijska!$E100,#REF!)</f>
        <v>#REF!</v>
      </c>
      <c r="H100" s="82" t="e">
        <f>SUMIF(#REF!,funkcijska!$E100,#REF!)</f>
        <v>#REF!</v>
      </c>
      <c r="I100" s="82" t="e">
        <f>SUMIF(#REF!,funkcijska!$E100,#REF!)</f>
        <v>#REF!</v>
      </c>
      <c r="J100" s="82" t="e">
        <f>SUMIF(#REF!,funkcijska!$E100,#REF!)</f>
        <v>#REF!</v>
      </c>
      <c r="K100" s="82" t="e">
        <f>SUMIF(#REF!,funkcijska!$E100,#REF!)</f>
        <v>#REF!</v>
      </c>
      <c r="L100" s="82" t="e">
        <f t="shared" si="44"/>
        <v>#REF!</v>
      </c>
      <c r="M100" s="82" t="e">
        <f t="shared" si="45"/>
        <v>#REF!</v>
      </c>
      <c r="N100" s="82" t="e">
        <f>SUMIF(#REF!,funkcijska!$E100,#REF!)</f>
        <v>#REF!</v>
      </c>
      <c r="O100" s="82" t="e">
        <f>SUMIF(#REF!,funkcijska!$E100,#REF!)</f>
        <v>#REF!</v>
      </c>
      <c r="P100" s="82" t="e">
        <f>SUMIF(#REF!,funkcijska!$E100,#REF!)</f>
        <v>#REF!</v>
      </c>
      <c r="Q100" s="386" t="e">
        <f>SUMIF(#REF!,funkcijska!$E100,#REF!)</f>
        <v>#REF!</v>
      </c>
      <c r="R100" s="82" t="e">
        <f>SUMIF(#REF!,funkcijska!$E100,#REF!)</f>
        <v>#REF!</v>
      </c>
      <c r="S100" s="82" t="e">
        <f>SUMIF(#REF!,funkcijska!$E100,#REF!)</f>
        <v>#REF!</v>
      </c>
      <c r="T100" s="82" t="e">
        <f>SUMIF(#REF!,funkcijska!$E$100,#REF!)</f>
        <v>#REF!</v>
      </c>
      <c r="U100" s="357" t="e">
        <f>SUMIF(#REF!,funkcijska!$E100,#REF!)</f>
        <v>#REF!</v>
      </c>
      <c r="V100" s="357" t="e">
        <f>SUMIF(#REF!,funkcijska!$E100,#REF!)+SUMIF(#REF!,funkcijska!$E100,#REF!)</f>
        <v>#REF!</v>
      </c>
      <c r="W100" s="357" t="e">
        <f>SUMIF(#REF!,funkcijska!$E100,#REF!)+SUMIF(#REF!,funkcijska!$E100,#REF!)</f>
        <v>#REF!</v>
      </c>
      <c r="X100" s="357" t="e">
        <f>SUMIF(#REF!,funkcijska!$E100,#REF!)+SUMIF(#REF!,funkcijska!$E100,#REF!)</f>
        <v>#REF!</v>
      </c>
      <c r="AD100" s="60"/>
      <c r="AE100" s="60"/>
      <c r="AF100" s="60"/>
      <c r="AG100" s="60"/>
      <c r="AH100" s="60"/>
      <c r="AI100" s="60"/>
      <c r="AJ100" s="60"/>
      <c r="AK100" s="60"/>
      <c r="AL100" s="60"/>
    </row>
    <row r="101" spans="1:38" ht="18" hidden="1" customHeight="1" x14ac:dyDescent="0.25">
      <c r="A101" s="80"/>
      <c r="B101" s="80"/>
      <c r="C101" s="80"/>
      <c r="D101" s="80"/>
      <c r="E101" s="80">
        <v>4225</v>
      </c>
      <c r="F101" s="81" t="s">
        <v>844</v>
      </c>
      <c r="G101" s="82" t="e">
        <f>SUMIF(#REF!,funkcijska!$E101,#REF!)</f>
        <v>#REF!</v>
      </c>
      <c r="H101" s="82" t="e">
        <f>SUMIF(#REF!,funkcijska!$E101,#REF!)</f>
        <v>#REF!</v>
      </c>
      <c r="I101" s="82" t="e">
        <f>SUMIF(#REF!,funkcijska!$E101,#REF!)</f>
        <v>#REF!</v>
      </c>
      <c r="J101" s="82" t="e">
        <f>SUMIF(#REF!,funkcijska!$E101,#REF!)</f>
        <v>#REF!</v>
      </c>
      <c r="K101" s="82" t="e">
        <f>SUMIF(#REF!,funkcijska!$E101,#REF!)</f>
        <v>#REF!</v>
      </c>
      <c r="L101" s="82" t="e">
        <f t="shared" si="44"/>
        <v>#REF!</v>
      </c>
      <c r="M101" s="82" t="e">
        <f t="shared" si="45"/>
        <v>#REF!</v>
      </c>
      <c r="N101" s="82" t="e">
        <f>SUMIF(#REF!,funkcijska!$E101,#REF!)</f>
        <v>#REF!</v>
      </c>
      <c r="O101" s="82" t="e">
        <f>SUMIF(#REF!,funkcijska!$E101,#REF!)</f>
        <v>#REF!</v>
      </c>
      <c r="P101" s="82" t="e">
        <f>SUMIF(#REF!,funkcijska!$E101,#REF!)</f>
        <v>#REF!</v>
      </c>
      <c r="Q101" s="386" t="e">
        <f>SUMIF(#REF!,funkcijska!$E101,#REF!)</f>
        <v>#REF!</v>
      </c>
      <c r="R101" s="82" t="e">
        <f>SUMIF(#REF!,funkcijska!$E101,#REF!)</f>
        <v>#REF!</v>
      </c>
      <c r="S101" s="82" t="e">
        <f>SUMIF(#REF!,funkcijska!$E101,#REF!)</f>
        <v>#REF!</v>
      </c>
      <c r="T101" s="82" t="e">
        <f>SUMIF(#REF!,funkcijska!$E$101,#REF!)</f>
        <v>#REF!</v>
      </c>
      <c r="U101" s="357" t="e">
        <f>SUMIF(#REF!,funkcijska!$E101,#REF!)</f>
        <v>#REF!</v>
      </c>
      <c r="V101" s="357" t="e">
        <f>SUMIF(#REF!,funkcijska!$E101,#REF!)+SUMIF(#REF!,funkcijska!$E101,#REF!)</f>
        <v>#REF!</v>
      </c>
      <c r="W101" s="357" t="e">
        <f>SUMIF(#REF!,funkcijska!$E101,#REF!)+SUMIF(#REF!,funkcijska!$E101,#REF!)</f>
        <v>#REF!</v>
      </c>
      <c r="X101" s="357" t="e">
        <f>SUMIF(#REF!,funkcijska!$E101,#REF!)+SUMIF(#REF!,funkcijska!$E101,#REF!)</f>
        <v>#REF!</v>
      </c>
      <c r="AD101" s="60"/>
      <c r="AE101" s="60"/>
      <c r="AF101" s="60"/>
      <c r="AG101" s="60"/>
      <c r="AH101" s="60"/>
      <c r="AI101" s="60"/>
      <c r="AJ101" s="60"/>
      <c r="AK101" s="60"/>
      <c r="AL101" s="60"/>
    </row>
    <row r="102" spans="1:38" ht="20.25" hidden="1" customHeight="1" x14ac:dyDescent="0.25">
      <c r="A102" s="80"/>
      <c r="B102" s="80"/>
      <c r="C102" s="80"/>
      <c r="D102" s="80"/>
      <c r="E102" s="80">
        <v>4226</v>
      </c>
      <c r="F102" s="81" t="s">
        <v>432</v>
      </c>
      <c r="G102" s="82" t="e">
        <f>SUMIF(#REF!,funkcijska!$E102,#REF!)</f>
        <v>#REF!</v>
      </c>
      <c r="H102" s="82" t="e">
        <f>SUMIF(#REF!,funkcijska!$E102,#REF!)</f>
        <v>#REF!</v>
      </c>
      <c r="I102" s="82" t="e">
        <f>SUMIF(#REF!,funkcijska!$E102,#REF!)</f>
        <v>#REF!</v>
      </c>
      <c r="J102" s="82" t="e">
        <f>SUMIF(#REF!,funkcijska!$E102,#REF!)</f>
        <v>#REF!</v>
      </c>
      <c r="K102" s="82" t="e">
        <f>SUMIF(#REF!,funkcijska!$E102,#REF!)</f>
        <v>#REF!</v>
      </c>
      <c r="L102" s="82" t="e">
        <f t="shared" si="44"/>
        <v>#REF!</v>
      </c>
      <c r="M102" s="82" t="e">
        <f t="shared" si="45"/>
        <v>#REF!</v>
      </c>
      <c r="N102" s="82" t="e">
        <f>SUMIF(#REF!,funkcijska!$E102,#REF!)</f>
        <v>#REF!</v>
      </c>
      <c r="O102" s="82" t="e">
        <f>SUMIF(#REF!,funkcijska!$E102,#REF!)</f>
        <v>#REF!</v>
      </c>
      <c r="P102" s="82" t="e">
        <f>SUMIF(#REF!,funkcijska!$E102,#REF!)</f>
        <v>#REF!</v>
      </c>
      <c r="Q102" s="386" t="e">
        <f>SUMIF(#REF!,funkcijska!$E102,#REF!)</f>
        <v>#REF!</v>
      </c>
      <c r="R102" s="82" t="e">
        <f>SUMIF(#REF!,funkcijska!$E102,#REF!)</f>
        <v>#REF!</v>
      </c>
      <c r="S102" s="82" t="e">
        <f>SUMIF(#REF!,funkcijska!$E102,#REF!)</f>
        <v>#REF!</v>
      </c>
      <c r="T102" s="82" t="e">
        <f>SUMIF(#REF!,funkcijska!$E$102,#REF!)</f>
        <v>#REF!</v>
      </c>
      <c r="U102" s="357" t="e">
        <f>SUMIF(#REF!,funkcijska!$E102,#REF!)</f>
        <v>#REF!</v>
      </c>
      <c r="V102" s="357" t="e">
        <f>SUMIF(#REF!,funkcijska!$E102,#REF!)+SUMIF(#REF!,funkcijska!$E102,#REF!)</f>
        <v>#REF!</v>
      </c>
      <c r="W102" s="357" t="e">
        <f>SUMIF(#REF!,funkcijska!$E102,#REF!)+SUMIF(#REF!,funkcijska!$E102,#REF!)</f>
        <v>#REF!</v>
      </c>
      <c r="X102" s="357" t="e">
        <f>SUMIF(#REF!,funkcijska!$E102,#REF!)+SUMIF(#REF!,funkcijska!$E102,#REF!)</f>
        <v>#REF!</v>
      </c>
      <c r="AD102" s="60"/>
      <c r="AE102" s="60"/>
      <c r="AF102" s="60"/>
      <c r="AG102" s="60"/>
      <c r="AH102" s="60"/>
      <c r="AI102" s="60"/>
      <c r="AJ102" s="60"/>
      <c r="AK102" s="60"/>
      <c r="AL102" s="60"/>
    </row>
    <row r="103" spans="1:38" ht="18.75" hidden="1" customHeight="1" x14ac:dyDescent="0.25">
      <c r="A103" s="80"/>
      <c r="B103" s="80"/>
      <c r="C103" s="80"/>
      <c r="D103" s="80"/>
      <c r="E103" s="80">
        <v>4227</v>
      </c>
      <c r="F103" s="81" t="s">
        <v>413</v>
      </c>
      <c r="G103" s="82" t="e">
        <f>SUMIF(#REF!,funkcijska!$E103,#REF!)</f>
        <v>#REF!</v>
      </c>
      <c r="H103" s="82" t="e">
        <f>SUMIF(#REF!,funkcijska!$E103,#REF!)</f>
        <v>#REF!</v>
      </c>
      <c r="I103" s="82" t="e">
        <f>SUMIF(#REF!,funkcijska!$E103,#REF!)</f>
        <v>#REF!</v>
      </c>
      <c r="J103" s="82" t="e">
        <f>SUMIF(#REF!,funkcijska!$E103,#REF!)</f>
        <v>#REF!</v>
      </c>
      <c r="K103" s="82" t="e">
        <f>SUMIF(#REF!,funkcijska!$E103,#REF!)</f>
        <v>#REF!</v>
      </c>
      <c r="L103" s="82" t="e">
        <f t="shared" si="44"/>
        <v>#REF!</v>
      </c>
      <c r="M103" s="82" t="e">
        <f t="shared" si="45"/>
        <v>#REF!</v>
      </c>
      <c r="N103" s="82" t="e">
        <f>SUMIF(#REF!,funkcijska!$E103,#REF!)</f>
        <v>#REF!</v>
      </c>
      <c r="O103" s="82" t="e">
        <f>SUMIF(#REF!,funkcijska!$E103,#REF!)</f>
        <v>#REF!</v>
      </c>
      <c r="P103" s="82" t="e">
        <f>SUMIF(#REF!,funkcijska!$E103,#REF!)</f>
        <v>#REF!</v>
      </c>
      <c r="Q103" s="386" t="e">
        <f>SUMIF(#REF!,funkcijska!$E103,#REF!)</f>
        <v>#REF!</v>
      </c>
      <c r="R103" s="82" t="e">
        <f>SUMIF(#REF!,funkcijska!$E103,#REF!)</f>
        <v>#REF!</v>
      </c>
      <c r="S103" s="82" t="e">
        <f>SUMIF(#REF!,funkcijska!$E103,#REF!)</f>
        <v>#REF!</v>
      </c>
      <c r="T103" s="82" t="e">
        <f>SUMIF(#REF!,funkcijska!$E$103,#REF!)</f>
        <v>#REF!</v>
      </c>
      <c r="U103" s="357" t="e">
        <f>SUMIF(#REF!,funkcijska!$E103,#REF!)</f>
        <v>#REF!</v>
      </c>
      <c r="V103" s="357" t="e">
        <f>SUMIF(#REF!,funkcijska!$E103,#REF!)+SUMIF(#REF!,funkcijska!$E103,#REF!)</f>
        <v>#REF!</v>
      </c>
      <c r="W103" s="357" t="e">
        <f>SUMIF(#REF!,funkcijska!$E103,#REF!)+SUMIF(#REF!,funkcijska!$E103,#REF!)</f>
        <v>#REF!</v>
      </c>
      <c r="X103" s="357" t="e">
        <f>SUMIF(#REF!,funkcijska!$E103,#REF!)+SUMIF(#REF!,funkcijska!$E103,#REF!)</f>
        <v>#REF!</v>
      </c>
      <c r="AD103" s="60"/>
      <c r="AE103" s="60"/>
      <c r="AF103" s="60"/>
      <c r="AG103" s="60"/>
      <c r="AH103" s="60"/>
      <c r="AI103" s="60"/>
      <c r="AJ103" s="60"/>
      <c r="AK103" s="60"/>
      <c r="AL103" s="60"/>
    </row>
    <row r="104" spans="1:38" s="373" customFormat="1" ht="17.25" customHeight="1" x14ac:dyDescent="0.25">
      <c r="A104" s="119"/>
      <c r="B104" s="119"/>
      <c r="C104" s="119"/>
      <c r="D104" s="119" t="str">
        <f>LEFT(E105,3)</f>
        <v>423</v>
      </c>
      <c r="E104" s="119"/>
      <c r="F104" s="368" t="s">
        <v>223</v>
      </c>
      <c r="G104" s="369" t="e">
        <f>G105</f>
        <v>#REF!</v>
      </c>
      <c r="H104" s="370" t="e">
        <f>H105</f>
        <v>#REF!</v>
      </c>
      <c r="I104" s="369" t="e">
        <f>I105</f>
        <v>#REF!</v>
      </c>
      <c r="J104" s="369" t="e">
        <f>J105</f>
        <v>#REF!</v>
      </c>
      <c r="K104" s="369" t="e">
        <f>K105</f>
        <v>#REF!</v>
      </c>
      <c r="L104" s="369" t="e">
        <f t="shared" si="44"/>
        <v>#REF!</v>
      </c>
      <c r="M104" s="369" t="e">
        <f t="shared" si="45"/>
        <v>#REF!</v>
      </c>
      <c r="N104" s="369" t="e">
        <f t="shared" ref="N104:X104" si="46">N105</f>
        <v>#REF!</v>
      </c>
      <c r="O104" s="137" t="e">
        <f t="shared" si="46"/>
        <v>#REF!</v>
      </c>
      <c r="P104" s="137" t="e">
        <f t="shared" si="46"/>
        <v>#REF!</v>
      </c>
      <c r="Q104" s="393" t="e">
        <f t="shared" si="46"/>
        <v>#REF!</v>
      </c>
      <c r="R104" s="137" t="e">
        <f t="shared" si="46"/>
        <v>#REF!</v>
      </c>
      <c r="S104" s="137" t="e">
        <f t="shared" si="46"/>
        <v>#REF!</v>
      </c>
      <c r="T104" s="137" t="e">
        <f t="shared" si="46"/>
        <v>#REF!</v>
      </c>
      <c r="U104" s="371" t="e">
        <f t="shared" si="46"/>
        <v>#REF!</v>
      </c>
      <c r="V104" s="371" t="e">
        <f t="shared" si="46"/>
        <v>#REF!</v>
      </c>
      <c r="W104" s="371" t="e">
        <f t="shared" si="46"/>
        <v>#REF!</v>
      </c>
      <c r="X104" s="371" t="e">
        <f t="shared" si="46"/>
        <v>#REF!</v>
      </c>
      <c r="Y104" s="372"/>
      <c r="Z104" s="372"/>
      <c r="AA104" s="372"/>
      <c r="AB104" s="372"/>
      <c r="AC104" s="372"/>
      <c r="AD104" s="372"/>
      <c r="AE104" s="372"/>
      <c r="AF104" s="372"/>
      <c r="AG104" s="372"/>
      <c r="AH104" s="372"/>
      <c r="AI104" s="372"/>
      <c r="AJ104" s="372"/>
      <c r="AK104" s="372"/>
      <c r="AL104" s="372"/>
    </row>
    <row r="105" spans="1:38" ht="21" customHeight="1" x14ac:dyDescent="0.25">
      <c r="A105" s="80"/>
      <c r="B105" s="80"/>
      <c r="C105" s="80"/>
      <c r="D105" s="80"/>
      <c r="E105" s="80">
        <v>4231</v>
      </c>
      <c r="F105" s="81" t="s">
        <v>1028</v>
      </c>
      <c r="G105" s="82" t="e">
        <f>SUMIF(#REF!,funkcijska!$E105,#REF!)</f>
        <v>#REF!</v>
      </c>
      <c r="H105" s="82" t="e">
        <f>SUMIF(#REF!,funkcijska!$E105,#REF!)</f>
        <v>#REF!</v>
      </c>
      <c r="I105" s="82" t="e">
        <f>SUMIF(#REF!,funkcijska!$E105,#REF!)</f>
        <v>#REF!</v>
      </c>
      <c r="J105" s="82" t="e">
        <f>SUMIF(#REF!,funkcijska!$E105,#REF!)</f>
        <v>#REF!</v>
      </c>
      <c r="K105" s="82" t="e">
        <f>SUMIF(#REF!,funkcijska!$E105,#REF!)</f>
        <v>#REF!</v>
      </c>
      <c r="L105" s="82" t="e">
        <f t="shared" si="44"/>
        <v>#REF!</v>
      </c>
      <c r="M105" s="82" t="e">
        <f t="shared" si="45"/>
        <v>#REF!</v>
      </c>
      <c r="N105" s="82" t="e">
        <f>SUMIF(#REF!,funkcijska!$E105,#REF!)</f>
        <v>#REF!</v>
      </c>
      <c r="O105" s="82" t="e">
        <f>SUMIF(#REF!,funkcijska!$E105,#REF!)</f>
        <v>#REF!</v>
      </c>
      <c r="P105" s="82" t="e">
        <f>SUMIF(#REF!,funkcijska!$E105,#REF!)</f>
        <v>#REF!</v>
      </c>
      <c r="Q105" s="386" t="e">
        <f>SUMIF(#REF!,funkcijska!$E105,#REF!)</f>
        <v>#REF!</v>
      </c>
      <c r="R105" s="82" t="e">
        <f>SUMIF(#REF!,funkcijska!$E105,#REF!)</f>
        <v>#REF!</v>
      </c>
      <c r="S105" s="82" t="e">
        <f>SUMIF(#REF!,funkcijska!$E105,#REF!)</f>
        <v>#REF!</v>
      </c>
      <c r="T105" s="82" t="e">
        <f>SUMIF(#REF!,funkcijska!$E$105,#REF!)</f>
        <v>#REF!</v>
      </c>
      <c r="U105" s="357" t="e">
        <f>SUMIF(#REF!,funkcijska!$E105,#REF!)</f>
        <v>#REF!</v>
      </c>
      <c r="V105" s="357" t="e">
        <f>SUMIF(#REF!,funkcijska!$E105,#REF!)+SUMIF(#REF!,funkcijska!$E105,#REF!)</f>
        <v>#REF!</v>
      </c>
      <c r="W105" s="357" t="e">
        <f>SUMIF(#REF!,funkcijska!$E105,#REF!)+SUMIF(#REF!,funkcijska!$E105,#REF!)</f>
        <v>#REF!</v>
      </c>
      <c r="X105" s="357" t="e">
        <f>SUMIF(#REF!,funkcijska!$E105,#REF!)+SUMIF(#REF!,funkcijska!$E105,#REF!)</f>
        <v>#REF!</v>
      </c>
      <c r="AD105" s="60"/>
      <c r="AE105" s="60"/>
      <c r="AF105" s="60"/>
      <c r="AG105" s="60"/>
      <c r="AH105" s="60"/>
      <c r="AI105" s="60"/>
      <c r="AJ105" s="60"/>
      <c r="AK105" s="60"/>
      <c r="AL105" s="60"/>
    </row>
    <row r="106" spans="1:38" s="373" customFormat="1" ht="37.5" hidden="1" customHeight="1" x14ac:dyDescent="0.25">
      <c r="A106" s="119"/>
      <c r="B106" s="119"/>
      <c r="C106" s="119"/>
      <c r="D106" s="119" t="str">
        <f>LEFT(E107,3)</f>
        <v>424</v>
      </c>
      <c r="E106" s="119"/>
      <c r="F106" s="368" t="s">
        <v>447</v>
      </c>
      <c r="G106" s="369" t="e">
        <f>G107</f>
        <v>#REF!</v>
      </c>
      <c r="H106" s="370" t="e">
        <f>H107</f>
        <v>#REF!</v>
      </c>
      <c r="I106" s="369" t="e">
        <f>I107</f>
        <v>#REF!</v>
      </c>
      <c r="J106" s="369" t="e">
        <f>J107</f>
        <v>#REF!</v>
      </c>
      <c r="K106" s="369" t="e">
        <f>K107</f>
        <v>#REF!</v>
      </c>
      <c r="L106" s="369" t="e">
        <f t="shared" si="44"/>
        <v>#REF!</v>
      </c>
      <c r="M106" s="369" t="e">
        <f t="shared" si="45"/>
        <v>#REF!</v>
      </c>
      <c r="N106" s="369" t="e">
        <f t="shared" ref="N106:X106" si="47">N107</f>
        <v>#REF!</v>
      </c>
      <c r="O106" s="137" t="e">
        <f t="shared" si="47"/>
        <v>#REF!</v>
      </c>
      <c r="P106" s="137" t="e">
        <f t="shared" si="47"/>
        <v>#REF!</v>
      </c>
      <c r="Q106" s="393" t="e">
        <f t="shared" si="47"/>
        <v>#REF!</v>
      </c>
      <c r="R106" s="137" t="e">
        <f t="shared" si="47"/>
        <v>#REF!</v>
      </c>
      <c r="S106" s="137" t="e">
        <f t="shared" si="47"/>
        <v>#REF!</v>
      </c>
      <c r="T106" s="137" t="e">
        <f t="shared" si="47"/>
        <v>#REF!</v>
      </c>
      <c r="U106" s="371" t="e">
        <f t="shared" si="47"/>
        <v>#REF!</v>
      </c>
      <c r="V106" s="371" t="e">
        <f t="shared" si="47"/>
        <v>#REF!</v>
      </c>
      <c r="W106" s="371" t="e">
        <f t="shared" si="47"/>
        <v>#REF!</v>
      </c>
      <c r="X106" s="371" t="e">
        <f t="shared" si="47"/>
        <v>#REF!</v>
      </c>
      <c r="Y106" s="372"/>
      <c r="Z106" s="372"/>
      <c r="AA106" s="372"/>
      <c r="AB106" s="372"/>
      <c r="AC106" s="372"/>
      <c r="AD106" s="372"/>
      <c r="AE106" s="372"/>
      <c r="AF106" s="372"/>
      <c r="AG106" s="372"/>
      <c r="AH106" s="372"/>
      <c r="AI106" s="372"/>
      <c r="AJ106" s="372"/>
      <c r="AK106" s="372"/>
      <c r="AL106" s="372"/>
    </row>
    <row r="107" spans="1:38" ht="21" hidden="1" customHeight="1" x14ac:dyDescent="0.25">
      <c r="A107" s="80"/>
      <c r="B107" s="80"/>
      <c r="C107" s="80"/>
      <c r="D107" s="80"/>
      <c r="E107" s="80">
        <v>4241</v>
      </c>
      <c r="F107" s="81" t="s">
        <v>437</v>
      </c>
      <c r="G107" s="82" t="e">
        <f>SUMIF(#REF!,funkcijska!$E107,#REF!)</f>
        <v>#REF!</v>
      </c>
      <c r="H107" s="82" t="e">
        <f>SUMIF(#REF!,funkcijska!$E107,#REF!)</f>
        <v>#REF!</v>
      </c>
      <c r="I107" s="82" t="e">
        <f>SUMIF(#REF!,funkcijska!$E107,#REF!)</f>
        <v>#REF!</v>
      </c>
      <c r="J107" s="82" t="e">
        <f>SUMIF(#REF!,funkcijska!$E107,#REF!)</f>
        <v>#REF!</v>
      </c>
      <c r="K107" s="82" t="e">
        <f>SUMIF(#REF!,funkcijska!$E107,#REF!)</f>
        <v>#REF!</v>
      </c>
      <c r="L107" s="82" t="e">
        <f t="shared" si="44"/>
        <v>#REF!</v>
      </c>
      <c r="M107" s="82" t="e">
        <f t="shared" si="45"/>
        <v>#REF!</v>
      </c>
      <c r="N107" s="82" t="e">
        <f>SUMIF(#REF!,funkcijska!$E107,#REF!)</f>
        <v>#REF!</v>
      </c>
      <c r="O107" s="82" t="e">
        <f>SUMIF(#REF!,funkcijska!$E107,#REF!)</f>
        <v>#REF!</v>
      </c>
      <c r="P107" s="82" t="e">
        <f>SUMIF(#REF!,funkcijska!$E107,#REF!)</f>
        <v>#REF!</v>
      </c>
      <c r="Q107" s="386" t="e">
        <f>SUMIF(#REF!,funkcijska!$E107,#REF!)</f>
        <v>#REF!</v>
      </c>
      <c r="R107" s="82" t="e">
        <f>SUMIF(#REF!,funkcijska!$E107,#REF!)</f>
        <v>#REF!</v>
      </c>
      <c r="S107" s="82" t="e">
        <f>SUMIF(#REF!,funkcijska!$E107,#REF!)</f>
        <v>#REF!</v>
      </c>
      <c r="T107" s="82" t="e">
        <f>SUMIF(#REF!,funkcijska!$E$107,#REF!)</f>
        <v>#REF!</v>
      </c>
      <c r="U107" s="357" t="e">
        <f>SUMIF(#REF!,funkcijska!$E107,#REF!)</f>
        <v>#REF!</v>
      </c>
      <c r="V107" s="357" t="e">
        <f>SUMIF(#REF!,funkcijska!$E107,#REF!)+SUMIF(#REF!,funkcijska!$E107,#REF!)</f>
        <v>#REF!</v>
      </c>
      <c r="W107" s="357" t="e">
        <f>SUMIF(#REF!,funkcijska!$E107,#REF!)+SUMIF(#REF!,funkcijska!$E107,#REF!)</f>
        <v>#REF!</v>
      </c>
      <c r="X107" s="357" t="e">
        <f>SUMIF(#REF!,funkcijska!$E107,#REF!)+SUMIF(#REF!,funkcijska!$E107,#REF!)</f>
        <v>#REF!</v>
      </c>
      <c r="AD107" s="60"/>
      <c r="AE107" s="60"/>
      <c r="AF107" s="60"/>
      <c r="AG107" s="60"/>
      <c r="AH107" s="60"/>
      <c r="AI107" s="60"/>
      <c r="AJ107" s="60"/>
      <c r="AK107" s="60"/>
      <c r="AL107" s="60"/>
    </row>
    <row r="108" spans="1:38" ht="18" hidden="1" customHeight="1" x14ac:dyDescent="0.25">
      <c r="A108" s="80"/>
      <c r="B108" s="80"/>
      <c r="C108" s="80"/>
      <c r="D108" s="80" t="str">
        <f>LEFT(E109,3)</f>
        <v>425</v>
      </c>
      <c r="E108" s="80"/>
      <c r="F108" s="81" t="s">
        <v>839</v>
      </c>
      <c r="G108" s="84" t="e">
        <f>G109</f>
        <v>#REF!</v>
      </c>
      <c r="H108" s="102" t="e">
        <f>H109</f>
        <v>#REF!</v>
      </c>
      <c r="I108" s="84" t="e">
        <f>I109</f>
        <v>#REF!</v>
      </c>
      <c r="J108" s="84" t="e">
        <f>J109</f>
        <v>#REF!</v>
      </c>
      <c r="K108" s="84" t="e">
        <f>K109</f>
        <v>#REF!</v>
      </c>
      <c r="L108" s="84" t="e">
        <f t="shared" si="44"/>
        <v>#REF!</v>
      </c>
      <c r="M108" s="84" t="e">
        <f t="shared" si="45"/>
        <v>#REF!</v>
      </c>
      <c r="N108" s="84" t="e">
        <f>N109</f>
        <v>#REF!</v>
      </c>
      <c r="O108" s="82" t="e">
        <f>O109</f>
        <v>#REF!</v>
      </c>
      <c r="P108" s="82" t="e">
        <f>P109</f>
        <v>#REF!</v>
      </c>
      <c r="Q108" s="389" t="e">
        <f>U108-O108</f>
        <v>#REF!</v>
      </c>
      <c r="R108" s="82" t="e">
        <f t="shared" ref="R108:X108" si="48">R109</f>
        <v>#REF!</v>
      </c>
      <c r="S108" s="82" t="e">
        <f t="shared" si="48"/>
        <v>#REF!</v>
      </c>
      <c r="T108" s="82" t="e">
        <f t="shared" si="48"/>
        <v>#REF!</v>
      </c>
      <c r="U108" s="357" t="e">
        <f t="shared" si="48"/>
        <v>#REF!</v>
      </c>
      <c r="V108" s="357" t="e">
        <f t="shared" si="48"/>
        <v>#REF!</v>
      </c>
      <c r="W108" s="357" t="e">
        <f t="shared" si="48"/>
        <v>#REF!</v>
      </c>
      <c r="X108" s="357" t="e">
        <f t="shared" si="48"/>
        <v>#REF!</v>
      </c>
      <c r="AD108" s="60"/>
      <c r="AE108" s="60"/>
      <c r="AF108" s="60"/>
      <c r="AG108" s="60"/>
      <c r="AH108" s="60"/>
      <c r="AI108" s="60"/>
      <c r="AJ108" s="60"/>
      <c r="AK108" s="60"/>
      <c r="AL108" s="60"/>
    </row>
    <row r="109" spans="1:38" ht="22.5" hidden="1" customHeight="1" x14ac:dyDescent="0.25">
      <c r="A109" s="80"/>
      <c r="B109" s="80"/>
      <c r="C109" s="80"/>
      <c r="D109" s="80"/>
      <c r="E109" s="80" t="s">
        <v>1029</v>
      </c>
      <c r="F109" s="81" t="s">
        <v>840</v>
      </c>
      <c r="G109" s="82" t="e">
        <f>SUMIF(#REF!,funkcijska!$E109,#REF!)</f>
        <v>#REF!</v>
      </c>
      <c r="H109" s="82" t="e">
        <f>SUMIF(#REF!,funkcijska!$E109,#REF!)</f>
        <v>#REF!</v>
      </c>
      <c r="I109" s="82" t="e">
        <f>SUMIF(#REF!,funkcijska!$E109,#REF!)</f>
        <v>#REF!</v>
      </c>
      <c r="J109" s="82" t="e">
        <f>SUMIF(#REF!,funkcijska!$E109,#REF!)</f>
        <v>#REF!</v>
      </c>
      <c r="K109" s="82" t="e">
        <f>SUMIF(#REF!,funkcijska!$E109,#REF!)</f>
        <v>#REF!</v>
      </c>
      <c r="L109" s="82" t="e">
        <f t="shared" si="44"/>
        <v>#REF!</v>
      </c>
      <c r="M109" s="82" t="e">
        <f t="shared" si="45"/>
        <v>#REF!</v>
      </c>
      <c r="N109" s="82" t="e">
        <f>SUMIF(#REF!,funkcijska!$E109,#REF!)</f>
        <v>#REF!</v>
      </c>
      <c r="O109" s="82" t="e">
        <f>SUMIF(#REF!,funkcijska!$E109,#REF!)</f>
        <v>#REF!</v>
      </c>
      <c r="P109" s="82" t="e">
        <f>SUMIF(#REF!,funkcijska!$E109,#REF!)</f>
        <v>#REF!</v>
      </c>
      <c r="Q109" s="389" t="e">
        <f>U109-O109</f>
        <v>#REF!</v>
      </c>
      <c r="R109" s="82" t="e">
        <f>SUMIF(#REF!,funkcijska!$E109,#REF!)</f>
        <v>#REF!</v>
      </c>
      <c r="S109" s="82" t="e">
        <f>SUMIF(#REF!,funkcijska!$E109,#REF!)</f>
        <v>#REF!</v>
      </c>
      <c r="T109" s="82" t="e">
        <f>SUMIF(#REF!,funkcijska!$E$109,#REF!)</f>
        <v>#REF!</v>
      </c>
      <c r="U109" s="357" t="e">
        <f>SUMIF(#REF!,funkcijska!$E109,#REF!)</f>
        <v>#REF!</v>
      </c>
      <c r="V109" s="357" t="e">
        <f>SUMIF(#REF!,funkcijska!$E109,#REF!)</f>
        <v>#REF!</v>
      </c>
      <c r="W109" s="357" t="e">
        <f>SUMIF(#REF!,funkcijska!$E109,#REF!)</f>
        <v>#REF!</v>
      </c>
      <c r="X109" s="357" t="e">
        <f>SUMIF(#REF!,funkcijska!$E109,#REF!)</f>
        <v>#REF!</v>
      </c>
      <c r="AD109" s="60"/>
      <c r="AE109" s="60"/>
      <c r="AF109" s="60"/>
      <c r="AG109" s="60"/>
      <c r="AH109" s="60"/>
      <c r="AI109" s="60"/>
      <c r="AJ109" s="60"/>
      <c r="AK109" s="60"/>
      <c r="AL109" s="60"/>
    </row>
    <row r="110" spans="1:38" s="373" customFormat="1" ht="21" hidden="1" customHeight="1" x14ac:dyDescent="0.25">
      <c r="A110" s="119"/>
      <c r="B110" s="119"/>
      <c r="C110" s="119"/>
      <c r="D110" s="119" t="str">
        <f>LEFT(E111,3)</f>
        <v>426</v>
      </c>
      <c r="E110" s="119"/>
      <c r="F110" s="368" t="s">
        <v>560</v>
      </c>
      <c r="G110" s="369" t="e">
        <f t="shared" ref="G110:X110" si="49">SUM(G111:G112)</f>
        <v>#REF!</v>
      </c>
      <c r="H110" s="370" t="e">
        <f t="shared" si="49"/>
        <v>#REF!</v>
      </c>
      <c r="I110" s="369" t="e">
        <f t="shared" si="49"/>
        <v>#REF!</v>
      </c>
      <c r="J110" s="369" t="e">
        <f t="shared" si="49"/>
        <v>#REF!</v>
      </c>
      <c r="K110" s="369" t="e">
        <f t="shared" si="49"/>
        <v>#REF!</v>
      </c>
      <c r="L110" s="369" t="e">
        <f t="shared" si="49"/>
        <v>#REF!</v>
      </c>
      <c r="M110" s="369" t="e">
        <f t="shared" si="49"/>
        <v>#REF!</v>
      </c>
      <c r="N110" s="369" t="e">
        <f t="shared" si="49"/>
        <v>#REF!</v>
      </c>
      <c r="O110" s="369" t="e">
        <f t="shared" si="49"/>
        <v>#REF!</v>
      </c>
      <c r="P110" s="369" t="e">
        <f t="shared" si="49"/>
        <v>#REF!</v>
      </c>
      <c r="Q110" s="392" t="e">
        <f t="shared" si="49"/>
        <v>#REF!</v>
      </c>
      <c r="R110" s="369" t="e">
        <f t="shared" si="49"/>
        <v>#REF!</v>
      </c>
      <c r="S110" s="369" t="e">
        <f t="shared" si="49"/>
        <v>#REF!</v>
      </c>
      <c r="T110" s="137" t="e">
        <f t="shared" si="49"/>
        <v>#REF!</v>
      </c>
      <c r="U110" s="371" t="e">
        <f t="shared" si="49"/>
        <v>#REF!</v>
      </c>
      <c r="V110" s="371" t="e">
        <f t="shared" si="49"/>
        <v>#REF!</v>
      </c>
      <c r="W110" s="371" t="e">
        <f t="shared" si="49"/>
        <v>#REF!</v>
      </c>
      <c r="X110" s="371" t="e">
        <f t="shared" si="49"/>
        <v>#REF!</v>
      </c>
      <c r="Y110" s="372"/>
      <c r="Z110" s="372"/>
      <c r="AA110" s="372"/>
      <c r="AB110" s="372"/>
      <c r="AC110" s="372"/>
      <c r="AD110" s="372"/>
      <c r="AE110" s="372"/>
      <c r="AF110" s="372"/>
      <c r="AG110" s="372"/>
      <c r="AH110" s="372"/>
      <c r="AI110" s="372"/>
      <c r="AJ110" s="372"/>
      <c r="AK110" s="372"/>
      <c r="AL110" s="372"/>
    </row>
    <row r="111" spans="1:38" ht="21.75" hidden="1" customHeight="1" x14ac:dyDescent="0.25">
      <c r="A111" s="80"/>
      <c r="B111" s="80"/>
      <c r="C111" s="80"/>
      <c r="D111" s="80"/>
      <c r="E111" s="80">
        <v>4262</v>
      </c>
      <c r="F111" s="81" t="s">
        <v>561</v>
      </c>
      <c r="G111" s="82" t="e">
        <f>SUMIF(#REF!,funkcijska!$E111,#REF!)</f>
        <v>#REF!</v>
      </c>
      <c r="H111" s="82" t="e">
        <f>SUMIF(#REF!,funkcijska!$E111,#REF!)</f>
        <v>#REF!</v>
      </c>
      <c r="I111" s="82" t="e">
        <f>SUMIF(#REF!,funkcijska!$E111,#REF!)</f>
        <v>#REF!</v>
      </c>
      <c r="J111" s="82" t="e">
        <f>SUMIF(#REF!,funkcijska!$E111,#REF!)</f>
        <v>#REF!</v>
      </c>
      <c r="K111" s="82" t="e">
        <f>SUMIF(#REF!,funkcijska!$E111,#REF!)</f>
        <v>#REF!</v>
      </c>
      <c r="L111" s="82" t="e">
        <f t="shared" ref="L111:L117" si="50">ROUND(K111/J111*100,2)</f>
        <v>#REF!</v>
      </c>
      <c r="M111" s="82" t="e">
        <f t="shared" ref="M111:M117" si="51">N111-J111</f>
        <v>#REF!</v>
      </c>
      <c r="N111" s="82" t="e">
        <f>SUMIF(#REF!,funkcijska!$E111,#REF!)</f>
        <v>#REF!</v>
      </c>
      <c r="O111" s="82" t="e">
        <f>SUMIF(#REF!,funkcijska!$E111,#REF!)</f>
        <v>#REF!</v>
      </c>
      <c r="P111" s="82" t="e">
        <f>SUMIF(#REF!,funkcijska!$E111,#REF!)</f>
        <v>#REF!</v>
      </c>
      <c r="Q111" s="386" t="e">
        <f>SUMIF(#REF!,funkcijska!$E111,#REF!)</f>
        <v>#REF!</v>
      </c>
      <c r="R111" s="82" t="e">
        <f>SUMIF(#REF!,funkcijska!$E111,#REF!)</f>
        <v>#REF!</v>
      </c>
      <c r="S111" s="82" t="e">
        <f>SUMIF(#REF!,funkcijska!$E111,#REF!)</f>
        <v>#REF!</v>
      </c>
      <c r="T111" s="82" t="e">
        <f>SUMIF(#REF!,funkcijska!$E$111,#REF!)</f>
        <v>#REF!</v>
      </c>
      <c r="U111" s="357" t="e">
        <f>SUMIF(#REF!,funkcijska!$E111,#REF!)</f>
        <v>#REF!</v>
      </c>
      <c r="V111" s="357" t="e">
        <f>SUMIF(#REF!,funkcijska!$E111,#REF!)+SUMIF(#REF!,funkcijska!$E111,#REF!)</f>
        <v>#REF!</v>
      </c>
      <c r="W111" s="357" t="e">
        <f>SUMIF(#REF!,funkcijska!$E111,#REF!)+SUMIF(#REF!,funkcijska!$E111,#REF!)</f>
        <v>#REF!</v>
      </c>
      <c r="X111" s="357" t="e">
        <f>SUMIF(#REF!,funkcijska!$E111,#REF!)+SUMIF(#REF!,funkcijska!$E111,#REF!)</f>
        <v>#REF!</v>
      </c>
      <c r="AD111" s="60"/>
      <c r="AE111" s="60"/>
      <c r="AF111" s="60"/>
      <c r="AG111" s="60"/>
      <c r="AH111" s="60"/>
      <c r="AI111" s="60"/>
      <c r="AJ111" s="60"/>
      <c r="AK111" s="60"/>
      <c r="AL111" s="60"/>
    </row>
    <row r="112" spans="1:38" ht="21" hidden="1" customHeight="1" x14ac:dyDescent="0.25">
      <c r="A112" s="80"/>
      <c r="B112" s="80"/>
      <c r="C112" s="80"/>
      <c r="D112" s="80"/>
      <c r="E112" s="80">
        <v>4264</v>
      </c>
      <c r="F112" s="81" t="s">
        <v>1030</v>
      </c>
      <c r="G112" s="82" t="e">
        <f>SUMIF(#REF!,funkcijska!$E112,#REF!)</f>
        <v>#REF!</v>
      </c>
      <c r="H112" s="82" t="e">
        <f>SUMIF(#REF!,funkcijska!$E112,#REF!)</f>
        <v>#REF!</v>
      </c>
      <c r="I112" s="82" t="e">
        <f>SUMIF(#REF!,funkcijska!$E112,#REF!)</f>
        <v>#REF!</v>
      </c>
      <c r="J112" s="82" t="e">
        <f>SUMIF(#REF!,funkcijska!$E112,#REF!)</f>
        <v>#REF!</v>
      </c>
      <c r="K112" s="82" t="e">
        <f>SUMIF(#REF!,funkcijska!$E112,#REF!)</f>
        <v>#REF!</v>
      </c>
      <c r="L112" s="82" t="e">
        <f t="shared" si="50"/>
        <v>#REF!</v>
      </c>
      <c r="M112" s="82" t="e">
        <f t="shared" si="51"/>
        <v>#REF!</v>
      </c>
      <c r="N112" s="82" t="e">
        <f>SUMIF(#REF!,funkcijska!$E112,#REF!)</f>
        <v>#REF!</v>
      </c>
      <c r="O112" s="82" t="e">
        <f>SUMIF(#REF!,funkcijska!$E112,#REF!)</f>
        <v>#REF!</v>
      </c>
      <c r="P112" s="82" t="e">
        <f>SUMIF(#REF!,funkcijska!$E112,#REF!)</f>
        <v>#REF!</v>
      </c>
      <c r="Q112" s="386" t="e">
        <f>SUMIF(#REF!,funkcijska!$E112,#REF!)</f>
        <v>#REF!</v>
      </c>
      <c r="R112" s="82" t="e">
        <f>SUMIF(#REF!,funkcijska!$E112,#REF!)</f>
        <v>#REF!</v>
      </c>
      <c r="S112" s="82" t="e">
        <f>SUMIF(#REF!,funkcijska!$E112,#REF!)</f>
        <v>#REF!</v>
      </c>
      <c r="T112" s="82" t="e">
        <f>SUMIF(#REF!,funkcijska!$E$112,#REF!)</f>
        <v>#REF!</v>
      </c>
      <c r="U112" s="357" t="e">
        <f>SUMIF(#REF!,funkcijska!$E112,#REF!)</f>
        <v>#REF!</v>
      </c>
      <c r="V112" s="357" t="e">
        <f>SUMIF(#REF!,funkcijska!$E112,#REF!)+SUMIF(#REF!,funkcijska!$E112,#REF!)</f>
        <v>#REF!</v>
      </c>
      <c r="W112" s="357" t="e">
        <f>SUMIF(#REF!,funkcijska!$E112,#REF!)+SUMIF(#REF!,funkcijska!$E112,#REF!)</f>
        <v>#REF!</v>
      </c>
      <c r="X112" s="357" t="e">
        <f>SUMIF(#REF!,funkcijska!$E112,#REF!)+SUMIF(#REF!,funkcijska!$E112,#REF!)</f>
        <v>#REF!</v>
      </c>
      <c r="AD112" s="60"/>
      <c r="AE112" s="60"/>
      <c r="AF112" s="60"/>
      <c r="AG112" s="60"/>
      <c r="AH112" s="60"/>
      <c r="AI112" s="60"/>
      <c r="AJ112" s="60"/>
      <c r="AK112" s="60"/>
      <c r="AL112" s="60"/>
    </row>
    <row r="113" spans="1:38" ht="36.75" hidden="1" customHeight="1" x14ac:dyDescent="0.25">
      <c r="A113" s="125"/>
      <c r="B113" s="74"/>
      <c r="C113" s="74" t="str">
        <f>LEFT(E115,2)</f>
        <v>45</v>
      </c>
      <c r="D113" s="74"/>
      <c r="E113" s="74"/>
      <c r="F113" s="75" t="s">
        <v>808</v>
      </c>
      <c r="G113" s="77" t="e">
        <f>G114+G116+G132</f>
        <v>#REF!</v>
      </c>
      <c r="H113" s="118" t="e">
        <f>H114+H116+H132</f>
        <v>#REF!</v>
      </c>
      <c r="I113" s="77" t="e">
        <f>I114+I116+I132</f>
        <v>#REF!</v>
      </c>
      <c r="J113" s="77" t="e">
        <f>J114+J116+J132</f>
        <v>#REF!</v>
      </c>
      <c r="K113" s="77" t="e">
        <f>K114+K116+K132</f>
        <v>#REF!</v>
      </c>
      <c r="L113" s="77" t="e">
        <f t="shared" si="50"/>
        <v>#REF!</v>
      </c>
      <c r="M113" s="77" t="e">
        <f t="shared" si="51"/>
        <v>#REF!</v>
      </c>
      <c r="N113" s="77" t="e">
        <f t="shared" ref="N113:X113" si="52">N114+N116+N132</f>
        <v>#REF!</v>
      </c>
      <c r="O113" s="76" t="e">
        <f t="shared" si="52"/>
        <v>#REF!</v>
      </c>
      <c r="P113" s="76" t="e">
        <f t="shared" si="52"/>
        <v>#REF!</v>
      </c>
      <c r="Q113" s="385" t="e">
        <f t="shared" si="52"/>
        <v>#REF!</v>
      </c>
      <c r="R113" s="135" t="e">
        <f t="shared" si="52"/>
        <v>#REF!</v>
      </c>
      <c r="S113" s="135" t="e">
        <f t="shared" si="52"/>
        <v>#REF!</v>
      </c>
      <c r="T113" s="135" t="e">
        <f t="shared" si="52"/>
        <v>#REF!</v>
      </c>
      <c r="U113" s="356" t="e">
        <f t="shared" si="52"/>
        <v>#REF!</v>
      </c>
      <c r="V113" s="356" t="e">
        <f t="shared" si="52"/>
        <v>#REF!</v>
      </c>
      <c r="W113" s="356" t="e">
        <f t="shared" si="52"/>
        <v>#REF!</v>
      </c>
      <c r="X113" s="356" t="e">
        <f t="shared" si="52"/>
        <v>#REF!</v>
      </c>
      <c r="AD113" s="60"/>
      <c r="AE113" s="60"/>
      <c r="AF113" s="60"/>
      <c r="AG113" s="60"/>
      <c r="AH113" s="60"/>
      <c r="AI113" s="60"/>
      <c r="AJ113" s="60"/>
      <c r="AK113" s="60"/>
      <c r="AL113" s="60"/>
    </row>
    <row r="114" spans="1:38" s="373" customFormat="1" ht="20.25" hidden="1" customHeight="1" x14ac:dyDescent="0.25">
      <c r="A114" s="119"/>
      <c r="B114" s="119"/>
      <c r="C114" s="119"/>
      <c r="D114" s="119" t="str">
        <f>LEFT(E115,3)</f>
        <v>451</v>
      </c>
      <c r="E114" s="119"/>
      <c r="F114" s="368" t="s">
        <v>809</v>
      </c>
      <c r="G114" s="369" t="e">
        <f>G115</f>
        <v>#REF!</v>
      </c>
      <c r="H114" s="370" t="e">
        <f>H115</f>
        <v>#REF!</v>
      </c>
      <c r="I114" s="369" t="e">
        <f>I115</f>
        <v>#REF!</v>
      </c>
      <c r="J114" s="369" t="e">
        <f>J115</f>
        <v>#REF!</v>
      </c>
      <c r="K114" s="369" t="e">
        <f>K115</f>
        <v>#REF!</v>
      </c>
      <c r="L114" s="369" t="e">
        <f t="shared" si="50"/>
        <v>#REF!</v>
      </c>
      <c r="M114" s="369" t="e">
        <f t="shared" si="51"/>
        <v>#REF!</v>
      </c>
      <c r="N114" s="369" t="e">
        <f t="shared" ref="N114:X114" si="53">N115</f>
        <v>#REF!</v>
      </c>
      <c r="O114" s="137" t="e">
        <f t="shared" si="53"/>
        <v>#REF!</v>
      </c>
      <c r="P114" s="137" t="e">
        <f t="shared" si="53"/>
        <v>#REF!</v>
      </c>
      <c r="Q114" s="393" t="e">
        <f t="shared" si="53"/>
        <v>#REF!</v>
      </c>
      <c r="R114" s="137" t="e">
        <f t="shared" si="53"/>
        <v>#REF!</v>
      </c>
      <c r="S114" s="137" t="e">
        <f t="shared" si="53"/>
        <v>#REF!</v>
      </c>
      <c r="T114" s="137" t="e">
        <f t="shared" si="53"/>
        <v>#REF!</v>
      </c>
      <c r="U114" s="371" t="e">
        <f t="shared" si="53"/>
        <v>#REF!</v>
      </c>
      <c r="V114" s="371" t="e">
        <f t="shared" si="53"/>
        <v>#REF!</v>
      </c>
      <c r="W114" s="371" t="e">
        <f t="shared" si="53"/>
        <v>#REF!</v>
      </c>
      <c r="X114" s="371" t="e">
        <f t="shared" si="53"/>
        <v>#REF!</v>
      </c>
      <c r="Y114" s="372"/>
      <c r="Z114" s="372"/>
      <c r="AA114" s="372"/>
      <c r="AB114" s="372"/>
      <c r="AC114" s="372"/>
      <c r="AD114" s="372"/>
      <c r="AE114" s="372"/>
      <c r="AF114" s="372"/>
      <c r="AG114" s="372"/>
      <c r="AH114" s="372"/>
      <c r="AI114" s="372"/>
      <c r="AJ114" s="372"/>
      <c r="AK114" s="372"/>
      <c r="AL114" s="372"/>
    </row>
    <row r="115" spans="1:38" ht="21" hidden="1" customHeight="1" x14ac:dyDescent="0.25">
      <c r="A115" s="80"/>
      <c r="B115" s="80"/>
      <c r="C115" s="80"/>
      <c r="D115" s="80"/>
      <c r="E115" s="80">
        <v>4511</v>
      </c>
      <c r="F115" s="81" t="s">
        <v>809</v>
      </c>
      <c r="G115" s="82" t="e">
        <f>SUMIF(#REF!,funkcijska!E115,#REF!)</f>
        <v>#REF!</v>
      </c>
      <c r="H115" s="82" t="e">
        <f>SUMIF(#REF!,funkcijska!$E115,#REF!)</f>
        <v>#REF!</v>
      </c>
      <c r="I115" s="82" t="e">
        <f>SUMIF(#REF!,funkcijska!$E115,#REF!)</f>
        <v>#REF!</v>
      </c>
      <c r="J115" s="82" t="e">
        <f>SUMIF(#REF!,funkcijska!$E115,#REF!)</f>
        <v>#REF!</v>
      </c>
      <c r="K115" s="82" t="e">
        <f>SUMIF(#REF!,funkcijska!$E115,#REF!)</f>
        <v>#REF!</v>
      </c>
      <c r="L115" s="82" t="e">
        <f t="shared" si="50"/>
        <v>#REF!</v>
      </c>
      <c r="M115" s="82" t="e">
        <f t="shared" si="51"/>
        <v>#REF!</v>
      </c>
      <c r="N115" s="82" t="e">
        <f>SUMIF(#REF!,funkcijska!$E115,#REF!)</f>
        <v>#REF!</v>
      </c>
      <c r="O115" s="82" t="e">
        <f>SUMIF(#REF!,funkcijska!$E115,#REF!)</f>
        <v>#REF!</v>
      </c>
      <c r="P115" s="82" t="e">
        <f>SUMIF(#REF!,funkcijska!$E115,#REF!)</f>
        <v>#REF!</v>
      </c>
      <c r="Q115" s="386" t="e">
        <f>SUMIF(#REF!,funkcijska!$E115,#REF!)</f>
        <v>#REF!</v>
      </c>
      <c r="R115" s="82" t="e">
        <f>SUMIF(#REF!,funkcijska!$E115,#REF!)</f>
        <v>#REF!</v>
      </c>
      <c r="S115" s="82" t="e">
        <f>SUMIF(#REF!,funkcijska!$E115,#REF!)</f>
        <v>#REF!</v>
      </c>
      <c r="T115" s="82" t="e">
        <f>SUMIF(#REF!,funkcijska!$E$115,#REF!)</f>
        <v>#REF!</v>
      </c>
      <c r="U115" s="357" t="e">
        <f>SUMIF(#REF!,funkcijska!$E115,#REF!)</f>
        <v>#REF!</v>
      </c>
      <c r="V115" s="357" t="e">
        <f>SUMIF(#REF!,funkcijska!$E115,#REF!)+SUMIF(#REF!,funkcijska!$E115,#REF!)</f>
        <v>#REF!</v>
      </c>
      <c r="W115" s="357" t="e">
        <f>SUMIF(#REF!,funkcijska!$E115,#REF!)+SUMIF(#REF!,funkcijska!$E115,#REF!)</f>
        <v>#REF!</v>
      </c>
      <c r="X115" s="357" t="e">
        <f>SUMIF(#REF!,funkcijska!$E115,#REF!)+SUMIF(#REF!,funkcijska!$E115,#REF!)</f>
        <v>#REF!</v>
      </c>
      <c r="AD115" s="60"/>
      <c r="AE115" s="60"/>
      <c r="AF115" s="60"/>
      <c r="AG115" s="60"/>
      <c r="AH115" s="60"/>
      <c r="AI115" s="60"/>
      <c r="AJ115" s="60"/>
      <c r="AK115" s="60"/>
      <c r="AL115" s="60"/>
    </row>
    <row r="116" spans="1:38" s="373" customFormat="1" ht="21.75" hidden="1" customHeight="1" x14ac:dyDescent="0.25">
      <c r="A116" s="119"/>
      <c r="B116" s="119"/>
      <c r="C116" s="119"/>
      <c r="D116" s="119">
        <v>452</v>
      </c>
      <c r="E116" s="119"/>
      <c r="F116" s="368" t="s">
        <v>639</v>
      </c>
      <c r="G116" s="137" t="e">
        <f>G117</f>
        <v>#REF!</v>
      </c>
      <c r="H116" s="370" t="e">
        <f>H117</f>
        <v>#REF!</v>
      </c>
      <c r="I116" s="137" t="e">
        <f>I117</f>
        <v>#REF!</v>
      </c>
      <c r="J116" s="137" t="e">
        <f>J117</f>
        <v>#REF!</v>
      </c>
      <c r="K116" s="137" t="e">
        <f>K117</f>
        <v>#REF!</v>
      </c>
      <c r="L116" s="137" t="e">
        <f t="shared" si="50"/>
        <v>#REF!</v>
      </c>
      <c r="M116" s="137" t="e">
        <f t="shared" si="51"/>
        <v>#REF!</v>
      </c>
      <c r="N116" s="137" t="e">
        <f t="shared" ref="N116:X116" si="54">N117</f>
        <v>#REF!</v>
      </c>
      <c r="O116" s="137" t="e">
        <f t="shared" si="54"/>
        <v>#REF!</v>
      </c>
      <c r="P116" s="137" t="e">
        <f t="shared" si="54"/>
        <v>#REF!</v>
      </c>
      <c r="Q116" s="393" t="e">
        <f t="shared" si="54"/>
        <v>#REF!</v>
      </c>
      <c r="R116" s="137" t="e">
        <f t="shared" si="54"/>
        <v>#REF!</v>
      </c>
      <c r="S116" s="137" t="e">
        <f t="shared" si="54"/>
        <v>#REF!</v>
      </c>
      <c r="T116" s="137" t="e">
        <f t="shared" si="54"/>
        <v>#REF!</v>
      </c>
      <c r="U116" s="371" t="e">
        <f t="shared" si="54"/>
        <v>#REF!</v>
      </c>
      <c r="V116" s="371" t="e">
        <f t="shared" si="54"/>
        <v>#REF!</v>
      </c>
      <c r="W116" s="371" t="e">
        <f t="shared" si="54"/>
        <v>#REF!</v>
      </c>
      <c r="X116" s="371" t="e">
        <f t="shared" si="54"/>
        <v>#REF!</v>
      </c>
      <c r="Y116" s="372"/>
      <c r="Z116" s="372"/>
      <c r="AA116" s="372"/>
      <c r="AB116" s="372"/>
      <c r="AC116" s="372"/>
      <c r="AD116" s="372"/>
      <c r="AE116" s="372"/>
      <c r="AF116" s="372"/>
      <c r="AG116" s="372"/>
      <c r="AH116" s="372"/>
      <c r="AI116" s="372"/>
      <c r="AJ116" s="372"/>
      <c r="AK116" s="372"/>
      <c r="AL116" s="372"/>
    </row>
    <row r="117" spans="1:38" ht="21" hidden="1" customHeight="1" x14ac:dyDescent="0.25">
      <c r="A117" s="80"/>
      <c r="B117" s="80"/>
      <c r="C117" s="80"/>
      <c r="D117" s="80"/>
      <c r="E117" s="80">
        <v>4521</v>
      </c>
      <c r="F117" s="81" t="s">
        <v>639</v>
      </c>
      <c r="G117" s="82" t="e">
        <f>SUMIF(#REF!,funkcijska!E117,#REF!)</f>
        <v>#REF!</v>
      </c>
      <c r="H117" s="82" t="e">
        <f>SUMIF(#REF!,funkcijska!$E117,#REF!)</f>
        <v>#REF!</v>
      </c>
      <c r="I117" s="82" t="e">
        <f>SUMIF(#REF!,funkcijska!$E117,#REF!)</f>
        <v>#REF!</v>
      </c>
      <c r="J117" s="82" t="e">
        <f>SUMIF(#REF!,funkcijska!$E117,#REF!)</f>
        <v>#REF!</v>
      </c>
      <c r="K117" s="82" t="e">
        <f>SUMIF(#REF!,funkcijska!$E117,#REF!)</f>
        <v>#REF!</v>
      </c>
      <c r="L117" s="82" t="e">
        <f t="shared" si="50"/>
        <v>#REF!</v>
      </c>
      <c r="M117" s="82" t="e">
        <f t="shared" si="51"/>
        <v>#REF!</v>
      </c>
      <c r="N117" s="82" t="e">
        <f>SUMIF(#REF!,funkcijska!$E117,#REF!)</f>
        <v>#REF!</v>
      </c>
      <c r="O117" s="82" t="e">
        <f>SUMIF(#REF!,funkcijska!$E117,#REF!)</f>
        <v>#REF!</v>
      </c>
      <c r="P117" s="82" t="e">
        <f>SUMIF(#REF!,funkcijska!$E117,#REF!)</f>
        <v>#REF!</v>
      </c>
      <c r="Q117" s="386" t="e">
        <f>SUMIF(#REF!,funkcijska!$E117,#REF!)</f>
        <v>#REF!</v>
      </c>
      <c r="R117" s="82" t="e">
        <f>SUMIF(#REF!,funkcijska!$E117,#REF!)</f>
        <v>#REF!</v>
      </c>
      <c r="S117" s="82" t="e">
        <f>SUMIF(#REF!,funkcijska!$E117,#REF!)</f>
        <v>#REF!</v>
      </c>
      <c r="T117" s="82" t="e">
        <f>SUMIF(#REF!,funkcijska!$E$117,#REF!)</f>
        <v>#REF!</v>
      </c>
      <c r="U117" s="357" t="e">
        <f>SUMIF(#REF!,funkcijska!$E117,#REF!)</f>
        <v>#REF!</v>
      </c>
      <c r="V117" s="357" t="e">
        <f>SUMIF(#REF!,funkcijska!$E117,#REF!)+SUMIF(#REF!,funkcijska!$E117,#REF!)</f>
        <v>#REF!</v>
      </c>
      <c r="W117" s="357" t="e">
        <f>SUMIF(#REF!,funkcijska!$E117,#REF!)+SUMIF(#REF!,funkcijska!$E117,#REF!)</f>
        <v>#REF!</v>
      </c>
      <c r="X117" s="357" t="e">
        <f>SUMIF(#REF!,funkcijska!$E117,#REF!)+SUMIF(#REF!,funkcijska!$E117,#REF!)</f>
        <v>#REF!</v>
      </c>
      <c r="AD117" s="60"/>
      <c r="AE117" s="60"/>
      <c r="AF117" s="60"/>
      <c r="AG117" s="60"/>
      <c r="AH117" s="60"/>
      <c r="AI117" s="60"/>
      <c r="AJ117" s="60"/>
      <c r="AK117" s="60"/>
      <c r="AL117" s="60"/>
    </row>
    <row r="118" spans="1:38" ht="27" customHeight="1" x14ac:dyDescent="0.25">
      <c r="A118" s="108"/>
      <c r="B118" s="108"/>
      <c r="C118" s="108"/>
      <c r="D118" s="108"/>
      <c r="E118" s="108"/>
      <c r="F118" s="58" t="s">
        <v>1031</v>
      </c>
      <c r="G118" s="110"/>
      <c r="H118" s="103"/>
      <c r="I118" s="110"/>
      <c r="J118" s="110"/>
      <c r="K118" s="110"/>
      <c r="L118" s="110"/>
      <c r="M118" s="110"/>
      <c r="N118" s="110"/>
      <c r="O118" s="110"/>
      <c r="P118" s="110"/>
      <c r="Q118" s="396"/>
      <c r="R118" s="110"/>
      <c r="S118" s="110"/>
      <c r="T118" s="110"/>
      <c r="U118" s="361"/>
      <c r="V118" s="361"/>
      <c r="W118" s="361"/>
      <c r="X118" s="361"/>
      <c r="AD118" s="60"/>
      <c r="AE118" s="60"/>
      <c r="AF118" s="60"/>
      <c r="AG118" s="60"/>
      <c r="AH118" s="60"/>
      <c r="AI118" s="60"/>
      <c r="AJ118" s="60"/>
      <c r="AK118" s="60"/>
      <c r="AL118" s="60"/>
    </row>
    <row r="119" spans="1:38" ht="23.25" customHeight="1" x14ac:dyDescent="0.25">
      <c r="A119" s="258"/>
      <c r="B119" s="105" t="str">
        <f>LEFT(E122,1)</f>
        <v>5</v>
      </c>
      <c r="C119" s="105"/>
      <c r="D119" s="105"/>
      <c r="E119" s="105"/>
      <c r="F119" s="72" t="s">
        <v>415</v>
      </c>
      <c r="G119" s="73" t="e">
        <f>G120+G125+G128</f>
        <v>#REF!</v>
      </c>
      <c r="H119" s="73" t="e">
        <f>H120+H125+H128</f>
        <v>#REF!</v>
      </c>
      <c r="I119" s="73" t="e">
        <f>I120+I125+I128</f>
        <v>#REF!</v>
      </c>
      <c r="J119" s="73" t="e">
        <f>J120+J125+J128</f>
        <v>#REF!</v>
      </c>
      <c r="K119" s="73" t="e">
        <f>K120+K125+K128</f>
        <v>#REF!</v>
      </c>
      <c r="L119" s="73" t="e">
        <f t="shared" ref="L119:L131" si="55">ROUND(K119/J119*100,2)</f>
        <v>#REF!</v>
      </c>
      <c r="M119" s="73" t="e">
        <f t="shared" ref="M119:M131" si="56">N119-J119</f>
        <v>#REF!</v>
      </c>
      <c r="N119" s="73" t="e">
        <f>N120+N125+N128</f>
        <v>#REF!</v>
      </c>
      <c r="O119" s="73" t="e">
        <f>O120+O125+O128</f>
        <v>#REF!</v>
      </c>
      <c r="P119" s="73" t="e">
        <f>P120+P125+P128</f>
        <v>#REF!</v>
      </c>
      <c r="Q119" s="397" t="e">
        <f t="shared" ref="Q119:Q131" si="57">U119-O119</f>
        <v>#REF!</v>
      </c>
      <c r="R119" s="76" t="e">
        <f t="shared" ref="R119:X119" si="58">R120+R125+R128</f>
        <v>#REF!</v>
      </c>
      <c r="S119" s="76" t="e">
        <f t="shared" si="58"/>
        <v>#REF!</v>
      </c>
      <c r="T119" s="76" t="e">
        <f t="shared" si="58"/>
        <v>#REF!</v>
      </c>
      <c r="U119" s="355" t="e">
        <f t="shared" si="58"/>
        <v>#REF!</v>
      </c>
      <c r="V119" s="355" t="e">
        <f t="shared" si="58"/>
        <v>#REF!</v>
      </c>
      <c r="W119" s="355" t="e">
        <f t="shared" si="58"/>
        <v>#REF!</v>
      </c>
      <c r="X119" s="355" t="e">
        <f t="shared" si="58"/>
        <v>#REF!</v>
      </c>
      <c r="AD119" s="60"/>
      <c r="AE119" s="60"/>
      <c r="AF119" s="60"/>
      <c r="AG119" s="60"/>
      <c r="AH119" s="60"/>
      <c r="AI119" s="60"/>
      <c r="AJ119" s="60"/>
      <c r="AK119" s="60"/>
      <c r="AL119" s="60"/>
    </row>
    <row r="120" spans="1:38" ht="21.75" customHeight="1" x14ac:dyDescent="0.25">
      <c r="A120" s="125"/>
      <c r="B120" s="125"/>
      <c r="C120" s="125" t="str">
        <f>LEFT(E122,2)</f>
        <v>51</v>
      </c>
      <c r="D120" s="125"/>
      <c r="E120" s="125"/>
      <c r="F120" s="126" t="s">
        <v>750</v>
      </c>
      <c r="G120" s="82" t="e">
        <f>G121+G123</f>
        <v>#REF!</v>
      </c>
      <c r="H120" s="82" t="e">
        <f>H121+H123</f>
        <v>#REF!</v>
      </c>
      <c r="I120" s="82" t="e">
        <f>I121+I123</f>
        <v>#REF!</v>
      </c>
      <c r="J120" s="82" t="e">
        <f>J121+J123</f>
        <v>#REF!</v>
      </c>
      <c r="K120" s="82" t="e">
        <f>K121+K123</f>
        <v>#REF!</v>
      </c>
      <c r="L120" s="82" t="e">
        <f t="shared" si="55"/>
        <v>#REF!</v>
      </c>
      <c r="M120" s="82" t="e">
        <f t="shared" si="56"/>
        <v>#REF!</v>
      </c>
      <c r="N120" s="82" t="e">
        <f>N121+N123</f>
        <v>#REF!</v>
      </c>
      <c r="O120" s="82" t="e">
        <f>O121+O123</f>
        <v>#REF!</v>
      </c>
      <c r="P120" s="82" t="e">
        <f>P121+P123</f>
        <v>#REF!</v>
      </c>
      <c r="Q120" s="389" t="e">
        <f t="shared" si="57"/>
        <v>#REF!</v>
      </c>
      <c r="R120" s="82" t="e">
        <f t="shared" ref="R120:X120" si="59">R121+R123</f>
        <v>#REF!</v>
      </c>
      <c r="S120" s="82" t="e">
        <f t="shared" si="59"/>
        <v>#REF!</v>
      </c>
      <c r="T120" s="82" t="e">
        <f t="shared" si="59"/>
        <v>#REF!</v>
      </c>
      <c r="U120" s="357" t="e">
        <f t="shared" si="59"/>
        <v>#REF!</v>
      </c>
      <c r="V120" s="357" t="e">
        <f t="shared" si="59"/>
        <v>#REF!</v>
      </c>
      <c r="W120" s="357" t="e">
        <f t="shared" si="59"/>
        <v>#REF!</v>
      </c>
      <c r="X120" s="357" t="e">
        <f t="shared" si="59"/>
        <v>#REF!</v>
      </c>
      <c r="AD120" s="60"/>
      <c r="AE120" s="60"/>
      <c r="AF120" s="60"/>
      <c r="AG120" s="60"/>
      <c r="AH120" s="60"/>
      <c r="AI120" s="60"/>
      <c r="AJ120" s="60"/>
      <c r="AK120" s="60"/>
      <c r="AL120" s="60"/>
    </row>
    <row r="121" spans="1:38" s="541" customFormat="1" ht="42" customHeight="1" x14ac:dyDescent="0.25">
      <c r="A121" s="125"/>
      <c r="B121" s="125"/>
      <c r="C121" s="125"/>
      <c r="D121" s="125" t="str">
        <f>LEFT(E122,3)</f>
        <v>512</v>
      </c>
      <c r="E121" s="125"/>
      <c r="F121" s="126" t="s">
        <v>485</v>
      </c>
      <c r="G121" s="135" t="e">
        <f>G122</f>
        <v>#REF!</v>
      </c>
      <c r="H121" s="135" t="e">
        <f>H122</f>
        <v>#REF!</v>
      </c>
      <c r="I121" s="135" t="e">
        <f>I122</f>
        <v>#REF!</v>
      </c>
      <c r="J121" s="135" t="e">
        <f>J122</f>
        <v>#REF!</v>
      </c>
      <c r="K121" s="135" t="e">
        <f>K122</f>
        <v>#REF!</v>
      </c>
      <c r="L121" s="135" t="e">
        <f t="shared" si="55"/>
        <v>#REF!</v>
      </c>
      <c r="M121" s="135" t="e">
        <f t="shared" si="56"/>
        <v>#REF!</v>
      </c>
      <c r="N121" s="135" t="e">
        <f>N122</f>
        <v>#REF!</v>
      </c>
      <c r="O121" s="135" t="e">
        <f>O122</f>
        <v>#REF!</v>
      </c>
      <c r="P121" s="135" t="e">
        <f>P122</f>
        <v>#REF!</v>
      </c>
      <c r="Q121" s="540" t="e">
        <f t="shared" si="57"/>
        <v>#REF!</v>
      </c>
      <c r="R121" s="135" t="e">
        <f t="shared" ref="R121:X121" si="60">R122</f>
        <v>#REF!</v>
      </c>
      <c r="S121" s="135" t="e">
        <f t="shared" si="60"/>
        <v>#REF!</v>
      </c>
      <c r="T121" s="135" t="e">
        <f t="shared" si="60"/>
        <v>#REF!</v>
      </c>
      <c r="U121" s="393" t="e">
        <f t="shared" si="60"/>
        <v>#REF!</v>
      </c>
      <c r="V121" s="393" t="e">
        <f t="shared" si="60"/>
        <v>#REF!</v>
      </c>
      <c r="W121" s="393" t="e">
        <f t="shared" si="60"/>
        <v>#REF!</v>
      </c>
      <c r="X121" s="393" t="e">
        <f t="shared" si="60"/>
        <v>#REF!</v>
      </c>
      <c r="Y121" s="533"/>
      <c r="Z121" s="533"/>
      <c r="AA121" s="533"/>
      <c r="AB121" s="533"/>
      <c r="AC121" s="533"/>
      <c r="AD121" s="533"/>
      <c r="AE121" s="533"/>
      <c r="AF121" s="533"/>
      <c r="AG121" s="533"/>
      <c r="AH121" s="533"/>
      <c r="AI121" s="533"/>
      <c r="AJ121" s="533"/>
      <c r="AK121" s="533"/>
      <c r="AL121" s="533"/>
    </row>
    <row r="122" spans="1:38" s="139" customFormat="1" ht="41.25" customHeight="1" x14ac:dyDescent="0.25">
      <c r="A122" s="80"/>
      <c r="B122" s="80"/>
      <c r="C122" s="80"/>
      <c r="D122" s="80"/>
      <c r="E122" s="80">
        <v>5121</v>
      </c>
      <c r="F122" s="81" t="s">
        <v>1032</v>
      </c>
      <c r="G122" s="82" t="e">
        <f>SUMIF(#REF!,funkcijska!E122,#REF!)</f>
        <v>#REF!</v>
      </c>
      <c r="H122" s="82" t="e">
        <f>SUMIF(#REF!,funkcijska!$E122,#REF!)</f>
        <v>#REF!</v>
      </c>
      <c r="I122" s="82" t="e">
        <f>SUMIF(#REF!,funkcijska!$E122,#REF!)</f>
        <v>#REF!</v>
      </c>
      <c r="J122" s="82" t="e">
        <f>SUMIF(#REF!,funkcijska!$E122,#REF!)</f>
        <v>#REF!</v>
      </c>
      <c r="K122" s="82" t="e">
        <f>SUMIF(#REF!,funkcijska!$E122,#REF!)</f>
        <v>#REF!</v>
      </c>
      <c r="L122" s="82" t="e">
        <f t="shared" si="55"/>
        <v>#REF!</v>
      </c>
      <c r="M122" s="82" t="e">
        <f t="shared" si="56"/>
        <v>#REF!</v>
      </c>
      <c r="N122" s="82" t="e">
        <f>SUMIF(#REF!,funkcijska!$E122,#REF!)</f>
        <v>#REF!</v>
      </c>
      <c r="O122" s="82" t="e">
        <f>SUMIF(#REF!,funkcijska!$E122,#REF!)</f>
        <v>#REF!</v>
      </c>
      <c r="P122" s="82" t="e">
        <f>SUMIF(#REF!,funkcijska!$E122,#REF!)</f>
        <v>#REF!</v>
      </c>
      <c r="Q122" s="389" t="e">
        <f t="shared" si="57"/>
        <v>#REF!</v>
      </c>
      <c r="R122" s="82" t="e">
        <f>SUMIF(#REF!,funkcijska!$E122,#REF!)</f>
        <v>#REF!</v>
      </c>
      <c r="S122" s="82" t="e">
        <f>SUMIF(#REF!,funkcijska!$E122,#REF!)</f>
        <v>#REF!</v>
      </c>
      <c r="T122" s="82" t="e">
        <f>SUMIF(#REF!,funkcijska!#REF!,#REF!)</f>
        <v>#REF!</v>
      </c>
      <c r="U122" s="82" t="e">
        <f>SUMIF(#REF!,funkcijska!$E122,#REF!)</f>
        <v>#REF!</v>
      </c>
      <c r="V122" s="357" t="e">
        <f>SUMIF(#REF!,funkcijska!$E122,#REF!)+SUMIF(#REF!,funkcijska!$E122,#REF!)</f>
        <v>#REF!</v>
      </c>
      <c r="W122" s="357" t="e">
        <f>SUMIF(#REF!,funkcijska!$E122,#REF!)+SUMIF(#REF!,funkcijska!$E122,#REF!)</f>
        <v>#REF!</v>
      </c>
      <c r="X122" s="357" t="e">
        <f>SUMIF(#REF!,funkcijska!$E122,#REF!)+SUMIF(#REF!,funkcijska!$E122,#REF!)</f>
        <v>#REF!</v>
      </c>
      <c r="Y122" s="60"/>
      <c r="Z122" s="60"/>
      <c r="AA122" s="60"/>
      <c r="AB122" s="60"/>
      <c r="AC122" s="60"/>
      <c r="AD122" s="138"/>
      <c r="AE122" s="138"/>
      <c r="AF122" s="138"/>
      <c r="AG122" s="138"/>
      <c r="AH122" s="138"/>
      <c r="AI122" s="138"/>
      <c r="AJ122" s="138"/>
      <c r="AK122" s="138"/>
      <c r="AL122" s="138"/>
    </row>
    <row r="123" spans="1:38" ht="54.75" hidden="1" customHeight="1" x14ac:dyDescent="0.25">
      <c r="A123" s="80"/>
      <c r="B123" s="80"/>
      <c r="C123" s="80"/>
      <c r="D123" s="80" t="str">
        <f>LEFT(E124,3)</f>
        <v>516</v>
      </c>
      <c r="E123" s="80"/>
      <c r="F123" s="81" t="s">
        <v>1034</v>
      </c>
      <c r="G123" s="127" t="e">
        <f>G124</f>
        <v>#REF!</v>
      </c>
      <c r="H123" s="127"/>
      <c r="I123" s="127" t="e">
        <f>I124</f>
        <v>#REF!</v>
      </c>
      <c r="J123" s="127" t="e">
        <f>J124</f>
        <v>#REF!</v>
      </c>
      <c r="K123" s="127" t="e">
        <f>K124</f>
        <v>#REF!</v>
      </c>
      <c r="L123" s="127" t="e">
        <f t="shared" si="55"/>
        <v>#REF!</v>
      </c>
      <c r="M123" s="127" t="e">
        <f t="shared" si="56"/>
        <v>#REF!</v>
      </c>
      <c r="N123" s="127" t="e">
        <f>N124</f>
        <v>#REF!</v>
      </c>
      <c r="O123" s="127" t="e">
        <f>O124</f>
        <v>#REF!</v>
      </c>
      <c r="P123" s="127" t="e">
        <f>P124</f>
        <v>#REF!</v>
      </c>
      <c r="Q123" s="389" t="e">
        <f t="shared" si="57"/>
        <v>#REF!</v>
      </c>
      <c r="R123" s="127" t="e">
        <f t="shared" ref="R123:X123" si="61">R124</f>
        <v>#REF!</v>
      </c>
      <c r="S123" s="127" t="e">
        <f t="shared" si="61"/>
        <v>#REF!</v>
      </c>
      <c r="T123" s="127" t="e">
        <f t="shared" si="61"/>
        <v>#REF!</v>
      </c>
      <c r="U123" s="366">
        <f t="shared" si="61"/>
        <v>0</v>
      </c>
      <c r="V123" s="366">
        <f t="shared" si="61"/>
        <v>0</v>
      </c>
      <c r="W123" s="366">
        <f t="shared" si="61"/>
        <v>0</v>
      </c>
      <c r="X123" s="366">
        <f t="shared" si="61"/>
        <v>0</v>
      </c>
      <c r="AD123" s="60"/>
      <c r="AE123" s="60"/>
      <c r="AF123" s="60"/>
      <c r="AG123" s="60"/>
      <c r="AH123" s="60"/>
      <c r="AI123" s="60"/>
      <c r="AJ123" s="60"/>
      <c r="AK123" s="60"/>
      <c r="AL123" s="60"/>
    </row>
    <row r="124" spans="1:38" s="139" customFormat="1" ht="52.5" hidden="1" customHeight="1" x14ac:dyDescent="0.25">
      <c r="A124" s="80"/>
      <c r="B124" s="80"/>
      <c r="C124" s="80"/>
      <c r="D124" s="80"/>
      <c r="E124" s="80">
        <v>5161</v>
      </c>
      <c r="F124" s="81" t="s">
        <v>1035</v>
      </c>
      <c r="G124" s="82" t="e">
        <f>SUMIF(#REF!,funkcijska!E124,#REF!)</f>
        <v>#REF!</v>
      </c>
      <c r="H124" s="82" t="e">
        <f>SUMIF(#REF!,funkcijska!$E124,#REF!)</f>
        <v>#REF!</v>
      </c>
      <c r="I124" s="82" t="e">
        <f>SUMIF(#REF!,funkcijska!$E124,#REF!)</f>
        <v>#REF!</v>
      </c>
      <c r="J124" s="82" t="e">
        <f>SUMIF(#REF!,funkcijska!$E124,#REF!)</f>
        <v>#REF!</v>
      </c>
      <c r="K124" s="82" t="e">
        <f>SUMIF(#REF!,funkcijska!$E124,#REF!)</f>
        <v>#REF!</v>
      </c>
      <c r="L124" s="82" t="e">
        <f t="shared" si="55"/>
        <v>#REF!</v>
      </c>
      <c r="M124" s="82" t="e">
        <f t="shared" si="56"/>
        <v>#REF!</v>
      </c>
      <c r="N124" s="82" t="e">
        <f>SUMIF(#REF!,funkcijska!$E124,#REF!)</f>
        <v>#REF!</v>
      </c>
      <c r="O124" s="82" t="e">
        <f>SUMIF(#REF!,funkcijska!$E124,#REF!)</f>
        <v>#REF!</v>
      </c>
      <c r="P124" s="82" t="e">
        <f>SUMIF(#REF!,funkcijska!$E124,#REF!)</f>
        <v>#REF!</v>
      </c>
      <c r="Q124" s="389" t="e">
        <f t="shared" si="57"/>
        <v>#REF!</v>
      </c>
      <c r="R124" s="82" t="e">
        <f>SUMIF(#REF!,funkcijska!$E124,#REF!)</f>
        <v>#REF!</v>
      </c>
      <c r="S124" s="82" t="e">
        <f>SUMIF(#REF!,funkcijska!$E124,#REF!)</f>
        <v>#REF!</v>
      </c>
      <c r="T124" s="82" t="e">
        <f>SUMIF(#REF!,funkcijska!#REF!,#REF!)</f>
        <v>#REF!</v>
      </c>
      <c r="U124" s="357"/>
      <c r="V124" s="357"/>
      <c r="W124" s="357"/>
      <c r="X124" s="357"/>
      <c r="Y124" s="60"/>
      <c r="Z124" s="60"/>
      <c r="AA124" s="60"/>
      <c r="AB124" s="60"/>
      <c r="AC124" s="60"/>
      <c r="AD124" s="138"/>
      <c r="AE124" s="138"/>
      <c r="AF124" s="138"/>
      <c r="AG124" s="138"/>
      <c r="AH124" s="138"/>
      <c r="AI124" s="138"/>
      <c r="AJ124" s="138"/>
      <c r="AK124" s="138"/>
      <c r="AL124" s="138"/>
    </row>
    <row r="125" spans="1:38" s="139" customFormat="1" hidden="1" x14ac:dyDescent="0.25">
      <c r="A125" s="80"/>
      <c r="B125" s="80"/>
      <c r="C125" s="125" t="s">
        <v>1036</v>
      </c>
      <c r="D125" s="80"/>
      <c r="E125" s="80"/>
      <c r="F125" s="126" t="s">
        <v>429</v>
      </c>
      <c r="G125" s="83" t="e">
        <f t="shared" ref="G125:K126" si="62">G126</f>
        <v>#REF!</v>
      </c>
      <c r="H125" s="102" t="e">
        <f t="shared" si="62"/>
        <v>#REF!</v>
      </c>
      <c r="I125" s="83" t="e">
        <f t="shared" si="62"/>
        <v>#REF!</v>
      </c>
      <c r="J125" s="83" t="e">
        <f t="shared" si="62"/>
        <v>#REF!</v>
      </c>
      <c r="K125" s="83" t="e">
        <f t="shared" si="62"/>
        <v>#REF!</v>
      </c>
      <c r="L125" s="83" t="e">
        <f t="shared" si="55"/>
        <v>#REF!</v>
      </c>
      <c r="M125" s="83" t="e">
        <f t="shared" si="56"/>
        <v>#REF!</v>
      </c>
      <c r="N125" s="83" t="e">
        <f t="shared" ref="N125:P126" si="63">N126</f>
        <v>#REF!</v>
      </c>
      <c r="O125" s="83" t="e">
        <f t="shared" si="63"/>
        <v>#REF!</v>
      </c>
      <c r="P125" s="83" t="e">
        <f t="shared" si="63"/>
        <v>#REF!</v>
      </c>
      <c r="Q125" s="389" t="e">
        <f t="shared" si="57"/>
        <v>#REF!</v>
      </c>
      <c r="R125" s="83" t="e">
        <f t="shared" ref="R125:X126" si="64">R126</f>
        <v>#REF!</v>
      </c>
      <c r="S125" s="83" t="e">
        <f t="shared" si="64"/>
        <v>#REF!</v>
      </c>
      <c r="T125" s="83" t="e">
        <f t="shared" si="64"/>
        <v>#REF!</v>
      </c>
      <c r="U125" s="363">
        <f t="shared" si="64"/>
        <v>0</v>
      </c>
      <c r="V125" s="363">
        <f t="shared" si="64"/>
        <v>0</v>
      </c>
      <c r="W125" s="363">
        <f t="shared" si="64"/>
        <v>0</v>
      </c>
      <c r="X125" s="363">
        <f t="shared" si="64"/>
        <v>0</v>
      </c>
      <c r="Y125" s="60"/>
      <c r="Z125" s="60"/>
      <c r="AA125" s="60"/>
      <c r="AB125" s="60"/>
      <c r="AC125" s="60"/>
      <c r="AD125" s="138"/>
      <c r="AE125" s="138"/>
      <c r="AF125" s="138"/>
      <c r="AG125" s="138"/>
      <c r="AH125" s="138"/>
      <c r="AI125" s="138"/>
      <c r="AJ125" s="138"/>
      <c r="AK125" s="138"/>
      <c r="AL125" s="138"/>
    </row>
    <row r="126" spans="1:38" s="139" customFormat="1" ht="36" hidden="1" x14ac:dyDescent="0.25">
      <c r="A126" s="80"/>
      <c r="B126" s="80"/>
      <c r="C126" s="80"/>
      <c r="D126" s="80" t="s">
        <v>1037</v>
      </c>
      <c r="E126" s="80"/>
      <c r="F126" s="140" t="s">
        <v>430</v>
      </c>
      <c r="G126" s="83" t="e">
        <f t="shared" si="62"/>
        <v>#REF!</v>
      </c>
      <c r="H126" s="102" t="e">
        <f t="shared" si="62"/>
        <v>#REF!</v>
      </c>
      <c r="I126" s="83" t="e">
        <f t="shared" si="62"/>
        <v>#REF!</v>
      </c>
      <c r="J126" s="83" t="e">
        <f t="shared" si="62"/>
        <v>#REF!</v>
      </c>
      <c r="K126" s="83" t="e">
        <f t="shared" si="62"/>
        <v>#REF!</v>
      </c>
      <c r="L126" s="83" t="e">
        <f t="shared" si="55"/>
        <v>#REF!</v>
      </c>
      <c r="M126" s="83" t="e">
        <f t="shared" si="56"/>
        <v>#REF!</v>
      </c>
      <c r="N126" s="83" t="e">
        <f t="shared" si="63"/>
        <v>#REF!</v>
      </c>
      <c r="O126" s="83" t="e">
        <f t="shared" si="63"/>
        <v>#REF!</v>
      </c>
      <c r="P126" s="83" t="e">
        <f t="shared" si="63"/>
        <v>#REF!</v>
      </c>
      <c r="Q126" s="389" t="e">
        <f t="shared" si="57"/>
        <v>#REF!</v>
      </c>
      <c r="R126" s="83" t="e">
        <f t="shared" si="64"/>
        <v>#REF!</v>
      </c>
      <c r="S126" s="83" t="e">
        <f t="shared" si="64"/>
        <v>#REF!</v>
      </c>
      <c r="T126" s="83" t="e">
        <f t="shared" si="64"/>
        <v>#REF!</v>
      </c>
      <c r="U126" s="363">
        <f t="shared" si="64"/>
        <v>0</v>
      </c>
      <c r="V126" s="363">
        <f t="shared" si="64"/>
        <v>0</v>
      </c>
      <c r="W126" s="363">
        <f t="shared" si="64"/>
        <v>0</v>
      </c>
      <c r="X126" s="363">
        <f t="shared" si="64"/>
        <v>0</v>
      </c>
      <c r="Y126" s="60"/>
      <c r="Z126" s="60"/>
      <c r="AA126" s="60"/>
      <c r="AB126" s="60"/>
      <c r="AC126" s="60"/>
      <c r="AD126" s="138"/>
      <c r="AE126" s="138"/>
      <c r="AF126" s="138"/>
      <c r="AG126" s="138"/>
      <c r="AH126" s="138"/>
      <c r="AI126" s="138"/>
      <c r="AJ126" s="138"/>
      <c r="AK126" s="138"/>
      <c r="AL126" s="138"/>
    </row>
    <row r="127" spans="1:38" s="139" customFormat="1" ht="36" hidden="1" x14ac:dyDescent="0.25">
      <c r="A127" s="80"/>
      <c r="B127" s="80"/>
      <c r="C127" s="80"/>
      <c r="D127" s="80"/>
      <c r="E127" s="80">
        <v>5321</v>
      </c>
      <c r="F127" s="140" t="s">
        <v>745</v>
      </c>
      <c r="G127" s="82" t="e">
        <f>SUMIF(#REF!,funkcijska!E127,#REF!)</f>
        <v>#REF!</v>
      </c>
      <c r="H127" s="82" t="e">
        <f>SUMIF(#REF!,funkcijska!$E127,#REF!)</f>
        <v>#REF!</v>
      </c>
      <c r="I127" s="82" t="e">
        <f>SUMIF(#REF!,funkcijska!$E127,#REF!)</f>
        <v>#REF!</v>
      </c>
      <c r="J127" s="82" t="e">
        <f>SUMIF(#REF!,funkcijska!$E127,#REF!)</f>
        <v>#REF!</v>
      </c>
      <c r="K127" s="82" t="e">
        <f>SUMIF(#REF!,funkcijska!$E127,#REF!)</f>
        <v>#REF!</v>
      </c>
      <c r="L127" s="82" t="e">
        <f t="shared" si="55"/>
        <v>#REF!</v>
      </c>
      <c r="M127" s="82" t="e">
        <f t="shared" si="56"/>
        <v>#REF!</v>
      </c>
      <c r="N127" s="82" t="e">
        <f>SUMIF(#REF!,funkcijska!$E127,#REF!)</f>
        <v>#REF!</v>
      </c>
      <c r="O127" s="82" t="e">
        <f>SUMIF(#REF!,funkcijska!$E127,#REF!)</f>
        <v>#REF!</v>
      </c>
      <c r="P127" s="82" t="e">
        <f>SUMIF(#REF!,funkcijska!$E127,#REF!)</f>
        <v>#REF!</v>
      </c>
      <c r="Q127" s="389" t="e">
        <f t="shared" si="57"/>
        <v>#REF!</v>
      </c>
      <c r="R127" s="82" t="e">
        <f>SUMIF(#REF!,funkcijska!$E127,#REF!)</f>
        <v>#REF!</v>
      </c>
      <c r="S127" s="82" t="e">
        <f>SUMIF(#REF!,funkcijska!$E127,#REF!)</f>
        <v>#REF!</v>
      </c>
      <c r="T127" s="82" t="e">
        <f>SUMIF(#REF!,funkcijska!#REF!,#REF!)</f>
        <v>#REF!</v>
      </c>
      <c r="U127" s="357"/>
      <c r="V127" s="357"/>
      <c r="W127" s="357"/>
      <c r="X127" s="357"/>
      <c r="Y127" s="60"/>
      <c r="Z127" s="60"/>
      <c r="AA127" s="60"/>
      <c r="AB127" s="60"/>
      <c r="AC127" s="60"/>
      <c r="AD127" s="138"/>
      <c r="AE127" s="138"/>
      <c r="AF127" s="138"/>
      <c r="AG127" s="138"/>
      <c r="AH127" s="138"/>
      <c r="AI127" s="138"/>
      <c r="AJ127" s="138"/>
      <c r="AK127" s="138"/>
      <c r="AL127" s="138"/>
    </row>
    <row r="128" spans="1:38" s="373" customFormat="1" ht="35.25" customHeight="1" x14ac:dyDescent="0.25">
      <c r="A128" s="119"/>
      <c r="B128" s="116"/>
      <c r="C128" s="116" t="str">
        <f>LEFT(E130,2)</f>
        <v>54</v>
      </c>
      <c r="D128" s="116"/>
      <c r="E128" s="116"/>
      <c r="F128" s="117" t="s">
        <v>416</v>
      </c>
      <c r="G128" s="312" t="e">
        <f>G129</f>
        <v>#REF!</v>
      </c>
      <c r="H128" s="312" t="e">
        <f>H129</f>
        <v>#REF!</v>
      </c>
      <c r="I128" s="312" t="e">
        <f>I129</f>
        <v>#REF!</v>
      </c>
      <c r="J128" s="312" t="e">
        <f>J129</f>
        <v>#REF!</v>
      </c>
      <c r="K128" s="312" t="e">
        <f>K129</f>
        <v>#REF!</v>
      </c>
      <c r="L128" s="312" t="e">
        <f t="shared" si="55"/>
        <v>#REF!</v>
      </c>
      <c r="M128" s="312" t="e">
        <f t="shared" si="56"/>
        <v>#REF!</v>
      </c>
      <c r="N128" s="312" t="e">
        <f>N129</f>
        <v>#REF!</v>
      </c>
      <c r="O128" s="312" t="e">
        <f>O129</f>
        <v>#REF!</v>
      </c>
      <c r="P128" s="312" t="e">
        <f>P129</f>
        <v>#REF!</v>
      </c>
      <c r="Q128" s="400" t="e">
        <f t="shared" si="57"/>
        <v>#REF!</v>
      </c>
      <c r="R128" s="137" t="e">
        <f t="shared" ref="R128:X128" si="65">R129</f>
        <v>#REF!</v>
      </c>
      <c r="S128" s="137" t="e">
        <f t="shared" si="65"/>
        <v>#REF!</v>
      </c>
      <c r="T128" s="137" t="e">
        <f t="shared" si="65"/>
        <v>#REF!</v>
      </c>
      <c r="U128" s="356" t="e">
        <f t="shared" si="65"/>
        <v>#REF!</v>
      </c>
      <c r="V128" s="356" t="e">
        <f t="shared" si="65"/>
        <v>#REF!</v>
      </c>
      <c r="W128" s="356" t="e">
        <f t="shared" si="65"/>
        <v>#REF!</v>
      </c>
      <c r="X128" s="356" t="e">
        <f t="shared" si="65"/>
        <v>#REF!</v>
      </c>
      <c r="Y128" s="372"/>
      <c r="Z128" s="372"/>
      <c r="AA128" s="372"/>
      <c r="AB128" s="372"/>
      <c r="AC128" s="372"/>
      <c r="AD128" s="372"/>
      <c r="AE128" s="372"/>
      <c r="AF128" s="372"/>
      <c r="AG128" s="372"/>
      <c r="AH128" s="372"/>
      <c r="AI128" s="372"/>
      <c r="AJ128" s="372"/>
      <c r="AK128" s="372"/>
      <c r="AL128" s="372"/>
    </row>
    <row r="129" spans="1:38" s="541" customFormat="1" ht="59.25" customHeight="1" x14ac:dyDescent="0.25">
      <c r="A129" s="125"/>
      <c r="B129" s="125"/>
      <c r="C129" s="125"/>
      <c r="D129" s="125" t="str">
        <f>LEFT(E130,3)</f>
        <v>542</v>
      </c>
      <c r="E129" s="125"/>
      <c r="F129" s="126" t="s">
        <v>633</v>
      </c>
      <c r="G129" s="135" t="e">
        <f>G130+G131</f>
        <v>#REF!</v>
      </c>
      <c r="H129" s="135" t="e">
        <f>H130+H131</f>
        <v>#REF!</v>
      </c>
      <c r="I129" s="135" t="e">
        <f>I130+I131</f>
        <v>#REF!</v>
      </c>
      <c r="J129" s="135" t="e">
        <f>J130+J131</f>
        <v>#REF!</v>
      </c>
      <c r="K129" s="135" t="e">
        <f>K130+K131</f>
        <v>#REF!</v>
      </c>
      <c r="L129" s="135" t="e">
        <f t="shared" si="55"/>
        <v>#REF!</v>
      </c>
      <c r="M129" s="135" t="e">
        <f t="shared" si="56"/>
        <v>#REF!</v>
      </c>
      <c r="N129" s="135" t="e">
        <f>N130+N131</f>
        <v>#REF!</v>
      </c>
      <c r="O129" s="135" t="e">
        <f>O130+O131</f>
        <v>#REF!</v>
      </c>
      <c r="P129" s="135" t="e">
        <f>P130+P131</f>
        <v>#REF!</v>
      </c>
      <c r="Q129" s="540" t="e">
        <f t="shared" si="57"/>
        <v>#REF!</v>
      </c>
      <c r="R129" s="135" t="e">
        <f t="shared" ref="R129:X129" si="66">R130+R131</f>
        <v>#REF!</v>
      </c>
      <c r="S129" s="135" t="e">
        <f t="shared" si="66"/>
        <v>#REF!</v>
      </c>
      <c r="T129" s="135" t="e">
        <f t="shared" si="66"/>
        <v>#REF!</v>
      </c>
      <c r="U129" s="393" t="e">
        <f t="shared" si="66"/>
        <v>#REF!</v>
      </c>
      <c r="V129" s="393" t="e">
        <f t="shared" si="66"/>
        <v>#REF!</v>
      </c>
      <c r="W129" s="393" t="e">
        <f t="shared" si="66"/>
        <v>#REF!</v>
      </c>
      <c r="X129" s="393" t="e">
        <f t="shared" si="66"/>
        <v>#REF!</v>
      </c>
      <c r="Y129" s="533"/>
      <c r="Z129" s="533"/>
      <c r="AA129" s="533"/>
      <c r="AB129" s="533"/>
      <c r="AC129" s="533"/>
      <c r="AD129" s="533"/>
      <c r="AE129" s="533"/>
      <c r="AF129" s="533"/>
      <c r="AG129" s="533"/>
      <c r="AH129" s="533"/>
      <c r="AI129" s="533"/>
      <c r="AJ129" s="533"/>
      <c r="AK129" s="533"/>
      <c r="AL129" s="533"/>
    </row>
    <row r="130" spans="1:38" s="139" customFormat="1" ht="34.5" hidden="1" customHeight="1" x14ac:dyDescent="0.25">
      <c r="A130" s="80"/>
      <c r="B130" s="80"/>
      <c r="C130" s="80"/>
      <c r="D130" s="80"/>
      <c r="E130" s="80">
        <v>5421</v>
      </c>
      <c r="F130" s="81" t="s">
        <v>634</v>
      </c>
      <c r="G130" s="82" t="e">
        <f>SUMIF(#REF!,funkcijska!E130,#REF!)</f>
        <v>#REF!</v>
      </c>
      <c r="H130" s="82" t="e">
        <f>SUMIF(#REF!,funkcijska!$E130,#REF!)</f>
        <v>#REF!</v>
      </c>
      <c r="I130" s="82" t="e">
        <f>SUMIF(#REF!,funkcijska!$E130,#REF!)</f>
        <v>#REF!</v>
      </c>
      <c r="J130" s="82" t="e">
        <f>SUMIF(#REF!,funkcijska!$E130,#REF!)</f>
        <v>#REF!</v>
      </c>
      <c r="K130" s="82" t="e">
        <f>SUMIF(#REF!,funkcijska!$E130,#REF!)</f>
        <v>#REF!</v>
      </c>
      <c r="L130" s="82" t="e">
        <f t="shared" si="55"/>
        <v>#REF!</v>
      </c>
      <c r="M130" s="82" t="e">
        <f t="shared" si="56"/>
        <v>#REF!</v>
      </c>
      <c r="N130" s="82" t="e">
        <f>SUMIF(#REF!,funkcijska!$E130,#REF!)</f>
        <v>#REF!</v>
      </c>
      <c r="O130" s="82" t="e">
        <f>SUMIF(#REF!,funkcijska!$E130,#REF!)</f>
        <v>#REF!</v>
      </c>
      <c r="P130" s="82" t="e">
        <f>SUMIF(#REF!,funkcijska!$E130,#REF!)</f>
        <v>#REF!</v>
      </c>
      <c r="Q130" s="389" t="e">
        <f t="shared" si="57"/>
        <v>#REF!</v>
      </c>
      <c r="R130" s="82" t="e">
        <f>SUMIF(#REF!,funkcijska!$E130,#REF!)</f>
        <v>#REF!</v>
      </c>
      <c r="S130" s="82" t="e">
        <f>SUMIF(#REF!,funkcijska!$E130,#REF!)</f>
        <v>#REF!</v>
      </c>
      <c r="T130" s="82" t="e">
        <f>SUMIF(#REF!,funkcijska!#REF!,#REF!)</f>
        <v>#REF!</v>
      </c>
      <c r="U130" s="357" t="e">
        <f>SUMIF(#REF!,funkcijska!$E130,#REF!)</f>
        <v>#REF!</v>
      </c>
      <c r="V130" s="361"/>
      <c r="W130" s="361"/>
      <c r="X130" s="361"/>
      <c r="Y130" s="60"/>
      <c r="Z130" s="60"/>
      <c r="AA130" s="60"/>
      <c r="AB130" s="60"/>
      <c r="AC130" s="60"/>
      <c r="AD130" s="138"/>
      <c r="AE130" s="138"/>
      <c r="AF130" s="138"/>
      <c r="AG130" s="138"/>
      <c r="AH130" s="138"/>
      <c r="AI130" s="138"/>
      <c r="AJ130" s="138"/>
      <c r="AK130" s="138"/>
      <c r="AL130" s="138"/>
    </row>
    <row r="131" spans="1:38" s="139" customFormat="1" ht="36.75" customHeight="1" x14ac:dyDescent="0.25">
      <c r="A131" s="80"/>
      <c r="B131" s="80"/>
      <c r="C131" s="80"/>
      <c r="D131" s="80"/>
      <c r="E131" s="80">
        <v>5422</v>
      </c>
      <c r="F131" s="81" t="s">
        <v>634</v>
      </c>
      <c r="G131" s="82" t="e">
        <f>SUMIF(#REF!,funkcijska!E131,#REF!)</f>
        <v>#REF!</v>
      </c>
      <c r="H131" s="82" t="e">
        <f>SUMIF(#REF!,funkcijska!$E131,#REF!)</f>
        <v>#REF!</v>
      </c>
      <c r="I131" s="82" t="e">
        <f>SUMIF(#REF!,funkcijska!$E131,#REF!)</f>
        <v>#REF!</v>
      </c>
      <c r="J131" s="82" t="e">
        <f>SUMIF(#REF!,funkcijska!$E131,#REF!)</f>
        <v>#REF!</v>
      </c>
      <c r="K131" s="82" t="e">
        <f>SUMIF(#REF!,funkcijska!$E131,#REF!)</f>
        <v>#REF!</v>
      </c>
      <c r="L131" s="82" t="e">
        <f t="shared" si="55"/>
        <v>#REF!</v>
      </c>
      <c r="M131" s="82" t="e">
        <f t="shared" si="56"/>
        <v>#REF!</v>
      </c>
      <c r="N131" s="82" t="e">
        <f>SUMIF(#REF!,funkcijska!$E131,#REF!)</f>
        <v>#REF!</v>
      </c>
      <c r="O131" s="82" t="e">
        <f>SUMIF(#REF!,funkcijska!$E131,#REF!)</f>
        <v>#REF!</v>
      </c>
      <c r="P131" s="82" t="e">
        <f>SUMIF(#REF!,funkcijska!$E131,#REF!)</f>
        <v>#REF!</v>
      </c>
      <c r="Q131" s="389" t="e">
        <f t="shared" si="57"/>
        <v>#REF!</v>
      </c>
      <c r="R131" s="82" t="e">
        <f>SUMIF(#REF!,funkcijska!$E131,#REF!)</f>
        <v>#REF!</v>
      </c>
      <c r="S131" s="82" t="e">
        <f>SUMIF(#REF!,funkcijska!$E131,#REF!)</f>
        <v>#REF!</v>
      </c>
      <c r="T131" s="82" t="e">
        <f>SUMIF(#REF!,funkcijska!#REF!,#REF!)</f>
        <v>#REF!</v>
      </c>
      <c r="U131" s="82" t="e">
        <f>SUMIF(#REF!,funkcijska!$E131,#REF!)</f>
        <v>#REF!</v>
      </c>
      <c r="V131" s="357" t="e">
        <f>SUMIF(#REF!,funkcijska!$E131,#REF!)+SUMIF(#REF!,funkcijska!$E131,#REF!)</f>
        <v>#REF!</v>
      </c>
      <c r="W131" s="357" t="e">
        <f>SUMIF(#REF!,funkcijska!$E131,#REF!)+SUMIF(#REF!,funkcijska!$E131,#REF!)</f>
        <v>#REF!</v>
      </c>
      <c r="X131" s="357" t="e">
        <f>SUMIF(#REF!,funkcijska!$E131,#REF!)+SUMIF(#REF!,funkcijska!$E131,#REF!)</f>
        <v>#REF!</v>
      </c>
      <c r="Y131" s="60"/>
      <c r="Z131" s="60"/>
      <c r="AA131" s="60"/>
      <c r="AB131" s="60"/>
      <c r="AC131" s="60"/>
      <c r="AD131" s="138"/>
      <c r="AE131" s="138"/>
      <c r="AF131" s="138"/>
      <c r="AG131" s="138"/>
      <c r="AH131" s="138"/>
      <c r="AI131" s="138"/>
      <c r="AJ131" s="138"/>
      <c r="AK131" s="138"/>
      <c r="AL131" s="138"/>
    </row>
    <row r="132" spans="1:38" x14ac:dyDescent="0.25">
      <c r="A132" s="108"/>
      <c r="B132" s="108"/>
      <c r="C132" s="108"/>
      <c r="D132" s="108"/>
      <c r="E132" s="108"/>
      <c r="F132" s="109"/>
      <c r="G132" s="110"/>
      <c r="H132" s="110"/>
      <c r="I132" s="268"/>
      <c r="J132" s="110"/>
      <c r="K132" s="110"/>
      <c r="L132" s="110"/>
      <c r="M132" s="110"/>
      <c r="N132" s="268"/>
      <c r="O132" s="268"/>
      <c r="P132" s="268"/>
      <c r="Q132" s="394"/>
      <c r="R132" s="268"/>
      <c r="S132" s="268"/>
      <c r="T132" s="268"/>
      <c r="U132" s="268"/>
      <c r="V132" s="268"/>
      <c r="W132" s="268"/>
      <c r="X132" s="268"/>
    </row>
    <row r="133" spans="1:38" ht="36" x14ac:dyDescent="0.25">
      <c r="A133" s="108"/>
      <c r="B133" s="80"/>
      <c r="C133" s="80"/>
      <c r="D133" s="80"/>
      <c r="E133" s="80"/>
      <c r="F133" s="536" t="s">
        <v>766</v>
      </c>
      <c r="G133" s="556"/>
      <c r="H133" s="556"/>
      <c r="I133" s="550"/>
      <c r="J133" s="556"/>
      <c r="K133" s="556"/>
      <c r="L133" s="556"/>
      <c r="M133" s="556"/>
      <c r="N133" s="550"/>
      <c r="O133" s="550"/>
      <c r="P133" s="550"/>
      <c r="Q133" s="557"/>
      <c r="R133" s="550"/>
      <c r="S133" s="550"/>
      <c r="T133" s="550"/>
      <c r="U133" s="550"/>
      <c r="V133" s="551" t="e">
        <f t="shared" ref="V133:X134" si="67">V134</f>
        <v>#REF!</v>
      </c>
      <c r="W133" s="551" t="e">
        <f t="shared" si="67"/>
        <v>#REF!</v>
      </c>
      <c r="X133" s="551" t="e">
        <f t="shared" si="67"/>
        <v>#REF!</v>
      </c>
    </row>
    <row r="134" spans="1:38" x14ac:dyDescent="0.25">
      <c r="A134" s="544"/>
      <c r="B134" s="105" t="s">
        <v>769</v>
      </c>
      <c r="C134" s="105"/>
      <c r="D134" s="105"/>
      <c r="E134" s="105"/>
      <c r="F134" s="72" t="s">
        <v>524</v>
      </c>
      <c r="G134" s="73" t="e">
        <f>#REF!+#REF!+#REF!+#REF!+#REF!+#REF!+G135</f>
        <v>#REF!</v>
      </c>
      <c r="H134" s="73" t="e">
        <f>#REF!+#REF!+#REF!+#REF!+#REF!+#REF!+H135</f>
        <v>#REF!</v>
      </c>
      <c r="I134" s="73" t="e">
        <f>#REF!+#REF!+#REF!+#REF!+#REF!+#REF!+I135</f>
        <v>#REF!</v>
      </c>
      <c r="J134" s="73" t="e">
        <f>#REF!+#REF!+#REF!+#REF!+#REF!+#REF!+J135</f>
        <v>#REF!</v>
      </c>
      <c r="K134" s="73" t="e">
        <f>#REF!+#REF!+#REF!+#REF!+#REF!+#REF!+K135</f>
        <v>#REF!</v>
      </c>
      <c r="L134" s="73" t="e">
        <f>ROUND(K134/J134*100,2)</f>
        <v>#REF!</v>
      </c>
      <c r="M134" s="73" t="e">
        <f>N134-J134</f>
        <v>#REF!</v>
      </c>
      <c r="N134" s="73" t="e">
        <f>#REF!+#REF!+#REF!+#REF!+#REF!+#REF!+N135</f>
        <v>#REF!</v>
      </c>
      <c r="O134" s="73" t="e">
        <f>#REF!+#REF!+#REF!+#REF!+#REF!+#REF!+O135</f>
        <v>#REF!</v>
      </c>
      <c r="P134" s="73" t="e">
        <f>#REF!+#REF!+#REF!+#REF!+#REF!+#REF!+P135</f>
        <v>#REF!</v>
      </c>
      <c r="Q134" s="384" t="e">
        <f>#REF!+#REF!+#REF!+#REF!+#REF!+#REF!+Q135</f>
        <v>#REF!</v>
      </c>
      <c r="R134" s="76" t="e">
        <f>#REF!+#REF!+#REF!+#REF!+#REF!+#REF!+R135</f>
        <v>#REF!</v>
      </c>
      <c r="S134" s="76" t="e">
        <f>#REF!+#REF!+#REF!+#REF!+#REF!+#REF!+S135</f>
        <v>#REF!</v>
      </c>
      <c r="T134" s="76" t="e">
        <f>#REF!+#REF!+#REF!+#REF!+#REF!+#REF!+T135</f>
        <v>#REF!</v>
      </c>
      <c r="U134" s="355" t="e">
        <f>#REF!+#REF!+#REF!+#REF!+#REF!+#REF!+U135</f>
        <v>#REF!</v>
      </c>
      <c r="V134" s="355" t="e">
        <f t="shared" si="67"/>
        <v>#REF!</v>
      </c>
      <c r="W134" s="355" t="e">
        <f t="shared" si="67"/>
        <v>#REF!</v>
      </c>
      <c r="X134" s="355" t="e">
        <f t="shared" si="67"/>
        <v>#REF!</v>
      </c>
      <c r="AD134" s="60"/>
      <c r="AE134" s="60"/>
      <c r="AF134" s="60"/>
      <c r="AG134" s="60"/>
      <c r="AH134" s="60"/>
      <c r="AI134" s="60"/>
      <c r="AJ134" s="60"/>
      <c r="AK134" s="60"/>
      <c r="AL134" s="60"/>
    </row>
    <row r="135" spans="1:38" ht="20.25" customHeight="1" x14ac:dyDescent="0.25">
      <c r="A135" s="125"/>
      <c r="B135" s="74"/>
      <c r="C135" s="74" t="str">
        <f>LEFT(E137,2)</f>
        <v>38</v>
      </c>
      <c r="D135" s="74"/>
      <c r="E135" s="74"/>
      <c r="F135" s="75" t="s">
        <v>539</v>
      </c>
      <c r="G135" s="311" t="e">
        <f>G136+G138+G141</f>
        <v>#REF!</v>
      </c>
      <c r="H135" s="118" t="e">
        <f>H136+H138+H141</f>
        <v>#REF!</v>
      </c>
      <c r="I135" s="311" t="e">
        <f>I136+I138+I141</f>
        <v>#REF!</v>
      </c>
      <c r="J135" s="311" t="e">
        <f>J136+J138+J141</f>
        <v>#REF!</v>
      </c>
      <c r="K135" s="311" t="e">
        <f>K136+K138+K141</f>
        <v>#REF!</v>
      </c>
      <c r="L135" s="311" t="e">
        <f t="shared" ref="L135:L142" si="68">ROUND(K135/J135*100,2)</f>
        <v>#REF!</v>
      </c>
      <c r="M135" s="311" t="e">
        <f t="shared" ref="M135:M142" si="69">N135-J135</f>
        <v>#REF!</v>
      </c>
      <c r="N135" s="311" t="e">
        <f t="shared" ref="N135:X135" si="70">N136+N138+N141</f>
        <v>#REF!</v>
      </c>
      <c r="O135" s="312" t="e">
        <f t="shared" si="70"/>
        <v>#REF!</v>
      </c>
      <c r="P135" s="312" t="e">
        <f t="shared" si="70"/>
        <v>#REF!</v>
      </c>
      <c r="Q135" s="385" t="e">
        <f t="shared" si="70"/>
        <v>#REF!</v>
      </c>
      <c r="R135" s="137" t="e">
        <f t="shared" si="70"/>
        <v>#REF!</v>
      </c>
      <c r="S135" s="137" t="e">
        <f t="shared" si="70"/>
        <v>#REF!</v>
      </c>
      <c r="T135" s="137" t="e">
        <f t="shared" si="70"/>
        <v>#REF!</v>
      </c>
      <c r="U135" s="356" t="e">
        <f t="shared" si="70"/>
        <v>#REF!</v>
      </c>
      <c r="V135" s="356" t="e">
        <f t="shared" si="70"/>
        <v>#REF!</v>
      </c>
      <c r="W135" s="356" t="e">
        <f t="shared" si="70"/>
        <v>#REF!</v>
      </c>
      <c r="X135" s="356" t="e">
        <f t="shared" si="70"/>
        <v>#REF!</v>
      </c>
      <c r="AD135" s="60"/>
      <c r="AE135" s="60"/>
      <c r="AF135" s="60"/>
      <c r="AG135" s="60"/>
      <c r="AH135" s="60"/>
      <c r="AI135" s="60"/>
      <c r="AJ135" s="60"/>
      <c r="AK135" s="60"/>
      <c r="AL135" s="60"/>
    </row>
    <row r="136" spans="1:38" s="373" customFormat="1" ht="17.25" customHeight="1" x14ac:dyDescent="0.25">
      <c r="A136" s="119"/>
      <c r="B136" s="119"/>
      <c r="C136" s="119"/>
      <c r="D136" s="119" t="str">
        <f>LEFT(E137,3)</f>
        <v>381</v>
      </c>
      <c r="E136" s="119"/>
      <c r="F136" s="368" t="s">
        <v>540</v>
      </c>
      <c r="G136" s="369" t="e">
        <f>G137</f>
        <v>#REF!</v>
      </c>
      <c r="H136" s="370" t="e">
        <f>H137</f>
        <v>#REF!</v>
      </c>
      <c r="I136" s="369" t="e">
        <f>I137</f>
        <v>#REF!</v>
      </c>
      <c r="J136" s="369" t="e">
        <f>J137</f>
        <v>#REF!</v>
      </c>
      <c r="K136" s="369" t="e">
        <f>K137</f>
        <v>#REF!</v>
      </c>
      <c r="L136" s="369" t="e">
        <f t="shared" si="68"/>
        <v>#REF!</v>
      </c>
      <c r="M136" s="369" t="e">
        <f t="shared" si="69"/>
        <v>#REF!</v>
      </c>
      <c r="N136" s="369" t="e">
        <f t="shared" ref="N136:X136" si="71">N137</f>
        <v>#REF!</v>
      </c>
      <c r="O136" s="137" t="e">
        <f t="shared" si="71"/>
        <v>#REF!</v>
      </c>
      <c r="P136" s="137" t="e">
        <f t="shared" si="71"/>
        <v>#REF!</v>
      </c>
      <c r="Q136" s="393" t="e">
        <f t="shared" si="71"/>
        <v>#REF!</v>
      </c>
      <c r="R136" s="137" t="e">
        <f t="shared" si="71"/>
        <v>#REF!</v>
      </c>
      <c r="S136" s="137" t="e">
        <f t="shared" si="71"/>
        <v>#REF!</v>
      </c>
      <c r="T136" s="137" t="e">
        <f t="shared" si="71"/>
        <v>#REF!</v>
      </c>
      <c r="U136" s="371" t="e">
        <f t="shared" si="71"/>
        <v>#REF!</v>
      </c>
      <c r="V136" s="371" t="e">
        <f t="shared" si="71"/>
        <v>#REF!</v>
      </c>
      <c r="W136" s="371" t="e">
        <f t="shared" si="71"/>
        <v>#REF!</v>
      </c>
      <c r="X136" s="371" t="e">
        <f t="shared" si="71"/>
        <v>#REF!</v>
      </c>
      <c r="Y136" s="372"/>
      <c r="Z136" s="372"/>
      <c r="AA136" s="372"/>
      <c r="AB136" s="372"/>
      <c r="AC136" s="372"/>
      <c r="AD136" s="372"/>
      <c r="AE136" s="372"/>
      <c r="AF136" s="372"/>
      <c r="AG136" s="372"/>
      <c r="AH136" s="372"/>
      <c r="AI136" s="372"/>
      <c r="AJ136" s="372"/>
      <c r="AK136" s="372"/>
      <c r="AL136" s="372"/>
    </row>
    <row r="137" spans="1:38" ht="20.25" customHeight="1" x14ac:dyDescent="0.25">
      <c r="A137" s="80"/>
      <c r="B137" s="80"/>
      <c r="C137" s="80"/>
      <c r="D137" s="80"/>
      <c r="E137" s="80">
        <v>3811</v>
      </c>
      <c r="F137" s="81" t="s">
        <v>623</v>
      </c>
      <c r="G137" s="82" t="e">
        <f>SUMIF(#REF!,funkcijska!$E137,#REF!)</f>
        <v>#REF!</v>
      </c>
      <c r="H137" s="82" t="e">
        <f>SUMIF(#REF!,funkcijska!$E137,#REF!)</f>
        <v>#REF!</v>
      </c>
      <c r="I137" s="82" t="e">
        <f>SUMIF(#REF!,funkcijska!$E137,#REF!)</f>
        <v>#REF!</v>
      </c>
      <c r="J137" s="82" t="e">
        <f>SUMIF(#REF!,funkcijska!$E137,#REF!)</f>
        <v>#REF!</v>
      </c>
      <c r="K137" s="82" t="e">
        <f>SUMIF(#REF!,funkcijska!$E137,#REF!)</f>
        <v>#REF!</v>
      </c>
      <c r="L137" s="82" t="e">
        <f t="shared" si="68"/>
        <v>#REF!</v>
      </c>
      <c r="M137" s="82" t="e">
        <f t="shared" si="69"/>
        <v>#REF!</v>
      </c>
      <c r="N137" s="82" t="e">
        <f>SUMIF(#REF!,funkcijska!$E137,#REF!)</f>
        <v>#REF!</v>
      </c>
      <c r="O137" s="82" t="e">
        <f>SUMIF(#REF!,funkcijska!$E137,#REF!)</f>
        <v>#REF!</v>
      </c>
      <c r="P137" s="82" t="e">
        <f>SUMIF(#REF!,funkcijska!$E137,#REF!)</f>
        <v>#REF!</v>
      </c>
      <c r="Q137" s="386" t="e">
        <f>SUMIF(#REF!,funkcijska!$E137,#REF!)</f>
        <v>#REF!</v>
      </c>
      <c r="R137" s="82" t="e">
        <f>SUMIF(#REF!,funkcijska!$E137,#REF!)</f>
        <v>#REF!</v>
      </c>
      <c r="S137" s="82" t="e">
        <f>SUMIF(#REF!,funkcijska!$E137,#REF!)</f>
        <v>#REF!</v>
      </c>
      <c r="T137" s="82" t="e">
        <f>SUMIF(#REF!,funkcijska!$E$77,#REF!)</f>
        <v>#REF!</v>
      </c>
      <c r="U137" s="357" t="e">
        <f>SUMIF(#REF!,funkcijska!$E137,#REF!)</f>
        <v>#REF!</v>
      </c>
      <c r="V137" s="357" t="e">
        <f>SUMIF(#REF!,funkcijska!$E137,#REF!)</f>
        <v>#REF!</v>
      </c>
      <c r="W137" s="357" t="e">
        <f>SUMIF(#REF!,funkcijska!$E137,#REF!)</f>
        <v>#REF!</v>
      </c>
      <c r="X137" s="357" t="e">
        <f>SUMIF(#REF!,funkcijska!$E137,#REF!)</f>
        <v>#REF!</v>
      </c>
      <c r="AD137" s="60"/>
      <c r="AE137" s="60"/>
      <c r="AF137" s="60"/>
      <c r="AG137" s="60"/>
      <c r="AH137" s="60"/>
      <c r="AI137" s="60"/>
      <c r="AJ137" s="60"/>
      <c r="AK137" s="60"/>
      <c r="AL137" s="60"/>
    </row>
    <row r="138" spans="1:38" s="373" customFormat="1" ht="21" customHeight="1" x14ac:dyDescent="0.25">
      <c r="A138" s="119"/>
      <c r="B138" s="119"/>
      <c r="C138" s="119"/>
      <c r="D138" s="119" t="str">
        <f>LEFT(E139,3)</f>
        <v>382</v>
      </c>
      <c r="E138" s="119"/>
      <c r="F138" s="368" t="s">
        <v>230</v>
      </c>
      <c r="G138" s="369" t="e">
        <f>G139</f>
        <v>#REF!</v>
      </c>
      <c r="H138" s="370" t="e">
        <f>H139</f>
        <v>#REF!</v>
      </c>
      <c r="I138" s="369" t="e">
        <f>I139</f>
        <v>#REF!</v>
      </c>
      <c r="J138" s="369" t="e">
        <f>J139</f>
        <v>#REF!</v>
      </c>
      <c r="K138" s="369" t="e">
        <f>K139</f>
        <v>#REF!</v>
      </c>
      <c r="L138" s="369" t="e">
        <f t="shared" si="68"/>
        <v>#REF!</v>
      </c>
      <c r="M138" s="369" t="e">
        <f t="shared" si="69"/>
        <v>#REF!</v>
      </c>
      <c r="N138" s="369" t="e">
        <f t="shared" ref="N138:U138" si="72">N139</f>
        <v>#REF!</v>
      </c>
      <c r="O138" s="137" t="e">
        <f t="shared" si="72"/>
        <v>#REF!</v>
      </c>
      <c r="P138" s="137" t="e">
        <f t="shared" si="72"/>
        <v>#REF!</v>
      </c>
      <c r="Q138" s="393" t="e">
        <f t="shared" si="72"/>
        <v>#REF!</v>
      </c>
      <c r="R138" s="137" t="e">
        <f t="shared" si="72"/>
        <v>#REF!</v>
      </c>
      <c r="S138" s="137" t="e">
        <f t="shared" si="72"/>
        <v>#REF!</v>
      </c>
      <c r="T138" s="137" t="e">
        <f t="shared" si="72"/>
        <v>#REF!</v>
      </c>
      <c r="U138" s="371" t="e">
        <f t="shared" si="72"/>
        <v>#REF!</v>
      </c>
      <c r="V138" s="371" t="e">
        <f>V139+V140</f>
        <v>#REF!</v>
      </c>
      <c r="W138" s="371" t="e">
        <f>W139+W140</f>
        <v>#REF!</v>
      </c>
      <c r="X138" s="371" t="e">
        <f>X139+X140</f>
        <v>#REF!</v>
      </c>
      <c r="Y138" s="372"/>
      <c r="Z138" s="372"/>
      <c r="AA138" s="372"/>
      <c r="AB138" s="372"/>
      <c r="AC138" s="372"/>
      <c r="AD138" s="372"/>
      <c r="AE138" s="372"/>
      <c r="AF138" s="372"/>
      <c r="AG138" s="372"/>
      <c r="AH138" s="372"/>
      <c r="AI138" s="372"/>
      <c r="AJ138" s="372"/>
      <c r="AK138" s="372"/>
      <c r="AL138" s="372"/>
    </row>
    <row r="139" spans="1:38" ht="23.25" customHeight="1" x14ac:dyDescent="0.25">
      <c r="A139" s="80"/>
      <c r="B139" s="80"/>
      <c r="C139" s="80"/>
      <c r="D139" s="80"/>
      <c r="E139" s="80">
        <v>3821</v>
      </c>
      <c r="F139" s="81" t="s">
        <v>1020</v>
      </c>
      <c r="G139" s="82" t="e">
        <f>SUMIF(#REF!,funkcijska!$E139,#REF!)</f>
        <v>#REF!</v>
      </c>
      <c r="H139" s="82" t="e">
        <f>SUMIF(#REF!,funkcijska!$E139,#REF!)</f>
        <v>#REF!</v>
      </c>
      <c r="I139" s="82" t="e">
        <f>SUMIF(#REF!,funkcijska!$E139,#REF!)</f>
        <v>#REF!</v>
      </c>
      <c r="J139" s="82" t="e">
        <f>SUMIF(#REF!,funkcijska!$E139,#REF!)</f>
        <v>#REF!</v>
      </c>
      <c r="K139" s="82" t="e">
        <f>SUMIF(#REF!,funkcijska!$E139,#REF!)</f>
        <v>#REF!</v>
      </c>
      <c r="L139" s="82" t="e">
        <f t="shared" si="68"/>
        <v>#REF!</v>
      </c>
      <c r="M139" s="82" t="e">
        <f t="shared" si="69"/>
        <v>#REF!</v>
      </c>
      <c r="N139" s="82" t="e">
        <f>SUMIF(#REF!,funkcijska!$E139,#REF!)</f>
        <v>#REF!</v>
      </c>
      <c r="O139" s="82" t="e">
        <f>SUMIF(#REF!,funkcijska!$E139,#REF!)</f>
        <v>#REF!</v>
      </c>
      <c r="P139" s="82" t="e">
        <f>SUMIF(#REF!,funkcijska!$E139,#REF!)</f>
        <v>#REF!</v>
      </c>
      <c r="Q139" s="386" t="e">
        <f>SUMIF(#REF!,funkcijska!$E139,#REF!)</f>
        <v>#REF!</v>
      </c>
      <c r="R139" s="82" t="e">
        <f>SUMIF(#REF!,funkcijska!$E139,#REF!)</f>
        <v>#REF!</v>
      </c>
      <c r="S139" s="82" t="e">
        <f>SUMIF(#REF!,funkcijska!$E139,#REF!)</f>
        <v>#REF!</v>
      </c>
      <c r="T139" s="82" t="e">
        <f>SUMIF(#REF!,funkcijska!$E$79,#REF!)</f>
        <v>#REF!</v>
      </c>
      <c r="U139" s="357" t="e">
        <f>SUMIF(#REF!,funkcijska!$E139,#REF!)</f>
        <v>#REF!</v>
      </c>
      <c r="V139" s="357" t="e">
        <f>SUMIF(#REF!,funkcijska!$E139,#REF!)</f>
        <v>#REF!</v>
      </c>
      <c r="W139" s="357" t="e">
        <f>SUMIF(#REF!,funkcijska!$E139,#REF!)</f>
        <v>#REF!</v>
      </c>
      <c r="X139" s="357" t="e">
        <f>SUMIF(#REF!,funkcijska!$E139,#REF!)</f>
        <v>#REF!</v>
      </c>
      <c r="AD139" s="60"/>
      <c r="AE139" s="60"/>
      <c r="AF139" s="60"/>
      <c r="AG139" s="60"/>
      <c r="AH139" s="60"/>
      <c r="AI139" s="60"/>
      <c r="AJ139" s="60"/>
      <c r="AK139" s="60"/>
      <c r="AL139" s="60"/>
    </row>
    <row r="140" spans="1:38" ht="23.25" hidden="1" customHeight="1" x14ac:dyDescent="0.25">
      <c r="A140" s="80"/>
      <c r="B140" s="80"/>
      <c r="C140" s="80"/>
      <c r="D140" s="80"/>
      <c r="E140" s="80">
        <v>3822</v>
      </c>
      <c r="F140" s="81" t="s">
        <v>734</v>
      </c>
      <c r="G140" s="82" t="e">
        <f>SUMIF(#REF!,funkcijska!$E140,#REF!)</f>
        <v>#REF!</v>
      </c>
      <c r="H140" s="82" t="e">
        <f>SUMIF(#REF!,funkcijska!$E140,#REF!)</f>
        <v>#REF!</v>
      </c>
      <c r="I140" s="82" t="e">
        <f>SUMIF(#REF!,funkcijska!$E140,#REF!)</f>
        <v>#REF!</v>
      </c>
      <c r="J140" s="82" t="e">
        <f>SUMIF(#REF!,funkcijska!$E140,#REF!)</f>
        <v>#REF!</v>
      </c>
      <c r="K140" s="82" t="e">
        <f>SUMIF(#REF!,funkcijska!$E140,#REF!)</f>
        <v>#REF!</v>
      </c>
      <c r="L140" s="82" t="e">
        <f t="shared" si="68"/>
        <v>#REF!</v>
      </c>
      <c r="M140" s="82" t="e">
        <f t="shared" si="69"/>
        <v>#REF!</v>
      </c>
      <c r="N140" s="82" t="e">
        <f>SUMIF(#REF!,funkcijska!$E140,#REF!)</f>
        <v>#REF!</v>
      </c>
      <c r="O140" s="82" t="e">
        <f>SUMIF(#REF!,funkcijska!$E140,#REF!)</f>
        <v>#REF!</v>
      </c>
      <c r="P140" s="82" t="e">
        <f>SUMIF(#REF!,funkcijska!$E140,#REF!)</f>
        <v>#REF!</v>
      </c>
      <c r="Q140" s="386" t="e">
        <f>SUMIF(#REF!,funkcijska!$E140,#REF!)</f>
        <v>#REF!</v>
      </c>
      <c r="R140" s="82" t="e">
        <f>SUMIF(#REF!,funkcijska!$E140,#REF!)</f>
        <v>#REF!</v>
      </c>
      <c r="S140" s="82" t="e">
        <f>SUMIF(#REF!,funkcijska!$E140,#REF!)</f>
        <v>#REF!</v>
      </c>
      <c r="T140" s="82" t="e">
        <f>SUMIF(#REF!,funkcijska!$E$79,#REF!)</f>
        <v>#REF!</v>
      </c>
      <c r="U140" s="357" t="e">
        <f>SUMIF(#REF!,funkcijska!$E140,#REF!)</f>
        <v>#REF!</v>
      </c>
      <c r="V140" s="357" t="e">
        <f>SUMIF(#REF!,funkcijska!$E140,#REF!)</f>
        <v>#REF!</v>
      </c>
      <c r="W140" s="357" t="e">
        <f>SUMIF(#REF!,funkcijska!$E140,#REF!)</f>
        <v>#REF!</v>
      </c>
      <c r="X140" s="357" t="e">
        <f>SUMIF(#REF!,funkcijska!$E140,#REF!)</f>
        <v>#REF!</v>
      </c>
      <c r="AD140" s="60"/>
      <c r="AE140" s="60"/>
      <c r="AF140" s="60"/>
      <c r="AG140" s="60"/>
      <c r="AH140" s="60"/>
      <c r="AI140" s="60"/>
      <c r="AJ140" s="60"/>
      <c r="AK140" s="60"/>
      <c r="AL140" s="60"/>
    </row>
    <row r="141" spans="1:38" s="373" customFormat="1" ht="21" hidden="1" customHeight="1" x14ac:dyDescent="0.25">
      <c r="A141" s="119"/>
      <c r="B141" s="119"/>
      <c r="C141" s="119"/>
      <c r="D141" s="119" t="str">
        <f>LEFT(E142,3)</f>
        <v>385</v>
      </c>
      <c r="E141" s="119"/>
      <c r="F141" s="368" t="s">
        <v>545</v>
      </c>
      <c r="G141" s="369" t="e">
        <f>G142</f>
        <v>#REF!</v>
      </c>
      <c r="H141" s="370" t="e">
        <f>H142</f>
        <v>#REF!</v>
      </c>
      <c r="I141" s="369" t="e">
        <f>I142</f>
        <v>#REF!</v>
      </c>
      <c r="J141" s="369" t="e">
        <f>J142</f>
        <v>#REF!</v>
      </c>
      <c r="K141" s="369" t="e">
        <f>K142</f>
        <v>#REF!</v>
      </c>
      <c r="L141" s="369" t="e">
        <f t="shared" si="68"/>
        <v>#REF!</v>
      </c>
      <c r="M141" s="369" t="e">
        <f t="shared" si="69"/>
        <v>#REF!</v>
      </c>
      <c r="N141" s="369" t="e">
        <f t="shared" ref="N141:X141" si="73">N142</f>
        <v>#REF!</v>
      </c>
      <c r="O141" s="137" t="e">
        <f t="shared" si="73"/>
        <v>#REF!</v>
      </c>
      <c r="P141" s="137" t="e">
        <f t="shared" si="73"/>
        <v>#REF!</v>
      </c>
      <c r="Q141" s="393" t="e">
        <f t="shared" si="73"/>
        <v>#REF!</v>
      </c>
      <c r="R141" s="137" t="e">
        <f t="shared" si="73"/>
        <v>#REF!</v>
      </c>
      <c r="S141" s="137" t="e">
        <f t="shared" si="73"/>
        <v>#REF!</v>
      </c>
      <c r="T141" s="137" t="e">
        <f t="shared" si="73"/>
        <v>#REF!</v>
      </c>
      <c r="U141" s="371" t="e">
        <f t="shared" si="73"/>
        <v>#REF!</v>
      </c>
      <c r="V141" s="371" t="e">
        <f t="shared" si="73"/>
        <v>#REF!</v>
      </c>
      <c r="W141" s="371" t="e">
        <f t="shared" si="73"/>
        <v>#REF!</v>
      </c>
      <c r="X141" s="371" t="e">
        <f t="shared" si="73"/>
        <v>#REF!</v>
      </c>
      <c r="Y141" s="372"/>
      <c r="Z141" s="372"/>
      <c r="AA141" s="372"/>
      <c r="AB141" s="372"/>
      <c r="AC141" s="372"/>
      <c r="AD141" s="372"/>
      <c r="AE141" s="372"/>
      <c r="AF141" s="372"/>
      <c r="AG141" s="372"/>
      <c r="AH141" s="372"/>
      <c r="AI141" s="372"/>
      <c r="AJ141" s="372"/>
      <c r="AK141" s="372"/>
      <c r="AL141" s="372"/>
    </row>
    <row r="142" spans="1:38" ht="21.75" hidden="1" customHeight="1" x14ac:dyDescent="0.25">
      <c r="A142" s="80"/>
      <c r="B142" s="80"/>
      <c r="C142" s="80"/>
      <c r="D142" s="80"/>
      <c r="E142" s="80">
        <v>3851</v>
      </c>
      <c r="F142" s="81" t="s">
        <v>546</v>
      </c>
      <c r="G142" s="82" t="e">
        <f>SUMIF(#REF!,funkcijska!$E142,#REF!)</f>
        <v>#REF!</v>
      </c>
      <c r="H142" s="82" t="e">
        <f>SUMIF(#REF!,funkcijska!$E142,#REF!)</f>
        <v>#REF!</v>
      </c>
      <c r="I142" s="82" t="e">
        <f>SUMIF(#REF!,funkcijska!$E142,#REF!)</f>
        <v>#REF!</v>
      </c>
      <c r="J142" s="82" t="e">
        <f>SUMIF(#REF!,funkcijska!$E142,#REF!)</f>
        <v>#REF!</v>
      </c>
      <c r="K142" s="82" t="e">
        <f>SUMIF(#REF!,funkcijska!$E142,#REF!)</f>
        <v>#REF!</v>
      </c>
      <c r="L142" s="82" t="e">
        <f t="shared" si="68"/>
        <v>#REF!</v>
      </c>
      <c r="M142" s="82" t="e">
        <f t="shared" si="69"/>
        <v>#REF!</v>
      </c>
      <c r="N142" s="82" t="e">
        <f>SUMIF(#REF!,funkcijska!$E142,#REF!)</f>
        <v>#REF!</v>
      </c>
      <c r="O142" s="82" t="e">
        <f>SUMIF(#REF!,funkcijska!$E142,#REF!)</f>
        <v>#REF!</v>
      </c>
      <c r="P142" s="82" t="e">
        <f>SUMIF(#REF!,funkcijska!$E142,#REF!)</f>
        <v>#REF!</v>
      </c>
      <c r="Q142" s="386" t="e">
        <f>SUMIF(#REF!,funkcijska!$E142,#REF!)</f>
        <v>#REF!</v>
      </c>
      <c r="R142" s="82" t="e">
        <f>SUMIF(#REF!,funkcijska!$E142,#REF!)</f>
        <v>#REF!</v>
      </c>
      <c r="S142" s="82" t="e">
        <f>SUMIF(#REF!,funkcijska!$E142,#REF!)</f>
        <v>#REF!</v>
      </c>
      <c r="T142" s="82" t="e">
        <f>SUMIF(#REF!,funkcijska!$E$82,#REF!)</f>
        <v>#REF!</v>
      </c>
      <c r="U142" s="357" t="e">
        <f>SUMIF(#REF!,funkcijska!$E142,#REF!)</f>
        <v>#REF!</v>
      </c>
      <c r="V142" s="357" t="e">
        <f>SUMIF(#REF!,funkcijska!$E142,#REF!)</f>
        <v>#REF!</v>
      </c>
      <c r="W142" s="357" t="e">
        <f>SUMIF(#REF!,funkcijska!$E142,#REF!)</f>
        <v>#REF!</v>
      </c>
      <c r="X142" s="357" t="e">
        <f>SUMIF(#REF!,funkcijska!$E142,#REF!)</f>
        <v>#REF!</v>
      </c>
      <c r="AD142" s="60"/>
      <c r="AE142" s="60"/>
      <c r="AF142" s="60"/>
      <c r="AG142" s="60"/>
      <c r="AH142" s="60"/>
      <c r="AI142" s="60"/>
      <c r="AJ142" s="60"/>
      <c r="AK142" s="60"/>
      <c r="AL142" s="60"/>
    </row>
    <row r="143" spans="1:38" ht="15" customHeight="1" x14ac:dyDescent="0.25">
      <c r="A143" s="108"/>
      <c r="B143" s="108"/>
      <c r="C143" s="108"/>
      <c r="D143" s="108"/>
      <c r="E143" s="108"/>
      <c r="F143" s="109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387"/>
      <c r="R143" s="110"/>
      <c r="S143" s="110"/>
      <c r="T143" s="110"/>
      <c r="U143" s="361"/>
      <c r="V143" s="361"/>
      <c r="W143" s="361"/>
      <c r="X143" s="361"/>
      <c r="AD143" s="60"/>
      <c r="AE143" s="60"/>
      <c r="AF143" s="60"/>
      <c r="AG143" s="60"/>
      <c r="AH143" s="60"/>
      <c r="AI143" s="60"/>
      <c r="AJ143" s="60"/>
      <c r="AK143" s="60"/>
      <c r="AL143" s="60"/>
    </row>
    <row r="144" spans="1:38" ht="15" customHeight="1" x14ac:dyDescent="0.25">
      <c r="A144" s="108"/>
      <c r="B144" s="108"/>
      <c r="C144" s="108"/>
      <c r="D144" s="108"/>
      <c r="E144" s="108"/>
      <c r="F144" s="109"/>
      <c r="G144" s="110"/>
      <c r="H144" s="103"/>
      <c r="I144" s="110"/>
      <c r="J144" s="110"/>
      <c r="K144" s="110"/>
      <c r="L144" s="110"/>
      <c r="M144" s="110"/>
      <c r="N144" s="110"/>
      <c r="O144" s="110"/>
      <c r="P144" s="110"/>
      <c r="Q144" s="395"/>
      <c r="R144" s="110"/>
      <c r="S144" s="110"/>
      <c r="T144" s="110"/>
      <c r="U144" s="361"/>
      <c r="V144" s="361"/>
      <c r="W144" s="361"/>
      <c r="X144" s="361"/>
      <c r="AD144" s="60"/>
      <c r="AE144" s="60"/>
      <c r="AF144" s="60"/>
      <c r="AG144" s="60"/>
      <c r="AH144" s="60"/>
      <c r="AI144" s="60"/>
      <c r="AJ144" s="60"/>
      <c r="AK144" s="60"/>
      <c r="AL144" s="60"/>
    </row>
    <row r="145" spans="1:38" ht="39.75" customHeight="1" x14ac:dyDescent="0.25">
      <c r="A145" s="80"/>
      <c r="B145" s="80"/>
      <c r="C145" s="80"/>
      <c r="D145" s="80"/>
      <c r="E145" s="80"/>
      <c r="F145" s="537" t="s">
        <v>768</v>
      </c>
      <c r="G145" s="538"/>
      <c r="H145" s="102"/>
      <c r="I145" s="538"/>
      <c r="J145" s="538"/>
      <c r="K145" s="538"/>
      <c r="L145" s="538"/>
      <c r="M145" s="538"/>
      <c r="N145" s="538"/>
      <c r="O145" s="102"/>
      <c r="P145" s="102"/>
      <c r="Q145" s="437"/>
      <c r="R145" s="102"/>
      <c r="S145" s="102"/>
      <c r="T145" s="102"/>
      <c r="U145" s="360"/>
      <c r="V145" s="558" t="e">
        <f>V146+V221</f>
        <v>#REF!</v>
      </c>
      <c r="W145" s="558" t="e">
        <f>W146+W221</f>
        <v>#REF!</v>
      </c>
      <c r="X145" s="558" t="e">
        <f>X146+X221</f>
        <v>#REF!</v>
      </c>
      <c r="AD145" s="60"/>
      <c r="AE145" s="60"/>
      <c r="AF145" s="60"/>
      <c r="AG145" s="60"/>
      <c r="AH145" s="60"/>
      <c r="AI145" s="60"/>
      <c r="AJ145" s="60"/>
      <c r="AK145" s="60"/>
      <c r="AL145" s="60"/>
    </row>
    <row r="146" spans="1:38" x14ac:dyDescent="0.25">
      <c r="A146" s="74"/>
      <c r="B146" s="105" t="str">
        <f>LEFT(E149,1)</f>
        <v>3</v>
      </c>
      <c r="C146" s="105"/>
      <c r="D146" s="105"/>
      <c r="E146" s="105"/>
      <c r="F146" s="72" t="s">
        <v>524</v>
      </c>
      <c r="G146" s="313" t="e">
        <f>G147+G158+G190+G197+G204+G208+G212</f>
        <v>#REF!</v>
      </c>
      <c r="H146" s="73" t="e">
        <f>H147+H158+H190+H197+H204+H208+H212</f>
        <v>#REF!</v>
      </c>
      <c r="I146" s="313" t="e">
        <f>I147+I158+I190+I197+I204+I208+I212</f>
        <v>#REF!</v>
      </c>
      <c r="J146" s="313" t="e">
        <f>J147+J158+J190+J197+J204+J208+J212</f>
        <v>#REF!</v>
      </c>
      <c r="K146" s="313" t="e">
        <f>K147+K158+K190+K197+K204+K208+K212</f>
        <v>#REF!</v>
      </c>
      <c r="L146" s="313" t="e">
        <f>ROUND(K146/J146*100,2)</f>
        <v>#REF!</v>
      </c>
      <c r="M146" s="313" t="e">
        <f>N146-J146</f>
        <v>#REF!</v>
      </c>
      <c r="N146" s="313" t="e">
        <f t="shared" ref="N146:X146" si="74">N147+N158+N190+N197+N204+N208+N212</f>
        <v>#REF!</v>
      </c>
      <c r="O146" s="73" t="e">
        <f t="shared" si="74"/>
        <v>#REF!</v>
      </c>
      <c r="P146" s="73" t="e">
        <f t="shared" si="74"/>
        <v>#REF!</v>
      </c>
      <c r="Q146" s="384" t="e">
        <f t="shared" si="74"/>
        <v>#REF!</v>
      </c>
      <c r="R146" s="76" t="e">
        <f t="shared" si="74"/>
        <v>#REF!</v>
      </c>
      <c r="S146" s="76" t="e">
        <f t="shared" si="74"/>
        <v>#REF!</v>
      </c>
      <c r="T146" s="76" t="e">
        <f t="shared" si="74"/>
        <v>#REF!</v>
      </c>
      <c r="U146" s="355" t="e">
        <f t="shared" si="74"/>
        <v>#REF!</v>
      </c>
      <c r="V146" s="355" t="e">
        <f t="shared" si="74"/>
        <v>#REF!</v>
      </c>
      <c r="W146" s="355" t="e">
        <f t="shared" si="74"/>
        <v>#REF!</v>
      </c>
      <c r="X146" s="355" t="e">
        <f t="shared" si="74"/>
        <v>#REF!</v>
      </c>
      <c r="AD146" s="60"/>
      <c r="AE146" s="60"/>
      <c r="AF146" s="60"/>
      <c r="AG146" s="60"/>
      <c r="AH146" s="60"/>
      <c r="AI146" s="60"/>
      <c r="AJ146" s="60"/>
      <c r="AK146" s="60"/>
      <c r="AL146" s="60"/>
    </row>
    <row r="147" spans="1:38" ht="16.5" customHeight="1" x14ac:dyDescent="0.25">
      <c r="A147" s="125"/>
      <c r="B147" s="74"/>
      <c r="C147" s="74" t="str">
        <f>LEFT(E149,2)</f>
        <v>31</v>
      </c>
      <c r="D147" s="74"/>
      <c r="E147" s="74"/>
      <c r="F147" s="75" t="s">
        <v>197</v>
      </c>
      <c r="G147" s="77" t="e">
        <f>G148+G153+G155</f>
        <v>#REF!</v>
      </c>
      <c r="H147" s="76" t="e">
        <f>H148+H153+H155</f>
        <v>#REF!</v>
      </c>
      <c r="I147" s="77" t="e">
        <f>I148+I153+I155</f>
        <v>#REF!</v>
      </c>
      <c r="J147" s="77" t="e">
        <f>J148+J153+J155</f>
        <v>#REF!</v>
      </c>
      <c r="K147" s="77" t="e">
        <f>K148+K153+K155</f>
        <v>#REF!</v>
      </c>
      <c r="L147" s="77" t="e">
        <f>ROUND(K147/J147*100,2)</f>
        <v>#REF!</v>
      </c>
      <c r="M147" s="77" t="e">
        <f>N147-J147</f>
        <v>#REF!</v>
      </c>
      <c r="N147" s="77" t="e">
        <f t="shared" ref="N147:X147" si="75">N148+N153+N155</f>
        <v>#REF!</v>
      </c>
      <c r="O147" s="76" t="e">
        <f t="shared" si="75"/>
        <v>#REF!</v>
      </c>
      <c r="P147" s="76" t="e">
        <f t="shared" si="75"/>
        <v>#REF!</v>
      </c>
      <c r="Q147" s="385" t="e">
        <f t="shared" si="75"/>
        <v>#REF!</v>
      </c>
      <c r="R147" s="127" t="e">
        <f t="shared" si="75"/>
        <v>#REF!</v>
      </c>
      <c r="S147" s="127" t="e">
        <f t="shared" si="75"/>
        <v>#REF!</v>
      </c>
      <c r="T147" s="127" t="e">
        <f t="shared" si="75"/>
        <v>#REF!</v>
      </c>
      <c r="U147" s="356" t="e">
        <f t="shared" si="75"/>
        <v>#REF!</v>
      </c>
      <c r="V147" s="356" t="e">
        <f t="shared" si="75"/>
        <v>#REF!</v>
      </c>
      <c r="W147" s="356" t="e">
        <f t="shared" si="75"/>
        <v>#REF!</v>
      </c>
      <c r="X147" s="356" t="e">
        <f t="shared" si="75"/>
        <v>#REF!</v>
      </c>
      <c r="AD147" s="128"/>
      <c r="AE147" s="60"/>
      <c r="AF147" s="60"/>
      <c r="AG147" s="60"/>
      <c r="AH147" s="60"/>
      <c r="AI147" s="60"/>
      <c r="AJ147" s="60"/>
      <c r="AK147" s="60"/>
      <c r="AL147" s="60"/>
    </row>
    <row r="148" spans="1:38" ht="18" customHeight="1" x14ac:dyDescent="0.25">
      <c r="A148" s="80"/>
      <c r="B148" s="80"/>
      <c r="C148" s="80"/>
      <c r="D148" s="80" t="str">
        <f>LEFT(E149,3)</f>
        <v>311</v>
      </c>
      <c r="E148" s="80"/>
      <c r="F148" s="81" t="s">
        <v>198</v>
      </c>
      <c r="G148" s="129" t="e">
        <f t="shared" ref="G148:X148" si="76">SUM(G149:G152)</f>
        <v>#REF!</v>
      </c>
      <c r="H148" s="102" t="e">
        <f t="shared" si="76"/>
        <v>#REF!</v>
      </c>
      <c r="I148" s="129" t="e">
        <f t="shared" si="76"/>
        <v>#REF!</v>
      </c>
      <c r="J148" s="129" t="e">
        <f t="shared" si="76"/>
        <v>#REF!</v>
      </c>
      <c r="K148" s="129" t="e">
        <f t="shared" si="76"/>
        <v>#REF!</v>
      </c>
      <c r="L148" s="129" t="e">
        <f t="shared" si="76"/>
        <v>#REF!</v>
      </c>
      <c r="M148" s="129" t="e">
        <f t="shared" si="76"/>
        <v>#REF!</v>
      </c>
      <c r="N148" s="129" t="e">
        <f t="shared" si="76"/>
        <v>#REF!</v>
      </c>
      <c r="O148" s="129" t="e">
        <f t="shared" si="76"/>
        <v>#REF!</v>
      </c>
      <c r="P148" s="129" t="e">
        <f t="shared" si="76"/>
        <v>#REF!</v>
      </c>
      <c r="Q148" s="389" t="e">
        <f t="shared" si="76"/>
        <v>#REF!</v>
      </c>
      <c r="R148" s="129" t="e">
        <f t="shared" si="76"/>
        <v>#REF!</v>
      </c>
      <c r="S148" s="129" t="e">
        <f t="shared" si="76"/>
        <v>#REF!</v>
      </c>
      <c r="T148" s="129" t="e">
        <f t="shared" si="76"/>
        <v>#REF!</v>
      </c>
      <c r="U148" s="363" t="e">
        <f t="shared" si="76"/>
        <v>#REF!</v>
      </c>
      <c r="V148" s="363" t="e">
        <f t="shared" si="76"/>
        <v>#REF!</v>
      </c>
      <c r="W148" s="363" t="e">
        <f t="shared" si="76"/>
        <v>#REF!</v>
      </c>
      <c r="X148" s="363" t="e">
        <f t="shared" si="76"/>
        <v>#REF!</v>
      </c>
      <c r="AD148" s="60"/>
      <c r="AE148" s="60"/>
      <c r="AF148" s="60"/>
      <c r="AG148" s="60"/>
      <c r="AH148" s="60"/>
      <c r="AI148" s="60"/>
      <c r="AJ148" s="60"/>
      <c r="AK148" s="60"/>
      <c r="AL148" s="60"/>
    </row>
    <row r="149" spans="1:38" ht="18" customHeight="1" x14ac:dyDescent="0.25">
      <c r="A149" s="80"/>
      <c r="B149" s="80"/>
      <c r="C149" s="80"/>
      <c r="D149" s="80"/>
      <c r="E149" s="80">
        <v>3111</v>
      </c>
      <c r="F149" s="81" t="s">
        <v>199</v>
      </c>
      <c r="G149" s="82" t="e">
        <f>SUMIF(#REF!,funkcijska!$E149,#REF!)</f>
        <v>#REF!</v>
      </c>
      <c r="H149" s="82" t="e">
        <f>SUMIF(#REF!,funkcijska!$E149,#REF!)</f>
        <v>#REF!</v>
      </c>
      <c r="I149" s="82" t="e">
        <f>SUMIF(#REF!,funkcijska!$E149,#REF!)</f>
        <v>#REF!</v>
      </c>
      <c r="J149" s="82" t="e">
        <f>SUMIF(#REF!,funkcijska!$E149,#REF!)</f>
        <v>#REF!</v>
      </c>
      <c r="K149" s="82" t="e">
        <f>SUMIF(#REF!,funkcijska!$E149,#REF!)</f>
        <v>#REF!</v>
      </c>
      <c r="L149" s="82" t="e">
        <f t="shared" ref="L149:L154" si="77">ROUND(K149/J149*100,2)</f>
        <v>#REF!</v>
      </c>
      <c r="M149" s="82" t="e">
        <f t="shared" ref="M149:M154" si="78">N149-J149</f>
        <v>#REF!</v>
      </c>
      <c r="N149" s="82" t="e">
        <f>SUMIF(#REF!,funkcijska!$E149,#REF!)</f>
        <v>#REF!</v>
      </c>
      <c r="O149" s="82" t="e">
        <f>SUMIF(#REF!,funkcijska!$E149,#REF!)</f>
        <v>#REF!</v>
      </c>
      <c r="P149" s="82" t="e">
        <f>SUMIF(#REF!,funkcijska!$E149,#REF!)</f>
        <v>#REF!</v>
      </c>
      <c r="Q149" s="386" t="e">
        <f>SUMIF(#REF!,funkcijska!$E149,#REF!)</f>
        <v>#REF!</v>
      </c>
      <c r="R149" s="82" t="e">
        <f>SUMIF(#REF!,funkcijska!$E149,#REF!)</f>
        <v>#REF!</v>
      </c>
      <c r="S149" s="82" t="e">
        <f>SUMIF(#REF!,funkcijska!$E149,#REF!)</f>
        <v>#REF!</v>
      </c>
      <c r="T149" s="82" t="e">
        <f>SUMIF(#REF!,funkcijska!$E$12,#REF!)</f>
        <v>#REF!</v>
      </c>
      <c r="U149" s="357" t="e">
        <f>SUMIF(#REF!,funkcijska!$E149,#REF!)</f>
        <v>#REF!</v>
      </c>
      <c r="V149" s="357" t="e">
        <f>SUMIF(#REF!,funkcijska!$E149,#REF!)+SUMIF(#REF!,funkcijska!$E149,#REF!)</f>
        <v>#REF!</v>
      </c>
      <c r="W149" s="357" t="e">
        <f>SUMIF(#REF!,funkcijska!$E149,#REF!)+SUMIF(#REF!,funkcijska!$E149,#REF!)</f>
        <v>#REF!</v>
      </c>
      <c r="X149" s="357" t="e">
        <f>SUMIF(#REF!,funkcijska!$E149,#REF!)+SUMIF(#REF!,funkcijska!$E149,#REF!)</f>
        <v>#REF!</v>
      </c>
      <c r="AD149" s="60"/>
      <c r="AE149" s="60"/>
      <c r="AF149" s="60"/>
      <c r="AG149" s="60"/>
      <c r="AH149" s="60"/>
      <c r="AI149" s="60"/>
      <c r="AJ149" s="60"/>
      <c r="AK149" s="60"/>
      <c r="AL149" s="60"/>
    </row>
    <row r="150" spans="1:38" x14ac:dyDescent="0.25">
      <c r="A150" s="80"/>
      <c r="B150" s="80"/>
      <c r="C150" s="80"/>
      <c r="D150" s="80"/>
      <c r="E150" s="80">
        <v>3112</v>
      </c>
      <c r="F150" s="81" t="s">
        <v>219</v>
      </c>
      <c r="G150" s="82" t="e">
        <f>SUMIF(#REF!,funkcijska!$E150,#REF!)</f>
        <v>#REF!</v>
      </c>
      <c r="H150" s="82" t="e">
        <f>SUMIF(#REF!,funkcijska!$E150,#REF!)</f>
        <v>#REF!</v>
      </c>
      <c r="I150" s="82" t="e">
        <f>SUMIF(#REF!,funkcijska!$E150,#REF!)</f>
        <v>#REF!</v>
      </c>
      <c r="J150" s="82" t="e">
        <f>SUMIF(#REF!,funkcijska!$E150,#REF!)</f>
        <v>#REF!</v>
      </c>
      <c r="K150" s="82" t="e">
        <f>SUMIF(#REF!,funkcijska!$E150,#REF!)</f>
        <v>#REF!</v>
      </c>
      <c r="L150" s="82" t="e">
        <f t="shared" si="77"/>
        <v>#REF!</v>
      </c>
      <c r="M150" s="82" t="e">
        <f t="shared" si="78"/>
        <v>#REF!</v>
      </c>
      <c r="N150" s="82" t="e">
        <f>SUMIF(#REF!,funkcijska!$E150,#REF!)</f>
        <v>#REF!</v>
      </c>
      <c r="O150" s="82" t="e">
        <f>SUMIF(#REF!,funkcijska!$E150,#REF!)</f>
        <v>#REF!</v>
      </c>
      <c r="P150" s="82" t="e">
        <f>SUMIF(#REF!,funkcijska!$E150,#REF!)</f>
        <v>#REF!</v>
      </c>
      <c r="Q150" s="386" t="e">
        <f>SUMIF(#REF!,funkcijska!$E150,#REF!)</f>
        <v>#REF!</v>
      </c>
      <c r="R150" s="82" t="e">
        <f>SUMIF(#REF!,funkcijska!$E150,#REF!)</f>
        <v>#REF!</v>
      </c>
      <c r="S150" s="82" t="e">
        <f>SUMIF(#REF!,funkcijska!$E150,#REF!)</f>
        <v>#REF!</v>
      </c>
      <c r="T150" s="82" t="e">
        <f>SUMIF(#REF!,funkcijska!$E$13,#REF!)</f>
        <v>#REF!</v>
      </c>
      <c r="U150" s="357" t="e">
        <f>SUMIF(#REF!,funkcijska!$E150,#REF!)</f>
        <v>#REF!</v>
      </c>
      <c r="V150" s="357" t="e">
        <f>SUMIF(#REF!,funkcijska!$E150,#REF!)+SUMIF(#REF!,funkcijska!$E150,#REF!)</f>
        <v>#REF!</v>
      </c>
      <c r="W150" s="357" t="e">
        <f>SUMIF(#REF!,funkcijska!$E150,#REF!)+SUMIF(#REF!,funkcijska!$E150,#REF!)</f>
        <v>#REF!</v>
      </c>
      <c r="X150" s="357" t="e">
        <f>SUMIF(#REF!,funkcijska!$E150,#REF!)+SUMIF(#REF!,funkcijska!$E150,#REF!)</f>
        <v>#REF!</v>
      </c>
      <c r="AD150" s="60"/>
      <c r="AE150" s="60"/>
      <c r="AF150" s="60"/>
      <c r="AG150" s="60"/>
      <c r="AH150" s="60"/>
      <c r="AI150" s="60"/>
      <c r="AJ150" s="60"/>
      <c r="AK150" s="60"/>
      <c r="AL150" s="60"/>
    </row>
    <row r="151" spans="1:38" x14ac:dyDescent="0.25">
      <c r="A151" s="80"/>
      <c r="B151" s="80"/>
      <c r="C151" s="80"/>
      <c r="D151" s="80"/>
      <c r="E151" s="80">
        <v>3113</v>
      </c>
      <c r="F151" s="81" t="s">
        <v>476</v>
      </c>
      <c r="G151" s="82" t="e">
        <f>SUMIF(#REF!,funkcijska!$E151,#REF!)</f>
        <v>#REF!</v>
      </c>
      <c r="H151" s="82" t="e">
        <f>SUMIF(#REF!,funkcijska!$E151,#REF!)</f>
        <v>#REF!</v>
      </c>
      <c r="I151" s="82" t="e">
        <f>SUMIF(#REF!,funkcijska!$E151,#REF!)</f>
        <v>#REF!</v>
      </c>
      <c r="J151" s="82" t="e">
        <f>SUMIF(#REF!,funkcijska!$E151,#REF!)</f>
        <v>#REF!</v>
      </c>
      <c r="K151" s="82" t="e">
        <f>SUMIF(#REF!,funkcijska!$E151,#REF!)</f>
        <v>#REF!</v>
      </c>
      <c r="L151" s="82" t="e">
        <f t="shared" si="77"/>
        <v>#REF!</v>
      </c>
      <c r="M151" s="82" t="e">
        <f t="shared" si="78"/>
        <v>#REF!</v>
      </c>
      <c r="N151" s="82" t="e">
        <f>SUMIF(#REF!,funkcijska!$E151,#REF!)</f>
        <v>#REF!</v>
      </c>
      <c r="O151" s="82" t="e">
        <f>SUMIF(#REF!,funkcijska!$E151,#REF!)</f>
        <v>#REF!</v>
      </c>
      <c r="P151" s="82" t="e">
        <f>SUMIF(#REF!,funkcijska!$E151,#REF!)</f>
        <v>#REF!</v>
      </c>
      <c r="Q151" s="386" t="e">
        <f>SUMIF(#REF!,funkcijska!$E151,#REF!)</f>
        <v>#REF!</v>
      </c>
      <c r="R151" s="82" t="e">
        <f>SUMIF(#REF!,funkcijska!$E151,#REF!)</f>
        <v>#REF!</v>
      </c>
      <c r="S151" s="82" t="e">
        <f>SUMIF(#REF!,funkcijska!$E151,#REF!)</f>
        <v>#REF!</v>
      </c>
      <c r="T151" s="82" t="e">
        <f>SUMIF(#REF!,funkcijska!$E$14,#REF!)</f>
        <v>#REF!</v>
      </c>
      <c r="U151" s="357" t="e">
        <f>SUMIF(#REF!,funkcijska!$E151,#REF!)</f>
        <v>#REF!</v>
      </c>
      <c r="V151" s="357" t="e">
        <f>SUMIF(#REF!,funkcijska!$E151,#REF!)+SUMIF(#REF!,funkcijska!$E151,#REF!)</f>
        <v>#REF!</v>
      </c>
      <c r="W151" s="357" t="e">
        <f>SUMIF(#REF!,funkcijska!$E151,#REF!)+SUMIF(#REF!,funkcijska!$E151,#REF!)</f>
        <v>#REF!</v>
      </c>
      <c r="X151" s="357" t="e">
        <f>SUMIF(#REF!,funkcijska!$E151,#REF!)+SUMIF(#REF!,funkcijska!$E151,#REF!)</f>
        <v>#REF!</v>
      </c>
      <c r="AD151" s="60"/>
      <c r="AE151" s="60"/>
      <c r="AF151" s="60"/>
      <c r="AG151" s="60"/>
      <c r="AH151" s="60"/>
      <c r="AI151" s="60"/>
      <c r="AJ151" s="60"/>
      <c r="AK151" s="60"/>
      <c r="AL151" s="60"/>
    </row>
    <row r="152" spans="1:38" x14ac:dyDescent="0.25">
      <c r="A152" s="80"/>
      <c r="B152" s="80"/>
      <c r="C152" s="80"/>
      <c r="D152" s="80"/>
      <c r="E152" s="80">
        <v>3114</v>
      </c>
      <c r="F152" s="81" t="s">
        <v>643</v>
      </c>
      <c r="G152" s="82" t="e">
        <f>SUMIF(#REF!,funkcijska!$E152,#REF!)</f>
        <v>#REF!</v>
      </c>
      <c r="H152" s="82" t="e">
        <f>SUMIF(#REF!,funkcijska!$E152,#REF!)</f>
        <v>#REF!</v>
      </c>
      <c r="I152" s="82" t="e">
        <f>SUMIF(#REF!,funkcijska!$E152,#REF!)</f>
        <v>#REF!</v>
      </c>
      <c r="J152" s="82" t="e">
        <f>SUMIF(#REF!,funkcijska!$E152,#REF!)</f>
        <v>#REF!</v>
      </c>
      <c r="K152" s="82" t="e">
        <f>SUMIF(#REF!,funkcijska!$E152,#REF!)</f>
        <v>#REF!</v>
      </c>
      <c r="L152" s="82" t="e">
        <f t="shared" si="77"/>
        <v>#REF!</v>
      </c>
      <c r="M152" s="82" t="e">
        <f t="shared" si="78"/>
        <v>#REF!</v>
      </c>
      <c r="N152" s="82" t="e">
        <f>SUMIF(#REF!,funkcijska!$E152,#REF!)</f>
        <v>#REF!</v>
      </c>
      <c r="O152" s="82" t="e">
        <f>SUMIF(#REF!,funkcijska!$E152,#REF!)</f>
        <v>#REF!</v>
      </c>
      <c r="P152" s="82" t="e">
        <f>SUMIF(#REF!,funkcijska!$E152,#REF!)</f>
        <v>#REF!</v>
      </c>
      <c r="Q152" s="386" t="e">
        <f>SUMIF(#REF!,funkcijska!$E152,#REF!)</f>
        <v>#REF!</v>
      </c>
      <c r="R152" s="82" t="e">
        <f>SUMIF(#REF!,funkcijska!$E152,#REF!)</f>
        <v>#REF!</v>
      </c>
      <c r="S152" s="82" t="e">
        <f>SUMIF(#REF!,funkcijska!$E152,#REF!)</f>
        <v>#REF!</v>
      </c>
      <c r="T152" s="82" t="e">
        <f>SUMIF(#REF!,funkcijska!$E$15,#REF!)</f>
        <v>#REF!</v>
      </c>
      <c r="U152" s="357" t="e">
        <f>SUMIF(#REF!,funkcijska!$E152,#REF!)</f>
        <v>#REF!</v>
      </c>
      <c r="V152" s="357" t="e">
        <f>SUMIF(#REF!,funkcijska!$E152,#REF!)+SUMIF(#REF!,funkcijska!$E152,#REF!)</f>
        <v>#REF!</v>
      </c>
      <c r="W152" s="357" t="e">
        <f>SUMIF(#REF!,funkcijska!$E152,#REF!)+SUMIF(#REF!,funkcijska!$E152,#REF!)</f>
        <v>#REF!</v>
      </c>
      <c r="X152" s="357" t="e">
        <f>SUMIF(#REF!,funkcijska!$E152,#REF!)+SUMIF(#REF!,funkcijska!$E152,#REF!)</f>
        <v>#REF!</v>
      </c>
      <c r="AD152" s="60"/>
      <c r="AE152" s="60"/>
      <c r="AF152" s="60"/>
      <c r="AG152" s="60"/>
      <c r="AH152" s="60"/>
      <c r="AI152" s="60"/>
      <c r="AJ152" s="60"/>
      <c r="AK152" s="60"/>
      <c r="AL152" s="60"/>
    </row>
    <row r="153" spans="1:38" ht="17.25" customHeight="1" x14ac:dyDescent="0.25">
      <c r="A153" s="80"/>
      <c r="B153" s="80"/>
      <c r="C153" s="80"/>
      <c r="D153" s="80" t="str">
        <f>LEFT(E154,3)</f>
        <v>312</v>
      </c>
      <c r="E153" s="80"/>
      <c r="F153" s="81" t="s">
        <v>200</v>
      </c>
      <c r="G153" s="84" t="e">
        <f>G154</f>
        <v>#REF!</v>
      </c>
      <c r="H153" s="82" t="e">
        <f>SUMIF(#REF!,funkcijska!$E153,#REF!)</f>
        <v>#REF!</v>
      </c>
      <c r="I153" s="84" t="e">
        <f>I154</f>
        <v>#REF!</v>
      </c>
      <c r="J153" s="84" t="e">
        <f>J154</f>
        <v>#REF!</v>
      </c>
      <c r="K153" s="84" t="e">
        <f>K154</f>
        <v>#REF!</v>
      </c>
      <c r="L153" s="84" t="e">
        <f t="shared" si="77"/>
        <v>#REF!</v>
      </c>
      <c r="M153" s="84" t="e">
        <f t="shared" si="78"/>
        <v>#REF!</v>
      </c>
      <c r="N153" s="84" t="e">
        <f t="shared" ref="N153:X153" si="79">N154</f>
        <v>#REF!</v>
      </c>
      <c r="O153" s="84" t="e">
        <f t="shared" si="79"/>
        <v>#REF!</v>
      </c>
      <c r="P153" s="84" t="e">
        <f t="shared" si="79"/>
        <v>#REF!</v>
      </c>
      <c r="Q153" s="390" t="e">
        <f t="shared" si="79"/>
        <v>#REF!</v>
      </c>
      <c r="R153" s="84" t="e">
        <f t="shared" si="79"/>
        <v>#REF!</v>
      </c>
      <c r="S153" s="84" t="e">
        <f t="shared" si="79"/>
        <v>#REF!</v>
      </c>
      <c r="T153" s="84" t="e">
        <f t="shared" si="79"/>
        <v>#REF!</v>
      </c>
      <c r="U153" s="357" t="e">
        <f t="shared" si="79"/>
        <v>#REF!</v>
      </c>
      <c r="V153" s="357" t="e">
        <f t="shared" si="79"/>
        <v>#REF!</v>
      </c>
      <c r="W153" s="357" t="e">
        <f t="shared" si="79"/>
        <v>#REF!</v>
      </c>
      <c r="X153" s="357" t="e">
        <f t="shared" si="79"/>
        <v>#REF!</v>
      </c>
      <c r="AD153" s="60"/>
      <c r="AE153" s="60"/>
      <c r="AF153" s="60"/>
      <c r="AG153" s="60"/>
      <c r="AH153" s="60"/>
      <c r="AI153" s="60"/>
      <c r="AJ153" s="60"/>
      <c r="AK153" s="60"/>
      <c r="AL153" s="60"/>
    </row>
    <row r="154" spans="1:38" x14ac:dyDescent="0.25">
      <c r="A154" s="80"/>
      <c r="B154" s="80"/>
      <c r="C154" s="80"/>
      <c r="D154" s="80"/>
      <c r="E154" s="80">
        <v>3121</v>
      </c>
      <c r="F154" s="81" t="s">
        <v>200</v>
      </c>
      <c r="G154" s="82" t="e">
        <f>SUMIF(#REF!,funkcijska!$E154,#REF!)</f>
        <v>#REF!</v>
      </c>
      <c r="H154" s="82" t="e">
        <f>SUMIF(#REF!,funkcijska!$E154,#REF!)</f>
        <v>#REF!</v>
      </c>
      <c r="I154" s="82" t="e">
        <f>SUMIF(#REF!,funkcijska!$E154,#REF!)</f>
        <v>#REF!</v>
      </c>
      <c r="J154" s="82" t="e">
        <f>SUMIF(#REF!,funkcijska!$E154,#REF!)</f>
        <v>#REF!</v>
      </c>
      <c r="K154" s="82" t="e">
        <f>SUMIF(#REF!,funkcijska!$E154,#REF!)</f>
        <v>#REF!</v>
      </c>
      <c r="L154" s="82" t="e">
        <f t="shared" si="77"/>
        <v>#REF!</v>
      </c>
      <c r="M154" s="82" t="e">
        <f t="shared" si="78"/>
        <v>#REF!</v>
      </c>
      <c r="N154" s="82" t="e">
        <f>SUMIF(#REF!,funkcijska!$E154,#REF!)</f>
        <v>#REF!</v>
      </c>
      <c r="O154" s="82" t="e">
        <f>SUMIF(#REF!,funkcijska!$E154,#REF!)</f>
        <v>#REF!</v>
      </c>
      <c r="P154" s="82" t="e">
        <f>SUMIF(#REF!,funkcijska!$E154,#REF!)</f>
        <v>#REF!</v>
      </c>
      <c r="Q154" s="386" t="e">
        <f>SUMIF(#REF!,funkcijska!$E154,#REF!)</f>
        <v>#REF!</v>
      </c>
      <c r="R154" s="82" t="e">
        <f>SUMIF(#REF!,funkcijska!$E154,#REF!)</f>
        <v>#REF!</v>
      </c>
      <c r="S154" s="82" t="e">
        <f>SUMIF(#REF!,funkcijska!$E154,#REF!)</f>
        <v>#REF!</v>
      </c>
      <c r="T154" s="82" t="e">
        <f>SUMIF(#REF!,funkcijska!$E$17,#REF!)</f>
        <v>#REF!</v>
      </c>
      <c r="U154" s="357" t="e">
        <f>SUMIF(#REF!,funkcijska!$E154,#REF!)</f>
        <v>#REF!</v>
      </c>
      <c r="V154" s="357" t="e">
        <f>SUMIF(#REF!,funkcijska!$E154,#REF!)+SUMIF(#REF!,funkcijska!$E154,#REF!)</f>
        <v>#REF!</v>
      </c>
      <c r="W154" s="357" t="e">
        <f>SUMIF(#REF!,funkcijska!$E154,#REF!)+SUMIF(#REF!,funkcijska!$E154,#REF!)</f>
        <v>#REF!</v>
      </c>
      <c r="X154" s="357" t="e">
        <f>SUMIF(#REF!,funkcijska!$E154,#REF!)+SUMIF(#REF!,funkcijska!$E154,#REF!)</f>
        <v>#REF!</v>
      </c>
      <c r="AD154" s="60"/>
      <c r="AE154" s="60"/>
      <c r="AF154" s="60"/>
      <c r="AG154" s="60"/>
      <c r="AH154" s="60"/>
      <c r="AI154" s="60"/>
      <c r="AJ154" s="60"/>
      <c r="AK154" s="60"/>
      <c r="AL154" s="60"/>
    </row>
    <row r="155" spans="1:38" ht="17.25" customHeight="1" x14ac:dyDescent="0.25">
      <c r="A155" s="80"/>
      <c r="B155" s="80"/>
      <c r="C155" s="80"/>
      <c r="D155" s="80" t="str">
        <f>LEFT(E156,3)</f>
        <v>313</v>
      </c>
      <c r="E155" s="80"/>
      <c r="F155" s="81" t="s">
        <v>201</v>
      </c>
      <c r="G155" s="84" t="e">
        <f>SUM(G156:G157)</f>
        <v>#REF!</v>
      </c>
      <c r="H155" s="82" t="e">
        <f>SUMIF(#REF!,funkcijska!$E155,#REF!)</f>
        <v>#REF!</v>
      </c>
      <c r="I155" s="84" t="e">
        <f t="shared" ref="I155:X155" si="80">SUM(I156:I157)</f>
        <v>#REF!</v>
      </c>
      <c r="J155" s="84" t="e">
        <f t="shared" si="80"/>
        <v>#REF!</v>
      </c>
      <c r="K155" s="84" t="e">
        <f t="shared" si="80"/>
        <v>#REF!</v>
      </c>
      <c r="L155" s="84" t="e">
        <f t="shared" si="80"/>
        <v>#REF!</v>
      </c>
      <c r="M155" s="84" t="e">
        <f t="shared" si="80"/>
        <v>#REF!</v>
      </c>
      <c r="N155" s="84" t="e">
        <f t="shared" si="80"/>
        <v>#REF!</v>
      </c>
      <c r="O155" s="84" t="e">
        <f t="shared" si="80"/>
        <v>#REF!</v>
      </c>
      <c r="P155" s="84" t="e">
        <f t="shared" si="80"/>
        <v>#REF!</v>
      </c>
      <c r="Q155" s="390" t="e">
        <f t="shared" si="80"/>
        <v>#REF!</v>
      </c>
      <c r="R155" s="84" t="e">
        <f t="shared" si="80"/>
        <v>#REF!</v>
      </c>
      <c r="S155" s="84" t="e">
        <f t="shared" si="80"/>
        <v>#REF!</v>
      </c>
      <c r="T155" s="84" t="e">
        <f t="shared" si="80"/>
        <v>#REF!</v>
      </c>
      <c r="U155" s="357" t="e">
        <f t="shared" si="80"/>
        <v>#REF!</v>
      </c>
      <c r="V155" s="357" t="e">
        <f t="shared" si="80"/>
        <v>#REF!</v>
      </c>
      <c r="W155" s="357" t="e">
        <f t="shared" si="80"/>
        <v>#REF!</v>
      </c>
      <c r="X155" s="357" t="e">
        <f t="shared" si="80"/>
        <v>#REF!</v>
      </c>
      <c r="AD155" s="60"/>
      <c r="AE155" s="60"/>
      <c r="AF155" s="60"/>
      <c r="AG155" s="60"/>
      <c r="AH155" s="60"/>
      <c r="AI155" s="60"/>
      <c r="AJ155" s="60"/>
      <c r="AK155" s="60"/>
      <c r="AL155" s="60"/>
    </row>
    <row r="156" spans="1:38" x14ac:dyDescent="0.25">
      <c r="A156" s="80"/>
      <c r="B156" s="80"/>
      <c r="C156" s="80"/>
      <c r="D156" s="80"/>
      <c r="E156" s="80">
        <v>3132</v>
      </c>
      <c r="F156" s="81" t="s">
        <v>202</v>
      </c>
      <c r="G156" s="82" t="e">
        <f>SUMIF(#REF!,funkcijska!$E156,#REF!)</f>
        <v>#REF!</v>
      </c>
      <c r="H156" s="82" t="e">
        <f>SUMIF(#REF!,funkcijska!$E156,#REF!)</f>
        <v>#REF!</v>
      </c>
      <c r="I156" s="82" t="e">
        <f>SUMIF(#REF!,funkcijska!$E156,#REF!)</f>
        <v>#REF!</v>
      </c>
      <c r="J156" s="82" t="e">
        <f>SUMIF(#REF!,funkcijska!$E156,#REF!)</f>
        <v>#REF!</v>
      </c>
      <c r="K156" s="82" t="e">
        <f>SUMIF(#REF!,funkcijska!$E156,#REF!)</f>
        <v>#REF!</v>
      </c>
      <c r="L156" s="82" t="e">
        <f>ROUND(K156/J156*100,2)</f>
        <v>#REF!</v>
      </c>
      <c r="M156" s="82" t="e">
        <f>N156-J156</f>
        <v>#REF!</v>
      </c>
      <c r="N156" s="82" t="e">
        <f>SUMIF(#REF!,funkcijska!$E156,#REF!)</f>
        <v>#REF!</v>
      </c>
      <c r="O156" s="82" t="e">
        <f>SUMIF(#REF!,funkcijska!$E156,#REF!)</f>
        <v>#REF!</v>
      </c>
      <c r="P156" s="82" t="e">
        <f>SUMIF(#REF!,funkcijska!$E156,#REF!)</f>
        <v>#REF!</v>
      </c>
      <c r="Q156" s="386" t="e">
        <f>SUMIF(#REF!,funkcijska!$E156,#REF!)</f>
        <v>#REF!</v>
      </c>
      <c r="R156" s="82" t="e">
        <f>SUMIF(#REF!,funkcijska!$E156,#REF!)</f>
        <v>#REF!</v>
      </c>
      <c r="S156" s="82" t="e">
        <f>SUMIF(#REF!,funkcijska!$E156,#REF!)</f>
        <v>#REF!</v>
      </c>
      <c r="T156" s="82" t="e">
        <f>SUMIF(#REF!,funkcijska!$E$19,#REF!)</f>
        <v>#REF!</v>
      </c>
      <c r="U156" s="357" t="e">
        <f>SUMIF(#REF!,funkcijska!$E156,#REF!)</f>
        <v>#REF!</v>
      </c>
      <c r="V156" s="357" t="e">
        <f>SUMIF(#REF!,funkcijska!$E156,#REF!)+SUMIF(#REF!,funkcijska!$E156,#REF!)</f>
        <v>#REF!</v>
      </c>
      <c r="W156" s="357" t="e">
        <f>SUMIF(#REF!,funkcijska!$E156,#REF!)+SUMIF(#REF!,funkcijska!$E156,#REF!)</f>
        <v>#REF!</v>
      </c>
      <c r="X156" s="357" t="e">
        <f>SUMIF(#REF!,funkcijska!$E156,#REF!)+SUMIF(#REF!,funkcijska!$E156,#REF!)</f>
        <v>#REF!</v>
      </c>
      <c r="AD156" s="60"/>
      <c r="AE156" s="60"/>
      <c r="AF156" s="60"/>
      <c r="AG156" s="60"/>
      <c r="AH156" s="60"/>
      <c r="AI156" s="60"/>
      <c r="AJ156" s="60"/>
      <c r="AK156" s="60"/>
      <c r="AL156" s="60"/>
    </row>
    <row r="157" spans="1:38" ht="36" x14ac:dyDescent="0.25">
      <c r="A157" s="80"/>
      <c r="B157" s="80"/>
      <c r="C157" s="80"/>
      <c r="D157" s="80"/>
      <c r="E157" s="80">
        <v>3133</v>
      </c>
      <c r="F157" s="81" t="s">
        <v>203</v>
      </c>
      <c r="G157" s="82" t="e">
        <f>SUMIF(#REF!,funkcijska!$E157,#REF!)</f>
        <v>#REF!</v>
      </c>
      <c r="H157" s="82" t="e">
        <f>SUMIF(#REF!,funkcijska!$E157,#REF!)</f>
        <v>#REF!</v>
      </c>
      <c r="I157" s="82" t="e">
        <f>SUMIF(#REF!,funkcijska!$E157,#REF!)</f>
        <v>#REF!</v>
      </c>
      <c r="J157" s="82" t="e">
        <f>SUMIF(#REF!,funkcijska!$E157,#REF!)</f>
        <v>#REF!</v>
      </c>
      <c r="K157" s="82" t="e">
        <f>SUMIF(#REF!,funkcijska!$E157,#REF!)</f>
        <v>#REF!</v>
      </c>
      <c r="L157" s="82" t="e">
        <f>ROUND(K157/J157*100,2)</f>
        <v>#REF!</v>
      </c>
      <c r="M157" s="82" t="e">
        <f>N157-J157</f>
        <v>#REF!</v>
      </c>
      <c r="N157" s="82" t="e">
        <f>SUMIF(#REF!,funkcijska!$E157,#REF!)</f>
        <v>#REF!</v>
      </c>
      <c r="O157" s="82" t="e">
        <f>SUMIF(#REF!,funkcijska!$E157,#REF!)</f>
        <v>#REF!</v>
      </c>
      <c r="P157" s="82" t="e">
        <f>SUMIF(#REF!,funkcijska!$E157,#REF!)</f>
        <v>#REF!</v>
      </c>
      <c r="Q157" s="386" t="e">
        <f>SUMIF(#REF!,funkcijska!$E157,#REF!)</f>
        <v>#REF!</v>
      </c>
      <c r="R157" s="82" t="e">
        <f>SUMIF(#REF!,funkcijska!$E157,#REF!)</f>
        <v>#REF!</v>
      </c>
      <c r="S157" s="82" t="e">
        <f>SUMIF(#REF!,funkcijska!$E157,#REF!)</f>
        <v>#REF!</v>
      </c>
      <c r="T157" s="82" t="e">
        <f>SUMIF(#REF!,funkcijska!$E$20,#REF!)</f>
        <v>#REF!</v>
      </c>
      <c r="U157" s="357" t="e">
        <f>SUMIF(#REF!,funkcijska!$E157,#REF!)</f>
        <v>#REF!</v>
      </c>
      <c r="V157" s="357" t="e">
        <f>SUMIF(#REF!,funkcijska!$E157,#REF!)+SUMIF(#REF!,funkcijska!$E157,#REF!)</f>
        <v>#REF!</v>
      </c>
      <c r="W157" s="357" t="e">
        <f>SUMIF(#REF!,funkcijska!$E157,#REF!)+SUMIF(#REF!,funkcijska!$E157,#REF!)</f>
        <v>#REF!</v>
      </c>
      <c r="X157" s="357" t="e">
        <f>SUMIF(#REF!,funkcijska!$E157,#REF!)+SUMIF(#REF!,funkcijska!$E157,#REF!)</f>
        <v>#REF!</v>
      </c>
      <c r="AD157" s="60"/>
      <c r="AE157" s="60"/>
      <c r="AF157" s="60"/>
      <c r="AG157" s="60"/>
      <c r="AH157" s="60"/>
      <c r="AI157" s="60"/>
      <c r="AJ157" s="60"/>
      <c r="AK157" s="60"/>
      <c r="AL157" s="60"/>
    </row>
    <row r="158" spans="1:38" ht="18.75" customHeight="1" x14ac:dyDescent="0.25">
      <c r="A158" s="125"/>
      <c r="B158" s="74"/>
      <c r="C158" s="74" t="str">
        <f>LEFT(E160,2)</f>
        <v>32</v>
      </c>
      <c r="D158" s="74"/>
      <c r="E158" s="74"/>
      <c r="F158" s="75" t="s">
        <v>525</v>
      </c>
      <c r="G158" s="310" t="e">
        <f>G159+G164+G171+G183</f>
        <v>#REF!</v>
      </c>
      <c r="H158" s="118" t="e">
        <f>H159+H164+H171+H183</f>
        <v>#REF!</v>
      </c>
      <c r="I158" s="310" t="e">
        <f>I159+I164+I171+I183</f>
        <v>#REF!</v>
      </c>
      <c r="J158" s="310" t="e">
        <f>J159+J164+J171+J181+J183</f>
        <v>#REF!</v>
      </c>
      <c r="K158" s="310" t="e">
        <f>K159+K164+K171+K181+K183</f>
        <v>#REF!</v>
      </c>
      <c r="L158" s="310" t="e">
        <f>ROUND(K158/J158*100,2)</f>
        <v>#REF!</v>
      </c>
      <c r="M158" s="310" t="e">
        <f>N158-J158</f>
        <v>#REF!</v>
      </c>
      <c r="N158" s="310" t="e">
        <f t="shared" ref="N158:X158" si="81">N159+N164+N171+N181+N183</f>
        <v>#REF!</v>
      </c>
      <c r="O158" s="310" t="e">
        <f t="shared" si="81"/>
        <v>#REF!</v>
      </c>
      <c r="P158" s="310" t="e">
        <f t="shared" si="81"/>
        <v>#REF!</v>
      </c>
      <c r="Q158" s="391" t="e">
        <f t="shared" si="81"/>
        <v>#REF!</v>
      </c>
      <c r="R158" s="130" t="e">
        <f t="shared" si="81"/>
        <v>#REF!</v>
      </c>
      <c r="S158" s="130" t="e">
        <f t="shared" si="81"/>
        <v>#REF!</v>
      </c>
      <c r="T158" s="130" t="e">
        <f t="shared" si="81"/>
        <v>#REF!</v>
      </c>
      <c r="U158" s="364" t="e">
        <f t="shared" si="81"/>
        <v>#REF!</v>
      </c>
      <c r="V158" s="364" t="e">
        <f t="shared" si="81"/>
        <v>#REF!</v>
      </c>
      <c r="W158" s="364" t="e">
        <f t="shared" si="81"/>
        <v>#REF!</v>
      </c>
      <c r="X158" s="364" t="e">
        <f t="shared" si="81"/>
        <v>#REF!</v>
      </c>
      <c r="AD158" s="60"/>
      <c r="AE158" s="60"/>
      <c r="AF158" s="60"/>
      <c r="AG158" s="60"/>
      <c r="AH158" s="60"/>
      <c r="AI158" s="60"/>
      <c r="AJ158" s="60"/>
      <c r="AK158" s="60"/>
      <c r="AL158" s="60"/>
    </row>
    <row r="159" spans="1:38" s="373" customFormat="1" ht="16.5" customHeight="1" x14ac:dyDescent="0.25">
      <c r="A159" s="119"/>
      <c r="B159" s="119"/>
      <c r="C159" s="119"/>
      <c r="D159" s="119" t="str">
        <f>LEFT(E160,3)</f>
        <v>321</v>
      </c>
      <c r="E159" s="119"/>
      <c r="F159" s="368" t="s">
        <v>564</v>
      </c>
      <c r="G159" s="369" t="e">
        <f>SUM(G160:G162)</f>
        <v>#REF!</v>
      </c>
      <c r="H159" s="370" t="e">
        <f>SUM(H160:H162)</f>
        <v>#REF!</v>
      </c>
      <c r="I159" s="369" t="e">
        <f t="shared" ref="I159:X159" si="82">SUM(I160:I163)</f>
        <v>#REF!</v>
      </c>
      <c r="J159" s="369" t="e">
        <f t="shared" si="82"/>
        <v>#REF!</v>
      </c>
      <c r="K159" s="369" t="e">
        <f t="shared" si="82"/>
        <v>#REF!</v>
      </c>
      <c r="L159" s="369" t="e">
        <f t="shared" si="82"/>
        <v>#REF!</v>
      </c>
      <c r="M159" s="369" t="e">
        <f t="shared" si="82"/>
        <v>#REF!</v>
      </c>
      <c r="N159" s="369" t="e">
        <f t="shared" si="82"/>
        <v>#REF!</v>
      </c>
      <c r="O159" s="369" t="e">
        <f t="shared" si="82"/>
        <v>#REF!</v>
      </c>
      <c r="P159" s="369" t="e">
        <f t="shared" si="82"/>
        <v>#REF!</v>
      </c>
      <c r="Q159" s="392" t="e">
        <f t="shared" si="82"/>
        <v>#REF!</v>
      </c>
      <c r="R159" s="369" t="e">
        <f t="shared" si="82"/>
        <v>#REF!</v>
      </c>
      <c r="S159" s="369" t="e">
        <f t="shared" si="82"/>
        <v>#REF!</v>
      </c>
      <c r="T159" s="369" t="e">
        <f t="shared" si="82"/>
        <v>#REF!</v>
      </c>
      <c r="U159" s="374" t="e">
        <f t="shared" si="82"/>
        <v>#REF!</v>
      </c>
      <c r="V159" s="374" t="e">
        <f t="shared" si="82"/>
        <v>#REF!</v>
      </c>
      <c r="W159" s="374" t="e">
        <f t="shared" si="82"/>
        <v>#REF!</v>
      </c>
      <c r="X159" s="374" t="e">
        <f t="shared" si="82"/>
        <v>#REF!</v>
      </c>
      <c r="Y159" s="372"/>
      <c r="Z159" s="372"/>
      <c r="AA159" s="372"/>
      <c r="AB159" s="372"/>
      <c r="AC159" s="372"/>
      <c r="AD159" s="372"/>
      <c r="AE159" s="372"/>
      <c r="AF159" s="372"/>
      <c r="AG159" s="372"/>
      <c r="AH159" s="372"/>
      <c r="AI159" s="372"/>
      <c r="AJ159" s="372"/>
      <c r="AK159" s="372"/>
      <c r="AL159" s="372"/>
    </row>
    <row r="160" spans="1:38" x14ac:dyDescent="0.25">
      <c r="A160" s="80"/>
      <c r="B160" s="80"/>
      <c r="C160" s="80"/>
      <c r="D160" s="80"/>
      <c r="E160" s="80">
        <v>3211</v>
      </c>
      <c r="F160" s="81" t="s">
        <v>565</v>
      </c>
      <c r="G160" s="82" t="e">
        <f>SUMIF(#REF!,funkcijska!$E160,#REF!)</f>
        <v>#REF!</v>
      </c>
      <c r="H160" s="82" t="e">
        <f>SUMIF(#REF!,funkcijska!$E160,#REF!)</f>
        <v>#REF!</v>
      </c>
      <c r="I160" s="82" t="e">
        <f>SUMIF(#REF!,funkcijska!$E160,#REF!)</f>
        <v>#REF!</v>
      </c>
      <c r="J160" s="82" t="e">
        <f>SUMIF(#REF!,funkcijska!$E160,#REF!)</f>
        <v>#REF!</v>
      </c>
      <c r="K160" s="82" t="e">
        <f>SUMIF(#REF!,funkcijska!$E160,#REF!)</f>
        <v>#REF!</v>
      </c>
      <c r="L160" s="82" t="e">
        <f>ROUND(K160/J160*100,2)</f>
        <v>#REF!</v>
      </c>
      <c r="M160" s="82" t="e">
        <f>N160-J160</f>
        <v>#REF!</v>
      </c>
      <c r="N160" s="82" t="e">
        <f>SUMIF(#REF!,funkcijska!$E160,#REF!)</f>
        <v>#REF!</v>
      </c>
      <c r="O160" s="82" t="e">
        <f>SUMIF(#REF!,funkcijska!$E160,#REF!)</f>
        <v>#REF!</v>
      </c>
      <c r="P160" s="82" t="e">
        <f>SUMIF(#REF!,funkcijska!$E160,#REF!)</f>
        <v>#REF!</v>
      </c>
      <c r="Q160" s="386" t="e">
        <f>SUMIF(#REF!,funkcijska!$E160,#REF!)</f>
        <v>#REF!</v>
      </c>
      <c r="R160" s="82" t="e">
        <f>SUMIF(#REF!,funkcijska!$E160,#REF!)</f>
        <v>#REF!</v>
      </c>
      <c r="S160" s="82" t="e">
        <f>SUMIF(#REF!,funkcijska!$E160,#REF!)</f>
        <v>#REF!</v>
      </c>
      <c r="T160" s="82" t="e">
        <f>SUMIF(#REF!,funkcijska!$E$23,#REF!)</f>
        <v>#REF!</v>
      </c>
      <c r="U160" s="357" t="e">
        <f>SUMIF(#REF!,funkcijska!$E160,#REF!)</f>
        <v>#REF!</v>
      </c>
      <c r="V160" s="357" t="e">
        <f>SUMIF(#REF!,funkcijska!$E160,#REF!)+SUMIF(#REF!,funkcijska!$E160,#REF!)</f>
        <v>#REF!</v>
      </c>
      <c r="W160" s="357" t="e">
        <f>SUMIF(#REF!,funkcijska!$E160,#REF!)+SUMIF(#REF!,funkcijska!$E160,#REF!)</f>
        <v>#REF!</v>
      </c>
      <c r="X160" s="357" t="e">
        <f>SUMIF(#REF!,funkcijska!$E160,#REF!)+SUMIF(#REF!,funkcijska!$E160,#REF!)</f>
        <v>#REF!</v>
      </c>
      <c r="AD160" s="60"/>
      <c r="AE160" s="60"/>
      <c r="AF160" s="60"/>
      <c r="AG160" s="60"/>
      <c r="AH160" s="60"/>
      <c r="AI160" s="60"/>
      <c r="AJ160" s="60"/>
      <c r="AK160" s="60"/>
      <c r="AL160" s="60"/>
    </row>
    <row r="161" spans="1:38" ht="39" customHeight="1" x14ac:dyDescent="0.25">
      <c r="A161" s="80"/>
      <c r="B161" s="80"/>
      <c r="C161" s="80"/>
      <c r="D161" s="80"/>
      <c r="E161" s="80">
        <v>3212</v>
      </c>
      <c r="F161" s="81" t="s">
        <v>220</v>
      </c>
      <c r="G161" s="82" t="e">
        <f>SUMIF(#REF!,funkcijska!$E161,#REF!)</f>
        <v>#REF!</v>
      </c>
      <c r="H161" s="82" t="e">
        <f>SUMIF(#REF!,funkcijska!$E161,#REF!)</f>
        <v>#REF!</v>
      </c>
      <c r="I161" s="82" t="e">
        <f>SUMIF(#REF!,funkcijska!$E161,#REF!)</f>
        <v>#REF!</v>
      </c>
      <c r="J161" s="82" t="e">
        <f>SUMIF(#REF!,funkcijska!$E161,#REF!)</f>
        <v>#REF!</v>
      </c>
      <c r="K161" s="82" t="e">
        <f>SUMIF(#REF!,funkcijska!$E161,#REF!)</f>
        <v>#REF!</v>
      </c>
      <c r="L161" s="82" t="e">
        <f>ROUND(K161/J161*100,2)</f>
        <v>#REF!</v>
      </c>
      <c r="M161" s="82" t="e">
        <f>N161-J161</f>
        <v>#REF!</v>
      </c>
      <c r="N161" s="82" t="e">
        <f>SUMIF(#REF!,funkcijska!$E161,#REF!)</f>
        <v>#REF!</v>
      </c>
      <c r="O161" s="82" t="e">
        <f>SUMIF(#REF!,funkcijska!$E161,#REF!)</f>
        <v>#REF!</v>
      </c>
      <c r="P161" s="82" t="e">
        <f>SUMIF(#REF!,funkcijska!$E161,#REF!)</f>
        <v>#REF!</v>
      </c>
      <c r="Q161" s="386" t="e">
        <f>SUMIF(#REF!,funkcijska!$E161,#REF!)</f>
        <v>#REF!</v>
      </c>
      <c r="R161" s="82" t="e">
        <f>SUMIF(#REF!,funkcijska!$E161,#REF!)</f>
        <v>#REF!</v>
      </c>
      <c r="S161" s="82" t="e">
        <f>SUMIF(#REF!,funkcijska!$E161,#REF!)</f>
        <v>#REF!</v>
      </c>
      <c r="T161" s="82" t="e">
        <f>SUMIF(#REF!,funkcijska!$E$24,#REF!)</f>
        <v>#REF!</v>
      </c>
      <c r="U161" s="357" t="e">
        <f>SUMIF(#REF!,funkcijska!$E161,#REF!)</f>
        <v>#REF!</v>
      </c>
      <c r="V161" s="357" t="e">
        <f>SUMIF(#REF!,funkcijska!$E161,#REF!)+SUMIF(#REF!,funkcijska!$E161,#REF!)</f>
        <v>#REF!</v>
      </c>
      <c r="W161" s="357" t="e">
        <f>SUMIF(#REF!,funkcijska!$E161,#REF!)+SUMIF(#REF!,funkcijska!$E161,#REF!)</f>
        <v>#REF!</v>
      </c>
      <c r="X161" s="357" t="e">
        <f>SUMIF(#REF!,funkcijska!$E161,#REF!)+SUMIF(#REF!,funkcijska!$E161,#REF!)</f>
        <v>#REF!</v>
      </c>
      <c r="AD161" s="60"/>
      <c r="AE161" s="60"/>
      <c r="AF161" s="60"/>
      <c r="AG161" s="60"/>
      <c r="AH161" s="60"/>
      <c r="AI161" s="60"/>
      <c r="AJ161" s="60"/>
      <c r="AK161" s="60"/>
      <c r="AL161" s="60"/>
    </row>
    <row r="162" spans="1:38" ht="22.5" customHeight="1" x14ac:dyDescent="0.25">
      <c r="A162" s="80"/>
      <c r="B162" s="80"/>
      <c r="C162" s="80"/>
      <c r="D162" s="80"/>
      <c r="E162" s="80">
        <v>3213</v>
      </c>
      <c r="F162" s="81" t="s">
        <v>221</v>
      </c>
      <c r="G162" s="82" t="e">
        <f>SUMIF(#REF!,funkcijska!$E162,#REF!)</f>
        <v>#REF!</v>
      </c>
      <c r="H162" s="82" t="e">
        <f>SUMIF(#REF!,funkcijska!$E162,#REF!)</f>
        <v>#REF!</v>
      </c>
      <c r="I162" s="82" t="e">
        <f>SUMIF(#REF!,funkcijska!$E162,#REF!)</f>
        <v>#REF!</v>
      </c>
      <c r="J162" s="82" t="e">
        <f>SUMIF(#REF!,funkcijska!$E162,#REF!)</f>
        <v>#REF!</v>
      </c>
      <c r="K162" s="82" t="e">
        <f>SUMIF(#REF!,funkcijska!$E162,#REF!)</f>
        <v>#REF!</v>
      </c>
      <c r="L162" s="82" t="e">
        <f>ROUND(K162/J162*100,2)</f>
        <v>#REF!</v>
      </c>
      <c r="M162" s="82" t="e">
        <f>N162-J162</f>
        <v>#REF!</v>
      </c>
      <c r="N162" s="82" t="e">
        <f>SUMIF(#REF!,funkcijska!$E162,#REF!)</f>
        <v>#REF!</v>
      </c>
      <c r="O162" s="82" t="e">
        <f>SUMIF(#REF!,funkcijska!$E162,#REF!)</f>
        <v>#REF!</v>
      </c>
      <c r="P162" s="82" t="e">
        <f>SUMIF(#REF!,funkcijska!$E162,#REF!)</f>
        <v>#REF!</v>
      </c>
      <c r="Q162" s="386" t="e">
        <f>SUMIF(#REF!,funkcijska!$E162,#REF!)</f>
        <v>#REF!</v>
      </c>
      <c r="R162" s="82" t="e">
        <f>SUMIF(#REF!,funkcijska!$E162,#REF!)</f>
        <v>#REF!</v>
      </c>
      <c r="S162" s="82" t="e">
        <f>SUMIF(#REF!,funkcijska!$E162,#REF!)</f>
        <v>#REF!</v>
      </c>
      <c r="T162" s="82" t="e">
        <f>SUMIF(#REF!,funkcijska!$E$25,#REF!)</f>
        <v>#REF!</v>
      </c>
      <c r="U162" s="357" t="e">
        <f>SUMIF(#REF!,funkcijska!$E162,#REF!)</f>
        <v>#REF!</v>
      </c>
      <c r="V162" s="357" t="e">
        <f>SUMIF(#REF!,funkcijska!$E162,#REF!)+SUMIF(#REF!,funkcijska!$E162,#REF!)</f>
        <v>#REF!</v>
      </c>
      <c r="W162" s="357" t="e">
        <f>SUMIF(#REF!,funkcijska!$E162,#REF!)+SUMIF(#REF!,funkcijska!$E162,#REF!)</f>
        <v>#REF!</v>
      </c>
      <c r="X162" s="357" t="e">
        <f>SUMIF(#REF!,funkcijska!$E162,#REF!)+SUMIF(#REF!,funkcijska!$E162,#REF!)</f>
        <v>#REF!</v>
      </c>
      <c r="AD162" s="60"/>
      <c r="AE162" s="60"/>
      <c r="AF162" s="60"/>
      <c r="AG162" s="60"/>
      <c r="AH162" s="60"/>
      <c r="AI162" s="60"/>
      <c r="AJ162" s="60"/>
      <c r="AK162" s="60"/>
      <c r="AL162" s="60"/>
    </row>
    <row r="163" spans="1:38" ht="22.5" customHeight="1" x14ac:dyDescent="0.25">
      <c r="A163" s="80"/>
      <c r="B163" s="80"/>
      <c r="C163" s="80"/>
      <c r="D163" s="80"/>
      <c r="E163" s="80">
        <v>3214</v>
      </c>
      <c r="F163" s="81" t="s">
        <v>852</v>
      </c>
      <c r="G163" s="82" t="e">
        <f>SUMIF(#REF!,funkcijska!$E163,#REF!)</f>
        <v>#REF!</v>
      </c>
      <c r="H163" s="82" t="e">
        <f>SUMIF(#REF!,funkcijska!$E163,#REF!)</f>
        <v>#REF!</v>
      </c>
      <c r="I163" s="82" t="e">
        <f>SUMIF(#REF!,funkcijska!$E163,#REF!)</f>
        <v>#REF!</v>
      </c>
      <c r="J163" s="82" t="e">
        <f>SUMIF(#REF!,funkcijska!$E163,#REF!)</f>
        <v>#REF!</v>
      </c>
      <c r="K163" s="82" t="e">
        <f>SUMIF(#REF!,funkcijska!$E163,#REF!)</f>
        <v>#REF!</v>
      </c>
      <c r="L163" s="82" t="e">
        <f>ROUND(K163/J163*100,2)</f>
        <v>#REF!</v>
      </c>
      <c r="M163" s="82" t="e">
        <f>N163-J163</f>
        <v>#REF!</v>
      </c>
      <c r="N163" s="82" t="e">
        <f>SUMIF(#REF!,funkcijska!$E163,#REF!)</f>
        <v>#REF!</v>
      </c>
      <c r="O163" s="82" t="e">
        <f>SUMIF(#REF!,funkcijska!$E163,#REF!)</f>
        <v>#REF!</v>
      </c>
      <c r="P163" s="82" t="e">
        <f>SUMIF(#REF!,funkcijska!$E163,#REF!)</f>
        <v>#REF!</v>
      </c>
      <c r="Q163" s="386" t="e">
        <f>SUMIF(#REF!,funkcijska!$E163,#REF!)</f>
        <v>#REF!</v>
      </c>
      <c r="R163" s="82" t="e">
        <f>SUMIF(#REF!,funkcijska!$E163,#REF!)</f>
        <v>#REF!</v>
      </c>
      <c r="S163" s="82" t="e">
        <f>SUMIF(#REF!,funkcijska!$E163,#REF!)</f>
        <v>#REF!</v>
      </c>
      <c r="T163" s="82" t="e">
        <f>SUMIF(#REF!,funkcijska!$E$26,#REF!)</f>
        <v>#REF!</v>
      </c>
      <c r="U163" s="357" t="e">
        <f>SUMIF(#REF!,funkcijska!$E163,#REF!)</f>
        <v>#REF!</v>
      </c>
      <c r="V163" s="357" t="e">
        <f>SUMIF(#REF!,funkcijska!$E163,#REF!)+SUMIF(#REF!,funkcijska!$E163,#REF!)</f>
        <v>#REF!</v>
      </c>
      <c r="W163" s="357" t="e">
        <f>SUMIF(#REF!,funkcijska!$E163,#REF!)+SUMIF(#REF!,funkcijska!$E163,#REF!)</f>
        <v>#REF!</v>
      </c>
      <c r="X163" s="357" t="e">
        <f>SUMIF(#REF!,funkcijska!$E163,#REF!)+SUMIF(#REF!,funkcijska!$E163,#REF!)</f>
        <v>#REF!</v>
      </c>
      <c r="AD163" s="60"/>
      <c r="AE163" s="60"/>
      <c r="AF163" s="60"/>
      <c r="AG163" s="60"/>
      <c r="AH163" s="60"/>
      <c r="AI163" s="60"/>
      <c r="AJ163" s="60"/>
      <c r="AK163" s="60"/>
      <c r="AL163" s="60"/>
    </row>
    <row r="164" spans="1:38" s="373" customFormat="1" ht="22.5" customHeight="1" x14ac:dyDescent="0.25">
      <c r="A164" s="119"/>
      <c r="B164" s="119"/>
      <c r="C164" s="119"/>
      <c r="D164" s="119" t="str">
        <f>LEFT(E165,3)</f>
        <v>322</v>
      </c>
      <c r="E164" s="119"/>
      <c r="F164" s="368" t="s">
        <v>547</v>
      </c>
      <c r="G164" s="369" t="e">
        <f>SUM(G165:G169)</f>
        <v>#REF!</v>
      </c>
      <c r="H164" s="370" t="e">
        <f>SUM(H165:H169)</f>
        <v>#REF!</v>
      </c>
      <c r="I164" s="369" t="e">
        <f t="shared" ref="I164:X164" si="83">SUM(I165:I170)</f>
        <v>#REF!</v>
      </c>
      <c r="J164" s="369" t="e">
        <f t="shared" si="83"/>
        <v>#REF!</v>
      </c>
      <c r="K164" s="369" t="e">
        <f t="shared" si="83"/>
        <v>#REF!</v>
      </c>
      <c r="L164" s="369" t="e">
        <f t="shared" si="83"/>
        <v>#REF!</v>
      </c>
      <c r="M164" s="369" t="e">
        <f t="shared" si="83"/>
        <v>#REF!</v>
      </c>
      <c r="N164" s="369" t="e">
        <f t="shared" si="83"/>
        <v>#REF!</v>
      </c>
      <c r="O164" s="369" t="e">
        <f t="shared" si="83"/>
        <v>#REF!</v>
      </c>
      <c r="P164" s="369" t="e">
        <f t="shared" si="83"/>
        <v>#REF!</v>
      </c>
      <c r="Q164" s="392" t="e">
        <f t="shared" si="83"/>
        <v>#REF!</v>
      </c>
      <c r="R164" s="369" t="e">
        <f t="shared" si="83"/>
        <v>#REF!</v>
      </c>
      <c r="S164" s="369" t="e">
        <f t="shared" si="83"/>
        <v>#REF!</v>
      </c>
      <c r="T164" s="369" t="e">
        <f t="shared" si="83"/>
        <v>#REF!</v>
      </c>
      <c r="U164" s="371" t="e">
        <f t="shared" si="83"/>
        <v>#REF!</v>
      </c>
      <c r="V164" s="371" t="e">
        <f t="shared" si="83"/>
        <v>#REF!</v>
      </c>
      <c r="W164" s="371" t="e">
        <f t="shared" si="83"/>
        <v>#REF!</v>
      </c>
      <c r="X164" s="371" t="e">
        <f t="shared" si="83"/>
        <v>#REF!</v>
      </c>
      <c r="Y164" s="372"/>
      <c r="Z164" s="372"/>
      <c r="AA164" s="372"/>
      <c r="AB164" s="372"/>
      <c r="AC164" s="372"/>
      <c r="AD164" s="372"/>
      <c r="AE164" s="372"/>
      <c r="AF164" s="372"/>
      <c r="AG164" s="372"/>
      <c r="AH164" s="372"/>
      <c r="AI164" s="372"/>
      <c r="AJ164" s="372"/>
      <c r="AK164" s="372"/>
      <c r="AL164" s="372"/>
    </row>
    <row r="165" spans="1:38" ht="20.25" customHeight="1" x14ac:dyDescent="0.25">
      <c r="A165" s="80"/>
      <c r="B165" s="80"/>
      <c r="C165" s="80"/>
      <c r="D165" s="80"/>
      <c r="E165" s="80">
        <v>3221</v>
      </c>
      <c r="F165" s="81" t="s">
        <v>548</v>
      </c>
      <c r="G165" s="82" t="e">
        <f>SUMIF(#REF!,funkcijska!$E165,#REF!)</f>
        <v>#REF!</v>
      </c>
      <c r="H165" s="82" t="e">
        <f>SUMIF(#REF!,funkcijska!$E165,#REF!)</f>
        <v>#REF!</v>
      </c>
      <c r="I165" s="82" t="e">
        <f>SUMIF(#REF!,funkcijska!$E165,#REF!)</f>
        <v>#REF!</v>
      </c>
      <c r="J165" s="82" t="e">
        <f>SUMIF(#REF!,funkcijska!$E165,#REF!)</f>
        <v>#REF!</v>
      </c>
      <c r="K165" s="82" t="e">
        <f>SUMIF(#REF!,funkcijska!$E165,#REF!)</f>
        <v>#REF!</v>
      </c>
      <c r="L165" s="82" t="e">
        <f t="shared" ref="L165:L170" si="84">ROUND(K165/J165*100,2)</f>
        <v>#REF!</v>
      </c>
      <c r="M165" s="82" t="e">
        <f t="shared" ref="M165:M170" si="85">N165-J165</f>
        <v>#REF!</v>
      </c>
      <c r="N165" s="82" t="e">
        <f>SUMIF(#REF!,funkcijska!$E165,#REF!)</f>
        <v>#REF!</v>
      </c>
      <c r="O165" s="82" t="e">
        <f>SUMIF(#REF!,funkcijska!$E165,#REF!)</f>
        <v>#REF!</v>
      </c>
      <c r="P165" s="82" t="e">
        <f>SUMIF(#REF!,funkcijska!$E165,#REF!)</f>
        <v>#REF!</v>
      </c>
      <c r="Q165" s="386" t="e">
        <f>SUMIF(#REF!,funkcijska!$E165,#REF!)</f>
        <v>#REF!</v>
      </c>
      <c r="R165" s="82" t="e">
        <f>SUMIF(#REF!,funkcijska!$E165,#REF!)</f>
        <v>#REF!</v>
      </c>
      <c r="S165" s="82" t="e">
        <f>SUMIF(#REF!,funkcijska!$E165,#REF!)</f>
        <v>#REF!</v>
      </c>
      <c r="T165" s="82" t="e">
        <f>SUMIF(#REF!,funkcijska!$E$28,#REF!)</f>
        <v>#REF!</v>
      </c>
      <c r="U165" s="357" t="e">
        <f>SUMIF(#REF!,funkcijska!$E165,#REF!)</f>
        <v>#REF!</v>
      </c>
      <c r="V165" s="357" t="e">
        <f>SUMIF(#REF!,funkcijska!$E165,#REF!)+SUMIF(#REF!,funkcijska!$E165,#REF!)</f>
        <v>#REF!</v>
      </c>
      <c r="W165" s="357" t="e">
        <f>SUMIF(#REF!,funkcijska!$E165,#REF!)+SUMIF(#REF!,funkcijska!$E165,#REF!)</f>
        <v>#REF!</v>
      </c>
      <c r="X165" s="357" t="e">
        <f>SUMIF(#REF!,funkcijska!$E165,#REF!)+SUMIF(#REF!,funkcijska!$E165,#REF!)</f>
        <v>#REF!</v>
      </c>
      <c r="AD165" s="60"/>
      <c r="AE165" s="60"/>
      <c r="AF165" s="60"/>
      <c r="AG165" s="60"/>
      <c r="AH165" s="60"/>
      <c r="AI165" s="60"/>
      <c r="AJ165" s="60"/>
      <c r="AK165" s="60"/>
      <c r="AL165" s="60"/>
    </row>
    <row r="166" spans="1:38" ht="16.5" customHeight="1" x14ac:dyDescent="0.25">
      <c r="A166" s="80"/>
      <c r="B166" s="80"/>
      <c r="C166" s="80"/>
      <c r="D166" s="80"/>
      <c r="E166" s="80">
        <v>3222</v>
      </c>
      <c r="F166" s="81" t="s">
        <v>474</v>
      </c>
      <c r="G166" s="82" t="e">
        <f>SUMIF(#REF!,funkcijska!$E166,#REF!)</f>
        <v>#REF!</v>
      </c>
      <c r="H166" s="82" t="e">
        <f>SUMIF(#REF!,funkcijska!$E166,#REF!)</f>
        <v>#REF!</v>
      </c>
      <c r="I166" s="82" t="e">
        <f>SUMIF(#REF!,funkcijska!$E166,#REF!)</f>
        <v>#REF!</v>
      </c>
      <c r="J166" s="82" t="e">
        <f>SUMIF(#REF!,funkcijska!$E166,#REF!)</f>
        <v>#REF!</v>
      </c>
      <c r="K166" s="82" t="e">
        <f>SUMIF(#REF!,funkcijska!$E166,#REF!)</f>
        <v>#REF!</v>
      </c>
      <c r="L166" s="82" t="e">
        <f t="shared" si="84"/>
        <v>#REF!</v>
      </c>
      <c r="M166" s="82" t="e">
        <f t="shared" si="85"/>
        <v>#REF!</v>
      </c>
      <c r="N166" s="82" t="e">
        <f>SUMIF(#REF!,funkcijska!$E166,#REF!)</f>
        <v>#REF!</v>
      </c>
      <c r="O166" s="82" t="e">
        <f>SUMIF(#REF!,funkcijska!$E166,#REF!)</f>
        <v>#REF!</v>
      </c>
      <c r="P166" s="82" t="e">
        <f>SUMIF(#REF!,funkcijska!$E166,#REF!)</f>
        <v>#REF!</v>
      </c>
      <c r="Q166" s="386" t="e">
        <f>SUMIF(#REF!,funkcijska!$E166,#REF!)</f>
        <v>#REF!</v>
      </c>
      <c r="R166" s="82" t="e">
        <f>SUMIF(#REF!,funkcijska!$E166,#REF!)</f>
        <v>#REF!</v>
      </c>
      <c r="S166" s="82" t="e">
        <f>SUMIF(#REF!,funkcijska!$E166,#REF!)</f>
        <v>#REF!</v>
      </c>
      <c r="T166" s="82" t="e">
        <f>SUMIF(#REF!,funkcijska!$E$29,#REF!)</f>
        <v>#REF!</v>
      </c>
      <c r="U166" s="357" t="e">
        <f>SUMIF(#REF!,funkcijska!$E166,#REF!)</f>
        <v>#REF!</v>
      </c>
      <c r="V166" s="357" t="e">
        <f>SUMIF(#REF!,funkcijska!$E166,#REF!)+SUMIF(#REF!,funkcijska!$E166,#REF!)</f>
        <v>#REF!</v>
      </c>
      <c r="W166" s="357" t="e">
        <f>SUMIF(#REF!,funkcijska!$E166,#REF!)+SUMIF(#REF!,funkcijska!$E166,#REF!)</f>
        <v>#REF!</v>
      </c>
      <c r="X166" s="357" t="e">
        <f>SUMIF(#REF!,funkcijska!$E166,#REF!)+SUMIF(#REF!,funkcijska!$E166,#REF!)</f>
        <v>#REF!</v>
      </c>
      <c r="AD166" s="60"/>
      <c r="AE166" s="60"/>
      <c r="AF166" s="60"/>
      <c r="AG166" s="60"/>
      <c r="AH166" s="60"/>
      <c r="AI166" s="60"/>
      <c r="AJ166" s="60"/>
      <c r="AK166" s="60"/>
      <c r="AL166" s="60"/>
    </row>
    <row r="167" spans="1:38" ht="16.5" customHeight="1" x14ac:dyDescent="0.25">
      <c r="A167" s="80"/>
      <c r="B167" s="80"/>
      <c r="C167" s="80"/>
      <c r="D167" s="80"/>
      <c r="E167" s="80">
        <v>3223</v>
      </c>
      <c r="F167" s="81" t="s">
        <v>204</v>
      </c>
      <c r="G167" s="82" t="e">
        <f>SUMIF(#REF!,funkcijska!$E167,#REF!)</f>
        <v>#REF!</v>
      </c>
      <c r="H167" s="82" t="e">
        <f>SUMIF(#REF!,funkcijska!$E167,#REF!)</f>
        <v>#REF!</v>
      </c>
      <c r="I167" s="82" t="e">
        <f>SUMIF(#REF!,funkcijska!$E167,#REF!)</f>
        <v>#REF!</v>
      </c>
      <c r="J167" s="82" t="e">
        <f>SUMIF(#REF!,funkcijska!$E167,#REF!)</f>
        <v>#REF!</v>
      </c>
      <c r="K167" s="82" t="e">
        <f>SUMIF(#REF!,funkcijska!$E167,#REF!)</f>
        <v>#REF!</v>
      </c>
      <c r="L167" s="82" t="e">
        <f t="shared" si="84"/>
        <v>#REF!</v>
      </c>
      <c r="M167" s="82" t="e">
        <f t="shared" si="85"/>
        <v>#REF!</v>
      </c>
      <c r="N167" s="82" t="e">
        <f>SUMIF(#REF!,funkcijska!$E167,#REF!)</f>
        <v>#REF!</v>
      </c>
      <c r="O167" s="82" t="e">
        <f>SUMIF(#REF!,funkcijska!$E167,#REF!)</f>
        <v>#REF!</v>
      </c>
      <c r="P167" s="82" t="e">
        <f>SUMIF(#REF!,funkcijska!$E167,#REF!)</f>
        <v>#REF!</v>
      </c>
      <c r="Q167" s="386" t="e">
        <f>SUMIF(#REF!,funkcijska!$E167,#REF!)</f>
        <v>#REF!</v>
      </c>
      <c r="R167" s="82" t="e">
        <f>SUMIF(#REF!,funkcijska!$E167,#REF!)</f>
        <v>#REF!</v>
      </c>
      <c r="S167" s="82" t="e">
        <f>SUMIF(#REF!,funkcijska!$E167,#REF!)</f>
        <v>#REF!</v>
      </c>
      <c r="T167" s="82" t="e">
        <f>SUMIF(#REF!,funkcijska!$E$30,#REF!)</f>
        <v>#REF!</v>
      </c>
      <c r="U167" s="357" t="e">
        <f>SUMIF(#REF!,funkcijska!$E167,#REF!)</f>
        <v>#REF!</v>
      </c>
      <c r="V167" s="357" t="e">
        <f>SUMIF(#REF!,funkcijska!$E167,#REF!)+SUMIF(#REF!,funkcijska!$E167,#REF!)</f>
        <v>#REF!</v>
      </c>
      <c r="W167" s="357" t="e">
        <f>SUMIF(#REF!,funkcijska!$E167,#REF!)+SUMIF(#REF!,funkcijska!$E167,#REF!)</f>
        <v>#REF!</v>
      </c>
      <c r="X167" s="357" t="e">
        <f>SUMIF(#REF!,funkcijska!$E167,#REF!)+SUMIF(#REF!,funkcijska!$E167,#REF!)</f>
        <v>#REF!</v>
      </c>
      <c r="AD167" s="60"/>
      <c r="AE167" s="60"/>
      <c r="AF167" s="60"/>
      <c r="AG167" s="60"/>
      <c r="AH167" s="60"/>
      <c r="AI167" s="60"/>
      <c r="AJ167" s="60"/>
      <c r="AK167" s="60"/>
      <c r="AL167" s="60"/>
    </row>
    <row r="168" spans="1:38" ht="36.75" customHeight="1" x14ac:dyDescent="0.25">
      <c r="A168" s="80"/>
      <c r="B168" s="80"/>
      <c r="C168" s="80"/>
      <c r="D168" s="80"/>
      <c r="E168" s="80">
        <v>3224</v>
      </c>
      <c r="F168" s="81" t="s">
        <v>853</v>
      </c>
      <c r="G168" s="82" t="e">
        <f>SUMIF(#REF!,funkcijska!$E168,#REF!)</f>
        <v>#REF!</v>
      </c>
      <c r="H168" s="82" t="e">
        <f>SUMIF(#REF!,funkcijska!$E168,#REF!)</f>
        <v>#REF!</v>
      </c>
      <c r="I168" s="82" t="e">
        <f>SUMIF(#REF!,funkcijska!$E168,#REF!)</f>
        <v>#REF!</v>
      </c>
      <c r="J168" s="82" t="e">
        <f>SUMIF(#REF!,funkcijska!$E168,#REF!)</f>
        <v>#REF!</v>
      </c>
      <c r="K168" s="82" t="e">
        <f>SUMIF(#REF!,funkcijska!$E168,#REF!)</f>
        <v>#REF!</v>
      </c>
      <c r="L168" s="82" t="e">
        <f t="shared" si="84"/>
        <v>#REF!</v>
      </c>
      <c r="M168" s="82" t="e">
        <f t="shared" si="85"/>
        <v>#REF!</v>
      </c>
      <c r="N168" s="82" t="e">
        <f>SUMIF(#REF!,funkcijska!$E168,#REF!)</f>
        <v>#REF!</v>
      </c>
      <c r="O168" s="82" t="e">
        <f>SUMIF(#REF!,funkcijska!$E168,#REF!)</f>
        <v>#REF!</v>
      </c>
      <c r="P168" s="82" t="e">
        <f>SUMIF(#REF!,funkcijska!$E168,#REF!)</f>
        <v>#REF!</v>
      </c>
      <c r="Q168" s="386" t="e">
        <f>SUMIF(#REF!,funkcijska!$E168,#REF!)</f>
        <v>#REF!</v>
      </c>
      <c r="R168" s="82" t="e">
        <f>SUMIF(#REF!,funkcijska!$E168,#REF!)</f>
        <v>#REF!</v>
      </c>
      <c r="S168" s="82" t="e">
        <f>SUMIF(#REF!,funkcijska!$E168,#REF!)</f>
        <v>#REF!</v>
      </c>
      <c r="T168" s="82" t="e">
        <f>SUMIF(#REF!,funkcijska!$E$31,#REF!)</f>
        <v>#REF!</v>
      </c>
      <c r="U168" s="357" t="e">
        <f>SUMIF(#REF!,funkcijska!$E168,#REF!)</f>
        <v>#REF!</v>
      </c>
      <c r="V168" s="357" t="e">
        <f>SUMIF(#REF!,funkcijska!$E168,#REF!)+SUMIF(#REF!,funkcijska!$E168,#REF!)</f>
        <v>#REF!</v>
      </c>
      <c r="W168" s="357" t="e">
        <f>SUMIF(#REF!,funkcijska!$E168,#REF!)+SUMIF(#REF!,funkcijska!$E168,#REF!)</f>
        <v>#REF!</v>
      </c>
      <c r="X168" s="357" t="e">
        <f>SUMIF(#REF!,funkcijska!$E168,#REF!)+SUMIF(#REF!,funkcijska!$E168,#REF!)</f>
        <v>#REF!</v>
      </c>
      <c r="AD168" s="60"/>
      <c r="AE168" s="60"/>
      <c r="AF168" s="60"/>
      <c r="AG168" s="60"/>
      <c r="AH168" s="60"/>
      <c r="AI168" s="60"/>
      <c r="AJ168" s="60"/>
      <c r="AK168" s="60"/>
      <c r="AL168" s="60"/>
    </row>
    <row r="169" spans="1:38" ht="16.5" customHeight="1" x14ac:dyDescent="0.25">
      <c r="A169" s="80"/>
      <c r="B169" s="80"/>
      <c r="C169" s="80"/>
      <c r="D169" s="80"/>
      <c r="E169" s="80">
        <v>3225</v>
      </c>
      <c r="F169" s="81" t="s">
        <v>205</v>
      </c>
      <c r="G169" s="82" t="e">
        <f>SUMIF(#REF!,funkcijska!$E169,#REF!)</f>
        <v>#REF!</v>
      </c>
      <c r="H169" s="82" t="e">
        <f>SUMIF(#REF!,funkcijska!$E169,#REF!)</f>
        <v>#REF!</v>
      </c>
      <c r="I169" s="82" t="e">
        <f>SUMIF(#REF!,funkcijska!$E169,#REF!)</f>
        <v>#REF!</v>
      </c>
      <c r="J169" s="82" t="e">
        <f>SUMIF(#REF!,funkcijska!$E169,#REF!)</f>
        <v>#REF!</v>
      </c>
      <c r="K169" s="82" t="e">
        <f>SUMIF(#REF!,funkcijska!$E169,#REF!)</f>
        <v>#REF!</v>
      </c>
      <c r="L169" s="82" t="e">
        <f t="shared" si="84"/>
        <v>#REF!</v>
      </c>
      <c r="M169" s="82" t="e">
        <f t="shared" si="85"/>
        <v>#REF!</v>
      </c>
      <c r="N169" s="82" t="e">
        <f>SUMIF(#REF!,funkcijska!$E169,#REF!)</f>
        <v>#REF!</v>
      </c>
      <c r="O169" s="82" t="e">
        <f>SUMIF(#REF!,funkcijska!$E169,#REF!)</f>
        <v>#REF!</v>
      </c>
      <c r="P169" s="82" t="e">
        <f>SUMIF(#REF!,funkcijska!$E169,#REF!)</f>
        <v>#REF!</v>
      </c>
      <c r="Q169" s="386" t="e">
        <f>SUMIF(#REF!,funkcijska!$E169,#REF!)</f>
        <v>#REF!</v>
      </c>
      <c r="R169" s="82" t="e">
        <f>SUMIF(#REF!,funkcijska!$E169,#REF!)</f>
        <v>#REF!</v>
      </c>
      <c r="S169" s="82" t="e">
        <f>SUMIF(#REF!,funkcijska!$E169,#REF!)</f>
        <v>#REF!</v>
      </c>
      <c r="T169" s="82" t="e">
        <f>SUMIF(#REF!,funkcijska!$E$32,#REF!)</f>
        <v>#REF!</v>
      </c>
      <c r="U169" s="357" t="e">
        <f>SUMIF(#REF!,funkcijska!$E169,#REF!)</f>
        <v>#REF!</v>
      </c>
      <c r="V169" s="357" t="e">
        <f>SUMIF(#REF!,funkcijska!$E169,#REF!)+SUMIF(#REF!,funkcijska!$E169,#REF!)</f>
        <v>#REF!</v>
      </c>
      <c r="W169" s="357" t="e">
        <f>SUMIF(#REF!,funkcijska!$E169,#REF!)+SUMIF(#REF!,funkcijska!$E169,#REF!)</f>
        <v>#REF!</v>
      </c>
      <c r="X169" s="357" t="e">
        <f>SUMIF(#REF!,funkcijska!$E169,#REF!)+SUMIF(#REF!,funkcijska!$E169,#REF!)</f>
        <v>#REF!</v>
      </c>
      <c r="AD169" s="60"/>
      <c r="AE169" s="60"/>
      <c r="AF169" s="60"/>
      <c r="AG169" s="60"/>
      <c r="AH169" s="60"/>
      <c r="AI169" s="60"/>
      <c r="AJ169" s="60"/>
      <c r="AK169" s="60"/>
      <c r="AL169" s="60"/>
    </row>
    <row r="170" spans="1:38" ht="16.5" customHeight="1" x14ac:dyDescent="0.25">
      <c r="A170" s="80"/>
      <c r="B170" s="80"/>
      <c r="C170" s="80"/>
      <c r="D170" s="80"/>
      <c r="E170" s="131">
        <v>3227</v>
      </c>
      <c r="F170" s="132" t="s">
        <v>646</v>
      </c>
      <c r="G170" s="82" t="e">
        <f>SUMIF(#REF!,funkcijska!$E170,#REF!)</f>
        <v>#REF!</v>
      </c>
      <c r="H170" s="82" t="e">
        <f>SUMIF(#REF!,funkcijska!$E170,#REF!)</f>
        <v>#REF!</v>
      </c>
      <c r="I170" s="82" t="e">
        <f>SUMIF(#REF!,funkcijska!$E170,#REF!)</f>
        <v>#REF!</v>
      </c>
      <c r="J170" s="82" t="e">
        <f>SUMIF(#REF!,funkcijska!$E170,#REF!)</f>
        <v>#REF!</v>
      </c>
      <c r="K170" s="82" t="e">
        <f>SUMIF(#REF!,funkcijska!$E170,#REF!)</f>
        <v>#REF!</v>
      </c>
      <c r="L170" s="82" t="e">
        <f t="shared" si="84"/>
        <v>#REF!</v>
      </c>
      <c r="M170" s="82" t="e">
        <f t="shared" si="85"/>
        <v>#REF!</v>
      </c>
      <c r="N170" s="82" t="e">
        <f>SUMIF(#REF!,funkcijska!$E170,#REF!)</f>
        <v>#REF!</v>
      </c>
      <c r="O170" s="82" t="e">
        <f>SUMIF(#REF!,funkcijska!$E170,#REF!)</f>
        <v>#REF!</v>
      </c>
      <c r="P170" s="82" t="e">
        <f>SUMIF(#REF!,funkcijska!$E170,#REF!)</f>
        <v>#REF!</v>
      </c>
      <c r="Q170" s="386" t="e">
        <f>SUMIF(#REF!,funkcijska!$E170,#REF!)</f>
        <v>#REF!</v>
      </c>
      <c r="R170" s="82" t="e">
        <f>SUMIF(#REF!,funkcijska!$E170,#REF!)</f>
        <v>#REF!</v>
      </c>
      <c r="S170" s="82" t="e">
        <f>SUMIF(#REF!,funkcijska!$E170,#REF!)</f>
        <v>#REF!</v>
      </c>
      <c r="T170" s="82" t="e">
        <f>SUMIF(#REF!,funkcijska!$E$33,#REF!)</f>
        <v>#REF!</v>
      </c>
      <c r="U170" s="357" t="e">
        <f>SUMIF(#REF!,funkcijska!$E170,#REF!)</f>
        <v>#REF!</v>
      </c>
      <c r="V170" s="357" t="e">
        <f>SUMIF(#REF!,funkcijska!$E170,#REF!)+SUMIF(#REF!,funkcijska!$E170,#REF!)</f>
        <v>#REF!</v>
      </c>
      <c r="W170" s="357" t="e">
        <f>SUMIF(#REF!,funkcijska!$E170,#REF!)+SUMIF(#REF!,funkcijska!$E170,#REF!)</f>
        <v>#REF!</v>
      </c>
      <c r="X170" s="357" t="e">
        <f>SUMIF(#REF!,funkcijska!$E170,#REF!)+SUMIF(#REF!,funkcijska!$E170,#REF!)</f>
        <v>#REF!</v>
      </c>
      <c r="AD170" s="60"/>
      <c r="AE170" s="60"/>
      <c r="AF170" s="60"/>
      <c r="AG170" s="60"/>
      <c r="AH170" s="60"/>
      <c r="AI170" s="60"/>
      <c r="AJ170" s="60"/>
      <c r="AK170" s="60"/>
      <c r="AL170" s="60"/>
    </row>
    <row r="171" spans="1:38" s="373" customFormat="1" ht="20.25" customHeight="1" x14ac:dyDescent="0.25">
      <c r="A171" s="119"/>
      <c r="B171" s="119"/>
      <c r="C171" s="119"/>
      <c r="D171" s="119" t="str">
        <f>LEFT(E172,3)</f>
        <v>323</v>
      </c>
      <c r="E171" s="119"/>
      <c r="F171" s="368" t="s">
        <v>526</v>
      </c>
      <c r="G171" s="369" t="e">
        <f t="shared" ref="G171:X171" si="86">SUM(G172:G180)</f>
        <v>#REF!</v>
      </c>
      <c r="H171" s="370" t="e">
        <f t="shared" si="86"/>
        <v>#REF!</v>
      </c>
      <c r="I171" s="369" t="e">
        <f t="shared" si="86"/>
        <v>#REF!</v>
      </c>
      <c r="J171" s="369" t="e">
        <f t="shared" si="86"/>
        <v>#REF!</v>
      </c>
      <c r="K171" s="369" t="e">
        <f t="shared" si="86"/>
        <v>#REF!</v>
      </c>
      <c r="L171" s="369" t="e">
        <f t="shared" si="86"/>
        <v>#REF!</v>
      </c>
      <c r="M171" s="369" t="e">
        <f t="shared" si="86"/>
        <v>#REF!</v>
      </c>
      <c r="N171" s="369" t="e">
        <f t="shared" si="86"/>
        <v>#REF!</v>
      </c>
      <c r="O171" s="369" t="e">
        <f t="shared" si="86"/>
        <v>#REF!</v>
      </c>
      <c r="P171" s="369" t="e">
        <f t="shared" si="86"/>
        <v>#REF!</v>
      </c>
      <c r="Q171" s="392" t="e">
        <f t="shared" si="86"/>
        <v>#REF!</v>
      </c>
      <c r="R171" s="369" t="e">
        <f t="shared" si="86"/>
        <v>#REF!</v>
      </c>
      <c r="S171" s="369" t="e">
        <f t="shared" si="86"/>
        <v>#REF!</v>
      </c>
      <c r="T171" s="369" t="e">
        <f t="shared" si="86"/>
        <v>#REF!</v>
      </c>
      <c r="U171" s="371" t="e">
        <f t="shared" si="86"/>
        <v>#REF!</v>
      </c>
      <c r="V171" s="371" t="e">
        <f t="shared" si="86"/>
        <v>#REF!</v>
      </c>
      <c r="W171" s="371" t="e">
        <f t="shared" si="86"/>
        <v>#REF!</v>
      </c>
      <c r="X171" s="371" t="e">
        <f t="shared" si="86"/>
        <v>#REF!</v>
      </c>
      <c r="Y171" s="372"/>
      <c r="Z171" s="372"/>
      <c r="AA171" s="372"/>
      <c r="AB171" s="372"/>
      <c r="AC171" s="372"/>
      <c r="AD171" s="372"/>
      <c r="AE171" s="372"/>
      <c r="AF171" s="372"/>
      <c r="AG171" s="372"/>
      <c r="AH171" s="372"/>
      <c r="AI171" s="372"/>
      <c r="AJ171" s="372"/>
      <c r="AK171" s="372"/>
      <c r="AL171" s="372"/>
    </row>
    <row r="172" spans="1:38" ht="18" customHeight="1" x14ac:dyDescent="0.25">
      <c r="A172" s="80"/>
      <c r="B172" s="80"/>
      <c r="C172" s="80"/>
      <c r="D172" s="80"/>
      <c r="E172" s="80">
        <v>3231</v>
      </c>
      <c r="F172" s="81" t="s">
        <v>206</v>
      </c>
      <c r="G172" s="82" t="e">
        <f>SUMIF(#REF!,funkcijska!$E172,#REF!)</f>
        <v>#REF!</v>
      </c>
      <c r="H172" s="82" t="e">
        <f>SUMIF(#REF!,funkcijska!$E172,#REF!)</f>
        <v>#REF!</v>
      </c>
      <c r="I172" s="82" t="e">
        <f>SUMIF(#REF!,funkcijska!$E172,#REF!)</f>
        <v>#REF!</v>
      </c>
      <c r="J172" s="82" t="e">
        <f>SUMIF(#REF!,funkcijska!$E172,#REF!)</f>
        <v>#REF!</v>
      </c>
      <c r="K172" s="82" t="e">
        <f>SUMIF(#REF!,funkcijska!$E172,#REF!)</f>
        <v>#REF!</v>
      </c>
      <c r="L172" s="82" t="e">
        <f t="shared" ref="L172:L182" si="87">ROUND(K172/J172*100,2)</f>
        <v>#REF!</v>
      </c>
      <c r="M172" s="82" t="e">
        <f t="shared" ref="M172:M182" si="88">N172-J172</f>
        <v>#REF!</v>
      </c>
      <c r="N172" s="102" t="e">
        <f>SUMIF(#REF!,funkcijska!$E172,#REF!)</f>
        <v>#REF!</v>
      </c>
      <c r="O172" s="82" t="e">
        <f>SUMIF(#REF!,funkcijska!$E172,#REF!)</f>
        <v>#REF!</v>
      </c>
      <c r="P172" s="82" t="e">
        <f>SUMIF(#REF!,funkcijska!$E172,#REF!)</f>
        <v>#REF!</v>
      </c>
      <c r="Q172" s="386" t="e">
        <f>SUMIF(#REF!,funkcijska!$E172,#REF!)</f>
        <v>#REF!</v>
      </c>
      <c r="R172" s="82" t="e">
        <f>SUMIF(#REF!,funkcijska!$E172,#REF!)</f>
        <v>#REF!</v>
      </c>
      <c r="S172" s="82" t="e">
        <f>SUMIF(#REF!,funkcijska!$E172,#REF!)</f>
        <v>#REF!</v>
      </c>
      <c r="T172" s="82" t="e">
        <f>SUMIF(#REF!,funkcijska!$E$35,#REF!)</f>
        <v>#REF!</v>
      </c>
      <c r="U172" s="357" t="e">
        <f>SUMIF(#REF!,funkcijska!$E172,#REF!)</f>
        <v>#REF!</v>
      </c>
      <c r="V172" s="357" t="e">
        <f>SUMIF(#REF!,funkcijska!$E172,#REF!)+SUMIF(#REF!,funkcijska!$E172,#REF!)</f>
        <v>#REF!</v>
      </c>
      <c r="W172" s="357" t="e">
        <f>SUMIF(#REF!,funkcijska!$E172,#REF!)+SUMIF(#REF!,funkcijska!$E172,#REF!)</f>
        <v>#REF!</v>
      </c>
      <c r="X172" s="357" t="e">
        <f>SUMIF(#REF!,funkcijska!$E172,#REF!)+SUMIF(#REF!,funkcijska!$E172,#REF!)</f>
        <v>#REF!</v>
      </c>
      <c r="AD172" s="60"/>
      <c r="AE172" s="60"/>
      <c r="AF172" s="60"/>
      <c r="AG172" s="60"/>
      <c r="AH172" s="60"/>
      <c r="AI172" s="60"/>
      <c r="AJ172" s="60"/>
      <c r="AK172" s="60"/>
      <c r="AL172" s="60"/>
    </row>
    <row r="173" spans="1:38" ht="18" customHeight="1" x14ac:dyDescent="0.25">
      <c r="A173" s="80"/>
      <c r="B173" s="80"/>
      <c r="C173" s="80"/>
      <c r="D173" s="80"/>
      <c r="E173" s="80">
        <v>3232</v>
      </c>
      <c r="F173" s="81" t="s">
        <v>207</v>
      </c>
      <c r="G173" s="82" t="e">
        <f>SUMIF(#REF!,funkcijska!$E173,#REF!)</f>
        <v>#REF!</v>
      </c>
      <c r="H173" s="82" t="e">
        <f>SUMIF(#REF!,funkcijska!$E173,#REF!)</f>
        <v>#REF!</v>
      </c>
      <c r="I173" s="82" t="e">
        <f>SUMIF(#REF!,funkcijska!$E173,#REF!)</f>
        <v>#REF!</v>
      </c>
      <c r="J173" s="82" t="e">
        <f>SUMIF(#REF!,funkcijska!$E173,#REF!)</f>
        <v>#REF!</v>
      </c>
      <c r="K173" s="82" t="e">
        <f>SUMIF(#REF!,funkcijska!$E173,#REF!)</f>
        <v>#REF!</v>
      </c>
      <c r="L173" s="82" t="e">
        <f t="shared" si="87"/>
        <v>#REF!</v>
      </c>
      <c r="M173" s="82" t="e">
        <f t="shared" si="88"/>
        <v>#REF!</v>
      </c>
      <c r="N173" s="82" t="e">
        <f>SUMIF(#REF!,funkcijska!$E173,#REF!)</f>
        <v>#REF!</v>
      </c>
      <c r="O173" s="82" t="e">
        <f>SUMIF(#REF!,funkcijska!$E173,#REF!)</f>
        <v>#REF!</v>
      </c>
      <c r="P173" s="82" t="e">
        <f>SUMIF(#REF!,funkcijska!$E173,#REF!)</f>
        <v>#REF!</v>
      </c>
      <c r="Q173" s="386" t="e">
        <f>SUMIF(#REF!,funkcijska!$E173,#REF!)</f>
        <v>#REF!</v>
      </c>
      <c r="R173" s="82" t="e">
        <f>SUMIF(#REF!,funkcijska!$E173,#REF!)</f>
        <v>#REF!</v>
      </c>
      <c r="S173" s="82" t="e">
        <f>SUMIF(#REF!,funkcijska!$E173,#REF!)</f>
        <v>#REF!</v>
      </c>
      <c r="T173" s="82" t="e">
        <f>SUMIF(#REF!,funkcijska!$E$36,#REF!)</f>
        <v>#REF!</v>
      </c>
      <c r="U173" s="357" t="e">
        <f>SUMIF(#REF!,funkcijska!$E173,#REF!)</f>
        <v>#REF!</v>
      </c>
      <c r="V173" s="357" t="e">
        <f>SUMIF(#REF!,funkcijska!$E173,#REF!)+SUMIF(#REF!,funkcijska!$E173,#REF!)</f>
        <v>#REF!</v>
      </c>
      <c r="W173" s="357" t="e">
        <f>SUMIF(#REF!,funkcijska!$E173,#REF!)+SUMIF(#REF!,funkcijska!$E173,#REF!)</f>
        <v>#REF!</v>
      </c>
      <c r="X173" s="357" t="e">
        <f>SUMIF(#REF!,funkcijska!$E173,#REF!)+SUMIF(#REF!,funkcijska!$E173,#REF!)</f>
        <v>#REF!</v>
      </c>
      <c r="AD173" s="60"/>
      <c r="AE173" s="60"/>
      <c r="AF173" s="60"/>
      <c r="AG173" s="60"/>
      <c r="AH173" s="60"/>
      <c r="AI173" s="60"/>
      <c r="AJ173" s="60"/>
      <c r="AK173" s="60"/>
      <c r="AL173" s="60"/>
    </row>
    <row r="174" spans="1:38" ht="19.5" customHeight="1" x14ac:dyDescent="0.25">
      <c r="A174" s="80"/>
      <c r="B174" s="80"/>
      <c r="C174" s="80"/>
      <c r="D174" s="80"/>
      <c r="E174" s="80">
        <v>3233</v>
      </c>
      <c r="F174" s="81" t="s">
        <v>528</v>
      </c>
      <c r="G174" s="82" t="e">
        <f>SUMIF(#REF!,funkcijska!$E174,#REF!)</f>
        <v>#REF!</v>
      </c>
      <c r="H174" s="82" t="e">
        <f>SUMIF(#REF!,funkcijska!$E174,#REF!)</f>
        <v>#REF!</v>
      </c>
      <c r="I174" s="82" t="e">
        <f>SUMIF(#REF!,funkcijska!$E174,#REF!)</f>
        <v>#REF!</v>
      </c>
      <c r="J174" s="82" t="e">
        <f>SUMIF(#REF!,funkcijska!$E174,#REF!)</f>
        <v>#REF!</v>
      </c>
      <c r="K174" s="82" t="e">
        <f>SUMIF(#REF!,funkcijska!$E174,#REF!)</f>
        <v>#REF!</v>
      </c>
      <c r="L174" s="82" t="e">
        <f t="shared" si="87"/>
        <v>#REF!</v>
      </c>
      <c r="M174" s="82" t="e">
        <f t="shared" si="88"/>
        <v>#REF!</v>
      </c>
      <c r="N174" s="102" t="e">
        <f>SUMIF(#REF!,funkcijska!$E174,#REF!)</f>
        <v>#REF!</v>
      </c>
      <c r="O174" s="82" t="e">
        <f>SUMIF(#REF!,funkcijska!$E174,#REF!)</f>
        <v>#REF!</v>
      </c>
      <c r="P174" s="82" t="e">
        <f>SUMIF(#REF!,funkcijska!$E174,#REF!)</f>
        <v>#REF!</v>
      </c>
      <c r="Q174" s="386" t="e">
        <f>SUMIF(#REF!,funkcijska!$E174,#REF!)</f>
        <v>#REF!</v>
      </c>
      <c r="R174" s="82" t="e">
        <f>SUMIF(#REF!,funkcijska!$E174,#REF!)</f>
        <v>#REF!</v>
      </c>
      <c r="S174" s="82" t="e">
        <f>SUMIF(#REF!,funkcijska!$E174,#REF!)</f>
        <v>#REF!</v>
      </c>
      <c r="T174" s="82" t="e">
        <f>SUMIF(#REF!,funkcijska!$E$37,#REF!)</f>
        <v>#REF!</v>
      </c>
      <c r="U174" s="357" t="e">
        <f>SUMIF(#REF!,funkcijska!$E174,#REF!)</f>
        <v>#REF!</v>
      </c>
      <c r="V174" s="357" t="e">
        <f>SUMIF(#REF!,funkcijska!$E174,#REF!)+SUMIF(#REF!,funkcijska!$E174,#REF!)</f>
        <v>#REF!</v>
      </c>
      <c r="W174" s="357" t="e">
        <f>SUMIF(#REF!,funkcijska!$E174,#REF!)+SUMIF(#REF!,funkcijska!$E174,#REF!)</f>
        <v>#REF!</v>
      </c>
      <c r="X174" s="357" t="e">
        <f>SUMIF(#REF!,funkcijska!$E174,#REF!)+SUMIF(#REF!,funkcijska!$E174,#REF!)</f>
        <v>#REF!</v>
      </c>
      <c r="AD174" s="60"/>
      <c r="AE174" s="60"/>
      <c r="AF174" s="60"/>
      <c r="AG174" s="60"/>
      <c r="AH174" s="60"/>
      <c r="AI174" s="60"/>
      <c r="AJ174" s="60"/>
      <c r="AK174" s="60"/>
      <c r="AL174" s="60"/>
    </row>
    <row r="175" spans="1:38" ht="18.75" customHeight="1" x14ac:dyDescent="0.25">
      <c r="A175" s="80"/>
      <c r="B175" s="80"/>
      <c r="C175" s="80"/>
      <c r="D175" s="80"/>
      <c r="E175" s="80">
        <v>3234</v>
      </c>
      <c r="F175" s="81" t="s">
        <v>238</v>
      </c>
      <c r="G175" s="82" t="e">
        <f>SUMIF(#REF!,funkcijska!$E175,#REF!)</f>
        <v>#REF!</v>
      </c>
      <c r="H175" s="82" t="e">
        <f>SUMIF(#REF!,funkcijska!$E175,#REF!)</f>
        <v>#REF!</v>
      </c>
      <c r="I175" s="82" t="e">
        <f>SUMIF(#REF!,funkcijska!$E175,#REF!)</f>
        <v>#REF!</v>
      </c>
      <c r="J175" s="82" t="e">
        <f>SUMIF(#REF!,funkcijska!$E175,#REF!)</f>
        <v>#REF!</v>
      </c>
      <c r="K175" s="82" t="e">
        <f>SUMIF(#REF!,funkcijska!$E175,#REF!)</f>
        <v>#REF!</v>
      </c>
      <c r="L175" s="82" t="e">
        <f t="shared" si="87"/>
        <v>#REF!</v>
      </c>
      <c r="M175" s="82" t="e">
        <f t="shared" si="88"/>
        <v>#REF!</v>
      </c>
      <c r="N175" s="102" t="e">
        <f>SUMIF(#REF!,funkcijska!$E175,#REF!)</f>
        <v>#REF!</v>
      </c>
      <c r="O175" s="82" t="e">
        <f>SUMIF(#REF!,funkcijska!$E175,#REF!)</f>
        <v>#REF!</v>
      </c>
      <c r="P175" s="82" t="e">
        <f>SUMIF(#REF!,funkcijska!$E175,#REF!)</f>
        <v>#REF!</v>
      </c>
      <c r="Q175" s="386" t="e">
        <f>SUMIF(#REF!,funkcijska!$E175,#REF!)</f>
        <v>#REF!</v>
      </c>
      <c r="R175" s="82" t="e">
        <f>SUMIF(#REF!,funkcijska!$E175,#REF!)</f>
        <v>#REF!</v>
      </c>
      <c r="S175" s="82" t="e">
        <f>SUMIF(#REF!,funkcijska!$E175,#REF!)</f>
        <v>#REF!</v>
      </c>
      <c r="T175" s="82" t="e">
        <f>SUMIF(#REF!,funkcijska!$E$38,#REF!)</f>
        <v>#REF!</v>
      </c>
      <c r="U175" s="357" t="e">
        <f>SUMIF(#REF!,funkcijska!$E175,#REF!)</f>
        <v>#REF!</v>
      </c>
      <c r="V175" s="357" t="e">
        <f>SUMIF(#REF!,funkcijska!$E175,#REF!)+SUMIF(#REF!,funkcijska!$E175,#REF!)</f>
        <v>#REF!</v>
      </c>
      <c r="W175" s="357" t="e">
        <f>SUMIF(#REF!,funkcijska!$E175,#REF!)+SUMIF(#REF!,funkcijska!$E175,#REF!)</f>
        <v>#REF!</v>
      </c>
      <c r="X175" s="357" t="e">
        <f>SUMIF(#REF!,funkcijska!$E175,#REF!)+SUMIF(#REF!,funkcijska!$E175,#REF!)</f>
        <v>#REF!</v>
      </c>
      <c r="AD175" s="60"/>
      <c r="AE175" s="60"/>
      <c r="AF175" s="60"/>
      <c r="AG175" s="60"/>
      <c r="AH175" s="60"/>
      <c r="AI175" s="60"/>
      <c r="AJ175" s="60"/>
      <c r="AK175" s="60"/>
      <c r="AL175" s="60"/>
    </row>
    <row r="176" spans="1:38" ht="21" customHeight="1" x14ac:dyDescent="0.25">
      <c r="A176" s="80"/>
      <c r="B176" s="80"/>
      <c r="C176" s="80"/>
      <c r="D176" s="80"/>
      <c r="E176" s="80">
        <v>3235</v>
      </c>
      <c r="F176" s="81" t="s">
        <v>640</v>
      </c>
      <c r="G176" s="82" t="e">
        <f>SUMIF(#REF!,funkcijska!$E176,#REF!)</f>
        <v>#REF!</v>
      </c>
      <c r="H176" s="82" t="e">
        <f>SUMIF(#REF!,funkcijska!$E176,#REF!)</f>
        <v>#REF!</v>
      </c>
      <c r="I176" s="82" t="e">
        <f>SUMIF(#REF!,funkcijska!$E176,#REF!)</f>
        <v>#REF!</v>
      </c>
      <c r="J176" s="82" t="e">
        <f>SUMIF(#REF!,funkcijska!$E176,#REF!)</f>
        <v>#REF!</v>
      </c>
      <c r="K176" s="82" t="e">
        <f>SUMIF(#REF!,funkcijska!$E176,#REF!)</f>
        <v>#REF!</v>
      </c>
      <c r="L176" s="82" t="e">
        <f t="shared" si="87"/>
        <v>#REF!</v>
      </c>
      <c r="M176" s="82" t="e">
        <f t="shared" si="88"/>
        <v>#REF!</v>
      </c>
      <c r="N176" s="102" t="e">
        <f>SUMIF(#REF!,funkcijska!$E176,#REF!)</f>
        <v>#REF!</v>
      </c>
      <c r="O176" s="82" t="e">
        <f>SUMIF(#REF!,funkcijska!$E176,#REF!)</f>
        <v>#REF!</v>
      </c>
      <c r="P176" s="82" t="e">
        <f>SUMIF(#REF!,funkcijska!$E176,#REF!)</f>
        <v>#REF!</v>
      </c>
      <c r="Q176" s="386" t="e">
        <f>SUMIF(#REF!,funkcijska!$E176,#REF!)</f>
        <v>#REF!</v>
      </c>
      <c r="R176" s="82" t="e">
        <f>SUMIF(#REF!,funkcijska!$E176,#REF!)</f>
        <v>#REF!</v>
      </c>
      <c r="S176" s="82" t="e">
        <f>SUMIF(#REF!,funkcijska!$E176,#REF!)</f>
        <v>#REF!</v>
      </c>
      <c r="T176" s="82" t="e">
        <f>SUMIF(#REF!,funkcijska!$E$39,#REF!)</f>
        <v>#REF!</v>
      </c>
      <c r="U176" s="357" t="e">
        <f>SUMIF(#REF!,funkcijska!$E176,#REF!)</f>
        <v>#REF!</v>
      </c>
      <c r="V176" s="357" t="e">
        <f>SUMIF(#REF!,funkcijska!$E176,#REF!)+SUMIF(#REF!,funkcijska!$E176,#REF!)</f>
        <v>#REF!</v>
      </c>
      <c r="W176" s="357" t="e">
        <f>SUMIF(#REF!,funkcijska!$E176,#REF!)+SUMIF(#REF!,funkcijska!$E176,#REF!)</f>
        <v>#REF!</v>
      </c>
      <c r="X176" s="357" t="e">
        <f>SUMIF(#REF!,funkcijska!$E176,#REF!)+SUMIF(#REF!,funkcijska!$E176,#REF!)</f>
        <v>#REF!</v>
      </c>
      <c r="AD176" s="60"/>
      <c r="AE176" s="60"/>
      <c r="AF176" s="60"/>
      <c r="AG176" s="60"/>
      <c r="AH176" s="60"/>
      <c r="AI176" s="60"/>
      <c r="AJ176" s="60"/>
      <c r="AK176" s="60"/>
      <c r="AL176" s="60"/>
    </row>
    <row r="177" spans="1:38" ht="20.25" customHeight="1" x14ac:dyDescent="0.25">
      <c r="A177" s="80"/>
      <c r="B177" s="80"/>
      <c r="C177" s="80"/>
      <c r="D177" s="80"/>
      <c r="E177" s="80">
        <v>3236</v>
      </c>
      <c r="F177" s="81" t="s">
        <v>843</v>
      </c>
      <c r="G177" s="82" t="e">
        <f>SUMIF(#REF!,funkcijska!$E177,#REF!)</f>
        <v>#REF!</v>
      </c>
      <c r="H177" s="82" t="e">
        <f>SUMIF(#REF!,funkcijska!$E177,#REF!)</f>
        <v>#REF!</v>
      </c>
      <c r="I177" s="82" t="e">
        <f>SUMIF(#REF!,funkcijska!$E177,#REF!)</f>
        <v>#REF!</v>
      </c>
      <c r="J177" s="82" t="e">
        <f>SUMIF(#REF!,funkcijska!$E177,#REF!)</f>
        <v>#REF!</v>
      </c>
      <c r="K177" s="82" t="e">
        <f>SUMIF(#REF!,funkcijska!$E177,#REF!)</f>
        <v>#REF!</v>
      </c>
      <c r="L177" s="82" t="e">
        <f t="shared" si="87"/>
        <v>#REF!</v>
      </c>
      <c r="M177" s="82" t="e">
        <f t="shared" si="88"/>
        <v>#REF!</v>
      </c>
      <c r="N177" s="102" t="e">
        <f>SUMIF(#REF!,funkcijska!$E177,#REF!)</f>
        <v>#REF!</v>
      </c>
      <c r="O177" s="82" t="e">
        <f>SUMIF(#REF!,funkcijska!$E177,#REF!)</f>
        <v>#REF!</v>
      </c>
      <c r="P177" s="82" t="e">
        <f>SUMIF(#REF!,funkcijska!$E177,#REF!)</f>
        <v>#REF!</v>
      </c>
      <c r="Q177" s="386" t="e">
        <f>SUMIF(#REF!,funkcijska!$E177,#REF!)</f>
        <v>#REF!</v>
      </c>
      <c r="R177" s="82" t="e">
        <f>SUMIF(#REF!,funkcijska!$E177,#REF!)</f>
        <v>#REF!</v>
      </c>
      <c r="S177" s="82" t="e">
        <f>SUMIF(#REF!,funkcijska!$E177,#REF!)</f>
        <v>#REF!</v>
      </c>
      <c r="T177" s="82" t="e">
        <f>SUMIF(#REF!,funkcijska!$E$40,#REF!)</f>
        <v>#REF!</v>
      </c>
      <c r="U177" s="357" t="e">
        <f>SUMIF(#REF!,funkcijska!$E177,#REF!)</f>
        <v>#REF!</v>
      </c>
      <c r="V177" s="357" t="e">
        <f>SUMIF(#REF!,funkcijska!$E177,#REF!)+SUMIF(#REF!,funkcijska!$E177,#REF!)</f>
        <v>#REF!</v>
      </c>
      <c r="W177" s="357" t="e">
        <f>SUMIF(#REF!,funkcijska!$E177,#REF!)+SUMIF(#REF!,funkcijska!$E177,#REF!)</f>
        <v>#REF!</v>
      </c>
      <c r="X177" s="357" t="e">
        <f>SUMIF(#REF!,funkcijska!$E177,#REF!)+SUMIF(#REF!,funkcijska!$E177,#REF!)</f>
        <v>#REF!</v>
      </c>
      <c r="AD177" s="60"/>
      <c r="AE177" s="60"/>
      <c r="AF177" s="60"/>
      <c r="AG177" s="60"/>
      <c r="AH177" s="60"/>
      <c r="AI177" s="60"/>
      <c r="AJ177" s="60"/>
      <c r="AK177" s="60"/>
      <c r="AL177" s="60"/>
    </row>
    <row r="178" spans="1:38" ht="20.25" customHeight="1" x14ac:dyDescent="0.25">
      <c r="A178" s="80"/>
      <c r="B178" s="80"/>
      <c r="C178" s="80"/>
      <c r="D178" s="80"/>
      <c r="E178" s="80">
        <v>3237</v>
      </c>
      <c r="F178" s="81" t="s">
        <v>566</v>
      </c>
      <c r="G178" s="82" t="e">
        <f>SUMIF(#REF!,funkcijska!$E178,#REF!)</f>
        <v>#REF!</v>
      </c>
      <c r="H178" s="82" t="e">
        <f>SUMIF(#REF!,funkcijska!$E178,#REF!)</f>
        <v>#REF!</v>
      </c>
      <c r="I178" s="82" t="e">
        <f>SUMIF(#REF!,funkcijska!$E178,#REF!)</f>
        <v>#REF!</v>
      </c>
      <c r="J178" s="82" t="e">
        <f>SUMIF(#REF!,funkcijska!$E178,#REF!)</f>
        <v>#REF!</v>
      </c>
      <c r="K178" s="82" t="e">
        <f>SUMIF(#REF!,funkcijska!$E178,#REF!)</f>
        <v>#REF!</v>
      </c>
      <c r="L178" s="82" t="e">
        <f t="shared" si="87"/>
        <v>#REF!</v>
      </c>
      <c r="M178" s="82" t="e">
        <f t="shared" si="88"/>
        <v>#REF!</v>
      </c>
      <c r="N178" s="102" t="e">
        <f>SUMIF(#REF!,funkcijska!$E178,#REF!)</f>
        <v>#REF!</v>
      </c>
      <c r="O178" s="82" t="e">
        <f>SUMIF(#REF!,funkcijska!$E178,#REF!)</f>
        <v>#REF!</v>
      </c>
      <c r="P178" s="82" t="e">
        <f>SUMIF(#REF!,funkcijska!$E178,#REF!)</f>
        <v>#REF!</v>
      </c>
      <c r="Q178" s="386" t="e">
        <f>SUMIF(#REF!,funkcijska!$E178,#REF!)</f>
        <v>#REF!</v>
      </c>
      <c r="R178" s="82" t="e">
        <f>SUMIF(#REF!,funkcijska!$E178,#REF!)</f>
        <v>#REF!</v>
      </c>
      <c r="S178" s="82" t="e">
        <f>SUMIF(#REF!,funkcijska!$E178,#REF!)</f>
        <v>#REF!</v>
      </c>
      <c r="T178" s="82" t="e">
        <f>SUMIF(#REF!,funkcijska!$E$41,#REF!)</f>
        <v>#REF!</v>
      </c>
      <c r="U178" s="357" t="e">
        <f>SUMIF(#REF!,funkcijska!$E178,#REF!)</f>
        <v>#REF!</v>
      </c>
      <c r="V178" s="357" t="e">
        <f>SUMIF(#REF!,funkcijska!$E178,#REF!)+SUMIF(#REF!,funkcijska!$E178,#REF!)</f>
        <v>#REF!</v>
      </c>
      <c r="W178" s="357" t="e">
        <f>SUMIF(#REF!,funkcijska!$E178,#REF!)+SUMIF(#REF!,funkcijska!$E178,#REF!)</f>
        <v>#REF!</v>
      </c>
      <c r="X178" s="357" t="e">
        <f>SUMIF(#REF!,funkcijska!$E178,#REF!)+SUMIF(#REF!,funkcijska!$E178,#REF!)</f>
        <v>#REF!</v>
      </c>
      <c r="AD178" s="60"/>
      <c r="AE178" s="60"/>
      <c r="AF178" s="60"/>
      <c r="AG178" s="60"/>
      <c r="AH178" s="60"/>
      <c r="AI178" s="60"/>
      <c r="AJ178" s="60"/>
      <c r="AK178" s="60"/>
      <c r="AL178" s="60"/>
    </row>
    <row r="179" spans="1:38" ht="16.5" customHeight="1" x14ac:dyDescent="0.25">
      <c r="A179" s="80"/>
      <c r="B179" s="80"/>
      <c r="C179" s="80"/>
      <c r="D179" s="80"/>
      <c r="E179" s="80">
        <v>3238</v>
      </c>
      <c r="F179" s="81" t="s">
        <v>398</v>
      </c>
      <c r="G179" s="82" t="e">
        <f>SUMIF(#REF!,funkcijska!$E179,#REF!)</f>
        <v>#REF!</v>
      </c>
      <c r="H179" s="82" t="e">
        <f>SUMIF(#REF!,funkcijska!$E179,#REF!)</f>
        <v>#REF!</v>
      </c>
      <c r="I179" s="82" t="e">
        <f>SUMIF(#REF!,funkcijska!$E179,#REF!)</f>
        <v>#REF!</v>
      </c>
      <c r="J179" s="82" t="e">
        <f>SUMIF(#REF!,funkcijska!$E179,#REF!)</f>
        <v>#REF!</v>
      </c>
      <c r="K179" s="82" t="e">
        <f>SUMIF(#REF!,funkcijska!$E179,#REF!)</f>
        <v>#REF!</v>
      </c>
      <c r="L179" s="82" t="e">
        <f t="shared" si="87"/>
        <v>#REF!</v>
      </c>
      <c r="M179" s="82" t="e">
        <f t="shared" si="88"/>
        <v>#REF!</v>
      </c>
      <c r="N179" s="82" t="e">
        <f>SUMIF(#REF!,funkcijska!$E179,#REF!)</f>
        <v>#REF!</v>
      </c>
      <c r="O179" s="82" t="e">
        <f>SUMIF(#REF!,funkcijska!$E179,#REF!)</f>
        <v>#REF!</v>
      </c>
      <c r="P179" s="82" t="e">
        <f>SUMIF(#REF!,funkcijska!$E179,#REF!)</f>
        <v>#REF!</v>
      </c>
      <c r="Q179" s="386" t="e">
        <f>SUMIF(#REF!,funkcijska!$E179,#REF!)</f>
        <v>#REF!</v>
      </c>
      <c r="R179" s="82" t="e">
        <f>SUMIF(#REF!,funkcijska!$E179,#REF!)</f>
        <v>#REF!</v>
      </c>
      <c r="S179" s="82" t="e">
        <f>SUMIF(#REF!,funkcijska!$E179,#REF!)</f>
        <v>#REF!</v>
      </c>
      <c r="T179" s="82" t="e">
        <f>SUMIF(#REF!,funkcijska!$E$42,#REF!)</f>
        <v>#REF!</v>
      </c>
      <c r="U179" s="357" t="e">
        <f>SUMIF(#REF!,funkcijska!$E179,#REF!)</f>
        <v>#REF!</v>
      </c>
      <c r="V179" s="357" t="e">
        <f>SUMIF(#REF!,funkcijska!$E179,#REF!)+SUMIF(#REF!,funkcijska!$E179,#REF!)</f>
        <v>#REF!</v>
      </c>
      <c r="W179" s="357" t="e">
        <f>SUMIF(#REF!,funkcijska!$E179,#REF!)+SUMIF(#REF!,funkcijska!$E179,#REF!)</f>
        <v>#REF!</v>
      </c>
      <c r="X179" s="357" t="e">
        <f>SUMIF(#REF!,funkcijska!$E179,#REF!)+SUMIF(#REF!,funkcijska!$E179,#REF!)</f>
        <v>#REF!</v>
      </c>
      <c r="AD179" s="60"/>
      <c r="AE179" s="60"/>
      <c r="AF179" s="60"/>
      <c r="AG179" s="60"/>
      <c r="AH179" s="60"/>
      <c r="AI179" s="60"/>
      <c r="AJ179" s="60"/>
      <c r="AK179" s="60"/>
      <c r="AL179" s="60"/>
    </row>
    <row r="180" spans="1:38" ht="18" customHeight="1" x14ac:dyDescent="0.25">
      <c r="A180" s="80"/>
      <c r="B180" s="80"/>
      <c r="C180" s="80"/>
      <c r="D180" s="80"/>
      <c r="E180" s="80">
        <v>3239</v>
      </c>
      <c r="F180" s="81" t="s">
        <v>1017</v>
      </c>
      <c r="G180" s="82" t="e">
        <f>SUMIF(#REF!,funkcijska!$E180,#REF!)</f>
        <v>#REF!</v>
      </c>
      <c r="H180" s="82" t="e">
        <f>SUMIF(#REF!,funkcijska!$E180,#REF!)</f>
        <v>#REF!</v>
      </c>
      <c r="I180" s="82" t="e">
        <f>SUMIF(#REF!,funkcijska!$E180,#REF!)</f>
        <v>#REF!</v>
      </c>
      <c r="J180" s="82" t="e">
        <f>SUMIF(#REF!,funkcijska!$E180,#REF!)</f>
        <v>#REF!</v>
      </c>
      <c r="K180" s="82" t="e">
        <f>SUMIF(#REF!,funkcijska!$E180,#REF!)</f>
        <v>#REF!</v>
      </c>
      <c r="L180" s="82" t="e">
        <f t="shared" si="87"/>
        <v>#REF!</v>
      </c>
      <c r="M180" s="82" t="e">
        <f t="shared" si="88"/>
        <v>#REF!</v>
      </c>
      <c r="N180" s="82" t="e">
        <f>SUMIF(#REF!,funkcijska!$E180,#REF!)</f>
        <v>#REF!</v>
      </c>
      <c r="O180" s="82" t="e">
        <f>SUMIF(#REF!,funkcijska!$E180,#REF!)</f>
        <v>#REF!</v>
      </c>
      <c r="P180" s="82" t="e">
        <f>SUMIF(#REF!,funkcijska!$E180,#REF!)</f>
        <v>#REF!</v>
      </c>
      <c r="Q180" s="386" t="e">
        <f>SUMIF(#REF!,funkcijska!$E180,#REF!)</f>
        <v>#REF!</v>
      </c>
      <c r="R180" s="82" t="e">
        <f>SUMIF(#REF!,funkcijska!$E180,#REF!)</f>
        <v>#REF!</v>
      </c>
      <c r="S180" s="82" t="e">
        <f>SUMIF(#REF!,funkcijska!$E180,#REF!)</f>
        <v>#REF!</v>
      </c>
      <c r="T180" s="82" t="e">
        <f>SUMIF(#REF!,funkcijska!$E$43,#REF!)</f>
        <v>#REF!</v>
      </c>
      <c r="U180" s="357" t="e">
        <f>SUMIF(#REF!,funkcijska!$E180,#REF!)</f>
        <v>#REF!</v>
      </c>
      <c r="V180" s="357" t="e">
        <f>SUMIF(#REF!,funkcijska!$E180,#REF!)+SUMIF(#REF!,funkcijska!$E180,#REF!)</f>
        <v>#REF!</v>
      </c>
      <c r="W180" s="357" t="e">
        <f>SUMIF(#REF!,funkcijska!$E180,#REF!)+SUMIF(#REF!,funkcijska!$E180,#REF!)</f>
        <v>#REF!</v>
      </c>
      <c r="X180" s="357" t="e">
        <f>SUMIF(#REF!,funkcijska!$E180,#REF!)+SUMIF(#REF!,funkcijska!$E180,#REF!)</f>
        <v>#REF!</v>
      </c>
      <c r="AD180" s="60"/>
      <c r="AE180" s="60"/>
      <c r="AF180" s="60"/>
      <c r="AG180" s="60"/>
      <c r="AH180" s="60"/>
      <c r="AI180" s="60"/>
      <c r="AJ180" s="60"/>
      <c r="AK180" s="60"/>
      <c r="AL180" s="60"/>
    </row>
    <row r="181" spans="1:38" s="376" customFormat="1" ht="18.75" customHeight="1" x14ac:dyDescent="0.25">
      <c r="A181" s="119"/>
      <c r="B181" s="119"/>
      <c r="C181" s="119"/>
      <c r="D181" s="119">
        <v>324</v>
      </c>
      <c r="E181" s="119"/>
      <c r="F181" s="368" t="s">
        <v>530</v>
      </c>
      <c r="G181" s="137" t="e">
        <f>G182</f>
        <v>#REF!</v>
      </c>
      <c r="H181" s="137" t="e">
        <f>H182</f>
        <v>#REF!</v>
      </c>
      <c r="I181" s="137" t="e">
        <f>I182</f>
        <v>#REF!</v>
      </c>
      <c r="J181" s="137" t="e">
        <f>J182</f>
        <v>#REF!</v>
      </c>
      <c r="K181" s="137" t="e">
        <f>K182</f>
        <v>#REF!</v>
      </c>
      <c r="L181" s="137" t="e">
        <f t="shared" si="87"/>
        <v>#REF!</v>
      </c>
      <c r="M181" s="137" t="e">
        <f t="shared" si="88"/>
        <v>#REF!</v>
      </c>
      <c r="N181" s="137" t="e">
        <f t="shared" ref="N181:X181" si="89">N182</f>
        <v>#REF!</v>
      </c>
      <c r="O181" s="137" t="e">
        <f t="shared" si="89"/>
        <v>#REF!</v>
      </c>
      <c r="P181" s="137" t="e">
        <f t="shared" si="89"/>
        <v>#REF!</v>
      </c>
      <c r="Q181" s="393" t="e">
        <f t="shared" si="89"/>
        <v>#REF!</v>
      </c>
      <c r="R181" s="137" t="e">
        <f t="shared" si="89"/>
        <v>#REF!</v>
      </c>
      <c r="S181" s="137" t="e">
        <f t="shared" si="89"/>
        <v>#REF!</v>
      </c>
      <c r="T181" s="137" t="e">
        <f t="shared" si="89"/>
        <v>#REF!</v>
      </c>
      <c r="U181" s="371" t="e">
        <f t="shared" si="89"/>
        <v>#REF!</v>
      </c>
      <c r="V181" s="371" t="e">
        <f t="shared" si="89"/>
        <v>#REF!</v>
      </c>
      <c r="W181" s="371" t="e">
        <f t="shared" si="89"/>
        <v>#REF!</v>
      </c>
      <c r="X181" s="371" t="e">
        <f t="shared" si="89"/>
        <v>#REF!</v>
      </c>
      <c r="Y181" s="372"/>
      <c r="Z181" s="372"/>
      <c r="AA181" s="372"/>
      <c r="AB181" s="372"/>
      <c r="AC181" s="372"/>
      <c r="AD181" s="375"/>
      <c r="AE181" s="375"/>
      <c r="AF181" s="375"/>
      <c r="AG181" s="375"/>
      <c r="AH181" s="375"/>
      <c r="AI181" s="375"/>
      <c r="AJ181" s="375"/>
      <c r="AK181" s="375"/>
      <c r="AL181" s="375"/>
    </row>
    <row r="182" spans="1:38" ht="16.5" customHeight="1" x14ac:dyDescent="0.25">
      <c r="A182" s="133"/>
      <c r="B182" s="133"/>
      <c r="C182" s="133"/>
      <c r="D182" s="133"/>
      <c r="E182" s="133">
        <v>3241</v>
      </c>
      <c r="F182" s="134" t="s">
        <v>530</v>
      </c>
      <c r="G182" s="82" t="e">
        <f>SUMIF(#REF!,funkcijska!$E182,#REF!)</f>
        <v>#REF!</v>
      </c>
      <c r="H182" s="82" t="e">
        <f>SUMIF(#REF!,funkcijska!$E182,#REF!)</f>
        <v>#REF!</v>
      </c>
      <c r="I182" s="82" t="e">
        <f>SUMIF(#REF!,funkcijska!$E182,#REF!)</f>
        <v>#REF!</v>
      </c>
      <c r="J182" s="82" t="e">
        <f>SUMIF(#REF!,funkcijska!$E182,#REF!)</f>
        <v>#REF!</v>
      </c>
      <c r="K182" s="82" t="e">
        <f>SUMIF(#REF!,funkcijska!$E182,#REF!)</f>
        <v>#REF!</v>
      </c>
      <c r="L182" s="82" t="e">
        <f t="shared" si="87"/>
        <v>#REF!</v>
      </c>
      <c r="M182" s="82" t="e">
        <f t="shared" si="88"/>
        <v>#REF!</v>
      </c>
      <c r="N182" s="82" t="e">
        <f>SUMIF(#REF!,funkcijska!$E182,#REF!)</f>
        <v>#REF!</v>
      </c>
      <c r="O182" s="82" t="e">
        <f>SUMIF(#REF!,funkcijska!$E182,#REF!)</f>
        <v>#REF!</v>
      </c>
      <c r="P182" s="82" t="e">
        <f>SUMIF(#REF!,funkcijska!$E182,#REF!)</f>
        <v>#REF!</v>
      </c>
      <c r="Q182" s="386" t="e">
        <f>SUMIF(#REF!,funkcijska!$E182,#REF!)</f>
        <v>#REF!</v>
      </c>
      <c r="R182" s="82" t="e">
        <f>SUMIF(#REF!,funkcijska!$E182,#REF!)</f>
        <v>#REF!</v>
      </c>
      <c r="S182" s="82" t="e">
        <f>SUMIF(#REF!,funkcijska!$E182,#REF!)</f>
        <v>#REF!</v>
      </c>
      <c r="T182" s="82" t="e">
        <f>SUMIF(#REF!,funkcijska!$E$45,#REF!)</f>
        <v>#REF!</v>
      </c>
      <c r="U182" s="357" t="e">
        <f>SUMIF(#REF!,funkcijska!$E182,#REF!)</f>
        <v>#REF!</v>
      </c>
      <c r="V182" s="357" t="e">
        <f>SUMIF(#REF!,funkcijska!$E182,#REF!)+SUMIF(#REF!,funkcijska!$E182,#REF!)</f>
        <v>#REF!</v>
      </c>
      <c r="W182" s="357" t="e">
        <f>SUMIF(#REF!,funkcijska!$E182,#REF!)+SUMIF(#REF!,funkcijska!$E182,#REF!)</f>
        <v>#REF!</v>
      </c>
      <c r="X182" s="357" t="e">
        <f>SUMIF(#REF!,funkcijska!$E182,#REF!)+SUMIF(#REF!,funkcijska!$E182,#REF!)</f>
        <v>#REF!</v>
      </c>
      <c r="AD182" s="300"/>
      <c r="AE182" s="300"/>
      <c r="AF182" s="300"/>
      <c r="AG182" s="300"/>
      <c r="AH182" s="300"/>
      <c r="AI182" s="300"/>
      <c r="AJ182" s="300"/>
      <c r="AK182" s="60"/>
      <c r="AL182" s="60"/>
    </row>
    <row r="183" spans="1:38" s="376" customFormat="1" ht="16.5" customHeight="1" x14ac:dyDescent="0.25">
      <c r="A183" s="119"/>
      <c r="B183" s="119"/>
      <c r="C183" s="119"/>
      <c r="D183" s="119" t="str">
        <f>LEFT(E184,3)</f>
        <v>329</v>
      </c>
      <c r="E183" s="119"/>
      <c r="F183" s="368" t="s">
        <v>531</v>
      </c>
      <c r="G183" s="369" t="e">
        <f t="shared" ref="G183:X183" si="90">SUM(G184:G189)</f>
        <v>#REF!</v>
      </c>
      <c r="H183" s="370" t="e">
        <f t="shared" si="90"/>
        <v>#REF!</v>
      </c>
      <c r="I183" s="369" t="e">
        <f t="shared" si="90"/>
        <v>#REF!</v>
      </c>
      <c r="J183" s="369" t="e">
        <f t="shared" si="90"/>
        <v>#REF!</v>
      </c>
      <c r="K183" s="369" t="e">
        <f t="shared" si="90"/>
        <v>#REF!</v>
      </c>
      <c r="L183" s="369" t="e">
        <f t="shared" si="90"/>
        <v>#REF!</v>
      </c>
      <c r="M183" s="369" t="e">
        <f t="shared" si="90"/>
        <v>#REF!</v>
      </c>
      <c r="N183" s="369" t="e">
        <f t="shared" si="90"/>
        <v>#REF!</v>
      </c>
      <c r="O183" s="369" t="e">
        <f t="shared" si="90"/>
        <v>#REF!</v>
      </c>
      <c r="P183" s="369" t="e">
        <f t="shared" si="90"/>
        <v>#REF!</v>
      </c>
      <c r="Q183" s="392" t="e">
        <f t="shared" si="90"/>
        <v>#REF!</v>
      </c>
      <c r="R183" s="369" t="e">
        <f t="shared" si="90"/>
        <v>#REF!</v>
      </c>
      <c r="S183" s="369" t="e">
        <f t="shared" si="90"/>
        <v>#REF!</v>
      </c>
      <c r="T183" s="369" t="e">
        <f t="shared" si="90"/>
        <v>#REF!</v>
      </c>
      <c r="U183" s="371" t="e">
        <f t="shared" si="90"/>
        <v>#REF!</v>
      </c>
      <c r="V183" s="371" t="e">
        <f t="shared" si="90"/>
        <v>#REF!</v>
      </c>
      <c r="W183" s="371" t="e">
        <f t="shared" si="90"/>
        <v>#REF!</v>
      </c>
      <c r="X183" s="371" t="e">
        <f t="shared" si="90"/>
        <v>#REF!</v>
      </c>
      <c r="Y183" s="372"/>
      <c r="Z183" s="372"/>
      <c r="AA183" s="372"/>
      <c r="AB183" s="372"/>
      <c r="AC183" s="372"/>
      <c r="AD183" s="377"/>
      <c r="AE183" s="377"/>
      <c r="AF183" s="377"/>
      <c r="AG183" s="377"/>
      <c r="AH183" s="377"/>
      <c r="AI183" s="377"/>
      <c r="AJ183" s="377"/>
      <c r="AK183" s="375"/>
      <c r="AL183" s="375"/>
    </row>
    <row r="184" spans="1:38" ht="36.75" customHeight="1" x14ac:dyDescent="0.25">
      <c r="A184" s="133"/>
      <c r="B184" s="133"/>
      <c r="C184" s="133"/>
      <c r="D184" s="133"/>
      <c r="E184" s="133">
        <v>3291</v>
      </c>
      <c r="F184" s="134" t="s">
        <v>532</v>
      </c>
      <c r="G184" s="82" t="e">
        <f>SUMIF(#REF!,funkcijska!$E184,#REF!)</f>
        <v>#REF!</v>
      </c>
      <c r="H184" s="82" t="e">
        <f>SUMIF(#REF!,funkcijska!$E184,#REF!)</f>
        <v>#REF!</v>
      </c>
      <c r="I184" s="82" t="e">
        <f>SUMIF(#REF!,funkcijska!$E184,#REF!)</f>
        <v>#REF!</v>
      </c>
      <c r="J184" s="82" t="e">
        <f>SUMIF(#REF!,funkcijska!$E184,#REF!)</f>
        <v>#REF!</v>
      </c>
      <c r="K184" s="82" t="e">
        <f>SUMIF(#REF!,funkcijska!$E184,#REF!)</f>
        <v>#REF!</v>
      </c>
      <c r="L184" s="82" t="e">
        <f t="shared" ref="L184:L192" si="91">ROUND(K184/J184*100,2)</f>
        <v>#REF!</v>
      </c>
      <c r="M184" s="82" t="e">
        <f t="shared" ref="M184:M192" si="92">N184-J184</f>
        <v>#REF!</v>
      </c>
      <c r="N184" s="82" t="e">
        <f>SUMIF(#REF!,funkcijska!$E184,#REF!)</f>
        <v>#REF!</v>
      </c>
      <c r="O184" s="82" t="e">
        <f>SUMIF(#REF!,funkcijska!$E184,#REF!)</f>
        <v>#REF!</v>
      </c>
      <c r="P184" s="82" t="e">
        <f>SUMIF(#REF!,funkcijska!$E184,#REF!)</f>
        <v>#REF!</v>
      </c>
      <c r="Q184" s="386" t="e">
        <f>SUMIF(#REF!,funkcijska!$E184,#REF!)</f>
        <v>#REF!</v>
      </c>
      <c r="R184" s="82" t="e">
        <f>SUMIF(#REF!,funkcijska!$E184,#REF!)</f>
        <v>#REF!</v>
      </c>
      <c r="S184" s="82" t="e">
        <f>SUMIF(#REF!,funkcijska!$E184,#REF!)</f>
        <v>#REF!</v>
      </c>
      <c r="T184" s="82" t="e">
        <f>SUMIF(#REF!,funkcijska!$E$47,#REF!)</f>
        <v>#REF!</v>
      </c>
      <c r="U184" s="357" t="e">
        <f>SUMIF(#REF!,funkcijska!$E184,#REF!)</f>
        <v>#REF!</v>
      </c>
      <c r="V184" s="357" t="e">
        <f>SUMIF(#REF!,funkcijska!$E184,#REF!)+SUMIF(#REF!,funkcijska!$E184,#REF!)</f>
        <v>#REF!</v>
      </c>
      <c r="W184" s="357" t="e">
        <f>SUMIF(#REF!,funkcijska!$E184,#REF!)+SUMIF(#REF!,funkcijska!$E184,#REF!)</f>
        <v>#REF!</v>
      </c>
      <c r="X184" s="357" t="e">
        <f>SUMIF(#REF!,funkcijska!$E184,#REF!)+SUMIF(#REF!,funkcijska!$E184,#REF!)</f>
        <v>#REF!</v>
      </c>
      <c r="AD184" s="300"/>
      <c r="AE184" s="300"/>
      <c r="AF184" s="300"/>
      <c r="AG184" s="300"/>
      <c r="AH184" s="300"/>
      <c r="AI184" s="300"/>
      <c r="AJ184" s="300"/>
      <c r="AK184" s="60"/>
      <c r="AL184" s="60"/>
    </row>
    <row r="185" spans="1:38" ht="18.75" customHeight="1" x14ac:dyDescent="0.25">
      <c r="A185" s="80"/>
      <c r="B185" s="80"/>
      <c r="C185" s="80"/>
      <c r="D185" s="80"/>
      <c r="E185" s="80">
        <v>3292</v>
      </c>
      <c r="F185" s="81" t="s">
        <v>399</v>
      </c>
      <c r="G185" s="82" t="e">
        <f>SUMIF(#REF!,funkcijska!$E185,#REF!)</f>
        <v>#REF!</v>
      </c>
      <c r="H185" s="82" t="e">
        <f>SUMIF(#REF!,funkcijska!$E185,#REF!)</f>
        <v>#REF!</v>
      </c>
      <c r="I185" s="82" t="e">
        <f>SUMIF(#REF!,funkcijska!$E185,#REF!)</f>
        <v>#REF!</v>
      </c>
      <c r="J185" s="82" t="e">
        <f>SUMIF(#REF!,funkcijska!$E185,#REF!)</f>
        <v>#REF!</v>
      </c>
      <c r="K185" s="82" t="e">
        <f>SUMIF(#REF!,funkcijska!$E185,#REF!)</f>
        <v>#REF!</v>
      </c>
      <c r="L185" s="82" t="e">
        <f t="shared" si="91"/>
        <v>#REF!</v>
      </c>
      <c r="M185" s="82" t="e">
        <f t="shared" si="92"/>
        <v>#REF!</v>
      </c>
      <c r="N185" s="82" t="e">
        <f>SUMIF(#REF!,funkcijska!$E185,#REF!)</f>
        <v>#REF!</v>
      </c>
      <c r="O185" s="82" t="e">
        <f>SUMIF(#REF!,funkcijska!$E185,#REF!)</f>
        <v>#REF!</v>
      </c>
      <c r="P185" s="82" t="e">
        <f>SUMIF(#REF!,funkcijska!$E185,#REF!)</f>
        <v>#REF!</v>
      </c>
      <c r="Q185" s="386" t="e">
        <f>SUMIF(#REF!,funkcijska!$E185,#REF!)</f>
        <v>#REF!</v>
      </c>
      <c r="R185" s="82" t="e">
        <f>SUMIF(#REF!,funkcijska!$E185,#REF!)</f>
        <v>#REF!</v>
      </c>
      <c r="S185" s="82" t="e">
        <f>SUMIF(#REF!,funkcijska!$E185,#REF!)</f>
        <v>#REF!</v>
      </c>
      <c r="T185" s="82" t="e">
        <f>SUMIF(#REF!,funkcijska!$E$48,#REF!)</f>
        <v>#REF!</v>
      </c>
      <c r="U185" s="357" t="e">
        <f>SUMIF(#REF!,funkcijska!$E185,#REF!)</f>
        <v>#REF!</v>
      </c>
      <c r="V185" s="357" t="e">
        <f>SUMIF(#REF!,funkcijska!$E185,#REF!)+SUMIF(#REF!,funkcijska!$E185,#REF!)</f>
        <v>#REF!</v>
      </c>
      <c r="W185" s="357" t="e">
        <f>SUMIF(#REF!,funkcijska!$E185,#REF!)+SUMIF(#REF!,funkcijska!$E185,#REF!)</f>
        <v>#REF!</v>
      </c>
      <c r="X185" s="357" t="e">
        <f>SUMIF(#REF!,funkcijska!$E185,#REF!)+SUMIF(#REF!,funkcijska!$E185,#REF!)</f>
        <v>#REF!</v>
      </c>
      <c r="AD185" s="60"/>
      <c r="AE185" s="60"/>
      <c r="AF185" s="60"/>
      <c r="AG185" s="60"/>
      <c r="AH185" s="60"/>
      <c r="AI185" s="60"/>
      <c r="AJ185" s="60"/>
      <c r="AK185" s="60"/>
      <c r="AL185" s="60"/>
    </row>
    <row r="186" spans="1:38" ht="20.25" customHeight="1" x14ac:dyDescent="0.25">
      <c r="A186" s="80"/>
      <c r="B186" s="80"/>
      <c r="C186" s="80"/>
      <c r="D186" s="80"/>
      <c r="E186" s="80">
        <v>3293</v>
      </c>
      <c r="F186" s="81" t="s">
        <v>533</v>
      </c>
      <c r="G186" s="82" t="e">
        <f>SUMIF(#REF!,funkcijska!$E186,#REF!)</f>
        <v>#REF!</v>
      </c>
      <c r="H186" s="82" t="e">
        <f>SUMIF(#REF!,funkcijska!$E186,#REF!)</f>
        <v>#REF!</v>
      </c>
      <c r="I186" s="82" t="e">
        <f>SUMIF(#REF!,funkcijska!$E186,#REF!)</f>
        <v>#REF!</v>
      </c>
      <c r="J186" s="82" t="e">
        <f>SUMIF(#REF!,funkcijska!$E186,#REF!)</f>
        <v>#REF!</v>
      </c>
      <c r="K186" s="82" t="e">
        <f>SUMIF(#REF!,funkcijska!$E186,#REF!)</f>
        <v>#REF!</v>
      </c>
      <c r="L186" s="82" t="e">
        <f t="shared" si="91"/>
        <v>#REF!</v>
      </c>
      <c r="M186" s="82" t="e">
        <f t="shared" si="92"/>
        <v>#REF!</v>
      </c>
      <c r="N186" s="82" t="e">
        <f>SUMIF(#REF!,funkcijska!$E186,#REF!)</f>
        <v>#REF!</v>
      </c>
      <c r="O186" s="82" t="e">
        <f>SUMIF(#REF!,funkcijska!$E186,#REF!)</f>
        <v>#REF!</v>
      </c>
      <c r="P186" s="82" t="e">
        <f>SUMIF(#REF!,funkcijska!$E186,#REF!)</f>
        <v>#REF!</v>
      </c>
      <c r="Q186" s="386" t="e">
        <f>SUMIF(#REF!,funkcijska!$E186,#REF!)</f>
        <v>#REF!</v>
      </c>
      <c r="R186" s="82" t="e">
        <f>SUMIF(#REF!,funkcijska!$E186,#REF!)</f>
        <v>#REF!</v>
      </c>
      <c r="S186" s="82" t="e">
        <f>SUMIF(#REF!,funkcijska!$E186,#REF!)</f>
        <v>#REF!</v>
      </c>
      <c r="T186" s="82" t="e">
        <f>SUMIF(#REF!,funkcijska!$E$49,#REF!)</f>
        <v>#REF!</v>
      </c>
      <c r="U186" s="357" t="e">
        <f>SUMIF(#REF!,funkcijska!$E186,#REF!)</f>
        <v>#REF!</v>
      </c>
      <c r="V186" s="357" t="e">
        <f>SUMIF(#REF!,funkcijska!$E186,#REF!)+SUMIF(#REF!,funkcijska!$E186,#REF!)</f>
        <v>#REF!</v>
      </c>
      <c r="W186" s="357" t="e">
        <f>SUMIF(#REF!,funkcijska!$E186,#REF!)+SUMIF(#REF!,funkcijska!$E186,#REF!)</f>
        <v>#REF!</v>
      </c>
      <c r="X186" s="357" t="e">
        <f>SUMIF(#REF!,funkcijska!$E186,#REF!)+SUMIF(#REF!,funkcijska!$E186,#REF!)</f>
        <v>#REF!</v>
      </c>
      <c r="AD186" s="60"/>
      <c r="AE186" s="60"/>
      <c r="AF186" s="60"/>
      <c r="AG186" s="60"/>
      <c r="AH186" s="60"/>
      <c r="AI186" s="60"/>
      <c r="AJ186" s="60"/>
      <c r="AK186" s="60"/>
      <c r="AL186" s="60"/>
    </row>
    <row r="187" spans="1:38" ht="17.25" customHeight="1" x14ac:dyDescent="0.25">
      <c r="A187" s="80"/>
      <c r="B187" s="80"/>
      <c r="C187" s="80"/>
      <c r="D187" s="80"/>
      <c r="E187" s="80">
        <v>3294</v>
      </c>
      <c r="F187" s="81" t="s">
        <v>567</v>
      </c>
      <c r="G187" s="82" t="e">
        <f>SUMIF(#REF!,funkcijska!$E187,#REF!)</f>
        <v>#REF!</v>
      </c>
      <c r="H187" s="82" t="e">
        <f>SUMIF(#REF!,funkcijska!$E187,#REF!)</f>
        <v>#REF!</v>
      </c>
      <c r="I187" s="82" t="e">
        <f>SUMIF(#REF!,funkcijska!$E187,#REF!)</f>
        <v>#REF!</v>
      </c>
      <c r="J187" s="82" t="e">
        <f>SUMIF(#REF!,funkcijska!$E187,#REF!)</f>
        <v>#REF!</v>
      </c>
      <c r="K187" s="82" t="e">
        <f>SUMIF(#REF!,funkcijska!$E187,#REF!)</f>
        <v>#REF!</v>
      </c>
      <c r="L187" s="82" t="e">
        <f t="shared" si="91"/>
        <v>#REF!</v>
      </c>
      <c r="M187" s="82" t="e">
        <f t="shared" si="92"/>
        <v>#REF!</v>
      </c>
      <c r="N187" s="82" t="e">
        <f>SUMIF(#REF!,funkcijska!$E187,#REF!)</f>
        <v>#REF!</v>
      </c>
      <c r="O187" s="82" t="e">
        <f>SUMIF(#REF!,funkcijska!$E187,#REF!)</f>
        <v>#REF!</v>
      </c>
      <c r="P187" s="82" t="e">
        <f>SUMIF(#REF!,funkcijska!$E187,#REF!)</f>
        <v>#REF!</v>
      </c>
      <c r="Q187" s="386" t="e">
        <f>SUMIF(#REF!,funkcijska!$E187,#REF!)</f>
        <v>#REF!</v>
      </c>
      <c r="R187" s="82" t="e">
        <f>SUMIF(#REF!,funkcijska!$E187,#REF!)</f>
        <v>#REF!</v>
      </c>
      <c r="S187" s="82" t="e">
        <f>SUMIF(#REF!,funkcijska!$E187,#REF!)</f>
        <v>#REF!</v>
      </c>
      <c r="T187" s="82" t="e">
        <f>SUMIF(#REF!,funkcijska!$E$50,#REF!)</f>
        <v>#REF!</v>
      </c>
      <c r="U187" s="357" t="e">
        <f>SUMIF(#REF!,funkcijska!$E187,#REF!)</f>
        <v>#REF!</v>
      </c>
      <c r="V187" s="357" t="e">
        <f>SUMIF(#REF!,funkcijska!$E187,#REF!)+SUMIF(#REF!,funkcijska!$E187,#REF!)</f>
        <v>#REF!</v>
      </c>
      <c r="W187" s="357" t="e">
        <f>SUMIF(#REF!,funkcijska!$E187,#REF!)+SUMIF(#REF!,funkcijska!$E187,#REF!)</f>
        <v>#REF!</v>
      </c>
      <c r="X187" s="357" t="e">
        <f>SUMIF(#REF!,funkcijska!$E187,#REF!)+SUMIF(#REF!,funkcijska!$E187,#REF!)</f>
        <v>#REF!</v>
      </c>
      <c r="AD187" s="60"/>
      <c r="AE187" s="60"/>
      <c r="AF187" s="60"/>
      <c r="AG187" s="60"/>
      <c r="AH187" s="60"/>
      <c r="AI187" s="60"/>
      <c r="AJ187" s="60"/>
      <c r="AK187" s="60"/>
      <c r="AL187" s="60"/>
    </row>
    <row r="188" spans="1:38" ht="15.75" customHeight="1" x14ac:dyDescent="0.25">
      <c r="A188" s="80"/>
      <c r="B188" s="80"/>
      <c r="C188" s="80"/>
      <c r="D188" s="80"/>
      <c r="E188" s="80">
        <v>3295</v>
      </c>
      <c r="F188" s="81" t="s">
        <v>400</v>
      </c>
      <c r="G188" s="82" t="e">
        <f>SUMIF(#REF!,funkcijska!$E188,#REF!)</f>
        <v>#REF!</v>
      </c>
      <c r="H188" s="82" t="e">
        <f>SUMIF(#REF!,funkcijska!$E188,#REF!)</f>
        <v>#REF!</v>
      </c>
      <c r="I188" s="82" t="e">
        <f>SUMIF(#REF!,funkcijska!$E188,#REF!)</f>
        <v>#REF!</v>
      </c>
      <c r="J188" s="82" t="e">
        <f>SUMIF(#REF!,funkcijska!$E188,#REF!)</f>
        <v>#REF!</v>
      </c>
      <c r="K188" s="82" t="e">
        <f>SUMIF(#REF!,funkcijska!$E188,#REF!)</f>
        <v>#REF!</v>
      </c>
      <c r="L188" s="82" t="e">
        <f t="shared" si="91"/>
        <v>#REF!</v>
      </c>
      <c r="M188" s="82" t="e">
        <f t="shared" si="92"/>
        <v>#REF!</v>
      </c>
      <c r="N188" s="82" t="e">
        <f>SUMIF(#REF!,funkcijska!$E188,#REF!)</f>
        <v>#REF!</v>
      </c>
      <c r="O188" s="82" t="e">
        <f>SUMIF(#REF!,funkcijska!$E188,#REF!)</f>
        <v>#REF!</v>
      </c>
      <c r="P188" s="82" t="e">
        <f>SUMIF(#REF!,funkcijska!$E188,#REF!)</f>
        <v>#REF!</v>
      </c>
      <c r="Q188" s="386" t="e">
        <f>SUMIF(#REF!,funkcijska!$E188,#REF!)</f>
        <v>#REF!</v>
      </c>
      <c r="R188" s="82" t="e">
        <f>SUMIF(#REF!,funkcijska!$E188,#REF!)</f>
        <v>#REF!</v>
      </c>
      <c r="S188" s="82" t="e">
        <f>SUMIF(#REF!,funkcijska!$E188,#REF!)</f>
        <v>#REF!</v>
      </c>
      <c r="T188" s="82" t="e">
        <f>SUMIF(#REF!,funkcijska!$E$51,#REF!)</f>
        <v>#REF!</v>
      </c>
      <c r="U188" s="357" t="e">
        <f>SUMIF(#REF!,funkcijska!$E188,#REF!)</f>
        <v>#REF!</v>
      </c>
      <c r="V188" s="357" t="e">
        <f>SUMIF(#REF!,funkcijska!$E188,#REF!)+SUMIF(#REF!,funkcijska!$E188,#REF!)</f>
        <v>#REF!</v>
      </c>
      <c r="W188" s="357" t="e">
        <f>SUMIF(#REF!,funkcijska!$E188,#REF!)+SUMIF(#REF!,funkcijska!$E188,#REF!)</f>
        <v>#REF!</v>
      </c>
      <c r="X188" s="357" t="e">
        <f>SUMIF(#REF!,funkcijska!$E188,#REF!)+SUMIF(#REF!,funkcijska!$E188,#REF!)</f>
        <v>#REF!</v>
      </c>
      <c r="AD188" s="60"/>
      <c r="AE188" s="60"/>
      <c r="AF188" s="60"/>
      <c r="AG188" s="60"/>
      <c r="AH188" s="60"/>
      <c r="AI188" s="60"/>
      <c r="AJ188" s="60"/>
      <c r="AK188" s="60"/>
      <c r="AL188" s="60"/>
    </row>
    <row r="189" spans="1:38" ht="15.75" customHeight="1" x14ac:dyDescent="0.25">
      <c r="A189" s="80"/>
      <c r="B189" s="80"/>
      <c r="C189" s="80"/>
      <c r="D189" s="80"/>
      <c r="E189" s="80">
        <v>3299</v>
      </c>
      <c r="F189" s="81" t="s">
        <v>531</v>
      </c>
      <c r="G189" s="82" t="e">
        <f>SUMIF(#REF!,funkcijska!$E189,#REF!)</f>
        <v>#REF!</v>
      </c>
      <c r="H189" s="82" t="e">
        <f>SUMIF(#REF!,funkcijska!$E189,#REF!)</f>
        <v>#REF!</v>
      </c>
      <c r="I189" s="82" t="e">
        <f>SUMIF(#REF!,funkcijska!$E189,#REF!)</f>
        <v>#REF!</v>
      </c>
      <c r="J189" s="82" t="e">
        <f>SUMIF(#REF!,funkcijska!$E189,#REF!)</f>
        <v>#REF!</v>
      </c>
      <c r="K189" s="82" t="e">
        <f>SUMIF(#REF!,funkcijska!$E189,#REF!)</f>
        <v>#REF!</v>
      </c>
      <c r="L189" s="82" t="e">
        <f t="shared" si="91"/>
        <v>#REF!</v>
      </c>
      <c r="M189" s="82" t="e">
        <f t="shared" si="92"/>
        <v>#REF!</v>
      </c>
      <c r="N189" s="82" t="e">
        <f>SUMIF(#REF!,funkcijska!$E189,#REF!)</f>
        <v>#REF!</v>
      </c>
      <c r="O189" s="82" t="e">
        <f>SUMIF(#REF!,funkcijska!$E189,#REF!)</f>
        <v>#REF!</v>
      </c>
      <c r="P189" s="82" t="e">
        <f>SUMIF(#REF!,funkcijska!$E189,#REF!)</f>
        <v>#REF!</v>
      </c>
      <c r="Q189" s="386" t="e">
        <f>SUMIF(#REF!,funkcijska!$E189,#REF!)</f>
        <v>#REF!</v>
      </c>
      <c r="R189" s="82" t="e">
        <f>SUMIF(#REF!,funkcijska!$E189,#REF!)</f>
        <v>#REF!</v>
      </c>
      <c r="S189" s="82" t="e">
        <f>SUMIF(#REF!,funkcijska!$E189,#REF!)</f>
        <v>#REF!</v>
      </c>
      <c r="T189" s="82" t="e">
        <f>SUMIF(#REF!,funkcijska!$E$52,#REF!)</f>
        <v>#REF!</v>
      </c>
      <c r="U189" s="357" t="e">
        <f>SUMIF(#REF!,funkcijska!$E189,#REF!)</f>
        <v>#REF!</v>
      </c>
      <c r="V189" s="357" t="e">
        <f>SUMIF(#REF!,funkcijska!$E189,#REF!)+SUMIF(#REF!,funkcijska!$E189,#REF!)</f>
        <v>#REF!</v>
      </c>
      <c r="W189" s="357" t="e">
        <f>SUMIF(#REF!,funkcijska!$E189,#REF!)+SUMIF(#REF!,funkcijska!$E189,#REF!)</f>
        <v>#REF!</v>
      </c>
      <c r="X189" s="357" t="e">
        <f>SUMIF(#REF!,funkcijska!$E189,#REF!)+SUMIF(#REF!,funkcijska!$E189,#REF!)</f>
        <v>#REF!</v>
      </c>
      <c r="AD189" s="60"/>
      <c r="AE189" s="60"/>
      <c r="AF189" s="60"/>
      <c r="AG189" s="60"/>
      <c r="AH189" s="60"/>
      <c r="AI189" s="60"/>
      <c r="AJ189" s="60"/>
      <c r="AK189" s="60"/>
      <c r="AL189" s="60"/>
    </row>
    <row r="190" spans="1:38" ht="19.5" customHeight="1" x14ac:dyDescent="0.25">
      <c r="A190" s="125"/>
      <c r="B190" s="74"/>
      <c r="C190" s="74" t="str">
        <f>LEFT(E192,2)</f>
        <v>34</v>
      </c>
      <c r="D190" s="74"/>
      <c r="E190" s="74"/>
      <c r="F190" s="75" t="s">
        <v>208</v>
      </c>
      <c r="G190" s="77" t="e">
        <f>G191+G193</f>
        <v>#REF!</v>
      </c>
      <c r="H190" s="118" t="e">
        <f>H191+H193</f>
        <v>#REF!</v>
      </c>
      <c r="I190" s="77" t="e">
        <f>I191+I193</f>
        <v>#REF!</v>
      </c>
      <c r="J190" s="77" t="e">
        <f>J191+J193</f>
        <v>#REF!</v>
      </c>
      <c r="K190" s="77" t="e">
        <f>K191+K193</f>
        <v>#REF!</v>
      </c>
      <c r="L190" s="77" t="e">
        <f t="shared" si="91"/>
        <v>#REF!</v>
      </c>
      <c r="M190" s="77" t="e">
        <f t="shared" si="92"/>
        <v>#REF!</v>
      </c>
      <c r="N190" s="77" t="e">
        <f t="shared" ref="N190:X190" si="93">N191+N193</f>
        <v>#REF!</v>
      </c>
      <c r="O190" s="76" t="e">
        <f t="shared" si="93"/>
        <v>#REF!</v>
      </c>
      <c r="P190" s="76" t="e">
        <f t="shared" si="93"/>
        <v>#REF!</v>
      </c>
      <c r="Q190" s="385" t="e">
        <f t="shared" si="93"/>
        <v>#REF!</v>
      </c>
      <c r="R190" s="135" t="e">
        <f t="shared" si="93"/>
        <v>#REF!</v>
      </c>
      <c r="S190" s="135" t="e">
        <f t="shared" si="93"/>
        <v>#REF!</v>
      </c>
      <c r="T190" s="135" t="e">
        <f t="shared" si="93"/>
        <v>#REF!</v>
      </c>
      <c r="U190" s="356" t="e">
        <f t="shared" si="93"/>
        <v>#REF!</v>
      </c>
      <c r="V190" s="356" t="e">
        <f t="shared" si="93"/>
        <v>#REF!</v>
      </c>
      <c r="W190" s="356" t="e">
        <f t="shared" si="93"/>
        <v>#REF!</v>
      </c>
      <c r="X190" s="356" t="e">
        <f t="shared" si="93"/>
        <v>#REF!</v>
      </c>
      <c r="AD190" s="60"/>
      <c r="AE190" s="60"/>
      <c r="AF190" s="60"/>
      <c r="AG190" s="60"/>
      <c r="AH190" s="60"/>
      <c r="AI190" s="60"/>
      <c r="AJ190" s="60"/>
      <c r="AK190" s="60"/>
      <c r="AL190" s="60"/>
    </row>
    <row r="191" spans="1:38" s="373" customFormat="1" ht="22.5" customHeight="1" x14ac:dyDescent="0.25">
      <c r="A191" s="119"/>
      <c r="B191" s="119"/>
      <c r="C191" s="119"/>
      <c r="D191" s="119" t="str">
        <f>LEFT(E192,3)</f>
        <v>342</v>
      </c>
      <c r="E191" s="119"/>
      <c r="F191" s="368" t="s">
        <v>631</v>
      </c>
      <c r="G191" s="369" t="e">
        <f>G192</f>
        <v>#REF!</v>
      </c>
      <c r="H191" s="370" t="e">
        <f>H192</f>
        <v>#REF!</v>
      </c>
      <c r="I191" s="369" t="e">
        <f>I192</f>
        <v>#REF!</v>
      </c>
      <c r="J191" s="369" t="e">
        <f>J192</f>
        <v>#REF!</v>
      </c>
      <c r="K191" s="369" t="e">
        <f>K192</f>
        <v>#REF!</v>
      </c>
      <c r="L191" s="369" t="e">
        <f t="shared" si="91"/>
        <v>#REF!</v>
      </c>
      <c r="M191" s="369" t="e">
        <f t="shared" si="92"/>
        <v>#REF!</v>
      </c>
      <c r="N191" s="369" t="e">
        <f t="shared" ref="N191:X191" si="94">N192</f>
        <v>#REF!</v>
      </c>
      <c r="O191" s="137" t="e">
        <f t="shared" si="94"/>
        <v>#REF!</v>
      </c>
      <c r="P191" s="137" t="e">
        <f t="shared" si="94"/>
        <v>#REF!</v>
      </c>
      <c r="Q191" s="393" t="e">
        <f t="shared" si="94"/>
        <v>#REF!</v>
      </c>
      <c r="R191" s="137" t="e">
        <f t="shared" si="94"/>
        <v>#REF!</v>
      </c>
      <c r="S191" s="137" t="e">
        <f t="shared" si="94"/>
        <v>#REF!</v>
      </c>
      <c r="T191" s="137" t="e">
        <f t="shared" si="94"/>
        <v>#REF!</v>
      </c>
      <c r="U191" s="371" t="e">
        <f t="shared" si="94"/>
        <v>#REF!</v>
      </c>
      <c r="V191" s="371" t="e">
        <f t="shared" si="94"/>
        <v>#REF!</v>
      </c>
      <c r="W191" s="371" t="e">
        <f t="shared" si="94"/>
        <v>#REF!</v>
      </c>
      <c r="X191" s="371" t="e">
        <f t="shared" si="94"/>
        <v>#REF!</v>
      </c>
      <c r="Y191" s="372"/>
      <c r="Z191" s="372"/>
      <c r="AA191" s="372"/>
      <c r="AB191" s="372"/>
      <c r="AC191" s="372"/>
      <c r="AD191" s="372"/>
      <c r="AE191" s="372"/>
      <c r="AF191" s="372"/>
      <c r="AG191" s="372"/>
      <c r="AH191" s="372"/>
      <c r="AI191" s="372"/>
      <c r="AJ191" s="372"/>
      <c r="AK191" s="372"/>
      <c r="AL191" s="372"/>
    </row>
    <row r="192" spans="1:38" ht="38.25" customHeight="1" x14ac:dyDescent="0.25">
      <c r="A192" s="80"/>
      <c r="B192" s="80"/>
      <c r="C192" s="80"/>
      <c r="D192" s="80"/>
      <c r="E192" s="80">
        <v>3422</v>
      </c>
      <c r="F192" s="81" t="s">
        <v>358</v>
      </c>
      <c r="G192" s="82" t="e">
        <f>SUMIF(#REF!,funkcijska!$E192,#REF!)</f>
        <v>#REF!</v>
      </c>
      <c r="H192" s="82" t="e">
        <f>SUMIF(#REF!,funkcijska!$E192,#REF!)</f>
        <v>#REF!</v>
      </c>
      <c r="I192" s="82" t="e">
        <f>SUMIF(#REF!,funkcijska!$E192,#REF!)</f>
        <v>#REF!</v>
      </c>
      <c r="J192" s="82" t="e">
        <f>SUMIF(#REF!,funkcijska!$E192,#REF!)</f>
        <v>#REF!</v>
      </c>
      <c r="K192" s="82" t="e">
        <f>SUMIF(#REF!,funkcijska!$E192,#REF!)</f>
        <v>#REF!</v>
      </c>
      <c r="L192" s="82" t="e">
        <f t="shared" si="91"/>
        <v>#REF!</v>
      </c>
      <c r="M192" s="82" t="e">
        <f t="shared" si="92"/>
        <v>#REF!</v>
      </c>
      <c r="N192" s="82" t="e">
        <f>SUMIF(#REF!,funkcijska!$E192,#REF!)</f>
        <v>#REF!</v>
      </c>
      <c r="O192" s="82" t="e">
        <f>SUMIF(#REF!,funkcijska!$E192,#REF!)</f>
        <v>#REF!</v>
      </c>
      <c r="P192" s="82" t="e">
        <f>SUMIF(#REF!,funkcijska!$E192,#REF!)</f>
        <v>#REF!</v>
      </c>
      <c r="Q192" s="386" t="e">
        <f>SUMIF(#REF!,funkcijska!$E192,#REF!)</f>
        <v>#REF!</v>
      </c>
      <c r="R192" s="82" t="e">
        <f>SUMIF(#REF!,funkcijska!$E192,#REF!)</f>
        <v>#REF!</v>
      </c>
      <c r="S192" s="82" t="e">
        <f>SUMIF(#REF!,funkcijska!$E192,#REF!)</f>
        <v>#REF!</v>
      </c>
      <c r="T192" s="82" t="e">
        <f>SUMIF(#REF!,funkcijska!$E$55,#REF!)</f>
        <v>#REF!</v>
      </c>
      <c r="U192" s="357" t="e">
        <f>SUMIF(#REF!,funkcijska!$E192,#REF!)</f>
        <v>#REF!</v>
      </c>
      <c r="V192" s="357" t="e">
        <f>SUMIF(#REF!,funkcijska!$E192,#REF!)+SUMIF(#REF!,funkcijska!$E192,#REF!)</f>
        <v>#REF!</v>
      </c>
      <c r="W192" s="357" t="e">
        <f>SUMIF(#REF!,funkcijska!$E192,#REF!)+SUMIF(#REF!,funkcijska!$E192,#REF!)</f>
        <v>#REF!</v>
      </c>
      <c r="X192" s="357" t="e">
        <f>SUMIF(#REF!,funkcijska!$E192,#REF!)+SUMIF(#REF!,funkcijska!$E192,#REF!)</f>
        <v>#REF!</v>
      </c>
      <c r="AD192" s="60"/>
      <c r="AE192" s="60"/>
      <c r="AF192" s="60"/>
      <c r="AG192" s="60"/>
      <c r="AH192" s="60"/>
      <c r="AI192" s="60"/>
      <c r="AJ192" s="60"/>
      <c r="AK192" s="60"/>
      <c r="AL192" s="60"/>
    </row>
    <row r="193" spans="1:38" s="373" customFormat="1" ht="17.25" customHeight="1" x14ac:dyDescent="0.25">
      <c r="A193" s="119"/>
      <c r="B193" s="119"/>
      <c r="C193" s="119"/>
      <c r="D193" s="119" t="str">
        <f>LEFT(E194,3)</f>
        <v>343</v>
      </c>
      <c r="E193" s="119"/>
      <c r="F193" s="368" t="s">
        <v>209</v>
      </c>
      <c r="G193" s="369" t="e">
        <f t="shared" ref="G193:X193" si="95">SUM(G194:G196)</f>
        <v>#REF!</v>
      </c>
      <c r="H193" s="370" t="e">
        <f t="shared" si="95"/>
        <v>#REF!</v>
      </c>
      <c r="I193" s="369" t="e">
        <f t="shared" si="95"/>
        <v>#REF!</v>
      </c>
      <c r="J193" s="369" t="e">
        <f t="shared" si="95"/>
        <v>#REF!</v>
      </c>
      <c r="K193" s="369" t="e">
        <f t="shared" si="95"/>
        <v>#REF!</v>
      </c>
      <c r="L193" s="369" t="e">
        <f t="shared" si="95"/>
        <v>#REF!</v>
      </c>
      <c r="M193" s="369" t="e">
        <f t="shared" si="95"/>
        <v>#REF!</v>
      </c>
      <c r="N193" s="369" t="e">
        <f t="shared" si="95"/>
        <v>#REF!</v>
      </c>
      <c r="O193" s="369" t="e">
        <f t="shared" si="95"/>
        <v>#REF!</v>
      </c>
      <c r="P193" s="369" t="e">
        <f t="shared" si="95"/>
        <v>#REF!</v>
      </c>
      <c r="Q193" s="392" t="e">
        <f t="shared" si="95"/>
        <v>#REF!</v>
      </c>
      <c r="R193" s="369" t="e">
        <f t="shared" si="95"/>
        <v>#REF!</v>
      </c>
      <c r="S193" s="369" t="e">
        <f t="shared" si="95"/>
        <v>#REF!</v>
      </c>
      <c r="T193" s="369" t="e">
        <f t="shared" si="95"/>
        <v>#REF!</v>
      </c>
      <c r="U193" s="371" t="e">
        <f t="shared" si="95"/>
        <v>#REF!</v>
      </c>
      <c r="V193" s="371" t="e">
        <f t="shared" si="95"/>
        <v>#REF!</v>
      </c>
      <c r="W193" s="371" t="e">
        <f t="shared" si="95"/>
        <v>#REF!</v>
      </c>
      <c r="X193" s="371" t="e">
        <f t="shared" si="95"/>
        <v>#REF!</v>
      </c>
      <c r="Y193" s="372"/>
      <c r="Z193" s="372"/>
      <c r="AA193" s="372"/>
      <c r="AB193" s="372"/>
      <c r="AC193" s="372"/>
      <c r="AD193" s="372"/>
      <c r="AE193" s="372"/>
      <c r="AF193" s="372"/>
      <c r="AG193" s="372"/>
      <c r="AH193" s="372"/>
      <c r="AI193" s="372"/>
      <c r="AJ193" s="372"/>
      <c r="AK193" s="372"/>
      <c r="AL193" s="372"/>
    </row>
    <row r="194" spans="1:38" ht="18.75" customHeight="1" x14ac:dyDescent="0.25">
      <c r="A194" s="80"/>
      <c r="B194" s="80"/>
      <c r="C194" s="80"/>
      <c r="D194" s="80"/>
      <c r="E194" s="80">
        <v>3431</v>
      </c>
      <c r="F194" s="81" t="s">
        <v>211</v>
      </c>
      <c r="G194" s="82" t="e">
        <f>SUMIF(#REF!,funkcijska!$E194,#REF!)</f>
        <v>#REF!</v>
      </c>
      <c r="H194" s="82" t="e">
        <f>SUMIF(#REF!,funkcijska!$E194,#REF!)</f>
        <v>#REF!</v>
      </c>
      <c r="I194" s="82" t="e">
        <f>SUMIF(#REF!,funkcijska!$E194,#REF!)</f>
        <v>#REF!</v>
      </c>
      <c r="J194" s="82" t="e">
        <f>SUMIF(#REF!,funkcijska!$E194,#REF!)</f>
        <v>#REF!</v>
      </c>
      <c r="K194" s="82" t="e">
        <f>SUMIF(#REF!,funkcijska!$E194,#REF!)</f>
        <v>#REF!</v>
      </c>
      <c r="L194" s="82" t="e">
        <f>ROUND(K194/J194*100,2)</f>
        <v>#REF!</v>
      </c>
      <c r="M194" s="82" t="e">
        <f>N194-J194</f>
        <v>#REF!</v>
      </c>
      <c r="N194" s="82" t="e">
        <f>SUMIF(#REF!,funkcijska!$E194,#REF!)</f>
        <v>#REF!</v>
      </c>
      <c r="O194" s="82" t="e">
        <f>SUMIF(#REF!,funkcijska!$E194,#REF!)</f>
        <v>#REF!</v>
      </c>
      <c r="P194" s="82" t="e">
        <f>SUMIF(#REF!,funkcijska!$E194,#REF!)</f>
        <v>#REF!</v>
      </c>
      <c r="Q194" s="386" t="e">
        <f>SUMIF(#REF!,funkcijska!$E194,#REF!)</f>
        <v>#REF!</v>
      </c>
      <c r="R194" s="82" t="e">
        <f>SUMIF(#REF!,funkcijska!$E194,#REF!)</f>
        <v>#REF!</v>
      </c>
      <c r="S194" s="82" t="e">
        <f>SUMIF(#REF!,funkcijska!$E194,#REF!)</f>
        <v>#REF!</v>
      </c>
      <c r="T194" s="82" t="e">
        <f>SUMIF(#REF!,funkcijska!$E$57,#REF!)</f>
        <v>#REF!</v>
      </c>
      <c r="U194" s="357" t="e">
        <f>SUMIF(#REF!,funkcijska!$E194,#REF!)</f>
        <v>#REF!</v>
      </c>
      <c r="V194" s="357" t="e">
        <f>SUMIF(#REF!,funkcijska!$E194,#REF!)+SUMIF(#REF!,funkcijska!$E194,#REF!)</f>
        <v>#REF!</v>
      </c>
      <c r="W194" s="357" t="e">
        <f>SUMIF(#REF!,funkcijska!$E194,#REF!)+SUMIF(#REF!,funkcijska!$E194,#REF!)</f>
        <v>#REF!</v>
      </c>
      <c r="X194" s="357" t="e">
        <f>SUMIF(#REF!,funkcijska!$E194,#REF!)+SUMIF(#REF!,funkcijska!$E194,#REF!)</f>
        <v>#REF!</v>
      </c>
      <c r="AD194" s="60"/>
      <c r="AE194" s="60"/>
      <c r="AF194" s="60"/>
      <c r="AG194" s="60"/>
      <c r="AH194" s="60"/>
      <c r="AI194" s="60"/>
      <c r="AJ194" s="60"/>
      <c r="AK194" s="60"/>
      <c r="AL194" s="60"/>
    </row>
    <row r="195" spans="1:38" ht="18.75" customHeight="1" x14ac:dyDescent="0.25">
      <c r="A195" s="80"/>
      <c r="B195" s="80"/>
      <c r="C195" s="80"/>
      <c r="D195" s="80"/>
      <c r="E195" s="80">
        <v>3433</v>
      </c>
      <c r="F195" s="81" t="s">
        <v>402</v>
      </c>
      <c r="G195" s="82" t="e">
        <f>SUMIF(#REF!,funkcijska!$E195,#REF!)</f>
        <v>#REF!</v>
      </c>
      <c r="H195" s="82" t="e">
        <f>SUMIF(#REF!,funkcijska!$E195,#REF!)</f>
        <v>#REF!</v>
      </c>
      <c r="I195" s="82" t="e">
        <f>SUMIF(#REF!,funkcijska!$E195,#REF!)</f>
        <v>#REF!</v>
      </c>
      <c r="J195" s="82" t="e">
        <f>SUMIF(#REF!,funkcijska!$E195,#REF!)</f>
        <v>#REF!</v>
      </c>
      <c r="K195" s="82" t="e">
        <f>SUMIF(#REF!,funkcijska!$E195,#REF!)</f>
        <v>#REF!</v>
      </c>
      <c r="L195" s="82" t="e">
        <f>ROUND(K195/J195*100,2)</f>
        <v>#REF!</v>
      </c>
      <c r="M195" s="82" t="e">
        <f>N195-J195</f>
        <v>#REF!</v>
      </c>
      <c r="N195" s="82" t="e">
        <f>SUMIF(#REF!,funkcijska!$E195,#REF!)</f>
        <v>#REF!</v>
      </c>
      <c r="O195" s="82" t="e">
        <f>SUMIF(#REF!,funkcijska!$E195,#REF!)</f>
        <v>#REF!</v>
      </c>
      <c r="P195" s="82" t="e">
        <f>SUMIF(#REF!,funkcijska!$E195,#REF!)</f>
        <v>#REF!</v>
      </c>
      <c r="Q195" s="386" t="e">
        <f>SUMIF(#REF!,funkcijska!$E195,#REF!)</f>
        <v>#REF!</v>
      </c>
      <c r="R195" s="82" t="e">
        <f>SUMIF(#REF!,funkcijska!$E195,#REF!)</f>
        <v>#REF!</v>
      </c>
      <c r="S195" s="82" t="e">
        <f>SUMIF(#REF!,funkcijska!$E195,#REF!)</f>
        <v>#REF!</v>
      </c>
      <c r="T195" s="82" t="e">
        <f>SUMIF(#REF!,funkcijska!$E$58,#REF!)</f>
        <v>#REF!</v>
      </c>
      <c r="U195" s="357" t="e">
        <f>SUMIF(#REF!,funkcijska!$E195,#REF!)</f>
        <v>#REF!</v>
      </c>
      <c r="V195" s="357" t="e">
        <f>SUMIF(#REF!,funkcijska!$E195,#REF!)+SUMIF(#REF!,funkcijska!$E195,#REF!)</f>
        <v>#REF!</v>
      </c>
      <c r="W195" s="357" t="e">
        <f>SUMIF(#REF!,funkcijska!$E195,#REF!)+SUMIF(#REF!,funkcijska!$E195,#REF!)</f>
        <v>#REF!</v>
      </c>
      <c r="X195" s="357" t="e">
        <f>SUMIF(#REF!,funkcijska!$E195,#REF!)+SUMIF(#REF!,funkcijska!$E195,#REF!)</f>
        <v>#REF!</v>
      </c>
      <c r="AD195" s="60"/>
      <c r="AE195" s="60"/>
      <c r="AF195" s="60"/>
      <c r="AG195" s="60"/>
      <c r="AH195" s="60"/>
      <c r="AI195" s="60"/>
      <c r="AJ195" s="60"/>
      <c r="AK195" s="60"/>
      <c r="AL195" s="60"/>
    </row>
    <row r="196" spans="1:38" ht="24" customHeight="1" x14ac:dyDescent="0.25">
      <c r="A196" s="80"/>
      <c r="B196" s="80"/>
      <c r="C196" s="80"/>
      <c r="D196" s="80"/>
      <c r="E196" s="80">
        <v>3434</v>
      </c>
      <c r="F196" s="81" t="s">
        <v>403</v>
      </c>
      <c r="G196" s="82" t="e">
        <f>SUMIF(#REF!,funkcijska!$E196,#REF!)</f>
        <v>#REF!</v>
      </c>
      <c r="H196" s="82" t="e">
        <f>SUMIF(#REF!,funkcijska!$E196,#REF!)</f>
        <v>#REF!</v>
      </c>
      <c r="I196" s="82" t="e">
        <f>SUMIF(#REF!,funkcijska!$E196,#REF!)</f>
        <v>#REF!</v>
      </c>
      <c r="J196" s="82" t="e">
        <f>SUMIF(#REF!,funkcijska!$E196,#REF!)</f>
        <v>#REF!</v>
      </c>
      <c r="K196" s="82" t="e">
        <f>SUMIF(#REF!,funkcijska!$E196,#REF!)</f>
        <v>#REF!</v>
      </c>
      <c r="L196" s="82" t="e">
        <f>ROUND(K196/J196*100,2)</f>
        <v>#REF!</v>
      </c>
      <c r="M196" s="82" t="e">
        <f>N196-J196</f>
        <v>#REF!</v>
      </c>
      <c r="N196" s="82" t="e">
        <f>SUMIF(#REF!,funkcijska!$E196,#REF!)</f>
        <v>#REF!</v>
      </c>
      <c r="O196" s="82" t="e">
        <f>SUMIF(#REF!,funkcijska!$E196,#REF!)</f>
        <v>#REF!</v>
      </c>
      <c r="P196" s="82" t="e">
        <f>SUMIF(#REF!,funkcijska!$E196,#REF!)</f>
        <v>#REF!</v>
      </c>
      <c r="Q196" s="386" t="e">
        <f>SUMIF(#REF!,funkcijska!$E196,#REF!)</f>
        <v>#REF!</v>
      </c>
      <c r="R196" s="82" t="e">
        <f>SUMIF(#REF!,funkcijska!$E196,#REF!)</f>
        <v>#REF!</v>
      </c>
      <c r="S196" s="82" t="e">
        <f>SUMIF(#REF!,funkcijska!$E196,#REF!)</f>
        <v>#REF!</v>
      </c>
      <c r="T196" s="82" t="e">
        <f>SUMIF(#REF!,funkcijska!$E$59,#REF!)</f>
        <v>#REF!</v>
      </c>
      <c r="U196" s="357" t="e">
        <f>SUMIF(#REF!,funkcijska!$E196,#REF!)</f>
        <v>#REF!</v>
      </c>
      <c r="V196" s="357" t="e">
        <f>SUMIF(#REF!,funkcijska!$E196,#REF!)+SUMIF(#REF!,funkcijska!$E196,#REF!)</f>
        <v>#REF!</v>
      </c>
      <c r="W196" s="357" t="e">
        <f>SUMIF(#REF!,funkcijska!$E196,#REF!)+SUMIF(#REF!,funkcijska!$E196,#REF!)</f>
        <v>#REF!</v>
      </c>
      <c r="X196" s="357" t="e">
        <f>SUMIF(#REF!,funkcijska!$E196,#REF!)+SUMIF(#REF!,funkcijska!$E196,#REF!)</f>
        <v>#REF!</v>
      </c>
      <c r="AD196" s="60"/>
      <c r="AE196" s="60"/>
      <c r="AF196" s="60"/>
      <c r="AG196" s="60"/>
      <c r="AH196" s="60"/>
      <c r="AI196" s="60"/>
      <c r="AJ196" s="60"/>
      <c r="AK196" s="60"/>
      <c r="AL196" s="60"/>
    </row>
    <row r="197" spans="1:38" ht="18" customHeight="1" x14ac:dyDescent="0.25">
      <c r="A197" s="125"/>
      <c r="B197" s="74"/>
      <c r="C197" s="74" t="str">
        <f>LEFT(E203,2)</f>
        <v>35</v>
      </c>
      <c r="D197" s="74"/>
      <c r="E197" s="74"/>
      <c r="F197" s="75" t="s">
        <v>747</v>
      </c>
      <c r="G197" s="77" t="e">
        <f>G198+G201</f>
        <v>#REF!</v>
      </c>
      <c r="H197" s="118" t="e">
        <f>H198+H201</f>
        <v>#REF!</v>
      </c>
      <c r="I197" s="77" t="e">
        <f>I198+I201</f>
        <v>#REF!</v>
      </c>
      <c r="J197" s="77" t="e">
        <f>J198+J201</f>
        <v>#REF!</v>
      </c>
      <c r="K197" s="77" t="e">
        <f>K198+K201</f>
        <v>#REF!</v>
      </c>
      <c r="L197" s="77" t="e">
        <f>ROUND(K197/J197*100,2)</f>
        <v>#REF!</v>
      </c>
      <c r="M197" s="77" t="e">
        <f>N197-J197</f>
        <v>#REF!</v>
      </c>
      <c r="N197" s="77" t="e">
        <f t="shared" ref="N197:X197" si="96">N198+N201</f>
        <v>#REF!</v>
      </c>
      <c r="O197" s="76" t="e">
        <f t="shared" si="96"/>
        <v>#REF!</v>
      </c>
      <c r="P197" s="76" t="e">
        <f t="shared" si="96"/>
        <v>#REF!</v>
      </c>
      <c r="Q197" s="385" t="e">
        <f t="shared" si="96"/>
        <v>#REF!</v>
      </c>
      <c r="R197" s="135" t="e">
        <f t="shared" si="96"/>
        <v>#REF!</v>
      </c>
      <c r="S197" s="135" t="e">
        <f t="shared" si="96"/>
        <v>#REF!</v>
      </c>
      <c r="T197" s="135" t="e">
        <f t="shared" si="96"/>
        <v>#REF!</v>
      </c>
      <c r="U197" s="356" t="e">
        <f t="shared" si="96"/>
        <v>#REF!</v>
      </c>
      <c r="V197" s="356" t="e">
        <f t="shared" si="96"/>
        <v>#REF!</v>
      </c>
      <c r="W197" s="356" t="e">
        <f t="shared" si="96"/>
        <v>#REF!</v>
      </c>
      <c r="X197" s="356" t="e">
        <f t="shared" si="96"/>
        <v>#REF!</v>
      </c>
      <c r="AD197" s="60"/>
      <c r="AE197" s="60"/>
      <c r="AF197" s="60"/>
      <c r="AG197" s="60"/>
      <c r="AH197" s="60"/>
      <c r="AI197" s="60"/>
      <c r="AJ197" s="60"/>
      <c r="AK197" s="60"/>
      <c r="AL197" s="60"/>
    </row>
    <row r="198" spans="1:38" s="373" customFormat="1" ht="20.25" customHeight="1" x14ac:dyDescent="0.25">
      <c r="A198" s="119"/>
      <c r="B198" s="119"/>
      <c r="C198" s="119"/>
      <c r="D198" s="119" t="s">
        <v>1018</v>
      </c>
      <c r="E198" s="119"/>
      <c r="F198" s="368" t="s">
        <v>752</v>
      </c>
      <c r="G198" s="369" t="e">
        <f>G199</f>
        <v>#REF!</v>
      </c>
      <c r="H198" s="370" t="e">
        <f>H199</f>
        <v>#REF!</v>
      </c>
      <c r="I198" s="369" t="e">
        <f t="shared" ref="I198:X198" si="97">I199+I200</f>
        <v>#REF!</v>
      </c>
      <c r="J198" s="369" t="e">
        <f t="shared" si="97"/>
        <v>#REF!</v>
      </c>
      <c r="K198" s="369" t="e">
        <f t="shared" si="97"/>
        <v>#REF!</v>
      </c>
      <c r="L198" s="369" t="e">
        <f t="shared" si="97"/>
        <v>#REF!</v>
      </c>
      <c r="M198" s="369" t="e">
        <f t="shared" si="97"/>
        <v>#REF!</v>
      </c>
      <c r="N198" s="369" t="e">
        <f t="shared" si="97"/>
        <v>#REF!</v>
      </c>
      <c r="O198" s="369" t="e">
        <f t="shared" si="97"/>
        <v>#REF!</v>
      </c>
      <c r="P198" s="369" t="e">
        <f t="shared" si="97"/>
        <v>#REF!</v>
      </c>
      <c r="Q198" s="392" t="e">
        <f t="shared" si="97"/>
        <v>#REF!</v>
      </c>
      <c r="R198" s="369" t="e">
        <f t="shared" si="97"/>
        <v>#REF!</v>
      </c>
      <c r="S198" s="369" t="e">
        <f t="shared" si="97"/>
        <v>#REF!</v>
      </c>
      <c r="T198" s="369" t="e">
        <f t="shared" si="97"/>
        <v>#REF!</v>
      </c>
      <c r="U198" s="371" t="e">
        <f t="shared" si="97"/>
        <v>#REF!</v>
      </c>
      <c r="V198" s="371" t="e">
        <f t="shared" si="97"/>
        <v>#REF!</v>
      </c>
      <c r="W198" s="371" t="e">
        <f t="shared" si="97"/>
        <v>#REF!</v>
      </c>
      <c r="X198" s="371" t="e">
        <f t="shared" si="97"/>
        <v>#REF!</v>
      </c>
      <c r="Y198" s="372"/>
      <c r="Z198" s="372"/>
      <c r="AA198" s="372"/>
      <c r="AB198" s="372"/>
      <c r="AC198" s="372"/>
      <c r="AD198" s="372"/>
      <c r="AE198" s="372"/>
      <c r="AF198" s="372"/>
      <c r="AG198" s="372"/>
      <c r="AH198" s="372"/>
      <c r="AI198" s="372"/>
      <c r="AJ198" s="372"/>
      <c r="AK198" s="372"/>
      <c r="AL198" s="372"/>
    </row>
    <row r="199" spans="1:38" ht="42.75" customHeight="1" x14ac:dyDescent="0.25">
      <c r="A199" s="80"/>
      <c r="B199" s="80"/>
      <c r="C199" s="80"/>
      <c r="D199" s="80"/>
      <c r="E199" s="80">
        <v>3511</v>
      </c>
      <c r="F199" s="81" t="s">
        <v>323</v>
      </c>
      <c r="G199" s="82" t="e">
        <f>SUMIF(#REF!,funkcijska!$E199,#REF!)</f>
        <v>#REF!</v>
      </c>
      <c r="H199" s="82" t="e">
        <f>SUMIF(#REF!,funkcijska!$E199,#REF!)</f>
        <v>#REF!</v>
      </c>
      <c r="I199" s="82" t="e">
        <f>SUMIF(#REF!,funkcijska!$E199,#REF!)</f>
        <v>#REF!</v>
      </c>
      <c r="J199" s="82" t="e">
        <f>SUMIF(#REF!,funkcijska!$E199,#REF!)</f>
        <v>#REF!</v>
      </c>
      <c r="K199" s="82" t="e">
        <f>SUMIF(#REF!,funkcijska!$E199,#REF!)</f>
        <v>#REF!</v>
      </c>
      <c r="L199" s="82" t="e">
        <f>ROUND(K199/J199*100,2)</f>
        <v>#REF!</v>
      </c>
      <c r="M199" s="82" t="e">
        <f>N199-J199</f>
        <v>#REF!</v>
      </c>
      <c r="N199" s="82" t="e">
        <f>SUMIF(#REF!,funkcijska!$E199,#REF!)</f>
        <v>#REF!</v>
      </c>
      <c r="O199" s="82" t="e">
        <f>SUMIF(#REF!,funkcijska!$E199,#REF!)</f>
        <v>#REF!</v>
      </c>
      <c r="P199" s="82" t="e">
        <f>SUMIF(#REF!,funkcijska!$E199,#REF!)</f>
        <v>#REF!</v>
      </c>
      <c r="Q199" s="386" t="e">
        <f>SUMIF(#REF!,funkcijska!$E199,#REF!)</f>
        <v>#REF!</v>
      </c>
      <c r="R199" s="82" t="e">
        <f>SUMIF(#REF!,funkcijska!$E199,#REF!)</f>
        <v>#REF!</v>
      </c>
      <c r="S199" s="82" t="e">
        <f>SUMIF(#REF!,funkcijska!$E199,#REF!)</f>
        <v>#REF!</v>
      </c>
      <c r="T199" s="82" t="e">
        <f>SUMIF(#REF!,funkcijska!$E$62,#REF!)</f>
        <v>#REF!</v>
      </c>
      <c r="U199" s="357" t="e">
        <f>SUMIF(#REF!,funkcijska!$E199,#REF!)</f>
        <v>#REF!</v>
      </c>
      <c r="V199" s="357" t="e">
        <f>SUMIF(#REF!,funkcijska!$E199,#REF!)+SUMIF(#REF!,funkcijska!$E199,#REF!)</f>
        <v>#REF!</v>
      </c>
      <c r="W199" s="357" t="e">
        <f>SUMIF(#REF!,funkcijska!$E199,#REF!)+SUMIF(#REF!,funkcijska!$E199,#REF!)</f>
        <v>#REF!</v>
      </c>
      <c r="X199" s="357" t="e">
        <f>SUMIF(#REF!,funkcijska!$E199,#REF!)+SUMIF(#REF!,funkcijska!$E199,#REF!)</f>
        <v>#REF!</v>
      </c>
      <c r="AD199" s="60"/>
      <c r="AE199" s="60"/>
      <c r="AF199" s="60"/>
      <c r="AG199" s="60"/>
      <c r="AH199" s="60"/>
      <c r="AI199" s="60"/>
      <c r="AJ199" s="60"/>
      <c r="AK199" s="60"/>
      <c r="AL199" s="60"/>
    </row>
    <row r="200" spans="1:38" ht="23.25" customHeight="1" x14ac:dyDescent="0.25">
      <c r="A200" s="80"/>
      <c r="B200" s="80"/>
      <c r="C200" s="80"/>
      <c r="D200" s="80"/>
      <c r="E200" s="136">
        <v>3512</v>
      </c>
      <c r="F200" s="81" t="s">
        <v>752</v>
      </c>
      <c r="G200" s="82" t="e">
        <f>SUMIF(#REF!,funkcijska!$E200,#REF!)</f>
        <v>#REF!</v>
      </c>
      <c r="H200" s="82" t="e">
        <f>SUMIF(#REF!,funkcijska!$E200,#REF!)</f>
        <v>#REF!</v>
      </c>
      <c r="I200" s="82" t="e">
        <f>SUMIF(#REF!,funkcijska!$E200,#REF!)</f>
        <v>#REF!</v>
      </c>
      <c r="J200" s="82" t="e">
        <f>SUMIF(#REF!,funkcijska!$E200,#REF!)</f>
        <v>#REF!</v>
      </c>
      <c r="K200" s="82" t="e">
        <f>SUMIF(#REF!,funkcijska!$E200,#REF!)</f>
        <v>#REF!</v>
      </c>
      <c r="L200" s="82" t="e">
        <f>ROUND(K200/J200*100,2)</f>
        <v>#REF!</v>
      </c>
      <c r="M200" s="82" t="e">
        <f>N200-J200</f>
        <v>#REF!</v>
      </c>
      <c r="N200" s="82" t="e">
        <f>SUMIF(#REF!,funkcijska!$E200,#REF!)</f>
        <v>#REF!</v>
      </c>
      <c r="O200" s="82" t="e">
        <f>SUMIF(#REF!,funkcijska!$E200,#REF!)</f>
        <v>#REF!</v>
      </c>
      <c r="P200" s="82" t="e">
        <f>SUMIF(#REF!,funkcijska!$E200,#REF!)</f>
        <v>#REF!</v>
      </c>
      <c r="Q200" s="386" t="e">
        <f>SUMIF(#REF!,funkcijska!$E200,#REF!)</f>
        <v>#REF!</v>
      </c>
      <c r="R200" s="82" t="e">
        <f>SUMIF(#REF!,funkcijska!$E200,#REF!)</f>
        <v>#REF!</v>
      </c>
      <c r="S200" s="82" t="e">
        <f>SUMIF(#REF!,funkcijska!$E200,#REF!)</f>
        <v>#REF!</v>
      </c>
      <c r="T200" s="82" t="e">
        <f>SUMIF(#REF!,funkcijska!$E$63,#REF!)</f>
        <v>#REF!</v>
      </c>
      <c r="U200" s="357" t="e">
        <f>SUMIF(#REF!,funkcijska!$E200,#REF!)</f>
        <v>#REF!</v>
      </c>
      <c r="V200" s="357" t="e">
        <f>SUMIF(#REF!,funkcijska!$E200,#REF!)+SUMIF(#REF!,funkcijska!$E200,#REF!)</f>
        <v>#REF!</v>
      </c>
      <c r="W200" s="357" t="e">
        <f>SUMIF(#REF!,funkcijska!$E200,#REF!)+SUMIF(#REF!,funkcijska!$E200,#REF!)</f>
        <v>#REF!</v>
      </c>
      <c r="X200" s="357" t="e">
        <f>SUMIF(#REF!,funkcijska!$E200,#REF!)+SUMIF(#REF!,funkcijska!$E200,#REF!)</f>
        <v>#REF!</v>
      </c>
      <c r="AD200" s="60"/>
      <c r="AE200" s="60"/>
      <c r="AF200" s="60"/>
      <c r="AG200" s="60"/>
      <c r="AH200" s="60"/>
      <c r="AI200" s="60"/>
      <c r="AJ200" s="60"/>
      <c r="AK200" s="60"/>
      <c r="AL200" s="60"/>
    </row>
    <row r="201" spans="1:38" s="373" customFormat="1" ht="54.75" customHeight="1" x14ac:dyDescent="0.25">
      <c r="A201" s="119"/>
      <c r="B201" s="119"/>
      <c r="C201" s="119"/>
      <c r="D201" s="119" t="str">
        <f>LEFT(E203,3)</f>
        <v>352</v>
      </c>
      <c r="E201" s="119"/>
      <c r="F201" s="368" t="s">
        <v>748</v>
      </c>
      <c r="G201" s="137" t="e">
        <f t="shared" ref="G201:X201" si="98">G203+G202</f>
        <v>#REF!</v>
      </c>
      <c r="H201" s="137" t="e">
        <f t="shared" si="98"/>
        <v>#REF!</v>
      </c>
      <c r="I201" s="137" t="e">
        <f t="shared" si="98"/>
        <v>#REF!</v>
      </c>
      <c r="J201" s="137" t="e">
        <f t="shared" si="98"/>
        <v>#REF!</v>
      </c>
      <c r="K201" s="137" t="e">
        <f t="shared" si="98"/>
        <v>#REF!</v>
      </c>
      <c r="L201" s="137" t="e">
        <f t="shared" si="98"/>
        <v>#REF!</v>
      </c>
      <c r="M201" s="137" t="e">
        <f t="shared" si="98"/>
        <v>#REF!</v>
      </c>
      <c r="N201" s="137" t="e">
        <f t="shared" si="98"/>
        <v>#REF!</v>
      </c>
      <c r="O201" s="137" t="e">
        <f t="shared" si="98"/>
        <v>#REF!</v>
      </c>
      <c r="P201" s="137" t="e">
        <f t="shared" si="98"/>
        <v>#REF!</v>
      </c>
      <c r="Q201" s="393" t="e">
        <f t="shared" si="98"/>
        <v>#REF!</v>
      </c>
      <c r="R201" s="137" t="e">
        <f t="shared" si="98"/>
        <v>#REF!</v>
      </c>
      <c r="S201" s="137" t="e">
        <f t="shared" si="98"/>
        <v>#REF!</v>
      </c>
      <c r="T201" s="137" t="e">
        <f t="shared" si="98"/>
        <v>#REF!</v>
      </c>
      <c r="U201" s="371" t="e">
        <f t="shared" si="98"/>
        <v>#REF!</v>
      </c>
      <c r="V201" s="371" t="e">
        <f t="shared" si="98"/>
        <v>#REF!</v>
      </c>
      <c r="W201" s="371" t="e">
        <f t="shared" si="98"/>
        <v>#REF!</v>
      </c>
      <c r="X201" s="371" t="e">
        <f t="shared" si="98"/>
        <v>#REF!</v>
      </c>
      <c r="Y201" s="372"/>
      <c r="Z201" s="372"/>
      <c r="AA201" s="372"/>
      <c r="AB201" s="372"/>
      <c r="AC201" s="372"/>
      <c r="AD201" s="372"/>
      <c r="AE201" s="372"/>
      <c r="AF201" s="372"/>
      <c r="AG201" s="372"/>
      <c r="AH201" s="372"/>
      <c r="AI201" s="372"/>
      <c r="AJ201" s="372"/>
      <c r="AK201" s="372"/>
      <c r="AL201" s="372"/>
    </row>
    <row r="202" spans="1:38" ht="37.5" customHeight="1" x14ac:dyDescent="0.25">
      <c r="A202" s="80"/>
      <c r="B202" s="80"/>
      <c r="C202" s="80"/>
      <c r="D202" s="80"/>
      <c r="E202" s="80">
        <v>3522</v>
      </c>
      <c r="F202" s="81" t="s">
        <v>498</v>
      </c>
      <c r="G202" s="82" t="e">
        <f>SUMIF(#REF!,funkcijska!$E202,#REF!)</f>
        <v>#REF!</v>
      </c>
      <c r="H202" s="82" t="e">
        <f>SUMIF(#REF!,funkcijska!$E202,#REF!)</f>
        <v>#REF!</v>
      </c>
      <c r="I202" s="82" t="e">
        <f>SUMIF(#REF!,funkcijska!$E202,#REF!)</f>
        <v>#REF!</v>
      </c>
      <c r="J202" s="82" t="e">
        <f>SUMIF(#REF!,funkcijska!$E202,#REF!)</f>
        <v>#REF!</v>
      </c>
      <c r="K202" s="82" t="e">
        <f>SUMIF(#REF!,funkcijska!$E202,#REF!)</f>
        <v>#REF!</v>
      </c>
      <c r="L202" s="84"/>
      <c r="M202" s="82" t="e">
        <f>N202-J202</f>
        <v>#REF!</v>
      </c>
      <c r="N202" s="82" t="e">
        <f>SUMIF(#REF!,funkcijska!$E202,#REF!)</f>
        <v>#REF!</v>
      </c>
      <c r="O202" s="82" t="e">
        <f>SUMIF(#REF!,funkcijska!$E202,#REF!)</f>
        <v>#REF!</v>
      </c>
      <c r="P202" s="82" t="e">
        <f>SUMIF(#REF!,funkcijska!$E202,#REF!)</f>
        <v>#REF!</v>
      </c>
      <c r="Q202" s="386" t="e">
        <f>SUMIF(#REF!,funkcijska!$E202,#REF!)</f>
        <v>#REF!</v>
      </c>
      <c r="R202" s="82" t="e">
        <f>SUMIF(#REF!,funkcijska!$E202,#REF!)</f>
        <v>#REF!</v>
      </c>
      <c r="S202" s="82" t="e">
        <f>SUMIF(#REF!,funkcijska!$E202,#REF!)</f>
        <v>#REF!</v>
      </c>
      <c r="T202" s="82" t="e">
        <f>SUMIF(#REF!,funkcijska!$E$65,#REF!)</f>
        <v>#REF!</v>
      </c>
      <c r="U202" s="357" t="e">
        <f>SUMIF(#REF!,funkcijska!$E202,#REF!)</f>
        <v>#REF!</v>
      </c>
      <c r="V202" s="357" t="e">
        <f>SUMIF(#REF!,funkcijska!$E202,#REF!)+SUMIF(#REF!,funkcijska!$E202,#REF!)</f>
        <v>#REF!</v>
      </c>
      <c r="W202" s="357" t="e">
        <f>SUMIF(#REF!,funkcijska!$E202,#REF!)+SUMIF(#REF!,funkcijska!$E202,#REF!)</f>
        <v>#REF!</v>
      </c>
      <c r="X202" s="357" t="e">
        <f>SUMIF(#REF!,funkcijska!$E202,#REF!)+SUMIF(#REF!,funkcijska!$E202,#REF!)</f>
        <v>#REF!</v>
      </c>
      <c r="AD202" s="60"/>
      <c r="AE202" s="60"/>
      <c r="AF202" s="60"/>
      <c r="AG202" s="60"/>
      <c r="AH202" s="60"/>
      <c r="AI202" s="60"/>
      <c r="AJ202" s="60"/>
      <c r="AK202" s="60"/>
      <c r="AL202" s="60"/>
    </row>
    <row r="203" spans="1:38" ht="26.25" customHeight="1" x14ac:dyDescent="0.25">
      <c r="A203" s="80"/>
      <c r="B203" s="80"/>
      <c r="C203" s="80"/>
      <c r="D203" s="80"/>
      <c r="E203" s="80">
        <v>3523</v>
      </c>
      <c r="F203" s="81" t="s">
        <v>324</v>
      </c>
      <c r="G203" s="82" t="e">
        <f>SUMIF(#REF!,funkcijska!$E203,#REF!)</f>
        <v>#REF!</v>
      </c>
      <c r="H203" s="82" t="e">
        <f>SUMIF(#REF!,funkcijska!$E203,#REF!)</f>
        <v>#REF!</v>
      </c>
      <c r="I203" s="82" t="e">
        <f>SUMIF(#REF!,funkcijska!$E203,#REF!)</f>
        <v>#REF!</v>
      </c>
      <c r="J203" s="82" t="e">
        <f>SUMIF(#REF!,funkcijska!$E203,#REF!)</f>
        <v>#REF!</v>
      </c>
      <c r="K203" s="82" t="e">
        <f>SUMIF(#REF!,funkcijska!$E203,#REF!)</f>
        <v>#REF!</v>
      </c>
      <c r="L203" s="82" t="e">
        <f>ROUND(K203/J203*100,2)</f>
        <v>#REF!</v>
      </c>
      <c r="M203" s="82" t="e">
        <f>N203-J203</f>
        <v>#REF!</v>
      </c>
      <c r="N203" s="82" t="e">
        <f>SUMIF(#REF!,funkcijska!$E203,#REF!)</f>
        <v>#REF!</v>
      </c>
      <c r="O203" s="82" t="e">
        <f>SUMIF(#REF!,funkcijska!$E203,#REF!)</f>
        <v>#REF!</v>
      </c>
      <c r="P203" s="82" t="e">
        <f>SUMIF(#REF!,funkcijska!$E203,#REF!)</f>
        <v>#REF!</v>
      </c>
      <c r="Q203" s="386" t="e">
        <f>SUMIF(#REF!,funkcijska!$E203,#REF!)</f>
        <v>#REF!</v>
      </c>
      <c r="R203" s="82" t="e">
        <f>SUMIF(#REF!,funkcijska!$E203,#REF!)</f>
        <v>#REF!</v>
      </c>
      <c r="S203" s="82" t="e">
        <f>SUMIF(#REF!,funkcijska!$E203,#REF!)</f>
        <v>#REF!</v>
      </c>
      <c r="T203" s="82" t="e">
        <f>SUMIF(#REF!,funkcijska!$E$66,#REF!)</f>
        <v>#REF!</v>
      </c>
      <c r="U203" s="357" t="e">
        <f>SUMIF(#REF!,funkcijska!$E203,#REF!)</f>
        <v>#REF!</v>
      </c>
      <c r="V203" s="357" t="e">
        <f>SUMIF(#REF!,funkcijska!$E203,#REF!)+SUMIF(#REF!,funkcijska!$E203,#REF!)</f>
        <v>#REF!</v>
      </c>
      <c r="W203" s="357" t="e">
        <f>SUMIF(#REF!,funkcijska!$E203,#REF!)+SUMIF(#REF!,funkcijska!$E203,#REF!)</f>
        <v>#REF!</v>
      </c>
      <c r="X203" s="357" t="e">
        <f>SUMIF(#REF!,funkcijska!$E203,#REF!)+SUMIF(#REF!,funkcijska!$E203,#REF!)</f>
        <v>#REF!</v>
      </c>
      <c r="AD203" s="60"/>
      <c r="AE203" s="60"/>
      <c r="AF203" s="60"/>
      <c r="AG203" s="60"/>
      <c r="AH203" s="60"/>
      <c r="AI203" s="60"/>
      <c r="AJ203" s="60"/>
      <c r="AK203" s="60"/>
      <c r="AL203" s="60"/>
    </row>
    <row r="204" spans="1:38" ht="38.25" customHeight="1" x14ac:dyDescent="0.25">
      <c r="A204" s="125"/>
      <c r="B204" s="74"/>
      <c r="C204" s="74" t="str">
        <f>LEFT(E206,2)</f>
        <v>36</v>
      </c>
      <c r="D204" s="74"/>
      <c r="E204" s="74"/>
      <c r="F204" s="75" t="s">
        <v>751</v>
      </c>
      <c r="G204" s="77" t="e">
        <f>G205</f>
        <v>#REF!</v>
      </c>
      <c r="H204" s="118" t="e">
        <f>H205</f>
        <v>#REF!</v>
      </c>
      <c r="I204" s="77" t="e">
        <f>I205</f>
        <v>#REF!</v>
      </c>
      <c r="J204" s="77" t="e">
        <f>J205</f>
        <v>#REF!</v>
      </c>
      <c r="K204" s="77" t="e">
        <f>K205</f>
        <v>#REF!</v>
      </c>
      <c r="L204" s="77" t="e">
        <f>ROUND(K204/J204*100,2)</f>
        <v>#REF!</v>
      </c>
      <c r="M204" s="77" t="e">
        <f>N204-J204</f>
        <v>#REF!</v>
      </c>
      <c r="N204" s="77" t="e">
        <f t="shared" ref="N204:X204" si="99">N205</f>
        <v>#REF!</v>
      </c>
      <c r="O204" s="76" t="e">
        <f t="shared" si="99"/>
        <v>#REF!</v>
      </c>
      <c r="P204" s="76" t="e">
        <f t="shared" si="99"/>
        <v>#REF!</v>
      </c>
      <c r="Q204" s="385" t="e">
        <f t="shared" si="99"/>
        <v>#REF!</v>
      </c>
      <c r="R204" s="135" t="e">
        <f t="shared" si="99"/>
        <v>#REF!</v>
      </c>
      <c r="S204" s="135" t="e">
        <f t="shared" si="99"/>
        <v>#REF!</v>
      </c>
      <c r="T204" s="135" t="e">
        <f t="shared" si="99"/>
        <v>#REF!</v>
      </c>
      <c r="U204" s="356" t="e">
        <f t="shared" si="99"/>
        <v>#REF!</v>
      </c>
      <c r="V204" s="356" t="e">
        <f t="shared" si="99"/>
        <v>#REF!</v>
      </c>
      <c r="W204" s="356" t="e">
        <f t="shared" si="99"/>
        <v>#REF!</v>
      </c>
      <c r="X204" s="356" t="e">
        <f t="shared" si="99"/>
        <v>#REF!</v>
      </c>
      <c r="AD204" s="60"/>
      <c r="AE204" s="60"/>
      <c r="AF204" s="60"/>
      <c r="AG204" s="60"/>
      <c r="AH204" s="60"/>
      <c r="AI204" s="60"/>
      <c r="AJ204" s="60"/>
      <c r="AK204" s="60"/>
      <c r="AL204" s="60"/>
    </row>
    <row r="205" spans="1:38" s="373" customFormat="1" ht="21" customHeight="1" x14ac:dyDescent="0.25">
      <c r="A205" s="119"/>
      <c r="B205" s="119"/>
      <c r="C205" s="119"/>
      <c r="D205" s="119" t="str">
        <f>LEFT(E206,3)</f>
        <v>363</v>
      </c>
      <c r="E205" s="119"/>
      <c r="F205" s="368" t="s">
        <v>536</v>
      </c>
      <c r="G205" s="369" t="e">
        <f t="shared" ref="G205:X205" si="100">SUM(G206:G207)</f>
        <v>#REF!</v>
      </c>
      <c r="H205" s="370" t="e">
        <f t="shared" si="100"/>
        <v>#REF!</v>
      </c>
      <c r="I205" s="369" t="e">
        <f t="shared" si="100"/>
        <v>#REF!</v>
      </c>
      <c r="J205" s="369" t="e">
        <f t="shared" si="100"/>
        <v>#REF!</v>
      </c>
      <c r="K205" s="369" t="e">
        <f t="shared" si="100"/>
        <v>#REF!</v>
      </c>
      <c r="L205" s="369" t="e">
        <f t="shared" si="100"/>
        <v>#REF!</v>
      </c>
      <c r="M205" s="369" t="e">
        <f t="shared" si="100"/>
        <v>#REF!</v>
      </c>
      <c r="N205" s="369" t="e">
        <f t="shared" si="100"/>
        <v>#REF!</v>
      </c>
      <c r="O205" s="369" t="e">
        <f t="shared" si="100"/>
        <v>#REF!</v>
      </c>
      <c r="P205" s="369" t="e">
        <f t="shared" si="100"/>
        <v>#REF!</v>
      </c>
      <c r="Q205" s="392" t="e">
        <f t="shared" si="100"/>
        <v>#REF!</v>
      </c>
      <c r="R205" s="369" t="e">
        <f t="shared" si="100"/>
        <v>#REF!</v>
      </c>
      <c r="S205" s="369" t="e">
        <f t="shared" si="100"/>
        <v>#REF!</v>
      </c>
      <c r="T205" s="369" t="e">
        <f t="shared" si="100"/>
        <v>#REF!</v>
      </c>
      <c r="U205" s="357" t="e">
        <f t="shared" si="100"/>
        <v>#REF!</v>
      </c>
      <c r="V205" s="357" t="e">
        <f t="shared" si="100"/>
        <v>#REF!</v>
      </c>
      <c r="W205" s="357" t="e">
        <f t="shared" si="100"/>
        <v>#REF!</v>
      </c>
      <c r="X205" s="357" t="e">
        <f t="shared" si="100"/>
        <v>#REF!</v>
      </c>
      <c r="Y205" s="372"/>
      <c r="Z205" s="372"/>
      <c r="AA205" s="372"/>
      <c r="AB205" s="372"/>
      <c r="AC205" s="372"/>
      <c r="AD205" s="372"/>
      <c r="AE205" s="372"/>
      <c r="AF205" s="372"/>
      <c r="AG205" s="372"/>
      <c r="AH205" s="372"/>
      <c r="AI205" s="372"/>
      <c r="AJ205" s="372"/>
      <c r="AK205" s="372"/>
      <c r="AL205" s="372"/>
    </row>
    <row r="206" spans="1:38" ht="20.25" customHeight="1" x14ac:dyDescent="0.25">
      <c r="A206" s="80"/>
      <c r="B206" s="80"/>
      <c r="C206" s="80"/>
      <c r="D206" s="80"/>
      <c r="E206" s="80">
        <v>3631</v>
      </c>
      <c r="F206" s="81" t="s">
        <v>331</v>
      </c>
      <c r="G206" s="82" t="e">
        <f>SUMIF(#REF!,funkcijska!$E206,#REF!)</f>
        <v>#REF!</v>
      </c>
      <c r="H206" s="82" t="e">
        <f>SUMIF(#REF!,funkcijska!$E206,#REF!)</f>
        <v>#REF!</v>
      </c>
      <c r="I206" s="82" t="e">
        <f>SUMIF(#REF!,funkcijska!$E206,#REF!)</f>
        <v>#REF!</v>
      </c>
      <c r="J206" s="82" t="e">
        <f>SUMIF(#REF!,funkcijska!$E206,#REF!)</f>
        <v>#REF!</v>
      </c>
      <c r="K206" s="82" t="e">
        <f>SUMIF(#REF!,funkcijska!$E206,#REF!)</f>
        <v>#REF!</v>
      </c>
      <c r="L206" s="82" t="e">
        <f>ROUND(K206/J206*100,2)</f>
        <v>#REF!</v>
      </c>
      <c r="M206" s="82" t="e">
        <f>N206-J206</f>
        <v>#REF!</v>
      </c>
      <c r="N206" s="82" t="e">
        <f>SUMIF(#REF!,funkcijska!$E206,#REF!)</f>
        <v>#REF!</v>
      </c>
      <c r="O206" s="82" t="e">
        <f>SUMIF(#REF!,funkcijska!$E206,#REF!)</f>
        <v>#REF!</v>
      </c>
      <c r="P206" s="82" t="e">
        <f>SUMIF(#REF!,funkcijska!$E206,#REF!)</f>
        <v>#REF!</v>
      </c>
      <c r="Q206" s="386" t="e">
        <f>SUMIF(#REF!,funkcijska!$E206,#REF!)</f>
        <v>#REF!</v>
      </c>
      <c r="R206" s="82" t="e">
        <f>SUMIF(#REF!,funkcijska!$E206,#REF!)</f>
        <v>#REF!</v>
      </c>
      <c r="S206" s="82" t="e">
        <f>SUMIF(#REF!,funkcijska!$E206,#REF!)</f>
        <v>#REF!</v>
      </c>
      <c r="T206" s="82" t="e">
        <f>SUMIF(#REF!,funkcijska!$E$69,#REF!)</f>
        <v>#REF!</v>
      </c>
      <c r="U206" s="357" t="e">
        <f>SUMIF(#REF!,funkcijska!$E206,#REF!)</f>
        <v>#REF!</v>
      </c>
      <c r="V206" s="357" t="e">
        <f>SUMIF(#REF!,funkcijska!$E206,#REF!)+SUMIF(#REF!,funkcijska!$E206,#REF!)</f>
        <v>#REF!</v>
      </c>
      <c r="W206" s="357" t="e">
        <f>SUMIF(#REF!,funkcijska!$E206,#REF!)+SUMIF(#REF!,funkcijska!$E206,#REF!)</f>
        <v>#REF!</v>
      </c>
      <c r="X206" s="357" t="e">
        <f>SUMIF(#REF!,funkcijska!$E206,#REF!)+SUMIF(#REF!,funkcijska!$E206,#REF!)</f>
        <v>#REF!</v>
      </c>
      <c r="AD206" s="60"/>
      <c r="AE206" s="60"/>
      <c r="AF206" s="60"/>
      <c r="AG206" s="60"/>
      <c r="AH206" s="60"/>
      <c r="AI206" s="60"/>
      <c r="AJ206" s="60"/>
      <c r="AK206" s="60"/>
      <c r="AL206" s="60"/>
    </row>
    <row r="207" spans="1:38" ht="23.25" customHeight="1" x14ac:dyDescent="0.25">
      <c r="A207" s="80"/>
      <c r="B207" s="80"/>
      <c r="C207" s="80"/>
      <c r="D207" s="80"/>
      <c r="E207" s="80">
        <v>3632</v>
      </c>
      <c r="F207" s="81" t="s">
        <v>227</v>
      </c>
      <c r="G207" s="82" t="e">
        <f>SUMIF(#REF!,funkcijska!$E207,#REF!)</f>
        <v>#REF!</v>
      </c>
      <c r="H207" s="82" t="e">
        <f>SUMIF(#REF!,funkcijska!$E207,#REF!)</f>
        <v>#REF!</v>
      </c>
      <c r="I207" s="82" t="e">
        <f>SUMIF(#REF!,funkcijska!$E207,#REF!)</f>
        <v>#REF!</v>
      </c>
      <c r="J207" s="82" t="e">
        <f>SUMIF(#REF!,funkcijska!$E207,#REF!)</f>
        <v>#REF!</v>
      </c>
      <c r="K207" s="82" t="e">
        <f>SUMIF(#REF!,funkcijska!$E207,#REF!)</f>
        <v>#REF!</v>
      </c>
      <c r="L207" s="82" t="e">
        <f>ROUND(K207/J207*100,2)</f>
        <v>#REF!</v>
      </c>
      <c r="M207" s="82" t="e">
        <f>N207-J207</f>
        <v>#REF!</v>
      </c>
      <c r="N207" s="82" t="e">
        <f>SUMIF(#REF!,funkcijska!$E207,#REF!)</f>
        <v>#REF!</v>
      </c>
      <c r="O207" s="82" t="e">
        <f>SUMIF(#REF!,funkcijska!$E207,#REF!)</f>
        <v>#REF!</v>
      </c>
      <c r="P207" s="82" t="e">
        <f>SUMIF(#REF!,funkcijska!$E207,#REF!)</f>
        <v>#REF!</v>
      </c>
      <c r="Q207" s="386" t="e">
        <f>SUMIF(#REF!,funkcijska!$E207,#REF!)</f>
        <v>#REF!</v>
      </c>
      <c r="R207" s="82" t="e">
        <f>SUMIF(#REF!,funkcijska!$E207,#REF!)</f>
        <v>#REF!</v>
      </c>
      <c r="S207" s="82" t="e">
        <f>SUMIF(#REF!,funkcijska!$E207,#REF!)</f>
        <v>#REF!</v>
      </c>
      <c r="T207" s="82" t="e">
        <f>SUMIF(#REF!,funkcijska!$E207,#REF!)</f>
        <v>#REF!</v>
      </c>
      <c r="U207" s="82" t="e">
        <f>SUMIF(#REF!,funkcijska!$E207,#REF!)</f>
        <v>#REF!</v>
      </c>
      <c r="V207" s="357" t="e">
        <f>SUMIF(#REF!,funkcijska!$E207,#REF!)+SUMIF(#REF!,funkcijska!$E207,#REF!)</f>
        <v>#REF!</v>
      </c>
      <c r="W207" s="357" t="e">
        <f>SUMIF(#REF!,funkcijska!$E207,#REF!)+SUMIF(#REF!,funkcijska!$E207,#REF!)</f>
        <v>#REF!</v>
      </c>
      <c r="X207" s="357" t="e">
        <f>SUMIF(#REF!,funkcijska!$E207,#REF!)+SUMIF(#REF!,funkcijska!$E207,#REF!)</f>
        <v>#REF!</v>
      </c>
      <c r="AD207" s="60"/>
      <c r="AE207" s="60"/>
      <c r="AF207" s="60"/>
      <c r="AG207" s="60"/>
      <c r="AH207" s="60"/>
      <c r="AI207" s="60"/>
      <c r="AJ207" s="60"/>
      <c r="AK207" s="60"/>
      <c r="AL207" s="60"/>
    </row>
    <row r="208" spans="1:38" ht="36.75" customHeight="1" x14ac:dyDescent="0.25">
      <c r="A208" s="125"/>
      <c r="B208" s="74"/>
      <c r="C208" s="74" t="str">
        <f>LEFT(E210,2)</f>
        <v>37</v>
      </c>
      <c r="D208" s="74"/>
      <c r="E208" s="74"/>
      <c r="F208" s="75" t="s">
        <v>410</v>
      </c>
      <c r="G208" s="311" t="e">
        <f>G209</f>
        <v>#REF!</v>
      </c>
      <c r="H208" s="118" t="e">
        <f>H209</f>
        <v>#REF!</v>
      </c>
      <c r="I208" s="311" t="e">
        <f>I209</f>
        <v>#REF!</v>
      </c>
      <c r="J208" s="311" t="e">
        <f>J209</f>
        <v>#REF!</v>
      </c>
      <c r="K208" s="311" t="e">
        <f>K209</f>
        <v>#REF!</v>
      </c>
      <c r="L208" s="311" t="e">
        <f>ROUND(K208/J208*100,2)</f>
        <v>#REF!</v>
      </c>
      <c r="M208" s="311" t="e">
        <f>N208-J208</f>
        <v>#REF!</v>
      </c>
      <c r="N208" s="311" t="e">
        <f t="shared" ref="N208:X208" si="101">N209</f>
        <v>#REF!</v>
      </c>
      <c r="O208" s="312" t="e">
        <f t="shared" si="101"/>
        <v>#REF!</v>
      </c>
      <c r="P208" s="312" t="e">
        <f t="shared" si="101"/>
        <v>#REF!</v>
      </c>
      <c r="Q208" s="385" t="e">
        <f t="shared" si="101"/>
        <v>#REF!</v>
      </c>
      <c r="R208" s="137" t="e">
        <f t="shared" si="101"/>
        <v>#REF!</v>
      </c>
      <c r="S208" s="137" t="e">
        <f t="shared" si="101"/>
        <v>#REF!</v>
      </c>
      <c r="T208" s="137" t="e">
        <f t="shared" si="101"/>
        <v>#REF!</v>
      </c>
      <c r="U208" s="356" t="e">
        <f t="shared" si="101"/>
        <v>#REF!</v>
      </c>
      <c r="V208" s="356" t="e">
        <f t="shared" si="101"/>
        <v>#REF!</v>
      </c>
      <c r="W208" s="356" t="e">
        <f t="shared" si="101"/>
        <v>#REF!</v>
      </c>
      <c r="X208" s="356" t="e">
        <f t="shared" si="101"/>
        <v>#REF!</v>
      </c>
      <c r="AD208" s="60"/>
      <c r="AE208" s="60"/>
      <c r="AF208" s="60"/>
      <c r="AG208" s="60"/>
      <c r="AH208" s="60"/>
      <c r="AI208" s="60"/>
      <c r="AJ208" s="60"/>
      <c r="AK208" s="60"/>
      <c r="AL208" s="60"/>
    </row>
    <row r="209" spans="1:38" s="373" customFormat="1" ht="37.5" customHeight="1" x14ac:dyDescent="0.25">
      <c r="A209" s="119"/>
      <c r="B209" s="119"/>
      <c r="C209" s="119"/>
      <c r="D209" s="119" t="str">
        <f>LEFT(E210,3)</f>
        <v>372</v>
      </c>
      <c r="E209" s="119"/>
      <c r="F209" s="368" t="s">
        <v>411</v>
      </c>
      <c r="G209" s="369" t="e">
        <f t="shared" ref="G209:X209" si="102">SUM(G210:G211)</f>
        <v>#REF!</v>
      </c>
      <c r="H209" s="370" t="e">
        <f t="shared" si="102"/>
        <v>#REF!</v>
      </c>
      <c r="I209" s="369" t="e">
        <f t="shared" si="102"/>
        <v>#REF!</v>
      </c>
      <c r="J209" s="369" t="e">
        <f t="shared" si="102"/>
        <v>#REF!</v>
      </c>
      <c r="K209" s="369" t="e">
        <f t="shared" si="102"/>
        <v>#REF!</v>
      </c>
      <c r="L209" s="369" t="e">
        <f t="shared" si="102"/>
        <v>#REF!</v>
      </c>
      <c r="M209" s="369" t="e">
        <f t="shared" si="102"/>
        <v>#REF!</v>
      </c>
      <c r="N209" s="369" t="e">
        <f t="shared" si="102"/>
        <v>#REF!</v>
      </c>
      <c r="O209" s="369" t="e">
        <f t="shared" si="102"/>
        <v>#REF!</v>
      </c>
      <c r="P209" s="369" t="e">
        <f t="shared" si="102"/>
        <v>#REF!</v>
      </c>
      <c r="Q209" s="392" t="e">
        <f t="shared" si="102"/>
        <v>#REF!</v>
      </c>
      <c r="R209" s="369" t="e">
        <f t="shared" si="102"/>
        <v>#REF!</v>
      </c>
      <c r="S209" s="369" t="e">
        <f t="shared" si="102"/>
        <v>#REF!</v>
      </c>
      <c r="T209" s="369" t="e">
        <f t="shared" si="102"/>
        <v>#REF!</v>
      </c>
      <c r="U209" s="357" t="e">
        <f t="shared" si="102"/>
        <v>#REF!</v>
      </c>
      <c r="V209" s="357" t="e">
        <f t="shared" si="102"/>
        <v>#REF!</v>
      </c>
      <c r="W209" s="357" t="e">
        <f t="shared" si="102"/>
        <v>#REF!</v>
      </c>
      <c r="X209" s="357" t="e">
        <f t="shared" si="102"/>
        <v>#REF!</v>
      </c>
      <c r="Y209" s="372"/>
      <c r="Z209" s="372"/>
      <c r="AA209" s="372"/>
      <c r="AB209" s="372"/>
      <c r="AC209" s="372"/>
      <c r="AD209" s="372"/>
      <c r="AE209" s="372"/>
      <c r="AF209" s="372"/>
      <c r="AG209" s="372"/>
      <c r="AH209" s="372"/>
      <c r="AI209" s="372"/>
      <c r="AJ209" s="372"/>
      <c r="AK209" s="372"/>
      <c r="AL209" s="372"/>
    </row>
    <row r="210" spans="1:38" ht="21" customHeight="1" x14ac:dyDescent="0.25">
      <c r="A210" s="80"/>
      <c r="B210" s="80"/>
      <c r="C210" s="80"/>
      <c r="D210" s="80"/>
      <c r="E210" s="80">
        <v>3721</v>
      </c>
      <c r="F210" s="81" t="s">
        <v>412</v>
      </c>
      <c r="G210" s="82" t="e">
        <f>SUMIF(#REF!,funkcijska!$E210,#REF!)</f>
        <v>#REF!</v>
      </c>
      <c r="H210" s="82" t="e">
        <f>SUMIF(#REF!,funkcijska!$E210,#REF!)</f>
        <v>#REF!</v>
      </c>
      <c r="I210" s="82" t="e">
        <f>SUMIF(#REF!,funkcijska!$E210,#REF!)</f>
        <v>#REF!</v>
      </c>
      <c r="J210" s="82" t="e">
        <f>SUMIF(#REF!,funkcijska!$E210,#REF!)</f>
        <v>#REF!</v>
      </c>
      <c r="K210" s="82" t="e">
        <f>SUMIF(#REF!,funkcijska!$E210,#REF!)</f>
        <v>#REF!</v>
      </c>
      <c r="L210" s="82" t="e">
        <f t="shared" ref="L210:L219" si="103">ROUND(K210/J210*100,2)</f>
        <v>#REF!</v>
      </c>
      <c r="M210" s="82" t="e">
        <f t="shared" ref="M210:M219" si="104">N210-J210</f>
        <v>#REF!</v>
      </c>
      <c r="N210" s="82" t="e">
        <f>SUMIF(#REF!,funkcijska!$E210,#REF!)</f>
        <v>#REF!</v>
      </c>
      <c r="O210" s="82" t="e">
        <f>SUMIF(#REF!,funkcijska!$E210,#REF!)</f>
        <v>#REF!</v>
      </c>
      <c r="P210" s="82" t="e">
        <f>SUMIF(#REF!,funkcijska!$E210,#REF!)</f>
        <v>#REF!</v>
      </c>
      <c r="Q210" s="386" t="e">
        <f>SUMIF(#REF!,funkcijska!$E210,#REF!)</f>
        <v>#REF!</v>
      </c>
      <c r="R210" s="82" t="e">
        <f>SUMIF(#REF!,funkcijska!$E210,#REF!)</f>
        <v>#REF!</v>
      </c>
      <c r="S210" s="82" t="e">
        <f>SUMIF(#REF!,funkcijska!$E210,#REF!)</f>
        <v>#REF!</v>
      </c>
      <c r="T210" s="82" t="e">
        <f>SUMIF(#REF!,funkcijska!$E$73,#REF!)</f>
        <v>#REF!</v>
      </c>
      <c r="U210" s="357" t="e">
        <f>SUMIF(#REF!,funkcijska!$E210,#REF!)</f>
        <v>#REF!</v>
      </c>
      <c r="V210" s="357" t="e">
        <f>SUMIF(#REF!,funkcijska!$E210,#REF!)+SUMIF(#REF!,funkcijska!$E210,#REF!)</f>
        <v>#REF!</v>
      </c>
      <c r="W210" s="357" t="e">
        <f>SUMIF(#REF!,funkcijska!$E210,#REF!)+SUMIF(#REF!,funkcijska!$E210,#REF!)</f>
        <v>#REF!</v>
      </c>
      <c r="X210" s="357" t="e">
        <f>SUMIF(#REF!,funkcijska!$E210,#REF!)+SUMIF(#REF!,funkcijska!$E210,#REF!)</f>
        <v>#REF!</v>
      </c>
      <c r="AD210" s="60"/>
      <c r="AE210" s="60"/>
      <c r="AF210" s="60"/>
      <c r="AG210" s="60"/>
      <c r="AH210" s="60"/>
      <c r="AI210" s="60"/>
      <c r="AJ210" s="60"/>
      <c r="AK210" s="60"/>
      <c r="AL210" s="60"/>
    </row>
    <row r="211" spans="1:38" ht="36.75" customHeight="1" x14ac:dyDescent="0.25">
      <c r="A211" s="80"/>
      <c r="B211" s="80"/>
      <c r="C211" s="80"/>
      <c r="D211" s="80"/>
      <c r="E211" s="80">
        <v>3722</v>
      </c>
      <c r="F211" s="81" t="s">
        <v>1019</v>
      </c>
      <c r="G211" s="82" t="e">
        <f>SUMIF(#REF!,funkcijska!$E211,#REF!)</f>
        <v>#REF!</v>
      </c>
      <c r="H211" s="82" t="e">
        <f>SUMIF(#REF!,funkcijska!$E211,#REF!)</f>
        <v>#REF!</v>
      </c>
      <c r="I211" s="82" t="e">
        <f>SUMIF(#REF!,funkcijska!$E211,#REF!)</f>
        <v>#REF!</v>
      </c>
      <c r="J211" s="82" t="e">
        <f>SUMIF(#REF!,funkcijska!$E211,#REF!)</f>
        <v>#REF!</v>
      </c>
      <c r="K211" s="82" t="e">
        <f>SUMIF(#REF!,funkcijska!$E211,#REF!)</f>
        <v>#REF!</v>
      </c>
      <c r="L211" s="82" t="e">
        <f t="shared" si="103"/>
        <v>#REF!</v>
      </c>
      <c r="M211" s="82" t="e">
        <f t="shared" si="104"/>
        <v>#REF!</v>
      </c>
      <c r="N211" s="82" t="e">
        <f>SUMIF(#REF!,funkcijska!$E211,#REF!)</f>
        <v>#REF!</v>
      </c>
      <c r="O211" s="82" t="e">
        <f>SUMIF(#REF!,funkcijska!$E211,#REF!)</f>
        <v>#REF!</v>
      </c>
      <c r="P211" s="82" t="e">
        <f>SUMIF(#REF!,funkcijska!$E211,#REF!)</f>
        <v>#REF!</v>
      </c>
      <c r="Q211" s="386" t="e">
        <f>SUMIF(#REF!,funkcijska!$E211,#REF!)</f>
        <v>#REF!</v>
      </c>
      <c r="R211" s="82" t="e">
        <f>SUMIF(#REF!,funkcijska!$E211,#REF!)</f>
        <v>#REF!</v>
      </c>
      <c r="S211" s="82" t="e">
        <f>SUMIF(#REF!,funkcijska!$E211,#REF!)</f>
        <v>#REF!</v>
      </c>
      <c r="T211" s="82" t="e">
        <f>SUMIF(#REF!,funkcijska!$E$74,#REF!)</f>
        <v>#REF!</v>
      </c>
      <c r="U211" s="357" t="e">
        <f>SUMIF(#REF!,funkcijska!$E211,#REF!)</f>
        <v>#REF!</v>
      </c>
      <c r="V211" s="357" t="e">
        <f>SUMIF(#REF!,funkcijska!$E211,#REF!)+SUMIF(#REF!,funkcijska!$E211,#REF!)</f>
        <v>#REF!</v>
      </c>
      <c r="W211" s="357" t="e">
        <f>SUMIF(#REF!,funkcijska!$E211,#REF!)+SUMIF(#REF!,funkcijska!$E211,#REF!)</f>
        <v>#REF!</v>
      </c>
      <c r="X211" s="357" t="e">
        <f>SUMIF(#REF!,funkcijska!$E211,#REF!)+SUMIF(#REF!,funkcijska!$E211,#REF!)</f>
        <v>#REF!</v>
      </c>
      <c r="AD211" s="60"/>
      <c r="AE211" s="60"/>
      <c r="AF211" s="60"/>
      <c r="AG211" s="60"/>
      <c r="AH211" s="60"/>
      <c r="AI211" s="60"/>
      <c r="AJ211" s="60"/>
      <c r="AK211" s="60"/>
      <c r="AL211" s="60"/>
    </row>
    <row r="212" spans="1:38" ht="20.25" customHeight="1" x14ac:dyDescent="0.25">
      <c r="A212" s="125"/>
      <c r="B212" s="74"/>
      <c r="C212" s="74" t="str">
        <f>LEFT(E214,2)</f>
        <v>38</v>
      </c>
      <c r="D212" s="74"/>
      <c r="E212" s="74"/>
      <c r="F212" s="75" t="s">
        <v>539</v>
      </c>
      <c r="G212" s="311" t="e">
        <f>G213+G215+G218</f>
        <v>#REF!</v>
      </c>
      <c r="H212" s="118" t="e">
        <f>H213+H215+H218</f>
        <v>#REF!</v>
      </c>
      <c r="I212" s="311" t="e">
        <f>I213+I215+I218</f>
        <v>#REF!</v>
      </c>
      <c r="J212" s="311" t="e">
        <f>J213+J215+J218</f>
        <v>#REF!</v>
      </c>
      <c r="K212" s="311" t="e">
        <f>K213+K215+K218</f>
        <v>#REF!</v>
      </c>
      <c r="L212" s="311" t="e">
        <f t="shared" si="103"/>
        <v>#REF!</v>
      </c>
      <c r="M212" s="311" t="e">
        <f t="shared" si="104"/>
        <v>#REF!</v>
      </c>
      <c r="N212" s="311" t="e">
        <f t="shared" ref="N212:X212" si="105">N213+N215+N218</f>
        <v>#REF!</v>
      </c>
      <c r="O212" s="312" t="e">
        <f t="shared" si="105"/>
        <v>#REF!</v>
      </c>
      <c r="P212" s="312" t="e">
        <f t="shared" si="105"/>
        <v>#REF!</v>
      </c>
      <c r="Q212" s="385" t="e">
        <f t="shared" si="105"/>
        <v>#REF!</v>
      </c>
      <c r="R212" s="137" t="e">
        <f t="shared" si="105"/>
        <v>#REF!</v>
      </c>
      <c r="S212" s="137" t="e">
        <f t="shared" si="105"/>
        <v>#REF!</v>
      </c>
      <c r="T212" s="137" t="e">
        <f t="shared" si="105"/>
        <v>#REF!</v>
      </c>
      <c r="U212" s="356" t="e">
        <f t="shared" si="105"/>
        <v>#REF!</v>
      </c>
      <c r="V212" s="356" t="e">
        <f t="shared" si="105"/>
        <v>#REF!</v>
      </c>
      <c r="W212" s="356" t="e">
        <f t="shared" si="105"/>
        <v>#REF!</v>
      </c>
      <c r="X212" s="356" t="e">
        <f t="shared" si="105"/>
        <v>#REF!</v>
      </c>
      <c r="AD212" s="60"/>
      <c r="AE212" s="60"/>
      <c r="AF212" s="60"/>
      <c r="AG212" s="60"/>
      <c r="AH212" s="60"/>
      <c r="AI212" s="60"/>
      <c r="AJ212" s="60"/>
      <c r="AK212" s="60"/>
      <c r="AL212" s="60"/>
    </row>
    <row r="213" spans="1:38" s="373" customFormat="1" ht="17.25" customHeight="1" x14ac:dyDescent="0.25">
      <c r="A213" s="119"/>
      <c r="B213" s="119"/>
      <c r="C213" s="119"/>
      <c r="D213" s="119" t="str">
        <f>LEFT(E214,3)</f>
        <v>381</v>
      </c>
      <c r="E213" s="119"/>
      <c r="F213" s="368" t="s">
        <v>540</v>
      </c>
      <c r="G213" s="369" t="e">
        <f>G214</f>
        <v>#REF!</v>
      </c>
      <c r="H213" s="370" t="e">
        <f>H214</f>
        <v>#REF!</v>
      </c>
      <c r="I213" s="369" t="e">
        <f>I214</f>
        <v>#REF!</v>
      </c>
      <c r="J213" s="369" t="e">
        <f>J214</f>
        <v>#REF!</v>
      </c>
      <c r="K213" s="369" t="e">
        <f>K214</f>
        <v>#REF!</v>
      </c>
      <c r="L213" s="369" t="e">
        <f t="shared" si="103"/>
        <v>#REF!</v>
      </c>
      <c r="M213" s="369" t="e">
        <f t="shared" si="104"/>
        <v>#REF!</v>
      </c>
      <c r="N213" s="369" t="e">
        <f t="shared" ref="N213:X213" si="106">N214</f>
        <v>#REF!</v>
      </c>
      <c r="O213" s="137" t="e">
        <f t="shared" si="106"/>
        <v>#REF!</v>
      </c>
      <c r="P213" s="137" t="e">
        <f t="shared" si="106"/>
        <v>#REF!</v>
      </c>
      <c r="Q213" s="393" t="e">
        <f t="shared" si="106"/>
        <v>#REF!</v>
      </c>
      <c r="R213" s="137" t="e">
        <f t="shared" si="106"/>
        <v>#REF!</v>
      </c>
      <c r="S213" s="137" t="e">
        <f t="shared" si="106"/>
        <v>#REF!</v>
      </c>
      <c r="T213" s="137" t="e">
        <f t="shared" si="106"/>
        <v>#REF!</v>
      </c>
      <c r="U213" s="371" t="e">
        <f t="shared" si="106"/>
        <v>#REF!</v>
      </c>
      <c r="V213" s="371" t="e">
        <f t="shared" si="106"/>
        <v>#REF!</v>
      </c>
      <c r="W213" s="371" t="e">
        <f t="shared" si="106"/>
        <v>#REF!</v>
      </c>
      <c r="X213" s="371" t="e">
        <f t="shared" si="106"/>
        <v>#REF!</v>
      </c>
      <c r="Y213" s="372"/>
      <c r="Z213" s="372"/>
      <c r="AA213" s="372"/>
      <c r="AB213" s="372"/>
      <c r="AC213" s="372"/>
      <c r="AD213" s="372"/>
      <c r="AE213" s="372"/>
      <c r="AF213" s="372"/>
      <c r="AG213" s="372"/>
      <c r="AH213" s="372"/>
      <c r="AI213" s="372"/>
      <c r="AJ213" s="372"/>
      <c r="AK213" s="372"/>
      <c r="AL213" s="372"/>
    </row>
    <row r="214" spans="1:38" ht="20.25" customHeight="1" x14ac:dyDescent="0.25">
      <c r="A214" s="80"/>
      <c r="B214" s="80"/>
      <c r="C214" s="80"/>
      <c r="D214" s="80"/>
      <c r="E214" s="80">
        <v>3811</v>
      </c>
      <c r="F214" s="81" t="s">
        <v>623</v>
      </c>
      <c r="G214" s="82" t="e">
        <f>SUMIF(#REF!,funkcijska!$E214,#REF!)</f>
        <v>#REF!</v>
      </c>
      <c r="H214" s="82" t="e">
        <f>SUMIF(#REF!,funkcijska!$E214,#REF!)</f>
        <v>#REF!</v>
      </c>
      <c r="I214" s="82" t="e">
        <f>SUMIF(#REF!,funkcijska!$E214,#REF!)</f>
        <v>#REF!</v>
      </c>
      <c r="J214" s="82" t="e">
        <f>SUMIF(#REF!,funkcijska!$E214,#REF!)</f>
        <v>#REF!</v>
      </c>
      <c r="K214" s="82" t="e">
        <f>SUMIF(#REF!,funkcijska!$E214,#REF!)</f>
        <v>#REF!</v>
      </c>
      <c r="L214" s="82" t="e">
        <f t="shared" si="103"/>
        <v>#REF!</v>
      </c>
      <c r="M214" s="82" t="e">
        <f t="shared" si="104"/>
        <v>#REF!</v>
      </c>
      <c r="N214" s="82" t="e">
        <f>SUMIF(#REF!,funkcijska!$E214,#REF!)</f>
        <v>#REF!</v>
      </c>
      <c r="O214" s="82" t="e">
        <f>SUMIF(#REF!,funkcijska!$E214,#REF!)</f>
        <v>#REF!</v>
      </c>
      <c r="P214" s="82" t="e">
        <f>SUMIF(#REF!,funkcijska!$E214,#REF!)</f>
        <v>#REF!</v>
      </c>
      <c r="Q214" s="386" t="e">
        <f>SUMIF(#REF!,funkcijska!$E214,#REF!)</f>
        <v>#REF!</v>
      </c>
      <c r="R214" s="82" t="e">
        <f>SUMIF(#REF!,funkcijska!$E214,#REF!)</f>
        <v>#REF!</v>
      </c>
      <c r="S214" s="82" t="e">
        <f>SUMIF(#REF!,funkcijska!$E214,#REF!)</f>
        <v>#REF!</v>
      </c>
      <c r="T214" s="82" t="e">
        <f>SUMIF(#REF!,funkcijska!$E$77,#REF!)</f>
        <v>#REF!</v>
      </c>
      <c r="U214" s="357" t="e">
        <f>SUMIF(#REF!,funkcijska!$E214,#REF!)</f>
        <v>#REF!</v>
      </c>
      <c r="V214" s="357" t="e">
        <f>SUMIF(#REF!,funkcijska!$E214,#REF!)+SUMIF(#REF!,funkcijska!$E214,#REF!)</f>
        <v>#REF!</v>
      </c>
      <c r="W214" s="357" t="e">
        <f>SUMIF(#REF!,funkcijska!$E214,#REF!)+SUMIF(#REF!,funkcijska!$E214,#REF!)</f>
        <v>#REF!</v>
      </c>
      <c r="X214" s="357" t="e">
        <f>SUMIF(#REF!,funkcijska!$E214,#REF!)+SUMIF(#REF!,funkcijska!$E214,#REF!)</f>
        <v>#REF!</v>
      </c>
      <c r="AD214" s="60"/>
      <c r="AE214" s="60"/>
      <c r="AF214" s="60"/>
      <c r="AG214" s="60"/>
      <c r="AH214" s="60"/>
      <c r="AI214" s="60"/>
      <c r="AJ214" s="60"/>
      <c r="AK214" s="60"/>
      <c r="AL214" s="60"/>
    </row>
    <row r="215" spans="1:38" s="373" customFormat="1" ht="21" customHeight="1" x14ac:dyDescent="0.25">
      <c r="A215" s="119"/>
      <c r="B215" s="119"/>
      <c r="C215" s="119"/>
      <c r="D215" s="119" t="str">
        <f>LEFT(E216,3)</f>
        <v>382</v>
      </c>
      <c r="E215" s="119"/>
      <c r="F215" s="368" t="s">
        <v>230</v>
      </c>
      <c r="G215" s="369" t="e">
        <f>G216</f>
        <v>#REF!</v>
      </c>
      <c r="H215" s="370" t="e">
        <f>H216</f>
        <v>#REF!</v>
      </c>
      <c r="I215" s="369" t="e">
        <f>I216</f>
        <v>#REF!</v>
      </c>
      <c r="J215" s="369" t="e">
        <f>J216</f>
        <v>#REF!</v>
      </c>
      <c r="K215" s="369" t="e">
        <f>K216</f>
        <v>#REF!</v>
      </c>
      <c r="L215" s="369" t="e">
        <f t="shared" si="103"/>
        <v>#REF!</v>
      </c>
      <c r="M215" s="369" t="e">
        <f t="shared" si="104"/>
        <v>#REF!</v>
      </c>
      <c r="N215" s="369" t="e">
        <f t="shared" ref="N215:U215" si="107">N216</f>
        <v>#REF!</v>
      </c>
      <c r="O215" s="137" t="e">
        <f t="shared" si="107"/>
        <v>#REF!</v>
      </c>
      <c r="P215" s="137" t="e">
        <f t="shared" si="107"/>
        <v>#REF!</v>
      </c>
      <c r="Q215" s="393" t="e">
        <f t="shared" si="107"/>
        <v>#REF!</v>
      </c>
      <c r="R215" s="137" t="e">
        <f t="shared" si="107"/>
        <v>#REF!</v>
      </c>
      <c r="S215" s="137" t="e">
        <f t="shared" si="107"/>
        <v>#REF!</v>
      </c>
      <c r="T215" s="137" t="e">
        <f t="shared" si="107"/>
        <v>#REF!</v>
      </c>
      <c r="U215" s="371" t="e">
        <f t="shared" si="107"/>
        <v>#REF!</v>
      </c>
      <c r="V215" s="371" t="e">
        <f>V216+V217</f>
        <v>#REF!</v>
      </c>
      <c r="W215" s="371" t="e">
        <f>W216+W217</f>
        <v>#REF!</v>
      </c>
      <c r="X215" s="371" t="e">
        <f>X216+X217</f>
        <v>#REF!</v>
      </c>
      <c r="Y215" s="372"/>
      <c r="Z215" s="372"/>
      <c r="AA215" s="372"/>
      <c r="AB215" s="372"/>
      <c r="AC215" s="372"/>
      <c r="AD215" s="372"/>
      <c r="AE215" s="372"/>
      <c r="AF215" s="372"/>
      <c r="AG215" s="372"/>
      <c r="AH215" s="372"/>
      <c r="AI215" s="372"/>
      <c r="AJ215" s="372"/>
      <c r="AK215" s="372"/>
      <c r="AL215" s="372"/>
    </row>
    <row r="216" spans="1:38" ht="23.25" customHeight="1" x14ac:dyDescent="0.25">
      <c r="A216" s="80"/>
      <c r="B216" s="80"/>
      <c r="C216" s="80"/>
      <c r="D216" s="80"/>
      <c r="E216" s="80">
        <v>3821</v>
      </c>
      <c r="F216" s="81" t="s">
        <v>1020</v>
      </c>
      <c r="G216" s="82" t="e">
        <f>SUMIF(#REF!,funkcijska!$E216,#REF!)</f>
        <v>#REF!</v>
      </c>
      <c r="H216" s="82" t="e">
        <f>SUMIF(#REF!,funkcijska!$E216,#REF!)</f>
        <v>#REF!</v>
      </c>
      <c r="I216" s="82" t="e">
        <f>SUMIF(#REF!,funkcijska!$E216,#REF!)</f>
        <v>#REF!</v>
      </c>
      <c r="J216" s="82" t="e">
        <f>SUMIF(#REF!,funkcijska!$E216,#REF!)</f>
        <v>#REF!</v>
      </c>
      <c r="K216" s="82" t="e">
        <f>SUMIF(#REF!,funkcijska!$E216,#REF!)</f>
        <v>#REF!</v>
      </c>
      <c r="L216" s="82" t="e">
        <f t="shared" si="103"/>
        <v>#REF!</v>
      </c>
      <c r="M216" s="82" t="e">
        <f t="shared" si="104"/>
        <v>#REF!</v>
      </c>
      <c r="N216" s="82" t="e">
        <f>SUMIF(#REF!,funkcijska!$E216,#REF!)</f>
        <v>#REF!</v>
      </c>
      <c r="O216" s="82" t="e">
        <f>SUMIF(#REF!,funkcijska!$E216,#REF!)</f>
        <v>#REF!</v>
      </c>
      <c r="P216" s="82" t="e">
        <f>SUMIF(#REF!,funkcijska!$E216,#REF!)</f>
        <v>#REF!</v>
      </c>
      <c r="Q216" s="386" t="e">
        <f>SUMIF(#REF!,funkcijska!$E216,#REF!)</f>
        <v>#REF!</v>
      </c>
      <c r="R216" s="82" t="e">
        <f>SUMIF(#REF!,funkcijska!$E216,#REF!)</f>
        <v>#REF!</v>
      </c>
      <c r="S216" s="82" t="e">
        <f>SUMIF(#REF!,funkcijska!$E216,#REF!)</f>
        <v>#REF!</v>
      </c>
      <c r="T216" s="82" t="e">
        <f>SUMIF(#REF!,funkcijska!$E$79,#REF!)</f>
        <v>#REF!</v>
      </c>
      <c r="U216" s="357" t="e">
        <f>SUMIF(#REF!,funkcijska!$E216,#REF!)</f>
        <v>#REF!</v>
      </c>
      <c r="V216" s="357" t="e">
        <f>SUMIF(#REF!,funkcijska!$E216,#REF!)+SUMIF(#REF!,funkcijska!$E216,#REF!)</f>
        <v>#REF!</v>
      </c>
      <c r="W216" s="357" t="e">
        <f>SUMIF(#REF!,funkcijska!$E216,#REF!)+SUMIF(#REF!,funkcijska!$E216,#REF!)</f>
        <v>#REF!</v>
      </c>
      <c r="X216" s="357" t="e">
        <f>SUMIF(#REF!,funkcijska!$E216,#REF!)+SUMIF(#REF!,funkcijska!$E216,#REF!)</f>
        <v>#REF!</v>
      </c>
      <c r="AD216" s="60"/>
      <c r="AE216" s="60"/>
      <c r="AF216" s="60"/>
      <c r="AG216" s="60"/>
      <c r="AH216" s="60"/>
      <c r="AI216" s="60"/>
      <c r="AJ216" s="60"/>
      <c r="AK216" s="60"/>
      <c r="AL216" s="60"/>
    </row>
    <row r="217" spans="1:38" ht="23.25" customHeight="1" x14ac:dyDescent="0.25">
      <c r="A217" s="80"/>
      <c r="B217" s="80"/>
      <c r="C217" s="80"/>
      <c r="D217" s="80"/>
      <c r="E217" s="80">
        <v>3822</v>
      </c>
      <c r="F217" s="81" t="s">
        <v>734</v>
      </c>
      <c r="G217" s="82" t="e">
        <f>SUMIF(#REF!,funkcijska!$E217,#REF!)</f>
        <v>#REF!</v>
      </c>
      <c r="H217" s="82" t="e">
        <f>SUMIF(#REF!,funkcijska!$E217,#REF!)</f>
        <v>#REF!</v>
      </c>
      <c r="I217" s="82" t="e">
        <f>SUMIF(#REF!,funkcijska!$E217,#REF!)</f>
        <v>#REF!</v>
      </c>
      <c r="J217" s="82" t="e">
        <f>SUMIF(#REF!,funkcijska!$E217,#REF!)</f>
        <v>#REF!</v>
      </c>
      <c r="K217" s="82" t="e">
        <f>SUMIF(#REF!,funkcijska!$E217,#REF!)</f>
        <v>#REF!</v>
      </c>
      <c r="L217" s="82" t="e">
        <f t="shared" si="103"/>
        <v>#REF!</v>
      </c>
      <c r="M217" s="82" t="e">
        <f t="shared" si="104"/>
        <v>#REF!</v>
      </c>
      <c r="N217" s="82" t="e">
        <f>SUMIF(#REF!,funkcijska!$E217,#REF!)</f>
        <v>#REF!</v>
      </c>
      <c r="O217" s="82" t="e">
        <f>SUMIF(#REF!,funkcijska!$E217,#REF!)</f>
        <v>#REF!</v>
      </c>
      <c r="P217" s="82" t="e">
        <f>SUMIF(#REF!,funkcijska!$E217,#REF!)</f>
        <v>#REF!</v>
      </c>
      <c r="Q217" s="386" t="e">
        <f>SUMIF(#REF!,funkcijska!$E217,#REF!)</f>
        <v>#REF!</v>
      </c>
      <c r="R217" s="82" t="e">
        <f>SUMIF(#REF!,funkcijska!$E217,#REF!)</f>
        <v>#REF!</v>
      </c>
      <c r="S217" s="82" t="e">
        <f>SUMIF(#REF!,funkcijska!$E217,#REF!)</f>
        <v>#REF!</v>
      </c>
      <c r="T217" s="82" t="e">
        <f>SUMIF(#REF!,funkcijska!$E$79,#REF!)</f>
        <v>#REF!</v>
      </c>
      <c r="U217" s="357" t="e">
        <f>SUMIF(#REF!,funkcijska!$E217,#REF!)</f>
        <v>#REF!</v>
      </c>
      <c r="V217" s="357" t="e">
        <f>SUMIF(#REF!,funkcijska!$E217,#REF!)+SUMIF(#REF!,funkcijska!$E217,#REF!)</f>
        <v>#REF!</v>
      </c>
      <c r="W217" s="357" t="e">
        <f>SUMIF(#REF!,funkcijska!$E217,#REF!)+SUMIF(#REF!,funkcijska!$E217,#REF!)</f>
        <v>#REF!</v>
      </c>
      <c r="X217" s="357" t="e">
        <f>SUMIF(#REF!,funkcijska!$E217,#REF!)+SUMIF(#REF!,funkcijska!$E217,#REF!)</f>
        <v>#REF!</v>
      </c>
      <c r="AD217" s="60"/>
      <c r="AE217" s="60"/>
      <c r="AF217" s="60"/>
      <c r="AG217" s="60"/>
      <c r="AH217" s="60"/>
      <c r="AI217" s="60"/>
      <c r="AJ217" s="60"/>
      <c r="AK217" s="60"/>
      <c r="AL217" s="60"/>
    </row>
    <row r="218" spans="1:38" s="373" customFormat="1" ht="21" customHeight="1" x14ac:dyDescent="0.25">
      <c r="A218" s="119"/>
      <c r="B218" s="119"/>
      <c r="C218" s="119"/>
      <c r="D218" s="119" t="str">
        <f>LEFT(E219,3)</f>
        <v>385</v>
      </c>
      <c r="E218" s="119"/>
      <c r="F218" s="368" t="s">
        <v>545</v>
      </c>
      <c r="G218" s="369" t="e">
        <f>G219</f>
        <v>#REF!</v>
      </c>
      <c r="H218" s="370" t="e">
        <f>H219</f>
        <v>#REF!</v>
      </c>
      <c r="I218" s="369" t="e">
        <f>I219</f>
        <v>#REF!</v>
      </c>
      <c r="J218" s="369" t="e">
        <f>J219</f>
        <v>#REF!</v>
      </c>
      <c r="K218" s="369" t="e">
        <f>K219</f>
        <v>#REF!</v>
      </c>
      <c r="L218" s="369" t="e">
        <f t="shared" si="103"/>
        <v>#REF!</v>
      </c>
      <c r="M218" s="369" t="e">
        <f t="shared" si="104"/>
        <v>#REF!</v>
      </c>
      <c r="N218" s="369" t="e">
        <f t="shared" ref="N218:X218" si="108">N219</f>
        <v>#REF!</v>
      </c>
      <c r="O218" s="137" t="e">
        <f t="shared" si="108"/>
        <v>#REF!</v>
      </c>
      <c r="P218" s="137" t="e">
        <f t="shared" si="108"/>
        <v>#REF!</v>
      </c>
      <c r="Q218" s="393" t="e">
        <f t="shared" si="108"/>
        <v>#REF!</v>
      </c>
      <c r="R218" s="137" t="e">
        <f t="shared" si="108"/>
        <v>#REF!</v>
      </c>
      <c r="S218" s="137" t="e">
        <f t="shared" si="108"/>
        <v>#REF!</v>
      </c>
      <c r="T218" s="137" t="e">
        <f t="shared" si="108"/>
        <v>#REF!</v>
      </c>
      <c r="U218" s="371" t="e">
        <f t="shared" si="108"/>
        <v>#REF!</v>
      </c>
      <c r="V218" s="371" t="e">
        <f t="shared" si="108"/>
        <v>#REF!</v>
      </c>
      <c r="W218" s="371" t="e">
        <f t="shared" si="108"/>
        <v>#REF!</v>
      </c>
      <c r="X218" s="371" t="e">
        <f t="shared" si="108"/>
        <v>#REF!</v>
      </c>
      <c r="Y218" s="372"/>
      <c r="Z218" s="372"/>
      <c r="AA218" s="372"/>
      <c r="AB218" s="372"/>
      <c r="AC218" s="372"/>
      <c r="AD218" s="372"/>
      <c r="AE218" s="372"/>
      <c r="AF218" s="372"/>
      <c r="AG218" s="372"/>
      <c r="AH218" s="372"/>
      <c r="AI218" s="372"/>
      <c r="AJ218" s="372"/>
      <c r="AK218" s="372"/>
      <c r="AL218" s="372"/>
    </row>
    <row r="219" spans="1:38" ht="21.75" customHeight="1" x14ac:dyDescent="0.25">
      <c r="A219" s="80"/>
      <c r="B219" s="80"/>
      <c r="C219" s="80"/>
      <c r="D219" s="80"/>
      <c r="E219" s="80">
        <v>3851</v>
      </c>
      <c r="F219" s="81" t="s">
        <v>546</v>
      </c>
      <c r="G219" s="82" t="e">
        <f>SUMIF(#REF!,funkcijska!$E219,#REF!)</f>
        <v>#REF!</v>
      </c>
      <c r="H219" s="82" t="e">
        <f>SUMIF(#REF!,funkcijska!$E219,#REF!)</f>
        <v>#REF!</v>
      </c>
      <c r="I219" s="82" t="e">
        <f>SUMIF(#REF!,funkcijska!$E219,#REF!)</f>
        <v>#REF!</v>
      </c>
      <c r="J219" s="82" t="e">
        <f>SUMIF(#REF!,funkcijska!$E219,#REF!)</f>
        <v>#REF!</v>
      </c>
      <c r="K219" s="82" t="e">
        <f>SUMIF(#REF!,funkcijska!$E219,#REF!)</f>
        <v>#REF!</v>
      </c>
      <c r="L219" s="82" t="e">
        <f t="shared" si="103"/>
        <v>#REF!</v>
      </c>
      <c r="M219" s="82" t="e">
        <f t="shared" si="104"/>
        <v>#REF!</v>
      </c>
      <c r="N219" s="82" t="e">
        <f>SUMIF(#REF!,funkcijska!$E219,#REF!)</f>
        <v>#REF!</v>
      </c>
      <c r="O219" s="82" t="e">
        <f>SUMIF(#REF!,funkcijska!$E219,#REF!)</f>
        <v>#REF!</v>
      </c>
      <c r="P219" s="82" t="e">
        <f>SUMIF(#REF!,funkcijska!$E219,#REF!)</f>
        <v>#REF!</v>
      </c>
      <c r="Q219" s="386" t="e">
        <f>SUMIF(#REF!,funkcijska!$E219,#REF!)</f>
        <v>#REF!</v>
      </c>
      <c r="R219" s="82" t="e">
        <f>SUMIF(#REF!,funkcijska!$E219,#REF!)</f>
        <v>#REF!</v>
      </c>
      <c r="S219" s="82" t="e">
        <f>SUMIF(#REF!,funkcijska!$E219,#REF!)</f>
        <v>#REF!</v>
      </c>
      <c r="T219" s="82" t="e">
        <f>SUMIF(#REF!,funkcijska!$E$82,#REF!)</f>
        <v>#REF!</v>
      </c>
      <c r="U219" s="357" t="e">
        <f>SUMIF(#REF!,funkcijska!$E219,#REF!)</f>
        <v>#REF!</v>
      </c>
      <c r="V219" s="357" t="e">
        <f>SUMIF(#REF!,funkcijska!$E219,#REF!)+SUMIF(#REF!,funkcijska!$E219,#REF!)</f>
        <v>#REF!</v>
      </c>
      <c r="W219" s="357" t="e">
        <f>SUMIF(#REF!,funkcijska!$E219,#REF!)+SUMIF(#REF!,funkcijska!$E219,#REF!)</f>
        <v>#REF!</v>
      </c>
      <c r="X219" s="357" t="e">
        <f>SUMIF(#REF!,funkcijska!$E219,#REF!)+SUMIF(#REF!,funkcijska!$E219,#REF!)</f>
        <v>#REF!</v>
      </c>
      <c r="AD219" s="60"/>
      <c r="AE219" s="60"/>
      <c r="AF219" s="60"/>
      <c r="AG219" s="60"/>
      <c r="AH219" s="60"/>
      <c r="AI219" s="60"/>
      <c r="AJ219" s="60"/>
      <c r="AK219" s="60"/>
      <c r="AL219" s="60"/>
    </row>
    <row r="220" spans="1:38" x14ac:dyDescent="0.25">
      <c r="A220" s="108"/>
      <c r="B220" s="108"/>
      <c r="C220" s="108"/>
      <c r="D220" s="108"/>
      <c r="E220" s="108"/>
      <c r="F220" s="104" t="s">
        <v>1021</v>
      </c>
      <c r="G220" s="110"/>
      <c r="H220" s="103"/>
      <c r="I220" s="110"/>
      <c r="J220" s="110"/>
      <c r="K220" s="110"/>
      <c r="L220" s="110"/>
      <c r="M220" s="110"/>
      <c r="N220" s="110"/>
      <c r="O220" s="110"/>
      <c r="P220" s="110"/>
      <c r="Q220" s="395"/>
      <c r="R220" s="110"/>
      <c r="S220" s="110"/>
      <c r="T220" s="110"/>
      <c r="U220" s="361"/>
      <c r="V220" s="361"/>
      <c r="W220" s="361"/>
      <c r="X220" s="361"/>
      <c r="AD220" s="60"/>
      <c r="AE220" s="60"/>
      <c r="AF220" s="60"/>
      <c r="AG220" s="60"/>
      <c r="AH220" s="60"/>
      <c r="AI220" s="60"/>
      <c r="AJ220" s="60"/>
      <c r="AK220" s="60"/>
      <c r="AL220" s="60"/>
    </row>
    <row r="221" spans="1:38" x14ac:dyDescent="0.25">
      <c r="A221" s="74"/>
      <c r="B221" s="105" t="str">
        <f>LEFT(E230,1)</f>
        <v>4</v>
      </c>
      <c r="C221" s="105"/>
      <c r="D221" s="105"/>
      <c r="E221" s="105"/>
      <c r="F221" s="72" t="s">
        <v>552</v>
      </c>
      <c r="G221" s="313" t="e">
        <f>G222+G228+G250</f>
        <v>#REF!</v>
      </c>
      <c r="H221" s="73" t="e">
        <f>H222+H228+H250</f>
        <v>#REF!</v>
      </c>
      <c r="I221" s="313" t="e">
        <f>I222+I228+I250</f>
        <v>#REF!</v>
      </c>
      <c r="J221" s="313" t="e">
        <f>J222+J228+J250</f>
        <v>#REF!</v>
      </c>
      <c r="K221" s="313" t="e">
        <f>K222+K228+K250</f>
        <v>#REF!</v>
      </c>
      <c r="L221" s="313" t="e">
        <f t="shared" ref="L221:L228" si="109">ROUND(K221/J221*100,2)</f>
        <v>#REF!</v>
      </c>
      <c r="M221" s="313" t="e">
        <f t="shared" ref="M221:M228" si="110">N221-J221</f>
        <v>#REF!</v>
      </c>
      <c r="N221" s="313" t="e">
        <f t="shared" ref="N221:X221" si="111">N222+N228+N250</f>
        <v>#REF!</v>
      </c>
      <c r="O221" s="73" t="e">
        <f t="shared" si="111"/>
        <v>#REF!</v>
      </c>
      <c r="P221" s="73" t="e">
        <f t="shared" si="111"/>
        <v>#REF!</v>
      </c>
      <c r="Q221" s="412" t="e">
        <f t="shared" si="111"/>
        <v>#REF!</v>
      </c>
      <c r="R221" s="76" t="e">
        <f t="shared" si="111"/>
        <v>#REF!</v>
      </c>
      <c r="S221" s="76" t="e">
        <f t="shared" si="111"/>
        <v>#REF!</v>
      </c>
      <c r="T221" s="76" t="e">
        <f t="shared" si="111"/>
        <v>#REF!</v>
      </c>
      <c r="U221" s="355" t="e">
        <f t="shared" si="111"/>
        <v>#REF!</v>
      </c>
      <c r="V221" s="355" t="e">
        <f t="shared" si="111"/>
        <v>#REF!</v>
      </c>
      <c r="W221" s="355" t="e">
        <f t="shared" si="111"/>
        <v>#REF!</v>
      </c>
      <c r="X221" s="355" t="e">
        <f t="shared" si="111"/>
        <v>#REF!</v>
      </c>
      <c r="AD221" s="60"/>
      <c r="AE221" s="60"/>
      <c r="AF221" s="60"/>
      <c r="AG221" s="60"/>
      <c r="AH221" s="60"/>
      <c r="AI221" s="60"/>
      <c r="AJ221" s="60"/>
      <c r="AK221" s="60"/>
      <c r="AL221" s="60"/>
    </row>
    <row r="222" spans="1:38" ht="36" x14ac:dyDescent="0.25">
      <c r="A222" s="125"/>
      <c r="B222" s="74"/>
      <c r="C222" s="74">
        <v>41</v>
      </c>
      <c r="D222" s="74"/>
      <c r="E222" s="74"/>
      <c r="F222" s="75" t="s">
        <v>753</v>
      </c>
      <c r="G222" s="77" t="e">
        <f>G225+G223</f>
        <v>#REF!</v>
      </c>
      <c r="H222" s="118" t="e">
        <f>H225+H223</f>
        <v>#REF!</v>
      </c>
      <c r="I222" s="77" t="e">
        <f>I225+I223</f>
        <v>#REF!</v>
      </c>
      <c r="J222" s="77" t="e">
        <f>J225+J223</f>
        <v>#REF!</v>
      </c>
      <c r="K222" s="77" t="e">
        <f>K225+K223</f>
        <v>#REF!</v>
      </c>
      <c r="L222" s="77" t="e">
        <f t="shared" si="109"/>
        <v>#REF!</v>
      </c>
      <c r="M222" s="77" t="e">
        <f t="shared" si="110"/>
        <v>#REF!</v>
      </c>
      <c r="N222" s="77" t="e">
        <f t="shared" ref="N222:X222" si="112">N225+N223</f>
        <v>#REF!</v>
      </c>
      <c r="O222" s="76" t="e">
        <f t="shared" si="112"/>
        <v>#REF!</v>
      </c>
      <c r="P222" s="76" t="e">
        <f t="shared" si="112"/>
        <v>#REF!</v>
      </c>
      <c r="Q222" s="385" t="e">
        <f t="shared" si="112"/>
        <v>#REF!</v>
      </c>
      <c r="R222" s="135" t="e">
        <f t="shared" si="112"/>
        <v>#REF!</v>
      </c>
      <c r="S222" s="135" t="e">
        <f t="shared" si="112"/>
        <v>#REF!</v>
      </c>
      <c r="T222" s="135" t="e">
        <f t="shared" si="112"/>
        <v>#REF!</v>
      </c>
      <c r="U222" s="356" t="e">
        <f t="shared" si="112"/>
        <v>#REF!</v>
      </c>
      <c r="V222" s="356" t="e">
        <f t="shared" si="112"/>
        <v>#REF!</v>
      </c>
      <c r="W222" s="356" t="e">
        <f t="shared" si="112"/>
        <v>#REF!</v>
      </c>
      <c r="X222" s="356" t="e">
        <f t="shared" si="112"/>
        <v>#REF!</v>
      </c>
      <c r="AD222" s="60"/>
      <c r="AE222" s="60"/>
      <c r="AF222" s="60"/>
      <c r="AG222" s="60"/>
      <c r="AH222" s="60"/>
      <c r="AI222" s="60"/>
      <c r="AJ222" s="60"/>
      <c r="AK222" s="60"/>
      <c r="AL222" s="60"/>
    </row>
    <row r="223" spans="1:38" s="373" customFormat="1" ht="17.25" customHeight="1" x14ac:dyDescent="0.25">
      <c r="A223" s="119"/>
      <c r="B223" s="119"/>
      <c r="C223" s="119"/>
      <c r="D223" s="119" t="s">
        <v>1022</v>
      </c>
      <c r="E223" s="119"/>
      <c r="F223" s="368" t="s">
        <v>471</v>
      </c>
      <c r="G223" s="369" t="e">
        <f>G224</f>
        <v>#REF!</v>
      </c>
      <c r="H223" s="370" t="e">
        <f>H224</f>
        <v>#REF!</v>
      </c>
      <c r="I223" s="369" t="e">
        <f>I224</f>
        <v>#REF!</v>
      </c>
      <c r="J223" s="369" t="e">
        <f>J224</f>
        <v>#REF!</v>
      </c>
      <c r="K223" s="369" t="e">
        <f>K224</f>
        <v>#REF!</v>
      </c>
      <c r="L223" s="369" t="e">
        <f t="shared" si="109"/>
        <v>#REF!</v>
      </c>
      <c r="M223" s="369" t="e">
        <f t="shared" si="110"/>
        <v>#REF!</v>
      </c>
      <c r="N223" s="369" t="e">
        <f t="shared" ref="N223:X223" si="113">N224</f>
        <v>#REF!</v>
      </c>
      <c r="O223" s="137" t="e">
        <f t="shared" si="113"/>
        <v>#REF!</v>
      </c>
      <c r="P223" s="137" t="e">
        <f t="shared" si="113"/>
        <v>#REF!</v>
      </c>
      <c r="Q223" s="393" t="e">
        <f t="shared" si="113"/>
        <v>#REF!</v>
      </c>
      <c r="R223" s="137" t="e">
        <f t="shared" si="113"/>
        <v>#REF!</v>
      </c>
      <c r="S223" s="137" t="e">
        <f t="shared" si="113"/>
        <v>#REF!</v>
      </c>
      <c r="T223" s="137" t="e">
        <f t="shared" si="113"/>
        <v>#REF!</v>
      </c>
      <c r="U223" s="371" t="e">
        <f t="shared" si="113"/>
        <v>#REF!</v>
      </c>
      <c r="V223" s="371" t="e">
        <f t="shared" si="113"/>
        <v>#REF!</v>
      </c>
      <c r="W223" s="371" t="e">
        <f t="shared" si="113"/>
        <v>#REF!</v>
      </c>
      <c r="X223" s="371" t="e">
        <f t="shared" si="113"/>
        <v>#REF!</v>
      </c>
      <c r="Y223" s="372"/>
      <c r="Z223" s="372"/>
      <c r="AA223" s="372"/>
      <c r="AB223" s="372"/>
      <c r="AC223" s="372"/>
      <c r="AD223" s="372"/>
      <c r="AE223" s="372"/>
      <c r="AF223" s="372"/>
      <c r="AG223" s="372"/>
      <c r="AH223" s="372"/>
      <c r="AI223" s="372"/>
      <c r="AJ223" s="372"/>
      <c r="AK223" s="372"/>
      <c r="AL223" s="372"/>
    </row>
    <row r="224" spans="1:38" ht="24.75" customHeight="1" x14ac:dyDescent="0.25">
      <c r="A224" s="80"/>
      <c r="B224" s="80"/>
      <c r="C224" s="80"/>
      <c r="D224" s="80"/>
      <c r="E224" s="80">
        <v>4111</v>
      </c>
      <c r="F224" s="81" t="s">
        <v>755</v>
      </c>
      <c r="G224" s="82" t="e">
        <f>SUMIF(#REF!,funkcijska!$E224,#REF!)</f>
        <v>#REF!</v>
      </c>
      <c r="H224" s="82" t="e">
        <f>SUMIF(#REF!,funkcijska!$E224,#REF!)</f>
        <v>#REF!</v>
      </c>
      <c r="I224" s="82" t="e">
        <f>SUMIF(#REF!,funkcijska!$E224,#REF!)</f>
        <v>#REF!</v>
      </c>
      <c r="J224" s="82" t="e">
        <f>SUMIF(#REF!,funkcijska!$E224,#REF!)</f>
        <v>#REF!</v>
      </c>
      <c r="K224" s="82" t="e">
        <f>SUMIF(#REF!,funkcijska!$E224,#REF!)</f>
        <v>#REF!</v>
      </c>
      <c r="L224" s="82" t="e">
        <f t="shared" si="109"/>
        <v>#REF!</v>
      </c>
      <c r="M224" s="82" t="e">
        <f t="shared" si="110"/>
        <v>#REF!</v>
      </c>
      <c r="N224" s="82" t="e">
        <f>SUMIF(#REF!,funkcijska!$E224,#REF!)</f>
        <v>#REF!</v>
      </c>
      <c r="O224" s="82" t="e">
        <f>SUMIF(#REF!,funkcijska!$E224,#REF!)</f>
        <v>#REF!</v>
      </c>
      <c r="P224" s="82" t="e">
        <f>SUMIF(#REF!,funkcijska!$E224,#REF!)</f>
        <v>#REF!</v>
      </c>
      <c r="Q224" s="386" t="e">
        <f>SUMIF(#REF!,funkcijska!$E224,#REF!)</f>
        <v>#REF!</v>
      </c>
      <c r="R224" s="82" t="e">
        <f>SUMIF(#REF!,funkcijska!$E224,#REF!)</f>
        <v>#REF!</v>
      </c>
      <c r="S224" s="82" t="e">
        <f>SUMIF(#REF!,funkcijska!$E224,#REF!)</f>
        <v>#REF!</v>
      </c>
      <c r="T224" s="82" t="e">
        <f>SUMIF(#REF!,funkcijska!$E$87,#REF!)</f>
        <v>#REF!</v>
      </c>
      <c r="U224" s="357" t="e">
        <f>SUMIF(#REF!,funkcijska!$E224,#REF!)</f>
        <v>#REF!</v>
      </c>
      <c r="V224" s="357" t="e">
        <f>SUMIF(#REF!,funkcijska!$E224,#REF!)+SUMIF(#REF!,funkcijska!$E224,#REF!)</f>
        <v>#REF!</v>
      </c>
      <c r="W224" s="357" t="e">
        <f>SUMIF(#REF!,funkcijska!$E224,#REF!)+SUMIF(#REF!,funkcijska!$E224,#REF!)</f>
        <v>#REF!</v>
      </c>
      <c r="X224" s="357" t="e">
        <f>SUMIF(#REF!,funkcijska!$E224,#REF!)+SUMIF(#REF!,funkcijska!$E224,#REF!)</f>
        <v>#REF!</v>
      </c>
      <c r="AD224" s="60"/>
      <c r="AE224" s="60"/>
      <c r="AF224" s="60"/>
      <c r="AG224" s="60"/>
      <c r="AH224" s="60"/>
      <c r="AI224" s="60"/>
      <c r="AJ224" s="60"/>
      <c r="AK224" s="60"/>
      <c r="AL224" s="60"/>
    </row>
    <row r="225" spans="1:38" s="373" customFormat="1" ht="18.75" customHeight="1" x14ac:dyDescent="0.25">
      <c r="A225" s="119"/>
      <c r="B225" s="119"/>
      <c r="C225" s="119"/>
      <c r="D225" s="119">
        <v>412</v>
      </c>
      <c r="E225" s="119"/>
      <c r="F225" s="368" t="s">
        <v>553</v>
      </c>
      <c r="G225" s="137" t="e">
        <f>G226+G227</f>
        <v>#REF!</v>
      </c>
      <c r="H225" s="137" t="e">
        <f>H226+H227</f>
        <v>#REF!</v>
      </c>
      <c r="I225" s="137" t="e">
        <f>I226+I227</f>
        <v>#REF!</v>
      </c>
      <c r="J225" s="137" t="e">
        <f>J226+J227</f>
        <v>#REF!</v>
      </c>
      <c r="K225" s="137" t="e">
        <f>K226+K227</f>
        <v>#REF!</v>
      </c>
      <c r="L225" s="137" t="e">
        <f t="shared" si="109"/>
        <v>#REF!</v>
      </c>
      <c r="M225" s="137" t="e">
        <f t="shared" si="110"/>
        <v>#REF!</v>
      </c>
      <c r="N225" s="137" t="e">
        <f t="shared" ref="N225:X225" si="114">N226+N227</f>
        <v>#REF!</v>
      </c>
      <c r="O225" s="137" t="e">
        <f t="shared" si="114"/>
        <v>#REF!</v>
      </c>
      <c r="P225" s="137" t="e">
        <f t="shared" si="114"/>
        <v>#REF!</v>
      </c>
      <c r="Q225" s="393" t="e">
        <f t="shared" si="114"/>
        <v>#REF!</v>
      </c>
      <c r="R225" s="137" t="e">
        <f t="shared" si="114"/>
        <v>#REF!</v>
      </c>
      <c r="S225" s="137" t="e">
        <f t="shared" si="114"/>
        <v>#REF!</v>
      </c>
      <c r="T225" s="137" t="e">
        <f t="shared" si="114"/>
        <v>#REF!</v>
      </c>
      <c r="U225" s="371" t="e">
        <f t="shared" si="114"/>
        <v>#REF!</v>
      </c>
      <c r="V225" s="371" t="e">
        <f t="shared" si="114"/>
        <v>#REF!</v>
      </c>
      <c r="W225" s="371" t="e">
        <f t="shared" si="114"/>
        <v>#REF!</v>
      </c>
      <c r="X225" s="371" t="e">
        <f t="shared" si="114"/>
        <v>#REF!</v>
      </c>
      <c r="Y225" s="372"/>
      <c r="Z225" s="372"/>
      <c r="AA225" s="372"/>
      <c r="AB225" s="372"/>
      <c r="AC225" s="372"/>
      <c r="AD225" s="372"/>
      <c r="AE225" s="372"/>
      <c r="AF225" s="372"/>
      <c r="AG225" s="372"/>
      <c r="AH225" s="372"/>
      <c r="AI225" s="372"/>
      <c r="AJ225" s="372"/>
      <c r="AK225" s="372"/>
      <c r="AL225" s="372"/>
    </row>
    <row r="226" spans="1:38" ht="18" customHeight="1" x14ac:dyDescent="0.25">
      <c r="A226" s="80"/>
      <c r="B226" s="80"/>
      <c r="C226" s="80"/>
      <c r="D226" s="80"/>
      <c r="E226" s="80">
        <v>4123</v>
      </c>
      <c r="F226" s="81" t="s">
        <v>554</v>
      </c>
      <c r="G226" s="82" t="e">
        <f>SUMIF(#REF!,funkcijska!$E226,#REF!)</f>
        <v>#REF!</v>
      </c>
      <c r="H226" s="82" t="e">
        <f>SUMIF(#REF!,funkcijska!$E226,#REF!)</f>
        <v>#REF!</v>
      </c>
      <c r="I226" s="82" t="e">
        <f>SUMIF(#REF!,funkcijska!$E226,#REF!)</f>
        <v>#REF!</v>
      </c>
      <c r="J226" s="82" t="e">
        <f>SUMIF(#REF!,funkcijska!$E226,#REF!)</f>
        <v>#REF!</v>
      </c>
      <c r="K226" s="82" t="e">
        <f>SUMIF(#REF!,funkcijska!$E226,#REF!)</f>
        <v>#REF!</v>
      </c>
      <c r="L226" s="82" t="e">
        <f t="shared" si="109"/>
        <v>#REF!</v>
      </c>
      <c r="M226" s="82" t="e">
        <f t="shared" si="110"/>
        <v>#REF!</v>
      </c>
      <c r="N226" s="82" t="e">
        <f>SUMIF(#REF!,funkcijska!$E226,#REF!)</f>
        <v>#REF!</v>
      </c>
      <c r="O226" s="82" t="e">
        <f>SUMIF(#REF!,funkcijska!$E226,#REF!)</f>
        <v>#REF!</v>
      </c>
      <c r="P226" s="82" t="e">
        <f>SUMIF(#REF!,funkcijska!$E226,#REF!)</f>
        <v>#REF!</v>
      </c>
      <c r="Q226" s="386" t="e">
        <f>SUMIF(#REF!,funkcijska!$E226,#REF!)</f>
        <v>#REF!</v>
      </c>
      <c r="R226" s="82" t="e">
        <f>SUMIF(#REF!,funkcijska!$E226,#REF!)</f>
        <v>#REF!</v>
      </c>
      <c r="S226" s="82" t="e">
        <f>SUMIF(#REF!,funkcijska!$E226,#REF!)</f>
        <v>#REF!</v>
      </c>
      <c r="T226" s="82" t="e">
        <f>SUMIF(#REF!,funkcijska!$E$89,#REF!)</f>
        <v>#REF!</v>
      </c>
      <c r="U226" s="357" t="e">
        <f>SUMIF(#REF!,funkcijska!$E226,#REF!)</f>
        <v>#REF!</v>
      </c>
      <c r="V226" s="357" t="e">
        <f>SUMIF(#REF!,funkcijska!$E226,#REF!)+SUMIF(#REF!,funkcijska!$E226,#REF!)</f>
        <v>#REF!</v>
      </c>
      <c r="W226" s="357" t="e">
        <f>SUMIF(#REF!,funkcijska!$E226,#REF!)+SUMIF(#REF!,funkcijska!$E226,#REF!)</f>
        <v>#REF!</v>
      </c>
      <c r="X226" s="357" t="e">
        <f>SUMIF(#REF!,funkcijska!$E226,#REF!)+SUMIF(#REF!,funkcijska!$E226,#REF!)</f>
        <v>#REF!</v>
      </c>
      <c r="AD226" s="60"/>
      <c r="AE226" s="60"/>
      <c r="AF226" s="60"/>
      <c r="AG226" s="60"/>
      <c r="AH226" s="60"/>
      <c r="AI226" s="60"/>
      <c r="AJ226" s="60"/>
      <c r="AK226" s="60"/>
      <c r="AL226" s="60"/>
    </row>
    <row r="227" spans="1:38" ht="18.75" hidden="1" customHeight="1" x14ac:dyDescent="0.25">
      <c r="A227" s="80"/>
      <c r="B227" s="80"/>
      <c r="C227" s="80"/>
      <c r="D227" s="80"/>
      <c r="E227" s="136" t="s">
        <v>1023</v>
      </c>
      <c r="F227" s="81" t="s">
        <v>1024</v>
      </c>
      <c r="G227" s="82" t="e">
        <f>SUMIF(#REF!,funkcijska!$E227,#REF!)</f>
        <v>#REF!</v>
      </c>
      <c r="H227" s="82" t="e">
        <f>SUMIF(#REF!,funkcijska!$E227,#REF!)</f>
        <v>#REF!</v>
      </c>
      <c r="I227" s="82" t="e">
        <f>SUMIF(#REF!,funkcijska!$E227,#REF!)</f>
        <v>#REF!</v>
      </c>
      <c r="J227" s="82" t="e">
        <f>SUMIF(#REF!,funkcijska!$E227,#REF!)</f>
        <v>#REF!</v>
      </c>
      <c r="K227" s="82" t="e">
        <f>SUMIF(#REF!,funkcijska!$E227,#REF!)</f>
        <v>#REF!</v>
      </c>
      <c r="L227" s="82" t="e">
        <f t="shared" si="109"/>
        <v>#REF!</v>
      </c>
      <c r="M227" s="82" t="e">
        <f t="shared" si="110"/>
        <v>#REF!</v>
      </c>
      <c r="N227" s="82" t="e">
        <f>SUMIF(#REF!,funkcijska!$E227,#REF!)</f>
        <v>#REF!</v>
      </c>
      <c r="O227" s="82" t="e">
        <f>SUMIF(#REF!,funkcijska!$E227,#REF!)</f>
        <v>#REF!</v>
      </c>
      <c r="P227" s="82" t="e">
        <f>SUMIF(#REF!,funkcijska!$E227,#REF!)</f>
        <v>#REF!</v>
      </c>
      <c r="Q227" s="389" t="e">
        <f>U227-O227</f>
        <v>#REF!</v>
      </c>
      <c r="R227" s="82" t="e">
        <f>SUMIF(#REF!,funkcijska!$E227,#REF!)</f>
        <v>#REF!</v>
      </c>
      <c r="S227" s="82" t="e">
        <f>SUMIF(#REF!,funkcijska!$E227,#REF!)</f>
        <v>#REF!</v>
      </c>
      <c r="T227" s="82" t="e">
        <f>SUMIF(#REF!,funkcijska!$E$90,#REF!)</f>
        <v>#REF!</v>
      </c>
      <c r="U227" s="357" t="e">
        <f>SUMIF(#REF!,funkcijska!$E227,#REF!)</f>
        <v>#REF!</v>
      </c>
      <c r="V227" s="357" t="e">
        <f>SUMIF(#REF!,funkcijska!$E227,#REF!)</f>
        <v>#REF!</v>
      </c>
      <c r="W227" s="357" t="e">
        <f>SUMIF(#REF!,funkcijska!$E227,#REF!)</f>
        <v>#REF!</v>
      </c>
      <c r="X227" s="357" t="e">
        <f>SUMIF(#REF!,funkcijska!$E227,#REF!)</f>
        <v>#REF!</v>
      </c>
      <c r="AD227" s="60"/>
      <c r="AE227" s="60"/>
      <c r="AF227" s="60"/>
      <c r="AG227" s="60"/>
      <c r="AH227" s="60"/>
      <c r="AI227" s="60"/>
      <c r="AJ227" s="60"/>
      <c r="AK227" s="60"/>
      <c r="AL227" s="60"/>
    </row>
    <row r="228" spans="1:38" ht="36.75" customHeight="1" x14ac:dyDescent="0.25">
      <c r="A228" s="125"/>
      <c r="B228" s="74"/>
      <c r="C228" s="74" t="str">
        <f>LEFT(E230,2)</f>
        <v>42</v>
      </c>
      <c r="D228" s="74"/>
      <c r="E228" s="74"/>
      <c r="F228" s="75" t="s">
        <v>212</v>
      </c>
      <c r="G228" s="77" t="e">
        <f>G229+G233+G241+G243+G247+G245</f>
        <v>#REF!</v>
      </c>
      <c r="H228" s="118" t="e">
        <f>H229+H233+H241+H243+H247+H245</f>
        <v>#REF!</v>
      </c>
      <c r="I228" s="77" t="e">
        <f>I229+I233+I241+I243+I247+I245</f>
        <v>#REF!</v>
      </c>
      <c r="J228" s="77" t="e">
        <f>J229+J233+J241+J243+J247+J245</f>
        <v>#REF!</v>
      </c>
      <c r="K228" s="77" t="e">
        <f>K229+K233+K241+K243+K247+K245</f>
        <v>#REF!</v>
      </c>
      <c r="L228" s="77" t="e">
        <f t="shared" si="109"/>
        <v>#REF!</v>
      </c>
      <c r="M228" s="77" t="e">
        <f t="shared" si="110"/>
        <v>#REF!</v>
      </c>
      <c r="N228" s="77" t="e">
        <f t="shared" ref="N228:X228" si="115">N229+N233+N241+N243+N247+N245</f>
        <v>#REF!</v>
      </c>
      <c r="O228" s="76" t="e">
        <f t="shared" si="115"/>
        <v>#REF!</v>
      </c>
      <c r="P228" s="76" t="e">
        <f t="shared" si="115"/>
        <v>#REF!</v>
      </c>
      <c r="Q228" s="385" t="e">
        <f t="shared" si="115"/>
        <v>#REF!</v>
      </c>
      <c r="R228" s="135" t="e">
        <f t="shared" si="115"/>
        <v>#REF!</v>
      </c>
      <c r="S228" s="135" t="e">
        <f t="shared" si="115"/>
        <v>#REF!</v>
      </c>
      <c r="T228" s="135" t="e">
        <f t="shared" si="115"/>
        <v>#REF!</v>
      </c>
      <c r="U228" s="356" t="e">
        <f t="shared" si="115"/>
        <v>#REF!</v>
      </c>
      <c r="V228" s="356" t="e">
        <f t="shared" si="115"/>
        <v>#REF!</v>
      </c>
      <c r="W228" s="356" t="e">
        <f t="shared" si="115"/>
        <v>#REF!</v>
      </c>
      <c r="X228" s="356" t="e">
        <f t="shared" si="115"/>
        <v>#REF!</v>
      </c>
      <c r="AD228" s="60"/>
      <c r="AE228" s="60"/>
      <c r="AF228" s="60"/>
      <c r="AG228" s="60"/>
      <c r="AH228" s="60"/>
      <c r="AI228" s="60"/>
      <c r="AJ228" s="60"/>
      <c r="AK228" s="60"/>
      <c r="AL228" s="60"/>
    </row>
    <row r="229" spans="1:38" s="373" customFormat="1" ht="17.25" customHeight="1" x14ac:dyDescent="0.25">
      <c r="A229" s="119"/>
      <c r="B229" s="119"/>
      <c r="C229" s="119"/>
      <c r="D229" s="119" t="str">
        <f>LEFT(E230,3)</f>
        <v>421</v>
      </c>
      <c r="E229" s="119"/>
      <c r="F229" s="368" t="s">
        <v>759</v>
      </c>
      <c r="G229" s="369" t="e">
        <f t="shared" ref="G229:X229" si="116">SUM(G230:G232)</f>
        <v>#REF!</v>
      </c>
      <c r="H229" s="370" t="e">
        <f t="shared" si="116"/>
        <v>#REF!</v>
      </c>
      <c r="I229" s="369" t="e">
        <f t="shared" si="116"/>
        <v>#REF!</v>
      </c>
      <c r="J229" s="369" t="e">
        <f t="shared" si="116"/>
        <v>#REF!</v>
      </c>
      <c r="K229" s="369" t="e">
        <f t="shared" si="116"/>
        <v>#REF!</v>
      </c>
      <c r="L229" s="369" t="e">
        <f t="shared" si="116"/>
        <v>#REF!</v>
      </c>
      <c r="M229" s="369" t="e">
        <f t="shared" si="116"/>
        <v>#REF!</v>
      </c>
      <c r="N229" s="369" t="e">
        <f t="shared" si="116"/>
        <v>#REF!</v>
      </c>
      <c r="O229" s="369" t="e">
        <f t="shared" si="116"/>
        <v>#REF!</v>
      </c>
      <c r="P229" s="369" t="e">
        <f t="shared" si="116"/>
        <v>#REF!</v>
      </c>
      <c r="Q229" s="392" t="e">
        <f t="shared" si="116"/>
        <v>#REF!</v>
      </c>
      <c r="R229" s="369" t="e">
        <f t="shared" si="116"/>
        <v>#REF!</v>
      </c>
      <c r="S229" s="369" t="e">
        <f t="shared" si="116"/>
        <v>#REF!</v>
      </c>
      <c r="T229" s="369" t="e">
        <f t="shared" si="116"/>
        <v>#REF!</v>
      </c>
      <c r="U229" s="374" t="e">
        <f t="shared" si="116"/>
        <v>#REF!</v>
      </c>
      <c r="V229" s="374" t="e">
        <f t="shared" si="116"/>
        <v>#REF!</v>
      </c>
      <c r="W229" s="374" t="e">
        <f t="shared" si="116"/>
        <v>#REF!</v>
      </c>
      <c r="X229" s="374" t="e">
        <f t="shared" si="116"/>
        <v>#REF!</v>
      </c>
      <c r="Y229" s="372"/>
      <c r="Z229" s="372"/>
      <c r="AA229" s="372"/>
      <c r="AB229" s="372"/>
      <c r="AC229" s="372"/>
      <c r="AD229" s="372"/>
      <c r="AE229" s="372"/>
      <c r="AF229" s="372"/>
      <c r="AG229" s="372"/>
      <c r="AH229" s="372"/>
      <c r="AI229" s="372"/>
      <c r="AJ229" s="372"/>
      <c r="AK229" s="372"/>
      <c r="AL229" s="372"/>
    </row>
    <row r="230" spans="1:38" ht="21" customHeight="1" x14ac:dyDescent="0.25">
      <c r="A230" s="80"/>
      <c r="B230" s="80"/>
      <c r="C230" s="80"/>
      <c r="D230" s="80"/>
      <c r="E230" s="80">
        <v>4212</v>
      </c>
      <c r="F230" s="81" t="s">
        <v>1025</v>
      </c>
      <c r="G230" s="82" t="e">
        <f>SUMIF(#REF!,funkcijska!$E230,#REF!)</f>
        <v>#REF!</v>
      </c>
      <c r="H230" s="82" t="e">
        <f>SUMIF(#REF!,funkcijska!$E230,#REF!)</f>
        <v>#REF!</v>
      </c>
      <c r="I230" s="82" t="e">
        <f>SUMIF(#REF!,funkcijska!$E230,#REF!)</f>
        <v>#REF!</v>
      </c>
      <c r="J230" s="82" t="e">
        <f>SUMIF(#REF!,funkcijska!$E230,#REF!)</f>
        <v>#REF!</v>
      </c>
      <c r="K230" s="82" t="e">
        <f>SUMIF(#REF!,funkcijska!$E230,#REF!)</f>
        <v>#REF!</v>
      </c>
      <c r="L230" s="82" t="e">
        <f>ROUND(K230/J230*100,2)</f>
        <v>#REF!</v>
      </c>
      <c r="M230" s="82" t="e">
        <f>N230-J230</f>
        <v>#REF!</v>
      </c>
      <c r="N230" s="82" t="e">
        <f>SUMIF(#REF!,funkcijska!$E230,#REF!)</f>
        <v>#REF!</v>
      </c>
      <c r="O230" s="82" t="e">
        <f>SUMIF(#REF!,funkcijska!$E230,#REF!)</f>
        <v>#REF!</v>
      </c>
      <c r="P230" s="82" t="e">
        <f>SUMIF(#REF!,funkcijska!$E230,#REF!)</f>
        <v>#REF!</v>
      </c>
      <c r="Q230" s="386" t="e">
        <f>SUMIF(#REF!,funkcijska!$E230,#REF!)</f>
        <v>#REF!</v>
      </c>
      <c r="R230" s="82" t="e">
        <f>SUMIF(#REF!,funkcijska!$E230,#REF!)</f>
        <v>#REF!</v>
      </c>
      <c r="S230" s="82" t="e">
        <f>SUMIF(#REF!,funkcijska!$E230,#REF!)</f>
        <v>#REF!</v>
      </c>
      <c r="T230" s="82" t="e">
        <f>SUMIF(#REF!,funkcijska!$E$93,#REF!)</f>
        <v>#REF!</v>
      </c>
      <c r="U230" s="357" t="e">
        <f>SUMIF(#REF!,funkcijska!$E230,#REF!)</f>
        <v>#REF!</v>
      </c>
      <c r="V230" s="357" t="e">
        <f>SUMIF(#REF!,funkcijska!$E230,#REF!)+SUMIF(#REF!,funkcijska!$E230,#REF!)</f>
        <v>#REF!</v>
      </c>
      <c r="W230" s="357" t="e">
        <f>SUMIF(#REF!,funkcijska!$E230,#REF!)+SUMIF(#REF!,funkcijska!$E230,#REF!)</f>
        <v>#REF!</v>
      </c>
      <c r="X230" s="357" t="e">
        <f>SUMIF(#REF!,funkcijska!$E230,#REF!)+SUMIF(#REF!,funkcijska!$E230,#REF!)</f>
        <v>#REF!</v>
      </c>
      <c r="AD230" s="60"/>
      <c r="AE230" s="60"/>
      <c r="AF230" s="60"/>
      <c r="AG230" s="60"/>
      <c r="AH230" s="60"/>
      <c r="AI230" s="60"/>
      <c r="AJ230" s="60"/>
      <c r="AK230" s="60"/>
      <c r="AL230" s="60"/>
    </row>
    <row r="231" spans="1:38" ht="15" customHeight="1" x14ac:dyDescent="0.25">
      <c r="A231" s="80"/>
      <c r="B231" s="80"/>
      <c r="C231" s="80"/>
      <c r="D231" s="80"/>
      <c r="E231" s="80">
        <v>4213</v>
      </c>
      <c r="F231" s="81" t="s">
        <v>1026</v>
      </c>
      <c r="G231" s="82" t="e">
        <f>SUMIF(#REF!,funkcijska!$E231,#REF!)</f>
        <v>#REF!</v>
      </c>
      <c r="H231" s="82" t="e">
        <f>SUMIF(#REF!,funkcijska!$E231,#REF!)</f>
        <v>#REF!</v>
      </c>
      <c r="I231" s="82" t="e">
        <f>SUMIF(#REF!,funkcijska!$E231,#REF!)</f>
        <v>#REF!</v>
      </c>
      <c r="J231" s="82" t="e">
        <f>SUMIF(#REF!,funkcijska!$E231,#REF!)</f>
        <v>#REF!</v>
      </c>
      <c r="K231" s="82" t="e">
        <f>SUMIF(#REF!,funkcijska!$E231,#REF!)</f>
        <v>#REF!</v>
      </c>
      <c r="L231" s="82" t="e">
        <f>ROUND(K231/J231*100,2)</f>
        <v>#REF!</v>
      </c>
      <c r="M231" s="82" t="e">
        <f>N231-J231</f>
        <v>#REF!</v>
      </c>
      <c r="N231" s="82" t="e">
        <f>SUMIF(#REF!,funkcijska!$E231,#REF!)</f>
        <v>#REF!</v>
      </c>
      <c r="O231" s="82" t="e">
        <f>SUMIF(#REF!,funkcijska!$E231,#REF!)</f>
        <v>#REF!</v>
      </c>
      <c r="P231" s="82" t="e">
        <f>SUMIF(#REF!,funkcijska!$E231,#REF!)</f>
        <v>#REF!</v>
      </c>
      <c r="Q231" s="386" t="e">
        <f>SUMIF(#REF!,funkcijska!$E231,#REF!)</f>
        <v>#REF!</v>
      </c>
      <c r="R231" s="82" t="e">
        <f>SUMIF(#REF!,funkcijska!$E231,#REF!)</f>
        <v>#REF!</v>
      </c>
      <c r="S231" s="82" t="e">
        <f>SUMIF(#REF!,funkcijska!$E231,#REF!)</f>
        <v>#REF!</v>
      </c>
      <c r="T231" s="82" t="e">
        <f>SUMIF(#REF!,funkcijska!$E$94,#REF!)</f>
        <v>#REF!</v>
      </c>
      <c r="U231" s="357" t="e">
        <f>SUMIF(#REF!,funkcijska!$E231,#REF!)</f>
        <v>#REF!</v>
      </c>
      <c r="V231" s="357" t="e">
        <f>SUMIF(#REF!,funkcijska!$E231,#REF!)+SUMIF(#REF!,funkcijska!$E231,#REF!)</f>
        <v>#REF!</v>
      </c>
      <c r="W231" s="357" t="e">
        <f>SUMIF(#REF!,funkcijska!$E231,#REF!)+SUMIF(#REF!,funkcijska!$E231,#REF!)</f>
        <v>#REF!</v>
      </c>
      <c r="X231" s="357" t="e">
        <f>SUMIF(#REF!,funkcijska!$E231,#REF!)+SUMIF(#REF!,funkcijska!$E231,#REF!)</f>
        <v>#REF!</v>
      </c>
      <c r="AD231" s="60"/>
      <c r="AE231" s="60"/>
      <c r="AF231" s="60"/>
      <c r="AG231" s="60"/>
      <c r="AH231" s="60"/>
      <c r="AI231" s="60"/>
      <c r="AJ231" s="60"/>
      <c r="AK231" s="60"/>
      <c r="AL231" s="60"/>
    </row>
    <row r="232" spans="1:38" ht="20.25" customHeight="1" x14ac:dyDescent="0.25">
      <c r="A232" s="80"/>
      <c r="B232" s="80"/>
      <c r="C232" s="80"/>
      <c r="D232" s="80"/>
      <c r="E232" s="80">
        <v>4214</v>
      </c>
      <c r="F232" s="132" t="s">
        <v>1027</v>
      </c>
      <c r="G232" s="82" t="e">
        <f>SUMIF(#REF!,funkcijska!$E232,#REF!)</f>
        <v>#REF!</v>
      </c>
      <c r="H232" s="82" t="e">
        <f>SUMIF(#REF!,funkcijska!$E232,#REF!)</f>
        <v>#REF!</v>
      </c>
      <c r="I232" s="82" t="e">
        <f>SUMIF(#REF!,funkcijska!$E232,#REF!)</f>
        <v>#REF!</v>
      </c>
      <c r="J232" s="82" t="e">
        <f>SUMIF(#REF!,funkcijska!$E232,#REF!)</f>
        <v>#REF!</v>
      </c>
      <c r="K232" s="82" t="e">
        <f>SUMIF(#REF!,funkcijska!$E232,#REF!)</f>
        <v>#REF!</v>
      </c>
      <c r="L232" s="82" t="e">
        <f>ROUND(K232/J232*100,2)</f>
        <v>#REF!</v>
      </c>
      <c r="M232" s="82" t="e">
        <f>N232-J232</f>
        <v>#REF!</v>
      </c>
      <c r="N232" s="82" t="e">
        <f>SUMIF(#REF!,funkcijska!$E232,#REF!)</f>
        <v>#REF!</v>
      </c>
      <c r="O232" s="82" t="e">
        <f>SUMIF(#REF!,funkcijska!$E232,#REF!)</f>
        <v>#REF!</v>
      </c>
      <c r="P232" s="82" t="e">
        <f>SUMIF(#REF!,funkcijska!$E232,#REF!)</f>
        <v>#REF!</v>
      </c>
      <c r="Q232" s="386" t="e">
        <f>SUMIF(#REF!,funkcijska!$E232,#REF!)</f>
        <v>#REF!</v>
      </c>
      <c r="R232" s="82" t="e">
        <f>SUMIF(#REF!,funkcijska!$E232,#REF!)</f>
        <v>#REF!</v>
      </c>
      <c r="S232" s="82" t="e">
        <f>SUMIF(#REF!,funkcijska!$E232,#REF!)</f>
        <v>#REF!</v>
      </c>
      <c r="T232" s="82" t="e">
        <f>SUMIF(#REF!,funkcijska!$E$95,#REF!)</f>
        <v>#REF!</v>
      </c>
      <c r="U232" s="357" t="e">
        <f>SUMIF(#REF!,funkcijska!$E232,#REF!)</f>
        <v>#REF!</v>
      </c>
      <c r="V232" s="357" t="e">
        <f>SUMIF(#REF!,funkcijska!$E232,#REF!)+SUMIF(#REF!,funkcijska!$E232,#REF!)</f>
        <v>#REF!</v>
      </c>
      <c r="W232" s="357" t="e">
        <f>SUMIF(#REF!,funkcijska!$E232,#REF!)+SUMIF(#REF!,funkcijska!$E232,#REF!)</f>
        <v>#REF!</v>
      </c>
      <c r="X232" s="357" t="e">
        <f>SUMIF(#REF!,funkcijska!$E232,#REF!)+SUMIF(#REF!,funkcijska!$E232,#REF!)</f>
        <v>#REF!</v>
      </c>
      <c r="AD232" s="60"/>
      <c r="AE232" s="60"/>
      <c r="AF232" s="60"/>
      <c r="AG232" s="60"/>
      <c r="AH232" s="60"/>
      <c r="AI232" s="60"/>
      <c r="AJ232" s="60"/>
      <c r="AK232" s="60"/>
      <c r="AL232" s="60"/>
    </row>
    <row r="233" spans="1:38" s="373" customFormat="1" ht="17.25" customHeight="1" x14ac:dyDescent="0.25">
      <c r="A233" s="119"/>
      <c r="B233" s="119"/>
      <c r="C233" s="119"/>
      <c r="D233" s="119" t="str">
        <f>LEFT(E234,3)</f>
        <v>422</v>
      </c>
      <c r="E233" s="119"/>
      <c r="F233" s="368" t="s">
        <v>555</v>
      </c>
      <c r="G233" s="369" t="e">
        <f t="shared" ref="G233:X233" si="117">SUM(G234:G240)</f>
        <v>#REF!</v>
      </c>
      <c r="H233" s="370" t="e">
        <f t="shared" si="117"/>
        <v>#REF!</v>
      </c>
      <c r="I233" s="369" t="e">
        <f t="shared" si="117"/>
        <v>#REF!</v>
      </c>
      <c r="J233" s="369" t="e">
        <f t="shared" si="117"/>
        <v>#REF!</v>
      </c>
      <c r="K233" s="369" t="e">
        <f t="shared" si="117"/>
        <v>#REF!</v>
      </c>
      <c r="L233" s="369" t="e">
        <f t="shared" si="117"/>
        <v>#REF!</v>
      </c>
      <c r="M233" s="369" t="e">
        <f t="shared" si="117"/>
        <v>#REF!</v>
      </c>
      <c r="N233" s="369" t="e">
        <f t="shared" si="117"/>
        <v>#REF!</v>
      </c>
      <c r="O233" s="369" t="e">
        <f t="shared" si="117"/>
        <v>#REF!</v>
      </c>
      <c r="P233" s="369" t="e">
        <f t="shared" si="117"/>
        <v>#REF!</v>
      </c>
      <c r="Q233" s="392" t="e">
        <f t="shared" si="117"/>
        <v>#REF!</v>
      </c>
      <c r="R233" s="369" t="e">
        <f t="shared" si="117"/>
        <v>#REF!</v>
      </c>
      <c r="S233" s="369" t="e">
        <f t="shared" si="117"/>
        <v>#REF!</v>
      </c>
      <c r="T233" s="369" t="e">
        <f t="shared" si="117"/>
        <v>#REF!</v>
      </c>
      <c r="U233" s="371" t="e">
        <f t="shared" si="117"/>
        <v>#REF!</v>
      </c>
      <c r="V233" s="371" t="e">
        <f t="shared" si="117"/>
        <v>#REF!</v>
      </c>
      <c r="W233" s="371" t="e">
        <f t="shared" si="117"/>
        <v>#REF!</v>
      </c>
      <c r="X233" s="371" t="e">
        <f t="shared" si="117"/>
        <v>#REF!</v>
      </c>
      <c r="Y233" s="372"/>
      <c r="Z233" s="372"/>
      <c r="AA233" s="372"/>
      <c r="AB233" s="372"/>
      <c r="AC233" s="372"/>
      <c r="AD233" s="372"/>
      <c r="AE233" s="372"/>
      <c r="AF233" s="372"/>
      <c r="AG233" s="372"/>
      <c r="AH233" s="372"/>
      <c r="AI233" s="372"/>
      <c r="AJ233" s="372"/>
      <c r="AK233" s="372"/>
      <c r="AL233" s="372"/>
    </row>
    <row r="234" spans="1:38" ht="18.75" customHeight="1" x14ac:dyDescent="0.25">
      <c r="A234" s="80"/>
      <c r="B234" s="80"/>
      <c r="C234" s="80"/>
      <c r="D234" s="80"/>
      <c r="E234" s="80">
        <v>4221</v>
      </c>
      <c r="F234" s="81" t="s">
        <v>558</v>
      </c>
      <c r="G234" s="82" t="e">
        <f>SUMIF(#REF!,funkcijska!$E234,#REF!)</f>
        <v>#REF!</v>
      </c>
      <c r="H234" s="82" t="e">
        <f>SUMIF(#REF!,funkcijska!$E234,#REF!)</f>
        <v>#REF!</v>
      </c>
      <c r="I234" s="82" t="e">
        <f>SUMIF(#REF!,funkcijska!$E234,#REF!)</f>
        <v>#REF!</v>
      </c>
      <c r="J234" s="82" t="e">
        <f>SUMIF(#REF!,funkcijska!$E234,#REF!)</f>
        <v>#REF!</v>
      </c>
      <c r="K234" s="82" t="e">
        <f>SUMIF(#REF!,funkcijska!$E234,#REF!)</f>
        <v>#REF!</v>
      </c>
      <c r="L234" s="82" t="e">
        <f t="shared" ref="L234:L246" si="118">ROUND(K234/J234*100,2)</f>
        <v>#REF!</v>
      </c>
      <c r="M234" s="82" t="e">
        <f t="shared" ref="M234:M246" si="119">N234-J234</f>
        <v>#REF!</v>
      </c>
      <c r="N234" s="82" t="e">
        <f>SUMIF(#REF!,funkcijska!$E234,#REF!)</f>
        <v>#REF!</v>
      </c>
      <c r="O234" s="82" t="e">
        <f>SUMIF(#REF!,funkcijska!$E234,#REF!)</f>
        <v>#REF!</v>
      </c>
      <c r="P234" s="82" t="e">
        <f>SUMIF(#REF!,funkcijska!$E234,#REF!)</f>
        <v>#REF!</v>
      </c>
      <c r="Q234" s="386" t="e">
        <f>SUMIF(#REF!,funkcijska!$E234,#REF!)</f>
        <v>#REF!</v>
      </c>
      <c r="R234" s="82" t="e">
        <f>SUMIF(#REF!,funkcijska!$E234,#REF!)</f>
        <v>#REF!</v>
      </c>
      <c r="S234" s="82" t="e">
        <f>SUMIF(#REF!,funkcijska!$E234,#REF!)</f>
        <v>#REF!</v>
      </c>
      <c r="T234" s="82" t="e">
        <f>SUMIF(#REF!,funkcijska!$E$97,#REF!)</f>
        <v>#REF!</v>
      </c>
      <c r="U234" s="357" t="e">
        <f>SUMIF(#REF!,funkcijska!$E234,#REF!)</f>
        <v>#REF!</v>
      </c>
      <c r="V234" s="357" t="e">
        <f>SUMIF(#REF!,funkcijska!$E234,#REF!)+SUMIF(#REF!,funkcijska!$E234,#REF!)</f>
        <v>#REF!</v>
      </c>
      <c r="W234" s="357" t="e">
        <f>SUMIF(#REF!,funkcijska!$E234,#REF!)+SUMIF(#REF!,funkcijska!$E234,#REF!)</f>
        <v>#REF!</v>
      </c>
      <c r="X234" s="357" t="e">
        <f>SUMIF(#REF!,funkcijska!$E234,#REF!)+SUMIF(#REF!,funkcijska!$E234,#REF!)</f>
        <v>#REF!</v>
      </c>
      <c r="AD234" s="60"/>
      <c r="AE234" s="60"/>
      <c r="AF234" s="60"/>
      <c r="AG234" s="60"/>
      <c r="AH234" s="60"/>
      <c r="AI234" s="60"/>
      <c r="AJ234" s="60"/>
      <c r="AK234" s="60"/>
      <c r="AL234" s="60"/>
    </row>
    <row r="235" spans="1:38" ht="20.25" hidden="1" customHeight="1" x14ac:dyDescent="0.25">
      <c r="A235" s="80"/>
      <c r="B235" s="80"/>
      <c r="C235" s="80"/>
      <c r="D235" s="80"/>
      <c r="E235" s="80">
        <v>4222</v>
      </c>
      <c r="F235" s="81" t="s">
        <v>559</v>
      </c>
      <c r="G235" s="82" t="e">
        <f>SUMIF(#REF!,funkcijska!$E235,#REF!)</f>
        <v>#REF!</v>
      </c>
      <c r="H235" s="82" t="e">
        <f>SUMIF(#REF!,funkcijska!$E235,#REF!)</f>
        <v>#REF!</v>
      </c>
      <c r="I235" s="82" t="e">
        <f>SUMIF(#REF!,funkcijska!$E235,#REF!)</f>
        <v>#REF!</v>
      </c>
      <c r="J235" s="82" t="e">
        <f>SUMIF(#REF!,funkcijska!$E235,#REF!)</f>
        <v>#REF!</v>
      </c>
      <c r="K235" s="82" t="e">
        <f>SUMIF(#REF!,funkcijska!$E235,#REF!)</f>
        <v>#REF!</v>
      </c>
      <c r="L235" s="82" t="e">
        <f t="shared" si="118"/>
        <v>#REF!</v>
      </c>
      <c r="M235" s="82" t="e">
        <f t="shared" si="119"/>
        <v>#REF!</v>
      </c>
      <c r="N235" s="82" t="e">
        <f>SUMIF(#REF!,funkcijska!$E235,#REF!)</f>
        <v>#REF!</v>
      </c>
      <c r="O235" s="82" t="e">
        <f>SUMIF(#REF!,funkcijska!$E235,#REF!)</f>
        <v>#REF!</v>
      </c>
      <c r="P235" s="82" t="e">
        <f>SUMIF(#REF!,funkcijska!$E235,#REF!)</f>
        <v>#REF!</v>
      </c>
      <c r="Q235" s="386" t="e">
        <f>SUMIF(#REF!,funkcijska!$E235,#REF!)</f>
        <v>#REF!</v>
      </c>
      <c r="R235" s="82" t="e">
        <f>SUMIF(#REF!,funkcijska!$E235,#REF!)</f>
        <v>#REF!</v>
      </c>
      <c r="S235" s="82" t="e">
        <f>SUMIF(#REF!,funkcijska!$E235,#REF!)</f>
        <v>#REF!</v>
      </c>
      <c r="T235" s="82" t="e">
        <f>SUMIF(#REF!,funkcijska!$E$98,#REF!)</f>
        <v>#REF!</v>
      </c>
      <c r="U235" s="357" t="e">
        <f>SUMIF(#REF!,funkcijska!$E235,#REF!)</f>
        <v>#REF!</v>
      </c>
      <c r="V235" s="357" t="e">
        <f>SUMIF(#REF!,funkcijska!$E235,#REF!)+SUMIF(#REF!,funkcijska!$E235,#REF!)</f>
        <v>#REF!</v>
      </c>
      <c r="W235" s="357" t="e">
        <f>SUMIF(#REF!,funkcijska!$E235,#REF!)+SUMIF(#REF!,funkcijska!$E235,#REF!)</f>
        <v>#REF!</v>
      </c>
      <c r="X235" s="357" t="e">
        <f>SUMIF(#REF!,funkcijska!$E235,#REF!)+SUMIF(#REF!,funkcijska!$E235,#REF!)</f>
        <v>#REF!</v>
      </c>
      <c r="AD235" s="60"/>
      <c r="AE235" s="60"/>
      <c r="AF235" s="60"/>
      <c r="AG235" s="60"/>
      <c r="AH235" s="60"/>
      <c r="AI235" s="60"/>
      <c r="AJ235" s="60"/>
      <c r="AK235" s="60"/>
      <c r="AL235" s="60"/>
    </row>
    <row r="236" spans="1:38" ht="23.25" hidden="1" customHeight="1" x14ac:dyDescent="0.25">
      <c r="A236" s="80"/>
      <c r="B236" s="80"/>
      <c r="C236" s="80"/>
      <c r="D236" s="80"/>
      <c r="E236" s="80">
        <v>4223</v>
      </c>
      <c r="F236" s="81" t="s">
        <v>628</v>
      </c>
      <c r="G236" s="82" t="e">
        <f>SUMIF(#REF!,funkcijska!$E236,#REF!)</f>
        <v>#REF!</v>
      </c>
      <c r="H236" s="82" t="e">
        <f>SUMIF(#REF!,funkcijska!$E236,#REF!)</f>
        <v>#REF!</v>
      </c>
      <c r="I236" s="82" t="e">
        <f>SUMIF(#REF!,funkcijska!$E236,#REF!)</f>
        <v>#REF!</v>
      </c>
      <c r="J236" s="82" t="e">
        <f>SUMIF(#REF!,funkcijska!$E236,#REF!)</f>
        <v>#REF!</v>
      </c>
      <c r="K236" s="82" t="e">
        <f>SUMIF(#REF!,funkcijska!$E236,#REF!)</f>
        <v>#REF!</v>
      </c>
      <c r="L236" s="82" t="e">
        <f t="shared" si="118"/>
        <v>#REF!</v>
      </c>
      <c r="M236" s="82" t="e">
        <f t="shared" si="119"/>
        <v>#REF!</v>
      </c>
      <c r="N236" s="82" t="e">
        <f>SUMIF(#REF!,funkcijska!$E236,#REF!)</f>
        <v>#REF!</v>
      </c>
      <c r="O236" s="82" t="e">
        <f>SUMIF(#REF!,funkcijska!$E236,#REF!)</f>
        <v>#REF!</v>
      </c>
      <c r="P236" s="82" t="e">
        <f>SUMIF(#REF!,funkcijska!$E236,#REF!)</f>
        <v>#REF!</v>
      </c>
      <c r="Q236" s="386" t="e">
        <f>SUMIF(#REF!,funkcijska!$E236,#REF!)</f>
        <v>#REF!</v>
      </c>
      <c r="R236" s="82" t="e">
        <f>SUMIF(#REF!,funkcijska!$E236,#REF!)</f>
        <v>#REF!</v>
      </c>
      <c r="S236" s="82" t="e">
        <f>SUMIF(#REF!,funkcijska!$E236,#REF!)</f>
        <v>#REF!</v>
      </c>
      <c r="T236" s="82" t="e">
        <f>SUMIF(#REF!,funkcijska!$E$99,#REF!)</f>
        <v>#REF!</v>
      </c>
      <c r="U236" s="357" t="e">
        <f>SUMIF(#REF!,funkcijska!$E236,#REF!)</f>
        <v>#REF!</v>
      </c>
      <c r="V236" s="357" t="e">
        <f>SUMIF(#REF!,funkcijska!$E236,#REF!)+SUMIF(#REF!,funkcijska!$E236,#REF!)</f>
        <v>#REF!</v>
      </c>
      <c r="W236" s="357" t="e">
        <f>SUMIF(#REF!,funkcijska!$E236,#REF!)+SUMIF(#REF!,funkcijska!$E236,#REF!)</f>
        <v>#REF!</v>
      </c>
      <c r="X236" s="357" t="e">
        <f>SUMIF(#REF!,funkcijska!$E236,#REF!)+SUMIF(#REF!,funkcijska!$E236,#REF!)</f>
        <v>#REF!</v>
      </c>
      <c r="AD236" s="60"/>
      <c r="AE236" s="60"/>
      <c r="AF236" s="60"/>
      <c r="AG236" s="60"/>
      <c r="AH236" s="60"/>
      <c r="AI236" s="60"/>
      <c r="AJ236" s="60"/>
      <c r="AK236" s="60"/>
      <c r="AL236" s="60"/>
    </row>
    <row r="237" spans="1:38" hidden="1" x14ac:dyDescent="0.25">
      <c r="A237" s="80"/>
      <c r="B237" s="80"/>
      <c r="C237" s="80"/>
      <c r="D237" s="80"/>
      <c r="E237" s="80">
        <v>4224</v>
      </c>
      <c r="F237" s="81" t="s">
        <v>638</v>
      </c>
      <c r="G237" s="82" t="e">
        <f>SUMIF(#REF!,funkcijska!$E237,#REF!)</f>
        <v>#REF!</v>
      </c>
      <c r="H237" s="82" t="e">
        <f>SUMIF(#REF!,funkcijska!$E237,#REF!)</f>
        <v>#REF!</v>
      </c>
      <c r="I237" s="82" t="e">
        <f>SUMIF(#REF!,funkcijska!$E237,#REF!)</f>
        <v>#REF!</v>
      </c>
      <c r="J237" s="82" t="e">
        <f>SUMIF(#REF!,funkcijska!$E237,#REF!)</f>
        <v>#REF!</v>
      </c>
      <c r="K237" s="82" t="e">
        <f>SUMIF(#REF!,funkcijska!$E237,#REF!)</f>
        <v>#REF!</v>
      </c>
      <c r="L237" s="82" t="e">
        <f t="shared" si="118"/>
        <v>#REF!</v>
      </c>
      <c r="M237" s="82" t="e">
        <f t="shared" si="119"/>
        <v>#REF!</v>
      </c>
      <c r="N237" s="82" t="e">
        <f>SUMIF(#REF!,funkcijska!$E237,#REF!)</f>
        <v>#REF!</v>
      </c>
      <c r="O237" s="82" t="e">
        <f>SUMIF(#REF!,funkcijska!$E237,#REF!)</f>
        <v>#REF!</v>
      </c>
      <c r="P237" s="82" t="e">
        <f>SUMIF(#REF!,funkcijska!$E237,#REF!)</f>
        <v>#REF!</v>
      </c>
      <c r="Q237" s="386" t="e">
        <f>SUMIF(#REF!,funkcijska!$E237,#REF!)</f>
        <v>#REF!</v>
      </c>
      <c r="R237" s="82" t="e">
        <f>SUMIF(#REF!,funkcijska!$E237,#REF!)</f>
        <v>#REF!</v>
      </c>
      <c r="S237" s="82" t="e">
        <f>SUMIF(#REF!,funkcijska!$E237,#REF!)</f>
        <v>#REF!</v>
      </c>
      <c r="T237" s="82" t="e">
        <f>SUMIF(#REF!,funkcijska!$E$100,#REF!)</f>
        <v>#REF!</v>
      </c>
      <c r="U237" s="357" t="e">
        <f>SUMIF(#REF!,funkcijska!$E237,#REF!)</f>
        <v>#REF!</v>
      </c>
      <c r="V237" s="357" t="e">
        <f>SUMIF(#REF!,funkcijska!$E237,#REF!)+SUMIF(#REF!,funkcijska!$E237,#REF!)</f>
        <v>#REF!</v>
      </c>
      <c r="W237" s="357" t="e">
        <f>SUMIF(#REF!,funkcijska!$E237,#REF!)+SUMIF(#REF!,funkcijska!$E237,#REF!)</f>
        <v>#REF!</v>
      </c>
      <c r="X237" s="357" t="e">
        <f>SUMIF(#REF!,funkcijska!$E237,#REF!)+SUMIF(#REF!,funkcijska!$E237,#REF!)</f>
        <v>#REF!</v>
      </c>
      <c r="AD237" s="60"/>
      <c r="AE237" s="60"/>
      <c r="AF237" s="60"/>
      <c r="AG237" s="60"/>
      <c r="AH237" s="60"/>
      <c r="AI237" s="60"/>
      <c r="AJ237" s="60"/>
      <c r="AK237" s="60"/>
      <c r="AL237" s="60"/>
    </row>
    <row r="238" spans="1:38" ht="18" hidden="1" customHeight="1" x14ac:dyDescent="0.25">
      <c r="A238" s="80"/>
      <c r="B238" s="80"/>
      <c r="C238" s="80"/>
      <c r="D238" s="80"/>
      <c r="E238" s="80">
        <v>4225</v>
      </c>
      <c r="F238" s="81" t="s">
        <v>844</v>
      </c>
      <c r="G238" s="82" t="e">
        <f>SUMIF(#REF!,funkcijska!$E238,#REF!)</f>
        <v>#REF!</v>
      </c>
      <c r="H238" s="82" t="e">
        <f>SUMIF(#REF!,funkcijska!$E238,#REF!)</f>
        <v>#REF!</v>
      </c>
      <c r="I238" s="82" t="e">
        <f>SUMIF(#REF!,funkcijska!$E238,#REF!)</f>
        <v>#REF!</v>
      </c>
      <c r="J238" s="82" t="e">
        <f>SUMIF(#REF!,funkcijska!$E238,#REF!)</f>
        <v>#REF!</v>
      </c>
      <c r="K238" s="82" t="e">
        <f>SUMIF(#REF!,funkcijska!$E238,#REF!)</f>
        <v>#REF!</v>
      </c>
      <c r="L238" s="82" t="e">
        <f t="shared" si="118"/>
        <v>#REF!</v>
      </c>
      <c r="M238" s="82" t="e">
        <f t="shared" si="119"/>
        <v>#REF!</v>
      </c>
      <c r="N238" s="82" t="e">
        <f>SUMIF(#REF!,funkcijska!$E238,#REF!)</f>
        <v>#REF!</v>
      </c>
      <c r="O238" s="82" t="e">
        <f>SUMIF(#REF!,funkcijska!$E238,#REF!)</f>
        <v>#REF!</v>
      </c>
      <c r="P238" s="82" t="e">
        <f>SUMIF(#REF!,funkcijska!$E238,#REF!)</f>
        <v>#REF!</v>
      </c>
      <c r="Q238" s="386" t="e">
        <f>SUMIF(#REF!,funkcijska!$E238,#REF!)</f>
        <v>#REF!</v>
      </c>
      <c r="R238" s="82" t="e">
        <f>SUMIF(#REF!,funkcijska!$E238,#REF!)</f>
        <v>#REF!</v>
      </c>
      <c r="S238" s="82" t="e">
        <f>SUMIF(#REF!,funkcijska!$E238,#REF!)</f>
        <v>#REF!</v>
      </c>
      <c r="T238" s="82" t="e">
        <f>SUMIF(#REF!,funkcijska!$E$101,#REF!)</f>
        <v>#REF!</v>
      </c>
      <c r="U238" s="357" t="e">
        <f>SUMIF(#REF!,funkcijska!$E238,#REF!)</f>
        <v>#REF!</v>
      </c>
      <c r="V238" s="357" t="e">
        <f>SUMIF(#REF!,funkcijska!$E238,#REF!)+SUMIF(#REF!,funkcijska!$E238,#REF!)</f>
        <v>#REF!</v>
      </c>
      <c r="W238" s="357" t="e">
        <f>SUMIF(#REF!,funkcijska!$E238,#REF!)+SUMIF(#REF!,funkcijska!$E238,#REF!)</f>
        <v>#REF!</v>
      </c>
      <c r="X238" s="357" t="e">
        <f>SUMIF(#REF!,funkcijska!$E238,#REF!)+SUMIF(#REF!,funkcijska!$E238,#REF!)</f>
        <v>#REF!</v>
      </c>
      <c r="AD238" s="60"/>
      <c r="AE238" s="60"/>
      <c r="AF238" s="60"/>
      <c r="AG238" s="60"/>
      <c r="AH238" s="60"/>
      <c r="AI238" s="60"/>
      <c r="AJ238" s="60"/>
      <c r="AK238" s="60"/>
      <c r="AL238" s="60"/>
    </row>
    <row r="239" spans="1:38" ht="20.25" hidden="1" customHeight="1" x14ac:dyDescent="0.25">
      <c r="A239" s="80"/>
      <c r="B239" s="80"/>
      <c r="C239" s="80"/>
      <c r="D239" s="80"/>
      <c r="E239" s="80">
        <v>4226</v>
      </c>
      <c r="F239" s="81" t="s">
        <v>432</v>
      </c>
      <c r="G239" s="82" t="e">
        <f>SUMIF(#REF!,funkcijska!$E239,#REF!)</f>
        <v>#REF!</v>
      </c>
      <c r="H239" s="82" t="e">
        <f>SUMIF(#REF!,funkcijska!$E239,#REF!)</f>
        <v>#REF!</v>
      </c>
      <c r="I239" s="82" t="e">
        <f>SUMIF(#REF!,funkcijska!$E239,#REF!)</f>
        <v>#REF!</v>
      </c>
      <c r="J239" s="82" t="e">
        <f>SUMIF(#REF!,funkcijska!$E239,#REF!)</f>
        <v>#REF!</v>
      </c>
      <c r="K239" s="82" t="e">
        <f>SUMIF(#REF!,funkcijska!$E239,#REF!)</f>
        <v>#REF!</v>
      </c>
      <c r="L239" s="82" t="e">
        <f t="shared" si="118"/>
        <v>#REF!</v>
      </c>
      <c r="M239" s="82" t="e">
        <f t="shared" si="119"/>
        <v>#REF!</v>
      </c>
      <c r="N239" s="82" t="e">
        <f>SUMIF(#REF!,funkcijska!$E239,#REF!)</f>
        <v>#REF!</v>
      </c>
      <c r="O239" s="82" t="e">
        <f>SUMIF(#REF!,funkcijska!$E239,#REF!)</f>
        <v>#REF!</v>
      </c>
      <c r="P239" s="82" t="e">
        <f>SUMIF(#REF!,funkcijska!$E239,#REF!)</f>
        <v>#REF!</v>
      </c>
      <c r="Q239" s="386" t="e">
        <f>SUMIF(#REF!,funkcijska!$E239,#REF!)</f>
        <v>#REF!</v>
      </c>
      <c r="R239" s="82" t="e">
        <f>SUMIF(#REF!,funkcijska!$E239,#REF!)</f>
        <v>#REF!</v>
      </c>
      <c r="S239" s="82" t="e">
        <f>SUMIF(#REF!,funkcijska!$E239,#REF!)</f>
        <v>#REF!</v>
      </c>
      <c r="T239" s="82" t="e">
        <f>SUMIF(#REF!,funkcijska!$E$102,#REF!)</f>
        <v>#REF!</v>
      </c>
      <c r="U239" s="357" t="e">
        <f>SUMIF(#REF!,funkcijska!$E239,#REF!)</f>
        <v>#REF!</v>
      </c>
      <c r="V239" s="357" t="e">
        <f>SUMIF(#REF!,funkcijska!$E239,#REF!)+SUMIF(#REF!,funkcijska!$E239,#REF!)</f>
        <v>#REF!</v>
      </c>
      <c r="W239" s="357" t="e">
        <f>SUMIF(#REF!,funkcijska!$E239,#REF!)+SUMIF(#REF!,funkcijska!$E239,#REF!)</f>
        <v>#REF!</v>
      </c>
      <c r="X239" s="357" t="e">
        <f>SUMIF(#REF!,funkcijska!$E239,#REF!)+SUMIF(#REF!,funkcijska!$E239,#REF!)</f>
        <v>#REF!</v>
      </c>
      <c r="AD239" s="60"/>
      <c r="AE239" s="60"/>
      <c r="AF239" s="60"/>
      <c r="AG239" s="60"/>
      <c r="AH239" s="60"/>
      <c r="AI239" s="60"/>
      <c r="AJ239" s="60"/>
      <c r="AK239" s="60"/>
      <c r="AL239" s="60"/>
    </row>
    <row r="240" spans="1:38" ht="18.75" hidden="1" customHeight="1" x14ac:dyDescent="0.25">
      <c r="A240" s="80"/>
      <c r="B240" s="80"/>
      <c r="C240" s="80"/>
      <c r="D240" s="80"/>
      <c r="E240" s="80">
        <v>4227</v>
      </c>
      <c r="F240" s="81" t="s">
        <v>413</v>
      </c>
      <c r="G240" s="82" t="e">
        <f>SUMIF(#REF!,funkcijska!$E240,#REF!)</f>
        <v>#REF!</v>
      </c>
      <c r="H240" s="82" t="e">
        <f>SUMIF(#REF!,funkcijska!$E240,#REF!)</f>
        <v>#REF!</v>
      </c>
      <c r="I240" s="82" t="e">
        <f>SUMIF(#REF!,funkcijska!$E240,#REF!)</f>
        <v>#REF!</v>
      </c>
      <c r="J240" s="82" t="e">
        <f>SUMIF(#REF!,funkcijska!$E240,#REF!)</f>
        <v>#REF!</v>
      </c>
      <c r="K240" s="82" t="e">
        <f>SUMIF(#REF!,funkcijska!$E240,#REF!)</f>
        <v>#REF!</v>
      </c>
      <c r="L240" s="82" t="e">
        <f t="shared" si="118"/>
        <v>#REF!</v>
      </c>
      <c r="M240" s="82" t="e">
        <f t="shared" si="119"/>
        <v>#REF!</v>
      </c>
      <c r="N240" s="82" t="e">
        <f>SUMIF(#REF!,funkcijska!$E240,#REF!)</f>
        <v>#REF!</v>
      </c>
      <c r="O240" s="82" t="e">
        <f>SUMIF(#REF!,funkcijska!$E240,#REF!)</f>
        <v>#REF!</v>
      </c>
      <c r="P240" s="82" t="e">
        <f>SUMIF(#REF!,funkcijska!$E240,#REF!)</f>
        <v>#REF!</v>
      </c>
      <c r="Q240" s="386" t="e">
        <f>SUMIF(#REF!,funkcijska!$E240,#REF!)</f>
        <v>#REF!</v>
      </c>
      <c r="R240" s="82" t="e">
        <f>SUMIF(#REF!,funkcijska!$E240,#REF!)</f>
        <v>#REF!</v>
      </c>
      <c r="S240" s="82" t="e">
        <f>SUMIF(#REF!,funkcijska!$E240,#REF!)</f>
        <v>#REF!</v>
      </c>
      <c r="T240" s="82" t="e">
        <f>SUMIF(#REF!,funkcijska!$E$103,#REF!)</f>
        <v>#REF!</v>
      </c>
      <c r="U240" s="357" t="e">
        <f>SUMIF(#REF!,funkcijska!$E240,#REF!)</f>
        <v>#REF!</v>
      </c>
      <c r="V240" s="357" t="e">
        <f>SUMIF(#REF!,funkcijska!$E240,#REF!)+SUMIF(#REF!,funkcijska!$E240,#REF!)</f>
        <v>#REF!</v>
      </c>
      <c r="W240" s="357" t="e">
        <f>SUMIF(#REF!,funkcijska!$E240,#REF!)+SUMIF(#REF!,funkcijska!$E240,#REF!)</f>
        <v>#REF!</v>
      </c>
      <c r="X240" s="357" t="e">
        <f>SUMIF(#REF!,funkcijska!$E240,#REF!)+SUMIF(#REF!,funkcijska!$E240,#REF!)</f>
        <v>#REF!</v>
      </c>
      <c r="AD240" s="60"/>
      <c r="AE240" s="60"/>
      <c r="AF240" s="60"/>
      <c r="AG240" s="60"/>
      <c r="AH240" s="60"/>
      <c r="AI240" s="60"/>
      <c r="AJ240" s="60"/>
      <c r="AK240" s="60"/>
      <c r="AL240" s="60"/>
    </row>
    <row r="241" spans="1:38" s="373" customFormat="1" ht="17.25" hidden="1" customHeight="1" x14ac:dyDescent="0.25">
      <c r="A241" s="119"/>
      <c r="B241" s="119"/>
      <c r="C241" s="119"/>
      <c r="D241" s="119" t="str">
        <f>LEFT(E242,3)</f>
        <v>423</v>
      </c>
      <c r="E241" s="119"/>
      <c r="F241" s="368" t="s">
        <v>223</v>
      </c>
      <c r="G241" s="369" t="e">
        <f>G242</f>
        <v>#REF!</v>
      </c>
      <c r="H241" s="370" t="e">
        <f>H242</f>
        <v>#REF!</v>
      </c>
      <c r="I241" s="369" t="e">
        <f>I242</f>
        <v>#REF!</v>
      </c>
      <c r="J241" s="369" t="e">
        <f>J242</f>
        <v>#REF!</v>
      </c>
      <c r="K241" s="369" t="e">
        <f>K242</f>
        <v>#REF!</v>
      </c>
      <c r="L241" s="369" t="e">
        <f t="shared" si="118"/>
        <v>#REF!</v>
      </c>
      <c r="M241" s="369" t="e">
        <f t="shared" si="119"/>
        <v>#REF!</v>
      </c>
      <c r="N241" s="369" t="e">
        <f t="shared" ref="N241:X241" si="120">N242</f>
        <v>#REF!</v>
      </c>
      <c r="O241" s="137" t="e">
        <f t="shared" si="120"/>
        <v>#REF!</v>
      </c>
      <c r="P241" s="137" t="e">
        <f t="shared" si="120"/>
        <v>#REF!</v>
      </c>
      <c r="Q241" s="393" t="e">
        <f t="shared" si="120"/>
        <v>#REF!</v>
      </c>
      <c r="R241" s="137" t="e">
        <f t="shared" si="120"/>
        <v>#REF!</v>
      </c>
      <c r="S241" s="137" t="e">
        <f t="shared" si="120"/>
        <v>#REF!</v>
      </c>
      <c r="T241" s="137" t="e">
        <f t="shared" si="120"/>
        <v>#REF!</v>
      </c>
      <c r="U241" s="371" t="e">
        <f t="shared" si="120"/>
        <v>#REF!</v>
      </c>
      <c r="V241" s="371" t="e">
        <f t="shared" si="120"/>
        <v>#REF!</v>
      </c>
      <c r="W241" s="371" t="e">
        <f t="shared" si="120"/>
        <v>#REF!</v>
      </c>
      <c r="X241" s="371" t="e">
        <f t="shared" si="120"/>
        <v>#REF!</v>
      </c>
      <c r="Y241" s="372"/>
      <c r="Z241" s="372"/>
      <c r="AA241" s="372"/>
      <c r="AB241" s="372"/>
      <c r="AC241" s="372"/>
      <c r="AD241" s="372"/>
      <c r="AE241" s="372"/>
      <c r="AF241" s="372"/>
      <c r="AG241" s="372"/>
      <c r="AH241" s="372"/>
      <c r="AI241" s="372"/>
      <c r="AJ241" s="372"/>
      <c r="AK241" s="372"/>
      <c r="AL241" s="372"/>
    </row>
    <row r="242" spans="1:38" ht="21" hidden="1" customHeight="1" x14ac:dyDescent="0.25">
      <c r="A242" s="80"/>
      <c r="B242" s="80"/>
      <c r="C242" s="80"/>
      <c r="D242" s="80"/>
      <c r="E242" s="80">
        <v>4231</v>
      </c>
      <c r="F242" s="81" t="s">
        <v>1028</v>
      </c>
      <c r="G242" s="82" t="e">
        <f>SUMIF(#REF!,funkcijska!$E242,#REF!)</f>
        <v>#REF!</v>
      </c>
      <c r="H242" s="82" t="e">
        <f>SUMIF(#REF!,funkcijska!$E242,#REF!)</f>
        <v>#REF!</v>
      </c>
      <c r="I242" s="82" t="e">
        <f>SUMIF(#REF!,funkcijska!$E242,#REF!)</f>
        <v>#REF!</v>
      </c>
      <c r="J242" s="82" t="e">
        <f>SUMIF(#REF!,funkcijska!$E242,#REF!)</f>
        <v>#REF!</v>
      </c>
      <c r="K242" s="82" t="e">
        <f>SUMIF(#REF!,funkcijska!$E242,#REF!)</f>
        <v>#REF!</v>
      </c>
      <c r="L242" s="82" t="e">
        <f t="shared" si="118"/>
        <v>#REF!</v>
      </c>
      <c r="M242" s="82" t="e">
        <f t="shared" si="119"/>
        <v>#REF!</v>
      </c>
      <c r="N242" s="82" t="e">
        <f>SUMIF(#REF!,funkcijska!$E242,#REF!)</f>
        <v>#REF!</v>
      </c>
      <c r="O242" s="82" t="e">
        <f>SUMIF(#REF!,funkcijska!$E242,#REF!)</f>
        <v>#REF!</v>
      </c>
      <c r="P242" s="82" t="e">
        <f>SUMIF(#REF!,funkcijska!$E242,#REF!)</f>
        <v>#REF!</v>
      </c>
      <c r="Q242" s="386" t="e">
        <f>SUMIF(#REF!,funkcijska!$E242,#REF!)</f>
        <v>#REF!</v>
      </c>
      <c r="R242" s="82" t="e">
        <f>SUMIF(#REF!,funkcijska!$E242,#REF!)</f>
        <v>#REF!</v>
      </c>
      <c r="S242" s="82" t="e">
        <f>SUMIF(#REF!,funkcijska!$E242,#REF!)</f>
        <v>#REF!</v>
      </c>
      <c r="T242" s="82" t="e">
        <f>SUMIF(#REF!,funkcijska!$E$105,#REF!)</f>
        <v>#REF!</v>
      </c>
      <c r="U242" s="357" t="e">
        <f>SUMIF(#REF!,funkcijska!$E242,#REF!)</f>
        <v>#REF!</v>
      </c>
      <c r="V242" s="357" t="e">
        <f>SUMIF(#REF!,funkcijska!$E242,#REF!)+SUMIF(#REF!,funkcijska!$E242,#REF!)</f>
        <v>#REF!</v>
      </c>
      <c r="W242" s="357" t="e">
        <f>SUMIF(#REF!,funkcijska!$E242,#REF!)+SUMIF(#REF!,funkcijska!$E242,#REF!)</f>
        <v>#REF!</v>
      </c>
      <c r="X242" s="357" t="e">
        <f>SUMIF(#REF!,funkcijska!$E242,#REF!)+SUMIF(#REF!,funkcijska!$E242,#REF!)</f>
        <v>#REF!</v>
      </c>
      <c r="AD242" s="60"/>
      <c r="AE242" s="60"/>
      <c r="AF242" s="60"/>
      <c r="AG242" s="60"/>
      <c r="AH242" s="60"/>
      <c r="AI242" s="60"/>
      <c r="AJ242" s="60"/>
      <c r="AK242" s="60"/>
      <c r="AL242" s="60"/>
    </row>
    <row r="243" spans="1:38" s="373" customFormat="1" ht="37.5" hidden="1" customHeight="1" x14ac:dyDescent="0.25">
      <c r="A243" s="119"/>
      <c r="B243" s="119"/>
      <c r="C243" s="119"/>
      <c r="D243" s="119" t="str">
        <f>LEFT(E244,3)</f>
        <v>424</v>
      </c>
      <c r="E243" s="119"/>
      <c r="F243" s="368" t="s">
        <v>447</v>
      </c>
      <c r="G243" s="369" t="e">
        <f>G244</f>
        <v>#REF!</v>
      </c>
      <c r="H243" s="370" t="e">
        <f>H244</f>
        <v>#REF!</v>
      </c>
      <c r="I243" s="369" t="e">
        <f>I244</f>
        <v>#REF!</v>
      </c>
      <c r="J243" s="369" t="e">
        <f>J244</f>
        <v>#REF!</v>
      </c>
      <c r="K243" s="369" t="e">
        <f>K244</f>
        <v>#REF!</v>
      </c>
      <c r="L243" s="369" t="e">
        <f t="shared" si="118"/>
        <v>#REF!</v>
      </c>
      <c r="M243" s="369" t="e">
        <f t="shared" si="119"/>
        <v>#REF!</v>
      </c>
      <c r="N243" s="369" t="e">
        <f t="shared" ref="N243:X243" si="121">N244</f>
        <v>#REF!</v>
      </c>
      <c r="O243" s="137" t="e">
        <f t="shared" si="121"/>
        <v>#REF!</v>
      </c>
      <c r="P243" s="137" t="e">
        <f t="shared" si="121"/>
        <v>#REF!</v>
      </c>
      <c r="Q243" s="393" t="e">
        <f t="shared" si="121"/>
        <v>#REF!</v>
      </c>
      <c r="R243" s="137" t="e">
        <f t="shared" si="121"/>
        <v>#REF!</v>
      </c>
      <c r="S243" s="137" t="e">
        <f t="shared" si="121"/>
        <v>#REF!</v>
      </c>
      <c r="T243" s="137" t="e">
        <f t="shared" si="121"/>
        <v>#REF!</v>
      </c>
      <c r="U243" s="371" t="e">
        <f t="shared" si="121"/>
        <v>#REF!</v>
      </c>
      <c r="V243" s="371" t="e">
        <f t="shared" si="121"/>
        <v>#REF!</v>
      </c>
      <c r="W243" s="371" t="e">
        <f t="shared" si="121"/>
        <v>#REF!</v>
      </c>
      <c r="X243" s="371" t="e">
        <f t="shared" si="121"/>
        <v>#REF!</v>
      </c>
      <c r="Y243" s="372"/>
      <c r="Z243" s="372"/>
      <c r="AA243" s="372"/>
      <c r="AB243" s="372"/>
      <c r="AC243" s="372"/>
      <c r="AD243" s="372"/>
      <c r="AE243" s="372"/>
      <c r="AF243" s="372"/>
      <c r="AG243" s="372"/>
      <c r="AH243" s="372"/>
      <c r="AI243" s="372"/>
      <c r="AJ243" s="372"/>
      <c r="AK243" s="372"/>
      <c r="AL243" s="372"/>
    </row>
    <row r="244" spans="1:38" ht="21" hidden="1" customHeight="1" x14ac:dyDescent="0.25">
      <c r="A244" s="80"/>
      <c r="B244" s="80"/>
      <c r="C244" s="80"/>
      <c r="D244" s="80"/>
      <c r="E244" s="80">
        <v>4241</v>
      </c>
      <c r="F244" s="81" t="s">
        <v>437</v>
      </c>
      <c r="G244" s="82" t="e">
        <f>SUMIF(#REF!,funkcijska!$E244,#REF!)</f>
        <v>#REF!</v>
      </c>
      <c r="H244" s="82" t="e">
        <f>SUMIF(#REF!,funkcijska!$E244,#REF!)</f>
        <v>#REF!</v>
      </c>
      <c r="I244" s="82" t="e">
        <f>SUMIF(#REF!,funkcijska!$E244,#REF!)</f>
        <v>#REF!</v>
      </c>
      <c r="J244" s="82" t="e">
        <f>SUMIF(#REF!,funkcijska!$E244,#REF!)</f>
        <v>#REF!</v>
      </c>
      <c r="K244" s="82" t="e">
        <f>SUMIF(#REF!,funkcijska!$E244,#REF!)</f>
        <v>#REF!</v>
      </c>
      <c r="L244" s="82" t="e">
        <f t="shared" si="118"/>
        <v>#REF!</v>
      </c>
      <c r="M244" s="82" t="e">
        <f t="shared" si="119"/>
        <v>#REF!</v>
      </c>
      <c r="N244" s="82" t="e">
        <f>SUMIF(#REF!,funkcijska!$E244,#REF!)</f>
        <v>#REF!</v>
      </c>
      <c r="O244" s="82" t="e">
        <f>SUMIF(#REF!,funkcijska!$E244,#REF!)</f>
        <v>#REF!</v>
      </c>
      <c r="P244" s="82" t="e">
        <f>SUMIF(#REF!,funkcijska!$E244,#REF!)</f>
        <v>#REF!</v>
      </c>
      <c r="Q244" s="386" t="e">
        <f>SUMIF(#REF!,funkcijska!$E244,#REF!)</f>
        <v>#REF!</v>
      </c>
      <c r="R244" s="82" t="e">
        <f>SUMIF(#REF!,funkcijska!$E244,#REF!)</f>
        <v>#REF!</v>
      </c>
      <c r="S244" s="82" t="e">
        <f>SUMIF(#REF!,funkcijska!$E244,#REF!)</f>
        <v>#REF!</v>
      </c>
      <c r="T244" s="82" t="e">
        <f>SUMIF(#REF!,funkcijska!$E$107,#REF!)</f>
        <v>#REF!</v>
      </c>
      <c r="U244" s="357" t="e">
        <f>SUMIF(#REF!,funkcijska!$E244,#REF!)</f>
        <v>#REF!</v>
      </c>
      <c r="V244" s="357" t="e">
        <f>SUMIF(#REF!,funkcijska!$E244,#REF!)+SUMIF(#REF!,funkcijska!$E244,#REF!)</f>
        <v>#REF!</v>
      </c>
      <c r="W244" s="357" t="e">
        <f>SUMIF(#REF!,funkcijska!$E244,#REF!)+SUMIF(#REF!,funkcijska!$E244,#REF!)</f>
        <v>#REF!</v>
      </c>
      <c r="X244" s="357" t="e">
        <f>SUMIF(#REF!,funkcijska!$E244,#REF!)+SUMIF(#REF!,funkcijska!$E244,#REF!)</f>
        <v>#REF!</v>
      </c>
      <c r="AD244" s="60"/>
      <c r="AE244" s="60"/>
      <c r="AF244" s="60"/>
      <c r="AG244" s="60"/>
      <c r="AH244" s="60"/>
      <c r="AI244" s="60"/>
      <c r="AJ244" s="60"/>
      <c r="AK244" s="60"/>
      <c r="AL244" s="60"/>
    </row>
    <row r="245" spans="1:38" ht="18" hidden="1" customHeight="1" x14ac:dyDescent="0.25">
      <c r="A245" s="80"/>
      <c r="B245" s="80"/>
      <c r="C245" s="80"/>
      <c r="D245" s="80" t="str">
        <f>LEFT(E246,3)</f>
        <v>425</v>
      </c>
      <c r="E245" s="80"/>
      <c r="F245" s="81" t="s">
        <v>839</v>
      </c>
      <c r="G245" s="84" t="e">
        <f>G246</f>
        <v>#REF!</v>
      </c>
      <c r="H245" s="102" t="e">
        <f>H246</f>
        <v>#REF!</v>
      </c>
      <c r="I245" s="84" t="e">
        <f>I246</f>
        <v>#REF!</v>
      </c>
      <c r="J245" s="84" t="e">
        <f>J246</f>
        <v>#REF!</v>
      </c>
      <c r="K245" s="84" t="e">
        <f>K246</f>
        <v>#REF!</v>
      </c>
      <c r="L245" s="84" t="e">
        <f t="shared" si="118"/>
        <v>#REF!</v>
      </c>
      <c r="M245" s="84" t="e">
        <f t="shared" si="119"/>
        <v>#REF!</v>
      </c>
      <c r="N245" s="84" t="e">
        <f>N246</f>
        <v>#REF!</v>
      </c>
      <c r="O245" s="82" t="e">
        <f>O246</f>
        <v>#REF!</v>
      </c>
      <c r="P245" s="82" t="e">
        <f>P246</f>
        <v>#REF!</v>
      </c>
      <c r="Q245" s="389" t="e">
        <f>U245-O245</f>
        <v>#REF!</v>
      </c>
      <c r="R245" s="82" t="e">
        <f t="shared" ref="R245:X245" si="122">R246</f>
        <v>#REF!</v>
      </c>
      <c r="S245" s="82" t="e">
        <f t="shared" si="122"/>
        <v>#REF!</v>
      </c>
      <c r="T245" s="82" t="e">
        <f t="shared" si="122"/>
        <v>#REF!</v>
      </c>
      <c r="U245" s="357" t="e">
        <f t="shared" si="122"/>
        <v>#REF!</v>
      </c>
      <c r="V245" s="357" t="e">
        <f t="shared" si="122"/>
        <v>#REF!</v>
      </c>
      <c r="W245" s="357" t="e">
        <f t="shared" si="122"/>
        <v>#REF!</v>
      </c>
      <c r="X245" s="357" t="e">
        <f t="shared" si="122"/>
        <v>#REF!</v>
      </c>
      <c r="AD245" s="60"/>
      <c r="AE245" s="60"/>
      <c r="AF245" s="60"/>
      <c r="AG245" s="60"/>
      <c r="AH245" s="60"/>
      <c r="AI245" s="60"/>
      <c r="AJ245" s="60"/>
      <c r="AK245" s="60"/>
      <c r="AL245" s="60"/>
    </row>
    <row r="246" spans="1:38" ht="22.5" hidden="1" customHeight="1" x14ac:dyDescent="0.25">
      <c r="A246" s="80"/>
      <c r="B246" s="80"/>
      <c r="C246" s="80"/>
      <c r="D246" s="80"/>
      <c r="E246" s="80" t="s">
        <v>1029</v>
      </c>
      <c r="F246" s="81" t="s">
        <v>840</v>
      </c>
      <c r="G246" s="82" t="e">
        <f>SUMIF(#REF!,funkcijska!$E246,#REF!)</f>
        <v>#REF!</v>
      </c>
      <c r="H246" s="82" t="e">
        <f>SUMIF(#REF!,funkcijska!$E246,#REF!)</f>
        <v>#REF!</v>
      </c>
      <c r="I246" s="82" t="e">
        <f>SUMIF(#REF!,funkcijska!$E246,#REF!)</f>
        <v>#REF!</v>
      </c>
      <c r="J246" s="82" t="e">
        <f>SUMIF(#REF!,funkcijska!$E246,#REF!)</f>
        <v>#REF!</v>
      </c>
      <c r="K246" s="82" t="e">
        <f>SUMIF(#REF!,funkcijska!$E246,#REF!)</f>
        <v>#REF!</v>
      </c>
      <c r="L246" s="82" t="e">
        <f t="shared" si="118"/>
        <v>#REF!</v>
      </c>
      <c r="M246" s="82" t="e">
        <f t="shared" si="119"/>
        <v>#REF!</v>
      </c>
      <c r="N246" s="82" t="e">
        <f>SUMIF(#REF!,funkcijska!$E246,#REF!)</f>
        <v>#REF!</v>
      </c>
      <c r="O246" s="82" t="e">
        <f>SUMIF(#REF!,funkcijska!$E246,#REF!)</f>
        <v>#REF!</v>
      </c>
      <c r="P246" s="82" t="e">
        <f>SUMIF(#REF!,funkcijska!$E246,#REF!)</f>
        <v>#REF!</v>
      </c>
      <c r="Q246" s="389" t="e">
        <f>U246-O246</f>
        <v>#REF!</v>
      </c>
      <c r="R246" s="82" t="e">
        <f>SUMIF(#REF!,funkcijska!$E246,#REF!)</f>
        <v>#REF!</v>
      </c>
      <c r="S246" s="82" t="e">
        <f>SUMIF(#REF!,funkcijska!$E246,#REF!)</f>
        <v>#REF!</v>
      </c>
      <c r="T246" s="82" t="e">
        <f>SUMIF(#REF!,funkcijska!$E$109,#REF!)</f>
        <v>#REF!</v>
      </c>
      <c r="U246" s="357" t="e">
        <f>SUMIF(#REF!,funkcijska!$E246,#REF!)</f>
        <v>#REF!</v>
      </c>
      <c r="V246" s="357" t="e">
        <f>SUMIF(#REF!,funkcijska!$E246,#REF!)</f>
        <v>#REF!</v>
      </c>
      <c r="W246" s="357" t="e">
        <f>SUMIF(#REF!,funkcijska!$E246,#REF!)</f>
        <v>#REF!</v>
      </c>
      <c r="X246" s="357" t="e">
        <f>SUMIF(#REF!,funkcijska!$E246,#REF!)</f>
        <v>#REF!</v>
      </c>
      <c r="AD246" s="60"/>
      <c r="AE246" s="60"/>
      <c r="AF246" s="60"/>
      <c r="AG246" s="60"/>
      <c r="AH246" s="60"/>
      <c r="AI246" s="60"/>
      <c r="AJ246" s="60"/>
      <c r="AK246" s="60"/>
      <c r="AL246" s="60"/>
    </row>
    <row r="247" spans="1:38" s="373" customFormat="1" ht="21" hidden="1" customHeight="1" x14ac:dyDescent="0.25">
      <c r="A247" s="119"/>
      <c r="B247" s="119"/>
      <c r="C247" s="119"/>
      <c r="D247" s="119" t="str">
        <f>LEFT(E248,3)</f>
        <v>426</v>
      </c>
      <c r="E247" s="119"/>
      <c r="F247" s="368" t="s">
        <v>560</v>
      </c>
      <c r="G247" s="369" t="e">
        <f t="shared" ref="G247:X247" si="123">SUM(G248:G249)</f>
        <v>#REF!</v>
      </c>
      <c r="H247" s="370" t="e">
        <f t="shared" si="123"/>
        <v>#REF!</v>
      </c>
      <c r="I247" s="369" t="e">
        <f t="shared" si="123"/>
        <v>#REF!</v>
      </c>
      <c r="J247" s="369" t="e">
        <f t="shared" si="123"/>
        <v>#REF!</v>
      </c>
      <c r="K247" s="369" t="e">
        <f t="shared" si="123"/>
        <v>#REF!</v>
      </c>
      <c r="L247" s="369" t="e">
        <f t="shared" si="123"/>
        <v>#REF!</v>
      </c>
      <c r="M247" s="369" t="e">
        <f t="shared" si="123"/>
        <v>#REF!</v>
      </c>
      <c r="N247" s="369" t="e">
        <f t="shared" si="123"/>
        <v>#REF!</v>
      </c>
      <c r="O247" s="369" t="e">
        <f t="shared" si="123"/>
        <v>#REF!</v>
      </c>
      <c r="P247" s="369" t="e">
        <f t="shared" si="123"/>
        <v>#REF!</v>
      </c>
      <c r="Q247" s="392" t="e">
        <f t="shared" si="123"/>
        <v>#REF!</v>
      </c>
      <c r="R247" s="369" t="e">
        <f t="shared" si="123"/>
        <v>#REF!</v>
      </c>
      <c r="S247" s="369" t="e">
        <f t="shared" si="123"/>
        <v>#REF!</v>
      </c>
      <c r="T247" s="137" t="e">
        <f t="shared" si="123"/>
        <v>#REF!</v>
      </c>
      <c r="U247" s="371" t="e">
        <f t="shared" si="123"/>
        <v>#REF!</v>
      </c>
      <c r="V247" s="371" t="e">
        <f t="shared" si="123"/>
        <v>#REF!</v>
      </c>
      <c r="W247" s="371" t="e">
        <f t="shared" si="123"/>
        <v>#REF!</v>
      </c>
      <c r="X247" s="371" t="e">
        <f t="shared" si="123"/>
        <v>#REF!</v>
      </c>
      <c r="Y247" s="372"/>
      <c r="Z247" s="372"/>
      <c r="AA247" s="372"/>
      <c r="AB247" s="372"/>
      <c r="AC247" s="372"/>
      <c r="AD247" s="372"/>
      <c r="AE247" s="372"/>
      <c r="AF247" s="372"/>
      <c r="AG247" s="372"/>
      <c r="AH247" s="372"/>
      <c r="AI247" s="372"/>
      <c r="AJ247" s="372"/>
      <c r="AK247" s="372"/>
      <c r="AL247" s="372"/>
    </row>
    <row r="248" spans="1:38" ht="21.75" hidden="1" customHeight="1" x14ac:dyDescent="0.25">
      <c r="A248" s="80"/>
      <c r="B248" s="80"/>
      <c r="C248" s="80"/>
      <c r="D248" s="80"/>
      <c r="E248" s="80">
        <v>4262</v>
      </c>
      <c r="F248" s="81" t="s">
        <v>561</v>
      </c>
      <c r="G248" s="82" t="e">
        <f>SUMIF(#REF!,funkcijska!$E248,#REF!)</f>
        <v>#REF!</v>
      </c>
      <c r="H248" s="82" t="e">
        <f>SUMIF(#REF!,funkcijska!$E248,#REF!)</f>
        <v>#REF!</v>
      </c>
      <c r="I248" s="82" t="e">
        <f>SUMIF(#REF!,funkcijska!$E248,#REF!)</f>
        <v>#REF!</v>
      </c>
      <c r="J248" s="82" t="e">
        <f>SUMIF(#REF!,funkcijska!$E248,#REF!)</f>
        <v>#REF!</v>
      </c>
      <c r="K248" s="82" t="e">
        <f>SUMIF(#REF!,funkcijska!$E248,#REF!)</f>
        <v>#REF!</v>
      </c>
      <c r="L248" s="82" t="e">
        <f t="shared" ref="L248:L254" si="124">ROUND(K248/J248*100,2)</f>
        <v>#REF!</v>
      </c>
      <c r="M248" s="82" t="e">
        <f t="shared" ref="M248:M254" si="125">N248-J248</f>
        <v>#REF!</v>
      </c>
      <c r="N248" s="82" t="e">
        <f>SUMIF(#REF!,funkcijska!$E248,#REF!)</f>
        <v>#REF!</v>
      </c>
      <c r="O248" s="82" t="e">
        <f>SUMIF(#REF!,funkcijska!$E248,#REF!)</f>
        <v>#REF!</v>
      </c>
      <c r="P248" s="82" t="e">
        <f>SUMIF(#REF!,funkcijska!$E248,#REF!)</f>
        <v>#REF!</v>
      </c>
      <c r="Q248" s="386" t="e">
        <f>SUMIF(#REF!,funkcijska!$E248,#REF!)</f>
        <v>#REF!</v>
      </c>
      <c r="R248" s="82" t="e">
        <f>SUMIF(#REF!,funkcijska!$E248,#REF!)</f>
        <v>#REF!</v>
      </c>
      <c r="S248" s="82" t="e">
        <f>SUMIF(#REF!,funkcijska!$E248,#REF!)</f>
        <v>#REF!</v>
      </c>
      <c r="T248" s="82" t="e">
        <f>SUMIF(#REF!,funkcijska!$E$111,#REF!)</f>
        <v>#REF!</v>
      </c>
      <c r="U248" s="357" t="e">
        <f>SUMIF(#REF!,funkcijska!$E248,#REF!)</f>
        <v>#REF!</v>
      </c>
      <c r="V248" s="357" t="e">
        <f>SUMIF(#REF!,funkcijska!$E248,#REF!)+SUMIF(#REF!,funkcijska!$E248,#REF!)</f>
        <v>#REF!</v>
      </c>
      <c r="W248" s="357" t="e">
        <f>SUMIF(#REF!,funkcijska!$E248,#REF!)+SUMIF(#REF!,funkcijska!$E248,#REF!)</f>
        <v>#REF!</v>
      </c>
      <c r="X248" s="357" t="e">
        <f>SUMIF(#REF!,funkcijska!$E248,#REF!)+SUMIF(#REF!,funkcijska!$E248,#REF!)</f>
        <v>#REF!</v>
      </c>
      <c r="AD248" s="60"/>
      <c r="AE248" s="60"/>
      <c r="AF248" s="60"/>
      <c r="AG248" s="60"/>
      <c r="AH248" s="60"/>
      <c r="AI248" s="60"/>
      <c r="AJ248" s="60"/>
      <c r="AK248" s="60"/>
      <c r="AL248" s="60"/>
    </row>
    <row r="249" spans="1:38" ht="21" hidden="1" customHeight="1" x14ac:dyDescent="0.25">
      <c r="A249" s="80"/>
      <c r="B249" s="80"/>
      <c r="C249" s="80"/>
      <c r="D249" s="80"/>
      <c r="E249" s="80">
        <v>4264</v>
      </c>
      <c r="F249" s="81" t="s">
        <v>1030</v>
      </c>
      <c r="G249" s="82" t="e">
        <f>SUMIF(#REF!,funkcijska!$E249,#REF!)</f>
        <v>#REF!</v>
      </c>
      <c r="H249" s="82" t="e">
        <f>SUMIF(#REF!,funkcijska!$E249,#REF!)</f>
        <v>#REF!</v>
      </c>
      <c r="I249" s="82" t="e">
        <f>SUMIF(#REF!,funkcijska!$E249,#REF!)</f>
        <v>#REF!</v>
      </c>
      <c r="J249" s="82" t="e">
        <f>SUMIF(#REF!,funkcijska!$E249,#REF!)</f>
        <v>#REF!</v>
      </c>
      <c r="K249" s="82" t="e">
        <f>SUMIF(#REF!,funkcijska!$E249,#REF!)</f>
        <v>#REF!</v>
      </c>
      <c r="L249" s="82" t="e">
        <f t="shared" si="124"/>
        <v>#REF!</v>
      </c>
      <c r="M249" s="82" t="e">
        <f t="shared" si="125"/>
        <v>#REF!</v>
      </c>
      <c r="N249" s="82" t="e">
        <f>SUMIF(#REF!,funkcijska!$E249,#REF!)</f>
        <v>#REF!</v>
      </c>
      <c r="O249" s="82" t="e">
        <f>SUMIF(#REF!,funkcijska!$E249,#REF!)</f>
        <v>#REF!</v>
      </c>
      <c r="P249" s="82" t="e">
        <f>SUMIF(#REF!,funkcijska!$E249,#REF!)</f>
        <v>#REF!</v>
      </c>
      <c r="Q249" s="386" t="e">
        <f>SUMIF(#REF!,funkcijska!$E249,#REF!)</f>
        <v>#REF!</v>
      </c>
      <c r="R249" s="82" t="e">
        <f>SUMIF(#REF!,funkcijska!$E249,#REF!)</f>
        <v>#REF!</v>
      </c>
      <c r="S249" s="82" t="e">
        <f>SUMIF(#REF!,funkcijska!$E249,#REF!)</f>
        <v>#REF!</v>
      </c>
      <c r="T249" s="82" t="e">
        <f>SUMIF(#REF!,funkcijska!$E$112,#REF!)</f>
        <v>#REF!</v>
      </c>
      <c r="U249" s="357" t="e">
        <f>SUMIF(#REF!,funkcijska!$E249,#REF!)</f>
        <v>#REF!</v>
      </c>
      <c r="V249" s="357" t="e">
        <f>SUMIF(#REF!,funkcijska!$E249,#REF!)+SUMIF(#REF!,funkcijska!$E249,#REF!)</f>
        <v>#REF!</v>
      </c>
      <c r="W249" s="357" t="e">
        <f>SUMIF(#REF!,funkcijska!$E249,#REF!)+SUMIF(#REF!,funkcijska!$E249,#REF!)</f>
        <v>#REF!</v>
      </c>
      <c r="X249" s="357" t="e">
        <f>SUMIF(#REF!,funkcijska!$E249,#REF!)+SUMIF(#REF!,funkcijska!$E249,#REF!)</f>
        <v>#REF!</v>
      </c>
      <c r="AD249" s="60"/>
      <c r="AE249" s="60"/>
      <c r="AF249" s="60"/>
      <c r="AG249" s="60"/>
      <c r="AH249" s="60"/>
      <c r="AI249" s="60"/>
      <c r="AJ249" s="60"/>
      <c r="AK249" s="60"/>
      <c r="AL249" s="60"/>
    </row>
    <row r="250" spans="1:38" ht="36.75" hidden="1" customHeight="1" x14ac:dyDescent="0.25">
      <c r="A250" s="125"/>
      <c r="B250" s="74"/>
      <c r="C250" s="74" t="str">
        <f>LEFT(E252,2)</f>
        <v>45</v>
      </c>
      <c r="D250" s="74"/>
      <c r="E250" s="74"/>
      <c r="F250" s="75" t="s">
        <v>808</v>
      </c>
      <c r="G250" s="77" t="e">
        <f>G251+G253+G258</f>
        <v>#REF!</v>
      </c>
      <c r="H250" s="118" t="e">
        <f>H251+H253+H258</f>
        <v>#REF!</v>
      </c>
      <c r="I250" s="77" t="e">
        <f>I251+I253+I258</f>
        <v>#REF!</v>
      </c>
      <c r="J250" s="77" t="e">
        <f>J251+J253+J258</f>
        <v>#REF!</v>
      </c>
      <c r="K250" s="77" t="e">
        <f>K251+K253+K258</f>
        <v>#REF!</v>
      </c>
      <c r="L250" s="77" t="e">
        <f t="shared" si="124"/>
        <v>#REF!</v>
      </c>
      <c r="M250" s="77" t="e">
        <f t="shared" si="125"/>
        <v>#REF!</v>
      </c>
      <c r="N250" s="77" t="e">
        <f t="shared" ref="N250:U250" si="126">N251+N253+N258</f>
        <v>#REF!</v>
      </c>
      <c r="O250" s="76" t="e">
        <f t="shared" si="126"/>
        <v>#REF!</v>
      </c>
      <c r="P250" s="76" t="e">
        <f t="shared" si="126"/>
        <v>#REF!</v>
      </c>
      <c r="Q250" s="385" t="e">
        <f t="shared" si="126"/>
        <v>#REF!</v>
      </c>
      <c r="R250" s="135" t="e">
        <f t="shared" si="126"/>
        <v>#REF!</v>
      </c>
      <c r="S250" s="135" t="e">
        <f t="shared" si="126"/>
        <v>#REF!</v>
      </c>
      <c r="T250" s="135" t="e">
        <f t="shared" si="126"/>
        <v>#REF!</v>
      </c>
      <c r="U250" s="356" t="e">
        <f t="shared" si="126"/>
        <v>#REF!</v>
      </c>
      <c r="V250" s="356" t="e">
        <f>V251+V253</f>
        <v>#REF!</v>
      </c>
      <c r="W250" s="356" t="e">
        <f>W251+W253</f>
        <v>#REF!</v>
      </c>
      <c r="X250" s="356" t="e">
        <f>X251+X253</f>
        <v>#REF!</v>
      </c>
      <c r="AD250" s="60"/>
      <c r="AE250" s="60"/>
      <c r="AF250" s="60"/>
      <c r="AG250" s="60"/>
      <c r="AH250" s="60"/>
      <c r="AI250" s="60"/>
      <c r="AJ250" s="60"/>
      <c r="AK250" s="60"/>
      <c r="AL250" s="60"/>
    </row>
    <row r="251" spans="1:38" s="373" customFormat="1" ht="20.25" hidden="1" customHeight="1" x14ac:dyDescent="0.25">
      <c r="A251" s="119"/>
      <c r="B251" s="119"/>
      <c r="C251" s="119"/>
      <c r="D251" s="119" t="str">
        <f>LEFT(E252,3)</f>
        <v>451</v>
      </c>
      <c r="E251" s="119"/>
      <c r="F251" s="368" t="s">
        <v>809</v>
      </c>
      <c r="G251" s="369" t="e">
        <f>G252</f>
        <v>#REF!</v>
      </c>
      <c r="H251" s="370" t="e">
        <f>H252</f>
        <v>#REF!</v>
      </c>
      <c r="I251" s="369" t="e">
        <f>I252</f>
        <v>#REF!</v>
      </c>
      <c r="J251" s="369" t="e">
        <f>J252</f>
        <v>#REF!</v>
      </c>
      <c r="K251" s="369" t="e">
        <f>K252</f>
        <v>#REF!</v>
      </c>
      <c r="L251" s="369" t="e">
        <f t="shared" si="124"/>
        <v>#REF!</v>
      </c>
      <c r="M251" s="369" t="e">
        <f t="shared" si="125"/>
        <v>#REF!</v>
      </c>
      <c r="N251" s="369" t="e">
        <f t="shared" ref="N251:X251" si="127">N252</f>
        <v>#REF!</v>
      </c>
      <c r="O251" s="137" t="e">
        <f t="shared" si="127"/>
        <v>#REF!</v>
      </c>
      <c r="P251" s="137" t="e">
        <f t="shared" si="127"/>
        <v>#REF!</v>
      </c>
      <c r="Q251" s="393" t="e">
        <f t="shared" si="127"/>
        <v>#REF!</v>
      </c>
      <c r="R251" s="137" t="e">
        <f t="shared" si="127"/>
        <v>#REF!</v>
      </c>
      <c r="S251" s="137" t="e">
        <f t="shared" si="127"/>
        <v>#REF!</v>
      </c>
      <c r="T251" s="137" t="e">
        <f t="shared" si="127"/>
        <v>#REF!</v>
      </c>
      <c r="U251" s="371" t="e">
        <f t="shared" si="127"/>
        <v>#REF!</v>
      </c>
      <c r="V251" s="371" t="e">
        <f t="shared" si="127"/>
        <v>#REF!</v>
      </c>
      <c r="W251" s="371" t="e">
        <f t="shared" si="127"/>
        <v>#REF!</v>
      </c>
      <c r="X251" s="371" t="e">
        <f t="shared" si="127"/>
        <v>#REF!</v>
      </c>
      <c r="Y251" s="372"/>
      <c r="Z251" s="372"/>
      <c r="AA251" s="372"/>
      <c r="AB251" s="372"/>
      <c r="AC251" s="372"/>
      <c r="AD251" s="372"/>
      <c r="AE251" s="372"/>
      <c r="AF251" s="372"/>
      <c r="AG251" s="372"/>
      <c r="AH251" s="372"/>
      <c r="AI251" s="372"/>
      <c r="AJ251" s="372"/>
      <c r="AK251" s="372"/>
      <c r="AL251" s="372"/>
    </row>
    <row r="252" spans="1:38" ht="21" hidden="1" customHeight="1" x14ac:dyDescent="0.25">
      <c r="A252" s="80"/>
      <c r="B252" s="80"/>
      <c r="C252" s="80"/>
      <c r="D252" s="80"/>
      <c r="E252" s="80">
        <v>4511</v>
      </c>
      <c r="F252" s="81" t="s">
        <v>809</v>
      </c>
      <c r="G252" s="82" t="e">
        <f>SUMIF(#REF!,funkcijska!E252,#REF!)</f>
        <v>#REF!</v>
      </c>
      <c r="H252" s="82" t="e">
        <f>SUMIF(#REF!,funkcijska!$E252,#REF!)</f>
        <v>#REF!</v>
      </c>
      <c r="I252" s="82" t="e">
        <f>SUMIF(#REF!,funkcijska!$E252,#REF!)</f>
        <v>#REF!</v>
      </c>
      <c r="J252" s="82" t="e">
        <f>SUMIF(#REF!,funkcijska!$E252,#REF!)</f>
        <v>#REF!</v>
      </c>
      <c r="K252" s="82" t="e">
        <f>SUMIF(#REF!,funkcijska!$E252,#REF!)</f>
        <v>#REF!</v>
      </c>
      <c r="L252" s="82" t="e">
        <f t="shared" si="124"/>
        <v>#REF!</v>
      </c>
      <c r="M252" s="82" t="e">
        <f t="shared" si="125"/>
        <v>#REF!</v>
      </c>
      <c r="N252" s="82" t="e">
        <f>SUMIF(#REF!,funkcijska!$E252,#REF!)</f>
        <v>#REF!</v>
      </c>
      <c r="O252" s="82" t="e">
        <f>SUMIF(#REF!,funkcijska!$E252,#REF!)</f>
        <v>#REF!</v>
      </c>
      <c r="P252" s="82" t="e">
        <f>SUMIF(#REF!,funkcijska!$E252,#REF!)</f>
        <v>#REF!</v>
      </c>
      <c r="Q252" s="386" t="e">
        <f>SUMIF(#REF!,funkcijska!$E252,#REF!)</f>
        <v>#REF!</v>
      </c>
      <c r="R252" s="82" t="e">
        <f>SUMIF(#REF!,funkcijska!$E252,#REF!)</f>
        <v>#REF!</v>
      </c>
      <c r="S252" s="82" t="e">
        <f>SUMIF(#REF!,funkcijska!$E252,#REF!)</f>
        <v>#REF!</v>
      </c>
      <c r="T252" s="82" t="e">
        <f>SUMIF(#REF!,funkcijska!$E$115,#REF!)</f>
        <v>#REF!</v>
      </c>
      <c r="U252" s="357" t="e">
        <f>SUMIF(#REF!,funkcijska!$E252,#REF!)</f>
        <v>#REF!</v>
      </c>
      <c r="V252" s="357" t="e">
        <f>SUMIF(#REF!,funkcijska!$E252,#REF!)+SUMIF(#REF!,funkcijska!$E252,#REF!)</f>
        <v>#REF!</v>
      </c>
      <c r="W252" s="357" t="e">
        <f>SUMIF(#REF!,funkcijska!$E252,#REF!)+SUMIF(#REF!,funkcijska!$E252,#REF!)</f>
        <v>#REF!</v>
      </c>
      <c r="X252" s="357" t="e">
        <f>SUMIF(#REF!,funkcijska!$E252,#REF!)+SUMIF(#REF!,funkcijska!$E252,#REF!)</f>
        <v>#REF!</v>
      </c>
      <c r="AD252" s="60"/>
      <c r="AE252" s="60"/>
      <c r="AF252" s="60"/>
      <c r="AG252" s="60"/>
      <c r="AH252" s="60"/>
      <c r="AI252" s="60"/>
      <c r="AJ252" s="60"/>
      <c r="AK252" s="60"/>
      <c r="AL252" s="60"/>
    </row>
    <row r="253" spans="1:38" s="373" customFormat="1" ht="21.75" hidden="1" customHeight="1" x14ac:dyDescent="0.25">
      <c r="A253" s="560"/>
      <c r="B253" s="560"/>
      <c r="C253" s="560"/>
      <c r="D253" s="560">
        <v>452</v>
      </c>
      <c r="E253" s="560"/>
      <c r="F253" s="561" t="s">
        <v>639</v>
      </c>
      <c r="G253" s="562" t="e">
        <f>G254</f>
        <v>#REF!</v>
      </c>
      <c r="H253" s="563" t="e">
        <f>H254</f>
        <v>#REF!</v>
      </c>
      <c r="I253" s="562" t="e">
        <f>I254</f>
        <v>#REF!</v>
      </c>
      <c r="J253" s="562" t="e">
        <f>J254</f>
        <v>#REF!</v>
      </c>
      <c r="K253" s="562" t="e">
        <f>K254</f>
        <v>#REF!</v>
      </c>
      <c r="L253" s="562" t="e">
        <f t="shared" si="124"/>
        <v>#REF!</v>
      </c>
      <c r="M253" s="562" t="e">
        <f t="shared" si="125"/>
        <v>#REF!</v>
      </c>
      <c r="N253" s="562" t="e">
        <f t="shared" ref="N253:X253" si="128">N254</f>
        <v>#REF!</v>
      </c>
      <c r="O253" s="562" t="e">
        <f t="shared" si="128"/>
        <v>#REF!</v>
      </c>
      <c r="P253" s="562" t="e">
        <f t="shared" si="128"/>
        <v>#REF!</v>
      </c>
      <c r="Q253" s="564" t="e">
        <f t="shared" si="128"/>
        <v>#REF!</v>
      </c>
      <c r="R253" s="562" t="e">
        <f t="shared" si="128"/>
        <v>#REF!</v>
      </c>
      <c r="S253" s="562" t="e">
        <f t="shared" si="128"/>
        <v>#REF!</v>
      </c>
      <c r="T253" s="562" t="e">
        <f t="shared" si="128"/>
        <v>#REF!</v>
      </c>
      <c r="U253" s="565" t="e">
        <f t="shared" si="128"/>
        <v>#REF!</v>
      </c>
      <c r="V253" s="565" t="e">
        <f t="shared" si="128"/>
        <v>#REF!</v>
      </c>
      <c r="W253" s="565" t="e">
        <f t="shared" si="128"/>
        <v>#REF!</v>
      </c>
      <c r="X253" s="565" t="e">
        <f t="shared" si="128"/>
        <v>#REF!</v>
      </c>
      <c r="Y253" s="372"/>
      <c r="Z253" s="372"/>
      <c r="AA253" s="372"/>
      <c r="AB253" s="372"/>
      <c r="AC253" s="372"/>
      <c r="AD253" s="372"/>
      <c r="AE253" s="372"/>
      <c r="AF253" s="372"/>
      <c r="AG253" s="372"/>
      <c r="AH253" s="372"/>
      <c r="AI253" s="372"/>
      <c r="AJ253" s="372"/>
      <c r="AK253" s="372"/>
      <c r="AL253" s="372"/>
    </row>
    <row r="254" spans="1:38" s="559" customFormat="1" ht="21" hidden="1" customHeight="1" x14ac:dyDescent="0.25">
      <c r="A254" s="108"/>
      <c r="B254" s="80"/>
      <c r="C254" s="80"/>
      <c r="D254" s="80"/>
      <c r="E254" s="80">
        <v>4521</v>
      </c>
      <c r="F254" s="81" t="s">
        <v>639</v>
      </c>
      <c r="G254" s="82" t="e">
        <f>SUMIF(#REF!,funkcijska!E254,#REF!)</f>
        <v>#REF!</v>
      </c>
      <c r="H254" s="82" t="e">
        <f>SUMIF(#REF!,funkcijska!$E254,#REF!)</f>
        <v>#REF!</v>
      </c>
      <c r="I254" s="82" t="e">
        <f>SUMIF(#REF!,funkcijska!$E254,#REF!)</f>
        <v>#REF!</v>
      </c>
      <c r="J254" s="82" t="e">
        <f>SUMIF(#REF!,funkcijska!$E254,#REF!)</f>
        <v>#REF!</v>
      </c>
      <c r="K254" s="82" t="e">
        <f>SUMIF(#REF!,funkcijska!$E254,#REF!)</f>
        <v>#REF!</v>
      </c>
      <c r="L254" s="82" t="e">
        <f t="shared" si="124"/>
        <v>#REF!</v>
      </c>
      <c r="M254" s="82" t="e">
        <f t="shared" si="125"/>
        <v>#REF!</v>
      </c>
      <c r="N254" s="82" t="e">
        <f>SUMIF(#REF!,funkcijska!$E254,#REF!)</f>
        <v>#REF!</v>
      </c>
      <c r="O254" s="82" t="e">
        <f>SUMIF(#REF!,funkcijska!$E254,#REF!)</f>
        <v>#REF!</v>
      </c>
      <c r="P254" s="82" t="e">
        <f>SUMIF(#REF!,funkcijska!$E254,#REF!)</f>
        <v>#REF!</v>
      </c>
      <c r="Q254" s="386" t="e">
        <f>SUMIF(#REF!,funkcijska!$E254,#REF!)</f>
        <v>#REF!</v>
      </c>
      <c r="R254" s="82" t="e">
        <f>SUMIF(#REF!,funkcijska!$E254,#REF!)</f>
        <v>#REF!</v>
      </c>
      <c r="S254" s="82" t="e">
        <f>SUMIF(#REF!,funkcijska!$E254,#REF!)</f>
        <v>#REF!</v>
      </c>
      <c r="T254" s="82" t="e">
        <f>SUMIF(#REF!,funkcijska!$E$117,#REF!)</f>
        <v>#REF!</v>
      </c>
      <c r="U254" s="357" t="e">
        <f>SUMIF(#REF!,funkcijska!$E254,#REF!)</f>
        <v>#REF!</v>
      </c>
      <c r="V254" s="357" t="e">
        <f>SUMIF(#REF!,funkcijska!$E254,#REF!)+SUMIF(#REF!,funkcijska!$E254,#REF!)</f>
        <v>#REF!</v>
      </c>
      <c r="W254" s="357" t="e">
        <f>SUMIF(#REF!,funkcijska!$E254,#REF!)+SUMIF(#REF!,funkcijska!$E254,#REF!)</f>
        <v>#REF!</v>
      </c>
      <c r="X254" s="357" t="e">
        <f>SUMIF(#REF!,funkcijska!$E254,#REF!)+SUMIF(#REF!,funkcijska!$E254,#REF!)</f>
        <v>#REF!</v>
      </c>
      <c r="Y254" s="268"/>
      <c r="Z254" s="268"/>
      <c r="AA254" s="268"/>
      <c r="AB254" s="268"/>
      <c r="AC254" s="268"/>
      <c r="AD254" s="268"/>
      <c r="AE254" s="268"/>
      <c r="AF254" s="268"/>
      <c r="AG254" s="268"/>
      <c r="AH254" s="268"/>
      <c r="AI254" s="268"/>
      <c r="AJ254" s="268"/>
      <c r="AK254" s="268"/>
      <c r="AL254" s="268"/>
    </row>
    <row r="255" spans="1:38" s="559" customFormat="1" ht="21" customHeight="1" x14ac:dyDescent="0.25">
      <c r="A255" s="108"/>
      <c r="B255" s="108"/>
      <c r="C255" s="108"/>
      <c r="D255" s="108"/>
      <c r="E255" s="108"/>
      <c r="F255" s="109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387"/>
      <c r="R255" s="110"/>
      <c r="S255" s="110"/>
      <c r="T255" s="110"/>
      <c r="U255" s="361"/>
      <c r="V255" s="361"/>
      <c r="W255" s="361"/>
      <c r="X255" s="361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68"/>
      <c r="AL255" s="268"/>
    </row>
    <row r="256" spans="1:38" s="559" customFormat="1" ht="21" customHeight="1" x14ac:dyDescent="0.25">
      <c r="A256" s="108"/>
      <c r="B256" s="108"/>
      <c r="C256" s="108"/>
      <c r="D256" s="108"/>
      <c r="E256" s="108"/>
      <c r="F256" s="109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387"/>
      <c r="R256" s="110"/>
      <c r="S256" s="110"/>
      <c r="T256" s="110"/>
      <c r="U256" s="361"/>
      <c r="V256" s="361"/>
      <c r="W256" s="361"/>
      <c r="X256" s="361"/>
      <c r="Y256" s="268"/>
      <c r="Z256" s="268"/>
      <c r="AA256" s="268"/>
      <c r="AB256" s="268"/>
      <c r="AC256" s="268"/>
      <c r="AD256" s="268"/>
      <c r="AE256" s="268"/>
      <c r="AF256" s="268"/>
      <c r="AG256" s="268"/>
      <c r="AH256" s="268"/>
      <c r="AI256" s="268"/>
      <c r="AJ256" s="268"/>
      <c r="AK256" s="268"/>
      <c r="AL256" s="268"/>
    </row>
    <row r="257" spans="1:38" ht="35.25" customHeight="1" x14ac:dyDescent="0.25">
      <c r="A257" s="133"/>
      <c r="B257" s="80"/>
      <c r="C257" s="80"/>
      <c r="D257" s="80"/>
      <c r="E257" s="80"/>
      <c r="F257" s="537" t="s">
        <v>767</v>
      </c>
      <c r="G257" s="102"/>
      <c r="H257" s="102"/>
      <c r="I257" s="102"/>
      <c r="J257" s="102"/>
      <c r="K257" s="102"/>
      <c r="L257" s="102"/>
      <c r="M257" s="102"/>
      <c r="N257" s="102"/>
      <c r="O257" s="102"/>
      <c r="P257" s="102"/>
      <c r="Q257" s="437"/>
      <c r="R257" s="102"/>
      <c r="S257" s="102"/>
      <c r="T257" s="102"/>
      <c r="U257" s="360"/>
      <c r="V257" s="434" t="e">
        <f>V258+V335</f>
        <v>#REF!</v>
      </c>
      <c r="W257" s="434" t="e">
        <f>W258+W335</f>
        <v>#REF!</v>
      </c>
      <c r="X257" s="434" t="e">
        <f>X258+X335</f>
        <v>#REF!</v>
      </c>
      <c r="AD257" s="60"/>
      <c r="AE257" s="60"/>
      <c r="AF257" s="60"/>
      <c r="AG257" s="60"/>
      <c r="AH257" s="60"/>
      <c r="AI257" s="60"/>
      <c r="AJ257" s="60"/>
      <c r="AK257" s="60"/>
      <c r="AL257" s="60"/>
    </row>
    <row r="258" spans="1:38" x14ac:dyDescent="0.25">
      <c r="A258" s="74"/>
      <c r="B258" s="105" t="str">
        <f>LEFT(E261,1)</f>
        <v>3</v>
      </c>
      <c r="C258" s="105"/>
      <c r="D258" s="105"/>
      <c r="E258" s="105"/>
      <c r="F258" s="72" t="s">
        <v>524</v>
      </c>
      <c r="G258" s="313" t="e">
        <f>G259+G270+G302+G309+G316+G320+G324</f>
        <v>#REF!</v>
      </c>
      <c r="H258" s="73" t="e">
        <f>H259+H270+H302+H309+H316+H320+H324</f>
        <v>#REF!</v>
      </c>
      <c r="I258" s="313" t="e">
        <f>I259+I270+I302+I309+I316+I320+I324</f>
        <v>#REF!</v>
      </c>
      <c r="J258" s="313" t="e">
        <f>J259+J270+J302+J309+J316+J320+J324</f>
        <v>#REF!</v>
      </c>
      <c r="K258" s="313" t="e">
        <f>K259+K270+K302+K309+K316+K320+K324</f>
        <v>#REF!</v>
      </c>
      <c r="L258" s="313" t="e">
        <f>ROUND(K258/J258*100,2)</f>
        <v>#REF!</v>
      </c>
      <c r="M258" s="313" t="e">
        <f>N258-J258</f>
        <v>#REF!</v>
      </c>
      <c r="N258" s="313" t="e">
        <f t="shared" ref="N258:X258" si="129">N259+N270+N302+N309+N316+N320+N324</f>
        <v>#REF!</v>
      </c>
      <c r="O258" s="73" t="e">
        <f t="shared" si="129"/>
        <v>#REF!</v>
      </c>
      <c r="P258" s="73" t="e">
        <f t="shared" si="129"/>
        <v>#REF!</v>
      </c>
      <c r="Q258" s="384" t="e">
        <f t="shared" si="129"/>
        <v>#REF!</v>
      </c>
      <c r="R258" s="76" t="e">
        <f t="shared" si="129"/>
        <v>#REF!</v>
      </c>
      <c r="S258" s="76" t="e">
        <f t="shared" si="129"/>
        <v>#REF!</v>
      </c>
      <c r="T258" s="76" t="e">
        <f t="shared" si="129"/>
        <v>#REF!</v>
      </c>
      <c r="U258" s="355" t="e">
        <f t="shared" si="129"/>
        <v>#REF!</v>
      </c>
      <c r="V258" s="355" t="e">
        <f t="shared" si="129"/>
        <v>#REF!</v>
      </c>
      <c r="W258" s="355" t="e">
        <f t="shared" si="129"/>
        <v>#REF!</v>
      </c>
      <c r="X258" s="355" t="e">
        <f t="shared" si="129"/>
        <v>#REF!</v>
      </c>
      <c r="AD258" s="60"/>
      <c r="AE258" s="60"/>
      <c r="AF258" s="60"/>
      <c r="AG258" s="60"/>
      <c r="AH258" s="60"/>
      <c r="AI258" s="60"/>
      <c r="AJ258" s="60"/>
      <c r="AK258" s="60"/>
      <c r="AL258" s="60"/>
    </row>
    <row r="259" spans="1:38" ht="16.5" customHeight="1" x14ac:dyDescent="0.25">
      <c r="A259" s="125"/>
      <c r="B259" s="74"/>
      <c r="C259" s="74" t="str">
        <f>LEFT(E261,2)</f>
        <v>31</v>
      </c>
      <c r="D259" s="74"/>
      <c r="E259" s="74"/>
      <c r="F259" s="75" t="s">
        <v>197</v>
      </c>
      <c r="G259" s="77" t="e">
        <f>G260+G265+G267</f>
        <v>#REF!</v>
      </c>
      <c r="H259" s="76" t="e">
        <f>H260+H265+H267</f>
        <v>#REF!</v>
      </c>
      <c r="I259" s="77" t="e">
        <f>I260+I265+I267</f>
        <v>#REF!</v>
      </c>
      <c r="J259" s="77" t="e">
        <f>J260+J265+J267</f>
        <v>#REF!</v>
      </c>
      <c r="K259" s="77" t="e">
        <f>K260+K265+K267</f>
        <v>#REF!</v>
      </c>
      <c r="L259" s="77" t="e">
        <f>ROUND(K259/J259*100,2)</f>
        <v>#REF!</v>
      </c>
      <c r="M259" s="77" t="e">
        <f>N259-J259</f>
        <v>#REF!</v>
      </c>
      <c r="N259" s="77" t="e">
        <f t="shared" ref="N259:X259" si="130">N260+N265+N267</f>
        <v>#REF!</v>
      </c>
      <c r="O259" s="76" t="e">
        <f t="shared" si="130"/>
        <v>#REF!</v>
      </c>
      <c r="P259" s="76" t="e">
        <f t="shared" si="130"/>
        <v>#REF!</v>
      </c>
      <c r="Q259" s="385" t="e">
        <f t="shared" si="130"/>
        <v>#REF!</v>
      </c>
      <c r="R259" s="127" t="e">
        <f t="shared" si="130"/>
        <v>#REF!</v>
      </c>
      <c r="S259" s="127" t="e">
        <f t="shared" si="130"/>
        <v>#REF!</v>
      </c>
      <c r="T259" s="127" t="e">
        <f t="shared" si="130"/>
        <v>#REF!</v>
      </c>
      <c r="U259" s="356" t="e">
        <f t="shared" si="130"/>
        <v>#REF!</v>
      </c>
      <c r="V259" s="356" t="e">
        <f t="shared" si="130"/>
        <v>#REF!</v>
      </c>
      <c r="W259" s="356" t="e">
        <f t="shared" si="130"/>
        <v>#REF!</v>
      </c>
      <c r="X259" s="356" t="e">
        <f t="shared" si="130"/>
        <v>#REF!</v>
      </c>
      <c r="AD259" s="128"/>
      <c r="AE259" s="60"/>
      <c r="AF259" s="60"/>
      <c r="AG259" s="60"/>
      <c r="AH259" s="60"/>
      <c r="AI259" s="60"/>
      <c r="AJ259" s="60"/>
      <c r="AK259" s="60"/>
      <c r="AL259" s="60"/>
    </row>
    <row r="260" spans="1:38" ht="18" customHeight="1" x14ac:dyDescent="0.25">
      <c r="A260" s="80"/>
      <c r="B260" s="80"/>
      <c r="C260" s="80"/>
      <c r="D260" s="80" t="str">
        <f>LEFT(E261,3)</f>
        <v>311</v>
      </c>
      <c r="E260" s="80"/>
      <c r="F260" s="81" t="s">
        <v>198</v>
      </c>
      <c r="G260" s="129" t="e">
        <f t="shared" ref="G260:X260" si="131">SUM(G261:G264)</f>
        <v>#REF!</v>
      </c>
      <c r="H260" s="102" t="e">
        <f t="shared" si="131"/>
        <v>#REF!</v>
      </c>
      <c r="I260" s="129" t="e">
        <f t="shared" si="131"/>
        <v>#REF!</v>
      </c>
      <c r="J260" s="129" t="e">
        <f t="shared" si="131"/>
        <v>#REF!</v>
      </c>
      <c r="K260" s="129" t="e">
        <f t="shared" si="131"/>
        <v>#REF!</v>
      </c>
      <c r="L260" s="129" t="e">
        <f t="shared" si="131"/>
        <v>#REF!</v>
      </c>
      <c r="M260" s="129" t="e">
        <f t="shared" si="131"/>
        <v>#REF!</v>
      </c>
      <c r="N260" s="129" t="e">
        <f t="shared" si="131"/>
        <v>#REF!</v>
      </c>
      <c r="O260" s="129" t="e">
        <f t="shared" si="131"/>
        <v>#REF!</v>
      </c>
      <c r="P260" s="129" t="e">
        <f t="shared" si="131"/>
        <v>#REF!</v>
      </c>
      <c r="Q260" s="389" t="e">
        <f t="shared" si="131"/>
        <v>#REF!</v>
      </c>
      <c r="R260" s="129" t="e">
        <f t="shared" si="131"/>
        <v>#REF!</v>
      </c>
      <c r="S260" s="129" t="e">
        <f t="shared" si="131"/>
        <v>#REF!</v>
      </c>
      <c r="T260" s="129" t="e">
        <f t="shared" si="131"/>
        <v>#REF!</v>
      </c>
      <c r="U260" s="363" t="e">
        <f t="shared" si="131"/>
        <v>#REF!</v>
      </c>
      <c r="V260" s="363" t="e">
        <f t="shared" si="131"/>
        <v>#REF!</v>
      </c>
      <c r="W260" s="363" t="e">
        <f t="shared" si="131"/>
        <v>#REF!</v>
      </c>
      <c r="X260" s="363" t="e">
        <f t="shared" si="131"/>
        <v>#REF!</v>
      </c>
      <c r="AD260" s="60"/>
      <c r="AE260" s="60"/>
      <c r="AF260" s="60"/>
      <c r="AG260" s="60"/>
      <c r="AH260" s="60"/>
      <c r="AI260" s="60"/>
      <c r="AJ260" s="60"/>
      <c r="AK260" s="60"/>
      <c r="AL260" s="60"/>
    </row>
    <row r="261" spans="1:38" ht="18" customHeight="1" x14ac:dyDescent="0.25">
      <c r="A261" s="80"/>
      <c r="B261" s="80"/>
      <c r="C261" s="80"/>
      <c r="D261" s="80"/>
      <c r="E261" s="80">
        <v>3111</v>
      </c>
      <c r="F261" s="81" t="s">
        <v>199</v>
      </c>
      <c r="G261" s="82" t="e">
        <f>SUMIF(#REF!,funkcijska!$E261,#REF!)</f>
        <v>#REF!</v>
      </c>
      <c r="H261" s="82" t="e">
        <f>SUMIF(#REF!,funkcijska!$E261,#REF!)</f>
        <v>#REF!</v>
      </c>
      <c r="I261" s="82" t="e">
        <f>SUMIF(#REF!,funkcijska!$E261,#REF!)</f>
        <v>#REF!</v>
      </c>
      <c r="J261" s="82" t="e">
        <f>SUMIF(#REF!,funkcijska!$E261,#REF!)</f>
        <v>#REF!</v>
      </c>
      <c r="K261" s="82" t="e">
        <f>SUMIF(#REF!,funkcijska!$E261,#REF!)</f>
        <v>#REF!</v>
      </c>
      <c r="L261" s="82" t="e">
        <f t="shared" ref="L261:L266" si="132">ROUND(K261/J261*100,2)</f>
        <v>#REF!</v>
      </c>
      <c r="M261" s="82" t="e">
        <f t="shared" ref="M261:M266" si="133">N261-J261</f>
        <v>#REF!</v>
      </c>
      <c r="N261" s="82" t="e">
        <f>SUMIF(#REF!,funkcijska!$E261,#REF!)</f>
        <v>#REF!</v>
      </c>
      <c r="O261" s="82" t="e">
        <f>SUMIF(#REF!,funkcijska!$E261,#REF!)</f>
        <v>#REF!</v>
      </c>
      <c r="P261" s="82" t="e">
        <f>SUMIF(#REF!,funkcijska!$E261,#REF!)</f>
        <v>#REF!</v>
      </c>
      <c r="Q261" s="386" t="e">
        <f>SUMIF(#REF!,funkcijska!$E261,#REF!)</f>
        <v>#REF!</v>
      </c>
      <c r="R261" s="82" t="e">
        <f>SUMIF(#REF!,funkcijska!$E261,#REF!)</f>
        <v>#REF!</v>
      </c>
      <c r="S261" s="82" t="e">
        <f>SUMIF(#REF!,funkcijska!$E261,#REF!)</f>
        <v>#REF!</v>
      </c>
      <c r="T261" s="82" t="e">
        <f>SUMIF(#REF!,funkcijska!$E$12,#REF!)</f>
        <v>#REF!</v>
      </c>
      <c r="U261" s="357" t="e">
        <f>SUMIF(#REF!,funkcijska!$E261,#REF!)</f>
        <v>#REF!</v>
      </c>
      <c r="V261" s="357" t="e">
        <f>SUMIF(#REF!,funkcijska!$E261,#REF!)</f>
        <v>#REF!</v>
      </c>
      <c r="W261" s="357" t="e">
        <f>SUMIF(#REF!,funkcijska!$E261,#REF!)</f>
        <v>#REF!</v>
      </c>
      <c r="X261" s="357" t="e">
        <f>SUMIF(#REF!,funkcijska!$E261,#REF!)</f>
        <v>#REF!</v>
      </c>
      <c r="AD261" s="60"/>
      <c r="AE261" s="60"/>
      <c r="AF261" s="60"/>
      <c r="AG261" s="60"/>
      <c r="AH261" s="60"/>
      <c r="AI261" s="60"/>
      <c r="AJ261" s="60"/>
      <c r="AK261" s="60"/>
      <c r="AL261" s="60"/>
    </row>
    <row r="262" spans="1:38" hidden="1" x14ac:dyDescent="0.25">
      <c r="A262" s="80"/>
      <c r="B262" s="80"/>
      <c r="C262" s="80"/>
      <c r="D262" s="80"/>
      <c r="E262" s="80">
        <v>3112</v>
      </c>
      <c r="F262" s="81" t="s">
        <v>219</v>
      </c>
      <c r="G262" s="82" t="e">
        <f>SUMIF(#REF!,funkcijska!$E262,#REF!)</f>
        <v>#REF!</v>
      </c>
      <c r="H262" s="82" t="e">
        <f>SUMIF(#REF!,funkcijska!$E262,#REF!)</f>
        <v>#REF!</v>
      </c>
      <c r="I262" s="82" t="e">
        <f>SUMIF(#REF!,funkcijska!$E262,#REF!)</f>
        <v>#REF!</v>
      </c>
      <c r="J262" s="82" t="e">
        <f>SUMIF(#REF!,funkcijska!$E262,#REF!)</f>
        <v>#REF!</v>
      </c>
      <c r="K262" s="82" t="e">
        <f>SUMIF(#REF!,funkcijska!$E262,#REF!)</f>
        <v>#REF!</v>
      </c>
      <c r="L262" s="82" t="e">
        <f t="shared" si="132"/>
        <v>#REF!</v>
      </c>
      <c r="M262" s="82" t="e">
        <f t="shared" si="133"/>
        <v>#REF!</v>
      </c>
      <c r="N262" s="82" t="e">
        <f>SUMIF(#REF!,funkcijska!$E262,#REF!)</f>
        <v>#REF!</v>
      </c>
      <c r="O262" s="82" t="e">
        <f>SUMIF(#REF!,funkcijska!$E262,#REF!)</f>
        <v>#REF!</v>
      </c>
      <c r="P262" s="82" t="e">
        <f>SUMIF(#REF!,funkcijska!$E262,#REF!)</f>
        <v>#REF!</v>
      </c>
      <c r="Q262" s="386" t="e">
        <f>SUMIF(#REF!,funkcijska!$E262,#REF!)</f>
        <v>#REF!</v>
      </c>
      <c r="R262" s="82" t="e">
        <f>SUMIF(#REF!,funkcijska!$E262,#REF!)</f>
        <v>#REF!</v>
      </c>
      <c r="S262" s="82" t="e">
        <f>SUMIF(#REF!,funkcijska!$E262,#REF!)</f>
        <v>#REF!</v>
      </c>
      <c r="T262" s="82" t="e">
        <f>SUMIF(#REF!,funkcijska!$E$13,#REF!)</f>
        <v>#REF!</v>
      </c>
      <c r="U262" s="357" t="e">
        <f>SUMIF(#REF!,funkcijska!$E262,#REF!)</f>
        <v>#REF!</v>
      </c>
      <c r="V262" s="357" t="e">
        <f>SUMIF(#REF!,funkcijska!$E262,#REF!)</f>
        <v>#REF!</v>
      </c>
      <c r="W262" s="357" t="e">
        <f>SUMIF(#REF!,funkcijska!$E262,#REF!)</f>
        <v>#REF!</v>
      </c>
      <c r="X262" s="357" t="e">
        <f>SUMIF(#REF!,funkcijska!$E262,#REF!)</f>
        <v>#REF!</v>
      </c>
      <c r="AD262" s="60"/>
      <c r="AE262" s="60"/>
      <c r="AF262" s="60"/>
      <c r="AG262" s="60"/>
      <c r="AH262" s="60"/>
      <c r="AI262" s="60"/>
      <c r="AJ262" s="60"/>
      <c r="AK262" s="60"/>
      <c r="AL262" s="60"/>
    </row>
    <row r="263" spans="1:38" hidden="1" x14ac:dyDescent="0.25">
      <c r="A263" s="80"/>
      <c r="B263" s="80"/>
      <c r="C263" s="80"/>
      <c r="D263" s="80"/>
      <c r="E263" s="80">
        <v>3113</v>
      </c>
      <c r="F263" s="81" t="s">
        <v>476</v>
      </c>
      <c r="G263" s="82" t="e">
        <f>SUMIF(#REF!,funkcijska!$E263,#REF!)</f>
        <v>#REF!</v>
      </c>
      <c r="H263" s="82" t="e">
        <f>SUMIF(#REF!,funkcijska!$E263,#REF!)</f>
        <v>#REF!</v>
      </c>
      <c r="I263" s="82" t="e">
        <f>SUMIF(#REF!,funkcijska!$E263,#REF!)</f>
        <v>#REF!</v>
      </c>
      <c r="J263" s="82" t="e">
        <f>SUMIF(#REF!,funkcijska!$E263,#REF!)</f>
        <v>#REF!</v>
      </c>
      <c r="K263" s="82" t="e">
        <f>SUMIF(#REF!,funkcijska!$E263,#REF!)</f>
        <v>#REF!</v>
      </c>
      <c r="L263" s="82" t="e">
        <f t="shared" si="132"/>
        <v>#REF!</v>
      </c>
      <c r="M263" s="82" t="e">
        <f t="shared" si="133"/>
        <v>#REF!</v>
      </c>
      <c r="N263" s="82" t="e">
        <f>SUMIF(#REF!,funkcijska!$E263,#REF!)</f>
        <v>#REF!</v>
      </c>
      <c r="O263" s="82" t="e">
        <f>SUMIF(#REF!,funkcijska!$E263,#REF!)</f>
        <v>#REF!</v>
      </c>
      <c r="P263" s="82" t="e">
        <f>SUMIF(#REF!,funkcijska!$E263,#REF!)</f>
        <v>#REF!</v>
      </c>
      <c r="Q263" s="386" t="e">
        <f>SUMIF(#REF!,funkcijska!$E263,#REF!)</f>
        <v>#REF!</v>
      </c>
      <c r="R263" s="82" t="e">
        <f>SUMIF(#REF!,funkcijska!$E263,#REF!)</f>
        <v>#REF!</v>
      </c>
      <c r="S263" s="82" t="e">
        <f>SUMIF(#REF!,funkcijska!$E263,#REF!)</f>
        <v>#REF!</v>
      </c>
      <c r="T263" s="82" t="e">
        <f>SUMIF(#REF!,funkcijska!$E$14,#REF!)</f>
        <v>#REF!</v>
      </c>
      <c r="U263" s="357" t="e">
        <f>SUMIF(#REF!,funkcijska!$E263,#REF!)</f>
        <v>#REF!</v>
      </c>
      <c r="V263" s="357" t="e">
        <f>SUMIF(#REF!,funkcijska!$E263,#REF!)</f>
        <v>#REF!</v>
      </c>
      <c r="W263" s="357" t="e">
        <f>SUMIF(#REF!,funkcijska!$E263,#REF!)</f>
        <v>#REF!</v>
      </c>
      <c r="X263" s="357" t="e">
        <f>SUMIF(#REF!,funkcijska!$E263,#REF!)</f>
        <v>#REF!</v>
      </c>
      <c r="AD263" s="60"/>
      <c r="AE263" s="60"/>
      <c r="AF263" s="60"/>
      <c r="AG263" s="60"/>
      <c r="AH263" s="60"/>
      <c r="AI263" s="60"/>
      <c r="AJ263" s="60"/>
      <c r="AK263" s="60"/>
      <c r="AL263" s="60"/>
    </row>
    <row r="264" spans="1:38" hidden="1" x14ac:dyDescent="0.25">
      <c r="A264" s="80"/>
      <c r="B264" s="80"/>
      <c r="C264" s="80"/>
      <c r="D264" s="80"/>
      <c r="E264" s="80">
        <v>3114</v>
      </c>
      <c r="F264" s="81" t="s">
        <v>643</v>
      </c>
      <c r="G264" s="82" t="e">
        <f>SUMIF(#REF!,funkcijska!$E264,#REF!)</f>
        <v>#REF!</v>
      </c>
      <c r="H264" s="82" t="e">
        <f>SUMIF(#REF!,funkcijska!$E264,#REF!)</f>
        <v>#REF!</v>
      </c>
      <c r="I264" s="82" t="e">
        <f>SUMIF(#REF!,funkcijska!$E264,#REF!)</f>
        <v>#REF!</v>
      </c>
      <c r="J264" s="82" t="e">
        <f>SUMIF(#REF!,funkcijska!$E264,#REF!)</f>
        <v>#REF!</v>
      </c>
      <c r="K264" s="82" t="e">
        <f>SUMIF(#REF!,funkcijska!$E264,#REF!)</f>
        <v>#REF!</v>
      </c>
      <c r="L264" s="82" t="e">
        <f t="shared" si="132"/>
        <v>#REF!</v>
      </c>
      <c r="M264" s="82" t="e">
        <f t="shared" si="133"/>
        <v>#REF!</v>
      </c>
      <c r="N264" s="82" t="e">
        <f>SUMIF(#REF!,funkcijska!$E264,#REF!)</f>
        <v>#REF!</v>
      </c>
      <c r="O264" s="82" t="e">
        <f>SUMIF(#REF!,funkcijska!$E264,#REF!)</f>
        <v>#REF!</v>
      </c>
      <c r="P264" s="82" t="e">
        <f>SUMIF(#REF!,funkcijska!$E264,#REF!)</f>
        <v>#REF!</v>
      </c>
      <c r="Q264" s="386" t="e">
        <f>SUMIF(#REF!,funkcijska!$E264,#REF!)</f>
        <v>#REF!</v>
      </c>
      <c r="R264" s="82" t="e">
        <f>SUMIF(#REF!,funkcijska!$E264,#REF!)</f>
        <v>#REF!</v>
      </c>
      <c r="S264" s="82" t="e">
        <f>SUMIF(#REF!,funkcijska!$E264,#REF!)</f>
        <v>#REF!</v>
      </c>
      <c r="T264" s="82" t="e">
        <f>SUMIF(#REF!,funkcijska!$E$15,#REF!)</f>
        <v>#REF!</v>
      </c>
      <c r="U264" s="357" t="e">
        <f>SUMIF(#REF!,funkcijska!$E264,#REF!)</f>
        <v>#REF!</v>
      </c>
      <c r="V264" s="357" t="e">
        <f>SUMIF(#REF!,funkcijska!$E264,#REF!)</f>
        <v>#REF!</v>
      </c>
      <c r="W264" s="357" t="e">
        <f>SUMIF(#REF!,funkcijska!$E264,#REF!)</f>
        <v>#REF!</v>
      </c>
      <c r="X264" s="357" t="e">
        <f>SUMIF(#REF!,funkcijska!$E264,#REF!)</f>
        <v>#REF!</v>
      </c>
      <c r="AD264" s="60"/>
      <c r="AE264" s="60"/>
      <c r="AF264" s="60"/>
      <c r="AG264" s="60"/>
      <c r="AH264" s="60"/>
      <c r="AI264" s="60"/>
      <c r="AJ264" s="60"/>
      <c r="AK264" s="60"/>
      <c r="AL264" s="60"/>
    </row>
    <row r="265" spans="1:38" ht="17.25" customHeight="1" x14ac:dyDescent="0.25">
      <c r="A265" s="80"/>
      <c r="B265" s="80"/>
      <c r="C265" s="80"/>
      <c r="D265" s="80" t="str">
        <f>LEFT(E266,3)</f>
        <v>312</v>
      </c>
      <c r="E265" s="80"/>
      <c r="F265" s="81" t="s">
        <v>200</v>
      </c>
      <c r="G265" s="84" t="e">
        <f>G266</f>
        <v>#REF!</v>
      </c>
      <c r="H265" s="82" t="e">
        <f>SUMIF(#REF!,funkcijska!$E265,#REF!)</f>
        <v>#REF!</v>
      </c>
      <c r="I265" s="84" t="e">
        <f>I266</f>
        <v>#REF!</v>
      </c>
      <c r="J265" s="84" t="e">
        <f>J266</f>
        <v>#REF!</v>
      </c>
      <c r="K265" s="84" t="e">
        <f>K266</f>
        <v>#REF!</v>
      </c>
      <c r="L265" s="84" t="e">
        <f t="shared" si="132"/>
        <v>#REF!</v>
      </c>
      <c r="M265" s="84" t="e">
        <f t="shared" si="133"/>
        <v>#REF!</v>
      </c>
      <c r="N265" s="84" t="e">
        <f t="shared" ref="N265:X265" si="134">N266</f>
        <v>#REF!</v>
      </c>
      <c r="O265" s="84" t="e">
        <f t="shared" si="134"/>
        <v>#REF!</v>
      </c>
      <c r="P265" s="84" t="e">
        <f t="shared" si="134"/>
        <v>#REF!</v>
      </c>
      <c r="Q265" s="390" t="e">
        <f t="shared" si="134"/>
        <v>#REF!</v>
      </c>
      <c r="R265" s="84" t="e">
        <f t="shared" si="134"/>
        <v>#REF!</v>
      </c>
      <c r="S265" s="84" t="e">
        <f t="shared" si="134"/>
        <v>#REF!</v>
      </c>
      <c r="T265" s="84" t="e">
        <f t="shared" si="134"/>
        <v>#REF!</v>
      </c>
      <c r="U265" s="357" t="e">
        <f t="shared" si="134"/>
        <v>#REF!</v>
      </c>
      <c r="V265" s="357" t="e">
        <f t="shared" si="134"/>
        <v>#REF!</v>
      </c>
      <c r="W265" s="357" t="e">
        <f t="shared" si="134"/>
        <v>#REF!</v>
      </c>
      <c r="X265" s="357" t="e">
        <f t="shared" si="134"/>
        <v>#REF!</v>
      </c>
      <c r="AD265" s="60"/>
      <c r="AE265" s="60"/>
      <c r="AF265" s="60"/>
      <c r="AG265" s="60"/>
      <c r="AH265" s="60"/>
      <c r="AI265" s="60"/>
      <c r="AJ265" s="60"/>
      <c r="AK265" s="60"/>
      <c r="AL265" s="60"/>
    </row>
    <row r="266" spans="1:38" x14ac:dyDescent="0.25">
      <c r="A266" s="80"/>
      <c r="B266" s="80"/>
      <c r="C266" s="80"/>
      <c r="D266" s="80"/>
      <c r="E266" s="80">
        <v>3121</v>
      </c>
      <c r="F266" s="81" t="s">
        <v>200</v>
      </c>
      <c r="G266" s="82" t="e">
        <f>SUMIF(#REF!,funkcijska!$E266,#REF!)</f>
        <v>#REF!</v>
      </c>
      <c r="H266" s="82" t="e">
        <f>SUMIF(#REF!,funkcijska!$E266,#REF!)</f>
        <v>#REF!</v>
      </c>
      <c r="I266" s="82" t="e">
        <f>SUMIF(#REF!,funkcijska!$E266,#REF!)</f>
        <v>#REF!</v>
      </c>
      <c r="J266" s="82" t="e">
        <f>SUMIF(#REF!,funkcijska!$E266,#REF!)</f>
        <v>#REF!</v>
      </c>
      <c r="K266" s="82" t="e">
        <f>SUMIF(#REF!,funkcijska!$E266,#REF!)</f>
        <v>#REF!</v>
      </c>
      <c r="L266" s="82" t="e">
        <f t="shared" si="132"/>
        <v>#REF!</v>
      </c>
      <c r="M266" s="82" t="e">
        <f t="shared" si="133"/>
        <v>#REF!</v>
      </c>
      <c r="N266" s="82" t="e">
        <f>SUMIF(#REF!,funkcijska!$E266,#REF!)</f>
        <v>#REF!</v>
      </c>
      <c r="O266" s="82" t="e">
        <f>SUMIF(#REF!,funkcijska!$E266,#REF!)</f>
        <v>#REF!</v>
      </c>
      <c r="P266" s="82" t="e">
        <f>SUMIF(#REF!,funkcijska!$E266,#REF!)</f>
        <v>#REF!</v>
      </c>
      <c r="Q266" s="386" t="e">
        <f>SUMIF(#REF!,funkcijska!$E266,#REF!)</f>
        <v>#REF!</v>
      </c>
      <c r="R266" s="82" t="e">
        <f>SUMIF(#REF!,funkcijska!$E266,#REF!)</f>
        <v>#REF!</v>
      </c>
      <c r="S266" s="82" t="e">
        <f>SUMIF(#REF!,funkcijska!$E266,#REF!)</f>
        <v>#REF!</v>
      </c>
      <c r="T266" s="82" t="e">
        <f>SUMIF(#REF!,funkcijska!$E$17,#REF!)</f>
        <v>#REF!</v>
      </c>
      <c r="U266" s="357" t="e">
        <f>SUMIF(#REF!,funkcijska!$E266,#REF!)</f>
        <v>#REF!</v>
      </c>
      <c r="V266" s="357" t="e">
        <f>SUMIF(#REF!,funkcijska!$E266,#REF!)</f>
        <v>#REF!</v>
      </c>
      <c r="W266" s="357" t="e">
        <f>SUMIF(#REF!,funkcijska!$E266,#REF!)</f>
        <v>#REF!</v>
      </c>
      <c r="X266" s="357" t="e">
        <f>SUMIF(#REF!,funkcijska!$E266,#REF!)</f>
        <v>#REF!</v>
      </c>
      <c r="AD266" s="60"/>
      <c r="AE266" s="60"/>
      <c r="AF266" s="60"/>
      <c r="AG266" s="60"/>
      <c r="AH266" s="60"/>
      <c r="AI266" s="60"/>
      <c r="AJ266" s="60"/>
      <c r="AK266" s="60"/>
      <c r="AL266" s="60"/>
    </row>
    <row r="267" spans="1:38" ht="17.25" customHeight="1" x14ac:dyDescent="0.25">
      <c r="A267" s="80"/>
      <c r="B267" s="80"/>
      <c r="C267" s="80"/>
      <c r="D267" s="80" t="str">
        <f>LEFT(E268,3)</f>
        <v>313</v>
      </c>
      <c r="E267" s="80"/>
      <c r="F267" s="81" t="s">
        <v>201</v>
      </c>
      <c r="G267" s="84" t="e">
        <f>SUM(G268:G269)</f>
        <v>#REF!</v>
      </c>
      <c r="H267" s="82" t="e">
        <f>SUMIF(#REF!,funkcijska!$E267,#REF!)</f>
        <v>#REF!</v>
      </c>
      <c r="I267" s="84" t="e">
        <f t="shared" ref="I267:X267" si="135">SUM(I268:I269)</f>
        <v>#REF!</v>
      </c>
      <c r="J267" s="84" t="e">
        <f t="shared" si="135"/>
        <v>#REF!</v>
      </c>
      <c r="K267" s="84" t="e">
        <f t="shared" si="135"/>
        <v>#REF!</v>
      </c>
      <c r="L267" s="84" t="e">
        <f t="shared" si="135"/>
        <v>#REF!</v>
      </c>
      <c r="M267" s="84" t="e">
        <f t="shared" si="135"/>
        <v>#REF!</v>
      </c>
      <c r="N267" s="84" t="e">
        <f t="shared" si="135"/>
        <v>#REF!</v>
      </c>
      <c r="O267" s="84" t="e">
        <f t="shared" si="135"/>
        <v>#REF!</v>
      </c>
      <c r="P267" s="84" t="e">
        <f t="shared" si="135"/>
        <v>#REF!</v>
      </c>
      <c r="Q267" s="390" t="e">
        <f t="shared" si="135"/>
        <v>#REF!</v>
      </c>
      <c r="R267" s="84" t="e">
        <f t="shared" si="135"/>
        <v>#REF!</v>
      </c>
      <c r="S267" s="84" t="e">
        <f t="shared" si="135"/>
        <v>#REF!</v>
      </c>
      <c r="T267" s="84" t="e">
        <f t="shared" si="135"/>
        <v>#REF!</v>
      </c>
      <c r="U267" s="357" t="e">
        <f t="shared" si="135"/>
        <v>#REF!</v>
      </c>
      <c r="V267" s="357" t="e">
        <f t="shared" si="135"/>
        <v>#REF!</v>
      </c>
      <c r="W267" s="357" t="e">
        <f t="shared" si="135"/>
        <v>#REF!</v>
      </c>
      <c r="X267" s="357" t="e">
        <f t="shared" si="135"/>
        <v>#REF!</v>
      </c>
      <c r="AD267" s="60"/>
      <c r="AE267" s="60"/>
      <c r="AF267" s="60"/>
      <c r="AG267" s="60"/>
      <c r="AH267" s="60"/>
      <c r="AI267" s="60"/>
      <c r="AJ267" s="60"/>
      <c r="AK267" s="60"/>
      <c r="AL267" s="60"/>
    </row>
    <row r="268" spans="1:38" x14ac:dyDescent="0.25">
      <c r="A268" s="80"/>
      <c r="B268" s="80"/>
      <c r="C268" s="80"/>
      <c r="D268" s="80"/>
      <c r="E268" s="80">
        <v>3132</v>
      </c>
      <c r="F268" s="81" t="s">
        <v>202</v>
      </c>
      <c r="G268" s="82" t="e">
        <f>SUMIF(#REF!,funkcijska!$E268,#REF!)</f>
        <v>#REF!</v>
      </c>
      <c r="H268" s="82" t="e">
        <f>SUMIF(#REF!,funkcijska!$E268,#REF!)</f>
        <v>#REF!</v>
      </c>
      <c r="I268" s="82" t="e">
        <f>SUMIF(#REF!,funkcijska!$E268,#REF!)</f>
        <v>#REF!</v>
      </c>
      <c r="J268" s="82" t="e">
        <f>SUMIF(#REF!,funkcijska!$E268,#REF!)</f>
        <v>#REF!</v>
      </c>
      <c r="K268" s="82" t="e">
        <f>SUMIF(#REF!,funkcijska!$E268,#REF!)</f>
        <v>#REF!</v>
      </c>
      <c r="L268" s="82" t="e">
        <f>ROUND(K268/J268*100,2)</f>
        <v>#REF!</v>
      </c>
      <c r="M268" s="82" t="e">
        <f>N268-J268</f>
        <v>#REF!</v>
      </c>
      <c r="N268" s="82" t="e">
        <f>SUMIF(#REF!,funkcijska!$E268,#REF!)</f>
        <v>#REF!</v>
      </c>
      <c r="O268" s="82" t="e">
        <f>SUMIF(#REF!,funkcijska!$E268,#REF!)</f>
        <v>#REF!</v>
      </c>
      <c r="P268" s="82" t="e">
        <f>SUMIF(#REF!,funkcijska!$E268,#REF!)</f>
        <v>#REF!</v>
      </c>
      <c r="Q268" s="386" t="e">
        <f>SUMIF(#REF!,funkcijska!$E268,#REF!)</f>
        <v>#REF!</v>
      </c>
      <c r="R268" s="82" t="e">
        <f>SUMIF(#REF!,funkcijska!$E268,#REF!)</f>
        <v>#REF!</v>
      </c>
      <c r="S268" s="82" t="e">
        <f>SUMIF(#REF!,funkcijska!$E268,#REF!)</f>
        <v>#REF!</v>
      </c>
      <c r="T268" s="82" t="e">
        <f>SUMIF(#REF!,funkcijska!$E$19,#REF!)</f>
        <v>#REF!</v>
      </c>
      <c r="U268" s="357" t="e">
        <f>SUMIF(#REF!,funkcijska!$E268,#REF!)</f>
        <v>#REF!</v>
      </c>
      <c r="V268" s="357" t="e">
        <f>SUMIF(#REF!,funkcijska!$E268,#REF!)</f>
        <v>#REF!</v>
      </c>
      <c r="W268" s="357" t="e">
        <f>SUMIF(#REF!,funkcijska!$E268,#REF!)</f>
        <v>#REF!</v>
      </c>
      <c r="X268" s="357" t="e">
        <f>SUMIF(#REF!,funkcijska!$E268,#REF!)</f>
        <v>#REF!</v>
      </c>
      <c r="AD268" s="60"/>
      <c r="AE268" s="60"/>
      <c r="AF268" s="60"/>
      <c r="AG268" s="60"/>
      <c r="AH268" s="60"/>
      <c r="AI268" s="60"/>
      <c r="AJ268" s="60"/>
      <c r="AK268" s="60"/>
      <c r="AL268" s="60"/>
    </row>
    <row r="269" spans="1:38" ht="36" x14ac:dyDescent="0.25">
      <c r="A269" s="80"/>
      <c r="B269" s="80"/>
      <c r="C269" s="80"/>
      <c r="D269" s="80"/>
      <c r="E269" s="80">
        <v>3133</v>
      </c>
      <c r="F269" s="81" t="s">
        <v>203</v>
      </c>
      <c r="G269" s="82" t="e">
        <f>SUMIF(#REF!,funkcijska!$E269,#REF!)</f>
        <v>#REF!</v>
      </c>
      <c r="H269" s="82" t="e">
        <f>SUMIF(#REF!,funkcijska!$E269,#REF!)</f>
        <v>#REF!</v>
      </c>
      <c r="I269" s="82" t="e">
        <f>SUMIF(#REF!,funkcijska!$E269,#REF!)</f>
        <v>#REF!</v>
      </c>
      <c r="J269" s="82" t="e">
        <f>SUMIF(#REF!,funkcijska!$E269,#REF!)</f>
        <v>#REF!</v>
      </c>
      <c r="K269" s="82" t="e">
        <f>SUMIF(#REF!,funkcijska!$E269,#REF!)</f>
        <v>#REF!</v>
      </c>
      <c r="L269" s="82" t="e">
        <f>ROUND(K269/J269*100,2)</f>
        <v>#REF!</v>
      </c>
      <c r="M269" s="82" t="e">
        <f>N269-J269</f>
        <v>#REF!</v>
      </c>
      <c r="N269" s="82" t="e">
        <f>SUMIF(#REF!,funkcijska!$E269,#REF!)</f>
        <v>#REF!</v>
      </c>
      <c r="O269" s="82" t="e">
        <f>SUMIF(#REF!,funkcijska!$E269,#REF!)</f>
        <v>#REF!</v>
      </c>
      <c r="P269" s="82" t="e">
        <f>SUMIF(#REF!,funkcijska!$E269,#REF!)</f>
        <v>#REF!</v>
      </c>
      <c r="Q269" s="386" t="e">
        <f>SUMIF(#REF!,funkcijska!$E269,#REF!)</f>
        <v>#REF!</v>
      </c>
      <c r="R269" s="82" t="e">
        <f>SUMIF(#REF!,funkcijska!$E269,#REF!)</f>
        <v>#REF!</v>
      </c>
      <c r="S269" s="82" t="e">
        <f>SUMIF(#REF!,funkcijska!$E269,#REF!)</f>
        <v>#REF!</v>
      </c>
      <c r="T269" s="82" t="e">
        <f>SUMIF(#REF!,funkcijska!$E$20,#REF!)</f>
        <v>#REF!</v>
      </c>
      <c r="U269" s="357" t="e">
        <f>SUMIF(#REF!,funkcijska!$E269,#REF!)</f>
        <v>#REF!</v>
      </c>
      <c r="V269" s="357" t="e">
        <f>SUMIF(#REF!,funkcijska!$E269,#REF!)</f>
        <v>#REF!</v>
      </c>
      <c r="W269" s="357" t="e">
        <f>SUMIF(#REF!,funkcijska!$E269,#REF!)</f>
        <v>#REF!</v>
      </c>
      <c r="X269" s="357" t="e">
        <f>SUMIF(#REF!,funkcijska!$E269,#REF!)</f>
        <v>#REF!</v>
      </c>
      <c r="AD269" s="60"/>
      <c r="AE269" s="60"/>
      <c r="AF269" s="60"/>
      <c r="AG269" s="60"/>
      <c r="AH269" s="60"/>
      <c r="AI269" s="60"/>
      <c r="AJ269" s="60"/>
      <c r="AK269" s="60"/>
      <c r="AL269" s="60"/>
    </row>
    <row r="270" spans="1:38" ht="18.75" customHeight="1" x14ac:dyDescent="0.25">
      <c r="A270" s="125"/>
      <c r="B270" s="74"/>
      <c r="C270" s="74" t="str">
        <f>LEFT(E272,2)</f>
        <v>32</v>
      </c>
      <c r="D270" s="74"/>
      <c r="E270" s="74"/>
      <c r="F270" s="75" t="s">
        <v>525</v>
      </c>
      <c r="G270" s="310" t="e">
        <f>G271+G276+G283+G295</f>
        <v>#REF!</v>
      </c>
      <c r="H270" s="118" t="e">
        <f>H271+H276+H283+H295</f>
        <v>#REF!</v>
      </c>
      <c r="I270" s="310" t="e">
        <f>I271+I276+I283+I295</f>
        <v>#REF!</v>
      </c>
      <c r="J270" s="310" t="e">
        <f>J271+J276+J283+J293+J295</f>
        <v>#REF!</v>
      </c>
      <c r="K270" s="310" t="e">
        <f>K271+K276+K283+K293+K295</f>
        <v>#REF!</v>
      </c>
      <c r="L270" s="310" t="e">
        <f>ROUND(K270/J270*100,2)</f>
        <v>#REF!</v>
      </c>
      <c r="M270" s="310" t="e">
        <f>N270-J270</f>
        <v>#REF!</v>
      </c>
      <c r="N270" s="310" t="e">
        <f t="shared" ref="N270:X270" si="136">N271+N276+N283+N293+N295</f>
        <v>#REF!</v>
      </c>
      <c r="O270" s="310" t="e">
        <f t="shared" si="136"/>
        <v>#REF!</v>
      </c>
      <c r="P270" s="310" t="e">
        <f t="shared" si="136"/>
        <v>#REF!</v>
      </c>
      <c r="Q270" s="391" t="e">
        <f t="shared" si="136"/>
        <v>#REF!</v>
      </c>
      <c r="R270" s="130" t="e">
        <f t="shared" si="136"/>
        <v>#REF!</v>
      </c>
      <c r="S270" s="130" t="e">
        <f t="shared" si="136"/>
        <v>#REF!</v>
      </c>
      <c r="T270" s="130" t="e">
        <f t="shared" si="136"/>
        <v>#REF!</v>
      </c>
      <c r="U270" s="364" t="e">
        <f t="shared" si="136"/>
        <v>#REF!</v>
      </c>
      <c r="V270" s="364" t="e">
        <f t="shared" si="136"/>
        <v>#REF!</v>
      </c>
      <c r="W270" s="364" t="e">
        <f t="shared" si="136"/>
        <v>#REF!</v>
      </c>
      <c r="X270" s="364" t="e">
        <f t="shared" si="136"/>
        <v>#REF!</v>
      </c>
      <c r="AD270" s="60"/>
      <c r="AE270" s="60"/>
      <c r="AF270" s="60"/>
      <c r="AG270" s="60"/>
      <c r="AH270" s="60"/>
      <c r="AI270" s="60"/>
      <c r="AJ270" s="60"/>
      <c r="AK270" s="60"/>
      <c r="AL270" s="60"/>
    </row>
    <row r="271" spans="1:38" s="373" customFormat="1" ht="16.5" customHeight="1" x14ac:dyDescent="0.25">
      <c r="A271" s="119"/>
      <c r="B271" s="119"/>
      <c r="C271" s="119"/>
      <c r="D271" s="119" t="str">
        <f>LEFT(E272,3)</f>
        <v>321</v>
      </c>
      <c r="E271" s="119"/>
      <c r="F271" s="368" t="s">
        <v>564</v>
      </c>
      <c r="G271" s="369" t="e">
        <f>SUM(G272:G274)</f>
        <v>#REF!</v>
      </c>
      <c r="H271" s="370" t="e">
        <f>SUM(H272:H274)</f>
        <v>#REF!</v>
      </c>
      <c r="I271" s="369" t="e">
        <f t="shared" ref="I271:X271" si="137">SUM(I272:I275)</f>
        <v>#REF!</v>
      </c>
      <c r="J271" s="369" t="e">
        <f t="shared" si="137"/>
        <v>#REF!</v>
      </c>
      <c r="K271" s="369" t="e">
        <f t="shared" si="137"/>
        <v>#REF!</v>
      </c>
      <c r="L271" s="369" t="e">
        <f t="shared" si="137"/>
        <v>#REF!</v>
      </c>
      <c r="M271" s="369" t="e">
        <f t="shared" si="137"/>
        <v>#REF!</v>
      </c>
      <c r="N271" s="369" t="e">
        <f t="shared" si="137"/>
        <v>#REF!</v>
      </c>
      <c r="O271" s="369" t="e">
        <f t="shared" si="137"/>
        <v>#REF!</v>
      </c>
      <c r="P271" s="369" t="e">
        <f t="shared" si="137"/>
        <v>#REF!</v>
      </c>
      <c r="Q271" s="392" t="e">
        <f t="shared" si="137"/>
        <v>#REF!</v>
      </c>
      <c r="R271" s="369" t="e">
        <f t="shared" si="137"/>
        <v>#REF!</v>
      </c>
      <c r="S271" s="369" t="e">
        <f t="shared" si="137"/>
        <v>#REF!</v>
      </c>
      <c r="T271" s="369" t="e">
        <f t="shared" si="137"/>
        <v>#REF!</v>
      </c>
      <c r="U271" s="374" t="e">
        <f t="shared" si="137"/>
        <v>#REF!</v>
      </c>
      <c r="V271" s="374" t="e">
        <f t="shared" si="137"/>
        <v>#REF!</v>
      </c>
      <c r="W271" s="374" t="e">
        <f t="shared" si="137"/>
        <v>#REF!</v>
      </c>
      <c r="X271" s="374" t="e">
        <f t="shared" si="137"/>
        <v>#REF!</v>
      </c>
      <c r="Y271" s="372"/>
      <c r="Z271" s="372"/>
      <c r="AA271" s="372"/>
      <c r="AB271" s="372"/>
      <c r="AC271" s="372"/>
      <c r="AD271" s="372"/>
      <c r="AE271" s="372"/>
      <c r="AF271" s="372"/>
      <c r="AG271" s="372"/>
      <c r="AH271" s="372"/>
      <c r="AI271" s="372"/>
      <c r="AJ271" s="372"/>
      <c r="AK271" s="372"/>
      <c r="AL271" s="372"/>
    </row>
    <row r="272" spans="1:38" x14ac:dyDescent="0.25">
      <c r="A272" s="80"/>
      <c r="B272" s="80"/>
      <c r="C272" s="80"/>
      <c r="D272" s="80"/>
      <c r="E272" s="80">
        <v>3211</v>
      </c>
      <c r="F272" s="81" t="s">
        <v>565</v>
      </c>
      <c r="G272" s="82" t="e">
        <f>SUMIF(#REF!,funkcijska!$E272,#REF!)</f>
        <v>#REF!</v>
      </c>
      <c r="H272" s="82" t="e">
        <f>SUMIF(#REF!,funkcijska!$E272,#REF!)</f>
        <v>#REF!</v>
      </c>
      <c r="I272" s="82" t="e">
        <f>SUMIF(#REF!,funkcijska!$E272,#REF!)</f>
        <v>#REF!</v>
      </c>
      <c r="J272" s="82" t="e">
        <f>SUMIF(#REF!,funkcijska!$E272,#REF!)</f>
        <v>#REF!</v>
      </c>
      <c r="K272" s="82" t="e">
        <f>SUMIF(#REF!,funkcijska!$E272,#REF!)</f>
        <v>#REF!</v>
      </c>
      <c r="L272" s="82" t="e">
        <f>ROUND(K272/J272*100,2)</f>
        <v>#REF!</v>
      </c>
      <c r="M272" s="82" t="e">
        <f>N272-J272</f>
        <v>#REF!</v>
      </c>
      <c r="N272" s="82" t="e">
        <f>SUMIF(#REF!,funkcijska!$E272,#REF!)</f>
        <v>#REF!</v>
      </c>
      <c r="O272" s="82" t="e">
        <f>SUMIF(#REF!,funkcijska!$E272,#REF!)</f>
        <v>#REF!</v>
      </c>
      <c r="P272" s="82" t="e">
        <f>SUMIF(#REF!,funkcijska!$E272,#REF!)</f>
        <v>#REF!</v>
      </c>
      <c r="Q272" s="386" t="e">
        <f>SUMIF(#REF!,funkcijska!$E272,#REF!)</f>
        <v>#REF!</v>
      </c>
      <c r="R272" s="82" t="e">
        <f>SUMIF(#REF!,funkcijska!$E272,#REF!)</f>
        <v>#REF!</v>
      </c>
      <c r="S272" s="82" t="e">
        <f>SUMIF(#REF!,funkcijska!$E272,#REF!)</f>
        <v>#REF!</v>
      </c>
      <c r="T272" s="82" t="e">
        <f>SUMIF(#REF!,funkcijska!$E$23,#REF!)</f>
        <v>#REF!</v>
      </c>
      <c r="U272" s="357" t="e">
        <f>SUMIF(#REF!,funkcijska!$E272,#REF!)</f>
        <v>#REF!</v>
      </c>
      <c r="V272" s="357" t="e">
        <f>SUMIF(#REF!,funkcijska!$E272,#REF!)</f>
        <v>#REF!</v>
      </c>
      <c r="W272" s="357" t="e">
        <f>SUMIF(#REF!,funkcijska!$E272,#REF!)</f>
        <v>#REF!</v>
      </c>
      <c r="X272" s="357" t="e">
        <f>SUMIF(#REF!,funkcijska!$E272,#REF!)</f>
        <v>#REF!</v>
      </c>
      <c r="AD272" s="60"/>
      <c r="AE272" s="60"/>
      <c r="AF272" s="60"/>
      <c r="AG272" s="60"/>
      <c r="AH272" s="60"/>
      <c r="AI272" s="60"/>
      <c r="AJ272" s="60"/>
      <c r="AK272" s="60"/>
      <c r="AL272" s="60"/>
    </row>
    <row r="273" spans="1:38" ht="39" customHeight="1" x14ac:dyDescent="0.25">
      <c r="A273" s="80"/>
      <c r="B273" s="80"/>
      <c r="C273" s="80"/>
      <c r="D273" s="80"/>
      <c r="E273" s="80">
        <v>3212</v>
      </c>
      <c r="F273" s="81" t="s">
        <v>220</v>
      </c>
      <c r="G273" s="82" t="e">
        <f>SUMIF(#REF!,funkcijska!$E273,#REF!)</f>
        <v>#REF!</v>
      </c>
      <c r="H273" s="82" t="e">
        <f>SUMIF(#REF!,funkcijska!$E273,#REF!)</f>
        <v>#REF!</v>
      </c>
      <c r="I273" s="82" t="e">
        <f>SUMIF(#REF!,funkcijska!$E273,#REF!)</f>
        <v>#REF!</v>
      </c>
      <c r="J273" s="82" t="e">
        <f>SUMIF(#REF!,funkcijska!$E273,#REF!)</f>
        <v>#REF!</v>
      </c>
      <c r="K273" s="82" t="e">
        <f>SUMIF(#REF!,funkcijska!$E273,#REF!)</f>
        <v>#REF!</v>
      </c>
      <c r="L273" s="82" t="e">
        <f>ROUND(K273/J273*100,2)</f>
        <v>#REF!</v>
      </c>
      <c r="M273" s="82" t="e">
        <f>N273-J273</f>
        <v>#REF!</v>
      </c>
      <c r="N273" s="82" t="e">
        <f>SUMIF(#REF!,funkcijska!$E273,#REF!)</f>
        <v>#REF!</v>
      </c>
      <c r="O273" s="82" t="e">
        <f>SUMIF(#REF!,funkcijska!$E273,#REF!)</f>
        <v>#REF!</v>
      </c>
      <c r="P273" s="82" t="e">
        <f>SUMIF(#REF!,funkcijska!$E273,#REF!)</f>
        <v>#REF!</v>
      </c>
      <c r="Q273" s="386" t="e">
        <f>SUMIF(#REF!,funkcijska!$E273,#REF!)</f>
        <v>#REF!</v>
      </c>
      <c r="R273" s="82" t="e">
        <f>SUMIF(#REF!,funkcijska!$E273,#REF!)</f>
        <v>#REF!</v>
      </c>
      <c r="S273" s="82" t="e">
        <f>SUMIF(#REF!,funkcijska!$E273,#REF!)</f>
        <v>#REF!</v>
      </c>
      <c r="T273" s="82" t="e">
        <f>SUMIF(#REF!,funkcijska!$E$24,#REF!)</f>
        <v>#REF!</v>
      </c>
      <c r="U273" s="357" t="e">
        <f>SUMIF(#REF!,funkcijska!$E273,#REF!)</f>
        <v>#REF!</v>
      </c>
      <c r="V273" s="357" t="e">
        <f>SUMIF(#REF!,funkcijska!$E273,#REF!)</f>
        <v>#REF!</v>
      </c>
      <c r="W273" s="357" t="e">
        <f>SUMIF(#REF!,funkcijska!$E273,#REF!)</f>
        <v>#REF!</v>
      </c>
      <c r="X273" s="357" t="e">
        <f>SUMIF(#REF!,funkcijska!$E273,#REF!)</f>
        <v>#REF!</v>
      </c>
      <c r="AD273" s="60"/>
      <c r="AE273" s="60"/>
      <c r="AF273" s="60"/>
      <c r="AG273" s="60"/>
      <c r="AH273" s="60"/>
      <c r="AI273" s="60"/>
      <c r="AJ273" s="60"/>
      <c r="AK273" s="60"/>
      <c r="AL273" s="60"/>
    </row>
    <row r="274" spans="1:38" ht="22.5" customHeight="1" x14ac:dyDescent="0.25">
      <c r="A274" s="80"/>
      <c r="B274" s="80"/>
      <c r="C274" s="80"/>
      <c r="D274" s="80"/>
      <c r="E274" s="80">
        <v>3213</v>
      </c>
      <c r="F274" s="81" t="s">
        <v>221</v>
      </c>
      <c r="G274" s="82" t="e">
        <f>SUMIF(#REF!,funkcijska!$E274,#REF!)</f>
        <v>#REF!</v>
      </c>
      <c r="H274" s="82" t="e">
        <f>SUMIF(#REF!,funkcijska!$E274,#REF!)</f>
        <v>#REF!</v>
      </c>
      <c r="I274" s="82" t="e">
        <f>SUMIF(#REF!,funkcijska!$E274,#REF!)</f>
        <v>#REF!</v>
      </c>
      <c r="J274" s="82" t="e">
        <f>SUMIF(#REF!,funkcijska!$E274,#REF!)</f>
        <v>#REF!</v>
      </c>
      <c r="K274" s="82" t="e">
        <f>SUMIF(#REF!,funkcijska!$E274,#REF!)</f>
        <v>#REF!</v>
      </c>
      <c r="L274" s="82" t="e">
        <f>ROUND(K274/J274*100,2)</f>
        <v>#REF!</v>
      </c>
      <c r="M274" s="82" t="e">
        <f>N274-J274</f>
        <v>#REF!</v>
      </c>
      <c r="N274" s="82" t="e">
        <f>SUMIF(#REF!,funkcijska!$E274,#REF!)</f>
        <v>#REF!</v>
      </c>
      <c r="O274" s="82" t="e">
        <f>SUMIF(#REF!,funkcijska!$E274,#REF!)</f>
        <v>#REF!</v>
      </c>
      <c r="P274" s="82" t="e">
        <f>SUMIF(#REF!,funkcijska!$E274,#REF!)</f>
        <v>#REF!</v>
      </c>
      <c r="Q274" s="386" t="e">
        <f>SUMIF(#REF!,funkcijska!$E274,#REF!)</f>
        <v>#REF!</v>
      </c>
      <c r="R274" s="82" t="e">
        <f>SUMIF(#REF!,funkcijska!$E274,#REF!)</f>
        <v>#REF!</v>
      </c>
      <c r="S274" s="82" t="e">
        <f>SUMIF(#REF!,funkcijska!$E274,#REF!)</f>
        <v>#REF!</v>
      </c>
      <c r="T274" s="82" t="e">
        <f>SUMIF(#REF!,funkcijska!$E$25,#REF!)</f>
        <v>#REF!</v>
      </c>
      <c r="U274" s="357" t="e">
        <f>SUMIF(#REF!,funkcijska!$E274,#REF!)</f>
        <v>#REF!</v>
      </c>
      <c r="V274" s="357" t="e">
        <f>SUMIF(#REF!,funkcijska!$E274,#REF!)</f>
        <v>#REF!</v>
      </c>
      <c r="W274" s="357" t="e">
        <f>SUMIF(#REF!,funkcijska!$E274,#REF!)</f>
        <v>#REF!</v>
      </c>
      <c r="X274" s="357" t="e">
        <f>SUMIF(#REF!,funkcijska!$E274,#REF!)</f>
        <v>#REF!</v>
      </c>
      <c r="AD274" s="60"/>
      <c r="AE274" s="60"/>
      <c r="AF274" s="60"/>
      <c r="AG274" s="60"/>
      <c r="AH274" s="60"/>
      <c r="AI274" s="60"/>
      <c r="AJ274" s="60"/>
      <c r="AK274" s="60"/>
      <c r="AL274" s="60"/>
    </row>
    <row r="275" spans="1:38" ht="22.5" customHeight="1" x14ac:dyDescent="0.25">
      <c r="A275" s="80"/>
      <c r="B275" s="80"/>
      <c r="C275" s="80"/>
      <c r="D275" s="80"/>
      <c r="E275" s="80">
        <v>3214</v>
      </c>
      <c r="F275" s="81" t="s">
        <v>852</v>
      </c>
      <c r="G275" s="82" t="e">
        <f>SUMIF(#REF!,funkcijska!$E275,#REF!)</f>
        <v>#REF!</v>
      </c>
      <c r="H275" s="82" t="e">
        <f>SUMIF(#REF!,funkcijska!$E275,#REF!)</f>
        <v>#REF!</v>
      </c>
      <c r="I275" s="82" t="e">
        <f>SUMIF(#REF!,funkcijska!$E275,#REF!)</f>
        <v>#REF!</v>
      </c>
      <c r="J275" s="82" t="e">
        <f>SUMIF(#REF!,funkcijska!$E275,#REF!)</f>
        <v>#REF!</v>
      </c>
      <c r="K275" s="82" t="e">
        <f>SUMIF(#REF!,funkcijska!$E275,#REF!)</f>
        <v>#REF!</v>
      </c>
      <c r="L275" s="82" t="e">
        <f>ROUND(K275/J275*100,2)</f>
        <v>#REF!</v>
      </c>
      <c r="M275" s="82" t="e">
        <f>N275-J275</f>
        <v>#REF!</v>
      </c>
      <c r="N275" s="82" t="e">
        <f>SUMIF(#REF!,funkcijska!$E275,#REF!)</f>
        <v>#REF!</v>
      </c>
      <c r="O275" s="82" t="e">
        <f>SUMIF(#REF!,funkcijska!$E275,#REF!)</f>
        <v>#REF!</v>
      </c>
      <c r="P275" s="82" t="e">
        <f>SUMIF(#REF!,funkcijska!$E275,#REF!)</f>
        <v>#REF!</v>
      </c>
      <c r="Q275" s="386" t="e">
        <f>SUMIF(#REF!,funkcijska!$E275,#REF!)</f>
        <v>#REF!</v>
      </c>
      <c r="R275" s="82" t="e">
        <f>SUMIF(#REF!,funkcijska!$E275,#REF!)</f>
        <v>#REF!</v>
      </c>
      <c r="S275" s="82" t="e">
        <f>SUMIF(#REF!,funkcijska!$E275,#REF!)</f>
        <v>#REF!</v>
      </c>
      <c r="T275" s="82" t="e">
        <f>SUMIF(#REF!,funkcijska!$E$26,#REF!)</f>
        <v>#REF!</v>
      </c>
      <c r="U275" s="357" t="e">
        <f>SUMIF(#REF!,funkcijska!$E275,#REF!)</f>
        <v>#REF!</v>
      </c>
      <c r="V275" s="357" t="e">
        <f>SUMIF(#REF!,funkcijska!$E275,#REF!)</f>
        <v>#REF!</v>
      </c>
      <c r="W275" s="357" t="e">
        <f>SUMIF(#REF!,funkcijska!$E275,#REF!)</f>
        <v>#REF!</v>
      </c>
      <c r="X275" s="357" t="e">
        <f>SUMIF(#REF!,funkcijska!$E275,#REF!)</f>
        <v>#REF!</v>
      </c>
      <c r="AD275" s="60"/>
      <c r="AE275" s="60"/>
      <c r="AF275" s="60"/>
      <c r="AG275" s="60"/>
      <c r="AH275" s="60"/>
      <c r="AI275" s="60"/>
      <c r="AJ275" s="60"/>
      <c r="AK275" s="60"/>
      <c r="AL275" s="60"/>
    </row>
    <row r="276" spans="1:38" s="373" customFormat="1" ht="22.5" customHeight="1" x14ac:dyDescent="0.25">
      <c r="A276" s="119"/>
      <c r="B276" s="119"/>
      <c r="C276" s="119"/>
      <c r="D276" s="119" t="str">
        <f>LEFT(E277,3)</f>
        <v>322</v>
      </c>
      <c r="E276" s="119"/>
      <c r="F276" s="368" t="s">
        <v>547</v>
      </c>
      <c r="G276" s="369" t="e">
        <f>SUM(G277:G281)</f>
        <v>#REF!</v>
      </c>
      <c r="H276" s="370" t="e">
        <f>SUM(H277:H281)</f>
        <v>#REF!</v>
      </c>
      <c r="I276" s="369" t="e">
        <f t="shared" ref="I276:X276" si="138">SUM(I277:I282)</f>
        <v>#REF!</v>
      </c>
      <c r="J276" s="369" t="e">
        <f t="shared" si="138"/>
        <v>#REF!</v>
      </c>
      <c r="K276" s="369" t="e">
        <f t="shared" si="138"/>
        <v>#REF!</v>
      </c>
      <c r="L276" s="369" t="e">
        <f t="shared" si="138"/>
        <v>#REF!</v>
      </c>
      <c r="M276" s="369" t="e">
        <f t="shared" si="138"/>
        <v>#REF!</v>
      </c>
      <c r="N276" s="369" t="e">
        <f t="shared" si="138"/>
        <v>#REF!</v>
      </c>
      <c r="O276" s="369" t="e">
        <f t="shared" si="138"/>
        <v>#REF!</v>
      </c>
      <c r="P276" s="369" t="e">
        <f t="shared" si="138"/>
        <v>#REF!</v>
      </c>
      <c r="Q276" s="392" t="e">
        <f t="shared" si="138"/>
        <v>#REF!</v>
      </c>
      <c r="R276" s="369" t="e">
        <f t="shared" si="138"/>
        <v>#REF!</v>
      </c>
      <c r="S276" s="369" t="e">
        <f t="shared" si="138"/>
        <v>#REF!</v>
      </c>
      <c r="T276" s="369" t="e">
        <f t="shared" si="138"/>
        <v>#REF!</v>
      </c>
      <c r="U276" s="371" t="e">
        <f t="shared" si="138"/>
        <v>#REF!</v>
      </c>
      <c r="V276" s="371" t="e">
        <f t="shared" si="138"/>
        <v>#REF!</v>
      </c>
      <c r="W276" s="371" t="e">
        <f t="shared" si="138"/>
        <v>#REF!</v>
      </c>
      <c r="X276" s="371" t="e">
        <f t="shared" si="138"/>
        <v>#REF!</v>
      </c>
      <c r="Y276" s="372"/>
      <c r="Z276" s="372"/>
      <c r="AA276" s="372"/>
      <c r="AB276" s="372"/>
      <c r="AC276" s="372"/>
      <c r="AD276" s="372"/>
      <c r="AE276" s="372"/>
      <c r="AF276" s="372"/>
      <c r="AG276" s="372"/>
      <c r="AH276" s="372"/>
      <c r="AI276" s="372"/>
      <c r="AJ276" s="372"/>
      <c r="AK276" s="372"/>
      <c r="AL276" s="372"/>
    </row>
    <row r="277" spans="1:38" ht="20.25" customHeight="1" x14ac:dyDescent="0.25">
      <c r="A277" s="80"/>
      <c r="B277" s="80"/>
      <c r="C277" s="80"/>
      <c r="D277" s="80"/>
      <c r="E277" s="80">
        <v>3221</v>
      </c>
      <c r="F277" s="81" t="s">
        <v>548</v>
      </c>
      <c r="G277" s="82" t="e">
        <f>SUMIF(#REF!,funkcijska!$E277,#REF!)</f>
        <v>#REF!</v>
      </c>
      <c r="H277" s="82" t="e">
        <f>SUMIF(#REF!,funkcijska!$E277,#REF!)</f>
        <v>#REF!</v>
      </c>
      <c r="I277" s="82" t="e">
        <f>SUMIF(#REF!,funkcijska!$E277,#REF!)</f>
        <v>#REF!</v>
      </c>
      <c r="J277" s="82" t="e">
        <f>SUMIF(#REF!,funkcijska!$E277,#REF!)</f>
        <v>#REF!</v>
      </c>
      <c r="K277" s="82" t="e">
        <f>SUMIF(#REF!,funkcijska!$E277,#REF!)</f>
        <v>#REF!</v>
      </c>
      <c r="L277" s="82" t="e">
        <f t="shared" ref="L277:L282" si="139">ROUND(K277/J277*100,2)</f>
        <v>#REF!</v>
      </c>
      <c r="M277" s="82" t="e">
        <f t="shared" ref="M277:M282" si="140">N277-J277</f>
        <v>#REF!</v>
      </c>
      <c r="N277" s="82" t="e">
        <f>SUMIF(#REF!,funkcijska!$E277,#REF!)</f>
        <v>#REF!</v>
      </c>
      <c r="O277" s="82" t="e">
        <f>SUMIF(#REF!,funkcijska!$E277,#REF!)</f>
        <v>#REF!</v>
      </c>
      <c r="P277" s="82" t="e">
        <f>SUMIF(#REF!,funkcijska!$E277,#REF!)</f>
        <v>#REF!</v>
      </c>
      <c r="Q277" s="386" t="e">
        <f>SUMIF(#REF!,funkcijska!$E277,#REF!)</f>
        <v>#REF!</v>
      </c>
      <c r="R277" s="82" t="e">
        <f>SUMIF(#REF!,funkcijska!$E277,#REF!)</f>
        <v>#REF!</v>
      </c>
      <c r="S277" s="82" t="e">
        <f>SUMIF(#REF!,funkcijska!$E277,#REF!)</f>
        <v>#REF!</v>
      </c>
      <c r="T277" s="82" t="e">
        <f>SUMIF(#REF!,funkcijska!$E$28,#REF!)</f>
        <v>#REF!</v>
      </c>
      <c r="U277" s="357" t="e">
        <f>SUMIF(#REF!,funkcijska!$E277,#REF!)</f>
        <v>#REF!</v>
      </c>
      <c r="V277" s="357" t="e">
        <f>SUMIF(#REF!,funkcijska!$E277,#REF!)</f>
        <v>#REF!</v>
      </c>
      <c r="W277" s="357" t="e">
        <f>SUMIF(#REF!,funkcijska!$E277,#REF!)</f>
        <v>#REF!</v>
      </c>
      <c r="X277" s="357" t="e">
        <f>SUMIF(#REF!,funkcijska!$E277,#REF!)</f>
        <v>#REF!</v>
      </c>
      <c r="AD277" s="60"/>
      <c r="AE277" s="60"/>
      <c r="AF277" s="60"/>
      <c r="AG277" s="60"/>
      <c r="AH277" s="60"/>
      <c r="AI277" s="60"/>
      <c r="AJ277" s="60"/>
      <c r="AK277" s="60"/>
      <c r="AL277" s="60"/>
    </row>
    <row r="278" spans="1:38" ht="16.5" customHeight="1" x14ac:dyDescent="0.25">
      <c r="A278" s="80"/>
      <c r="B278" s="80"/>
      <c r="C278" s="80"/>
      <c r="D278" s="80"/>
      <c r="E278" s="80">
        <v>3222</v>
      </c>
      <c r="F278" s="81" t="s">
        <v>474</v>
      </c>
      <c r="G278" s="82" t="e">
        <f>SUMIF(#REF!,funkcijska!$E278,#REF!)</f>
        <v>#REF!</v>
      </c>
      <c r="H278" s="82" t="e">
        <f>SUMIF(#REF!,funkcijska!$E278,#REF!)</f>
        <v>#REF!</v>
      </c>
      <c r="I278" s="82" t="e">
        <f>SUMIF(#REF!,funkcijska!$E278,#REF!)</f>
        <v>#REF!</v>
      </c>
      <c r="J278" s="82" t="e">
        <f>SUMIF(#REF!,funkcijska!$E278,#REF!)</f>
        <v>#REF!</v>
      </c>
      <c r="K278" s="82" t="e">
        <f>SUMIF(#REF!,funkcijska!$E278,#REF!)</f>
        <v>#REF!</v>
      </c>
      <c r="L278" s="82" t="e">
        <f t="shared" si="139"/>
        <v>#REF!</v>
      </c>
      <c r="M278" s="82" t="e">
        <f t="shared" si="140"/>
        <v>#REF!</v>
      </c>
      <c r="N278" s="82" t="e">
        <f>SUMIF(#REF!,funkcijska!$E278,#REF!)</f>
        <v>#REF!</v>
      </c>
      <c r="O278" s="82" t="e">
        <f>SUMIF(#REF!,funkcijska!$E278,#REF!)</f>
        <v>#REF!</v>
      </c>
      <c r="P278" s="82" t="e">
        <f>SUMIF(#REF!,funkcijska!$E278,#REF!)</f>
        <v>#REF!</v>
      </c>
      <c r="Q278" s="386" t="e">
        <f>SUMIF(#REF!,funkcijska!$E278,#REF!)</f>
        <v>#REF!</v>
      </c>
      <c r="R278" s="82" t="e">
        <f>SUMIF(#REF!,funkcijska!$E278,#REF!)</f>
        <v>#REF!</v>
      </c>
      <c r="S278" s="82" t="e">
        <f>SUMIF(#REF!,funkcijska!$E278,#REF!)</f>
        <v>#REF!</v>
      </c>
      <c r="T278" s="82" t="e">
        <f>SUMIF(#REF!,funkcijska!$E$29,#REF!)</f>
        <v>#REF!</v>
      </c>
      <c r="U278" s="357" t="e">
        <f>SUMIF(#REF!,funkcijska!$E278,#REF!)</f>
        <v>#REF!</v>
      </c>
      <c r="V278" s="357" t="e">
        <f>SUMIF(#REF!,funkcijska!$E278,#REF!)</f>
        <v>#REF!</v>
      </c>
      <c r="W278" s="357" t="e">
        <f>SUMIF(#REF!,funkcijska!$E278,#REF!)</f>
        <v>#REF!</v>
      </c>
      <c r="X278" s="357" t="e">
        <f>SUMIF(#REF!,funkcijska!$E278,#REF!)</f>
        <v>#REF!</v>
      </c>
      <c r="AD278" s="60"/>
      <c r="AE278" s="60"/>
      <c r="AF278" s="60"/>
      <c r="AG278" s="60"/>
      <c r="AH278" s="60"/>
      <c r="AI278" s="60"/>
      <c r="AJ278" s="60"/>
      <c r="AK278" s="60"/>
      <c r="AL278" s="60"/>
    </row>
    <row r="279" spans="1:38" ht="16.5" customHeight="1" x14ac:dyDescent="0.25">
      <c r="A279" s="80"/>
      <c r="B279" s="80"/>
      <c r="C279" s="80"/>
      <c r="D279" s="80"/>
      <c r="E279" s="80">
        <v>3223</v>
      </c>
      <c r="F279" s="81" t="s">
        <v>204</v>
      </c>
      <c r="G279" s="82" t="e">
        <f>SUMIF(#REF!,funkcijska!$E279,#REF!)</f>
        <v>#REF!</v>
      </c>
      <c r="H279" s="82" t="e">
        <f>SUMIF(#REF!,funkcijska!$E279,#REF!)</f>
        <v>#REF!</v>
      </c>
      <c r="I279" s="82" t="e">
        <f>SUMIF(#REF!,funkcijska!$E279,#REF!)</f>
        <v>#REF!</v>
      </c>
      <c r="J279" s="82" t="e">
        <f>SUMIF(#REF!,funkcijska!$E279,#REF!)</f>
        <v>#REF!</v>
      </c>
      <c r="K279" s="82" t="e">
        <f>SUMIF(#REF!,funkcijska!$E279,#REF!)</f>
        <v>#REF!</v>
      </c>
      <c r="L279" s="82" t="e">
        <f t="shared" si="139"/>
        <v>#REF!</v>
      </c>
      <c r="M279" s="82" t="e">
        <f t="shared" si="140"/>
        <v>#REF!</v>
      </c>
      <c r="N279" s="82" t="e">
        <f>SUMIF(#REF!,funkcijska!$E279,#REF!)</f>
        <v>#REF!</v>
      </c>
      <c r="O279" s="82" t="e">
        <f>SUMIF(#REF!,funkcijska!$E279,#REF!)</f>
        <v>#REF!</v>
      </c>
      <c r="P279" s="82" t="e">
        <f>SUMIF(#REF!,funkcijska!$E279,#REF!)</f>
        <v>#REF!</v>
      </c>
      <c r="Q279" s="386" t="e">
        <f>SUMIF(#REF!,funkcijska!$E279,#REF!)</f>
        <v>#REF!</v>
      </c>
      <c r="R279" s="82" t="e">
        <f>SUMIF(#REF!,funkcijska!$E279,#REF!)</f>
        <v>#REF!</v>
      </c>
      <c r="S279" s="82" t="e">
        <f>SUMIF(#REF!,funkcijska!$E279,#REF!)</f>
        <v>#REF!</v>
      </c>
      <c r="T279" s="82" t="e">
        <f>SUMIF(#REF!,funkcijska!$E$30,#REF!)</f>
        <v>#REF!</v>
      </c>
      <c r="U279" s="357" t="e">
        <f>SUMIF(#REF!,funkcijska!$E279,#REF!)</f>
        <v>#REF!</v>
      </c>
      <c r="V279" s="357" t="e">
        <f>SUMIF(#REF!,funkcijska!$E279,#REF!)</f>
        <v>#REF!</v>
      </c>
      <c r="W279" s="357" t="e">
        <f>SUMIF(#REF!,funkcijska!$E279,#REF!)</f>
        <v>#REF!</v>
      </c>
      <c r="X279" s="357" t="e">
        <f>SUMIF(#REF!,funkcijska!$E279,#REF!)</f>
        <v>#REF!</v>
      </c>
      <c r="AD279" s="60"/>
      <c r="AE279" s="60"/>
      <c r="AF279" s="60"/>
      <c r="AG279" s="60"/>
      <c r="AH279" s="60"/>
      <c r="AI279" s="60"/>
      <c r="AJ279" s="60"/>
      <c r="AK279" s="60"/>
      <c r="AL279" s="60"/>
    </row>
    <row r="280" spans="1:38" ht="36.75" customHeight="1" x14ac:dyDescent="0.25">
      <c r="A280" s="80"/>
      <c r="B280" s="80"/>
      <c r="C280" s="80"/>
      <c r="D280" s="80"/>
      <c r="E280" s="80">
        <v>3224</v>
      </c>
      <c r="F280" s="81" t="s">
        <v>853</v>
      </c>
      <c r="G280" s="82" t="e">
        <f>SUMIF(#REF!,funkcijska!$E280,#REF!)</f>
        <v>#REF!</v>
      </c>
      <c r="H280" s="82" t="e">
        <f>SUMIF(#REF!,funkcijska!$E280,#REF!)</f>
        <v>#REF!</v>
      </c>
      <c r="I280" s="82" t="e">
        <f>SUMIF(#REF!,funkcijska!$E280,#REF!)</f>
        <v>#REF!</v>
      </c>
      <c r="J280" s="82" t="e">
        <f>SUMIF(#REF!,funkcijska!$E280,#REF!)</f>
        <v>#REF!</v>
      </c>
      <c r="K280" s="82" t="e">
        <f>SUMIF(#REF!,funkcijska!$E280,#REF!)</f>
        <v>#REF!</v>
      </c>
      <c r="L280" s="82" t="e">
        <f t="shared" si="139"/>
        <v>#REF!</v>
      </c>
      <c r="M280" s="82" t="e">
        <f t="shared" si="140"/>
        <v>#REF!</v>
      </c>
      <c r="N280" s="82" t="e">
        <f>SUMIF(#REF!,funkcijska!$E280,#REF!)</f>
        <v>#REF!</v>
      </c>
      <c r="O280" s="82" t="e">
        <f>SUMIF(#REF!,funkcijska!$E280,#REF!)</f>
        <v>#REF!</v>
      </c>
      <c r="P280" s="82" t="e">
        <f>SUMIF(#REF!,funkcijska!$E280,#REF!)</f>
        <v>#REF!</v>
      </c>
      <c r="Q280" s="386" t="e">
        <f>SUMIF(#REF!,funkcijska!$E280,#REF!)</f>
        <v>#REF!</v>
      </c>
      <c r="R280" s="82" t="e">
        <f>SUMIF(#REF!,funkcijska!$E280,#REF!)</f>
        <v>#REF!</v>
      </c>
      <c r="S280" s="82" t="e">
        <f>SUMIF(#REF!,funkcijska!$E280,#REF!)</f>
        <v>#REF!</v>
      </c>
      <c r="T280" s="82" t="e">
        <f>SUMIF(#REF!,funkcijska!$E$31,#REF!)</f>
        <v>#REF!</v>
      </c>
      <c r="U280" s="357" t="e">
        <f>SUMIF(#REF!,funkcijska!$E280,#REF!)</f>
        <v>#REF!</v>
      </c>
      <c r="V280" s="357" t="e">
        <f>SUMIF(#REF!,funkcijska!$E280,#REF!)</f>
        <v>#REF!</v>
      </c>
      <c r="W280" s="357" t="e">
        <f>SUMIF(#REF!,funkcijska!$E280,#REF!)</f>
        <v>#REF!</v>
      </c>
      <c r="X280" s="357" t="e">
        <f>SUMIF(#REF!,funkcijska!$E280,#REF!)</f>
        <v>#REF!</v>
      </c>
      <c r="AD280" s="60"/>
      <c r="AE280" s="60"/>
      <c r="AF280" s="60"/>
      <c r="AG280" s="60"/>
      <c r="AH280" s="60"/>
      <c r="AI280" s="60"/>
      <c r="AJ280" s="60"/>
      <c r="AK280" s="60"/>
      <c r="AL280" s="60"/>
    </row>
    <row r="281" spans="1:38" ht="16.5" customHeight="1" x14ac:dyDescent="0.25">
      <c r="A281" s="80"/>
      <c r="B281" s="80"/>
      <c r="C281" s="80"/>
      <c r="D281" s="80"/>
      <c r="E281" s="80">
        <v>3225</v>
      </c>
      <c r="F281" s="81" t="s">
        <v>205</v>
      </c>
      <c r="G281" s="82" t="e">
        <f>SUMIF(#REF!,funkcijska!$E281,#REF!)</f>
        <v>#REF!</v>
      </c>
      <c r="H281" s="82" t="e">
        <f>SUMIF(#REF!,funkcijska!$E281,#REF!)</f>
        <v>#REF!</v>
      </c>
      <c r="I281" s="82" t="e">
        <f>SUMIF(#REF!,funkcijska!$E281,#REF!)</f>
        <v>#REF!</v>
      </c>
      <c r="J281" s="82" t="e">
        <f>SUMIF(#REF!,funkcijska!$E281,#REF!)</f>
        <v>#REF!</v>
      </c>
      <c r="K281" s="82" t="e">
        <f>SUMIF(#REF!,funkcijska!$E281,#REF!)</f>
        <v>#REF!</v>
      </c>
      <c r="L281" s="82" t="e">
        <f t="shared" si="139"/>
        <v>#REF!</v>
      </c>
      <c r="M281" s="82" t="e">
        <f t="shared" si="140"/>
        <v>#REF!</v>
      </c>
      <c r="N281" s="82" t="e">
        <f>SUMIF(#REF!,funkcijska!$E281,#REF!)</f>
        <v>#REF!</v>
      </c>
      <c r="O281" s="82" t="e">
        <f>SUMIF(#REF!,funkcijska!$E281,#REF!)</f>
        <v>#REF!</v>
      </c>
      <c r="P281" s="82" t="e">
        <f>SUMIF(#REF!,funkcijska!$E281,#REF!)</f>
        <v>#REF!</v>
      </c>
      <c r="Q281" s="386" t="e">
        <f>SUMIF(#REF!,funkcijska!$E281,#REF!)</f>
        <v>#REF!</v>
      </c>
      <c r="R281" s="82" t="e">
        <f>SUMIF(#REF!,funkcijska!$E281,#REF!)</f>
        <v>#REF!</v>
      </c>
      <c r="S281" s="82" t="e">
        <f>SUMIF(#REF!,funkcijska!$E281,#REF!)</f>
        <v>#REF!</v>
      </c>
      <c r="T281" s="82" t="e">
        <f>SUMIF(#REF!,funkcijska!$E$32,#REF!)</f>
        <v>#REF!</v>
      </c>
      <c r="U281" s="357" t="e">
        <f>SUMIF(#REF!,funkcijska!$E281,#REF!)</f>
        <v>#REF!</v>
      </c>
      <c r="V281" s="357" t="e">
        <f>SUMIF(#REF!,funkcijska!$E281,#REF!)</f>
        <v>#REF!</v>
      </c>
      <c r="W281" s="357" t="e">
        <f>SUMIF(#REF!,funkcijska!$E281,#REF!)</f>
        <v>#REF!</v>
      </c>
      <c r="X281" s="357" t="e">
        <f>SUMIF(#REF!,funkcijska!$E281,#REF!)</f>
        <v>#REF!</v>
      </c>
      <c r="AD281" s="60"/>
      <c r="AE281" s="60"/>
      <c r="AF281" s="60"/>
      <c r="AG281" s="60"/>
      <c r="AH281" s="60"/>
      <c r="AI281" s="60"/>
      <c r="AJ281" s="60"/>
      <c r="AK281" s="60"/>
      <c r="AL281" s="60"/>
    </row>
    <row r="282" spans="1:38" ht="16.5" customHeight="1" x14ac:dyDescent="0.25">
      <c r="A282" s="80"/>
      <c r="B282" s="80"/>
      <c r="C282" s="80"/>
      <c r="D282" s="80"/>
      <c r="E282" s="131">
        <v>3227</v>
      </c>
      <c r="F282" s="132" t="s">
        <v>646</v>
      </c>
      <c r="G282" s="82" t="e">
        <f>SUMIF(#REF!,funkcijska!$E282,#REF!)</f>
        <v>#REF!</v>
      </c>
      <c r="H282" s="82" t="e">
        <f>SUMIF(#REF!,funkcijska!$E282,#REF!)</f>
        <v>#REF!</v>
      </c>
      <c r="I282" s="82" t="e">
        <f>SUMIF(#REF!,funkcijska!$E282,#REF!)</f>
        <v>#REF!</v>
      </c>
      <c r="J282" s="82" t="e">
        <f>SUMIF(#REF!,funkcijska!$E282,#REF!)</f>
        <v>#REF!</v>
      </c>
      <c r="K282" s="82" t="e">
        <f>SUMIF(#REF!,funkcijska!$E282,#REF!)</f>
        <v>#REF!</v>
      </c>
      <c r="L282" s="82" t="e">
        <f t="shared" si="139"/>
        <v>#REF!</v>
      </c>
      <c r="M282" s="82" t="e">
        <f t="shared" si="140"/>
        <v>#REF!</v>
      </c>
      <c r="N282" s="82" t="e">
        <f>SUMIF(#REF!,funkcijska!$E282,#REF!)</f>
        <v>#REF!</v>
      </c>
      <c r="O282" s="82" t="e">
        <f>SUMIF(#REF!,funkcijska!$E282,#REF!)</f>
        <v>#REF!</v>
      </c>
      <c r="P282" s="82" t="e">
        <f>SUMIF(#REF!,funkcijska!$E282,#REF!)</f>
        <v>#REF!</v>
      </c>
      <c r="Q282" s="386" t="e">
        <f>SUMIF(#REF!,funkcijska!$E282,#REF!)</f>
        <v>#REF!</v>
      </c>
      <c r="R282" s="82" t="e">
        <f>SUMIF(#REF!,funkcijska!$E282,#REF!)</f>
        <v>#REF!</v>
      </c>
      <c r="S282" s="82" t="e">
        <f>SUMIF(#REF!,funkcijska!$E282,#REF!)</f>
        <v>#REF!</v>
      </c>
      <c r="T282" s="82" t="e">
        <f>SUMIF(#REF!,funkcijska!$E$33,#REF!)</f>
        <v>#REF!</v>
      </c>
      <c r="U282" s="357" t="e">
        <f>SUMIF(#REF!,funkcijska!$E282,#REF!)</f>
        <v>#REF!</v>
      </c>
      <c r="V282" s="357" t="e">
        <f>SUMIF(#REF!,funkcijska!$E282,#REF!)</f>
        <v>#REF!</v>
      </c>
      <c r="W282" s="357" t="e">
        <f>SUMIF(#REF!,funkcijska!$E282,#REF!)</f>
        <v>#REF!</v>
      </c>
      <c r="X282" s="357" t="e">
        <f>SUMIF(#REF!,funkcijska!$E282,#REF!)</f>
        <v>#REF!</v>
      </c>
      <c r="AD282" s="60"/>
      <c r="AE282" s="60"/>
      <c r="AF282" s="60"/>
      <c r="AG282" s="60"/>
      <c r="AH282" s="60"/>
      <c r="AI282" s="60"/>
      <c r="AJ282" s="60"/>
      <c r="AK282" s="60"/>
      <c r="AL282" s="60"/>
    </row>
    <row r="283" spans="1:38" s="373" customFormat="1" ht="20.25" customHeight="1" x14ac:dyDescent="0.25">
      <c r="A283" s="119"/>
      <c r="B283" s="119"/>
      <c r="C283" s="119"/>
      <c r="D283" s="119" t="str">
        <f>LEFT(E284,3)</f>
        <v>323</v>
      </c>
      <c r="E283" s="119"/>
      <c r="F283" s="368" t="s">
        <v>526</v>
      </c>
      <c r="G283" s="369" t="e">
        <f t="shared" ref="G283:X283" si="141">SUM(G284:G292)</f>
        <v>#REF!</v>
      </c>
      <c r="H283" s="370" t="e">
        <f t="shared" si="141"/>
        <v>#REF!</v>
      </c>
      <c r="I283" s="369" t="e">
        <f t="shared" si="141"/>
        <v>#REF!</v>
      </c>
      <c r="J283" s="369" t="e">
        <f t="shared" si="141"/>
        <v>#REF!</v>
      </c>
      <c r="K283" s="369" t="e">
        <f t="shared" si="141"/>
        <v>#REF!</v>
      </c>
      <c r="L283" s="369" t="e">
        <f t="shared" si="141"/>
        <v>#REF!</v>
      </c>
      <c r="M283" s="369" t="e">
        <f t="shared" si="141"/>
        <v>#REF!</v>
      </c>
      <c r="N283" s="369" t="e">
        <f t="shared" si="141"/>
        <v>#REF!</v>
      </c>
      <c r="O283" s="369" t="e">
        <f t="shared" si="141"/>
        <v>#REF!</v>
      </c>
      <c r="P283" s="369" t="e">
        <f t="shared" si="141"/>
        <v>#REF!</v>
      </c>
      <c r="Q283" s="392" t="e">
        <f t="shared" si="141"/>
        <v>#REF!</v>
      </c>
      <c r="R283" s="369" t="e">
        <f t="shared" si="141"/>
        <v>#REF!</v>
      </c>
      <c r="S283" s="369" t="e">
        <f t="shared" si="141"/>
        <v>#REF!</v>
      </c>
      <c r="T283" s="369" t="e">
        <f t="shared" si="141"/>
        <v>#REF!</v>
      </c>
      <c r="U283" s="371" t="e">
        <f t="shared" si="141"/>
        <v>#REF!</v>
      </c>
      <c r="V283" s="371" t="e">
        <f t="shared" si="141"/>
        <v>#REF!</v>
      </c>
      <c r="W283" s="371" t="e">
        <f t="shared" si="141"/>
        <v>#REF!</v>
      </c>
      <c r="X283" s="371" t="e">
        <f t="shared" si="141"/>
        <v>#REF!</v>
      </c>
      <c r="Y283" s="372"/>
      <c r="Z283" s="372"/>
      <c r="AA283" s="372"/>
      <c r="AB283" s="372"/>
      <c r="AC283" s="372"/>
      <c r="AD283" s="372"/>
      <c r="AE283" s="372"/>
      <c r="AF283" s="372"/>
      <c r="AG283" s="372"/>
      <c r="AH283" s="372"/>
      <c r="AI283" s="372"/>
      <c r="AJ283" s="372"/>
      <c r="AK283" s="372"/>
      <c r="AL283" s="372"/>
    </row>
    <row r="284" spans="1:38" ht="18" customHeight="1" x14ac:dyDescent="0.25">
      <c r="A284" s="80"/>
      <c r="B284" s="80"/>
      <c r="C284" s="80"/>
      <c r="D284" s="80"/>
      <c r="E284" s="80">
        <v>3231</v>
      </c>
      <c r="F284" s="81" t="s">
        <v>206</v>
      </c>
      <c r="G284" s="82" t="e">
        <f>SUMIF(#REF!,funkcijska!$E284,#REF!)</f>
        <v>#REF!</v>
      </c>
      <c r="H284" s="82" t="e">
        <f>SUMIF(#REF!,funkcijska!$E284,#REF!)</f>
        <v>#REF!</v>
      </c>
      <c r="I284" s="82" t="e">
        <f>SUMIF(#REF!,funkcijska!$E284,#REF!)</f>
        <v>#REF!</v>
      </c>
      <c r="J284" s="82" t="e">
        <f>SUMIF(#REF!,funkcijska!$E284,#REF!)</f>
        <v>#REF!</v>
      </c>
      <c r="K284" s="82" t="e">
        <f>SUMIF(#REF!,funkcijska!$E284,#REF!)</f>
        <v>#REF!</v>
      </c>
      <c r="L284" s="82" t="e">
        <f t="shared" ref="L284:L294" si="142">ROUND(K284/J284*100,2)</f>
        <v>#REF!</v>
      </c>
      <c r="M284" s="82" t="e">
        <f t="shared" ref="M284:M294" si="143">N284-J284</f>
        <v>#REF!</v>
      </c>
      <c r="N284" s="102" t="e">
        <f>SUMIF(#REF!,funkcijska!$E284,#REF!)</f>
        <v>#REF!</v>
      </c>
      <c r="O284" s="82" t="e">
        <f>SUMIF(#REF!,funkcijska!$E284,#REF!)</f>
        <v>#REF!</v>
      </c>
      <c r="P284" s="82" t="e">
        <f>SUMIF(#REF!,funkcijska!$E284,#REF!)</f>
        <v>#REF!</v>
      </c>
      <c r="Q284" s="386" t="e">
        <f>SUMIF(#REF!,funkcijska!$E284,#REF!)</f>
        <v>#REF!</v>
      </c>
      <c r="R284" s="82" t="e">
        <f>SUMIF(#REF!,funkcijska!$E284,#REF!)</f>
        <v>#REF!</v>
      </c>
      <c r="S284" s="82" t="e">
        <f>SUMIF(#REF!,funkcijska!$E284,#REF!)</f>
        <v>#REF!</v>
      </c>
      <c r="T284" s="82" t="e">
        <f>SUMIF(#REF!,funkcijska!$E$35,#REF!)</f>
        <v>#REF!</v>
      </c>
      <c r="U284" s="357" t="e">
        <f>SUMIF(#REF!,funkcijska!$E284,#REF!)</f>
        <v>#REF!</v>
      </c>
      <c r="V284" s="357" t="e">
        <f>SUMIF(#REF!,funkcijska!$E284,#REF!)</f>
        <v>#REF!</v>
      </c>
      <c r="W284" s="357" t="e">
        <f>SUMIF(#REF!,funkcijska!$E284,#REF!)</f>
        <v>#REF!</v>
      </c>
      <c r="X284" s="357" t="e">
        <f>SUMIF(#REF!,funkcijska!$E284,#REF!)</f>
        <v>#REF!</v>
      </c>
      <c r="AD284" s="60"/>
      <c r="AE284" s="60"/>
      <c r="AF284" s="60"/>
      <c r="AG284" s="60"/>
      <c r="AH284" s="60"/>
      <c r="AI284" s="60"/>
      <c r="AJ284" s="60"/>
      <c r="AK284" s="60"/>
      <c r="AL284" s="60"/>
    </row>
    <row r="285" spans="1:38" ht="18" customHeight="1" x14ac:dyDescent="0.25">
      <c r="A285" s="80"/>
      <c r="B285" s="80"/>
      <c r="C285" s="80"/>
      <c r="D285" s="80"/>
      <c r="E285" s="80">
        <v>3232</v>
      </c>
      <c r="F285" s="81" t="s">
        <v>207</v>
      </c>
      <c r="G285" s="82" t="e">
        <f>SUMIF(#REF!,funkcijska!$E285,#REF!)</f>
        <v>#REF!</v>
      </c>
      <c r="H285" s="82" t="e">
        <f>SUMIF(#REF!,funkcijska!$E285,#REF!)</f>
        <v>#REF!</v>
      </c>
      <c r="I285" s="82" t="e">
        <f>SUMIF(#REF!,funkcijska!$E285,#REF!)</f>
        <v>#REF!</v>
      </c>
      <c r="J285" s="82" t="e">
        <f>SUMIF(#REF!,funkcijska!$E285,#REF!)</f>
        <v>#REF!</v>
      </c>
      <c r="K285" s="82" t="e">
        <f>SUMIF(#REF!,funkcijska!$E285,#REF!)</f>
        <v>#REF!</v>
      </c>
      <c r="L285" s="82" t="e">
        <f t="shared" si="142"/>
        <v>#REF!</v>
      </c>
      <c r="M285" s="82" t="e">
        <f t="shared" si="143"/>
        <v>#REF!</v>
      </c>
      <c r="N285" s="82" t="e">
        <f>SUMIF(#REF!,funkcijska!$E285,#REF!)</f>
        <v>#REF!</v>
      </c>
      <c r="O285" s="82" t="e">
        <f>SUMIF(#REF!,funkcijska!$E285,#REF!)</f>
        <v>#REF!</v>
      </c>
      <c r="P285" s="82" t="e">
        <f>SUMIF(#REF!,funkcijska!$E285,#REF!)</f>
        <v>#REF!</v>
      </c>
      <c r="Q285" s="386" t="e">
        <f>SUMIF(#REF!,funkcijska!$E285,#REF!)</f>
        <v>#REF!</v>
      </c>
      <c r="R285" s="82" t="e">
        <f>SUMIF(#REF!,funkcijska!$E285,#REF!)</f>
        <v>#REF!</v>
      </c>
      <c r="S285" s="82" t="e">
        <f>SUMIF(#REF!,funkcijska!$E285,#REF!)</f>
        <v>#REF!</v>
      </c>
      <c r="T285" s="82" t="e">
        <f>SUMIF(#REF!,funkcijska!$E$36,#REF!)</f>
        <v>#REF!</v>
      </c>
      <c r="U285" s="357" t="e">
        <f>SUMIF(#REF!,funkcijska!$E285,#REF!)</f>
        <v>#REF!</v>
      </c>
      <c r="V285" s="357" t="e">
        <f>SUMIF(#REF!,funkcijska!$E285,#REF!)</f>
        <v>#REF!</v>
      </c>
      <c r="W285" s="357" t="e">
        <f>SUMIF(#REF!,funkcijska!$E285,#REF!)</f>
        <v>#REF!</v>
      </c>
      <c r="X285" s="357" t="e">
        <f>SUMIF(#REF!,funkcijska!$E285,#REF!)</f>
        <v>#REF!</v>
      </c>
      <c r="AD285" s="60"/>
      <c r="AE285" s="60"/>
      <c r="AF285" s="60"/>
      <c r="AG285" s="60"/>
      <c r="AH285" s="60"/>
      <c r="AI285" s="60"/>
      <c r="AJ285" s="60"/>
      <c r="AK285" s="60"/>
      <c r="AL285" s="60"/>
    </row>
    <row r="286" spans="1:38" ht="19.5" customHeight="1" x14ac:dyDescent="0.25">
      <c r="A286" s="80"/>
      <c r="B286" s="80"/>
      <c r="C286" s="80"/>
      <c r="D286" s="80"/>
      <c r="E286" s="80">
        <v>3233</v>
      </c>
      <c r="F286" s="81" t="s">
        <v>528</v>
      </c>
      <c r="G286" s="82" t="e">
        <f>SUMIF(#REF!,funkcijska!$E286,#REF!)</f>
        <v>#REF!</v>
      </c>
      <c r="H286" s="82" t="e">
        <f>SUMIF(#REF!,funkcijska!$E286,#REF!)</f>
        <v>#REF!</v>
      </c>
      <c r="I286" s="82" t="e">
        <f>SUMIF(#REF!,funkcijska!$E286,#REF!)</f>
        <v>#REF!</v>
      </c>
      <c r="J286" s="82" t="e">
        <f>SUMIF(#REF!,funkcijska!$E286,#REF!)</f>
        <v>#REF!</v>
      </c>
      <c r="K286" s="82" t="e">
        <f>SUMIF(#REF!,funkcijska!$E286,#REF!)</f>
        <v>#REF!</v>
      </c>
      <c r="L286" s="82" t="e">
        <f t="shared" si="142"/>
        <v>#REF!</v>
      </c>
      <c r="M286" s="82" t="e">
        <f t="shared" si="143"/>
        <v>#REF!</v>
      </c>
      <c r="N286" s="102" t="e">
        <f>SUMIF(#REF!,funkcijska!$E286,#REF!)</f>
        <v>#REF!</v>
      </c>
      <c r="O286" s="82" t="e">
        <f>SUMIF(#REF!,funkcijska!$E286,#REF!)</f>
        <v>#REF!</v>
      </c>
      <c r="P286" s="82" t="e">
        <f>SUMIF(#REF!,funkcijska!$E286,#REF!)</f>
        <v>#REF!</v>
      </c>
      <c r="Q286" s="386" t="e">
        <f>SUMIF(#REF!,funkcijska!$E286,#REF!)</f>
        <v>#REF!</v>
      </c>
      <c r="R286" s="82" t="e">
        <f>SUMIF(#REF!,funkcijska!$E286,#REF!)</f>
        <v>#REF!</v>
      </c>
      <c r="S286" s="82" t="e">
        <f>SUMIF(#REF!,funkcijska!$E286,#REF!)</f>
        <v>#REF!</v>
      </c>
      <c r="T286" s="82" t="e">
        <f>SUMIF(#REF!,funkcijska!$E$37,#REF!)</f>
        <v>#REF!</v>
      </c>
      <c r="U286" s="357" t="e">
        <f>SUMIF(#REF!,funkcijska!$E286,#REF!)</f>
        <v>#REF!</v>
      </c>
      <c r="V286" s="357" t="e">
        <f>SUMIF(#REF!,funkcijska!$E286,#REF!)</f>
        <v>#REF!</v>
      </c>
      <c r="W286" s="357" t="e">
        <f>SUMIF(#REF!,funkcijska!$E286,#REF!)</f>
        <v>#REF!</v>
      </c>
      <c r="X286" s="357" t="e">
        <f>SUMIF(#REF!,funkcijska!$E286,#REF!)</f>
        <v>#REF!</v>
      </c>
      <c r="AD286" s="60"/>
      <c r="AE286" s="60"/>
      <c r="AF286" s="60"/>
      <c r="AG286" s="60"/>
      <c r="AH286" s="60"/>
      <c r="AI286" s="60"/>
      <c r="AJ286" s="60"/>
      <c r="AK286" s="60"/>
      <c r="AL286" s="60"/>
    </row>
    <row r="287" spans="1:38" ht="18.75" customHeight="1" x14ac:dyDescent="0.25">
      <c r="A287" s="80"/>
      <c r="B287" s="80"/>
      <c r="C287" s="80"/>
      <c r="D287" s="80"/>
      <c r="E287" s="80">
        <v>3234</v>
      </c>
      <c r="F287" s="81" t="s">
        <v>238</v>
      </c>
      <c r="G287" s="82" t="e">
        <f>SUMIF(#REF!,funkcijska!$E287,#REF!)</f>
        <v>#REF!</v>
      </c>
      <c r="H287" s="82" t="e">
        <f>SUMIF(#REF!,funkcijska!$E287,#REF!)</f>
        <v>#REF!</v>
      </c>
      <c r="I287" s="82" t="e">
        <f>SUMIF(#REF!,funkcijska!$E287,#REF!)</f>
        <v>#REF!</v>
      </c>
      <c r="J287" s="82" t="e">
        <f>SUMIF(#REF!,funkcijska!$E287,#REF!)</f>
        <v>#REF!</v>
      </c>
      <c r="K287" s="82" t="e">
        <f>SUMIF(#REF!,funkcijska!$E287,#REF!)</f>
        <v>#REF!</v>
      </c>
      <c r="L287" s="82" t="e">
        <f t="shared" si="142"/>
        <v>#REF!</v>
      </c>
      <c r="M287" s="82" t="e">
        <f t="shared" si="143"/>
        <v>#REF!</v>
      </c>
      <c r="N287" s="102" t="e">
        <f>SUMIF(#REF!,funkcijska!$E287,#REF!)</f>
        <v>#REF!</v>
      </c>
      <c r="O287" s="82" t="e">
        <f>SUMIF(#REF!,funkcijska!$E287,#REF!)</f>
        <v>#REF!</v>
      </c>
      <c r="P287" s="82" t="e">
        <f>SUMIF(#REF!,funkcijska!$E287,#REF!)</f>
        <v>#REF!</v>
      </c>
      <c r="Q287" s="386" t="e">
        <f>SUMIF(#REF!,funkcijska!$E287,#REF!)</f>
        <v>#REF!</v>
      </c>
      <c r="R287" s="82" t="e">
        <f>SUMIF(#REF!,funkcijska!$E287,#REF!)</f>
        <v>#REF!</v>
      </c>
      <c r="S287" s="82" t="e">
        <f>SUMIF(#REF!,funkcijska!$E287,#REF!)</f>
        <v>#REF!</v>
      </c>
      <c r="T287" s="82" t="e">
        <f>SUMIF(#REF!,funkcijska!$E$38,#REF!)</f>
        <v>#REF!</v>
      </c>
      <c r="U287" s="357" t="e">
        <f>SUMIF(#REF!,funkcijska!$E287,#REF!)</f>
        <v>#REF!</v>
      </c>
      <c r="V287" s="357" t="e">
        <f>SUMIF(#REF!,funkcijska!$E287,#REF!)</f>
        <v>#REF!</v>
      </c>
      <c r="W287" s="357" t="e">
        <f>SUMIF(#REF!,funkcijska!$E287,#REF!)</f>
        <v>#REF!</v>
      </c>
      <c r="X287" s="357" t="e">
        <f>SUMIF(#REF!,funkcijska!$E287,#REF!)</f>
        <v>#REF!</v>
      </c>
      <c r="AD287" s="60"/>
      <c r="AE287" s="60"/>
      <c r="AF287" s="60"/>
      <c r="AG287" s="60"/>
      <c r="AH287" s="60"/>
      <c r="AI287" s="60"/>
      <c r="AJ287" s="60"/>
      <c r="AK287" s="60"/>
      <c r="AL287" s="60"/>
    </row>
    <row r="288" spans="1:38" ht="21" customHeight="1" x14ac:dyDescent="0.25">
      <c r="A288" s="80"/>
      <c r="B288" s="80"/>
      <c r="C288" s="80"/>
      <c r="D288" s="80"/>
      <c r="E288" s="80">
        <v>3235</v>
      </c>
      <c r="F288" s="81" t="s">
        <v>640</v>
      </c>
      <c r="G288" s="82" t="e">
        <f>SUMIF(#REF!,funkcijska!$E288,#REF!)</f>
        <v>#REF!</v>
      </c>
      <c r="H288" s="82" t="e">
        <f>SUMIF(#REF!,funkcijska!$E288,#REF!)</f>
        <v>#REF!</v>
      </c>
      <c r="I288" s="82" t="e">
        <f>SUMIF(#REF!,funkcijska!$E288,#REF!)</f>
        <v>#REF!</v>
      </c>
      <c r="J288" s="82" t="e">
        <f>SUMIF(#REF!,funkcijska!$E288,#REF!)</f>
        <v>#REF!</v>
      </c>
      <c r="K288" s="82" t="e">
        <f>SUMIF(#REF!,funkcijska!$E288,#REF!)</f>
        <v>#REF!</v>
      </c>
      <c r="L288" s="82" t="e">
        <f t="shared" si="142"/>
        <v>#REF!</v>
      </c>
      <c r="M288" s="82" t="e">
        <f t="shared" si="143"/>
        <v>#REF!</v>
      </c>
      <c r="N288" s="102" t="e">
        <f>SUMIF(#REF!,funkcijska!$E288,#REF!)</f>
        <v>#REF!</v>
      </c>
      <c r="O288" s="82" t="e">
        <f>SUMIF(#REF!,funkcijska!$E288,#REF!)</f>
        <v>#REF!</v>
      </c>
      <c r="P288" s="82" t="e">
        <f>SUMIF(#REF!,funkcijska!$E288,#REF!)</f>
        <v>#REF!</v>
      </c>
      <c r="Q288" s="386" t="e">
        <f>SUMIF(#REF!,funkcijska!$E288,#REF!)</f>
        <v>#REF!</v>
      </c>
      <c r="R288" s="82" t="e">
        <f>SUMIF(#REF!,funkcijska!$E288,#REF!)</f>
        <v>#REF!</v>
      </c>
      <c r="S288" s="82" t="e">
        <f>SUMIF(#REF!,funkcijska!$E288,#REF!)</f>
        <v>#REF!</v>
      </c>
      <c r="T288" s="82" t="e">
        <f>SUMIF(#REF!,funkcijska!$E$39,#REF!)</f>
        <v>#REF!</v>
      </c>
      <c r="U288" s="357" t="e">
        <f>SUMIF(#REF!,funkcijska!$E288,#REF!)</f>
        <v>#REF!</v>
      </c>
      <c r="V288" s="357" t="e">
        <f>SUMIF(#REF!,funkcijska!$E288,#REF!)</f>
        <v>#REF!</v>
      </c>
      <c r="W288" s="357" t="e">
        <f>SUMIF(#REF!,funkcijska!$E288,#REF!)</f>
        <v>#REF!</v>
      </c>
      <c r="X288" s="357" t="e">
        <f>SUMIF(#REF!,funkcijska!$E288,#REF!)</f>
        <v>#REF!</v>
      </c>
      <c r="AD288" s="60"/>
      <c r="AE288" s="60"/>
      <c r="AF288" s="60"/>
      <c r="AG288" s="60"/>
      <c r="AH288" s="60"/>
      <c r="AI288" s="60"/>
      <c r="AJ288" s="60"/>
      <c r="AK288" s="60"/>
      <c r="AL288" s="60"/>
    </row>
    <row r="289" spans="1:38" ht="20.25" customHeight="1" x14ac:dyDescent="0.25">
      <c r="A289" s="80"/>
      <c r="B289" s="80"/>
      <c r="C289" s="80"/>
      <c r="D289" s="80"/>
      <c r="E289" s="80">
        <v>3236</v>
      </c>
      <c r="F289" s="81" t="s">
        <v>843</v>
      </c>
      <c r="G289" s="82" t="e">
        <f>SUMIF(#REF!,funkcijska!$E289,#REF!)</f>
        <v>#REF!</v>
      </c>
      <c r="H289" s="82" t="e">
        <f>SUMIF(#REF!,funkcijska!$E289,#REF!)</f>
        <v>#REF!</v>
      </c>
      <c r="I289" s="82" t="e">
        <f>SUMIF(#REF!,funkcijska!$E289,#REF!)</f>
        <v>#REF!</v>
      </c>
      <c r="J289" s="82" t="e">
        <f>SUMIF(#REF!,funkcijska!$E289,#REF!)</f>
        <v>#REF!</v>
      </c>
      <c r="K289" s="82" t="e">
        <f>SUMIF(#REF!,funkcijska!$E289,#REF!)</f>
        <v>#REF!</v>
      </c>
      <c r="L289" s="82" t="e">
        <f t="shared" si="142"/>
        <v>#REF!</v>
      </c>
      <c r="M289" s="82" t="e">
        <f t="shared" si="143"/>
        <v>#REF!</v>
      </c>
      <c r="N289" s="102" t="e">
        <f>SUMIF(#REF!,funkcijska!$E289,#REF!)</f>
        <v>#REF!</v>
      </c>
      <c r="O289" s="82" t="e">
        <f>SUMIF(#REF!,funkcijska!$E289,#REF!)</f>
        <v>#REF!</v>
      </c>
      <c r="P289" s="82" t="e">
        <f>SUMIF(#REF!,funkcijska!$E289,#REF!)</f>
        <v>#REF!</v>
      </c>
      <c r="Q289" s="386" t="e">
        <f>SUMIF(#REF!,funkcijska!$E289,#REF!)</f>
        <v>#REF!</v>
      </c>
      <c r="R289" s="82" t="e">
        <f>SUMIF(#REF!,funkcijska!$E289,#REF!)</f>
        <v>#REF!</v>
      </c>
      <c r="S289" s="82" t="e">
        <f>SUMIF(#REF!,funkcijska!$E289,#REF!)</f>
        <v>#REF!</v>
      </c>
      <c r="T289" s="82" t="e">
        <f>SUMIF(#REF!,funkcijska!$E$40,#REF!)</f>
        <v>#REF!</v>
      </c>
      <c r="U289" s="357" t="e">
        <f>SUMIF(#REF!,funkcijska!$E289,#REF!)</f>
        <v>#REF!</v>
      </c>
      <c r="V289" s="357" t="e">
        <f>SUMIF(#REF!,funkcijska!$E289,#REF!)</f>
        <v>#REF!</v>
      </c>
      <c r="W289" s="357" t="e">
        <f>SUMIF(#REF!,funkcijska!$E289,#REF!)</f>
        <v>#REF!</v>
      </c>
      <c r="X289" s="357" t="e">
        <f>SUMIF(#REF!,funkcijska!$E289,#REF!)</f>
        <v>#REF!</v>
      </c>
      <c r="AD289" s="60"/>
      <c r="AE289" s="60"/>
      <c r="AF289" s="60"/>
      <c r="AG289" s="60"/>
      <c r="AH289" s="60"/>
      <c r="AI289" s="60"/>
      <c r="AJ289" s="60"/>
      <c r="AK289" s="60"/>
      <c r="AL289" s="60"/>
    </row>
    <row r="290" spans="1:38" ht="20.25" customHeight="1" x14ac:dyDescent="0.25">
      <c r="A290" s="80"/>
      <c r="B290" s="80"/>
      <c r="C290" s="80"/>
      <c r="D290" s="80"/>
      <c r="E290" s="80">
        <v>3237</v>
      </c>
      <c r="F290" s="81" t="s">
        <v>566</v>
      </c>
      <c r="G290" s="82" t="e">
        <f>SUMIF(#REF!,funkcijska!$E290,#REF!)</f>
        <v>#REF!</v>
      </c>
      <c r="H290" s="82" t="e">
        <f>SUMIF(#REF!,funkcijska!$E290,#REF!)</f>
        <v>#REF!</v>
      </c>
      <c r="I290" s="82" t="e">
        <f>SUMIF(#REF!,funkcijska!$E290,#REF!)</f>
        <v>#REF!</v>
      </c>
      <c r="J290" s="82" t="e">
        <f>SUMIF(#REF!,funkcijska!$E290,#REF!)</f>
        <v>#REF!</v>
      </c>
      <c r="K290" s="82" t="e">
        <f>SUMIF(#REF!,funkcijska!$E290,#REF!)</f>
        <v>#REF!</v>
      </c>
      <c r="L290" s="82" t="e">
        <f t="shared" si="142"/>
        <v>#REF!</v>
      </c>
      <c r="M290" s="82" t="e">
        <f t="shared" si="143"/>
        <v>#REF!</v>
      </c>
      <c r="N290" s="102" t="e">
        <f>SUMIF(#REF!,funkcijska!$E290,#REF!)</f>
        <v>#REF!</v>
      </c>
      <c r="O290" s="82" t="e">
        <f>SUMIF(#REF!,funkcijska!$E290,#REF!)</f>
        <v>#REF!</v>
      </c>
      <c r="P290" s="82" t="e">
        <f>SUMIF(#REF!,funkcijska!$E290,#REF!)</f>
        <v>#REF!</v>
      </c>
      <c r="Q290" s="386" t="e">
        <f>SUMIF(#REF!,funkcijska!$E290,#REF!)</f>
        <v>#REF!</v>
      </c>
      <c r="R290" s="82" t="e">
        <f>SUMIF(#REF!,funkcijska!$E290,#REF!)</f>
        <v>#REF!</v>
      </c>
      <c r="S290" s="82" t="e">
        <f>SUMIF(#REF!,funkcijska!$E290,#REF!)</f>
        <v>#REF!</v>
      </c>
      <c r="T290" s="82" t="e">
        <f>SUMIF(#REF!,funkcijska!$E$41,#REF!)</f>
        <v>#REF!</v>
      </c>
      <c r="U290" s="357" t="e">
        <f>SUMIF(#REF!,funkcijska!$E290,#REF!)</f>
        <v>#REF!</v>
      </c>
      <c r="V290" s="357" t="e">
        <f>SUMIF(#REF!,funkcijska!$E290,#REF!)</f>
        <v>#REF!</v>
      </c>
      <c r="W290" s="357" t="e">
        <f>SUMIF(#REF!,funkcijska!$E290,#REF!)</f>
        <v>#REF!</v>
      </c>
      <c r="X290" s="357" t="e">
        <f>SUMIF(#REF!,funkcijska!$E290,#REF!)</f>
        <v>#REF!</v>
      </c>
      <c r="AD290" s="60"/>
      <c r="AE290" s="60"/>
      <c r="AF290" s="60"/>
      <c r="AG290" s="60"/>
      <c r="AH290" s="60"/>
      <c r="AI290" s="60"/>
      <c r="AJ290" s="60"/>
      <c r="AK290" s="60"/>
      <c r="AL290" s="60"/>
    </row>
    <row r="291" spans="1:38" ht="16.5" customHeight="1" x14ac:dyDescent="0.25">
      <c r="A291" s="80"/>
      <c r="B291" s="80"/>
      <c r="C291" s="80"/>
      <c r="D291" s="80"/>
      <c r="E291" s="80">
        <v>3238</v>
      </c>
      <c r="F291" s="81" t="s">
        <v>398</v>
      </c>
      <c r="G291" s="82" t="e">
        <f>SUMIF(#REF!,funkcijska!$E291,#REF!)</f>
        <v>#REF!</v>
      </c>
      <c r="H291" s="82" t="e">
        <f>SUMIF(#REF!,funkcijska!$E291,#REF!)</f>
        <v>#REF!</v>
      </c>
      <c r="I291" s="82" t="e">
        <f>SUMIF(#REF!,funkcijska!$E291,#REF!)</f>
        <v>#REF!</v>
      </c>
      <c r="J291" s="82" t="e">
        <f>SUMIF(#REF!,funkcijska!$E291,#REF!)</f>
        <v>#REF!</v>
      </c>
      <c r="K291" s="82" t="e">
        <f>SUMIF(#REF!,funkcijska!$E291,#REF!)</f>
        <v>#REF!</v>
      </c>
      <c r="L291" s="82" t="e">
        <f t="shared" si="142"/>
        <v>#REF!</v>
      </c>
      <c r="M291" s="82" t="e">
        <f t="shared" si="143"/>
        <v>#REF!</v>
      </c>
      <c r="N291" s="82" t="e">
        <f>SUMIF(#REF!,funkcijska!$E291,#REF!)</f>
        <v>#REF!</v>
      </c>
      <c r="O291" s="82" t="e">
        <f>SUMIF(#REF!,funkcijska!$E291,#REF!)</f>
        <v>#REF!</v>
      </c>
      <c r="P291" s="82" t="e">
        <f>SUMIF(#REF!,funkcijska!$E291,#REF!)</f>
        <v>#REF!</v>
      </c>
      <c r="Q291" s="386" t="e">
        <f>SUMIF(#REF!,funkcijska!$E291,#REF!)</f>
        <v>#REF!</v>
      </c>
      <c r="R291" s="82" t="e">
        <f>SUMIF(#REF!,funkcijska!$E291,#REF!)</f>
        <v>#REF!</v>
      </c>
      <c r="S291" s="82" t="e">
        <f>SUMIF(#REF!,funkcijska!$E291,#REF!)</f>
        <v>#REF!</v>
      </c>
      <c r="T291" s="82" t="e">
        <f>SUMIF(#REF!,funkcijska!$E$42,#REF!)</f>
        <v>#REF!</v>
      </c>
      <c r="U291" s="357" t="e">
        <f>SUMIF(#REF!,funkcijska!$E291,#REF!)</f>
        <v>#REF!</v>
      </c>
      <c r="V291" s="357" t="e">
        <f>SUMIF(#REF!,funkcijska!$E291,#REF!)</f>
        <v>#REF!</v>
      </c>
      <c r="W291" s="357" t="e">
        <f>SUMIF(#REF!,funkcijska!$E291,#REF!)</f>
        <v>#REF!</v>
      </c>
      <c r="X291" s="357" t="e">
        <f>SUMIF(#REF!,funkcijska!$E291,#REF!)</f>
        <v>#REF!</v>
      </c>
      <c r="AD291" s="60"/>
      <c r="AE291" s="60"/>
      <c r="AF291" s="60"/>
      <c r="AG291" s="60"/>
      <c r="AH291" s="60"/>
      <c r="AI291" s="60"/>
      <c r="AJ291" s="60"/>
      <c r="AK291" s="60"/>
      <c r="AL291" s="60"/>
    </row>
    <row r="292" spans="1:38" ht="18" customHeight="1" x14ac:dyDescent="0.25">
      <c r="A292" s="80"/>
      <c r="B292" s="80"/>
      <c r="C292" s="80"/>
      <c r="D292" s="80"/>
      <c r="E292" s="80">
        <v>3239</v>
      </c>
      <c r="F292" s="81" t="s">
        <v>1017</v>
      </c>
      <c r="G292" s="82" t="e">
        <f>SUMIF(#REF!,funkcijska!$E292,#REF!)</f>
        <v>#REF!</v>
      </c>
      <c r="H292" s="82" t="e">
        <f>SUMIF(#REF!,funkcijska!$E292,#REF!)</f>
        <v>#REF!</v>
      </c>
      <c r="I292" s="82" t="e">
        <f>SUMIF(#REF!,funkcijska!$E292,#REF!)</f>
        <v>#REF!</v>
      </c>
      <c r="J292" s="82" t="e">
        <f>SUMIF(#REF!,funkcijska!$E292,#REF!)</f>
        <v>#REF!</v>
      </c>
      <c r="K292" s="82" t="e">
        <f>SUMIF(#REF!,funkcijska!$E292,#REF!)</f>
        <v>#REF!</v>
      </c>
      <c r="L292" s="82" t="e">
        <f t="shared" si="142"/>
        <v>#REF!</v>
      </c>
      <c r="M292" s="82" t="e">
        <f t="shared" si="143"/>
        <v>#REF!</v>
      </c>
      <c r="N292" s="82" t="e">
        <f>SUMIF(#REF!,funkcijska!$E292,#REF!)</f>
        <v>#REF!</v>
      </c>
      <c r="O292" s="82" t="e">
        <f>SUMIF(#REF!,funkcijska!$E292,#REF!)</f>
        <v>#REF!</v>
      </c>
      <c r="P292" s="82" t="e">
        <f>SUMIF(#REF!,funkcijska!$E292,#REF!)</f>
        <v>#REF!</v>
      </c>
      <c r="Q292" s="386" t="e">
        <f>SUMIF(#REF!,funkcijska!$E292,#REF!)</f>
        <v>#REF!</v>
      </c>
      <c r="R292" s="82" t="e">
        <f>SUMIF(#REF!,funkcijska!$E292,#REF!)</f>
        <v>#REF!</v>
      </c>
      <c r="S292" s="82" t="e">
        <f>SUMIF(#REF!,funkcijska!$E292,#REF!)</f>
        <v>#REF!</v>
      </c>
      <c r="T292" s="82" t="e">
        <f>SUMIF(#REF!,funkcijska!$E$43,#REF!)</f>
        <v>#REF!</v>
      </c>
      <c r="U292" s="357" t="e">
        <f>SUMIF(#REF!,funkcijska!$E292,#REF!)</f>
        <v>#REF!</v>
      </c>
      <c r="V292" s="357" t="e">
        <f>SUMIF(#REF!,funkcijska!$E292,#REF!)</f>
        <v>#REF!</v>
      </c>
      <c r="W292" s="357" t="e">
        <f>SUMIF(#REF!,funkcijska!$E292,#REF!)</f>
        <v>#REF!</v>
      </c>
      <c r="X292" s="357" t="e">
        <f>SUMIF(#REF!,funkcijska!$E292,#REF!)</f>
        <v>#REF!</v>
      </c>
      <c r="AD292" s="60"/>
      <c r="AE292" s="60"/>
      <c r="AF292" s="60"/>
      <c r="AG292" s="60"/>
      <c r="AH292" s="60"/>
      <c r="AI292" s="60"/>
      <c r="AJ292" s="60"/>
      <c r="AK292" s="60"/>
      <c r="AL292" s="60"/>
    </row>
    <row r="293" spans="1:38" s="376" customFormat="1" ht="18.75" customHeight="1" x14ac:dyDescent="0.25">
      <c r="A293" s="119"/>
      <c r="B293" s="119"/>
      <c r="C293" s="119"/>
      <c r="D293" s="119">
        <v>324</v>
      </c>
      <c r="E293" s="119"/>
      <c r="F293" s="368" t="s">
        <v>530</v>
      </c>
      <c r="G293" s="137" t="e">
        <f>G294</f>
        <v>#REF!</v>
      </c>
      <c r="H293" s="137" t="e">
        <f>H294</f>
        <v>#REF!</v>
      </c>
      <c r="I293" s="137" t="e">
        <f>I294</f>
        <v>#REF!</v>
      </c>
      <c r="J293" s="137" t="e">
        <f>J294</f>
        <v>#REF!</v>
      </c>
      <c r="K293" s="137" t="e">
        <f>K294</f>
        <v>#REF!</v>
      </c>
      <c r="L293" s="137" t="e">
        <f t="shared" si="142"/>
        <v>#REF!</v>
      </c>
      <c r="M293" s="137" t="e">
        <f t="shared" si="143"/>
        <v>#REF!</v>
      </c>
      <c r="N293" s="137" t="e">
        <f t="shared" ref="N293:X293" si="144">N294</f>
        <v>#REF!</v>
      </c>
      <c r="O293" s="137" t="e">
        <f t="shared" si="144"/>
        <v>#REF!</v>
      </c>
      <c r="P293" s="137" t="e">
        <f t="shared" si="144"/>
        <v>#REF!</v>
      </c>
      <c r="Q293" s="393" t="e">
        <f t="shared" si="144"/>
        <v>#REF!</v>
      </c>
      <c r="R293" s="137" t="e">
        <f t="shared" si="144"/>
        <v>#REF!</v>
      </c>
      <c r="S293" s="137" t="e">
        <f t="shared" si="144"/>
        <v>#REF!</v>
      </c>
      <c r="T293" s="137" t="e">
        <f t="shared" si="144"/>
        <v>#REF!</v>
      </c>
      <c r="U293" s="371" t="e">
        <f t="shared" si="144"/>
        <v>#REF!</v>
      </c>
      <c r="V293" s="371" t="e">
        <f t="shared" si="144"/>
        <v>#REF!</v>
      </c>
      <c r="W293" s="371" t="e">
        <f t="shared" si="144"/>
        <v>#REF!</v>
      </c>
      <c r="X293" s="371" t="e">
        <f t="shared" si="144"/>
        <v>#REF!</v>
      </c>
      <c r="Y293" s="372"/>
      <c r="Z293" s="372"/>
      <c r="AA293" s="372"/>
      <c r="AB293" s="372"/>
      <c r="AC293" s="372"/>
      <c r="AD293" s="375"/>
      <c r="AE293" s="375"/>
      <c r="AF293" s="375"/>
      <c r="AG293" s="375"/>
      <c r="AH293" s="375"/>
      <c r="AI293" s="375"/>
      <c r="AJ293" s="375"/>
      <c r="AK293" s="375"/>
      <c r="AL293" s="375"/>
    </row>
    <row r="294" spans="1:38" ht="16.5" customHeight="1" x14ac:dyDescent="0.25">
      <c r="A294" s="133"/>
      <c r="B294" s="133"/>
      <c r="C294" s="133"/>
      <c r="D294" s="133"/>
      <c r="E294" s="133">
        <v>3241</v>
      </c>
      <c r="F294" s="134" t="s">
        <v>530</v>
      </c>
      <c r="G294" s="82" t="e">
        <f>SUMIF(#REF!,funkcijska!$E294,#REF!)</f>
        <v>#REF!</v>
      </c>
      <c r="H294" s="82" t="e">
        <f>SUMIF(#REF!,funkcijska!$E294,#REF!)</f>
        <v>#REF!</v>
      </c>
      <c r="I294" s="82" t="e">
        <f>SUMIF(#REF!,funkcijska!$E294,#REF!)</f>
        <v>#REF!</v>
      </c>
      <c r="J294" s="82" t="e">
        <f>SUMIF(#REF!,funkcijska!$E294,#REF!)</f>
        <v>#REF!</v>
      </c>
      <c r="K294" s="82" t="e">
        <f>SUMIF(#REF!,funkcijska!$E294,#REF!)</f>
        <v>#REF!</v>
      </c>
      <c r="L294" s="82" t="e">
        <f t="shared" si="142"/>
        <v>#REF!</v>
      </c>
      <c r="M294" s="82" t="e">
        <f t="shared" si="143"/>
        <v>#REF!</v>
      </c>
      <c r="N294" s="82" t="e">
        <f>SUMIF(#REF!,funkcijska!$E294,#REF!)</f>
        <v>#REF!</v>
      </c>
      <c r="O294" s="82" t="e">
        <f>SUMIF(#REF!,funkcijska!$E294,#REF!)</f>
        <v>#REF!</v>
      </c>
      <c r="P294" s="82" t="e">
        <f>SUMIF(#REF!,funkcijska!$E294,#REF!)</f>
        <v>#REF!</v>
      </c>
      <c r="Q294" s="386" t="e">
        <f>SUMIF(#REF!,funkcijska!$E294,#REF!)</f>
        <v>#REF!</v>
      </c>
      <c r="R294" s="82" t="e">
        <f>SUMIF(#REF!,funkcijska!$E294,#REF!)</f>
        <v>#REF!</v>
      </c>
      <c r="S294" s="82" t="e">
        <f>SUMIF(#REF!,funkcijska!$E294,#REF!)</f>
        <v>#REF!</v>
      </c>
      <c r="T294" s="82" t="e">
        <f>SUMIF(#REF!,funkcijska!$E$45,#REF!)</f>
        <v>#REF!</v>
      </c>
      <c r="U294" s="357" t="e">
        <f>SUMIF(#REF!,funkcijska!$E294,#REF!)</f>
        <v>#REF!</v>
      </c>
      <c r="V294" s="357" t="e">
        <f>SUMIF(#REF!,funkcijska!$E294,#REF!)</f>
        <v>#REF!</v>
      </c>
      <c r="W294" s="357" t="e">
        <f>SUMIF(#REF!,funkcijska!$E294,#REF!)</f>
        <v>#REF!</v>
      </c>
      <c r="X294" s="357" t="e">
        <f>SUMIF(#REF!,funkcijska!$E294,#REF!)</f>
        <v>#REF!</v>
      </c>
      <c r="AD294" s="300"/>
      <c r="AE294" s="300"/>
      <c r="AF294" s="300"/>
      <c r="AG294" s="300"/>
      <c r="AH294" s="300"/>
      <c r="AI294" s="300"/>
      <c r="AJ294" s="300"/>
      <c r="AK294" s="60"/>
      <c r="AL294" s="60"/>
    </row>
    <row r="295" spans="1:38" s="376" customFormat="1" ht="16.5" customHeight="1" x14ac:dyDescent="0.25">
      <c r="A295" s="119"/>
      <c r="B295" s="119"/>
      <c r="C295" s="119"/>
      <c r="D295" s="119" t="str">
        <f>LEFT(E296,3)</f>
        <v>329</v>
      </c>
      <c r="E295" s="119"/>
      <c r="F295" s="368" t="s">
        <v>531</v>
      </c>
      <c r="G295" s="369" t="e">
        <f t="shared" ref="G295:X295" si="145">SUM(G296:G301)</f>
        <v>#REF!</v>
      </c>
      <c r="H295" s="370" t="e">
        <f t="shared" si="145"/>
        <v>#REF!</v>
      </c>
      <c r="I295" s="369" t="e">
        <f t="shared" si="145"/>
        <v>#REF!</v>
      </c>
      <c r="J295" s="369" t="e">
        <f t="shared" si="145"/>
        <v>#REF!</v>
      </c>
      <c r="K295" s="369" t="e">
        <f t="shared" si="145"/>
        <v>#REF!</v>
      </c>
      <c r="L295" s="369" t="e">
        <f t="shared" si="145"/>
        <v>#REF!</v>
      </c>
      <c r="M295" s="369" t="e">
        <f t="shared" si="145"/>
        <v>#REF!</v>
      </c>
      <c r="N295" s="369" t="e">
        <f t="shared" si="145"/>
        <v>#REF!</v>
      </c>
      <c r="O295" s="369" t="e">
        <f t="shared" si="145"/>
        <v>#REF!</v>
      </c>
      <c r="P295" s="369" t="e">
        <f t="shared" si="145"/>
        <v>#REF!</v>
      </c>
      <c r="Q295" s="392" t="e">
        <f t="shared" si="145"/>
        <v>#REF!</v>
      </c>
      <c r="R295" s="369" t="e">
        <f t="shared" si="145"/>
        <v>#REF!</v>
      </c>
      <c r="S295" s="369" t="e">
        <f t="shared" si="145"/>
        <v>#REF!</v>
      </c>
      <c r="T295" s="369" t="e">
        <f t="shared" si="145"/>
        <v>#REF!</v>
      </c>
      <c r="U295" s="371" t="e">
        <f t="shared" si="145"/>
        <v>#REF!</v>
      </c>
      <c r="V295" s="371" t="e">
        <f t="shared" si="145"/>
        <v>#REF!</v>
      </c>
      <c r="W295" s="371" t="e">
        <f t="shared" si="145"/>
        <v>#REF!</v>
      </c>
      <c r="X295" s="371" t="e">
        <f t="shared" si="145"/>
        <v>#REF!</v>
      </c>
      <c r="Y295" s="372"/>
      <c r="Z295" s="372"/>
      <c r="AA295" s="372"/>
      <c r="AB295" s="372"/>
      <c r="AC295" s="372"/>
      <c r="AD295" s="377"/>
      <c r="AE295" s="377"/>
      <c r="AF295" s="377"/>
      <c r="AG295" s="377"/>
      <c r="AH295" s="377"/>
      <c r="AI295" s="377"/>
      <c r="AJ295" s="377"/>
      <c r="AK295" s="375"/>
      <c r="AL295" s="375"/>
    </row>
    <row r="296" spans="1:38" ht="16.5" customHeight="1" x14ac:dyDescent="0.25">
      <c r="A296" s="133"/>
      <c r="B296" s="133"/>
      <c r="C296" s="133"/>
      <c r="D296" s="133"/>
      <c r="E296" s="133">
        <v>3291</v>
      </c>
      <c r="F296" s="134" t="s">
        <v>532</v>
      </c>
      <c r="G296" s="82" t="e">
        <f>SUMIF(#REF!,funkcijska!$E296,#REF!)</f>
        <v>#REF!</v>
      </c>
      <c r="H296" s="82" t="e">
        <f>SUMIF(#REF!,funkcijska!$E296,#REF!)</f>
        <v>#REF!</v>
      </c>
      <c r="I296" s="82" t="e">
        <f>SUMIF(#REF!,funkcijska!$E296,#REF!)</f>
        <v>#REF!</v>
      </c>
      <c r="J296" s="82" t="e">
        <f>SUMIF(#REF!,funkcijska!$E296,#REF!)</f>
        <v>#REF!</v>
      </c>
      <c r="K296" s="82" t="e">
        <f>SUMIF(#REF!,funkcijska!$E296,#REF!)</f>
        <v>#REF!</v>
      </c>
      <c r="L296" s="82" t="e">
        <f t="shared" ref="L296:L304" si="146">ROUND(K296/J296*100,2)</f>
        <v>#REF!</v>
      </c>
      <c r="M296" s="82" t="e">
        <f t="shared" ref="M296:M304" si="147">N296-J296</f>
        <v>#REF!</v>
      </c>
      <c r="N296" s="82" t="e">
        <f>SUMIF(#REF!,funkcijska!$E296,#REF!)</f>
        <v>#REF!</v>
      </c>
      <c r="O296" s="82" t="e">
        <f>SUMIF(#REF!,funkcijska!$E296,#REF!)</f>
        <v>#REF!</v>
      </c>
      <c r="P296" s="82" t="e">
        <f>SUMIF(#REF!,funkcijska!$E296,#REF!)</f>
        <v>#REF!</v>
      </c>
      <c r="Q296" s="386" t="e">
        <f>SUMIF(#REF!,funkcijska!$E296,#REF!)</f>
        <v>#REF!</v>
      </c>
      <c r="R296" s="82" t="e">
        <f>SUMIF(#REF!,funkcijska!$E296,#REF!)</f>
        <v>#REF!</v>
      </c>
      <c r="S296" s="82" t="e">
        <f>SUMIF(#REF!,funkcijska!$E296,#REF!)</f>
        <v>#REF!</v>
      </c>
      <c r="T296" s="82" t="e">
        <f>SUMIF(#REF!,funkcijska!$E$47,#REF!)</f>
        <v>#REF!</v>
      </c>
      <c r="U296" s="357" t="e">
        <f>SUMIF(#REF!,funkcijska!$E296,#REF!)</f>
        <v>#REF!</v>
      </c>
      <c r="V296" s="357" t="e">
        <f>SUMIF(#REF!,funkcijska!$E296,#REF!)</f>
        <v>#REF!</v>
      </c>
      <c r="W296" s="357" t="e">
        <f>SUMIF(#REF!,funkcijska!$E296,#REF!)</f>
        <v>#REF!</v>
      </c>
      <c r="X296" s="357" t="e">
        <f>SUMIF(#REF!,funkcijska!$E296,#REF!)</f>
        <v>#REF!</v>
      </c>
      <c r="AD296" s="300"/>
      <c r="AE296" s="300"/>
      <c r="AF296" s="300"/>
      <c r="AG296" s="300"/>
      <c r="AH296" s="300"/>
      <c r="AI296" s="300"/>
      <c r="AJ296" s="300"/>
      <c r="AK296" s="60"/>
      <c r="AL296" s="60"/>
    </row>
    <row r="297" spans="1:38" ht="18.75" customHeight="1" x14ac:dyDescent="0.25">
      <c r="A297" s="80"/>
      <c r="B297" s="80"/>
      <c r="C297" s="80"/>
      <c r="D297" s="80"/>
      <c r="E297" s="80">
        <v>3292</v>
      </c>
      <c r="F297" s="81" t="s">
        <v>399</v>
      </c>
      <c r="G297" s="82" t="e">
        <f>SUMIF(#REF!,funkcijska!$E297,#REF!)</f>
        <v>#REF!</v>
      </c>
      <c r="H297" s="82" t="e">
        <f>SUMIF(#REF!,funkcijska!$E297,#REF!)</f>
        <v>#REF!</v>
      </c>
      <c r="I297" s="82" t="e">
        <f>SUMIF(#REF!,funkcijska!$E297,#REF!)</f>
        <v>#REF!</v>
      </c>
      <c r="J297" s="82" t="e">
        <f>SUMIF(#REF!,funkcijska!$E297,#REF!)</f>
        <v>#REF!</v>
      </c>
      <c r="K297" s="82" t="e">
        <f>SUMIF(#REF!,funkcijska!$E297,#REF!)</f>
        <v>#REF!</v>
      </c>
      <c r="L297" s="82" t="e">
        <f t="shared" si="146"/>
        <v>#REF!</v>
      </c>
      <c r="M297" s="82" t="e">
        <f t="shared" si="147"/>
        <v>#REF!</v>
      </c>
      <c r="N297" s="82" t="e">
        <f>SUMIF(#REF!,funkcijska!$E297,#REF!)</f>
        <v>#REF!</v>
      </c>
      <c r="O297" s="82" t="e">
        <f>SUMIF(#REF!,funkcijska!$E297,#REF!)</f>
        <v>#REF!</v>
      </c>
      <c r="P297" s="82" t="e">
        <f>SUMIF(#REF!,funkcijska!$E297,#REF!)</f>
        <v>#REF!</v>
      </c>
      <c r="Q297" s="386" t="e">
        <f>SUMIF(#REF!,funkcijska!$E297,#REF!)</f>
        <v>#REF!</v>
      </c>
      <c r="R297" s="82" t="e">
        <f>SUMIF(#REF!,funkcijska!$E297,#REF!)</f>
        <v>#REF!</v>
      </c>
      <c r="S297" s="82" t="e">
        <f>SUMIF(#REF!,funkcijska!$E297,#REF!)</f>
        <v>#REF!</v>
      </c>
      <c r="T297" s="82" t="e">
        <f>SUMIF(#REF!,funkcijska!$E$48,#REF!)</f>
        <v>#REF!</v>
      </c>
      <c r="U297" s="357" t="e">
        <f>SUMIF(#REF!,funkcijska!$E297,#REF!)</f>
        <v>#REF!</v>
      </c>
      <c r="V297" s="357" t="e">
        <f>SUMIF(#REF!,funkcijska!$E297,#REF!)</f>
        <v>#REF!</v>
      </c>
      <c r="W297" s="357" t="e">
        <f>SUMIF(#REF!,funkcijska!$E297,#REF!)</f>
        <v>#REF!</v>
      </c>
      <c r="X297" s="357" t="e">
        <f>SUMIF(#REF!,funkcijska!$E297,#REF!)</f>
        <v>#REF!</v>
      </c>
      <c r="AD297" s="60"/>
      <c r="AE297" s="60"/>
      <c r="AF297" s="60"/>
      <c r="AG297" s="60"/>
      <c r="AH297" s="60"/>
      <c r="AI297" s="60"/>
      <c r="AJ297" s="60"/>
      <c r="AK297" s="60"/>
      <c r="AL297" s="60"/>
    </row>
    <row r="298" spans="1:38" ht="20.25" customHeight="1" x14ac:dyDescent="0.25">
      <c r="A298" s="80"/>
      <c r="B298" s="80"/>
      <c r="C298" s="80"/>
      <c r="D298" s="80"/>
      <c r="E298" s="80">
        <v>3293</v>
      </c>
      <c r="F298" s="81" t="s">
        <v>533</v>
      </c>
      <c r="G298" s="82" t="e">
        <f>SUMIF(#REF!,funkcijska!$E298,#REF!)</f>
        <v>#REF!</v>
      </c>
      <c r="H298" s="82" t="e">
        <f>SUMIF(#REF!,funkcijska!$E298,#REF!)</f>
        <v>#REF!</v>
      </c>
      <c r="I298" s="82" t="e">
        <f>SUMIF(#REF!,funkcijska!$E298,#REF!)</f>
        <v>#REF!</v>
      </c>
      <c r="J298" s="82" t="e">
        <f>SUMIF(#REF!,funkcijska!$E298,#REF!)</f>
        <v>#REF!</v>
      </c>
      <c r="K298" s="82" t="e">
        <f>SUMIF(#REF!,funkcijska!$E298,#REF!)</f>
        <v>#REF!</v>
      </c>
      <c r="L298" s="82" t="e">
        <f t="shared" si="146"/>
        <v>#REF!</v>
      </c>
      <c r="M298" s="82" t="e">
        <f t="shared" si="147"/>
        <v>#REF!</v>
      </c>
      <c r="N298" s="82" t="e">
        <f>SUMIF(#REF!,funkcijska!$E298,#REF!)</f>
        <v>#REF!</v>
      </c>
      <c r="O298" s="82" t="e">
        <f>SUMIF(#REF!,funkcijska!$E298,#REF!)</f>
        <v>#REF!</v>
      </c>
      <c r="P298" s="82" t="e">
        <f>SUMIF(#REF!,funkcijska!$E298,#REF!)</f>
        <v>#REF!</v>
      </c>
      <c r="Q298" s="386" t="e">
        <f>SUMIF(#REF!,funkcijska!$E298,#REF!)</f>
        <v>#REF!</v>
      </c>
      <c r="R298" s="82" t="e">
        <f>SUMIF(#REF!,funkcijska!$E298,#REF!)</f>
        <v>#REF!</v>
      </c>
      <c r="S298" s="82" t="e">
        <f>SUMIF(#REF!,funkcijska!$E298,#REF!)</f>
        <v>#REF!</v>
      </c>
      <c r="T298" s="82" t="e">
        <f>SUMIF(#REF!,funkcijska!$E$49,#REF!)</f>
        <v>#REF!</v>
      </c>
      <c r="U298" s="357" t="e">
        <f>SUMIF(#REF!,funkcijska!$E298,#REF!)</f>
        <v>#REF!</v>
      </c>
      <c r="V298" s="357" t="e">
        <f>SUMIF(#REF!,funkcijska!$E298,#REF!)</f>
        <v>#REF!</v>
      </c>
      <c r="W298" s="357" t="e">
        <f>SUMIF(#REF!,funkcijska!$E298,#REF!)</f>
        <v>#REF!</v>
      </c>
      <c r="X298" s="357" t="e">
        <f>SUMIF(#REF!,funkcijska!$E298,#REF!)</f>
        <v>#REF!</v>
      </c>
      <c r="AD298" s="60"/>
      <c r="AE298" s="60"/>
      <c r="AF298" s="60"/>
      <c r="AG298" s="60"/>
      <c r="AH298" s="60"/>
      <c r="AI298" s="60"/>
      <c r="AJ298" s="60"/>
      <c r="AK298" s="60"/>
      <c r="AL298" s="60"/>
    </row>
    <row r="299" spans="1:38" ht="17.25" customHeight="1" x14ac:dyDescent="0.25">
      <c r="A299" s="80"/>
      <c r="B299" s="80"/>
      <c r="C299" s="80"/>
      <c r="D299" s="80"/>
      <c r="E299" s="80">
        <v>3294</v>
      </c>
      <c r="F299" s="81" t="s">
        <v>567</v>
      </c>
      <c r="G299" s="82" t="e">
        <f>SUMIF(#REF!,funkcijska!$E299,#REF!)</f>
        <v>#REF!</v>
      </c>
      <c r="H299" s="82" t="e">
        <f>SUMIF(#REF!,funkcijska!$E299,#REF!)</f>
        <v>#REF!</v>
      </c>
      <c r="I299" s="82" t="e">
        <f>SUMIF(#REF!,funkcijska!$E299,#REF!)</f>
        <v>#REF!</v>
      </c>
      <c r="J299" s="82" t="e">
        <f>SUMIF(#REF!,funkcijska!$E299,#REF!)</f>
        <v>#REF!</v>
      </c>
      <c r="K299" s="82" t="e">
        <f>SUMIF(#REF!,funkcijska!$E299,#REF!)</f>
        <v>#REF!</v>
      </c>
      <c r="L299" s="82" t="e">
        <f t="shared" si="146"/>
        <v>#REF!</v>
      </c>
      <c r="M299" s="82" t="e">
        <f t="shared" si="147"/>
        <v>#REF!</v>
      </c>
      <c r="N299" s="82" t="e">
        <f>SUMIF(#REF!,funkcijska!$E299,#REF!)</f>
        <v>#REF!</v>
      </c>
      <c r="O299" s="82" t="e">
        <f>SUMIF(#REF!,funkcijska!$E299,#REF!)</f>
        <v>#REF!</v>
      </c>
      <c r="P299" s="82" t="e">
        <f>SUMIF(#REF!,funkcijska!$E299,#REF!)</f>
        <v>#REF!</v>
      </c>
      <c r="Q299" s="386" t="e">
        <f>SUMIF(#REF!,funkcijska!$E299,#REF!)</f>
        <v>#REF!</v>
      </c>
      <c r="R299" s="82" t="e">
        <f>SUMIF(#REF!,funkcijska!$E299,#REF!)</f>
        <v>#REF!</v>
      </c>
      <c r="S299" s="82" t="e">
        <f>SUMIF(#REF!,funkcijska!$E299,#REF!)</f>
        <v>#REF!</v>
      </c>
      <c r="T299" s="82" t="e">
        <f>SUMIF(#REF!,funkcijska!$E$50,#REF!)</f>
        <v>#REF!</v>
      </c>
      <c r="U299" s="357" t="e">
        <f>SUMIF(#REF!,funkcijska!$E299,#REF!)</f>
        <v>#REF!</v>
      </c>
      <c r="V299" s="357" t="e">
        <f>SUMIF(#REF!,funkcijska!$E299,#REF!)</f>
        <v>#REF!</v>
      </c>
      <c r="W299" s="357" t="e">
        <f>SUMIF(#REF!,funkcijska!$E299,#REF!)</f>
        <v>#REF!</v>
      </c>
      <c r="X299" s="357" t="e">
        <f>SUMIF(#REF!,funkcijska!$E299,#REF!)</f>
        <v>#REF!</v>
      </c>
      <c r="AD299" s="60"/>
      <c r="AE299" s="60"/>
      <c r="AF299" s="60"/>
      <c r="AG299" s="60"/>
      <c r="AH299" s="60"/>
      <c r="AI299" s="60"/>
      <c r="AJ299" s="60"/>
      <c r="AK299" s="60"/>
      <c r="AL299" s="60"/>
    </row>
    <row r="300" spans="1:38" ht="15.75" customHeight="1" x14ac:dyDescent="0.25">
      <c r="A300" s="80"/>
      <c r="B300" s="80"/>
      <c r="C300" s="80"/>
      <c r="D300" s="80"/>
      <c r="E300" s="80">
        <v>3295</v>
      </c>
      <c r="F300" s="81" t="s">
        <v>400</v>
      </c>
      <c r="G300" s="82" t="e">
        <f>SUMIF(#REF!,funkcijska!$E300,#REF!)</f>
        <v>#REF!</v>
      </c>
      <c r="H300" s="82" t="e">
        <f>SUMIF(#REF!,funkcijska!$E300,#REF!)</f>
        <v>#REF!</v>
      </c>
      <c r="I300" s="82" t="e">
        <f>SUMIF(#REF!,funkcijska!$E300,#REF!)</f>
        <v>#REF!</v>
      </c>
      <c r="J300" s="82" t="e">
        <f>SUMIF(#REF!,funkcijska!$E300,#REF!)</f>
        <v>#REF!</v>
      </c>
      <c r="K300" s="82" t="e">
        <f>SUMIF(#REF!,funkcijska!$E300,#REF!)</f>
        <v>#REF!</v>
      </c>
      <c r="L300" s="82" t="e">
        <f t="shared" si="146"/>
        <v>#REF!</v>
      </c>
      <c r="M300" s="82" t="e">
        <f t="shared" si="147"/>
        <v>#REF!</v>
      </c>
      <c r="N300" s="82" t="e">
        <f>SUMIF(#REF!,funkcijska!$E300,#REF!)</f>
        <v>#REF!</v>
      </c>
      <c r="O300" s="82" t="e">
        <f>SUMIF(#REF!,funkcijska!$E300,#REF!)</f>
        <v>#REF!</v>
      </c>
      <c r="P300" s="82" t="e">
        <f>SUMIF(#REF!,funkcijska!$E300,#REF!)</f>
        <v>#REF!</v>
      </c>
      <c r="Q300" s="386" t="e">
        <f>SUMIF(#REF!,funkcijska!$E300,#REF!)</f>
        <v>#REF!</v>
      </c>
      <c r="R300" s="82" t="e">
        <f>SUMIF(#REF!,funkcijska!$E300,#REF!)</f>
        <v>#REF!</v>
      </c>
      <c r="S300" s="82" t="e">
        <f>SUMIF(#REF!,funkcijska!$E300,#REF!)</f>
        <v>#REF!</v>
      </c>
      <c r="T300" s="82" t="e">
        <f>SUMIF(#REF!,funkcijska!$E$51,#REF!)</f>
        <v>#REF!</v>
      </c>
      <c r="U300" s="357" t="e">
        <f>SUMIF(#REF!,funkcijska!$E300,#REF!)</f>
        <v>#REF!</v>
      </c>
      <c r="V300" s="357" t="e">
        <f>SUMIF(#REF!,funkcijska!$E300,#REF!)</f>
        <v>#REF!</v>
      </c>
      <c r="W300" s="357" t="e">
        <f>SUMIF(#REF!,funkcijska!$E300,#REF!)</f>
        <v>#REF!</v>
      </c>
      <c r="X300" s="357" t="e">
        <f>SUMIF(#REF!,funkcijska!$E300,#REF!)</f>
        <v>#REF!</v>
      </c>
      <c r="AD300" s="60"/>
      <c r="AE300" s="60"/>
      <c r="AF300" s="60"/>
      <c r="AG300" s="60"/>
      <c r="AH300" s="60"/>
      <c r="AI300" s="60"/>
      <c r="AJ300" s="60"/>
      <c r="AK300" s="60"/>
      <c r="AL300" s="60"/>
    </row>
    <row r="301" spans="1:38" ht="15.75" customHeight="1" x14ac:dyDescent="0.25">
      <c r="A301" s="80"/>
      <c r="B301" s="80"/>
      <c r="C301" s="80"/>
      <c r="D301" s="80"/>
      <c r="E301" s="80">
        <v>3299</v>
      </c>
      <c r="F301" s="81" t="s">
        <v>531</v>
      </c>
      <c r="G301" s="82" t="e">
        <f>SUMIF(#REF!,funkcijska!$E301,#REF!)</f>
        <v>#REF!</v>
      </c>
      <c r="H301" s="82" t="e">
        <f>SUMIF(#REF!,funkcijska!$E301,#REF!)</f>
        <v>#REF!</v>
      </c>
      <c r="I301" s="82" t="e">
        <f>SUMIF(#REF!,funkcijska!$E301,#REF!)</f>
        <v>#REF!</v>
      </c>
      <c r="J301" s="82" t="e">
        <f>SUMIF(#REF!,funkcijska!$E301,#REF!)</f>
        <v>#REF!</v>
      </c>
      <c r="K301" s="82" t="e">
        <f>SUMIF(#REF!,funkcijska!$E301,#REF!)</f>
        <v>#REF!</v>
      </c>
      <c r="L301" s="82" t="e">
        <f t="shared" si="146"/>
        <v>#REF!</v>
      </c>
      <c r="M301" s="82" t="e">
        <f t="shared" si="147"/>
        <v>#REF!</v>
      </c>
      <c r="N301" s="82" t="e">
        <f>SUMIF(#REF!,funkcijska!$E301,#REF!)</f>
        <v>#REF!</v>
      </c>
      <c r="O301" s="82" t="e">
        <f>SUMIF(#REF!,funkcijska!$E301,#REF!)</f>
        <v>#REF!</v>
      </c>
      <c r="P301" s="82" t="e">
        <f>SUMIF(#REF!,funkcijska!$E301,#REF!)</f>
        <v>#REF!</v>
      </c>
      <c r="Q301" s="386" t="e">
        <f>SUMIF(#REF!,funkcijska!$E301,#REF!)</f>
        <v>#REF!</v>
      </c>
      <c r="R301" s="82" t="e">
        <f>SUMIF(#REF!,funkcijska!$E301,#REF!)</f>
        <v>#REF!</v>
      </c>
      <c r="S301" s="82" t="e">
        <f>SUMIF(#REF!,funkcijska!$E301,#REF!)</f>
        <v>#REF!</v>
      </c>
      <c r="T301" s="82" t="e">
        <f>SUMIF(#REF!,funkcijska!$E$52,#REF!)</f>
        <v>#REF!</v>
      </c>
      <c r="U301" s="357" t="e">
        <f>SUMIF(#REF!,funkcijska!$E301,#REF!)</f>
        <v>#REF!</v>
      </c>
      <c r="V301" s="357" t="e">
        <f>SUMIF(#REF!,funkcijska!$E301,#REF!)</f>
        <v>#REF!</v>
      </c>
      <c r="W301" s="357" t="e">
        <f>SUMIF(#REF!,funkcijska!$E301,#REF!)</f>
        <v>#REF!</v>
      </c>
      <c r="X301" s="357" t="e">
        <f>SUMIF(#REF!,funkcijska!$E301,#REF!)</f>
        <v>#REF!</v>
      </c>
      <c r="AD301" s="60"/>
      <c r="AE301" s="60"/>
      <c r="AF301" s="60"/>
      <c r="AG301" s="60"/>
      <c r="AH301" s="60"/>
      <c r="AI301" s="60"/>
      <c r="AJ301" s="60"/>
      <c r="AK301" s="60"/>
      <c r="AL301" s="60"/>
    </row>
    <row r="302" spans="1:38" ht="19.5" customHeight="1" x14ac:dyDescent="0.25">
      <c r="A302" s="125"/>
      <c r="B302" s="74"/>
      <c r="C302" s="74" t="str">
        <f>LEFT(E304,2)</f>
        <v>34</v>
      </c>
      <c r="D302" s="74"/>
      <c r="E302" s="74"/>
      <c r="F302" s="75" t="s">
        <v>208</v>
      </c>
      <c r="G302" s="77" t="e">
        <f>G303+G305</f>
        <v>#REF!</v>
      </c>
      <c r="H302" s="118" t="e">
        <f>H303+H305</f>
        <v>#REF!</v>
      </c>
      <c r="I302" s="77" t="e">
        <f>I303+I305</f>
        <v>#REF!</v>
      </c>
      <c r="J302" s="77" t="e">
        <f>J303+J305</f>
        <v>#REF!</v>
      </c>
      <c r="K302" s="77" t="e">
        <f>K303+K305</f>
        <v>#REF!</v>
      </c>
      <c r="L302" s="77" t="e">
        <f t="shared" si="146"/>
        <v>#REF!</v>
      </c>
      <c r="M302" s="77" t="e">
        <f t="shared" si="147"/>
        <v>#REF!</v>
      </c>
      <c r="N302" s="77" t="e">
        <f t="shared" ref="N302:X302" si="148">N303+N305</f>
        <v>#REF!</v>
      </c>
      <c r="O302" s="76" t="e">
        <f t="shared" si="148"/>
        <v>#REF!</v>
      </c>
      <c r="P302" s="76" t="e">
        <f t="shared" si="148"/>
        <v>#REF!</v>
      </c>
      <c r="Q302" s="385" t="e">
        <f t="shared" si="148"/>
        <v>#REF!</v>
      </c>
      <c r="R302" s="135" t="e">
        <f t="shared" si="148"/>
        <v>#REF!</v>
      </c>
      <c r="S302" s="135" t="e">
        <f t="shared" si="148"/>
        <v>#REF!</v>
      </c>
      <c r="T302" s="135" t="e">
        <f t="shared" si="148"/>
        <v>#REF!</v>
      </c>
      <c r="U302" s="356" t="e">
        <f t="shared" si="148"/>
        <v>#REF!</v>
      </c>
      <c r="V302" s="356" t="e">
        <f t="shared" si="148"/>
        <v>#REF!</v>
      </c>
      <c r="W302" s="356" t="e">
        <f t="shared" si="148"/>
        <v>#REF!</v>
      </c>
      <c r="X302" s="356" t="e">
        <f t="shared" si="148"/>
        <v>#REF!</v>
      </c>
      <c r="AD302" s="60"/>
      <c r="AE302" s="60"/>
      <c r="AF302" s="60"/>
      <c r="AG302" s="60"/>
      <c r="AH302" s="60"/>
      <c r="AI302" s="60"/>
      <c r="AJ302" s="60"/>
      <c r="AK302" s="60"/>
      <c r="AL302" s="60"/>
    </row>
    <row r="303" spans="1:38" s="373" customFormat="1" ht="22.5" hidden="1" customHeight="1" x14ac:dyDescent="0.25">
      <c r="A303" s="119"/>
      <c r="B303" s="119"/>
      <c r="C303" s="119"/>
      <c r="D303" s="119" t="str">
        <f>LEFT(E304,3)</f>
        <v>342</v>
      </c>
      <c r="E303" s="119"/>
      <c r="F303" s="368" t="s">
        <v>631</v>
      </c>
      <c r="G303" s="369" t="e">
        <f>G304</f>
        <v>#REF!</v>
      </c>
      <c r="H303" s="370" t="e">
        <f>H304</f>
        <v>#REF!</v>
      </c>
      <c r="I303" s="369" t="e">
        <f>I304</f>
        <v>#REF!</v>
      </c>
      <c r="J303" s="369" t="e">
        <f>J304</f>
        <v>#REF!</v>
      </c>
      <c r="K303" s="369" t="e">
        <f>K304</f>
        <v>#REF!</v>
      </c>
      <c r="L303" s="369" t="e">
        <f t="shared" si="146"/>
        <v>#REF!</v>
      </c>
      <c r="M303" s="369" t="e">
        <f t="shared" si="147"/>
        <v>#REF!</v>
      </c>
      <c r="N303" s="369" t="e">
        <f t="shared" ref="N303:X303" si="149">N304</f>
        <v>#REF!</v>
      </c>
      <c r="O303" s="137" t="e">
        <f t="shared" si="149"/>
        <v>#REF!</v>
      </c>
      <c r="P303" s="137" t="e">
        <f t="shared" si="149"/>
        <v>#REF!</v>
      </c>
      <c r="Q303" s="393" t="e">
        <f t="shared" si="149"/>
        <v>#REF!</v>
      </c>
      <c r="R303" s="137" t="e">
        <f t="shared" si="149"/>
        <v>#REF!</v>
      </c>
      <c r="S303" s="137" t="e">
        <f t="shared" si="149"/>
        <v>#REF!</v>
      </c>
      <c r="T303" s="137" t="e">
        <f t="shared" si="149"/>
        <v>#REF!</v>
      </c>
      <c r="U303" s="371" t="e">
        <f t="shared" si="149"/>
        <v>#REF!</v>
      </c>
      <c r="V303" s="371" t="e">
        <f t="shared" si="149"/>
        <v>#REF!</v>
      </c>
      <c r="W303" s="371" t="e">
        <f t="shared" si="149"/>
        <v>#REF!</v>
      </c>
      <c r="X303" s="371" t="e">
        <f t="shared" si="149"/>
        <v>#REF!</v>
      </c>
      <c r="Y303" s="372"/>
      <c r="Z303" s="372"/>
      <c r="AA303" s="372"/>
      <c r="AB303" s="372"/>
      <c r="AC303" s="372"/>
      <c r="AD303" s="372"/>
      <c r="AE303" s="372"/>
      <c r="AF303" s="372"/>
      <c r="AG303" s="372"/>
      <c r="AH303" s="372"/>
      <c r="AI303" s="372"/>
      <c r="AJ303" s="372"/>
      <c r="AK303" s="372"/>
      <c r="AL303" s="372"/>
    </row>
    <row r="304" spans="1:38" ht="38.25" hidden="1" customHeight="1" x14ac:dyDescent="0.25">
      <c r="A304" s="80"/>
      <c r="B304" s="80"/>
      <c r="C304" s="80"/>
      <c r="D304" s="80"/>
      <c r="E304" s="80">
        <v>3422</v>
      </c>
      <c r="F304" s="81" t="s">
        <v>358</v>
      </c>
      <c r="G304" s="82" t="e">
        <f>SUMIF(#REF!,funkcijska!$E304,#REF!)</f>
        <v>#REF!</v>
      </c>
      <c r="H304" s="82" t="e">
        <f>SUMIF(#REF!,funkcijska!$E304,#REF!)</f>
        <v>#REF!</v>
      </c>
      <c r="I304" s="82" t="e">
        <f>SUMIF(#REF!,funkcijska!$E304,#REF!)</f>
        <v>#REF!</v>
      </c>
      <c r="J304" s="82" t="e">
        <f>SUMIF(#REF!,funkcijska!$E304,#REF!)</f>
        <v>#REF!</v>
      </c>
      <c r="K304" s="82" t="e">
        <f>SUMIF(#REF!,funkcijska!$E304,#REF!)</f>
        <v>#REF!</v>
      </c>
      <c r="L304" s="82" t="e">
        <f t="shared" si="146"/>
        <v>#REF!</v>
      </c>
      <c r="M304" s="82" t="e">
        <f t="shared" si="147"/>
        <v>#REF!</v>
      </c>
      <c r="N304" s="82" t="e">
        <f>SUMIF(#REF!,funkcijska!$E304,#REF!)</f>
        <v>#REF!</v>
      </c>
      <c r="O304" s="82" t="e">
        <f>SUMIF(#REF!,funkcijska!$E304,#REF!)</f>
        <v>#REF!</v>
      </c>
      <c r="P304" s="82" t="e">
        <f>SUMIF(#REF!,funkcijska!$E304,#REF!)</f>
        <v>#REF!</v>
      </c>
      <c r="Q304" s="386" t="e">
        <f>SUMIF(#REF!,funkcijska!$E304,#REF!)</f>
        <v>#REF!</v>
      </c>
      <c r="R304" s="82" t="e">
        <f>SUMIF(#REF!,funkcijska!$E304,#REF!)</f>
        <v>#REF!</v>
      </c>
      <c r="S304" s="82" t="e">
        <f>SUMIF(#REF!,funkcijska!$E304,#REF!)</f>
        <v>#REF!</v>
      </c>
      <c r="T304" s="82" t="e">
        <f>SUMIF(#REF!,funkcijska!$E$55,#REF!)</f>
        <v>#REF!</v>
      </c>
      <c r="U304" s="357" t="e">
        <f>SUMIF(#REF!,funkcijska!$E304,#REF!)</f>
        <v>#REF!</v>
      </c>
      <c r="V304" s="357" t="e">
        <f>SUMIF(#REF!,funkcijska!$E304,#REF!)</f>
        <v>#REF!</v>
      </c>
      <c r="W304" s="357" t="e">
        <f>SUMIF(#REF!,funkcijska!$E304,#REF!)</f>
        <v>#REF!</v>
      </c>
      <c r="X304" s="357" t="e">
        <f>SUMIF(#REF!,funkcijska!$E304,#REF!)</f>
        <v>#REF!</v>
      </c>
      <c r="AD304" s="60"/>
      <c r="AE304" s="60"/>
      <c r="AF304" s="60"/>
      <c r="AG304" s="60"/>
      <c r="AH304" s="60"/>
      <c r="AI304" s="60"/>
      <c r="AJ304" s="60"/>
      <c r="AK304" s="60"/>
      <c r="AL304" s="60"/>
    </row>
    <row r="305" spans="1:38" s="373" customFormat="1" ht="17.25" customHeight="1" x14ac:dyDescent="0.25">
      <c r="A305" s="119"/>
      <c r="B305" s="119"/>
      <c r="C305" s="119"/>
      <c r="D305" s="119" t="str">
        <f>LEFT(E306,3)</f>
        <v>343</v>
      </c>
      <c r="E305" s="119"/>
      <c r="F305" s="368" t="s">
        <v>209</v>
      </c>
      <c r="G305" s="369" t="e">
        <f t="shared" ref="G305:X305" si="150">SUM(G306:G308)</f>
        <v>#REF!</v>
      </c>
      <c r="H305" s="370" t="e">
        <f t="shared" si="150"/>
        <v>#REF!</v>
      </c>
      <c r="I305" s="369" t="e">
        <f t="shared" si="150"/>
        <v>#REF!</v>
      </c>
      <c r="J305" s="369" t="e">
        <f t="shared" si="150"/>
        <v>#REF!</v>
      </c>
      <c r="K305" s="369" t="e">
        <f t="shared" si="150"/>
        <v>#REF!</v>
      </c>
      <c r="L305" s="369" t="e">
        <f t="shared" si="150"/>
        <v>#REF!</v>
      </c>
      <c r="M305" s="369" t="e">
        <f t="shared" si="150"/>
        <v>#REF!</v>
      </c>
      <c r="N305" s="369" t="e">
        <f t="shared" si="150"/>
        <v>#REF!</v>
      </c>
      <c r="O305" s="369" t="e">
        <f t="shared" si="150"/>
        <v>#REF!</v>
      </c>
      <c r="P305" s="369" t="e">
        <f t="shared" si="150"/>
        <v>#REF!</v>
      </c>
      <c r="Q305" s="392" t="e">
        <f t="shared" si="150"/>
        <v>#REF!</v>
      </c>
      <c r="R305" s="369" t="e">
        <f t="shared" si="150"/>
        <v>#REF!</v>
      </c>
      <c r="S305" s="369" t="e">
        <f t="shared" si="150"/>
        <v>#REF!</v>
      </c>
      <c r="T305" s="369" t="e">
        <f t="shared" si="150"/>
        <v>#REF!</v>
      </c>
      <c r="U305" s="371" t="e">
        <f t="shared" si="150"/>
        <v>#REF!</v>
      </c>
      <c r="V305" s="371" t="e">
        <f t="shared" si="150"/>
        <v>#REF!</v>
      </c>
      <c r="W305" s="371" t="e">
        <f t="shared" si="150"/>
        <v>#REF!</v>
      </c>
      <c r="X305" s="371" t="e">
        <f t="shared" si="150"/>
        <v>#REF!</v>
      </c>
      <c r="Y305" s="372"/>
      <c r="Z305" s="372"/>
      <c r="AA305" s="372"/>
      <c r="AB305" s="372"/>
      <c r="AC305" s="372"/>
      <c r="AD305" s="372"/>
      <c r="AE305" s="372"/>
      <c r="AF305" s="372"/>
      <c r="AG305" s="372"/>
      <c r="AH305" s="372"/>
      <c r="AI305" s="372"/>
      <c r="AJ305" s="372"/>
      <c r="AK305" s="372"/>
      <c r="AL305" s="372"/>
    </row>
    <row r="306" spans="1:38" ht="18.75" customHeight="1" x14ac:dyDescent="0.25">
      <c r="A306" s="80"/>
      <c r="B306" s="80"/>
      <c r="C306" s="80"/>
      <c r="D306" s="80"/>
      <c r="E306" s="80">
        <v>3431</v>
      </c>
      <c r="F306" s="81" t="s">
        <v>211</v>
      </c>
      <c r="G306" s="82" t="e">
        <f>SUMIF(#REF!,funkcijska!$E306,#REF!)</f>
        <v>#REF!</v>
      </c>
      <c r="H306" s="82" t="e">
        <f>SUMIF(#REF!,funkcijska!$E306,#REF!)</f>
        <v>#REF!</v>
      </c>
      <c r="I306" s="82" t="e">
        <f>SUMIF(#REF!,funkcijska!$E306,#REF!)</f>
        <v>#REF!</v>
      </c>
      <c r="J306" s="82" t="e">
        <f>SUMIF(#REF!,funkcijska!$E306,#REF!)</f>
        <v>#REF!</v>
      </c>
      <c r="K306" s="82" t="e">
        <f>SUMIF(#REF!,funkcijska!$E306,#REF!)</f>
        <v>#REF!</v>
      </c>
      <c r="L306" s="82" t="e">
        <f>ROUND(K306/J306*100,2)</f>
        <v>#REF!</v>
      </c>
      <c r="M306" s="82" t="e">
        <f>N306-J306</f>
        <v>#REF!</v>
      </c>
      <c r="N306" s="82" t="e">
        <f>SUMIF(#REF!,funkcijska!$E306,#REF!)</f>
        <v>#REF!</v>
      </c>
      <c r="O306" s="82" t="e">
        <f>SUMIF(#REF!,funkcijska!$E306,#REF!)</f>
        <v>#REF!</v>
      </c>
      <c r="P306" s="82" t="e">
        <f>SUMIF(#REF!,funkcijska!$E306,#REF!)</f>
        <v>#REF!</v>
      </c>
      <c r="Q306" s="386" t="e">
        <f>SUMIF(#REF!,funkcijska!$E306,#REF!)</f>
        <v>#REF!</v>
      </c>
      <c r="R306" s="82" t="e">
        <f>SUMIF(#REF!,funkcijska!$E306,#REF!)</f>
        <v>#REF!</v>
      </c>
      <c r="S306" s="82" t="e">
        <f>SUMIF(#REF!,funkcijska!$E306,#REF!)</f>
        <v>#REF!</v>
      </c>
      <c r="T306" s="82" t="e">
        <f>SUMIF(#REF!,funkcijska!$E$57,#REF!)</f>
        <v>#REF!</v>
      </c>
      <c r="U306" s="357" t="e">
        <f>SUMIF(#REF!,funkcijska!$E306,#REF!)</f>
        <v>#REF!</v>
      </c>
      <c r="V306" s="357" t="e">
        <f>SUMIF(#REF!,funkcijska!$E306,#REF!)</f>
        <v>#REF!</v>
      </c>
      <c r="W306" s="357" t="e">
        <f>SUMIF(#REF!,funkcijska!$E306,#REF!)</f>
        <v>#REF!</v>
      </c>
      <c r="X306" s="357" t="e">
        <f>SUMIF(#REF!,funkcijska!$E306,#REF!)</f>
        <v>#REF!</v>
      </c>
      <c r="AD306" s="60"/>
      <c r="AE306" s="60"/>
      <c r="AF306" s="60"/>
      <c r="AG306" s="60"/>
      <c r="AH306" s="60"/>
      <c r="AI306" s="60"/>
      <c r="AJ306" s="60"/>
      <c r="AK306" s="60"/>
      <c r="AL306" s="60"/>
    </row>
    <row r="307" spans="1:38" ht="18.75" hidden="1" customHeight="1" x14ac:dyDescent="0.25">
      <c r="A307" s="80"/>
      <c r="B307" s="80"/>
      <c r="C307" s="80"/>
      <c r="D307" s="80"/>
      <c r="E307" s="80">
        <v>3433</v>
      </c>
      <c r="F307" s="81" t="s">
        <v>402</v>
      </c>
      <c r="G307" s="82" t="e">
        <f>SUMIF(#REF!,funkcijska!$E307,#REF!)</f>
        <v>#REF!</v>
      </c>
      <c r="H307" s="82" t="e">
        <f>SUMIF(#REF!,funkcijska!$E307,#REF!)</f>
        <v>#REF!</v>
      </c>
      <c r="I307" s="82" t="e">
        <f>SUMIF(#REF!,funkcijska!$E307,#REF!)</f>
        <v>#REF!</v>
      </c>
      <c r="J307" s="82" t="e">
        <f>SUMIF(#REF!,funkcijska!$E307,#REF!)</f>
        <v>#REF!</v>
      </c>
      <c r="K307" s="82" t="e">
        <f>SUMIF(#REF!,funkcijska!$E307,#REF!)</f>
        <v>#REF!</v>
      </c>
      <c r="L307" s="82" t="e">
        <f>ROUND(K307/J307*100,2)</f>
        <v>#REF!</v>
      </c>
      <c r="M307" s="82" t="e">
        <f>N307-J307</f>
        <v>#REF!</v>
      </c>
      <c r="N307" s="82" t="e">
        <f>SUMIF(#REF!,funkcijska!$E307,#REF!)</f>
        <v>#REF!</v>
      </c>
      <c r="O307" s="82" t="e">
        <f>SUMIF(#REF!,funkcijska!$E307,#REF!)</f>
        <v>#REF!</v>
      </c>
      <c r="P307" s="82" t="e">
        <f>SUMIF(#REF!,funkcijska!$E307,#REF!)</f>
        <v>#REF!</v>
      </c>
      <c r="Q307" s="386" t="e">
        <f>SUMIF(#REF!,funkcijska!$E307,#REF!)</f>
        <v>#REF!</v>
      </c>
      <c r="R307" s="82" t="e">
        <f>SUMIF(#REF!,funkcijska!$E307,#REF!)</f>
        <v>#REF!</v>
      </c>
      <c r="S307" s="82" t="e">
        <f>SUMIF(#REF!,funkcijska!$E307,#REF!)</f>
        <v>#REF!</v>
      </c>
      <c r="T307" s="82" t="e">
        <f>SUMIF(#REF!,funkcijska!$E$58,#REF!)</f>
        <v>#REF!</v>
      </c>
      <c r="U307" s="357" t="e">
        <f>SUMIF(#REF!,funkcijska!$E307,#REF!)</f>
        <v>#REF!</v>
      </c>
      <c r="V307" s="357" t="e">
        <f>SUMIF(#REF!,funkcijska!$E307,#REF!)</f>
        <v>#REF!</v>
      </c>
      <c r="W307" s="357" t="e">
        <f>SUMIF(#REF!,funkcijska!$E307,#REF!)</f>
        <v>#REF!</v>
      </c>
      <c r="X307" s="357" t="e">
        <f>SUMIF(#REF!,funkcijska!$E307,#REF!)</f>
        <v>#REF!</v>
      </c>
      <c r="AD307" s="60"/>
      <c r="AE307" s="60"/>
      <c r="AF307" s="60"/>
      <c r="AG307" s="60"/>
      <c r="AH307" s="60"/>
      <c r="AI307" s="60"/>
      <c r="AJ307" s="60"/>
      <c r="AK307" s="60"/>
      <c r="AL307" s="60"/>
    </row>
    <row r="308" spans="1:38" ht="24" hidden="1" customHeight="1" x14ac:dyDescent="0.25">
      <c r="A308" s="80"/>
      <c r="B308" s="80"/>
      <c r="C308" s="80"/>
      <c r="D308" s="80"/>
      <c r="E308" s="80">
        <v>3434</v>
      </c>
      <c r="F308" s="81" t="s">
        <v>403</v>
      </c>
      <c r="G308" s="82" t="e">
        <f>SUMIF(#REF!,funkcijska!$E308,#REF!)</f>
        <v>#REF!</v>
      </c>
      <c r="H308" s="82" t="e">
        <f>SUMIF(#REF!,funkcijska!$E308,#REF!)</f>
        <v>#REF!</v>
      </c>
      <c r="I308" s="82" t="e">
        <f>SUMIF(#REF!,funkcijska!$E308,#REF!)</f>
        <v>#REF!</v>
      </c>
      <c r="J308" s="82" t="e">
        <f>SUMIF(#REF!,funkcijska!$E308,#REF!)</f>
        <v>#REF!</v>
      </c>
      <c r="K308" s="82" t="e">
        <f>SUMIF(#REF!,funkcijska!$E308,#REF!)</f>
        <v>#REF!</v>
      </c>
      <c r="L308" s="82" t="e">
        <f>ROUND(K308/J308*100,2)</f>
        <v>#REF!</v>
      </c>
      <c r="M308" s="82" t="e">
        <f>N308-J308</f>
        <v>#REF!</v>
      </c>
      <c r="N308" s="82" t="e">
        <f>SUMIF(#REF!,funkcijska!$E308,#REF!)</f>
        <v>#REF!</v>
      </c>
      <c r="O308" s="82" t="e">
        <f>SUMIF(#REF!,funkcijska!$E308,#REF!)</f>
        <v>#REF!</v>
      </c>
      <c r="P308" s="82" t="e">
        <f>SUMIF(#REF!,funkcijska!$E308,#REF!)</f>
        <v>#REF!</v>
      </c>
      <c r="Q308" s="386" t="e">
        <f>SUMIF(#REF!,funkcijska!$E308,#REF!)</f>
        <v>#REF!</v>
      </c>
      <c r="R308" s="82" t="e">
        <f>SUMIF(#REF!,funkcijska!$E308,#REF!)</f>
        <v>#REF!</v>
      </c>
      <c r="S308" s="82" t="e">
        <f>SUMIF(#REF!,funkcijska!$E308,#REF!)</f>
        <v>#REF!</v>
      </c>
      <c r="T308" s="82" t="e">
        <f>SUMIF(#REF!,funkcijska!$E$59,#REF!)</f>
        <v>#REF!</v>
      </c>
      <c r="U308" s="357" t="e">
        <f>SUMIF(#REF!,funkcijska!$E308,#REF!)</f>
        <v>#REF!</v>
      </c>
      <c r="V308" s="357" t="e">
        <f>SUMIF(#REF!,funkcijska!$E308,#REF!)</f>
        <v>#REF!</v>
      </c>
      <c r="W308" s="357" t="e">
        <f>SUMIF(#REF!,funkcijska!$E308,#REF!)</f>
        <v>#REF!</v>
      </c>
      <c r="X308" s="357" t="e">
        <f>SUMIF(#REF!,funkcijska!$E308,#REF!)</f>
        <v>#REF!</v>
      </c>
      <c r="AD308" s="60"/>
      <c r="AE308" s="60"/>
      <c r="AF308" s="60"/>
      <c r="AG308" s="60"/>
      <c r="AH308" s="60"/>
      <c r="AI308" s="60"/>
      <c r="AJ308" s="60"/>
      <c r="AK308" s="60"/>
      <c r="AL308" s="60"/>
    </row>
    <row r="309" spans="1:38" ht="18" hidden="1" customHeight="1" x14ac:dyDescent="0.25">
      <c r="A309" s="125"/>
      <c r="B309" s="74"/>
      <c r="C309" s="74" t="str">
        <f>LEFT(E315,2)</f>
        <v>35</v>
      </c>
      <c r="D309" s="74"/>
      <c r="E309" s="74"/>
      <c r="F309" s="75" t="s">
        <v>747</v>
      </c>
      <c r="G309" s="77" t="e">
        <f>G310+G313</f>
        <v>#REF!</v>
      </c>
      <c r="H309" s="118" t="e">
        <f>H310+H313</f>
        <v>#REF!</v>
      </c>
      <c r="I309" s="77" t="e">
        <f>I310+I313</f>
        <v>#REF!</v>
      </c>
      <c r="J309" s="77" t="e">
        <f>J310+J313</f>
        <v>#REF!</v>
      </c>
      <c r="K309" s="77" t="e">
        <f>K310+K313</f>
        <v>#REF!</v>
      </c>
      <c r="L309" s="77" t="e">
        <f>ROUND(K309/J309*100,2)</f>
        <v>#REF!</v>
      </c>
      <c r="M309" s="77" t="e">
        <f>N309-J309</f>
        <v>#REF!</v>
      </c>
      <c r="N309" s="77" t="e">
        <f t="shared" ref="N309:X309" si="151">N310+N313</f>
        <v>#REF!</v>
      </c>
      <c r="O309" s="76" t="e">
        <f t="shared" si="151"/>
        <v>#REF!</v>
      </c>
      <c r="P309" s="76" t="e">
        <f t="shared" si="151"/>
        <v>#REF!</v>
      </c>
      <c r="Q309" s="385" t="e">
        <f t="shared" si="151"/>
        <v>#REF!</v>
      </c>
      <c r="R309" s="135" t="e">
        <f t="shared" si="151"/>
        <v>#REF!</v>
      </c>
      <c r="S309" s="135" t="e">
        <f t="shared" si="151"/>
        <v>#REF!</v>
      </c>
      <c r="T309" s="135" t="e">
        <f t="shared" si="151"/>
        <v>#REF!</v>
      </c>
      <c r="U309" s="356" t="e">
        <f t="shared" si="151"/>
        <v>#REF!</v>
      </c>
      <c r="V309" s="356" t="e">
        <f t="shared" si="151"/>
        <v>#REF!</v>
      </c>
      <c r="W309" s="356" t="e">
        <f t="shared" si="151"/>
        <v>#REF!</v>
      </c>
      <c r="X309" s="356" t="e">
        <f t="shared" si="151"/>
        <v>#REF!</v>
      </c>
      <c r="AD309" s="60"/>
      <c r="AE309" s="60"/>
      <c r="AF309" s="60"/>
      <c r="AG309" s="60"/>
      <c r="AH309" s="60"/>
      <c r="AI309" s="60"/>
      <c r="AJ309" s="60"/>
      <c r="AK309" s="60"/>
      <c r="AL309" s="60"/>
    </row>
    <row r="310" spans="1:38" s="373" customFormat="1" ht="20.25" hidden="1" customHeight="1" x14ac:dyDescent="0.25">
      <c r="A310" s="119"/>
      <c r="B310" s="119"/>
      <c r="C310" s="119"/>
      <c r="D310" s="119" t="s">
        <v>1018</v>
      </c>
      <c r="E310" s="119"/>
      <c r="F310" s="368" t="s">
        <v>752</v>
      </c>
      <c r="G310" s="369" t="e">
        <f>G311</f>
        <v>#REF!</v>
      </c>
      <c r="H310" s="370" t="e">
        <f>H311</f>
        <v>#REF!</v>
      </c>
      <c r="I310" s="369" t="e">
        <f t="shared" ref="I310:X310" si="152">I311+I312</f>
        <v>#REF!</v>
      </c>
      <c r="J310" s="369" t="e">
        <f t="shared" si="152"/>
        <v>#REF!</v>
      </c>
      <c r="K310" s="369" t="e">
        <f t="shared" si="152"/>
        <v>#REF!</v>
      </c>
      <c r="L310" s="369" t="e">
        <f t="shared" si="152"/>
        <v>#REF!</v>
      </c>
      <c r="M310" s="369" t="e">
        <f t="shared" si="152"/>
        <v>#REF!</v>
      </c>
      <c r="N310" s="369" t="e">
        <f t="shared" si="152"/>
        <v>#REF!</v>
      </c>
      <c r="O310" s="369" t="e">
        <f t="shared" si="152"/>
        <v>#REF!</v>
      </c>
      <c r="P310" s="369" t="e">
        <f t="shared" si="152"/>
        <v>#REF!</v>
      </c>
      <c r="Q310" s="392" t="e">
        <f t="shared" si="152"/>
        <v>#REF!</v>
      </c>
      <c r="R310" s="369" t="e">
        <f t="shared" si="152"/>
        <v>#REF!</v>
      </c>
      <c r="S310" s="369" t="e">
        <f t="shared" si="152"/>
        <v>#REF!</v>
      </c>
      <c r="T310" s="369" t="e">
        <f t="shared" si="152"/>
        <v>#REF!</v>
      </c>
      <c r="U310" s="371" t="e">
        <f t="shared" si="152"/>
        <v>#REF!</v>
      </c>
      <c r="V310" s="371" t="e">
        <f t="shared" si="152"/>
        <v>#REF!</v>
      </c>
      <c r="W310" s="371" t="e">
        <f t="shared" si="152"/>
        <v>#REF!</v>
      </c>
      <c r="X310" s="371" t="e">
        <f t="shared" si="152"/>
        <v>#REF!</v>
      </c>
      <c r="Y310" s="372"/>
      <c r="Z310" s="372"/>
      <c r="AA310" s="372"/>
      <c r="AB310" s="372"/>
      <c r="AC310" s="372"/>
      <c r="AD310" s="372"/>
      <c r="AE310" s="372"/>
      <c r="AF310" s="372"/>
      <c r="AG310" s="372"/>
      <c r="AH310" s="372"/>
      <c r="AI310" s="372"/>
      <c r="AJ310" s="372"/>
      <c r="AK310" s="372"/>
      <c r="AL310" s="372"/>
    </row>
    <row r="311" spans="1:38" ht="42.75" hidden="1" customHeight="1" x14ac:dyDescent="0.25">
      <c r="A311" s="80"/>
      <c r="B311" s="80"/>
      <c r="C311" s="80"/>
      <c r="D311" s="80"/>
      <c r="E311" s="80">
        <v>3511</v>
      </c>
      <c r="F311" s="81" t="s">
        <v>323</v>
      </c>
      <c r="G311" s="82" t="e">
        <f>SUMIF(#REF!,funkcijska!$E311,#REF!)</f>
        <v>#REF!</v>
      </c>
      <c r="H311" s="82" t="e">
        <f>SUMIF(#REF!,funkcijska!$E311,#REF!)</f>
        <v>#REF!</v>
      </c>
      <c r="I311" s="82" t="e">
        <f>SUMIF(#REF!,funkcijska!$E311,#REF!)</f>
        <v>#REF!</v>
      </c>
      <c r="J311" s="82" t="e">
        <f>SUMIF(#REF!,funkcijska!$E311,#REF!)</f>
        <v>#REF!</v>
      </c>
      <c r="K311" s="82" t="e">
        <f>SUMIF(#REF!,funkcijska!$E311,#REF!)</f>
        <v>#REF!</v>
      </c>
      <c r="L311" s="82" t="e">
        <f>ROUND(K311/J311*100,2)</f>
        <v>#REF!</v>
      </c>
      <c r="M311" s="82" t="e">
        <f>N311-J311</f>
        <v>#REF!</v>
      </c>
      <c r="N311" s="82" t="e">
        <f>SUMIF(#REF!,funkcijska!$E311,#REF!)</f>
        <v>#REF!</v>
      </c>
      <c r="O311" s="82" t="e">
        <f>SUMIF(#REF!,funkcijska!$E311,#REF!)</f>
        <v>#REF!</v>
      </c>
      <c r="P311" s="82" t="e">
        <f>SUMIF(#REF!,funkcijska!$E311,#REF!)</f>
        <v>#REF!</v>
      </c>
      <c r="Q311" s="386" t="e">
        <f>SUMIF(#REF!,funkcijska!$E311,#REF!)</f>
        <v>#REF!</v>
      </c>
      <c r="R311" s="82" t="e">
        <f>SUMIF(#REF!,funkcijska!$E311,#REF!)</f>
        <v>#REF!</v>
      </c>
      <c r="S311" s="82" t="e">
        <f>SUMIF(#REF!,funkcijska!$E311,#REF!)</f>
        <v>#REF!</v>
      </c>
      <c r="T311" s="82" t="e">
        <f>SUMIF(#REF!,funkcijska!$E$62,#REF!)</f>
        <v>#REF!</v>
      </c>
      <c r="U311" s="357" t="e">
        <f>SUMIF(#REF!,funkcijska!$E311,#REF!)</f>
        <v>#REF!</v>
      </c>
      <c r="V311" s="357" t="e">
        <f>SUMIF(#REF!,funkcijska!$E311,#REF!)</f>
        <v>#REF!</v>
      </c>
      <c r="W311" s="357" t="e">
        <f>SUMIF(#REF!,funkcijska!$E311,#REF!)</f>
        <v>#REF!</v>
      </c>
      <c r="X311" s="357" t="e">
        <f>SUMIF(#REF!,funkcijska!$E311,#REF!)</f>
        <v>#REF!</v>
      </c>
      <c r="AD311" s="60"/>
      <c r="AE311" s="60"/>
      <c r="AF311" s="60"/>
      <c r="AG311" s="60"/>
      <c r="AH311" s="60"/>
      <c r="AI311" s="60"/>
      <c r="AJ311" s="60"/>
      <c r="AK311" s="60"/>
      <c r="AL311" s="60"/>
    </row>
    <row r="312" spans="1:38" ht="23.25" hidden="1" customHeight="1" x14ac:dyDescent="0.25">
      <c r="A312" s="80"/>
      <c r="B312" s="80"/>
      <c r="C312" s="80"/>
      <c r="D312" s="80"/>
      <c r="E312" s="136">
        <v>3512</v>
      </c>
      <c r="F312" s="81" t="s">
        <v>752</v>
      </c>
      <c r="G312" s="82" t="e">
        <f>SUMIF(#REF!,funkcijska!$E312,#REF!)</f>
        <v>#REF!</v>
      </c>
      <c r="H312" s="82" t="e">
        <f>SUMIF(#REF!,funkcijska!$E312,#REF!)</f>
        <v>#REF!</v>
      </c>
      <c r="I312" s="82" t="e">
        <f>SUMIF(#REF!,funkcijska!$E312,#REF!)</f>
        <v>#REF!</v>
      </c>
      <c r="J312" s="82" t="e">
        <f>SUMIF(#REF!,funkcijska!$E312,#REF!)</f>
        <v>#REF!</v>
      </c>
      <c r="K312" s="82" t="e">
        <f>SUMIF(#REF!,funkcijska!$E312,#REF!)</f>
        <v>#REF!</v>
      </c>
      <c r="L312" s="82" t="e">
        <f>ROUND(K312/J312*100,2)</f>
        <v>#REF!</v>
      </c>
      <c r="M312" s="82" t="e">
        <f>N312-J312</f>
        <v>#REF!</v>
      </c>
      <c r="N312" s="82" t="e">
        <f>SUMIF(#REF!,funkcijska!$E312,#REF!)</f>
        <v>#REF!</v>
      </c>
      <c r="O312" s="82" t="e">
        <f>SUMIF(#REF!,funkcijska!$E312,#REF!)</f>
        <v>#REF!</v>
      </c>
      <c r="P312" s="82" t="e">
        <f>SUMIF(#REF!,funkcijska!$E312,#REF!)</f>
        <v>#REF!</v>
      </c>
      <c r="Q312" s="386" t="e">
        <f>SUMIF(#REF!,funkcijska!$E312,#REF!)</f>
        <v>#REF!</v>
      </c>
      <c r="R312" s="82" t="e">
        <f>SUMIF(#REF!,funkcijska!$E312,#REF!)</f>
        <v>#REF!</v>
      </c>
      <c r="S312" s="82" t="e">
        <f>SUMIF(#REF!,funkcijska!$E312,#REF!)</f>
        <v>#REF!</v>
      </c>
      <c r="T312" s="82" t="e">
        <f>SUMIF(#REF!,funkcijska!$E$63,#REF!)</f>
        <v>#REF!</v>
      </c>
      <c r="U312" s="357" t="e">
        <f>SUMIF(#REF!,funkcijska!$E312,#REF!)</f>
        <v>#REF!</v>
      </c>
      <c r="V312" s="357" t="e">
        <f>SUMIF(#REF!,funkcijska!$E312,#REF!)</f>
        <v>#REF!</v>
      </c>
      <c r="W312" s="357" t="e">
        <f>SUMIF(#REF!,funkcijska!$E312,#REF!)</f>
        <v>#REF!</v>
      </c>
      <c r="X312" s="357" t="e">
        <f>SUMIF(#REF!,funkcijska!$E312,#REF!)</f>
        <v>#REF!</v>
      </c>
      <c r="AD312" s="60"/>
      <c r="AE312" s="60"/>
      <c r="AF312" s="60"/>
      <c r="AG312" s="60"/>
      <c r="AH312" s="60"/>
      <c r="AI312" s="60"/>
      <c r="AJ312" s="60"/>
      <c r="AK312" s="60"/>
      <c r="AL312" s="60"/>
    </row>
    <row r="313" spans="1:38" s="373" customFormat="1" ht="54.75" hidden="1" customHeight="1" x14ac:dyDescent="0.25">
      <c r="A313" s="119"/>
      <c r="B313" s="119"/>
      <c r="C313" s="119"/>
      <c r="D313" s="119" t="str">
        <f>LEFT(E315,3)</f>
        <v>352</v>
      </c>
      <c r="E313" s="119"/>
      <c r="F313" s="368" t="s">
        <v>748</v>
      </c>
      <c r="G313" s="137" t="e">
        <f t="shared" ref="G313:X313" si="153">G315+G314</f>
        <v>#REF!</v>
      </c>
      <c r="H313" s="137" t="e">
        <f t="shared" si="153"/>
        <v>#REF!</v>
      </c>
      <c r="I313" s="137" t="e">
        <f t="shared" si="153"/>
        <v>#REF!</v>
      </c>
      <c r="J313" s="137" t="e">
        <f t="shared" si="153"/>
        <v>#REF!</v>
      </c>
      <c r="K313" s="137" t="e">
        <f t="shared" si="153"/>
        <v>#REF!</v>
      </c>
      <c r="L313" s="137" t="e">
        <f t="shared" si="153"/>
        <v>#REF!</v>
      </c>
      <c r="M313" s="137" t="e">
        <f t="shared" si="153"/>
        <v>#REF!</v>
      </c>
      <c r="N313" s="137" t="e">
        <f t="shared" si="153"/>
        <v>#REF!</v>
      </c>
      <c r="O313" s="137" t="e">
        <f t="shared" si="153"/>
        <v>#REF!</v>
      </c>
      <c r="P313" s="137" t="e">
        <f t="shared" si="153"/>
        <v>#REF!</v>
      </c>
      <c r="Q313" s="393" t="e">
        <f t="shared" si="153"/>
        <v>#REF!</v>
      </c>
      <c r="R313" s="137" t="e">
        <f t="shared" si="153"/>
        <v>#REF!</v>
      </c>
      <c r="S313" s="137" t="e">
        <f t="shared" si="153"/>
        <v>#REF!</v>
      </c>
      <c r="T313" s="137" t="e">
        <f t="shared" si="153"/>
        <v>#REF!</v>
      </c>
      <c r="U313" s="371" t="e">
        <f t="shared" si="153"/>
        <v>#REF!</v>
      </c>
      <c r="V313" s="371" t="e">
        <f t="shared" si="153"/>
        <v>#REF!</v>
      </c>
      <c r="W313" s="371" t="e">
        <f t="shared" si="153"/>
        <v>#REF!</v>
      </c>
      <c r="X313" s="371" t="e">
        <f t="shared" si="153"/>
        <v>#REF!</v>
      </c>
      <c r="Y313" s="372"/>
      <c r="Z313" s="372"/>
      <c r="AA313" s="372"/>
      <c r="AB313" s="372"/>
      <c r="AC313" s="372"/>
      <c r="AD313" s="372"/>
      <c r="AE313" s="372"/>
      <c r="AF313" s="372"/>
      <c r="AG313" s="372"/>
      <c r="AH313" s="372"/>
      <c r="AI313" s="372"/>
      <c r="AJ313" s="372"/>
      <c r="AK313" s="372"/>
      <c r="AL313" s="372"/>
    </row>
    <row r="314" spans="1:38" ht="37.5" hidden="1" customHeight="1" x14ac:dyDescent="0.25">
      <c r="A314" s="80"/>
      <c r="B314" s="80"/>
      <c r="C314" s="80"/>
      <c r="D314" s="80"/>
      <c r="E314" s="80">
        <v>3522</v>
      </c>
      <c r="F314" s="81" t="s">
        <v>498</v>
      </c>
      <c r="G314" s="82" t="e">
        <f>SUMIF(#REF!,funkcijska!$E314,#REF!)</f>
        <v>#REF!</v>
      </c>
      <c r="H314" s="82" t="e">
        <f>SUMIF(#REF!,funkcijska!$E314,#REF!)</f>
        <v>#REF!</v>
      </c>
      <c r="I314" s="82" t="e">
        <f>SUMIF(#REF!,funkcijska!$E314,#REF!)</f>
        <v>#REF!</v>
      </c>
      <c r="J314" s="82" t="e">
        <f>SUMIF(#REF!,funkcijska!$E314,#REF!)</f>
        <v>#REF!</v>
      </c>
      <c r="K314" s="82" t="e">
        <f>SUMIF(#REF!,funkcijska!$E314,#REF!)</f>
        <v>#REF!</v>
      </c>
      <c r="L314" s="84"/>
      <c r="M314" s="82" t="e">
        <f>N314-J314</f>
        <v>#REF!</v>
      </c>
      <c r="N314" s="82" t="e">
        <f>SUMIF(#REF!,funkcijska!$E314,#REF!)</f>
        <v>#REF!</v>
      </c>
      <c r="O314" s="82" t="e">
        <f>SUMIF(#REF!,funkcijska!$E314,#REF!)</f>
        <v>#REF!</v>
      </c>
      <c r="P314" s="82" t="e">
        <f>SUMIF(#REF!,funkcijska!$E314,#REF!)</f>
        <v>#REF!</v>
      </c>
      <c r="Q314" s="386" t="e">
        <f>SUMIF(#REF!,funkcijska!$E314,#REF!)</f>
        <v>#REF!</v>
      </c>
      <c r="R314" s="82" t="e">
        <f>SUMIF(#REF!,funkcijska!$E314,#REF!)</f>
        <v>#REF!</v>
      </c>
      <c r="S314" s="82" t="e">
        <f>SUMIF(#REF!,funkcijska!$E314,#REF!)</f>
        <v>#REF!</v>
      </c>
      <c r="T314" s="82" t="e">
        <f>SUMIF(#REF!,funkcijska!$E$65,#REF!)</f>
        <v>#REF!</v>
      </c>
      <c r="U314" s="357" t="e">
        <f>SUMIF(#REF!,funkcijska!$E314,#REF!)</f>
        <v>#REF!</v>
      </c>
      <c r="V314" s="357" t="e">
        <f>SUMIF(#REF!,funkcijska!$E314,#REF!)</f>
        <v>#REF!</v>
      </c>
      <c r="W314" s="357" t="e">
        <f>SUMIF(#REF!,funkcijska!$E314,#REF!)</f>
        <v>#REF!</v>
      </c>
      <c r="X314" s="357" t="e">
        <f>SUMIF(#REF!,funkcijska!$E314,#REF!)</f>
        <v>#REF!</v>
      </c>
      <c r="AD314" s="60"/>
      <c r="AE314" s="60"/>
      <c r="AF314" s="60"/>
      <c r="AG314" s="60"/>
      <c r="AH314" s="60"/>
      <c r="AI314" s="60"/>
      <c r="AJ314" s="60"/>
      <c r="AK314" s="60"/>
      <c r="AL314" s="60"/>
    </row>
    <row r="315" spans="1:38" ht="26.25" hidden="1" customHeight="1" x14ac:dyDescent="0.25">
      <c r="A315" s="80"/>
      <c r="B315" s="80"/>
      <c r="C315" s="80"/>
      <c r="D315" s="80"/>
      <c r="E315" s="80">
        <v>3523</v>
      </c>
      <c r="F315" s="81" t="s">
        <v>324</v>
      </c>
      <c r="G315" s="82" t="e">
        <f>SUMIF(#REF!,funkcijska!$E315,#REF!)</f>
        <v>#REF!</v>
      </c>
      <c r="H315" s="82" t="e">
        <f>SUMIF(#REF!,funkcijska!$E315,#REF!)</f>
        <v>#REF!</v>
      </c>
      <c r="I315" s="82" t="e">
        <f>SUMIF(#REF!,funkcijska!$E315,#REF!)</f>
        <v>#REF!</v>
      </c>
      <c r="J315" s="82" t="e">
        <f>SUMIF(#REF!,funkcijska!$E315,#REF!)</f>
        <v>#REF!</v>
      </c>
      <c r="K315" s="82" t="e">
        <f>SUMIF(#REF!,funkcijska!$E315,#REF!)</f>
        <v>#REF!</v>
      </c>
      <c r="L315" s="82" t="e">
        <f>ROUND(K315/J315*100,2)</f>
        <v>#REF!</v>
      </c>
      <c r="M315" s="82" t="e">
        <f>N315-J315</f>
        <v>#REF!</v>
      </c>
      <c r="N315" s="82" t="e">
        <f>SUMIF(#REF!,funkcijska!$E315,#REF!)</f>
        <v>#REF!</v>
      </c>
      <c r="O315" s="82" t="e">
        <f>SUMIF(#REF!,funkcijska!$E315,#REF!)</f>
        <v>#REF!</v>
      </c>
      <c r="P315" s="82" t="e">
        <f>SUMIF(#REF!,funkcijska!$E315,#REF!)</f>
        <v>#REF!</v>
      </c>
      <c r="Q315" s="386" t="e">
        <f>SUMIF(#REF!,funkcijska!$E315,#REF!)</f>
        <v>#REF!</v>
      </c>
      <c r="R315" s="82" t="e">
        <f>SUMIF(#REF!,funkcijska!$E315,#REF!)</f>
        <v>#REF!</v>
      </c>
      <c r="S315" s="82" t="e">
        <f>SUMIF(#REF!,funkcijska!$E315,#REF!)</f>
        <v>#REF!</v>
      </c>
      <c r="T315" s="82" t="e">
        <f>SUMIF(#REF!,funkcijska!$E$66,#REF!)</f>
        <v>#REF!</v>
      </c>
      <c r="U315" s="357" t="e">
        <f>SUMIF(#REF!,funkcijska!$E315,#REF!)</f>
        <v>#REF!</v>
      </c>
      <c r="V315" s="357" t="e">
        <f>SUMIF(#REF!,funkcijska!$E315,#REF!)</f>
        <v>#REF!</v>
      </c>
      <c r="W315" s="357" t="e">
        <f>SUMIF(#REF!,funkcijska!$E315,#REF!)</f>
        <v>#REF!</v>
      </c>
      <c r="X315" s="357" t="e">
        <f>SUMIF(#REF!,funkcijska!$E315,#REF!)</f>
        <v>#REF!</v>
      </c>
      <c r="AD315" s="60"/>
      <c r="AE315" s="60"/>
      <c r="AF315" s="60"/>
      <c r="AG315" s="60"/>
      <c r="AH315" s="60"/>
      <c r="AI315" s="60"/>
      <c r="AJ315" s="60"/>
      <c r="AK315" s="60"/>
      <c r="AL315" s="60"/>
    </row>
    <row r="316" spans="1:38" ht="38.25" hidden="1" customHeight="1" x14ac:dyDescent="0.25">
      <c r="A316" s="125"/>
      <c r="B316" s="74"/>
      <c r="C316" s="74" t="str">
        <f>LEFT(E318,2)</f>
        <v>36</v>
      </c>
      <c r="D316" s="74"/>
      <c r="E316" s="74"/>
      <c r="F316" s="75" t="s">
        <v>751</v>
      </c>
      <c r="G316" s="77" t="e">
        <f>G317</f>
        <v>#REF!</v>
      </c>
      <c r="H316" s="118" t="e">
        <f>H317</f>
        <v>#REF!</v>
      </c>
      <c r="I316" s="77" t="e">
        <f>I317</f>
        <v>#REF!</v>
      </c>
      <c r="J316" s="77" t="e">
        <f>J317</f>
        <v>#REF!</v>
      </c>
      <c r="K316" s="77" t="e">
        <f>K317</f>
        <v>#REF!</v>
      </c>
      <c r="L316" s="77" t="e">
        <f>ROUND(K316/J316*100,2)</f>
        <v>#REF!</v>
      </c>
      <c r="M316" s="77" t="e">
        <f>N316-J316</f>
        <v>#REF!</v>
      </c>
      <c r="N316" s="77" t="e">
        <f t="shared" ref="N316:X316" si="154">N317</f>
        <v>#REF!</v>
      </c>
      <c r="O316" s="76" t="e">
        <f t="shared" si="154"/>
        <v>#REF!</v>
      </c>
      <c r="P316" s="76" t="e">
        <f t="shared" si="154"/>
        <v>#REF!</v>
      </c>
      <c r="Q316" s="385" t="e">
        <f t="shared" si="154"/>
        <v>#REF!</v>
      </c>
      <c r="R316" s="135" t="e">
        <f t="shared" si="154"/>
        <v>#REF!</v>
      </c>
      <c r="S316" s="135" t="e">
        <f t="shared" si="154"/>
        <v>#REF!</v>
      </c>
      <c r="T316" s="135" t="e">
        <f t="shared" si="154"/>
        <v>#REF!</v>
      </c>
      <c r="U316" s="356" t="e">
        <f t="shared" si="154"/>
        <v>#REF!</v>
      </c>
      <c r="V316" s="356" t="e">
        <f t="shared" si="154"/>
        <v>#REF!</v>
      </c>
      <c r="W316" s="356" t="e">
        <f t="shared" si="154"/>
        <v>#REF!</v>
      </c>
      <c r="X316" s="356" t="e">
        <f t="shared" si="154"/>
        <v>#REF!</v>
      </c>
      <c r="AD316" s="60"/>
      <c r="AE316" s="60"/>
      <c r="AF316" s="60"/>
      <c r="AG316" s="60"/>
      <c r="AH316" s="60"/>
      <c r="AI316" s="60"/>
      <c r="AJ316" s="60"/>
      <c r="AK316" s="60"/>
      <c r="AL316" s="60"/>
    </row>
    <row r="317" spans="1:38" s="373" customFormat="1" ht="21" hidden="1" customHeight="1" x14ac:dyDescent="0.25">
      <c r="A317" s="119"/>
      <c r="B317" s="119"/>
      <c r="C317" s="119"/>
      <c r="D317" s="119" t="str">
        <f>LEFT(E318,3)</f>
        <v>363</v>
      </c>
      <c r="E317" s="119"/>
      <c r="F317" s="368" t="s">
        <v>536</v>
      </c>
      <c r="G317" s="369" t="e">
        <f t="shared" ref="G317:X317" si="155">SUM(G318:G319)</f>
        <v>#REF!</v>
      </c>
      <c r="H317" s="370" t="e">
        <f t="shared" si="155"/>
        <v>#REF!</v>
      </c>
      <c r="I317" s="369" t="e">
        <f t="shared" si="155"/>
        <v>#REF!</v>
      </c>
      <c r="J317" s="369" t="e">
        <f t="shared" si="155"/>
        <v>#REF!</v>
      </c>
      <c r="K317" s="369" t="e">
        <f t="shared" si="155"/>
        <v>#REF!</v>
      </c>
      <c r="L317" s="369" t="e">
        <f t="shared" si="155"/>
        <v>#REF!</v>
      </c>
      <c r="M317" s="369" t="e">
        <f t="shared" si="155"/>
        <v>#REF!</v>
      </c>
      <c r="N317" s="369" t="e">
        <f t="shared" si="155"/>
        <v>#REF!</v>
      </c>
      <c r="O317" s="369" t="e">
        <f t="shared" si="155"/>
        <v>#REF!</v>
      </c>
      <c r="P317" s="369" t="e">
        <f t="shared" si="155"/>
        <v>#REF!</v>
      </c>
      <c r="Q317" s="392" t="e">
        <f t="shared" si="155"/>
        <v>#REF!</v>
      </c>
      <c r="R317" s="369" t="e">
        <f t="shared" si="155"/>
        <v>#REF!</v>
      </c>
      <c r="S317" s="369" t="e">
        <f t="shared" si="155"/>
        <v>#REF!</v>
      </c>
      <c r="T317" s="369" t="e">
        <f t="shared" si="155"/>
        <v>#REF!</v>
      </c>
      <c r="U317" s="357" t="e">
        <f t="shared" si="155"/>
        <v>#REF!</v>
      </c>
      <c r="V317" s="357" t="e">
        <f t="shared" si="155"/>
        <v>#REF!</v>
      </c>
      <c r="W317" s="357" t="e">
        <f t="shared" si="155"/>
        <v>#REF!</v>
      </c>
      <c r="X317" s="357" t="e">
        <f t="shared" si="155"/>
        <v>#REF!</v>
      </c>
      <c r="Y317" s="372"/>
      <c r="Z317" s="372"/>
      <c r="AA317" s="372"/>
      <c r="AB317" s="372"/>
      <c r="AC317" s="372"/>
      <c r="AD317" s="372"/>
      <c r="AE317" s="372"/>
      <c r="AF317" s="372"/>
      <c r="AG317" s="372"/>
      <c r="AH317" s="372"/>
      <c r="AI317" s="372"/>
      <c r="AJ317" s="372"/>
      <c r="AK317" s="372"/>
      <c r="AL317" s="372"/>
    </row>
    <row r="318" spans="1:38" ht="20.25" hidden="1" customHeight="1" x14ac:dyDescent="0.25">
      <c r="A318" s="80"/>
      <c r="B318" s="80"/>
      <c r="C318" s="80"/>
      <c r="D318" s="80"/>
      <c r="E318" s="80">
        <v>3631</v>
      </c>
      <c r="F318" s="81" t="s">
        <v>331</v>
      </c>
      <c r="G318" s="82" t="e">
        <f>SUMIF(#REF!,funkcijska!$E318,#REF!)</f>
        <v>#REF!</v>
      </c>
      <c r="H318" s="82" t="e">
        <f>SUMIF(#REF!,funkcijska!$E318,#REF!)</f>
        <v>#REF!</v>
      </c>
      <c r="I318" s="82" t="e">
        <f>SUMIF(#REF!,funkcijska!$E318,#REF!)</f>
        <v>#REF!</v>
      </c>
      <c r="J318" s="82" t="e">
        <f>SUMIF(#REF!,funkcijska!$E318,#REF!)</f>
        <v>#REF!</v>
      </c>
      <c r="K318" s="82" t="e">
        <f>SUMIF(#REF!,funkcijska!$E318,#REF!)</f>
        <v>#REF!</v>
      </c>
      <c r="L318" s="82" t="e">
        <f>ROUND(K318/J318*100,2)</f>
        <v>#REF!</v>
      </c>
      <c r="M318" s="82" t="e">
        <f>N318-J318</f>
        <v>#REF!</v>
      </c>
      <c r="N318" s="82" t="e">
        <f>SUMIF(#REF!,funkcijska!$E318,#REF!)</f>
        <v>#REF!</v>
      </c>
      <c r="O318" s="82" t="e">
        <f>SUMIF(#REF!,funkcijska!$E318,#REF!)</f>
        <v>#REF!</v>
      </c>
      <c r="P318" s="82" t="e">
        <f>SUMIF(#REF!,funkcijska!$E318,#REF!)</f>
        <v>#REF!</v>
      </c>
      <c r="Q318" s="386" t="e">
        <f>SUMIF(#REF!,funkcijska!$E318,#REF!)</f>
        <v>#REF!</v>
      </c>
      <c r="R318" s="82" t="e">
        <f>SUMIF(#REF!,funkcijska!$E318,#REF!)</f>
        <v>#REF!</v>
      </c>
      <c r="S318" s="82" t="e">
        <f>SUMIF(#REF!,funkcijska!$E318,#REF!)</f>
        <v>#REF!</v>
      </c>
      <c r="T318" s="82" t="e">
        <f>SUMIF(#REF!,funkcijska!$E$69,#REF!)</f>
        <v>#REF!</v>
      </c>
      <c r="U318" s="357" t="e">
        <f>SUMIF(#REF!,funkcijska!$E318,#REF!)</f>
        <v>#REF!</v>
      </c>
      <c r="V318" s="357" t="e">
        <f>SUMIF(#REF!,funkcijska!$E318,#REF!)</f>
        <v>#REF!</v>
      </c>
      <c r="W318" s="357" t="e">
        <f>SUMIF(#REF!,funkcijska!$E318,#REF!)</f>
        <v>#REF!</v>
      </c>
      <c r="X318" s="357" t="e">
        <f>SUMIF(#REF!,funkcijska!$E318,#REF!)</f>
        <v>#REF!</v>
      </c>
      <c r="AD318" s="60"/>
      <c r="AE318" s="60"/>
      <c r="AF318" s="60"/>
      <c r="AG318" s="60"/>
      <c r="AH318" s="60"/>
      <c r="AI318" s="60"/>
      <c r="AJ318" s="60"/>
      <c r="AK318" s="60"/>
      <c r="AL318" s="60"/>
    </row>
    <row r="319" spans="1:38" ht="23.25" hidden="1" customHeight="1" x14ac:dyDescent="0.25">
      <c r="A319" s="80"/>
      <c r="B319" s="80"/>
      <c r="C319" s="80"/>
      <c r="D319" s="80"/>
      <c r="E319" s="80">
        <v>3632</v>
      </c>
      <c r="F319" s="81" t="s">
        <v>227</v>
      </c>
      <c r="G319" s="82" t="e">
        <f>SUMIF(#REF!,funkcijska!$E319,#REF!)</f>
        <v>#REF!</v>
      </c>
      <c r="H319" s="82" t="e">
        <f>SUMIF(#REF!,funkcijska!$E319,#REF!)</f>
        <v>#REF!</v>
      </c>
      <c r="I319" s="82" t="e">
        <f>SUMIF(#REF!,funkcijska!$E319,#REF!)</f>
        <v>#REF!</v>
      </c>
      <c r="J319" s="82" t="e">
        <f>SUMIF(#REF!,funkcijska!$E319,#REF!)</f>
        <v>#REF!</v>
      </c>
      <c r="K319" s="82" t="e">
        <f>SUMIF(#REF!,funkcijska!$E319,#REF!)</f>
        <v>#REF!</v>
      </c>
      <c r="L319" s="82" t="e">
        <f>ROUND(K319/J319*100,2)</f>
        <v>#REF!</v>
      </c>
      <c r="M319" s="82" t="e">
        <f>N319-J319</f>
        <v>#REF!</v>
      </c>
      <c r="N319" s="82" t="e">
        <f>SUMIF(#REF!,funkcijska!$E319,#REF!)</f>
        <v>#REF!</v>
      </c>
      <c r="O319" s="82" t="e">
        <f>SUMIF(#REF!,funkcijska!$E319,#REF!)</f>
        <v>#REF!</v>
      </c>
      <c r="P319" s="82" t="e">
        <f>SUMIF(#REF!,funkcijska!$E319,#REF!)</f>
        <v>#REF!</v>
      </c>
      <c r="Q319" s="386" t="e">
        <f>SUMIF(#REF!,funkcijska!$E319,#REF!)</f>
        <v>#REF!</v>
      </c>
      <c r="R319" s="82" t="e">
        <f>SUMIF(#REF!,funkcijska!$E319,#REF!)</f>
        <v>#REF!</v>
      </c>
      <c r="S319" s="82" t="e">
        <f>SUMIF(#REF!,funkcijska!$E319,#REF!)</f>
        <v>#REF!</v>
      </c>
      <c r="T319" s="82" t="e">
        <f>SUMIF(#REF!,funkcijska!$E319,#REF!)</f>
        <v>#REF!</v>
      </c>
      <c r="U319" s="82" t="e">
        <f>SUMIF(#REF!,funkcijska!$E319,#REF!)</f>
        <v>#REF!</v>
      </c>
      <c r="V319" s="357" t="e">
        <f>SUMIF(#REF!,funkcijska!$E319,#REF!)</f>
        <v>#REF!</v>
      </c>
      <c r="W319" s="357" t="e">
        <f>SUMIF(#REF!,funkcijska!$E319,#REF!)</f>
        <v>#REF!</v>
      </c>
      <c r="X319" s="357" t="e">
        <f>SUMIF(#REF!,funkcijska!$E319,#REF!)</f>
        <v>#REF!</v>
      </c>
      <c r="AD319" s="60"/>
      <c r="AE319" s="60"/>
      <c r="AF319" s="60"/>
      <c r="AG319" s="60"/>
      <c r="AH319" s="60"/>
      <c r="AI319" s="60"/>
      <c r="AJ319" s="60"/>
      <c r="AK319" s="60"/>
      <c r="AL319" s="60"/>
    </row>
    <row r="320" spans="1:38" ht="36.75" hidden="1" customHeight="1" x14ac:dyDescent="0.25">
      <c r="A320" s="125"/>
      <c r="B320" s="74"/>
      <c r="C320" s="74" t="str">
        <f>LEFT(E322,2)</f>
        <v>37</v>
      </c>
      <c r="D320" s="74"/>
      <c r="E320" s="74"/>
      <c r="F320" s="75" t="s">
        <v>410</v>
      </c>
      <c r="G320" s="311" t="e">
        <f>G321</f>
        <v>#REF!</v>
      </c>
      <c r="H320" s="118" t="e">
        <f>H321</f>
        <v>#REF!</v>
      </c>
      <c r="I320" s="311" t="e">
        <f>I321</f>
        <v>#REF!</v>
      </c>
      <c r="J320" s="311" t="e">
        <f>J321</f>
        <v>#REF!</v>
      </c>
      <c r="K320" s="311" t="e">
        <f>K321</f>
        <v>#REF!</v>
      </c>
      <c r="L320" s="311" t="e">
        <f>ROUND(K320/J320*100,2)</f>
        <v>#REF!</v>
      </c>
      <c r="M320" s="311" t="e">
        <f>N320-J320</f>
        <v>#REF!</v>
      </c>
      <c r="N320" s="311" t="e">
        <f t="shared" ref="N320:X320" si="156">N321</f>
        <v>#REF!</v>
      </c>
      <c r="O320" s="312" t="e">
        <f t="shared" si="156"/>
        <v>#REF!</v>
      </c>
      <c r="P320" s="312" t="e">
        <f t="shared" si="156"/>
        <v>#REF!</v>
      </c>
      <c r="Q320" s="385" t="e">
        <f t="shared" si="156"/>
        <v>#REF!</v>
      </c>
      <c r="R320" s="137" t="e">
        <f t="shared" si="156"/>
        <v>#REF!</v>
      </c>
      <c r="S320" s="137" t="e">
        <f t="shared" si="156"/>
        <v>#REF!</v>
      </c>
      <c r="T320" s="137" t="e">
        <f t="shared" si="156"/>
        <v>#REF!</v>
      </c>
      <c r="U320" s="356" t="e">
        <f t="shared" si="156"/>
        <v>#REF!</v>
      </c>
      <c r="V320" s="356" t="e">
        <f t="shared" si="156"/>
        <v>#REF!</v>
      </c>
      <c r="W320" s="356" t="e">
        <f t="shared" si="156"/>
        <v>#REF!</v>
      </c>
      <c r="X320" s="356" t="e">
        <f t="shared" si="156"/>
        <v>#REF!</v>
      </c>
      <c r="AD320" s="60"/>
      <c r="AE320" s="60"/>
      <c r="AF320" s="60"/>
      <c r="AG320" s="60"/>
      <c r="AH320" s="60"/>
      <c r="AI320" s="60"/>
      <c r="AJ320" s="60"/>
      <c r="AK320" s="60"/>
      <c r="AL320" s="60"/>
    </row>
    <row r="321" spans="1:38" s="373" customFormat="1" ht="37.5" hidden="1" customHeight="1" x14ac:dyDescent="0.25">
      <c r="A321" s="119"/>
      <c r="B321" s="119"/>
      <c r="C321" s="119"/>
      <c r="D321" s="119" t="str">
        <f>LEFT(E322,3)</f>
        <v>372</v>
      </c>
      <c r="E321" s="119"/>
      <c r="F321" s="368" t="s">
        <v>411</v>
      </c>
      <c r="G321" s="369" t="e">
        <f t="shared" ref="G321:X321" si="157">SUM(G322:G323)</f>
        <v>#REF!</v>
      </c>
      <c r="H321" s="370" t="e">
        <f t="shared" si="157"/>
        <v>#REF!</v>
      </c>
      <c r="I321" s="369" t="e">
        <f t="shared" si="157"/>
        <v>#REF!</v>
      </c>
      <c r="J321" s="369" t="e">
        <f t="shared" si="157"/>
        <v>#REF!</v>
      </c>
      <c r="K321" s="369" t="e">
        <f t="shared" si="157"/>
        <v>#REF!</v>
      </c>
      <c r="L321" s="369" t="e">
        <f t="shared" si="157"/>
        <v>#REF!</v>
      </c>
      <c r="M321" s="369" t="e">
        <f t="shared" si="157"/>
        <v>#REF!</v>
      </c>
      <c r="N321" s="369" t="e">
        <f t="shared" si="157"/>
        <v>#REF!</v>
      </c>
      <c r="O321" s="369" t="e">
        <f t="shared" si="157"/>
        <v>#REF!</v>
      </c>
      <c r="P321" s="369" t="e">
        <f t="shared" si="157"/>
        <v>#REF!</v>
      </c>
      <c r="Q321" s="392" t="e">
        <f t="shared" si="157"/>
        <v>#REF!</v>
      </c>
      <c r="R321" s="369" t="e">
        <f t="shared" si="157"/>
        <v>#REF!</v>
      </c>
      <c r="S321" s="369" t="e">
        <f t="shared" si="157"/>
        <v>#REF!</v>
      </c>
      <c r="T321" s="369" t="e">
        <f t="shared" si="157"/>
        <v>#REF!</v>
      </c>
      <c r="U321" s="357" t="e">
        <f t="shared" si="157"/>
        <v>#REF!</v>
      </c>
      <c r="V321" s="357" t="e">
        <f t="shared" si="157"/>
        <v>#REF!</v>
      </c>
      <c r="W321" s="357" t="e">
        <f t="shared" si="157"/>
        <v>#REF!</v>
      </c>
      <c r="X321" s="357" t="e">
        <f t="shared" si="157"/>
        <v>#REF!</v>
      </c>
      <c r="Y321" s="372"/>
      <c r="Z321" s="372"/>
      <c r="AA321" s="372"/>
      <c r="AB321" s="372"/>
      <c r="AC321" s="372"/>
      <c r="AD321" s="372"/>
      <c r="AE321" s="372"/>
      <c r="AF321" s="372"/>
      <c r="AG321" s="372"/>
      <c r="AH321" s="372"/>
      <c r="AI321" s="372"/>
      <c r="AJ321" s="372"/>
      <c r="AK321" s="372"/>
      <c r="AL321" s="372"/>
    </row>
    <row r="322" spans="1:38" ht="21" hidden="1" customHeight="1" x14ac:dyDescent="0.25">
      <c r="A322" s="80"/>
      <c r="B322" s="80"/>
      <c r="C322" s="80"/>
      <c r="D322" s="80"/>
      <c r="E322" s="80">
        <v>3721</v>
      </c>
      <c r="F322" s="81" t="s">
        <v>412</v>
      </c>
      <c r="G322" s="82" t="e">
        <f>SUMIF(#REF!,funkcijska!$E322,#REF!)</f>
        <v>#REF!</v>
      </c>
      <c r="H322" s="82" t="e">
        <f>SUMIF(#REF!,funkcijska!$E322,#REF!)</f>
        <v>#REF!</v>
      </c>
      <c r="I322" s="82" t="e">
        <f>SUMIF(#REF!,funkcijska!$E322,#REF!)</f>
        <v>#REF!</v>
      </c>
      <c r="J322" s="82" t="e">
        <f>SUMIF(#REF!,funkcijska!$E322,#REF!)</f>
        <v>#REF!</v>
      </c>
      <c r="K322" s="82" t="e">
        <f>SUMIF(#REF!,funkcijska!$E322,#REF!)</f>
        <v>#REF!</v>
      </c>
      <c r="L322" s="82" t="e">
        <f t="shared" ref="L322:L331" si="158">ROUND(K322/J322*100,2)</f>
        <v>#REF!</v>
      </c>
      <c r="M322" s="82" t="e">
        <f t="shared" ref="M322:M331" si="159">N322-J322</f>
        <v>#REF!</v>
      </c>
      <c r="N322" s="82" t="e">
        <f>SUMIF(#REF!,funkcijska!$E322,#REF!)</f>
        <v>#REF!</v>
      </c>
      <c r="O322" s="82" t="e">
        <f>SUMIF(#REF!,funkcijska!$E322,#REF!)</f>
        <v>#REF!</v>
      </c>
      <c r="P322" s="82" t="e">
        <f>SUMIF(#REF!,funkcijska!$E322,#REF!)</f>
        <v>#REF!</v>
      </c>
      <c r="Q322" s="386" t="e">
        <f>SUMIF(#REF!,funkcijska!$E322,#REF!)</f>
        <v>#REF!</v>
      </c>
      <c r="R322" s="82" t="e">
        <f>SUMIF(#REF!,funkcijska!$E322,#REF!)</f>
        <v>#REF!</v>
      </c>
      <c r="S322" s="82" t="e">
        <f>SUMIF(#REF!,funkcijska!$E322,#REF!)</f>
        <v>#REF!</v>
      </c>
      <c r="T322" s="82" t="e">
        <f>SUMIF(#REF!,funkcijska!$E$73,#REF!)</f>
        <v>#REF!</v>
      </c>
      <c r="U322" s="357" t="e">
        <f>SUMIF(#REF!,funkcijska!$E322,#REF!)</f>
        <v>#REF!</v>
      </c>
      <c r="V322" s="357" t="e">
        <f>SUMIF(#REF!,funkcijska!$E322,#REF!)</f>
        <v>#REF!</v>
      </c>
      <c r="W322" s="357" t="e">
        <f>SUMIF(#REF!,funkcijska!$E322,#REF!)</f>
        <v>#REF!</v>
      </c>
      <c r="X322" s="357" t="e">
        <f>SUMIF(#REF!,funkcijska!$E322,#REF!)</f>
        <v>#REF!</v>
      </c>
      <c r="AD322" s="60"/>
      <c r="AE322" s="60"/>
      <c r="AF322" s="60"/>
      <c r="AG322" s="60"/>
      <c r="AH322" s="60"/>
      <c r="AI322" s="60"/>
      <c r="AJ322" s="60"/>
      <c r="AK322" s="60"/>
      <c r="AL322" s="60"/>
    </row>
    <row r="323" spans="1:38" ht="36.75" hidden="1" customHeight="1" x14ac:dyDescent="0.25">
      <c r="A323" s="80"/>
      <c r="B323" s="80"/>
      <c r="C323" s="80"/>
      <c r="D323" s="80"/>
      <c r="E323" s="80">
        <v>3722</v>
      </c>
      <c r="F323" s="81" t="s">
        <v>1019</v>
      </c>
      <c r="G323" s="82" t="e">
        <f>SUMIF(#REF!,funkcijska!$E323,#REF!)</f>
        <v>#REF!</v>
      </c>
      <c r="H323" s="82" t="e">
        <f>SUMIF(#REF!,funkcijska!$E323,#REF!)</f>
        <v>#REF!</v>
      </c>
      <c r="I323" s="82" t="e">
        <f>SUMIF(#REF!,funkcijska!$E323,#REF!)</f>
        <v>#REF!</v>
      </c>
      <c r="J323" s="82" t="e">
        <f>SUMIF(#REF!,funkcijska!$E323,#REF!)</f>
        <v>#REF!</v>
      </c>
      <c r="K323" s="82" t="e">
        <f>SUMIF(#REF!,funkcijska!$E323,#REF!)</f>
        <v>#REF!</v>
      </c>
      <c r="L323" s="82" t="e">
        <f t="shared" si="158"/>
        <v>#REF!</v>
      </c>
      <c r="M323" s="82" t="e">
        <f t="shared" si="159"/>
        <v>#REF!</v>
      </c>
      <c r="N323" s="82" t="e">
        <f>SUMIF(#REF!,funkcijska!$E323,#REF!)</f>
        <v>#REF!</v>
      </c>
      <c r="O323" s="82" t="e">
        <f>SUMIF(#REF!,funkcijska!$E323,#REF!)</f>
        <v>#REF!</v>
      </c>
      <c r="P323" s="82" t="e">
        <f>SUMIF(#REF!,funkcijska!$E323,#REF!)</f>
        <v>#REF!</v>
      </c>
      <c r="Q323" s="386" t="e">
        <f>SUMIF(#REF!,funkcijska!$E323,#REF!)</f>
        <v>#REF!</v>
      </c>
      <c r="R323" s="82" t="e">
        <f>SUMIF(#REF!,funkcijska!$E323,#REF!)</f>
        <v>#REF!</v>
      </c>
      <c r="S323" s="82" t="e">
        <f>SUMIF(#REF!,funkcijska!$E323,#REF!)</f>
        <v>#REF!</v>
      </c>
      <c r="T323" s="82" t="e">
        <f>SUMIF(#REF!,funkcijska!$E$74,#REF!)</f>
        <v>#REF!</v>
      </c>
      <c r="U323" s="357" t="e">
        <f>SUMIF(#REF!,funkcijska!$E323,#REF!)</f>
        <v>#REF!</v>
      </c>
      <c r="V323" s="357" t="e">
        <f>SUMIF(#REF!,funkcijska!$E323,#REF!)</f>
        <v>#REF!</v>
      </c>
      <c r="W323" s="357" t="e">
        <f>SUMIF(#REF!,funkcijska!$E323,#REF!)</f>
        <v>#REF!</v>
      </c>
      <c r="X323" s="357" t="e">
        <f>SUMIF(#REF!,funkcijska!$E323,#REF!)</f>
        <v>#REF!</v>
      </c>
      <c r="AD323" s="60"/>
      <c r="AE323" s="60"/>
      <c r="AF323" s="60"/>
      <c r="AG323" s="60"/>
      <c r="AH323" s="60"/>
      <c r="AI323" s="60"/>
      <c r="AJ323" s="60"/>
      <c r="AK323" s="60"/>
      <c r="AL323" s="60"/>
    </row>
    <row r="324" spans="1:38" ht="20.25" hidden="1" customHeight="1" x14ac:dyDescent="0.25">
      <c r="A324" s="125"/>
      <c r="B324" s="74"/>
      <c r="C324" s="74" t="str">
        <f>LEFT(E326,2)</f>
        <v>38</v>
      </c>
      <c r="D324" s="74"/>
      <c r="E324" s="74"/>
      <c r="F324" s="75" t="s">
        <v>539</v>
      </c>
      <c r="G324" s="311" t="e">
        <f>G325+G327+G330</f>
        <v>#REF!</v>
      </c>
      <c r="H324" s="118" t="e">
        <f>H325+H327+H330</f>
        <v>#REF!</v>
      </c>
      <c r="I324" s="311" t="e">
        <f>I325+I327+I330</f>
        <v>#REF!</v>
      </c>
      <c r="J324" s="311" t="e">
        <f>J325+J327+J330</f>
        <v>#REF!</v>
      </c>
      <c r="K324" s="311" t="e">
        <f>K325+K327+K330</f>
        <v>#REF!</v>
      </c>
      <c r="L324" s="311" t="e">
        <f t="shared" si="158"/>
        <v>#REF!</v>
      </c>
      <c r="M324" s="311" t="e">
        <f t="shared" si="159"/>
        <v>#REF!</v>
      </c>
      <c r="N324" s="311" t="e">
        <f t="shared" ref="N324:X324" si="160">N325+N327+N330</f>
        <v>#REF!</v>
      </c>
      <c r="O324" s="312" t="e">
        <f t="shared" si="160"/>
        <v>#REF!</v>
      </c>
      <c r="P324" s="312" t="e">
        <f t="shared" si="160"/>
        <v>#REF!</v>
      </c>
      <c r="Q324" s="385" t="e">
        <f t="shared" si="160"/>
        <v>#REF!</v>
      </c>
      <c r="R324" s="137" t="e">
        <f t="shared" si="160"/>
        <v>#REF!</v>
      </c>
      <c r="S324" s="137" t="e">
        <f t="shared" si="160"/>
        <v>#REF!</v>
      </c>
      <c r="T324" s="137" t="e">
        <f t="shared" si="160"/>
        <v>#REF!</v>
      </c>
      <c r="U324" s="356" t="e">
        <f t="shared" si="160"/>
        <v>#REF!</v>
      </c>
      <c r="V324" s="356" t="e">
        <f t="shared" si="160"/>
        <v>#REF!</v>
      </c>
      <c r="W324" s="356" t="e">
        <f t="shared" si="160"/>
        <v>#REF!</v>
      </c>
      <c r="X324" s="356" t="e">
        <f t="shared" si="160"/>
        <v>#REF!</v>
      </c>
      <c r="AD324" s="60"/>
      <c r="AE324" s="60"/>
      <c r="AF324" s="60"/>
      <c r="AG324" s="60"/>
      <c r="AH324" s="60"/>
      <c r="AI324" s="60"/>
      <c r="AJ324" s="60"/>
      <c r="AK324" s="60"/>
      <c r="AL324" s="60"/>
    </row>
    <row r="325" spans="1:38" s="373" customFormat="1" ht="17.25" hidden="1" customHeight="1" x14ac:dyDescent="0.25">
      <c r="A325" s="119"/>
      <c r="B325" s="119"/>
      <c r="C325" s="119"/>
      <c r="D325" s="119" t="str">
        <f>LEFT(E326,3)</f>
        <v>381</v>
      </c>
      <c r="E325" s="119"/>
      <c r="F325" s="368" t="s">
        <v>540</v>
      </c>
      <c r="G325" s="369" t="e">
        <f>G326</f>
        <v>#REF!</v>
      </c>
      <c r="H325" s="370" t="e">
        <f>H326</f>
        <v>#REF!</v>
      </c>
      <c r="I325" s="369" t="e">
        <f>I326</f>
        <v>#REF!</v>
      </c>
      <c r="J325" s="369" t="e">
        <f>J326</f>
        <v>#REF!</v>
      </c>
      <c r="K325" s="369" t="e">
        <f>K326</f>
        <v>#REF!</v>
      </c>
      <c r="L325" s="369" t="e">
        <f t="shared" si="158"/>
        <v>#REF!</v>
      </c>
      <c r="M325" s="369" t="e">
        <f t="shared" si="159"/>
        <v>#REF!</v>
      </c>
      <c r="N325" s="369" t="e">
        <f t="shared" ref="N325:X325" si="161">N326</f>
        <v>#REF!</v>
      </c>
      <c r="O325" s="137" t="e">
        <f t="shared" si="161"/>
        <v>#REF!</v>
      </c>
      <c r="P325" s="137" t="e">
        <f t="shared" si="161"/>
        <v>#REF!</v>
      </c>
      <c r="Q325" s="393" t="e">
        <f t="shared" si="161"/>
        <v>#REF!</v>
      </c>
      <c r="R325" s="137" t="e">
        <f t="shared" si="161"/>
        <v>#REF!</v>
      </c>
      <c r="S325" s="137" t="e">
        <f t="shared" si="161"/>
        <v>#REF!</v>
      </c>
      <c r="T325" s="137" t="e">
        <f t="shared" si="161"/>
        <v>#REF!</v>
      </c>
      <c r="U325" s="371" t="e">
        <f t="shared" si="161"/>
        <v>#REF!</v>
      </c>
      <c r="V325" s="371" t="e">
        <f t="shared" si="161"/>
        <v>#REF!</v>
      </c>
      <c r="W325" s="371" t="e">
        <f t="shared" si="161"/>
        <v>#REF!</v>
      </c>
      <c r="X325" s="371" t="e">
        <f t="shared" si="161"/>
        <v>#REF!</v>
      </c>
      <c r="Y325" s="372"/>
      <c r="Z325" s="372"/>
      <c r="AA325" s="372"/>
      <c r="AB325" s="372"/>
      <c r="AC325" s="372"/>
      <c r="AD325" s="372"/>
      <c r="AE325" s="372"/>
      <c r="AF325" s="372"/>
      <c r="AG325" s="372"/>
      <c r="AH325" s="372"/>
      <c r="AI325" s="372"/>
      <c r="AJ325" s="372"/>
      <c r="AK325" s="372"/>
      <c r="AL325" s="372"/>
    </row>
    <row r="326" spans="1:38" ht="20.25" hidden="1" customHeight="1" x14ac:dyDescent="0.25">
      <c r="A326" s="80"/>
      <c r="B326" s="80"/>
      <c r="C326" s="80"/>
      <c r="D326" s="80"/>
      <c r="E326" s="80">
        <v>3811</v>
      </c>
      <c r="F326" s="81" t="s">
        <v>623</v>
      </c>
      <c r="G326" s="82" t="e">
        <f>SUMIF(#REF!,funkcijska!$E326,#REF!)</f>
        <v>#REF!</v>
      </c>
      <c r="H326" s="82" t="e">
        <f>SUMIF(#REF!,funkcijska!$E326,#REF!)</f>
        <v>#REF!</v>
      </c>
      <c r="I326" s="82" t="e">
        <f>SUMIF(#REF!,funkcijska!$E326,#REF!)</f>
        <v>#REF!</v>
      </c>
      <c r="J326" s="82" t="e">
        <f>SUMIF(#REF!,funkcijska!$E326,#REF!)</f>
        <v>#REF!</v>
      </c>
      <c r="K326" s="82" t="e">
        <f>SUMIF(#REF!,funkcijska!$E326,#REF!)</f>
        <v>#REF!</v>
      </c>
      <c r="L326" s="82" t="e">
        <f t="shared" si="158"/>
        <v>#REF!</v>
      </c>
      <c r="M326" s="82" t="e">
        <f t="shared" si="159"/>
        <v>#REF!</v>
      </c>
      <c r="N326" s="82" t="e">
        <f>SUMIF(#REF!,funkcijska!$E326,#REF!)</f>
        <v>#REF!</v>
      </c>
      <c r="O326" s="82" t="e">
        <f>SUMIF(#REF!,funkcijska!$E326,#REF!)</f>
        <v>#REF!</v>
      </c>
      <c r="P326" s="82" t="e">
        <f>SUMIF(#REF!,funkcijska!$E326,#REF!)</f>
        <v>#REF!</v>
      </c>
      <c r="Q326" s="386" t="e">
        <f>SUMIF(#REF!,funkcijska!$E326,#REF!)</f>
        <v>#REF!</v>
      </c>
      <c r="R326" s="82" t="e">
        <f>SUMIF(#REF!,funkcijska!$E326,#REF!)</f>
        <v>#REF!</v>
      </c>
      <c r="S326" s="82" t="e">
        <f>SUMIF(#REF!,funkcijska!$E326,#REF!)</f>
        <v>#REF!</v>
      </c>
      <c r="T326" s="82" t="e">
        <f>SUMIF(#REF!,funkcijska!$E$77,#REF!)</f>
        <v>#REF!</v>
      </c>
      <c r="U326" s="357" t="e">
        <f>SUMIF(#REF!,funkcijska!$E326,#REF!)</f>
        <v>#REF!</v>
      </c>
      <c r="V326" s="357" t="e">
        <f>SUMIF(#REF!,funkcijska!$E326,#REF!)</f>
        <v>#REF!</v>
      </c>
      <c r="W326" s="357" t="e">
        <f>SUMIF(#REF!,funkcijska!$E326,#REF!)</f>
        <v>#REF!</v>
      </c>
      <c r="X326" s="357" t="e">
        <f>SUMIF(#REF!,funkcijska!$E326,#REF!)</f>
        <v>#REF!</v>
      </c>
      <c r="AD326" s="60"/>
      <c r="AE326" s="60"/>
      <c r="AF326" s="60"/>
      <c r="AG326" s="60"/>
      <c r="AH326" s="60"/>
      <c r="AI326" s="60"/>
      <c r="AJ326" s="60"/>
      <c r="AK326" s="60"/>
      <c r="AL326" s="60"/>
    </row>
    <row r="327" spans="1:38" s="373" customFormat="1" ht="21" hidden="1" customHeight="1" x14ac:dyDescent="0.25">
      <c r="A327" s="119"/>
      <c r="B327" s="119"/>
      <c r="C327" s="119"/>
      <c r="D327" s="119" t="str">
        <f>LEFT(E328,3)</f>
        <v>382</v>
      </c>
      <c r="E327" s="119"/>
      <c r="F327" s="368" t="s">
        <v>230</v>
      </c>
      <c r="G327" s="369" t="e">
        <f>G328</f>
        <v>#REF!</v>
      </c>
      <c r="H327" s="370" t="e">
        <f>H328</f>
        <v>#REF!</v>
      </c>
      <c r="I327" s="369" t="e">
        <f>I328</f>
        <v>#REF!</v>
      </c>
      <c r="J327" s="369" t="e">
        <f>J328</f>
        <v>#REF!</v>
      </c>
      <c r="K327" s="369" t="e">
        <f>K328</f>
        <v>#REF!</v>
      </c>
      <c r="L327" s="369" t="e">
        <f t="shared" si="158"/>
        <v>#REF!</v>
      </c>
      <c r="M327" s="369" t="e">
        <f t="shared" si="159"/>
        <v>#REF!</v>
      </c>
      <c r="N327" s="369" t="e">
        <f t="shared" ref="N327:U327" si="162">N328</f>
        <v>#REF!</v>
      </c>
      <c r="O327" s="137" t="e">
        <f t="shared" si="162"/>
        <v>#REF!</v>
      </c>
      <c r="P327" s="137" t="e">
        <f t="shared" si="162"/>
        <v>#REF!</v>
      </c>
      <c r="Q327" s="393" t="e">
        <f t="shared" si="162"/>
        <v>#REF!</v>
      </c>
      <c r="R327" s="137" t="e">
        <f t="shared" si="162"/>
        <v>#REF!</v>
      </c>
      <c r="S327" s="137" t="e">
        <f t="shared" si="162"/>
        <v>#REF!</v>
      </c>
      <c r="T327" s="137" t="e">
        <f t="shared" si="162"/>
        <v>#REF!</v>
      </c>
      <c r="U327" s="371" t="e">
        <f t="shared" si="162"/>
        <v>#REF!</v>
      </c>
      <c r="V327" s="371" t="e">
        <f>V328+V329</f>
        <v>#REF!</v>
      </c>
      <c r="W327" s="371" t="e">
        <f>W328+W329</f>
        <v>#REF!</v>
      </c>
      <c r="X327" s="371" t="e">
        <f>X328+X329</f>
        <v>#REF!</v>
      </c>
      <c r="Y327" s="372"/>
      <c r="Z327" s="372"/>
      <c r="AA327" s="372"/>
      <c r="AB327" s="372"/>
      <c r="AC327" s="372"/>
      <c r="AD327" s="372"/>
      <c r="AE327" s="372"/>
      <c r="AF327" s="372"/>
      <c r="AG327" s="372"/>
      <c r="AH327" s="372"/>
      <c r="AI327" s="372"/>
      <c r="AJ327" s="372"/>
      <c r="AK327" s="372"/>
      <c r="AL327" s="372"/>
    </row>
    <row r="328" spans="1:38" ht="23.25" hidden="1" customHeight="1" x14ac:dyDescent="0.25">
      <c r="A328" s="80"/>
      <c r="B328" s="80"/>
      <c r="C328" s="80"/>
      <c r="D328" s="80"/>
      <c r="E328" s="80">
        <v>3821</v>
      </c>
      <c r="F328" s="81" t="s">
        <v>1020</v>
      </c>
      <c r="G328" s="82" t="e">
        <f>SUMIF(#REF!,funkcijska!$E328,#REF!)</f>
        <v>#REF!</v>
      </c>
      <c r="H328" s="82" t="e">
        <f>SUMIF(#REF!,funkcijska!$E328,#REF!)</f>
        <v>#REF!</v>
      </c>
      <c r="I328" s="82" t="e">
        <f>SUMIF(#REF!,funkcijska!$E328,#REF!)</f>
        <v>#REF!</v>
      </c>
      <c r="J328" s="82" t="e">
        <f>SUMIF(#REF!,funkcijska!$E328,#REF!)</f>
        <v>#REF!</v>
      </c>
      <c r="K328" s="82" t="e">
        <f>SUMIF(#REF!,funkcijska!$E328,#REF!)</f>
        <v>#REF!</v>
      </c>
      <c r="L328" s="82" t="e">
        <f t="shared" si="158"/>
        <v>#REF!</v>
      </c>
      <c r="M328" s="82" t="e">
        <f t="shared" si="159"/>
        <v>#REF!</v>
      </c>
      <c r="N328" s="82" t="e">
        <f>SUMIF(#REF!,funkcijska!$E328,#REF!)</f>
        <v>#REF!</v>
      </c>
      <c r="O328" s="82" t="e">
        <f>SUMIF(#REF!,funkcijska!$E328,#REF!)</f>
        <v>#REF!</v>
      </c>
      <c r="P328" s="82" t="e">
        <f>SUMIF(#REF!,funkcijska!$E328,#REF!)</f>
        <v>#REF!</v>
      </c>
      <c r="Q328" s="386" t="e">
        <f>SUMIF(#REF!,funkcijska!$E328,#REF!)</f>
        <v>#REF!</v>
      </c>
      <c r="R328" s="82" t="e">
        <f>SUMIF(#REF!,funkcijska!$E328,#REF!)</f>
        <v>#REF!</v>
      </c>
      <c r="S328" s="82" t="e">
        <f>SUMIF(#REF!,funkcijska!$E328,#REF!)</f>
        <v>#REF!</v>
      </c>
      <c r="T328" s="82" t="e">
        <f>SUMIF(#REF!,funkcijska!$E$79,#REF!)</f>
        <v>#REF!</v>
      </c>
      <c r="U328" s="357" t="e">
        <f>SUMIF(#REF!,funkcijska!$E328,#REF!)</f>
        <v>#REF!</v>
      </c>
      <c r="V328" s="357" t="e">
        <f>SUMIF(#REF!,funkcijska!$E328,#REF!)</f>
        <v>#REF!</v>
      </c>
      <c r="W328" s="357" t="e">
        <f>SUMIF(#REF!,funkcijska!$E328,#REF!)</f>
        <v>#REF!</v>
      </c>
      <c r="X328" s="357" t="e">
        <f>SUMIF(#REF!,funkcijska!$E328,#REF!)</f>
        <v>#REF!</v>
      </c>
      <c r="AD328" s="60"/>
      <c r="AE328" s="60"/>
      <c r="AF328" s="60"/>
      <c r="AG328" s="60"/>
      <c r="AH328" s="60"/>
      <c r="AI328" s="60"/>
      <c r="AJ328" s="60"/>
      <c r="AK328" s="60"/>
      <c r="AL328" s="60"/>
    </row>
    <row r="329" spans="1:38" ht="23.25" hidden="1" customHeight="1" x14ac:dyDescent="0.25">
      <c r="A329" s="80"/>
      <c r="B329" s="80"/>
      <c r="C329" s="80"/>
      <c r="D329" s="80"/>
      <c r="E329" s="80">
        <v>3822</v>
      </c>
      <c r="F329" s="81" t="s">
        <v>734</v>
      </c>
      <c r="G329" s="82" t="e">
        <f>SUMIF(#REF!,funkcijska!$E329,#REF!)</f>
        <v>#REF!</v>
      </c>
      <c r="H329" s="82" t="e">
        <f>SUMIF(#REF!,funkcijska!$E329,#REF!)</f>
        <v>#REF!</v>
      </c>
      <c r="I329" s="82" t="e">
        <f>SUMIF(#REF!,funkcijska!$E329,#REF!)</f>
        <v>#REF!</v>
      </c>
      <c r="J329" s="82" t="e">
        <f>SUMIF(#REF!,funkcijska!$E329,#REF!)</f>
        <v>#REF!</v>
      </c>
      <c r="K329" s="82" t="e">
        <f>SUMIF(#REF!,funkcijska!$E329,#REF!)</f>
        <v>#REF!</v>
      </c>
      <c r="L329" s="82" t="e">
        <f t="shared" si="158"/>
        <v>#REF!</v>
      </c>
      <c r="M329" s="82" t="e">
        <f t="shared" si="159"/>
        <v>#REF!</v>
      </c>
      <c r="N329" s="82" t="e">
        <f>SUMIF(#REF!,funkcijska!$E329,#REF!)</f>
        <v>#REF!</v>
      </c>
      <c r="O329" s="82" t="e">
        <f>SUMIF(#REF!,funkcijska!$E329,#REF!)</f>
        <v>#REF!</v>
      </c>
      <c r="P329" s="82" t="e">
        <f>SUMIF(#REF!,funkcijska!$E329,#REF!)</f>
        <v>#REF!</v>
      </c>
      <c r="Q329" s="386" t="e">
        <f>SUMIF(#REF!,funkcijska!$E329,#REF!)</f>
        <v>#REF!</v>
      </c>
      <c r="R329" s="82" t="e">
        <f>SUMIF(#REF!,funkcijska!$E329,#REF!)</f>
        <v>#REF!</v>
      </c>
      <c r="S329" s="82" t="e">
        <f>SUMIF(#REF!,funkcijska!$E329,#REF!)</f>
        <v>#REF!</v>
      </c>
      <c r="T329" s="82" t="e">
        <f>SUMIF(#REF!,funkcijska!$E$79,#REF!)</f>
        <v>#REF!</v>
      </c>
      <c r="U329" s="357" t="e">
        <f>SUMIF(#REF!,funkcijska!$E329,#REF!)</f>
        <v>#REF!</v>
      </c>
      <c r="V329" s="357" t="e">
        <f>SUMIF(#REF!,funkcijska!$E329,#REF!)</f>
        <v>#REF!</v>
      </c>
      <c r="W329" s="357" t="e">
        <f>SUMIF(#REF!,funkcijska!$E329,#REF!)</f>
        <v>#REF!</v>
      </c>
      <c r="X329" s="357" t="e">
        <f>SUMIF(#REF!,funkcijska!$E329,#REF!)</f>
        <v>#REF!</v>
      </c>
      <c r="AD329" s="60"/>
      <c r="AE329" s="60"/>
      <c r="AF329" s="60"/>
      <c r="AG329" s="60"/>
      <c r="AH329" s="60"/>
      <c r="AI329" s="60"/>
      <c r="AJ329" s="60"/>
      <c r="AK329" s="60"/>
      <c r="AL329" s="60"/>
    </row>
    <row r="330" spans="1:38" s="373" customFormat="1" ht="21" hidden="1" customHeight="1" x14ac:dyDescent="0.25">
      <c r="A330" s="119"/>
      <c r="B330" s="119"/>
      <c r="C330" s="119"/>
      <c r="D330" s="119" t="str">
        <f>LEFT(E331,3)</f>
        <v>385</v>
      </c>
      <c r="E330" s="119"/>
      <c r="F330" s="368" t="s">
        <v>545</v>
      </c>
      <c r="G330" s="369" t="e">
        <f>G331</f>
        <v>#REF!</v>
      </c>
      <c r="H330" s="370" t="e">
        <f>H331</f>
        <v>#REF!</v>
      </c>
      <c r="I330" s="369" t="e">
        <f>I331</f>
        <v>#REF!</v>
      </c>
      <c r="J330" s="369" t="e">
        <f>J331</f>
        <v>#REF!</v>
      </c>
      <c r="K330" s="369" t="e">
        <f>K331</f>
        <v>#REF!</v>
      </c>
      <c r="L330" s="369" t="e">
        <f t="shared" si="158"/>
        <v>#REF!</v>
      </c>
      <c r="M330" s="369" t="e">
        <f t="shared" si="159"/>
        <v>#REF!</v>
      </c>
      <c r="N330" s="369" t="e">
        <f t="shared" ref="N330:X330" si="163">N331</f>
        <v>#REF!</v>
      </c>
      <c r="O330" s="137" t="e">
        <f t="shared" si="163"/>
        <v>#REF!</v>
      </c>
      <c r="P330" s="137" t="e">
        <f t="shared" si="163"/>
        <v>#REF!</v>
      </c>
      <c r="Q330" s="393" t="e">
        <f t="shared" si="163"/>
        <v>#REF!</v>
      </c>
      <c r="R330" s="137" t="e">
        <f t="shared" si="163"/>
        <v>#REF!</v>
      </c>
      <c r="S330" s="137" t="e">
        <f t="shared" si="163"/>
        <v>#REF!</v>
      </c>
      <c r="T330" s="137" t="e">
        <f t="shared" si="163"/>
        <v>#REF!</v>
      </c>
      <c r="U330" s="371" t="e">
        <f t="shared" si="163"/>
        <v>#REF!</v>
      </c>
      <c r="V330" s="371" t="e">
        <f t="shared" si="163"/>
        <v>#REF!</v>
      </c>
      <c r="W330" s="371" t="e">
        <f t="shared" si="163"/>
        <v>#REF!</v>
      </c>
      <c r="X330" s="371" t="e">
        <f t="shared" si="163"/>
        <v>#REF!</v>
      </c>
      <c r="Y330" s="372"/>
      <c r="Z330" s="372"/>
      <c r="AA330" s="372"/>
      <c r="AB330" s="372"/>
      <c r="AC330" s="372"/>
      <c r="AD330" s="372"/>
      <c r="AE330" s="372"/>
      <c r="AF330" s="372"/>
      <c r="AG330" s="372"/>
      <c r="AH330" s="372"/>
      <c r="AI330" s="372"/>
      <c r="AJ330" s="372"/>
      <c r="AK330" s="372"/>
      <c r="AL330" s="372"/>
    </row>
    <row r="331" spans="1:38" ht="21.75" hidden="1" customHeight="1" x14ac:dyDescent="0.25">
      <c r="A331" s="80"/>
      <c r="B331" s="80"/>
      <c r="C331" s="80"/>
      <c r="D331" s="80"/>
      <c r="E331" s="80">
        <v>3851</v>
      </c>
      <c r="F331" s="81" t="s">
        <v>546</v>
      </c>
      <c r="G331" s="82" t="e">
        <f>SUMIF(#REF!,funkcijska!$E331,#REF!)</f>
        <v>#REF!</v>
      </c>
      <c r="H331" s="82" t="e">
        <f>SUMIF(#REF!,funkcijska!$E331,#REF!)</f>
        <v>#REF!</v>
      </c>
      <c r="I331" s="82" t="e">
        <f>SUMIF(#REF!,funkcijska!$E331,#REF!)</f>
        <v>#REF!</v>
      </c>
      <c r="J331" s="82" t="e">
        <f>SUMIF(#REF!,funkcijska!$E331,#REF!)</f>
        <v>#REF!</v>
      </c>
      <c r="K331" s="82" t="e">
        <f>SUMIF(#REF!,funkcijska!$E331,#REF!)</f>
        <v>#REF!</v>
      </c>
      <c r="L331" s="82" t="e">
        <f t="shared" si="158"/>
        <v>#REF!</v>
      </c>
      <c r="M331" s="82" t="e">
        <f t="shared" si="159"/>
        <v>#REF!</v>
      </c>
      <c r="N331" s="82" t="e">
        <f>SUMIF(#REF!,funkcijska!$E331,#REF!)</f>
        <v>#REF!</v>
      </c>
      <c r="O331" s="82" t="e">
        <f>SUMIF(#REF!,funkcijska!$E331,#REF!)</f>
        <v>#REF!</v>
      </c>
      <c r="P331" s="82" t="e">
        <f>SUMIF(#REF!,funkcijska!$E331,#REF!)</f>
        <v>#REF!</v>
      </c>
      <c r="Q331" s="386" t="e">
        <f>SUMIF(#REF!,funkcijska!$E331,#REF!)</f>
        <v>#REF!</v>
      </c>
      <c r="R331" s="82" t="e">
        <f>SUMIF(#REF!,funkcijska!$E331,#REF!)</f>
        <v>#REF!</v>
      </c>
      <c r="S331" s="82" t="e">
        <f>SUMIF(#REF!,funkcijska!$E331,#REF!)</f>
        <v>#REF!</v>
      </c>
      <c r="T331" s="82" t="e">
        <f>SUMIF(#REF!,funkcijska!$E$82,#REF!)</f>
        <v>#REF!</v>
      </c>
      <c r="U331" s="357" t="e">
        <f>SUMIF(#REF!,funkcijska!$E331,#REF!)</f>
        <v>#REF!</v>
      </c>
      <c r="V331" s="357" t="e">
        <f>SUMIF(#REF!,funkcijska!$E331,#REF!)</f>
        <v>#REF!</v>
      </c>
      <c r="W331" s="357" t="e">
        <f>SUMIF(#REF!,funkcijska!$E331,#REF!)</f>
        <v>#REF!</v>
      </c>
      <c r="X331" s="357" t="e">
        <f>SUMIF(#REF!,funkcijska!$E331,#REF!)</f>
        <v>#REF!</v>
      </c>
      <c r="AD331" s="60"/>
      <c r="AE331" s="60"/>
      <c r="AF331" s="60"/>
      <c r="AG331" s="60"/>
      <c r="AH331" s="60"/>
      <c r="AI331" s="60"/>
      <c r="AJ331" s="60"/>
      <c r="AK331" s="60"/>
      <c r="AL331" s="60"/>
    </row>
    <row r="332" spans="1:38" ht="21.75" hidden="1" customHeight="1" x14ac:dyDescent="0.25">
      <c r="A332" s="108"/>
      <c r="B332" s="108"/>
      <c r="C332" s="108"/>
      <c r="D332" s="108"/>
      <c r="E332" s="108"/>
      <c r="F332" s="109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387"/>
      <c r="R332" s="110"/>
      <c r="S332" s="110"/>
      <c r="T332" s="110"/>
      <c r="U332" s="361"/>
      <c r="V332" s="361"/>
      <c r="W332" s="361"/>
      <c r="X332" s="361"/>
      <c r="AD332" s="60"/>
      <c r="AE332" s="60"/>
      <c r="AF332" s="60"/>
      <c r="AG332" s="60"/>
      <c r="AH332" s="60"/>
      <c r="AI332" s="60"/>
      <c r="AJ332" s="60"/>
      <c r="AK332" s="60"/>
      <c r="AL332" s="60"/>
    </row>
    <row r="333" spans="1:38" ht="15" hidden="1" customHeight="1" x14ac:dyDescent="0.25">
      <c r="A333" s="108"/>
      <c r="B333" s="108"/>
      <c r="C333" s="108"/>
      <c r="D333" s="108"/>
      <c r="E333" s="108"/>
      <c r="F333" s="109"/>
      <c r="G333" s="110"/>
      <c r="H333" s="103"/>
      <c r="I333" s="110"/>
      <c r="J333" s="110"/>
      <c r="K333" s="110"/>
      <c r="L333" s="110"/>
      <c r="M333" s="110"/>
      <c r="N333" s="110"/>
      <c r="O333" s="110"/>
      <c r="P333" s="110"/>
      <c r="Q333" s="395"/>
      <c r="R333" s="110"/>
      <c r="S333" s="110"/>
      <c r="T333" s="110"/>
      <c r="U333" s="361"/>
      <c r="V333" s="361"/>
      <c r="W333" s="361"/>
      <c r="X333" s="361"/>
      <c r="AD333" s="60"/>
      <c r="AE333" s="60"/>
      <c r="AF333" s="60"/>
      <c r="AG333" s="60"/>
      <c r="AH333" s="60"/>
      <c r="AI333" s="60"/>
      <c r="AJ333" s="60"/>
      <c r="AK333" s="60"/>
      <c r="AL333" s="60"/>
    </row>
    <row r="334" spans="1:38" x14ac:dyDescent="0.25">
      <c r="A334" s="108"/>
      <c r="B334" s="108"/>
      <c r="C334" s="108"/>
      <c r="D334" s="108"/>
      <c r="E334" s="108"/>
      <c r="F334" s="104" t="s">
        <v>1021</v>
      </c>
      <c r="G334" s="110"/>
      <c r="H334" s="103"/>
      <c r="I334" s="110"/>
      <c r="J334" s="110"/>
      <c r="K334" s="110"/>
      <c r="L334" s="110"/>
      <c r="M334" s="110"/>
      <c r="N334" s="110"/>
      <c r="O334" s="110"/>
      <c r="P334" s="110"/>
      <c r="Q334" s="395"/>
      <c r="R334" s="110"/>
      <c r="S334" s="110"/>
      <c r="T334" s="110"/>
      <c r="U334" s="361"/>
      <c r="V334" s="361"/>
      <c r="W334" s="361"/>
      <c r="X334" s="361"/>
      <c r="AD334" s="60"/>
      <c r="AE334" s="60"/>
      <c r="AF334" s="60"/>
      <c r="AG334" s="60"/>
      <c r="AH334" s="60"/>
      <c r="AI334" s="60"/>
      <c r="AJ334" s="60"/>
      <c r="AK334" s="60"/>
      <c r="AL334" s="60"/>
    </row>
    <row r="335" spans="1:38" x14ac:dyDescent="0.25">
      <c r="A335" s="74"/>
      <c r="B335" s="105" t="str">
        <f>LEFT(E344,1)</f>
        <v>4</v>
      </c>
      <c r="C335" s="105"/>
      <c r="D335" s="105"/>
      <c r="E335" s="105"/>
      <c r="F335" s="72" t="s">
        <v>552</v>
      </c>
      <c r="G335" s="313" t="e">
        <f>G336+G342+G364</f>
        <v>#REF!</v>
      </c>
      <c r="H335" s="73" t="e">
        <f>H336+H342+H364</f>
        <v>#REF!</v>
      </c>
      <c r="I335" s="313" t="e">
        <f>I336+I342+I364</f>
        <v>#REF!</v>
      </c>
      <c r="J335" s="313" t="e">
        <f>J336+J342+J364</f>
        <v>#REF!</v>
      </c>
      <c r="K335" s="313" t="e">
        <f>K336+K342+K364</f>
        <v>#REF!</v>
      </c>
      <c r="L335" s="313" t="e">
        <f t="shared" ref="L335:L342" si="164">ROUND(K335/J335*100,2)</f>
        <v>#REF!</v>
      </c>
      <c r="M335" s="313" t="e">
        <f t="shared" ref="M335:M342" si="165">N335-J335</f>
        <v>#REF!</v>
      </c>
      <c r="N335" s="313" t="e">
        <f t="shared" ref="N335:U335" si="166">N336+N342+N364</f>
        <v>#REF!</v>
      </c>
      <c r="O335" s="73" t="e">
        <f t="shared" si="166"/>
        <v>#REF!</v>
      </c>
      <c r="P335" s="73" t="e">
        <f t="shared" si="166"/>
        <v>#REF!</v>
      </c>
      <c r="Q335" s="412" t="e">
        <f t="shared" si="166"/>
        <v>#REF!</v>
      </c>
      <c r="R335" s="76" t="e">
        <f t="shared" si="166"/>
        <v>#REF!</v>
      </c>
      <c r="S335" s="76" t="e">
        <f t="shared" si="166"/>
        <v>#REF!</v>
      </c>
      <c r="T335" s="76" t="e">
        <f t="shared" si="166"/>
        <v>#REF!</v>
      </c>
      <c r="U335" s="355" t="e">
        <f t="shared" si="166"/>
        <v>#REF!</v>
      </c>
      <c r="V335" s="355" t="e">
        <f>V342</f>
        <v>#REF!</v>
      </c>
      <c r="W335" s="355" t="e">
        <f>W342</f>
        <v>#REF!</v>
      </c>
      <c r="X335" s="355" t="e">
        <f>X342</f>
        <v>#REF!</v>
      </c>
      <c r="AD335" s="60"/>
      <c r="AE335" s="60"/>
      <c r="AF335" s="60"/>
      <c r="AG335" s="60"/>
      <c r="AH335" s="60"/>
      <c r="AI335" s="60"/>
      <c r="AJ335" s="60"/>
      <c r="AK335" s="60"/>
      <c r="AL335" s="60"/>
    </row>
    <row r="336" spans="1:38" ht="36" hidden="1" x14ac:dyDescent="0.25">
      <c r="A336" s="125"/>
      <c r="B336" s="74"/>
      <c r="C336" s="74">
        <v>41</v>
      </c>
      <c r="D336" s="74"/>
      <c r="E336" s="74"/>
      <c r="F336" s="75" t="s">
        <v>753</v>
      </c>
      <c r="G336" s="77" t="e">
        <f>G339+G337</f>
        <v>#REF!</v>
      </c>
      <c r="H336" s="118" t="e">
        <f>H339+H337</f>
        <v>#REF!</v>
      </c>
      <c r="I336" s="77" t="e">
        <f>I339+I337</f>
        <v>#REF!</v>
      </c>
      <c r="J336" s="77" t="e">
        <f>J339+J337</f>
        <v>#REF!</v>
      </c>
      <c r="K336" s="77" t="e">
        <f>K339+K337</f>
        <v>#REF!</v>
      </c>
      <c r="L336" s="77" t="e">
        <f t="shared" si="164"/>
        <v>#REF!</v>
      </c>
      <c r="M336" s="77" t="e">
        <f t="shared" si="165"/>
        <v>#REF!</v>
      </c>
      <c r="N336" s="77" t="e">
        <f t="shared" ref="N336:X336" si="167">N339+N337</f>
        <v>#REF!</v>
      </c>
      <c r="O336" s="76" t="e">
        <f t="shared" si="167"/>
        <v>#REF!</v>
      </c>
      <c r="P336" s="76" t="e">
        <f t="shared" si="167"/>
        <v>#REF!</v>
      </c>
      <c r="Q336" s="385" t="e">
        <f t="shared" si="167"/>
        <v>#REF!</v>
      </c>
      <c r="R336" s="135" t="e">
        <f t="shared" si="167"/>
        <v>#REF!</v>
      </c>
      <c r="S336" s="135" t="e">
        <f t="shared" si="167"/>
        <v>#REF!</v>
      </c>
      <c r="T336" s="135" t="e">
        <f t="shared" si="167"/>
        <v>#REF!</v>
      </c>
      <c r="U336" s="356" t="e">
        <f t="shared" si="167"/>
        <v>#REF!</v>
      </c>
      <c r="V336" s="356" t="e">
        <f t="shared" si="167"/>
        <v>#REF!</v>
      </c>
      <c r="W336" s="356" t="e">
        <f t="shared" si="167"/>
        <v>#REF!</v>
      </c>
      <c r="X336" s="356" t="e">
        <f t="shared" si="167"/>
        <v>#REF!</v>
      </c>
      <c r="AD336" s="60"/>
      <c r="AE336" s="60"/>
      <c r="AF336" s="60"/>
      <c r="AG336" s="60"/>
      <c r="AH336" s="60"/>
      <c r="AI336" s="60"/>
      <c r="AJ336" s="60"/>
      <c r="AK336" s="60"/>
      <c r="AL336" s="60"/>
    </row>
    <row r="337" spans="1:38" s="373" customFormat="1" ht="17.25" hidden="1" customHeight="1" x14ac:dyDescent="0.25">
      <c r="A337" s="119"/>
      <c r="B337" s="119"/>
      <c r="C337" s="119"/>
      <c r="D337" s="119" t="s">
        <v>1022</v>
      </c>
      <c r="E337" s="119"/>
      <c r="F337" s="368" t="s">
        <v>471</v>
      </c>
      <c r="G337" s="369" t="e">
        <f>G338</f>
        <v>#REF!</v>
      </c>
      <c r="H337" s="370" t="e">
        <f>H338</f>
        <v>#REF!</v>
      </c>
      <c r="I337" s="369" t="e">
        <f>I338</f>
        <v>#REF!</v>
      </c>
      <c r="J337" s="369" t="e">
        <f>J338</f>
        <v>#REF!</v>
      </c>
      <c r="K337" s="369" t="e">
        <f>K338</f>
        <v>#REF!</v>
      </c>
      <c r="L337" s="369" t="e">
        <f t="shared" si="164"/>
        <v>#REF!</v>
      </c>
      <c r="M337" s="369" t="e">
        <f t="shared" si="165"/>
        <v>#REF!</v>
      </c>
      <c r="N337" s="369" t="e">
        <f t="shared" ref="N337:X337" si="168">N338</f>
        <v>#REF!</v>
      </c>
      <c r="O337" s="137" t="e">
        <f t="shared" si="168"/>
        <v>#REF!</v>
      </c>
      <c r="P337" s="137" t="e">
        <f t="shared" si="168"/>
        <v>#REF!</v>
      </c>
      <c r="Q337" s="393" t="e">
        <f t="shared" si="168"/>
        <v>#REF!</v>
      </c>
      <c r="R337" s="137" t="e">
        <f t="shared" si="168"/>
        <v>#REF!</v>
      </c>
      <c r="S337" s="137" t="e">
        <f t="shared" si="168"/>
        <v>#REF!</v>
      </c>
      <c r="T337" s="137" t="e">
        <f t="shared" si="168"/>
        <v>#REF!</v>
      </c>
      <c r="U337" s="371" t="e">
        <f t="shared" si="168"/>
        <v>#REF!</v>
      </c>
      <c r="V337" s="371" t="e">
        <f t="shared" si="168"/>
        <v>#REF!</v>
      </c>
      <c r="W337" s="371" t="e">
        <f t="shared" si="168"/>
        <v>#REF!</v>
      </c>
      <c r="X337" s="371" t="e">
        <f t="shared" si="168"/>
        <v>#REF!</v>
      </c>
      <c r="Y337" s="372"/>
      <c r="Z337" s="372"/>
      <c r="AA337" s="372"/>
      <c r="AB337" s="372"/>
      <c r="AC337" s="372"/>
      <c r="AD337" s="372"/>
      <c r="AE337" s="372"/>
      <c r="AF337" s="372"/>
      <c r="AG337" s="372"/>
      <c r="AH337" s="372"/>
      <c r="AI337" s="372"/>
      <c r="AJ337" s="372"/>
      <c r="AK337" s="372"/>
      <c r="AL337" s="372"/>
    </row>
    <row r="338" spans="1:38" ht="24.75" hidden="1" customHeight="1" x14ac:dyDescent="0.25">
      <c r="A338" s="80"/>
      <c r="B338" s="80"/>
      <c r="C338" s="80"/>
      <c r="D338" s="80"/>
      <c r="E338" s="80">
        <v>4111</v>
      </c>
      <c r="F338" s="81" t="s">
        <v>755</v>
      </c>
      <c r="G338" s="82" t="e">
        <f>SUMIF(#REF!,funkcijska!$E338,#REF!)</f>
        <v>#REF!</v>
      </c>
      <c r="H338" s="82" t="e">
        <f>SUMIF(#REF!,funkcijska!$E338,#REF!)</f>
        <v>#REF!</v>
      </c>
      <c r="I338" s="82" t="e">
        <f>SUMIF(#REF!,funkcijska!$E338,#REF!)</f>
        <v>#REF!</v>
      </c>
      <c r="J338" s="82" t="e">
        <f>SUMIF(#REF!,funkcijska!$E338,#REF!)</f>
        <v>#REF!</v>
      </c>
      <c r="K338" s="82" t="e">
        <f>SUMIF(#REF!,funkcijska!$E338,#REF!)</f>
        <v>#REF!</v>
      </c>
      <c r="L338" s="82" t="e">
        <f t="shared" si="164"/>
        <v>#REF!</v>
      </c>
      <c r="M338" s="82" t="e">
        <f t="shared" si="165"/>
        <v>#REF!</v>
      </c>
      <c r="N338" s="82" t="e">
        <f>SUMIF(#REF!,funkcijska!$E338,#REF!)</f>
        <v>#REF!</v>
      </c>
      <c r="O338" s="82" t="e">
        <f>SUMIF(#REF!,funkcijska!$E338,#REF!)</f>
        <v>#REF!</v>
      </c>
      <c r="P338" s="82" t="e">
        <f>SUMIF(#REF!,funkcijska!$E338,#REF!)</f>
        <v>#REF!</v>
      </c>
      <c r="Q338" s="386" t="e">
        <f>SUMIF(#REF!,funkcijska!$E338,#REF!)</f>
        <v>#REF!</v>
      </c>
      <c r="R338" s="82" t="e">
        <f>SUMIF(#REF!,funkcijska!$E338,#REF!)</f>
        <v>#REF!</v>
      </c>
      <c r="S338" s="82" t="e">
        <f>SUMIF(#REF!,funkcijska!$E338,#REF!)</f>
        <v>#REF!</v>
      </c>
      <c r="T338" s="82" t="e">
        <f>SUMIF(#REF!,funkcijska!$E$87,#REF!)</f>
        <v>#REF!</v>
      </c>
      <c r="U338" s="357" t="e">
        <f>SUMIF(#REF!,funkcijska!$E338,#REF!)</f>
        <v>#REF!</v>
      </c>
      <c r="V338" s="357" t="e">
        <f>SUMIF(#REF!,funkcijska!$E338,#REF!)</f>
        <v>#REF!</v>
      </c>
      <c r="W338" s="357" t="e">
        <f>SUMIF(#REF!,funkcijska!$E338,#REF!)</f>
        <v>#REF!</v>
      </c>
      <c r="X338" s="357" t="e">
        <f>SUMIF(#REF!,funkcijska!$E338,#REF!)</f>
        <v>#REF!</v>
      </c>
      <c r="AD338" s="60"/>
      <c r="AE338" s="60"/>
      <c r="AF338" s="60"/>
      <c r="AG338" s="60"/>
      <c r="AH338" s="60"/>
      <c r="AI338" s="60"/>
      <c r="AJ338" s="60"/>
      <c r="AK338" s="60"/>
      <c r="AL338" s="60"/>
    </row>
    <row r="339" spans="1:38" s="373" customFormat="1" ht="18.75" hidden="1" customHeight="1" x14ac:dyDescent="0.25">
      <c r="A339" s="119"/>
      <c r="B339" s="119"/>
      <c r="C339" s="119"/>
      <c r="D339" s="119">
        <v>412</v>
      </c>
      <c r="E339" s="119"/>
      <c r="F339" s="368" t="s">
        <v>553</v>
      </c>
      <c r="G339" s="137" t="e">
        <f>G340+G341</f>
        <v>#REF!</v>
      </c>
      <c r="H339" s="137" t="e">
        <f>H340+H341</f>
        <v>#REF!</v>
      </c>
      <c r="I339" s="137" t="e">
        <f>I340+I341</f>
        <v>#REF!</v>
      </c>
      <c r="J339" s="137" t="e">
        <f>J340+J341</f>
        <v>#REF!</v>
      </c>
      <c r="K339" s="137" t="e">
        <f>K340+K341</f>
        <v>#REF!</v>
      </c>
      <c r="L339" s="137" t="e">
        <f t="shared" si="164"/>
        <v>#REF!</v>
      </c>
      <c r="M339" s="137" t="e">
        <f t="shared" si="165"/>
        <v>#REF!</v>
      </c>
      <c r="N339" s="137" t="e">
        <f t="shared" ref="N339:X339" si="169">N340+N341</f>
        <v>#REF!</v>
      </c>
      <c r="O339" s="137" t="e">
        <f t="shared" si="169"/>
        <v>#REF!</v>
      </c>
      <c r="P339" s="137" t="e">
        <f t="shared" si="169"/>
        <v>#REF!</v>
      </c>
      <c r="Q339" s="393" t="e">
        <f t="shared" si="169"/>
        <v>#REF!</v>
      </c>
      <c r="R339" s="137" t="e">
        <f t="shared" si="169"/>
        <v>#REF!</v>
      </c>
      <c r="S339" s="137" t="e">
        <f t="shared" si="169"/>
        <v>#REF!</v>
      </c>
      <c r="T339" s="137" t="e">
        <f t="shared" si="169"/>
        <v>#REF!</v>
      </c>
      <c r="U339" s="371" t="e">
        <f t="shared" si="169"/>
        <v>#REF!</v>
      </c>
      <c r="V339" s="371" t="e">
        <f t="shared" si="169"/>
        <v>#REF!</v>
      </c>
      <c r="W339" s="371" t="e">
        <f t="shared" si="169"/>
        <v>#REF!</v>
      </c>
      <c r="X339" s="371" t="e">
        <f t="shared" si="169"/>
        <v>#REF!</v>
      </c>
      <c r="Y339" s="372"/>
      <c r="Z339" s="372"/>
      <c r="AA339" s="372"/>
      <c r="AB339" s="372"/>
      <c r="AC339" s="372"/>
      <c r="AD339" s="372"/>
      <c r="AE339" s="372"/>
      <c r="AF339" s="372"/>
      <c r="AG339" s="372"/>
      <c r="AH339" s="372"/>
      <c r="AI339" s="372"/>
      <c r="AJ339" s="372"/>
      <c r="AK339" s="372"/>
      <c r="AL339" s="372"/>
    </row>
    <row r="340" spans="1:38" ht="18" hidden="1" customHeight="1" x14ac:dyDescent="0.25">
      <c r="A340" s="80"/>
      <c r="B340" s="80"/>
      <c r="C340" s="80"/>
      <c r="D340" s="80"/>
      <c r="E340" s="80">
        <v>4123</v>
      </c>
      <c r="F340" s="81" t="s">
        <v>554</v>
      </c>
      <c r="G340" s="82" t="e">
        <f>SUMIF(#REF!,funkcijska!$E340,#REF!)</f>
        <v>#REF!</v>
      </c>
      <c r="H340" s="82" t="e">
        <f>SUMIF(#REF!,funkcijska!$E340,#REF!)</f>
        <v>#REF!</v>
      </c>
      <c r="I340" s="82" t="e">
        <f>SUMIF(#REF!,funkcijska!$E340,#REF!)</f>
        <v>#REF!</v>
      </c>
      <c r="J340" s="82" t="e">
        <f>SUMIF(#REF!,funkcijska!$E340,#REF!)</f>
        <v>#REF!</v>
      </c>
      <c r="K340" s="82" t="e">
        <f>SUMIF(#REF!,funkcijska!$E340,#REF!)</f>
        <v>#REF!</v>
      </c>
      <c r="L340" s="82" t="e">
        <f t="shared" si="164"/>
        <v>#REF!</v>
      </c>
      <c r="M340" s="82" t="e">
        <f t="shared" si="165"/>
        <v>#REF!</v>
      </c>
      <c r="N340" s="82" t="e">
        <f>SUMIF(#REF!,funkcijska!$E340,#REF!)</f>
        <v>#REF!</v>
      </c>
      <c r="O340" s="82" t="e">
        <f>SUMIF(#REF!,funkcijska!$E340,#REF!)</f>
        <v>#REF!</v>
      </c>
      <c r="P340" s="82" t="e">
        <f>SUMIF(#REF!,funkcijska!$E340,#REF!)</f>
        <v>#REF!</v>
      </c>
      <c r="Q340" s="386" t="e">
        <f>SUMIF(#REF!,funkcijska!$E340,#REF!)</f>
        <v>#REF!</v>
      </c>
      <c r="R340" s="82" t="e">
        <f>SUMIF(#REF!,funkcijska!$E340,#REF!)</f>
        <v>#REF!</v>
      </c>
      <c r="S340" s="82" t="e">
        <f>SUMIF(#REF!,funkcijska!$E340,#REF!)</f>
        <v>#REF!</v>
      </c>
      <c r="T340" s="82" t="e">
        <f>SUMIF(#REF!,funkcijska!$E$89,#REF!)</f>
        <v>#REF!</v>
      </c>
      <c r="U340" s="357" t="e">
        <f>SUMIF(#REF!,funkcijska!$E340,#REF!)</f>
        <v>#REF!</v>
      </c>
      <c r="V340" s="357" t="e">
        <f>SUMIF(#REF!,funkcijska!$E340,#REF!)</f>
        <v>#REF!</v>
      </c>
      <c r="W340" s="357" t="e">
        <f>SUMIF(#REF!,funkcijska!$E340,#REF!)</f>
        <v>#REF!</v>
      </c>
      <c r="X340" s="357" t="e">
        <f>SUMIF(#REF!,funkcijska!$E340,#REF!)</f>
        <v>#REF!</v>
      </c>
      <c r="AD340" s="60"/>
      <c r="AE340" s="60"/>
      <c r="AF340" s="60"/>
      <c r="AG340" s="60"/>
      <c r="AH340" s="60"/>
      <c r="AI340" s="60"/>
      <c r="AJ340" s="60"/>
      <c r="AK340" s="60"/>
      <c r="AL340" s="60"/>
    </row>
    <row r="341" spans="1:38" ht="18.75" hidden="1" customHeight="1" x14ac:dyDescent="0.25">
      <c r="A341" s="80"/>
      <c r="B341" s="80"/>
      <c r="C341" s="80"/>
      <c r="D341" s="80"/>
      <c r="E341" s="136" t="s">
        <v>1023</v>
      </c>
      <c r="F341" s="81" t="s">
        <v>1024</v>
      </c>
      <c r="G341" s="82" t="e">
        <f>SUMIF(#REF!,funkcijska!$E341,#REF!)</f>
        <v>#REF!</v>
      </c>
      <c r="H341" s="82" t="e">
        <f>SUMIF(#REF!,funkcijska!$E341,#REF!)</f>
        <v>#REF!</v>
      </c>
      <c r="I341" s="82" t="e">
        <f>SUMIF(#REF!,funkcijska!$E341,#REF!)</f>
        <v>#REF!</v>
      </c>
      <c r="J341" s="82" t="e">
        <f>SUMIF(#REF!,funkcijska!$E341,#REF!)</f>
        <v>#REF!</v>
      </c>
      <c r="K341" s="82" t="e">
        <f>SUMIF(#REF!,funkcijska!$E341,#REF!)</f>
        <v>#REF!</v>
      </c>
      <c r="L341" s="82" t="e">
        <f t="shared" si="164"/>
        <v>#REF!</v>
      </c>
      <c r="M341" s="82" t="e">
        <f t="shared" si="165"/>
        <v>#REF!</v>
      </c>
      <c r="N341" s="82" t="e">
        <f>SUMIF(#REF!,funkcijska!$E341,#REF!)</f>
        <v>#REF!</v>
      </c>
      <c r="O341" s="82" t="e">
        <f>SUMIF(#REF!,funkcijska!$E341,#REF!)</f>
        <v>#REF!</v>
      </c>
      <c r="P341" s="82" t="e">
        <f>SUMIF(#REF!,funkcijska!$E341,#REF!)</f>
        <v>#REF!</v>
      </c>
      <c r="Q341" s="389" t="e">
        <f>U341-O341</f>
        <v>#REF!</v>
      </c>
      <c r="R341" s="82" t="e">
        <f>SUMIF(#REF!,funkcijska!$E341,#REF!)</f>
        <v>#REF!</v>
      </c>
      <c r="S341" s="82" t="e">
        <f>SUMIF(#REF!,funkcijska!$E341,#REF!)</f>
        <v>#REF!</v>
      </c>
      <c r="T341" s="82" t="e">
        <f>SUMIF(#REF!,funkcijska!$E$90,#REF!)</f>
        <v>#REF!</v>
      </c>
      <c r="U341" s="357" t="e">
        <f>SUMIF(#REF!,funkcijska!$E341,#REF!)</f>
        <v>#REF!</v>
      </c>
      <c r="V341" s="357" t="e">
        <f>SUMIF(#REF!,funkcijska!$E341,#REF!)</f>
        <v>#REF!</v>
      </c>
      <c r="W341" s="357" t="e">
        <f>SUMIF(#REF!,funkcijska!$E341,#REF!)</f>
        <v>#REF!</v>
      </c>
      <c r="X341" s="357" t="e">
        <f>SUMIF(#REF!,funkcijska!$E341,#REF!)</f>
        <v>#REF!</v>
      </c>
      <c r="AD341" s="60"/>
      <c r="AE341" s="60"/>
      <c r="AF341" s="60"/>
      <c r="AG341" s="60"/>
      <c r="AH341" s="60"/>
      <c r="AI341" s="60"/>
      <c r="AJ341" s="60"/>
      <c r="AK341" s="60"/>
      <c r="AL341" s="60"/>
    </row>
    <row r="342" spans="1:38" ht="36.75" customHeight="1" x14ac:dyDescent="0.25">
      <c r="A342" s="125"/>
      <c r="B342" s="74"/>
      <c r="C342" s="74" t="str">
        <f>LEFT(E344,2)</f>
        <v>42</v>
      </c>
      <c r="D342" s="74"/>
      <c r="E342" s="74"/>
      <c r="F342" s="75" t="s">
        <v>212</v>
      </c>
      <c r="G342" s="77" t="e">
        <f>G343+G347+G355+G357+G361+G359</f>
        <v>#REF!</v>
      </c>
      <c r="H342" s="118" t="e">
        <f>H343+H347+H355+H357+H361+H359</f>
        <v>#REF!</v>
      </c>
      <c r="I342" s="77" t="e">
        <f>I343+I347+I355+I357+I361+I359</f>
        <v>#REF!</v>
      </c>
      <c r="J342" s="77" t="e">
        <f>J343+J347+J355+J357+J361+J359</f>
        <v>#REF!</v>
      </c>
      <c r="K342" s="77" t="e">
        <f>K343+K347+K355+K357+K361+K359</f>
        <v>#REF!</v>
      </c>
      <c r="L342" s="77" t="e">
        <f t="shared" si="164"/>
        <v>#REF!</v>
      </c>
      <c r="M342" s="77" t="e">
        <f t="shared" si="165"/>
        <v>#REF!</v>
      </c>
      <c r="N342" s="77" t="e">
        <f t="shared" ref="N342:X342" si="170">N343+N347+N355+N357+N361+N359</f>
        <v>#REF!</v>
      </c>
      <c r="O342" s="76" t="e">
        <f t="shared" si="170"/>
        <v>#REF!</v>
      </c>
      <c r="P342" s="76" t="e">
        <f t="shared" si="170"/>
        <v>#REF!</v>
      </c>
      <c r="Q342" s="385" t="e">
        <f t="shared" si="170"/>
        <v>#REF!</v>
      </c>
      <c r="R342" s="135" t="e">
        <f t="shared" si="170"/>
        <v>#REF!</v>
      </c>
      <c r="S342" s="135" t="e">
        <f t="shared" si="170"/>
        <v>#REF!</v>
      </c>
      <c r="T342" s="135" t="e">
        <f t="shared" si="170"/>
        <v>#REF!</v>
      </c>
      <c r="U342" s="356" t="e">
        <f t="shared" si="170"/>
        <v>#REF!</v>
      </c>
      <c r="V342" s="356" t="e">
        <f t="shared" si="170"/>
        <v>#REF!</v>
      </c>
      <c r="W342" s="356" t="e">
        <f t="shared" si="170"/>
        <v>#REF!</v>
      </c>
      <c r="X342" s="356" t="e">
        <f t="shared" si="170"/>
        <v>#REF!</v>
      </c>
      <c r="AD342" s="60"/>
      <c r="AE342" s="60"/>
      <c r="AF342" s="60"/>
      <c r="AG342" s="60"/>
      <c r="AH342" s="60"/>
      <c r="AI342" s="60"/>
      <c r="AJ342" s="60"/>
      <c r="AK342" s="60"/>
      <c r="AL342" s="60"/>
    </row>
    <row r="343" spans="1:38" s="373" customFormat="1" ht="17.25" hidden="1" customHeight="1" x14ac:dyDescent="0.25">
      <c r="A343" s="119"/>
      <c r="B343" s="119"/>
      <c r="C343" s="119"/>
      <c r="D343" s="119" t="str">
        <f>LEFT(E344,3)</f>
        <v>421</v>
      </c>
      <c r="E343" s="119"/>
      <c r="F343" s="368" t="s">
        <v>759</v>
      </c>
      <c r="G343" s="369" t="e">
        <f t="shared" ref="G343:X343" si="171">SUM(G344:G346)</f>
        <v>#REF!</v>
      </c>
      <c r="H343" s="370" t="e">
        <f t="shared" si="171"/>
        <v>#REF!</v>
      </c>
      <c r="I343" s="369" t="e">
        <f t="shared" si="171"/>
        <v>#REF!</v>
      </c>
      <c r="J343" s="369" t="e">
        <f t="shared" si="171"/>
        <v>#REF!</v>
      </c>
      <c r="K343" s="369" t="e">
        <f t="shared" si="171"/>
        <v>#REF!</v>
      </c>
      <c r="L343" s="369" t="e">
        <f t="shared" si="171"/>
        <v>#REF!</v>
      </c>
      <c r="M343" s="369" t="e">
        <f t="shared" si="171"/>
        <v>#REF!</v>
      </c>
      <c r="N343" s="369" t="e">
        <f t="shared" si="171"/>
        <v>#REF!</v>
      </c>
      <c r="O343" s="369" t="e">
        <f t="shared" si="171"/>
        <v>#REF!</v>
      </c>
      <c r="P343" s="369" t="e">
        <f t="shared" si="171"/>
        <v>#REF!</v>
      </c>
      <c r="Q343" s="392" t="e">
        <f t="shared" si="171"/>
        <v>#REF!</v>
      </c>
      <c r="R343" s="369" t="e">
        <f t="shared" si="171"/>
        <v>#REF!</v>
      </c>
      <c r="S343" s="369" t="e">
        <f t="shared" si="171"/>
        <v>#REF!</v>
      </c>
      <c r="T343" s="369" t="e">
        <f t="shared" si="171"/>
        <v>#REF!</v>
      </c>
      <c r="U343" s="374" t="e">
        <f t="shared" si="171"/>
        <v>#REF!</v>
      </c>
      <c r="V343" s="374" t="e">
        <f t="shared" si="171"/>
        <v>#REF!</v>
      </c>
      <c r="W343" s="374" t="e">
        <f t="shared" si="171"/>
        <v>#REF!</v>
      </c>
      <c r="X343" s="374" t="e">
        <f t="shared" si="171"/>
        <v>#REF!</v>
      </c>
      <c r="Y343" s="372"/>
      <c r="Z343" s="372"/>
      <c r="AA343" s="372"/>
      <c r="AB343" s="372"/>
      <c r="AC343" s="372"/>
      <c r="AD343" s="372"/>
      <c r="AE343" s="372"/>
      <c r="AF343" s="372"/>
      <c r="AG343" s="372"/>
      <c r="AH343" s="372"/>
      <c r="AI343" s="372"/>
      <c r="AJ343" s="372"/>
      <c r="AK343" s="372"/>
      <c r="AL343" s="372"/>
    </row>
    <row r="344" spans="1:38" ht="21" hidden="1" customHeight="1" x14ac:dyDescent="0.25">
      <c r="A344" s="80"/>
      <c r="B344" s="80"/>
      <c r="C344" s="80"/>
      <c r="D344" s="80"/>
      <c r="E344" s="80">
        <v>4212</v>
      </c>
      <c r="F344" s="81" t="s">
        <v>1025</v>
      </c>
      <c r="G344" s="82" t="e">
        <f>SUMIF(#REF!,funkcijska!$E344,#REF!)</f>
        <v>#REF!</v>
      </c>
      <c r="H344" s="82" t="e">
        <f>SUMIF(#REF!,funkcijska!$E344,#REF!)</f>
        <v>#REF!</v>
      </c>
      <c r="I344" s="82" t="e">
        <f>SUMIF(#REF!,funkcijska!$E344,#REF!)</f>
        <v>#REF!</v>
      </c>
      <c r="J344" s="82" t="e">
        <f>SUMIF(#REF!,funkcijska!$E344,#REF!)</f>
        <v>#REF!</v>
      </c>
      <c r="K344" s="82" t="e">
        <f>SUMIF(#REF!,funkcijska!$E344,#REF!)</f>
        <v>#REF!</v>
      </c>
      <c r="L344" s="82" t="e">
        <f>ROUND(K344/J344*100,2)</f>
        <v>#REF!</v>
      </c>
      <c r="M344" s="82" t="e">
        <f>N344-J344</f>
        <v>#REF!</v>
      </c>
      <c r="N344" s="82" t="e">
        <f>SUMIF(#REF!,funkcijska!$E344,#REF!)</f>
        <v>#REF!</v>
      </c>
      <c r="O344" s="82" t="e">
        <f>SUMIF(#REF!,funkcijska!$E344,#REF!)</f>
        <v>#REF!</v>
      </c>
      <c r="P344" s="82" t="e">
        <f>SUMIF(#REF!,funkcijska!$E344,#REF!)</f>
        <v>#REF!</v>
      </c>
      <c r="Q344" s="386" t="e">
        <f>SUMIF(#REF!,funkcijska!$E344,#REF!)</f>
        <v>#REF!</v>
      </c>
      <c r="R344" s="82" t="e">
        <f>SUMIF(#REF!,funkcijska!$E344,#REF!)</f>
        <v>#REF!</v>
      </c>
      <c r="S344" s="82" t="e">
        <f>SUMIF(#REF!,funkcijska!$E344,#REF!)</f>
        <v>#REF!</v>
      </c>
      <c r="T344" s="82" t="e">
        <f>SUMIF(#REF!,funkcijska!$E$93,#REF!)</f>
        <v>#REF!</v>
      </c>
      <c r="U344" s="357" t="e">
        <f>SUMIF(#REF!,funkcijska!$E344,#REF!)</f>
        <v>#REF!</v>
      </c>
      <c r="V344" s="357" t="e">
        <f>SUMIF(#REF!,funkcijska!$E344,#REF!)</f>
        <v>#REF!</v>
      </c>
      <c r="W344" s="357" t="e">
        <f>SUMIF(#REF!,funkcijska!$E344,#REF!)</f>
        <v>#REF!</v>
      </c>
      <c r="X344" s="357" t="e">
        <f>SUMIF(#REF!,funkcijska!$E344,#REF!)</f>
        <v>#REF!</v>
      </c>
      <c r="AD344" s="60"/>
      <c r="AE344" s="60"/>
      <c r="AF344" s="60"/>
      <c r="AG344" s="60"/>
      <c r="AH344" s="60"/>
      <c r="AI344" s="60"/>
      <c r="AJ344" s="60"/>
      <c r="AK344" s="60"/>
      <c r="AL344" s="60"/>
    </row>
    <row r="345" spans="1:38" ht="15" hidden="1" customHeight="1" x14ac:dyDescent="0.25">
      <c r="A345" s="80"/>
      <c r="B345" s="80"/>
      <c r="C345" s="80"/>
      <c r="D345" s="80"/>
      <c r="E345" s="80">
        <v>4213</v>
      </c>
      <c r="F345" s="81" t="s">
        <v>1026</v>
      </c>
      <c r="G345" s="82" t="e">
        <f>SUMIF(#REF!,funkcijska!$E345,#REF!)</f>
        <v>#REF!</v>
      </c>
      <c r="H345" s="82" t="e">
        <f>SUMIF(#REF!,funkcijska!$E345,#REF!)</f>
        <v>#REF!</v>
      </c>
      <c r="I345" s="82" t="e">
        <f>SUMIF(#REF!,funkcijska!$E345,#REF!)</f>
        <v>#REF!</v>
      </c>
      <c r="J345" s="82" t="e">
        <f>SUMIF(#REF!,funkcijska!$E345,#REF!)</f>
        <v>#REF!</v>
      </c>
      <c r="K345" s="82" t="e">
        <f>SUMIF(#REF!,funkcijska!$E345,#REF!)</f>
        <v>#REF!</v>
      </c>
      <c r="L345" s="82" t="e">
        <f>ROUND(K345/J345*100,2)</f>
        <v>#REF!</v>
      </c>
      <c r="M345" s="82" t="e">
        <f>N345-J345</f>
        <v>#REF!</v>
      </c>
      <c r="N345" s="82" t="e">
        <f>SUMIF(#REF!,funkcijska!$E345,#REF!)</f>
        <v>#REF!</v>
      </c>
      <c r="O345" s="82" t="e">
        <f>SUMIF(#REF!,funkcijska!$E345,#REF!)</f>
        <v>#REF!</v>
      </c>
      <c r="P345" s="82" t="e">
        <f>SUMIF(#REF!,funkcijska!$E345,#REF!)</f>
        <v>#REF!</v>
      </c>
      <c r="Q345" s="386" t="e">
        <f>SUMIF(#REF!,funkcijska!$E345,#REF!)</f>
        <v>#REF!</v>
      </c>
      <c r="R345" s="82" t="e">
        <f>SUMIF(#REF!,funkcijska!$E345,#REF!)</f>
        <v>#REF!</v>
      </c>
      <c r="S345" s="82" t="e">
        <f>SUMIF(#REF!,funkcijska!$E345,#REF!)</f>
        <v>#REF!</v>
      </c>
      <c r="T345" s="82" t="e">
        <f>SUMIF(#REF!,funkcijska!$E$94,#REF!)</f>
        <v>#REF!</v>
      </c>
      <c r="U345" s="357" t="e">
        <f>SUMIF(#REF!,funkcijska!$E345,#REF!)</f>
        <v>#REF!</v>
      </c>
      <c r="V345" s="357" t="e">
        <f>SUMIF(#REF!,funkcijska!$E345,#REF!)</f>
        <v>#REF!</v>
      </c>
      <c r="W345" s="357" t="e">
        <f>SUMIF(#REF!,funkcijska!$E345,#REF!)</f>
        <v>#REF!</v>
      </c>
      <c r="X345" s="357" t="e">
        <f>SUMIF(#REF!,funkcijska!$E345,#REF!)</f>
        <v>#REF!</v>
      </c>
      <c r="AD345" s="60"/>
      <c r="AE345" s="60"/>
      <c r="AF345" s="60"/>
      <c r="AG345" s="60"/>
      <c r="AH345" s="60"/>
      <c r="AI345" s="60"/>
      <c r="AJ345" s="60"/>
      <c r="AK345" s="60"/>
      <c r="AL345" s="60"/>
    </row>
    <row r="346" spans="1:38" ht="20.25" hidden="1" customHeight="1" x14ac:dyDescent="0.25">
      <c r="A346" s="80"/>
      <c r="B346" s="80"/>
      <c r="C346" s="80"/>
      <c r="D346" s="80"/>
      <c r="E346" s="80">
        <v>4214</v>
      </c>
      <c r="F346" s="132" t="s">
        <v>1027</v>
      </c>
      <c r="G346" s="82" t="e">
        <f>SUMIF(#REF!,funkcijska!$E346,#REF!)</f>
        <v>#REF!</v>
      </c>
      <c r="H346" s="82" t="e">
        <f>SUMIF(#REF!,funkcijska!$E346,#REF!)</f>
        <v>#REF!</v>
      </c>
      <c r="I346" s="82" t="e">
        <f>SUMIF(#REF!,funkcijska!$E346,#REF!)</f>
        <v>#REF!</v>
      </c>
      <c r="J346" s="82" t="e">
        <f>SUMIF(#REF!,funkcijska!$E346,#REF!)</f>
        <v>#REF!</v>
      </c>
      <c r="K346" s="82" t="e">
        <f>SUMIF(#REF!,funkcijska!$E346,#REF!)</f>
        <v>#REF!</v>
      </c>
      <c r="L346" s="82" t="e">
        <f>ROUND(K346/J346*100,2)</f>
        <v>#REF!</v>
      </c>
      <c r="M346" s="82" t="e">
        <f>N346-J346</f>
        <v>#REF!</v>
      </c>
      <c r="N346" s="82" t="e">
        <f>SUMIF(#REF!,funkcijska!$E346,#REF!)</f>
        <v>#REF!</v>
      </c>
      <c r="O346" s="82" t="e">
        <f>SUMIF(#REF!,funkcijska!$E346,#REF!)</f>
        <v>#REF!</v>
      </c>
      <c r="P346" s="82" t="e">
        <f>SUMIF(#REF!,funkcijska!$E346,#REF!)</f>
        <v>#REF!</v>
      </c>
      <c r="Q346" s="386" t="e">
        <f>SUMIF(#REF!,funkcijska!$E346,#REF!)</f>
        <v>#REF!</v>
      </c>
      <c r="R346" s="82" t="e">
        <f>SUMIF(#REF!,funkcijska!$E346,#REF!)</f>
        <v>#REF!</v>
      </c>
      <c r="S346" s="82" t="e">
        <f>SUMIF(#REF!,funkcijska!$E346,#REF!)</f>
        <v>#REF!</v>
      </c>
      <c r="T346" s="82" t="e">
        <f>SUMIF(#REF!,funkcijska!$E$95,#REF!)</f>
        <v>#REF!</v>
      </c>
      <c r="U346" s="357" t="e">
        <f>SUMIF(#REF!,funkcijska!$E346,#REF!)</f>
        <v>#REF!</v>
      </c>
      <c r="V346" s="357" t="e">
        <f>SUMIF(#REF!,funkcijska!$E346,#REF!)</f>
        <v>#REF!</v>
      </c>
      <c r="W346" s="357" t="e">
        <f>SUMIF(#REF!,funkcijska!$E346,#REF!)</f>
        <v>#REF!</v>
      </c>
      <c r="X346" s="357" t="e">
        <f>SUMIF(#REF!,funkcijska!$E346,#REF!)</f>
        <v>#REF!</v>
      </c>
      <c r="AD346" s="60"/>
      <c r="AE346" s="60"/>
      <c r="AF346" s="60"/>
      <c r="AG346" s="60"/>
      <c r="AH346" s="60"/>
      <c r="AI346" s="60"/>
      <c r="AJ346" s="60"/>
      <c r="AK346" s="60"/>
      <c r="AL346" s="60"/>
    </row>
    <row r="347" spans="1:38" s="373" customFormat="1" ht="17.25" customHeight="1" x14ac:dyDescent="0.25">
      <c r="A347" s="119"/>
      <c r="B347" s="119"/>
      <c r="C347" s="119"/>
      <c r="D347" s="119" t="str">
        <f>LEFT(E348,3)</f>
        <v>422</v>
      </c>
      <c r="E347" s="119"/>
      <c r="F347" s="368" t="s">
        <v>555</v>
      </c>
      <c r="G347" s="369" t="e">
        <f t="shared" ref="G347:X347" si="172">SUM(G348:G354)</f>
        <v>#REF!</v>
      </c>
      <c r="H347" s="370" t="e">
        <f t="shared" si="172"/>
        <v>#REF!</v>
      </c>
      <c r="I347" s="369" t="e">
        <f t="shared" si="172"/>
        <v>#REF!</v>
      </c>
      <c r="J347" s="369" t="e">
        <f t="shared" si="172"/>
        <v>#REF!</v>
      </c>
      <c r="K347" s="369" t="e">
        <f t="shared" si="172"/>
        <v>#REF!</v>
      </c>
      <c r="L347" s="369" t="e">
        <f t="shared" si="172"/>
        <v>#REF!</v>
      </c>
      <c r="M347" s="369" t="e">
        <f t="shared" si="172"/>
        <v>#REF!</v>
      </c>
      <c r="N347" s="369" t="e">
        <f t="shared" si="172"/>
        <v>#REF!</v>
      </c>
      <c r="O347" s="369" t="e">
        <f t="shared" si="172"/>
        <v>#REF!</v>
      </c>
      <c r="P347" s="369" t="e">
        <f t="shared" si="172"/>
        <v>#REF!</v>
      </c>
      <c r="Q347" s="392" t="e">
        <f t="shared" si="172"/>
        <v>#REF!</v>
      </c>
      <c r="R347" s="369" t="e">
        <f t="shared" si="172"/>
        <v>#REF!</v>
      </c>
      <c r="S347" s="369" t="e">
        <f t="shared" si="172"/>
        <v>#REF!</v>
      </c>
      <c r="T347" s="369" t="e">
        <f t="shared" si="172"/>
        <v>#REF!</v>
      </c>
      <c r="U347" s="371" t="e">
        <f t="shared" si="172"/>
        <v>#REF!</v>
      </c>
      <c r="V347" s="371" t="e">
        <f t="shared" si="172"/>
        <v>#REF!</v>
      </c>
      <c r="W347" s="371" t="e">
        <f t="shared" si="172"/>
        <v>#REF!</v>
      </c>
      <c r="X347" s="371" t="e">
        <f t="shared" si="172"/>
        <v>#REF!</v>
      </c>
      <c r="Y347" s="372"/>
      <c r="Z347" s="372"/>
      <c r="AA347" s="372"/>
      <c r="AB347" s="372"/>
      <c r="AC347" s="372"/>
      <c r="AD347" s="372"/>
      <c r="AE347" s="372"/>
      <c r="AF347" s="372"/>
      <c r="AG347" s="372"/>
      <c r="AH347" s="372"/>
      <c r="AI347" s="372"/>
      <c r="AJ347" s="372"/>
      <c r="AK347" s="372"/>
      <c r="AL347" s="372"/>
    </row>
    <row r="348" spans="1:38" ht="18.75" customHeight="1" x14ac:dyDescent="0.25">
      <c r="A348" s="80"/>
      <c r="B348" s="80"/>
      <c r="C348" s="80"/>
      <c r="D348" s="80"/>
      <c r="E348" s="80">
        <v>4221</v>
      </c>
      <c r="F348" s="81" t="s">
        <v>558</v>
      </c>
      <c r="G348" s="82" t="e">
        <f>SUMIF(#REF!,funkcijska!$E348,#REF!)</f>
        <v>#REF!</v>
      </c>
      <c r="H348" s="82" t="e">
        <f>SUMIF(#REF!,funkcijska!$E348,#REF!)</f>
        <v>#REF!</v>
      </c>
      <c r="I348" s="82" t="e">
        <f>SUMIF(#REF!,funkcijska!$E348,#REF!)</f>
        <v>#REF!</v>
      </c>
      <c r="J348" s="82" t="e">
        <f>SUMIF(#REF!,funkcijska!$E348,#REF!)</f>
        <v>#REF!</v>
      </c>
      <c r="K348" s="82" t="e">
        <f>SUMIF(#REF!,funkcijska!$E348,#REF!)</f>
        <v>#REF!</v>
      </c>
      <c r="L348" s="82" t="e">
        <f t="shared" ref="L348:L360" si="173">ROUND(K348/J348*100,2)</f>
        <v>#REF!</v>
      </c>
      <c r="M348" s="82" t="e">
        <f t="shared" ref="M348:M360" si="174">N348-J348</f>
        <v>#REF!</v>
      </c>
      <c r="N348" s="82" t="e">
        <f>SUMIF(#REF!,funkcijska!$E348,#REF!)</f>
        <v>#REF!</v>
      </c>
      <c r="O348" s="82" t="e">
        <f>SUMIF(#REF!,funkcijska!$E348,#REF!)</f>
        <v>#REF!</v>
      </c>
      <c r="P348" s="82" t="e">
        <f>SUMIF(#REF!,funkcijska!$E348,#REF!)</f>
        <v>#REF!</v>
      </c>
      <c r="Q348" s="386" t="e">
        <f>SUMIF(#REF!,funkcijska!$E348,#REF!)</f>
        <v>#REF!</v>
      </c>
      <c r="R348" s="82" t="e">
        <f>SUMIF(#REF!,funkcijska!$E348,#REF!)</f>
        <v>#REF!</v>
      </c>
      <c r="S348" s="82" t="e">
        <f>SUMIF(#REF!,funkcijska!$E348,#REF!)</f>
        <v>#REF!</v>
      </c>
      <c r="T348" s="82" t="e">
        <f>SUMIF(#REF!,funkcijska!$E$97,#REF!)</f>
        <v>#REF!</v>
      </c>
      <c r="U348" s="357" t="e">
        <f>SUMIF(#REF!,funkcijska!$E348,#REF!)</f>
        <v>#REF!</v>
      </c>
      <c r="V348" s="357" t="e">
        <f>SUMIF(#REF!,funkcijska!$E348,#REF!)</f>
        <v>#REF!</v>
      </c>
      <c r="W348" s="357" t="e">
        <f>SUMIF(#REF!,funkcijska!$E348,#REF!)</f>
        <v>#REF!</v>
      </c>
      <c r="X348" s="357" t="e">
        <f>SUMIF(#REF!,funkcijska!$E348,#REF!)</f>
        <v>#REF!</v>
      </c>
      <c r="AD348" s="60"/>
      <c r="AE348" s="60"/>
      <c r="AF348" s="60"/>
      <c r="AG348" s="60"/>
      <c r="AH348" s="60"/>
      <c r="AI348" s="60"/>
      <c r="AJ348" s="60"/>
      <c r="AK348" s="60"/>
      <c r="AL348" s="60"/>
    </row>
    <row r="349" spans="1:38" ht="20.25" hidden="1" customHeight="1" x14ac:dyDescent="0.25">
      <c r="A349" s="80"/>
      <c r="B349" s="80"/>
      <c r="C349" s="80"/>
      <c r="D349" s="80"/>
      <c r="E349" s="80">
        <v>4222</v>
      </c>
      <c r="F349" s="81" t="s">
        <v>559</v>
      </c>
      <c r="G349" s="82" t="e">
        <f>SUMIF(#REF!,funkcijska!$E349,#REF!)</f>
        <v>#REF!</v>
      </c>
      <c r="H349" s="82" t="e">
        <f>SUMIF(#REF!,funkcijska!$E349,#REF!)</f>
        <v>#REF!</v>
      </c>
      <c r="I349" s="82" t="e">
        <f>SUMIF(#REF!,funkcijska!$E349,#REF!)</f>
        <v>#REF!</v>
      </c>
      <c r="J349" s="82" t="e">
        <f>SUMIF(#REF!,funkcijska!$E349,#REF!)</f>
        <v>#REF!</v>
      </c>
      <c r="K349" s="82" t="e">
        <f>SUMIF(#REF!,funkcijska!$E349,#REF!)</f>
        <v>#REF!</v>
      </c>
      <c r="L349" s="82" t="e">
        <f t="shared" si="173"/>
        <v>#REF!</v>
      </c>
      <c r="M349" s="82" t="e">
        <f t="shared" si="174"/>
        <v>#REF!</v>
      </c>
      <c r="N349" s="82" t="e">
        <f>SUMIF(#REF!,funkcijska!$E349,#REF!)</f>
        <v>#REF!</v>
      </c>
      <c r="O349" s="82" t="e">
        <f>SUMIF(#REF!,funkcijska!$E349,#REF!)</f>
        <v>#REF!</v>
      </c>
      <c r="P349" s="82" t="e">
        <f>SUMIF(#REF!,funkcijska!$E349,#REF!)</f>
        <v>#REF!</v>
      </c>
      <c r="Q349" s="386" t="e">
        <f>SUMIF(#REF!,funkcijska!$E349,#REF!)</f>
        <v>#REF!</v>
      </c>
      <c r="R349" s="82" t="e">
        <f>SUMIF(#REF!,funkcijska!$E349,#REF!)</f>
        <v>#REF!</v>
      </c>
      <c r="S349" s="82" t="e">
        <f>SUMIF(#REF!,funkcijska!$E349,#REF!)</f>
        <v>#REF!</v>
      </c>
      <c r="T349" s="82" t="e">
        <f>SUMIF(#REF!,funkcijska!$E$98,#REF!)</f>
        <v>#REF!</v>
      </c>
      <c r="U349" s="357" t="e">
        <f>SUMIF(#REF!,funkcijska!$E349,#REF!)</f>
        <v>#REF!</v>
      </c>
      <c r="V349" s="357" t="e">
        <f>SUMIF(#REF!,funkcijska!$E349,#REF!)</f>
        <v>#REF!</v>
      </c>
      <c r="W349" s="357" t="e">
        <f>SUMIF(#REF!,funkcijska!$E349,#REF!)</f>
        <v>#REF!</v>
      </c>
      <c r="X349" s="357" t="e">
        <f>SUMIF(#REF!,funkcijska!$E349,#REF!)</f>
        <v>#REF!</v>
      </c>
      <c r="AD349" s="60"/>
      <c r="AE349" s="60"/>
      <c r="AF349" s="60"/>
      <c r="AG349" s="60"/>
      <c r="AH349" s="60"/>
      <c r="AI349" s="60"/>
      <c r="AJ349" s="60"/>
      <c r="AK349" s="60"/>
      <c r="AL349" s="60"/>
    </row>
    <row r="350" spans="1:38" ht="23.25" hidden="1" customHeight="1" x14ac:dyDescent="0.25">
      <c r="A350" s="80"/>
      <c r="B350" s="80"/>
      <c r="C350" s="80"/>
      <c r="D350" s="80"/>
      <c r="E350" s="80">
        <v>4223</v>
      </c>
      <c r="F350" s="81" t="s">
        <v>628</v>
      </c>
      <c r="G350" s="82" t="e">
        <f>SUMIF(#REF!,funkcijska!$E350,#REF!)</f>
        <v>#REF!</v>
      </c>
      <c r="H350" s="82" t="e">
        <f>SUMIF(#REF!,funkcijska!$E350,#REF!)</f>
        <v>#REF!</v>
      </c>
      <c r="I350" s="82" t="e">
        <f>SUMIF(#REF!,funkcijska!$E350,#REF!)</f>
        <v>#REF!</v>
      </c>
      <c r="J350" s="82" t="e">
        <f>SUMIF(#REF!,funkcijska!$E350,#REF!)</f>
        <v>#REF!</v>
      </c>
      <c r="K350" s="82" t="e">
        <f>SUMIF(#REF!,funkcijska!$E350,#REF!)</f>
        <v>#REF!</v>
      </c>
      <c r="L350" s="82" t="e">
        <f t="shared" si="173"/>
        <v>#REF!</v>
      </c>
      <c r="M350" s="82" t="e">
        <f t="shared" si="174"/>
        <v>#REF!</v>
      </c>
      <c r="N350" s="82" t="e">
        <f>SUMIF(#REF!,funkcijska!$E350,#REF!)</f>
        <v>#REF!</v>
      </c>
      <c r="O350" s="82" t="e">
        <f>SUMIF(#REF!,funkcijska!$E350,#REF!)</f>
        <v>#REF!</v>
      </c>
      <c r="P350" s="82" t="e">
        <f>SUMIF(#REF!,funkcijska!$E350,#REF!)</f>
        <v>#REF!</v>
      </c>
      <c r="Q350" s="386" t="e">
        <f>SUMIF(#REF!,funkcijska!$E350,#REF!)</f>
        <v>#REF!</v>
      </c>
      <c r="R350" s="82" t="e">
        <f>SUMIF(#REF!,funkcijska!$E350,#REF!)</f>
        <v>#REF!</v>
      </c>
      <c r="S350" s="82" t="e">
        <f>SUMIF(#REF!,funkcijska!$E350,#REF!)</f>
        <v>#REF!</v>
      </c>
      <c r="T350" s="82" t="e">
        <f>SUMIF(#REF!,funkcijska!$E$99,#REF!)</f>
        <v>#REF!</v>
      </c>
      <c r="U350" s="357" t="e">
        <f>SUMIF(#REF!,funkcijska!$E350,#REF!)</f>
        <v>#REF!</v>
      </c>
      <c r="V350" s="357" t="e">
        <f>SUMIF(#REF!,funkcijska!$E350,#REF!)</f>
        <v>#REF!</v>
      </c>
      <c r="W350" s="357" t="e">
        <f>SUMIF(#REF!,funkcijska!$E350,#REF!)</f>
        <v>#REF!</v>
      </c>
      <c r="X350" s="357" t="e">
        <f>SUMIF(#REF!,funkcijska!$E350,#REF!)</f>
        <v>#REF!</v>
      </c>
      <c r="AD350" s="60"/>
      <c r="AE350" s="60"/>
      <c r="AF350" s="60"/>
      <c r="AG350" s="60"/>
      <c r="AH350" s="60"/>
      <c r="AI350" s="60"/>
      <c r="AJ350" s="60"/>
      <c r="AK350" s="60"/>
      <c r="AL350" s="60"/>
    </row>
    <row r="351" spans="1:38" hidden="1" x14ac:dyDescent="0.25">
      <c r="A351" s="80"/>
      <c r="B351" s="80"/>
      <c r="C351" s="80"/>
      <c r="D351" s="80"/>
      <c r="E351" s="80">
        <v>4224</v>
      </c>
      <c r="F351" s="81" t="s">
        <v>638</v>
      </c>
      <c r="G351" s="82" t="e">
        <f>SUMIF(#REF!,funkcijska!$E351,#REF!)</f>
        <v>#REF!</v>
      </c>
      <c r="H351" s="82" t="e">
        <f>SUMIF(#REF!,funkcijska!$E351,#REF!)</f>
        <v>#REF!</v>
      </c>
      <c r="I351" s="82" t="e">
        <f>SUMIF(#REF!,funkcijska!$E351,#REF!)</f>
        <v>#REF!</v>
      </c>
      <c r="J351" s="82" t="e">
        <f>SUMIF(#REF!,funkcijska!$E351,#REF!)</f>
        <v>#REF!</v>
      </c>
      <c r="K351" s="82" t="e">
        <f>SUMIF(#REF!,funkcijska!$E351,#REF!)</f>
        <v>#REF!</v>
      </c>
      <c r="L351" s="82" t="e">
        <f t="shared" si="173"/>
        <v>#REF!</v>
      </c>
      <c r="M351" s="82" t="e">
        <f t="shared" si="174"/>
        <v>#REF!</v>
      </c>
      <c r="N351" s="82" t="e">
        <f>SUMIF(#REF!,funkcijska!$E351,#REF!)</f>
        <v>#REF!</v>
      </c>
      <c r="O351" s="82" t="e">
        <f>SUMIF(#REF!,funkcijska!$E351,#REF!)</f>
        <v>#REF!</v>
      </c>
      <c r="P351" s="82" t="e">
        <f>SUMIF(#REF!,funkcijska!$E351,#REF!)</f>
        <v>#REF!</v>
      </c>
      <c r="Q351" s="386" t="e">
        <f>SUMIF(#REF!,funkcijska!$E351,#REF!)</f>
        <v>#REF!</v>
      </c>
      <c r="R351" s="82" t="e">
        <f>SUMIF(#REF!,funkcijska!$E351,#REF!)</f>
        <v>#REF!</v>
      </c>
      <c r="S351" s="82" t="e">
        <f>SUMIF(#REF!,funkcijska!$E351,#REF!)</f>
        <v>#REF!</v>
      </c>
      <c r="T351" s="82" t="e">
        <f>SUMIF(#REF!,funkcijska!$E$100,#REF!)</f>
        <v>#REF!</v>
      </c>
      <c r="U351" s="357" t="e">
        <f>SUMIF(#REF!,funkcijska!$E351,#REF!)</f>
        <v>#REF!</v>
      </c>
      <c r="V351" s="357" t="e">
        <f>SUMIF(#REF!,funkcijska!$E351,#REF!)</f>
        <v>#REF!</v>
      </c>
      <c r="W351" s="357" t="e">
        <f>SUMIF(#REF!,funkcijska!$E351,#REF!)</f>
        <v>#REF!</v>
      </c>
      <c r="X351" s="357" t="e">
        <f>SUMIF(#REF!,funkcijska!$E351,#REF!)</f>
        <v>#REF!</v>
      </c>
      <c r="AD351" s="60"/>
      <c r="AE351" s="60"/>
      <c r="AF351" s="60"/>
      <c r="AG351" s="60"/>
      <c r="AH351" s="60"/>
      <c r="AI351" s="60"/>
      <c r="AJ351" s="60"/>
      <c r="AK351" s="60"/>
      <c r="AL351" s="60"/>
    </row>
    <row r="352" spans="1:38" ht="18" hidden="1" customHeight="1" x14ac:dyDescent="0.25">
      <c r="A352" s="80"/>
      <c r="B352" s="80"/>
      <c r="C352" s="80"/>
      <c r="D352" s="80"/>
      <c r="E352" s="80">
        <v>4225</v>
      </c>
      <c r="F352" s="81" t="s">
        <v>844</v>
      </c>
      <c r="G352" s="82" t="e">
        <f>SUMIF(#REF!,funkcijska!$E352,#REF!)</f>
        <v>#REF!</v>
      </c>
      <c r="H352" s="82" t="e">
        <f>SUMIF(#REF!,funkcijska!$E352,#REF!)</f>
        <v>#REF!</v>
      </c>
      <c r="I352" s="82" t="e">
        <f>SUMIF(#REF!,funkcijska!$E352,#REF!)</f>
        <v>#REF!</v>
      </c>
      <c r="J352" s="82" t="e">
        <f>SUMIF(#REF!,funkcijska!$E352,#REF!)</f>
        <v>#REF!</v>
      </c>
      <c r="K352" s="82" t="e">
        <f>SUMIF(#REF!,funkcijska!$E352,#REF!)</f>
        <v>#REF!</v>
      </c>
      <c r="L352" s="82" t="e">
        <f t="shared" si="173"/>
        <v>#REF!</v>
      </c>
      <c r="M352" s="82" t="e">
        <f t="shared" si="174"/>
        <v>#REF!</v>
      </c>
      <c r="N352" s="82" t="e">
        <f>SUMIF(#REF!,funkcijska!$E352,#REF!)</f>
        <v>#REF!</v>
      </c>
      <c r="O352" s="82" t="e">
        <f>SUMIF(#REF!,funkcijska!$E352,#REF!)</f>
        <v>#REF!</v>
      </c>
      <c r="P352" s="82" t="e">
        <f>SUMIF(#REF!,funkcijska!$E352,#REF!)</f>
        <v>#REF!</v>
      </c>
      <c r="Q352" s="386" t="e">
        <f>SUMIF(#REF!,funkcijska!$E352,#REF!)</f>
        <v>#REF!</v>
      </c>
      <c r="R352" s="82" t="e">
        <f>SUMIF(#REF!,funkcijska!$E352,#REF!)</f>
        <v>#REF!</v>
      </c>
      <c r="S352" s="82" t="e">
        <f>SUMIF(#REF!,funkcijska!$E352,#REF!)</f>
        <v>#REF!</v>
      </c>
      <c r="T352" s="82" t="e">
        <f>SUMIF(#REF!,funkcijska!$E$101,#REF!)</f>
        <v>#REF!</v>
      </c>
      <c r="U352" s="357" t="e">
        <f>SUMIF(#REF!,funkcijska!$E352,#REF!)</f>
        <v>#REF!</v>
      </c>
      <c r="V352" s="357" t="e">
        <f>SUMIF(#REF!,funkcijska!$E352,#REF!)</f>
        <v>#REF!</v>
      </c>
      <c r="W352" s="357" t="e">
        <f>SUMIF(#REF!,funkcijska!$E352,#REF!)</f>
        <v>#REF!</v>
      </c>
      <c r="X352" s="357" t="e">
        <f>SUMIF(#REF!,funkcijska!$E352,#REF!)</f>
        <v>#REF!</v>
      </c>
      <c r="AD352" s="60"/>
      <c r="AE352" s="60"/>
      <c r="AF352" s="60"/>
      <c r="AG352" s="60"/>
      <c r="AH352" s="60"/>
      <c r="AI352" s="60"/>
      <c r="AJ352" s="60"/>
      <c r="AK352" s="60"/>
      <c r="AL352" s="60"/>
    </row>
    <row r="353" spans="1:38" ht="20.25" hidden="1" customHeight="1" x14ac:dyDescent="0.25">
      <c r="A353" s="80"/>
      <c r="B353" s="80"/>
      <c r="C353" s="80"/>
      <c r="D353" s="80"/>
      <c r="E353" s="80">
        <v>4226</v>
      </c>
      <c r="F353" s="81" t="s">
        <v>432</v>
      </c>
      <c r="G353" s="82" t="e">
        <f>SUMIF(#REF!,funkcijska!$E353,#REF!)</f>
        <v>#REF!</v>
      </c>
      <c r="H353" s="82" t="e">
        <f>SUMIF(#REF!,funkcijska!$E353,#REF!)</f>
        <v>#REF!</v>
      </c>
      <c r="I353" s="82" t="e">
        <f>SUMIF(#REF!,funkcijska!$E353,#REF!)</f>
        <v>#REF!</v>
      </c>
      <c r="J353" s="82" t="e">
        <f>SUMIF(#REF!,funkcijska!$E353,#REF!)</f>
        <v>#REF!</v>
      </c>
      <c r="K353" s="82" t="e">
        <f>SUMIF(#REF!,funkcijska!$E353,#REF!)</f>
        <v>#REF!</v>
      </c>
      <c r="L353" s="82" t="e">
        <f t="shared" si="173"/>
        <v>#REF!</v>
      </c>
      <c r="M353" s="82" t="e">
        <f t="shared" si="174"/>
        <v>#REF!</v>
      </c>
      <c r="N353" s="82" t="e">
        <f>SUMIF(#REF!,funkcijska!$E353,#REF!)</f>
        <v>#REF!</v>
      </c>
      <c r="O353" s="82" t="e">
        <f>SUMIF(#REF!,funkcijska!$E353,#REF!)</f>
        <v>#REF!</v>
      </c>
      <c r="P353" s="82" t="e">
        <f>SUMIF(#REF!,funkcijska!$E353,#REF!)</f>
        <v>#REF!</v>
      </c>
      <c r="Q353" s="386" t="e">
        <f>SUMIF(#REF!,funkcijska!$E353,#REF!)</f>
        <v>#REF!</v>
      </c>
      <c r="R353" s="82" t="e">
        <f>SUMIF(#REF!,funkcijska!$E353,#REF!)</f>
        <v>#REF!</v>
      </c>
      <c r="S353" s="82" t="e">
        <f>SUMIF(#REF!,funkcijska!$E353,#REF!)</f>
        <v>#REF!</v>
      </c>
      <c r="T353" s="82" t="e">
        <f>SUMIF(#REF!,funkcijska!$E$102,#REF!)</f>
        <v>#REF!</v>
      </c>
      <c r="U353" s="357" t="e">
        <f>SUMIF(#REF!,funkcijska!$E353,#REF!)</f>
        <v>#REF!</v>
      </c>
      <c r="V353" s="357" t="e">
        <f>SUMIF(#REF!,funkcijska!$E353,#REF!)</f>
        <v>#REF!</v>
      </c>
      <c r="W353" s="357" t="e">
        <f>SUMIF(#REF!,funkcijska!$E353,#REF!)</f>
        <v>#REF!</v>
      </c>
      <c r="X353" s="357" t="e">
        <f>SUMIF(#REF!,funkcijska!$E353,#REF!)</f>
        <v>#REF!</v>
      </c>
      <c r="AD353" s="60"/>
      <c r="AE353" s="60"/>
      <c r="AF353" s="60"/>
      <c r="AG353" s="60"/>
      <c r="AH353" s="60"/>
      <c r="AI353" s="60"/>
      <c r="AJ353" s="60"/>
      <c r="AK353" s="60"/>
      <c r="AL353" s="60"/>
    </row>
    <row r="354" spans="1:38" ht="18.75" hidden="1" customHeight="1" x14ac:dyDescent="0.25">
      <c r="A354" s="80"/>
      <c r="B354" s="80"/>
      <c r="C354" s="80"/>
      <c r="D354" s="80"/>
      <c r="E354" s="80">
        <v>4227</v>
      </c>
      <c r="F354" s="81" t="s">
        <v>413</v>
      </c>
      <c r="G354" s="82" t="e">
        <f>SUMIF(#REF!,funkcijska!$E354,#REF!)</f>
        <v>#REF!</v>
      </c>
      <c r="H354" s="82" t="e">
        <f>SUMIF(#REF!,funkcijska!$E354,#REF!)</f>
        <v>#REF!</v>
      </c>
      <c r="I354" s="82" t="e">
        <f>SUMIF(#REF!,funkcijska!$E354,#REF!)</f>
        <v>#REF!</v>
      </c>
      <c r="J354" s="82" t="e">
        <f>SUMIF(#REF!,funkcijska!$E354,#REF!)</f>
        <v>#REF!</v>
      </c>
      <c r="K354" s="82" t="e">
        <f>SUMIF(#REF!,funkcijska!$E354,#REF!)</f>
        <v>#REF!</v>
      </c>
      <c r="L354" s="82" t="e">
        <f t="shared" si="173"/>
        <v>#REF!</v>
      </c>
      <c r="M354" s="82" t="e">
        <f t="shared" si="174"/>
        <v>#REF!</v>
      </c>
      <c r="N354" s="82" t="e">
        <f>SUMIF(#REF!,funkcijska!$E354,#REF!)</f>
        <v>#REF!</v>
      </c>
      <c r="O354" s="82" t="e">
        <f>SUMIF(#REF!,funkcijska!$E354,#REF!)</f>
        <v>#REF!</v>
      </c>
      <c r="P354" s="82" t="e">
        <f>SUMIF(#REF!,funkcijska!$E354,#REF!)</f>
        <v>#REF!</v>
      </c>
      <c r="Q354" s="386" t="e">
        <f>SUMIF(#REF!,funkcijska!$E354,#REF!)</f>
        <v>#REF!</v>
      </c>
      <c r="R354" s="82" t="e">
        <f>SUMIF(#REF!,funkcijska!$E354,#REF!)</f>
        <v>#REF!</v>
      </c>
      <c r="S354" s="82" t="e">
        <f>SUMIF(#REF!,funkcijska!$E354,#REF!)</f>
        <v>#REF!</v>
      </c>
      <c r="T354" s="82" t="e">
        <f>SUMIF(#REF!,funkcijska!$E$103,#REF!)</f>
        <v>#REF!</v>
      </c>
      <c r="U354" s="357" t="e">
        <f>SUMIF(#REF!,funkcijska!$E354,#REF!)</f>
        <v>#REF!</v>
      </c>
      <c r="V354" s="357" t="e">
        <f>SUMIF(#REF!,funkcijska!$E354,#REF!)</f>
        <v>#REF!</v>
      </c>
      <c r="W354" s="357" t="e">
        <f>SUMIF(#REF!,funkcijska!$E354,#REF!)</f>
        <v>#REF!</v>
      </c>
      <c r="X354" s="357" t="e">
        <f>SUMIF(#REF!,funkcijska!$E354,#REF!)</f>
        <v>#REF!</v>
      </c>
      <c r="AD354" s="60"/>
      <c r="AE354" s="60"/>
      <c r="AF354" s="60"/>
      <c r="AG354" s="60"/>
      <c r="AH354" s="60"/>
      <c r="AI354" s="60"/>
      <c r="AJ354" s="60"/>
      <c r="AK354" s="60"/>
      <c r="AL354" s="60"/>
    </row>
    <row r="355" spans="1:38" s="373" customFormat="1" ht="17.25" hidden="1" customHeight="1" x14ac:dyDescent="0.25">
      <c r="A355" s="119"/>
      <c r="B355" s="119"/>
      <c r="C355" s="119"/>
      <c r="D355" s="119" t="str">
        <f>LEFT(E356,3)</f>
        <v>423</v>
      </c>
      <c r="E355" s="119"/>
      <c r="F355" s="368" t="s">
        <v>223</v>
      </c>
      <c r="G355" s="369" t="e">
        <f>G356</f>
        <v>#REF!</v>
      </c>
      <c r="H355" s="370" t="e">
        <f>H356</f>
        <v>#REF!</v>
      </c>
      <c r="I355" s="369" t="e">
        <f>I356</f>
        <v>#REF!</v>
      </c>
      <c r="J355" s="369" t="e">
        <f>J356</f>
        <v>#REF!</v>
      </c>
      <c r="K355" s="369" t="e">
        <f>K356</f>
        <v>#REF!</v>
      </c>
      <c r="L355" s="369" t="e">
        <f t="shared" si="173"/>
        <v>#REF!</v>
      </c>
      <c r="M355" s="369" t="e">
        <f t="shared" si="174"/>
        <v>#REF!</v>
      </c>
      <c r="N355" s="369" t="e">
        <f t="shared" ref="N355:X355" si="175">N356</f>
        <v>#REF!</v>
      </c>
      <c r="O355" s="137" t="e">
        <f t="shared" si="175"/>
        <v>#REF!</v>
      </c>
      <c r="P355" s="137" t="e">
        <f t="shared" si="175"/>
        <v>#REF!</v>
      </c>
      <c r="Q355" s="393" t="e">
        <f t="shared" si="175"/>
        <v>#REF!</v>
      </c>
      <c r="R355" s="137" t="e">
        <f t="shared" si="175"/>
        <v>#REF!</v>
      </c>
      <c r="S355" s="137" t="e">
        <f t="shared" si="175"/>
        <v>#REF!</v>
      </c>
      <c r="T355" s="137" t="e">
        <f t="shared" si="175"/>
        <v>#REF!</v>
      </c>
      <c r="U355" s="371" t="e">
        <f t="shared" si="175"/>
        <v>#REF!</v>
      </c>
      <c r="V355" s="371" t="e">
        <f t="shared" si="175"/>
        <v>#REF!</v>
      </c>
      <c r="W355" s="371" t="e">
        <f t="shared" si="175"/>
        <v>#REF!</v>
      </c>
      <c r="X355" s="371" t="e">
        <f t="shared" si="175"/>
        <v>#REF!</v>
      </c>
      <c r="Y355" s="372"/>
      <c r="Z355" s="372"/>
      <c r="AA355" s="372"/>
      <c r="AB355" s="372"/>
      <c r="AC355" s="372"/>
      <c r="AD355" s="372"/>
      <c r="AE355" s="372"/>
      <c r="AF355" s="372"/>
      <c r="AG355" s="372"/>
      <c r="AH355" s="372"/>
      <c r="AI355" s="372"/>
      <c r="AJ355" s="372"/>
      <c r="AK355" s="372"/>
      <c r="AL355" s="372"/>
    </row>
    <row r="356" spans="1:38" ht="21" hidden="1" customHeight="1" x14ac:dyDescent="0.25">
      <c r="A356" s="80"/>
      <c r="B356" s="80"/>
      <c r="C356" s="80"/>
      <c r="D356" s="80"/>
      <c r="E356" s="80">
        <v>4231</v>
      </c>
      <c r="F356" s="81" t="s">
        <v>1028</v>
      </c>
      <c r="G356" s="82" t="e">
        <f>SUMIF(#REF!,funkcijska!$E356,#REF!)</f>
        <v>#REF!</v>
      </c>
      <c r="H356" s="82" t="e">
        <f>SUMIF(#REF!,funkcijska!$E356,#REF!)</f>
        <v>#REF!</v>
      </c>
      <c r="I356" s="82" t="e">
        <f>SUMIF(#REF!,funkcijska!$E356,#REF!)</f>
        <v>#REF!</v>
      </c>
      <c r="J356" s="82" t="e">
        <f>SUMIF(#REF!,funkcijska!$E356,#REF!)</f>
        <v>#REF!</v>
      </c>
      <c r="K356" s="82" t="e">
        <f>SUMIF(#REF!,funkcijska!$E356,#REF!)</f>
        <v>#REF!</v>
      </c>
      <c r="L356" s="82" t="e">
        <f t="shared" si="173"/>
        <v>#REF!</v>
      </c>
      <c r="M356" s="82" t="e">
        <f t="shared" si="174"/>
        <v>#REF!</v>
      </c>
      <c r="N356" s="82" t="e">
        <f>SUMIF(#REF!,funkcijska!$E356,#REF!)</f>
        <v>#REF!</v>
      </c>
      <c r="O356" s="82" t="e">
        <f>SUMIF(#REF!,funkcijska!$E356,#REF!)</f>
        <v>#REF!</v>
      </c>
      <c r="P356" s="82" t="e">
        <f>SUMIF(#REF!,funkcijska!$E356,#REF!)</f>
        <v>#REF!</v>
      </c>
      <c r="Q356" s="386" t="e">
        <f>SUMIF(#REF!,funkcijska!$E356,#REF!)</f>
        <v>#REF!</v>
      </c>
      <c r="R356" s="82" t="e">
        <f>SUMIF(#REF!,funkcijska!$E356,#REF!)</f>
        <v>#REF!</v>
      </c>
      <c r="S356" s="82" t="e">
        <f>SUMIF(#REF!,funkcijska!$E356,#REF!)</f>
        <v>#REF!</v>
      </c>
      <c r="T356" s="82" t="e">
        <f>SUMIF(#REF!,funkcijska!$E$105,#REF!)</f>
        <v>#REF!</v>
      </c>
      <c r="U356" s="357" t="e">
        <f>SUMIF(#REF!,funkcijska!$E356,#REF!)</f>
        <v>#REF!</v>
      </c>
      <c r="V356" s="357" t="e">
        <f>SUMIF(#REF!,funkcijska!$E356,#REF!)</f>
        <v>#REF!</v>
      </c>
      <c r="W356" s="357" t="e">
        <f>SUMIF(#REF!,funkcijska!$E356,#REF!)</f>
        <v>#REF!</v>
      </c>
      <c r="X356" s="357" t="e">
        <f>SUMIF(#REF!,funkcijska!$E356,#REF!)</f>
        <v>#REF!</v>
      </c>
      <c r="AD356" s="60"/>
      <c r="AE356" s="60"/>
      <c r="AF356" s="60"/>
      <c r="AG356" s="60"/>
      <c r="AH356" s="60"/>
      <c r="AI356" s="60"/>
      <c r="AJ356" s="60"/>
      <c r="AK356" s="60"/>
      <c r="AL356" s="60"/>
    </row>
    <row r="357" spans="1:38" s="373" customFormat="1" ht="37.5" hidden="1" customHeight="1" x14ac:dyDescent="0.25">
      <c r="A357" s="119"/>
      <c r="B357" s="119"/>
      <c r="C357" s="119"/>
      <c r="D357" s="119" t="str">
        <f>LEFT(E358,3)</f>
        <v>424</v>
      </c>
      <c r="E357" s="119"/>
      <c r="F357" s="368" t="s">
        <v>447</v>
      </c>
      <c r="G357" s="369" t="e">
        <f>G358</f>
        <v>#REF!</v>
      </c>
      <c r="H357" s="370" t="e">
        <f>H358</f>
        <v>#REF!</v>
      </c>
      <c r="I357" s="369" t="e">
        <f>I358</f>
        <v>#REF!</v>
      </c>
      <c r="J357" s="369" t="e">
        <f>J358</f>
        <v>#REF!</v>
      </c>
      <c r="K357" s="369" t="e">
        <f>K358</f>
        <v>#REF!</v>
      </c>
      <c r="L357" s="369" t="e">
        <f t="shared" si="173"/>
        <v>#REF!</v>
      </c>
      <c r="M357" s="369" t="e">
        <f t="shared" si="174"/>
        <v>#REF!</v>
      </c>
      <c r="N357" s="369" t="e">
        <f t="shared" ref="N357:X357" si="176">N358</f>
        <v>#REF!</v>
      </c>
      <c r="O357" s="137" t="e">
        <f t="shared" si="176"/>
        <v>#REF!</v>
      </c>
      <c r="P357" s="137" t="e">
        <f t="shared" si="176"/>
        <v>#REF!</v>
      </c>
      <c r="Q357" s="393" t="e">
        <f t="shared" si="176"/>
        <v>#REF!</v>
      </c>
      <c r="R357" s="137" t="e">
        <f t="shared" si="176"/>
        <v>#REF!</v>
      </c>
      <c r="S357" s="137" t="e">
        <f t="shared" si="176"/>
        <v>#REF!</v>
      </c>
      <c r="T357" s="137" t="e">
        <f t="shared" si="176"/>
        <v>#REF!</v>
      </c>
      <c r="U357" s="371" t="e">
        <f t="shared" si="176"/>
        <v>#REF!</v>
      </c>
      <c r="V357" s="371" t="e">
        <f t="shared" si="176"/>
        <v>#REF!</v>
      </c>
      <c r="W357" s="371" t="e">
        <f t="shared" si="176"/>
        <v>#REF!</v>
      </c>
      <c r="X357" s="371" t="e">
        <f t="shared" si="176"/>
        <v>#REF!</v>
      </c>
      <c r="Y357" s="372"/>
      <c r="Z357" s="372"/>
      <c r="AA357" s="372"/>
      <c r="AB357" s="372"/>
      <c r="AC357" s="372"/>
      <c r="AD357" s="372"/>
      <c r="AE357" s="372"/>
      <c r="AF357" s="372"/>
      <c r="AG357" s="372"/>
      <c r="AH357" s="372"/>
      <c r="AI357" s="372"/>
      <c r="AJ357" s="372"/>
      <c r="AK357" s="372"/>
      <c r="AL357" s="372"/>
    </row>
    <row r="358" spans="1:38" ht="21" hidden="1" customHeight="1" x14ac:dyDescent="0.25">
      <c r="A358" s="80"/>
      <c r="B358" s="80"/>
      <c r="C358" s="80"/>
      <c r="D358" s="80"/>
      <c r="E358" s="80">
        <v>4241</v>
      </c>
      <c r="F358" s="81" t="s">
        <v>437</v>
      </c>
      <c r="G358" s="82" t="e">
        <f>SUMIF(#REF!,funkcijska!$E358,#REF!)</f>
        <v>#REF!</v>
      </c>
      <c r="H358" s="82" t="e">
        <f>SUMIF(#REF!,funkcijska!$E358,#REF!)</f>
        <v>#REF!</v>
      </c>
      <c r="I358" s="82" t="e">
        <f>SUMIF(#REF!,funkcijska!$E358,#REF!)</f>
        <v>#REF!</v>
      </c>
      <c r="J358" s="82" t="e">
        <f>SUMIF(#REF!,funkcijska!$E358,#REF!)</f>
        <v>#REF!</v>
      </c>
      <c r="K358" s="82" t="e">
        <f>SUMIF(#REF!,funkcijska!$E358,#REF!)</f>
        <v>#REF!</v>
      </c>
      <c r="L358" s="82" t="e">
        <f t="shared" si="173"/>
        <v>#REF!</v>
      </c>
      <c r="M358" s="82" t="e">
        <f t="shared" si="174"/>
        <v>#REF!</v>
      </c>
      <c r="N358" s="82" t="e">
        <f>SUMIF(#REF!,funkcijska!$E358,#REF!)</f>
        <v>#REF!</v>
      </c>
      <c r="O358" s="82" t="e">
        <f>SUMIF(#REF!,funkcijska!$E358,#REF!)</f>
        <v>#REF!</v>
      </c>
      <c r="P358" s="82" t="e">
        <f>SUMIF(#REF!,funkcijska!$E358,#REF!)</f>
        <v>#REF!</v>
      </c>
      <c r="Q358" s="386" t="e">
        <f>SUMIF(#REF!,funkcijska!$E358,#REF!)</f>
        <v>#REF!</v>
      </c>
      <c r="R358" s="82" t="e">
        <f>SUMIF(#REF!,funkcijska!$E358,#REF!)</f>
        <v>#REF!</v>
      </c>
      <c r="S358" s="82" t="e">
        <f>SUMIF(#REF!,funkcijska!$E358,#REF!)</f>
        <v>#REF!</v>
      </c>
      <c r="T358" s="82" t="e">
        <f>SUMIF(#REF!,funkcijska!$E$107,#REF!)</f>
        <v>#REF!</v>
      </c>
      <c r="U358" s="357" t="e">
        <f>SUMIF(#REF!,funkcijska!$E358,#REF!)</f>
        <v>#REF!</v>
      </c>
      <c r="V358" s="357" t="e">
        <f>SUMIF(#REF!,funkcijska!$E358,#REF!)</f>
        <v>#REF!</v>
      </c>
      <c r="W358" s="357" t="e">
        <f>SUMIF(#REF!,funkcijska!$E358,#REF!)</f>
        <v>#REF!</v>
      </c>
      <c r="X358" s="357" t="e">
        <f>SUMIF(#REF!,funkcijska!$E358,#REF!)</f>
        <v>#REF!</v>
      </c>
      <c r="AD358" s="60"/>
      <c r="AE358" s="60"/>
      <c r="AF358" s="60"/>
      <c r="AG358" s="60"/>
      <c r="AH358" s="60"/>
      <c r="AI358" s="60"/>
      <c r="AJ358" s="60"/>
      <c r="AK358" s="60"/>
      <c r="AL358" s="60"/>
    </row>
    <row r="359" spans="1:38" ht="18" hidden="1" customHeight="1" x14ac:dyDescent="0.25">
      <c r="A359" s="80"/>
      <c r="B359" s="80"/>
      <c r="C359" s="80"/>
      <c r="D359" s="80" t="str">
        <f>LEFT(E360,3)</f>
        <v>425</v>
      </c>
      <c r="E359" s="80"/>
      <c r="F359" s="81" t="s">
        <v>839</v>
      </c>
      <c r="G359" s="84" t="e">
        <f>G360</f>
        <v>#REF!</v>
      </c>
      <c r="H359" s="102" t="e">
        <f>H360</f>
        <v>#REF!</v>
      </c>
      <c r="I359" s="84" t="e">
        <f>I360</f>
        <v>#REF!</v>
      </c>
      <c r="J359" s="84" t="e">
        <f>J360</f>
        <v>#REF!</v>
      </c>
      <c r="K359" s="84" t="e">
        <f>K360</f>
        <v>#REF!</v>
      </c>
      <c r="L359" s="84" t="e">
        <f t="shared" si="173"/>
        <v>#REF!</v>
      </c>
      <c r="M359" s="84" t="e">
        <f t="shared" si="174"/>
        <v>#REF!</v>
      </c>
      <c r="N359" s="84" t="e">
        <f>N360</f>
        <v>#REF!</v>
      </c>
      <c r="O359" s="82" t="e">
        <f>O360</f>
        <v>#REF!</v>
      </c>
      <c r="P359" s="82" t="e">
        <f>P360</f>
        <v>#REF!</v>
      </c>
      <c r="Q359" s="389" t="e">
        <f>U359-O359</f>
        <v>#REF!</v>
      </c>
      <c r="R359" s="82" t="e">
        <f t="shared" ref="R359:X359" si="177">R360</f>
        <v>#REF!</v>
      </c>
      <c r="S359" s="82" t="e">
        <f t="shared" si="177"/>
        <v>#REF!</v>
      </c>
      <c r="T359" s="82" t="e">
        <f t="shared" si="177"/>
        <v>#REF!</v>
      </c>
      <c r="U359" s="357" t="e">
        <f t="shared" si="177"/>
        <v>#REF!</v>
      </c>
      <c r="V359" s="357" t="e">
        <f t="shared" si="177"/>
        <v>#REF!</v>
      </c>
      <c r="W359" s="357" t="e">
        <f t="shared" si="177"/>
        <v>#REF!</v>
      </c>
      <c r="X359" s="357" t="e">
        <f t="shared" si="177"/>
        <v>#REF!</v>
      </c>
      <c r="AD359" s="60"/>
      <c r="AE359" s="60"/>
      <c r="AF359" s="60"/>
      <c r="AG359" s="60"/>
      <c r="AH359" s="60"/>
      <c r="AI359" s="60"/>
      <c r="AJ359" s="60"/>
      <c r="AK359" s="60"/>
      <c r="AL359" s="60"/>
    </row>
    <row r="360" spans="1:38" ht="22.5" hidden="1" customHeight="1" x14ac:dyDescent="0.25">
      <c r="A360" s="80"/>
      <c r="B360" s="80"/>
      <c r="C360" s="80"/>
      <c r="D360" s="80"/>
      <c r="E360" s="80" t="s">
        <v>1029</v>
      </c>
      <c r="F360" s="81" t="s">
        <v>840</v>
      </c>
      <c r="G360" s="82" t="e">
        <f>SUMIF(#REF!,funkcijska!$E360,#REF!)</f>
        <v>#REF!</v>
      </c>
      <c r="H360" s="82" t="e">
        <f>SUMIF(#REF!,funkcijska!$E360,#REF!)</f>
        <v>#REF!</v>
      </c>
      <c r="I360" s="82" t="e">
        <f>SUMIF(#REF!,funkcijska!$E360,#REF!)</f>
        <v>#REF!</v>
      </c>
      <c r="J360" s="82" t="e">
        <f>SUMIF(#REF!,funkcijska!$E360,#REF!)</f>
        <v>#REF!</v>
      </c>
      <c r="K360" s="82" t="e">
        <f>SUMIF(#REF!,funkcijska!$E360,#REF!)</f>
        <v>#REF!</v>
      </c>
      <c r="L360" s="82" t="e">
        <f t="shared" si="173"/>
        <v>#REF!</v>
      </c>
      <c r="M360" s="82" t="e">
        <f t="shared" si="174"/>
        <v>#REF!</v>
      </c>
      <c r="N360" s="82" t="e">
        <f>SUMIF(#REF!,funkcijska!$E360,#REF!)</f>
        <v>#REF!</v>
      </c>
      <c r="O360" s="82" t="e">
        <f>SUMIF(#REF!,funkcijska!$E360,#REF!)</f>
        <v>#REF!</v>
      </c>
      <c r="P360" s="82" t="e">
        <f>SUMIF(#REF!,funkcijska!$E360,#REF!)</f>
        <v>#REF!</v>
      </c>
      <c r="Q360" s="389" t="e">
        <f>U360-O360</f>
        <v>#REF!</v>
      </c>
      <c r="R360" s="82" t="e">
        <f>SUMIF(#REF!,funkcijska!$E360,#REF!)</f>
        <v>#REF!</v>
      </c>
      <c r="S360" s="82" t="e">
        <f>SUMIF(#REF!,funkcijska!$E360,#REF!)</f>
        <v>#REF!</v>
      </c>
      <c r="T360" s="82" t="e">
        <f>SUMIF(#REF!,funkcijska!$E$109,#REF!)</f>
        <v>#REF!</v>
      </c>
      <c r="U360" s="357" t="e">
        <f>SUMIF(#REF!,funkcijska!$E360,#REF!)</f>
        <v>#REF!</v>
      </c>
      <c r="V360" s="357" t="e">
        <f>SUMIF(#REF!,funkcijska!$E360,#REF!)</f>
        <v>#REF!</v>
      </c>
      <c r="W360" s="357" t="e">
        <f>SUMIF(#REF!,funkcijska!$E360,#REF!)</f>
        <v>#REF!</v>
      </c>
      <c r="X360" s="357" t="e">
        <f>SUMIF(#REF!,funkcijska!$E360,#REF!)</f>
        <v>#REF!</v>
      </c>
      <c r="AD360" s="60"/>
      <c r="AE360" s="60"/>
      <c r="AF360" s="60"/>
      <c r="AG360" s="60"/>
      <c r="AH360" s="60"/>
      <c r="AI360" s="60"/>
      <c r="AJ360" s="60"/>
      <c r="AK360" s="60"/>
      <c r="AL360" s="60"/>
    </row>
    <row r="361" spans="1:38" s="373" customFormat="1" ht="21" hidden="1" customHeight="1" x14ac:dyDescent="0.25">
      <c r="A361" s="119"/>
      <c r="B361" s="119"/>
      <c r="C361" s="119"/>
      <c r="D361" s="119" t="str">
        <f>LEFT(E362,3)</f>
        <v>426</v>
      </c>
      <c r="E361" s="119"/>
      <c r="F361" s="368" t="s">
        <v>560</v>
      </c>
      <c r="G361" s="369" t="e">
        <f t="shared" ref="G361:X361" si="178">SUM(G362:G363)</f>
        <v>#REF!</v>
      </c>
      <c r="H361" s="370" t="e">
        <f t="shared" si="178"/>
        <v>#REF!</v>
      </c>
      <c r="I361" s="369" t="e">
        <f t="shared" si="178"/>
        <v>#REF!</v>
      </c>
      <c r="J361" s="369" t="e">
        <f t="shared" si="178"/>
        <v>#REF!</v>
      </c>
      <c r="K361" s="369" t="e">
        <f t="shared" si="178"/>
        <v>#REF!</v>
      </c>
      <c r="L361" s="369" t="e">
        <f t="shared" si="178"/>
        <v>#REF!</v>
      </c>
      <c r="M361" s="369" t="e">
        <f t="shared" si="178"/>
        <v>#REF!</v>
      </c>
      <c r="N361" s="369" t="e">
        <f t="shared" si="178"/>
        <v>#REF!</v>
      </c>
      <c r="O361" s="369" t="e">
        <f t="shared" si="178"/>
        <v>#REF!</v>
      </c>
      <c r="P361" s="369" t="e">
        <f t="shared" si="178"/>
        <v>#REF!</v>
      </c>
      <c r="Q361" s="392" t="e">
        <f t="shared" si="178"/>
        <v>#REF!</v>
      </c>
      <c r="R361" s="369" t="e">
        <f t="shared" si="178"/>
        <v>#REF!</v>
      </c>
      <c r="S361" s="369" t="e">
        <f t="shared" si="178"/>
        <v>#REF!</v>
      </c>
      <c r="T361" s="137" t="e">
        <f t="shared" si="178"/>
        <v>#REF!</v>
      </c>
      <c r="U361" s="371" t="e">
        <f t="shared" si="178"/>
        <v>#REF!</v>
      </c>
      <c r="V361" s="371" t="e">
        <f t="shared" si="178"/>
        <v>#REF!</v>
      </c>
      <c r="W361" s="371" t="e">
        <f t="shared" si="178"/>
        <v>#REF!</v>
      </c>
      <c r="X361" s="371" t="e">
        <f t="shared" si="178"/>
        <v>#REF!</v>
      </c>
      <c r="Y361" s="372"/>
      <c r="Z361" s="372"/>
      <c r="AA361" s="372"/>
      <c r="AB361" s="372"/>
      <c r="AC361" s="372"/>
      <c r="AD361" s="372"/>
      <c r="AE361" s="372"/>
      <c r="AF361" s="372"/>
      <c r="AG361" s="372"/>
      <c r="AH361" s="372"/>
      <c r="AI361" s="372"/>
      <c r="AJ361" s="372"/>
      <c r="AK361" s="372"/>
      <c r="AL361" s="372"/>
    </row>
    <row r="362" spans="1:38" ht="21.75" hidden="1" customHeight="1" x14ac:dyDescent="0.25">
      <c r="A362" s="80"/>
      <c r="B362" s="80"/>
      <c r="C362" s="80"/>
      <c r="D362" s="80"/>
      <c r="E362" s="80">
        <v>4262</v>
      </c>
      <c r="F362" s="81" t="s">
        <v>561</v>
      </c>
      <c r="G362" s="82" t="e">
        <f>SUMIF(#REF!,funkcijska!$E362,#REF!)</f>
        <v>#REF!</v>
      </c>
      <c r="H362" s="82" t="e">
        <f>SUMIF(#REF!,funkcijska!$E362,#REF!)</f>
        <v>#REF!</v>
      </c>
      <c r="I362" s="82" t="e">
        <f>SUMIF(#REF!,funkcijska!$E362,#REF!)</f>
        <v>#REF!</v>
      </c>
      <c r="J362" s="82" t="e">
        <f>SUMIF(#REF!,funkcijska!$E362,#REF!)</f>
        <v>#REF!</v>
      </c>
      <c r="K362" s="82" t="e">
        <f>SUMIF(#REF!,funkcijska!$E362,#REF!)</f>
        <v>#REF!</v>
      </c>
      <c r="L362" s="82" t="e">
        <f t="shared" ref="L362:L368" si="179">ROUND(K362/J362*100,2)</f>
        <v>#REF!</v>
      </c>
      <c r="M362" s="82" t="e">
        <f t="shared" ref="M362:M368" si="180">N362-J362</f>
        <v>#REF!</v>
      </c>
      <c r="N362" s="82" t="e">
        <f>SUMIF(#REF!,funkcijska!$E362,#REF!)</f>
        <v>#REF!</v>
      </c>
      <c r="O362" s="82" t="e">
        <f>SUMIF(#REF!,funkcijska!$E362,#REF!)</f>
        <v>#REF!</v>
      </c>
      <c r="P362" s="82" t="e">
        <f>SUMIF(#REF!,funkcijska!$E362,#REF!)</f>
        <v>#REF!</v>
      </c>
      <c r="Q362" s="386" t="e">
        <f>SUMIF(#REF!,funkcijska!$E362,#REF!)</f>
        <v>#REF!</v>
      </c>
      <c r="R362" s="82" t="e">
        <f>SUMIF(#REF!,funkcijska!$E362,#REF!)</f>
        <v>#REF!</v>
      </c>
      <c r="S362" s="82" t="e">
        <f>SUMIF(#REF!,funkcijska!$E362,#REF!)</f>
        <v>#REF!</v>
      </c>
      <c r="T362" s="82" t="e">
        <f>SUMIF(#REF!,funkcijska!$E$111,#REF!)</f>
        <v>#REF!</v>
      </c>
      <c r="U362" s="357" t="e">
        <f>SUMIF(#REF!,funkcijska!$E362,#REF!)</f>
        <v>#REF!</v>
      </c>
      <c r="V362" s="357" t="e">
        <f>SUMIF(#REF!,funkcijska!$E362,#REF!)</f>
        <v>#REF!</v>
      </c>
      <c r="W362" s="357" t="e">
        <f>SUMIF(#REF!,funkcijska!$E362,#REF!)</f>
        <v>#REF!</v>
      </c>
      <c r="X362" s="357" t="e">
        <f>SUMIF(#REF!,funkcijska!$E362,#REF!)</f>
        <v>#REF!</v>
      </c>
      <c r="AD362" s="60"/>
      <c r="AE362" s="60"/>
      <c r="AF362" s="60"/>
      <c r="AG362" s="60"/>
      <c r="AH362" s="60"/>
      <c r="AI362" s="60"/>
      <c r="AJ362" s="60"/>
      <c r="AK362" s="60"/>
      <c r="AL362" s="60"/>
    </row>
    <row r="363" spans="1:38" ht="21" hidden="1" customHeight="1" x14ac:dyDescent="0.25">
      <c r="A363" s="80"/>
      <c r="B363" s="80"/>
      <c r="C363" s="80"/>
      <c r="D363" s="80"/>
      <c r="E363" s="80">
        <v>4264</v>
      </c>
      <c r="F363" s="81" t="s">
        <v>1030</v>
      </c>
      <c r="G363" s="82" t="e">
        <f>SUMIF(#REF!,funkcijska!$E363,#REF!)</f>
        <v>#REF!</v>
      </c>
      <c r="H363" s="82" t="e">
        <f>SUMIF(#REF!,funkcijska!$E363,#REF!)</f>
        <v>#REF!</v>
      </c>
      <c r="I363" s="82" t="e">
        <f>SUMIF(#REF!,funkcijska!$E363,#REF!)</f>
        <v>#REF!</v>
      </c>
      <c r="J363" s="82" t="e">
        <f>SUMIF(#REF!,funkcijska!$E363,#REF!)</f>
        <v>#REF!</v>
      </c>
      <c r="K363" s="82" t="e">
        <f>SUMIF(#REF!,funkcijska!$E363,#REF!)</f>
        <v>#REF!</v>
      </c>
      <c r="L363" s="82" t="e">
        <f t="shared" si="179"/>
        <v>#REF!</v>
      </c>
      <c r="M363" s="82" t="e">
        <f t="shared" si="180"/>
        <v>#REF!</v>
      </c>
      <c r="N363" s="82" t="e">
        <f>SUMIF(#REF!,funkcijska!$E363,#REF!)</f>
        <v>#REF!</v>
      </c>
      <c r="O363" s="82" t="e">
        <f>SUMIF(#REF!,funkcijska!$E363,#REF!)</f>
        <v>#REF!</v>
      </c>
      <c r="P363" s="82" t="e">
        <f>SUMIF(#REF!,funkcijska!$E363,#REF!)</f>
        <v>#REF!</v>
      </c>
      <c r="Q363" s="386" t="e">
        <f>SUMIF(#REF!,funkcijska!$E363,#REF!)</f>
        <v>#REF!</v>
      </c>
      <c r="R363" s="82" t="e">
        <f>SUMIF(#REF!,funkcijska!$E363,#REF!)</f>
        <v>#REF!</v>
      </c>
      <c r="S363" s="82" t="e">
        <f>SUMIF(#REF!,funkcijska!$E363,#REF!)</f>
        <v>#REF!</v>
      </c>
      <c r="T363" s="82" t="e">
        <f>SUMIF(#REF!,funkcijska!$E$112,#REF!)</f>
        <v>#REF!</v>
      </c>
      <c r="U363" s="357" t="e">
        <f>SUMIF(#REF!,funkcijska!$E363,#REF!)</f>
        <v>#REF!</v>
      </c>
      <c r="V363" s="357" t="e">
        <f>SUMIF(#REF!,funkcijska!$E363,#REF!)</f>
        <v>#REF!</v>
      </c>
      <c r="W363" s="357" t="e">
        <f>SUMIF(#REF!,funkcijska!$E363,#REF!)</f>
        <v>#REF!</v>
      </c>
      <c r="X363" s="357" t="e">
        <f>SUMIF(#REF!,funkcijska!$E363,#REF!)</f>
        <v>#REF!</v>
      </c>
      <c r="AD363" s="60"/>
      <c r="AE363" s="60"/>
      <c r="AF363" s="60"/>
      <c r="AG363" s="60"/>
      <c r="AH363" s="60"/>
      <c r="AI363" s="60"/>
      <c r="AJ363" s="60"/>
      <c r="AK363" s="60"/>
      <c r="AL363" s="60"/>
    </row>
    <row r="364" spans="1:38" ht="36.75" hidden="1" customHeight="1" x14ac:dyDescent="0.25">
      <c r="A364" s="125"/>
      <c r="B364" s="74"/>
      <c r="C364" s="74" t="str">
        <f>LEFT(E366,2)</f>
        <v>45</v>
      </c>
      <c r="D364" s="74"/>
      <c r="E364" s="74"/>
      <c r="F364" s="75" t="s">
        <v>808</v>
      </c>
      <c r="G364" s="77" t="e">
        <f>G365+G367+G370</f>
        <v>#REF!</v>
      </c>
      <c r="H364" s="118" t="e">
        <f>H365+H367+H370</f>
        <v>#REF!</v>
      </c>
      <c r="I364" s="77" t="e">
        <f>I365+I367+I370</f>
        <v>#REF!</v>
      </c>
      <c r="J364" s="77" t="e">
        <f>J365+J367+J370</f>
        <v>#REF!</v>
      </c>
      <c r="K364" s="77" t="e">
        <f>K365+K367+K370</f>
        <v>#REF!</v>
      </c>
      <c r="L364" s="77" t="e">
        <f t="shared" si="179"/>
        <v>#REF!</v>
      </c>
      <c r="M364" s="77" t="e">
        <f t="shared" si="180"/>
        <v>#REF!</v>
      </c>
      <c r="N364" s="77" t="e">
        <f t="shared" ref="N364:X364" si="181">N365+N367+N370</f>
        <v>#REF!</v>
      </c>
      <c r="O364" s="76" t="e">
        <f t="shared" si="181"/>
        <v>#REF!</v>
      </c>
      <c r="P364" s="76" t="e">
        <f t="shared" si="181"/>
        <v>#REF!</v>
      </c>
      <c r="Q364" s="385" t="e">
        <f t="shared" si="181"/>
        <v>#REF!</v>
      </c>
      <c r="R364" s="135" t="e">
        <f t="shared" si="181"/>
        <v>#REF!</v>
      </c>
      <c r="S364" s="135" t="e">
        <f t="shared" si="181"/>
        <v>#REF!</v>
      </c>
      <c r="T364" s="135" t="e">
        <f t="shared" si="181"/>
        <v>#REF!</v>
      </c>
      <c r="U364" s="356" t="e">
        <f t="shared" si="181"/>
        <v>#REF!</v>
      </c>
      <c r="V364" s="356" t="e">
        <f t="shared" si="181"/>
        <v>#REF!</v>
      </c>
      <c r="W364" s="356" t="e">
        <f t="shared" si="181"/>
        <v>#REF!</v>
      </c>
      <c r="X364" s="356" t="e">
        <f t="shared" si="181"/>
        <v>#REF!</v>
      </c>
      <c r="AD364" s="60"/>
      <c r="AE364" s="60"/>
      <c r="AF364" s="60"/>
      <c r="AG364" s="60"/>
      <c r="AH364" s="60"/>
      <c r="AI364" s="60"/>
      <c r="AJ364" s="60"/>
      <c r="AK364" s="60"/>
      <c r="AL364" s="60"/>
    </row>
    <row r="365" spans="1:38" s="373" customFormat="1" ht="20.25" hidden="1" customHeight="1" x14ac:dyDescent="0.25">
      <c r="A365" s="119"/>
      <c r="B365" s="119"/>
      <c r="C365" s="119"/>
      <c r="D365" s="119" t="str">
        <f>LEFT(E366,3)</f>
        <v>451</v>
      </c>
      <c r="E365" s="119"/>
      <c r="F365" s="368" t="s">
        <v>809</v>
      </c>
      <c r="G365" s="369" t="e">
        <f>G366</f>
        <v>#REF!</v>
      </c>
      <c r="H365" s="370" t="e">
        <f>H366</f>
        <v>#REF!</v>
      </c>
      <c r="I365" s="369" t="e">
        <f>I366</f>
        <v>#REF!</v>
      </c>
      <c r="J365" s="369" t="e">
        <f>J366</f>
        <v>#REF!</v>
      </c>
      <c r="K365" s="369" t="e">
        <f>K366</f>
        <v>#REF!</v>
      </c>
      <c r="L365" s="369" t="e">
        <f t="shared" si="179"/>
        <v>#REF!</v>
      </c>
      <c r="M365" s="369" t="e">
        <f t="shared" si="180"/>
        <v>#REF!</v>
      </c>
      <c r="N365" s="369" t="e">
        <f t="shared" ref="N365:X365" si="182">N366</f>
        <v>#REF!</v>
      </c>
      <c r="O365" s="137" t="e">
        <f t="shared" si="182"/>
        <v>#REF!</v>
      </c>
      <c r="P365" s="137" t="e">
        <f t="shared" si="182"/>
        <v>#REF!</v>
      </c>
      <c r="Q365" s="393" t="e">
        <f t="shared" si="182"/>
        <v>#REF!</v>
      </c>
      <c r="R365" s="137" t="e">
        <f t="shared" si="182"/>
        <v>#REF!</v>
      </c>
      <c r="S365" s="137" t="e">
        <f t="shared" si="182"/>
        <v>#REF!</v>
      </c>
      <c r="T365" s="137" t="e">
        <f t="shared" si="182"/>
        <v>#REF!</v>
      </c>
      <c r="U365" s="371" t="e">
        <f t="shared" si="182"/>
        <v>#REF!</v>
      </c>
      <c r="V365" s="371" t="e">
        <f t="shared" si="182"/>
        <v>#REF!</v>
      </c>
      <c r="W365" s="371" t="e">
        <f t="shared" si="182"/>
        <v>#REF!</v>
      </c>
      <c r="X365" s="371" t="e">
        <f t="shared" si="182"/>
        <v>#REF!</v>
      </c>
      <c r="Y365" s="372"/>
      <c r="Z365" s="372"/>
      <c r="AA365" s="372"/>
      <c r="AB365" s="372"/>
      <c r="AC365" s="372"/>
      <c r="AD365" s="372"/>
      <c r="AE365" s="372"/>
      <c r="AF365" s="372"/>
      <c r="AG365" s="372"/>
      <c r="AH365" s="372"/>
      <c r="AI365" s="372"/>
      <c r="AJ365" s="372"/>
      <c r="AK365" s="372"/>
      <c r="AL365" s="372"/>
    </row>
    <row r="366" spans="1:38" ht="21" hidden="1" customHeight="1" x14ac:dyDescent="0.25">
      <c r="A366" s="80"/>
      <c r="B366" s="80"/>
      <c r="C366" s="80"/>
      <c r="D366" s="80"/>
      <c r="E366" s="80">
        <v>4511</v>
      </c>
      <c r="F366" s="81" t="s">
        <v>809</v>
      </c>
      <c r="G366" s="82" t="e">
        <f>SUMIF(#REF!,funkcijska!E366,#REF!)</f>
        <v>#REF!</v>
      </c>
      <c r="H366" s="82" t="e">
        <f>SUMIF(#REF!,funkcijska!$E366,#REF!)</f>
        <v>#REF!</v>
      </c>
      <c r="I366" s="82" t="e">
        <f>SUMIF(#REF!,funkcijska!$E366,#REF!)</f>
        <v>#REF!</v>
      </c>
      <c r="J366" s="82" t="e">
        <f>SUMIF(#REF!,funkcijska!$E366,#REF!)</f>
        <v>#REF!</v>
      </c>
      <c r="K366" s="82" t="e">
        <f>SUMIF(#REF!,funkcijska!$E366,#REF!)</f>
        <v>#REF!</v>
      </c>
      <c r="L366" s="82" t="e">
        <f t="shared" si="179"/>
        <v>#REF!</v>
      </c>
      <c r="M366" s="82" t="e">
        <f t="shared" si="180"/>
        <v>#REF!</v>
      </c>
      <c r="N366" s="82" t="e">
        <f>SUMIF(#REF!,funkcijska!$E366,#REF!)</f>
        <v>#REF!</v>
      </c>
      <c r="O366" s="82" t="e">
        <f>SUMIF(#REF!,funkcijska!$E366,#REF!)</f>
        <v>#REF!</v>
      </c>
      <c r="P366" s="82" t="e">
        <f>SUMIF(#REF!,funkcijska!$E366,#REF!)</f>
        <v>#REF!</v>
      </c>
      <c r="Q366" s="386" t="e">
        <f>SUMIF(#REF!,funkcijska!$E366,#REF!)</f>
        <v>#REF!</v>
      </c>
      <c r="R366" s="82" t="e">
        <f>SUMIF(#REF!,funkcijska!$E366,#REF!)</f>
        <v>#REF!</v>
      </c>
      <c r="S366" s="82" t="e">
        <f>SUMIF(#REF!,funkcijska!$E366,#REF!)</f>
        <v>#REF!</v>
      </c>
      <c r="T366" s="82" t="e">
        <f>SUMIF(#REF!,funkcijska!$E$115,#REF!)</f>
        <v>#REF!</v>
      </c>
      <c r="U366" s="357" t="e">
        <f>SUMIF(#REF!,funkcijska!$E366,#REF!)</f>
        <v>#REF!</v>
      </c>
      <c r="V366" s="357" t="e">
        <f>SUMIF(#REF!,funkcijska!$E366,#REF!)</f>
        <v>#REF!</v>
      </c>
      <c r="W366" s="357" t="e">
        <f>SUMIF(#REF!,funkcijska!$E366,#REF!)</f>
        <v>#REF!</v>
      </c>
      <c r="X366" s="357" t="e">
        <f>SUMIF(#REF!,funkcijska!$E366,#REF!)</f>
        <v>#REF!</v>
      </c>
      <c r="AD366" s="60"/>
      <c r="AE366" s="60"/>
      <c r="AF366" s="60"/>
      <c r="AG366" s="60"/>
      <c r="AH366" s="60"/>
      <c r="AI366" s="60"/>
      <c r="AJ366" s="60"/>
      <c r="AK366" s="60"/>
      <c r="AL366" s="60"/>
    </row>
    <row r="367" spans="1:38" s="373" customFormat="1" ht="21.75" hidden="1" customHeight="1" x14ac:dyDescent="0.25">
      <c r="A367" s="119"/>
      <c r="B367" s="119"/>
      <c r="C367" s="119"/>
      <c r="D367" s="119">
        <v>452</v>
      </c>
      <c r="E367" s="119"/>
      <c r="F367" s="368" t="s">
        <v>639</v>
      </c>
      <c r="G367" s="137" t="e">
        <f>G368</f>
        <v>#REF!</v>
      </c>
      <c r="H367" s="370" t="e">
        <f>H368</f>
        <v>#REF!</v>
      </c>
      <c r="I367" s="137" t="e">
        <f>I368</f>
        <v>#REF!</v>
      </c>
      <c r="J367" s="137" t="e">
        <f>J368</f>
        <v>#REF!</v>
      </c>
      <c r="K367" s="137" t="e">
        <f>K368</f>
        <v>#REF!</v>
      </c>
      <c r="L367" s="137" t="e">
        <f t="shared" si="179"/>
        <v>#REF!</v>
      </c>
      <c r="M367" s="137" t="e">
        <f t="shared" si="180"/>
        <v>#REF!</v>
      </c>
      <c r="N367" s="137" t="e">
        <f t="shared" ref="N367:X367" si="183">N368</f>
        <v>#REF!</v>
      </c>
      <c r="O367" s="137" t="e">
        <f t="shared" si="183"/>
        <v>#REF!</v>
      </c>
      <c r="P367" s="137" t="e">
        <f t="shared" si="183"/>
        <v>#REF!</v>
      </c>
      <c r="Q367" s="393" t="e">
        <f t="shared" si="183"/>
        <v>#REF!</v>
      </c>
      <c r="R367" s="137" t="e">
        <f t="shared" si="183"/>
        <v>#REF!</v>
      </c>
      <c r="S367" s="137" t="e">
        <f t="shared" si="183"/>
        <v>#REF!</v>
      </c>
      <c r="T367" s="137" t="e">
        <f t="shared" si="183"/>
        <v>#REF!</v>
      </c>
      <c r="U367" s="371" t="e">
        <f t="shared" si="183"/>
        <v>#REF!</v>
      </c>
      <c r="V367" s="371" t="e">
        <f t="shared" si="183"/>
        <v>#REF!</v>
      </c>
      <c r="W367" s="371" t="e">
        <f t="shared" si="183"/>
        <v>#REF!</v>
      </c>
      <c r="X367" s="371" t="e">
        <f t="shared" si="183"/>
        <v>#REF!</v>
      </c>
      <c r="Y367" s="372"/>
      <c r="Z367" s="372"/>
      <c r="AA367" s="372"/>
      <c r="AB367" s="372"/>
      <c r="AC367" s="372"/>
      <c r="AD367" s="372"/>
      <c r="AE367" s="372"/>
      <c r="AF367" s="372"/>
      <c r="AG367" s="372"/>
      <c r="AH367" s="372"/>
      <c r="AI367" s="372"/>
      <c r="AJ367" s="372"/>
      <c r="AK367" s="372"/>
      <c r="AL367" s="372"/>
    </row>
    <row r="368" spans="1:38" ht="21" hidden="1" customHeight="1" x14ac:dyDescent="0.25">
      <c r="A368" s="80"/>
      <c r="B368" s="80"/>
      <c r="C368" s="80"/>
      <c r="D368" s="80"/>
      <c r="E368" s="80">
        <v>4521</v>
      </c>
      <c r="F368" s="81" t="s">
        <v>639</v>
      </c>
      <c r="G368" s="82" t="e">
        <f>SUMIF(#REF!,funkcijska!E368,#REF!)</f>
        <v>#REF!</v>
      </c>
      <c r="H368" s="82" t="e">
        <f>SUMIF(#REF!,funkcijska!$E368,#REF!)</f>
        <v>#REF!</v>
      </c>
      <c r="I368" s="82" t="e">
        <f>SUMIF(#REF!,funkcijska!$E368,#REF!)</f>
        <v>#REF!</v>
      </c>
      <c r="J368" s="82" t="e">
        <f>SUMIF(#REF!,funkcijska!$E368,#REF!)</f>
        <v>#REF!</v>
      </c>
      <c r="K368" s="82" t="e">
        <f>SUMIF(#REF!,funkcijska!$E368,#REF!)</f>
        <v>#REF!</v>
      </c>
      <c r="L368" s="82" t="e">
        <f t="shared" si="179"/>
        <v>#REF!</v>
      </c>
      <c r="M368" s="82" t="e">
        <f t="shared" si="180"/>
        <v>#REF!</v>
      </c>
      <c r="N368" s="82" t="e">
        <f>SUMIF(#REF!,funkcijska!$E368,#REF!)</f>
        <v>#REF!</v>
      </c>
      <c r="O368" s="82" t="e">
        <f>SUMIF(#REF!,funkcijska!$E368,#REF!)</f>
        <v>#REF!</v>
      </c>
      <c r="P368" s="82" t="e">
        <f>SUMIF(#REF!,funkcijska!$E368,#REF!)</f>
        <v>#REF!</v>
      </c>
      <c r="Q368" s="386" t="e">
        <f>SUMIF(#REF!,funkcijska!$E368,#REF!)</f>
        <v>#REF!</v>
      </c>
      <c r="R368" s="82" t="e">
        <f>SUMIF(#REF!,funkcijska!$E368,#REF!)</f>
        <v>#REF!</v>
      </c>
      <c r="S368" s="82" t="e">
        <f>SUMIF(#REF!,funkcijska!$E368,#REF!)</f>
        <v>#REF!</v>
      </c>
      <c r="T368" s="82" t="e">
        <f>SUMIF(#REF!,funkcijska!$E$117,#REF!)</f>
        <v>#REF!</v>
      </c>
      <c r="U368" s="357" t="e">
        <f>SUMIF(#REF!,funkcijska!$E368,#REF!)</f>
        <v>#REF!</v>
      </c>
      <c r="V368" s="357" t="e">
        <f>SUMIF(#REF!,funkcijska!$E368,#REF!)</f>
        <v>#REF!</v>
      </c>
      <c r="W368" s="357" t="e">
        <f>SUMIF(#REF!,funkcijska!$E368,#REF!)</f>
        <v>#REF!</v>
      </c>
      <c r="X368" s="357" t="e">
        <f>SUMIF(#REF!,funkcijska!$E368,#REF!)</f>
        <v>#REF!</v>
      </c>
      <c r="AD368" s="60"/>
      <c r="AE368" s="60"/>
      <c r="AF368" s="60"/>
      <c r="AG368" s="60"/>
      <c r="AH368" s="60"/>
      <c r="AI368" s="60"/>
      <c r="AJ368" s="60"/>
      <c r="AK368" s="60"/>
      <c r="AL368" s="60"/>
    </row>
    <row r="369" spans="1:38" ht="21" customHeight="1" x14ac:dyDescent="0.25">
      <c r="A369" s="108"/>
      <c r="B369" s="108"/>
      <c r="C369" s="108"/>
      <c r="D369" s="108"/>
      <c r="E369" s="108"/>
      <c r="F369" s="109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539"/>
      <c r="R369" s="110"/>
      <c r="S369" s="110"/>
      <c r="T369" s="110"/>
      <c r="U369" s="361"/>
      <c r="V369" s="361"/>
      <c r="W369" s="361"/>
      <c r="X369" s="361"/>
      <c r="AD369" s="60"/>
      <c r="AE369" s="60"/>
      <c r="AF369" s="60"/>
      <c r="AG369" s="60"/>
      <c r="AH369" s="60"/>
      <c r="AI369" s="60"/>
      <c r="AJ369" s="60"/>
      <c r="AK369" s="60"/>
      <c r="AL369" s="60"/>
    </row>
    <row r="370" spans="1:38" ht="54" x14ac:dyDescent="0.25">
      <c r="A370" s="108"/>
      <c r="B370" s="80"/>
      <c r="C370" s="80"/>
      <c r="D370" s="80"/>
      <c r="E370" s="80"/>
      <c r="F370" s="536" t="s">
        <v>776</v>
      </c>
      <c r="G370" s="82"/>
      <c r="H370" s="82"/>
      <c r="I370" s="553"/>
      <c r="J370" s="82"/>
      <c r="K370" s="82"/>
      <c r="L370" s="82"/>
      <c r="M370" s="82"/>
      <c r="N370" s="553"/>
      <c r="O370" s="553"/>
      <c r="P370" s="553"/>
      <c r="Q370" s="399"/>
      <c r="R370" s="553"/>
      <c r="S370" s="553"/>
      <c r="T370" s="553"/>
      <c r="U370" s="553"/>
      <c r="V370" s="566" t="e">
        <f>V371+V446</f>
        <v>#REF!</v>
      </c>
      <c r="W370" s="566" t="e">
        <f>W371+W446</f>
        <v>#REF!</v>
      </c>
      <c r="X370" s="566" t="e">
        <f>X371+X446</f>
        <v>#REF!</v>
      </c>
    </row>
    <row r="371" spans="1:38" x14ac:dyDescent="0.25">
      <c r="A371" s="74"/>
      <c r="B371" s="105" t="str">
        <f>LEFT(E374,1)</f>
        <v>3</v>
      </c>
      <c r="C371" s="105"/>
      <c r="D371" s="105"/>
      <c r="E371" s="105"/>
      <c r="F371" s="72" t="s">
        <v>524</v>
      </c>
      <c r="G371" s="313" t="e">
        <f>G372+G383+G415+G422+G429+G433+G437</f>
        <v>#REF!</v>
      </c>
      <c r="H371" s="73" t="e">
        <f>H372+H383+H415+H422+H429+H433+H437</f>
        <v>#REF!</v>
      </c>
      <c r="I371" s="313" t="e">
        <f>I372+I383+I415+I422+I429+I433+I437</f>
        <v>#REF!</v>
      </c>
      <c r="J371" s="313" t="e">
        <f>J372+J383+J415+J422+J429+J433+J437</f>
        <v>#REF!</v>
      </c>
      <c r="K371" s="313" t="e">
        <f>K372+K383+K415+K422+K429+K433+K437</f>
        <v>#REF!</v>
      </c>
      <c r="L371" s="313" t="e">
        <f>ROUND(K371/J371*100,2)</f>
        <v>#REF!</v>
      </c>
      <c r="M371" s="313" t="e">
        <f>N371-J371</f>
        <v>#REF!</v>
      </c>
      <c r="N371" s="313" t="e">
        <f t="shared" ref="N371:X371" si="184">N372+N383+N415+N422+N429+N433+N437</f>
        <v>#REF!</v>
      </c>
      <c r="O371" s="73" t="e">
        <f t="shared" si="184"/>
        <v>#REF!</v>
      </c>
      <c r="P371" s="73" t="e">
        <f t="shared" si="184"/>
        <v>#REF!</v>
      </c>
      <c r="Q371" s="384" t="e">
        <f t="shared" si="184"/>
        <v>#REF!</v>
      </c>
      <c r="R371" s="76" t="e">
        <f t="shared" si="184"/>
        <v>#REF!</v>
      </c>
      <c r="S371" s="76" t="e">
        <f t="shared" si="184"/>
        <v>#REF!</v>
      </c>
      <c r="T371" s="76" t="e">
        <f t="shared" si="184"/>
        <v>#REF!</v>
      </c>
      <c r="U371" s="355" t="e">
        <f t="shared" si="184"/>
        <v>#REF!</v>
      </c>
      <c r="V371" s="355" t="e">
        <f t="shared" si="184"/>
        <v>#REF!</v>
      </c>
      <c r="W371" s="355" t="e">
        <f t="shared" si="184"/>
        <v>#REF!</v>
      </c>
      <c r="X371" s="355" t="e">
        <f t="shared" si="184"/>
        <v>#REF!</v>
      </c>
      <c r="AD371" s="60"/>
      <c r="AE371" s="60"/>
      <c r="AF371" s="60"/>
      <c r="AG371" s="60"/>
      <c r="AH371" s="60"/>
      <c r="AI371" s="60"/>
      <c r="AJ371" s="60"/>
      <c r="AK371" s="60"/>
      <c r="AL371" s="60"/>
    </row>
    <row r="372" spans="1:38" ht="16.5" customHeight="1" x14ac:dyDescent="0.25">
      <c r="A372" s="125"/>
      <c r="B372" s="74"/>
      <c r="C372" s="74" t="str">
        <f>LEFT(E374,2)</f>
        <v>31</v>
      </c>
      <c r="D372" s="74"/>
      <c r="E372" s="74"/>
      <c r="F372" s="75" t="s">
        <v>197</v>
      </c>
      <c r="G372" s="77" t="e">
        <f>G373+G378+G380</f>
        <v>#REF!</v>
      </c>
      <c r="H372" s="76" t="e">
        <f>H373+H378+H380</f>
        <v>#REF!</v>
      </c>
      <c r="I372" s="77" t="e">
        <f>I373+I378+I380</f>
        <v>#REF!</v>
      </c>
      <c r="J372" s="77" t="e">
        <f>J373+J378+J380</f>
        <v>#REF!</v>
      </c>
      <c r="K372" s="77" t="e">
        <f>K373+K378+K380</f>
        <v>#REF!</v>
      </c>
      <c r="L372" s="77" t="e">
        <f>ROUND(K372/J372*100,2)</f>
        <v>#REF!</v>
      </c>
      <c r="M372" s="77" t="e">
        <f>N372-J372</f>
        <v>#REF!</v>
      </c>
      <c r="N372" s="77" t="e">
        <f t="shared" ref="N372:X372" si="185">N373+N378+N380</f>
        <v>#REF!</v>
      </c>
      <c r="O372" s="76" t="e">
        <f t="shared" si="185"/>
        <v>#REF!</v>
      </c>
      <c r="P372" s="76" t="e">
        <f t="shared" si="185"/>
        <v>#REF!</v>
      </c>
      <c r="Q372" s="385" t="e">
        <f t="shared" si="185"/>
        <v>#REF!</v>
      </c>
      <c r="R372" s="127" t="e">
        <f t="shared" si="185"/>
        <v>#REF!</v>
      </c>
      <c r="S372" s="127" t="e">
        <f t="shared" si="185"/>
        <v>#REF!</v>
      </c>
      <c r="T372" s="127" t="e">
        <f t="shared" si="185"/>
        <v>#REF!</v>
      </c>
      <c r="U372" s="356" t="e">
        <f t="shared" si="185"/>
        <v>#REF!</v>
      </c>
      <c r="V372" s="356" t="e">
        <f t="shared" si="185"/>
        <v>#REF!</v>
      </c>
      <c r="W372" s="356" t="e">
        <f t="shared" si="185"/>
        <v>#REF!</v>
      </c>
      <c r="X372" s="356" t="e">
        <f t="shared" si="185"/>
        <v>#REF!</v>
      </c>
      <c r="AD372" s="128"/>
      <c r="AE372" s="60"/>
      <c r="AF372" s="60"/>
      <c r="AG372" s="60"/>
      <c r="AH372" s="60"/>
      <c r="AI372" s="60"/>
      <c r="AJ372" s="60"/>
      <c r="AK372" s="60"/>
      <c r="AL372" s="60"/>
    </row>
    <row r="373" spans="1:38" ht="18" customHeight="1" x14ac:dyDescent="0.25">
      <c r="A373" s="80"/>
      <c r="B373" s="80"/>
      <c r="C373" s="80"/>
      <c r="D373" s="80" t="str">
        <f>LEFT(E374,3)</f>
        <v>311</v>
      </c>
      <c r="E373" s="80"/>
      <c r="F373" s="81" t="s">
        <v>198</v>
      </c>
      <c r="G373" s="129" t="e">
        <f t="shared" ref="G373:X373" si="186">SUM(G374:G377)</f>
        <v>#REF!</v>
      </c>
      <c r="H373" s="102" t="e">
        <f t="shared" si="186"/>
        <v>#REF!</v>
      </c>
      <c r="I373" s="129" t="e">
        <f t="shared" si="186"/>
        <v>#REF!</v>
      </c>
      <c r="J373" s="129" t="e">
        <f t="shared" si="186"/>
        <v>#REF!</v>
      </c>
      <c r="K373" s="129" t="e">
        <f t="shared" si="186"/>
        <v>#REF!</v>
      </c>
      <c r="L373" s="129" t="e">
        <f t="shared" si="186"/>
        <v>#REF!</v>
      </c>
      <c r="M373" s="129" t="e">
        <f t="shared" si="186"/>
        <v>#REF!</v>
      </c>
      <c r="N373" s="129" t="e">
        <f t="shared" si="186"/>
        <v>#REF!</v>
      </c>
      <c r="O373" s="129" t="e">
        <f t="shared" si="186"/>
        <v>#REF!</v>
      </c>
      <c r="P373" s="129" t="e">
        <f t="shared" si="186"/>
        <v>#REF!</v>
      </c>
      <c r="Q373" s="389" t="e">
        <f t="shared" si="186"/>
        <v>#REF!</v>
      </c>
      <c r="R373" s="129" t="e">
        <f t="shared" si="186"/>
        <v>#REF!</v>
      </c>
      <c r="S373" s="129" t="e">
        <f t="shared" si="186"/>
        <v>#REF!</v>
      </c>
      <c r="T373" s="129" t="e">
        <f t="shared" si="186"/>
        <v>#REF!</v>
      </c>
      <c r="U373" s="363" t="e">
        <f t="shared" si="186"/>
        <v>#REF!</v>
      </c>
      <c r="V373" s="363" t="e">
        <f t="shared" si="186"/>
        <v>#REF!</v>
      </c>
      <c r="W373" s="363" t="e">
        <f t="shared" si="186"/>
        <v>#REF!</v>
      </c>
      <c r="X373" s="363" t="e">
        <f t="shared" si="186"/>
        <v>#REF!</v>
      </c>
      <c r="AD373" s="60"/>
      <c r="AE373" s="60"/>
      <c r="AF373" s="60"/>
      <c r="AG373" s="60"/>
      <c r="AH373" s="60"/>
      <c r="AI373" s="60"/>
      <c r="AJ373" s="60"/>
      <c r="AK373" s="60"/>
      <c r="AL373" s="60"/>
    </row>
    <row r="374" spans="1:38" ht="18" customHeight="1" x14ac:dyDescent="0.25">
      <c r="A374" s="80"/>
      <c r="B374" s="80"/>
      <c r="C374" s="80"/>
      <c r="D374" s="80"/>
      <c r="E374" s="80">
        <v>3111</v>
      </c>
      <c r="F374" s="81" t="s">
        <v>199</v>
      </c>
      <c r="G374" s="82" t="e">
        <f>SUMIF(#REF!,funkcijska!$E374,#REF!)</f>
        <v>#REF!</v>
      </c>
      <c r="H374" s="82" t="e">
        <f>SUMIF(#REF!,funkcijska!$E374,#REF!)</f>
        <v>#REF!</v>
      </c>
      <c r="I374" s="82" t="e">
        <f>SUMIF(#REF!,funkcijska!$E374,#REF!)</f>
        <v>#REF!</v>
      </c>
      <c r="J374" s="82" t="e">
        <f>SUMIF(#REF!,funkcijska!$E374,#REF!)</f>
        <v>#REF!</v>
      </c>
      <c r="K374" s="82" t="e">
        <f>SUMIF(#REF!,funkcijska!$E374,#REF!)</f>
        <v>#REF!</v>
      </c>
      <c r="L374" s="82" t="e">
        <f t="shared" ref="L374:L379" si="187">ROUND(K374/J374*100,2)</f>
        <v>#REF!</v>
      </c>
      <c r="M374" s="82" t="e">
        <f t="shared" ref="M374:M379" si="188">N374-J374</f>
        <v>#REF!</v>
      </c>
      <c r="N374" s="82" t="e">
        <f>SUMIF(#REF!,funkcijska!$E374,#REF!)</f>
        <v>#REF!</v>
      </c>
      <c r="O374" s="82" t="e">
        <f>SUMIF(#REF!,funkcijska!$E374,#REF!)</f>
        <v>#REF!</v>
      </c>
      <c r="P374" s="82" t="e">
        <f>SUMIF(#REF!,funkcijska!$E374,#REF!)</f>
        <v>#REF!</v>
      </c>
      <c r="Q374" s="386" t="e">
        <f>SUMIF(#REF!,funkcijska!$E374,#REF!)</f>
        <v>#REF!</v>
      </c>
      <c r="R374" s="82" t="e">
        <f>SUMIF(#REF!,funkcijska!$E374,#REF!)</f>
        <v>#REF!</v>
      </c>
      <c r="S374" s="82" t="e">
        <f>SUMIF(#REF!,funkcijska!$E374,#REF!)</f>
        <v>#REF!</v>
      </c>
      <c r="T374" s="82" t="e">
        <f>SUMIF(#REF!,funkcijska!$E$12,#REF!)</f>
        <v>#REF!</v>
      </c>
      <c r="U374" s="357" t="e">
        <f>SUMIF(#REF!,funkcijska!$E374,#REF!)</f>
        <v>#REF!</v>
      </c>
      <c r="V374" s="357" t="e">
        <f>SUMIF(#REF!,funkcijska!$E374,#REF!)+SUMIF(#REF!,funkcijska!$E374,#REF!)</f>
        <v>#REF!</v>
      </c>
      <c r="W374" s="357" t="e">
        <f>SUMIF(#REF!,funkcijska!$E374,#REF!)+SUMIF(#REF!,funkcijska!$E374,#REF!)</f>
        <v>#REF!</v>
      </c>
      <c r="X374" s="357" t="e">
        <f>SUMIF(#REF!,funkcijska!$E374,#REF!)+SUMIF(#REF!,funkcijska!$E374,#REF!)</f>
        <v>#REF!</v>
      </c>
      <c r="AD374" s="60"/>
      <c r="AE374" s="60"/>
      <c r="AF374" s="60"/>
      <c r="AG374" s="60"/>
      <c r="AH374" s="60"/>
      <c r="AI374" s="60"/>
      <c r="AJ374" s="60"/>
      <c r="AK374" s="60"/>
      <c r="AL374" s="60"/>
    </row>
    <row r="375" spans="1:38" x14ac:dyDescent="0.25">
      <c r="A375" s="80"/>
      <c r="B375" s="80"/>
      <c r="C375" s="80"/>
      <c r="D375" s="80"/>
      <c r="E375" s="80">
        <v>3112</v>
      </c>
      <c r="F375" s="81" t="s">
        <v>219</v>
      </c>
      <c r="G375" s="82" t="e">
        <f>SUMIF(#REF!,funkcijska!$E375,#REF!)</f>
        <v>#REF!</v>
      </c>
      <c r="H375" s="82" t="e">
        <f>SUMIF(#REF!,funkcijska!$E375,#REF!)</f>
        <v>#REF!</v>
      </c>
      <c r="I375" s="82" t="e">
        <f>SUMIF(#REF!,funkcijska!$E375,#REF!)</f>
        <v>#REF!</v>
      </c>
      <c r="J375" s="82" t="e">
        <f>SUMIF(#REF!,funkcijska!$E375,#REF!)</f>
        <v>#REF!</v>
      </c>
      <c r="K375" s="82" t="e">
        <f>SUMIF(#REF!,funkcijska!$E375,#REF!)</f>
        <v>#REF!</v>
      </c>
      <c r="L375" s="82" t="e">
        <f t="shared" si="187"/>
        <v>#REF!</v>
      </c>
      <c r="M375" s="82" t="e">
        <f t="shared" si="188"/>
        <v>#REF!</v>
      </c>
      <c r="N375" s="82" t="e">
        <f>SUMIF(#REF!,funkcijska!$E375,#REF!)</f>
        <v>#REF!</v>
      </c>
      <c r="O375" s="82" t="e">
        <f>SUMIF(#REF!,funkcijska!$E375,#REF!)</f>
        <v>#REF!</v>
      </c>
      <c r="P375" s="82" t="e">
        <f>SUMIF(#REF!,funkcijska!$E375,#REF!)</f>
        <v>#REF!</v>
      </c>
      <c r="Q375" s="386" t="e">
        <f>SUMIF(#REF!,funkcijska!$E375,#REF!)</f>
        <v>#REF!</v>
      </c>
      <c r="R375" s="82" t="e">
        <f>SUMIF(#REF!,funkcijska!$E375,#REF!)</f>
        <v>#REF!</v>
      </c>
      <c r="S375" s="82" t="e">
        <f>SUMIF(#REF!,funkcijska!$E375,#REF!)</f>
        <v>#REF!</v>
      </c>
      <c r="T375" s="82" t="e">
        <f>SUMIF(#REF!,funkcijska!$E$13,#REF!)</f>
        <v>#REF!</v>
      </c>
      <c r="U375" s="357" t="e">
        <f>SUMIF(#REF!,funkcijska!$E375,#REF!)</f>
        <v>#REF!</v>
      </c>
      <c r="V375" s="357" t="e">
        <f>SUMIF(#REF!,funkcijska!$E375,#REF!)+SUMIF(#REF!,funkcijska!$E375,#REF!)</f>
        <v>#REF!</v>
      </c>
      <c r="W375" s="357" t="e">
        <f>SUMIF(#REF!,funkcijska!$E375,#REF!)+SUMIF(#REF!,funkcijska!$E375,#REF!)</f>
        <v>#REF!</v>
      </c>
      <c r="X375" s="357" t="e">
        <f>SUMIF(#REF!,funkcijska!$E375,#REF!)+SUMIF(#REF!,funkcijska!$E375,#REF!)</f>
        <v>#REF!</v>
      </c>
      <c r="AD375" s="60"/>
      <c r="AE375" s="60"/>
      <c r="AF375" s="60"/>
      <c r="AG375" s="60"/>
      <c r="AH375" s="60"/>
      <c r="AI375" s="60"/>
      <c r="AJ375" s="60"/>
      <c r="AK375" s="60"/>
      <c r="AL375" s="60"/>
    </row>
    <row r="376" spans="1:38" x14ac:dyDescent="0.25">
      <c r="A376" s="80"/>
      <c r="B376" s="80"/>
      <c r="C376" s="80"/>
      <c r="D376" s="80"/>
      <c r="E376" s="80">
        <v>3113</v>
      </c>
      <c r="F376" s="81" t="s">
        <v>476</v>
      </c>
      <c r="G376" s="82" t="e">
        <f>SUMIF(#REF!,funkcijska!$E376,#REF!)</f>
        <v>#REF!</v>
      </c>
      <c r="H376" s="82" t="e">
        <f>SUMIF(#REF!,funkcijska!$E376,#REF!)</f>
        <v>#REF!</v>
      </c>
      <c r="I376" s="82" t="e">
        <f>SUMIF(#REF!,funkcijska!$E376,#REF!)</f>
        <v>#REF!</v>
      </c>
      <c r="J376" s="82" t="e">
        <f>SUMIF(#REF!,funkcijska!$E376,#REF!)</f>
        <v>#REF!</v>
      </c>
      <c r="K376" s="82" t="e">
        <f>SUMIF(#REF!,funkcijska!$E376,#REF!)</f>
        <v>#REF!</v>
      </c>
      <c r="L376" s="82" t="e">
        <f t="shared" si="187"/>
        <v>#REF!</v>
      </c>
      <c r="M376" s="82" t="e">
        <f t="shared" si="188"/>
        <v>#REF!</v>
      </c>
      <c r="N376" s="82" t="e">
        <f>SUMIF(#REF!,funkcijska!$E376,#REF!)</f>
        <v>#REF!</v>
      </c>
      <c r="O376" s="82" t="e">
        <f>SUMIF(#REF!,funkcijska!$E376,#REF!)</f>
        <v>#REF!</v>
      </c>
      <c r="P376" s="82" t="e">
        <f>SUMIF(#REF!,funkcijska!$E376,#REF!)</f>
        <v>#REF!</v>
      </c>
      <c r="Q376" s="386" t="e">
        <f>SUMIF(#REF!,funkcijska!$E376,#REF!)</f>
        <v>#REF!</v>
      </c>
      <c r="R376" s="82" t="e">
        <f>SUMIF(#REF!,funkcijska!$E376,#REF!)</f>
        <v>#REF!</v>
      </c>
      <c r="S376" s="82" t="e">
        <f>SUMIF(#REF!,funkcijska!$E376,#REF!)</f>
        <v>#REF!</v>
      </c>
      <c r="T376" s="82" t="e">
        <f>SUMIF(#REF!,funkcijska!$E$14,#REF!)</f>
        <v>#REF!</v>
      </c>
      <c r="U376" s="357" t="e">
        <f>SUMIF(#REF!,funkcijska!$E376,#REF!)</f>
        <v>#REF!</v>
      </c>
      <c r="V376" s="357" t="e">
        <f>SUMIF(#REF!,funkcijska!$E376,#REF!)+SUMIF(#REF!,funkcijska!$E376,#REF!)</f>
        <v>#REF!</v>
      </c>
      <c r="W376" s="357" t="e">
        <f>SUMIF(#REF!,funkcijska!$E376,#REF!)+SUMIF(#REF!,funkcijska!$E376,#REF!)</f>
        <v>#REF!</v>
      </c>
      <c r="X376" s="357" t="e">
        <f>SUMIF(#REF!,funkcijska!$E376,#REF!)+SUMIF(#REF!,funkcijska!$E376,#REF!)</f>
        <v>#REF!</v>
      </c>
      <c r="AD376" s="60"/>
      <c r="AE376" s="60"/>
      <c r="AF376" s="60"/>
      <c r="AG376" s="60"/>
      <c r="AH376" s="60"/>
      <c r="AI376" s="60"/>
      <c r="AJ376" s="60"/>
      <c r="AK376" s="60"/>
      <c r="AL376" s="60"/>
    </row>
    <row r="377" spans="1:38" x14ac:dyDescent="0.25">
      <c r="A377" s="80"/>
      <c r="B377" s="80"/>
      <c r="C377" s="80"/>
      <c r="D377" s="80"/>
      <c r="E377" s="80">
        <v>3114</v>
      </c>
      <c r="F377" s="81" t="s">
        <v>643</v>
      </c>
      <c r="G377" s="82" t="e">
        <f>SUMIF(#REF!,funkcijska!$E377,#REF!)</f>
        <v>#REF!</v>
      </c>
      <c r="H377" s="82" t="e">
        <f>SUMIF(#REF!,funkcijska!$E377,#REF!)</f>
        <v>#REF!</v>
      </c>
      <c r="I377" s="82" t="e">
        <f>SUMIF(#REF!,funkcijska!$E377,#REF!)</f>
        <v>#REF!</v>
      </c>
      <c r="J377" s="82" t="e">
        <f>SUMIF(#REF!,funkcijska!$E377,#REF!)</f>
        <v>#REF!</v>
      </c>
      <c r="K377" s="82" t="e">
        <f>SUMIF(#REF!,funkcijska!$E377,#REF!)</f>
        <v>#REF!</v>
      </c>
      <c r="L377" s="82" t="e">
        <f t="shared" si="187"/>
        <v>#REF!</v>
      </c>
      <c r="M377" s="82" t="e">
        <f t="shared" si="188"/>
        <v>#REF!</v>
      </c>
      <c r="N377" s="82" t="e">
        <f>SUMIF(#REF!,funkcijska!$E377,#REF!)</f>
        <v>#REF!</v>
      </c>
      <c r="O377" s="82" t="e">
        <f>SUMIF(#REF!,funkcijska!$E377,#REF!)</f>
        <v>#REF!</v>
      </c>
      <c r="P377" s="82" t="e">
        <f>SUMIF(#REF!,funkcijska!$E377,#REF!)</f>
        <v>#REF!</v>
      </c>
      <c r="Q377" s="386" t="e">
        <f>SUMIF(#REF!,funkcijska!$E377,#REF!)</f>
        <v>#REF!</v>
      </c>
      <c r="R377" s="82" t="e">
        <f>SUMIF(#REF!,funkcijska!$E377,#REF!)</f>
        <v>#REF!</v>
      </c>
      <c r="S377" s="82" t="e">
        <f>SUMIF(#REF!,funkcijska!$E377,#REF!)</f>
        <v>#REF!</v>
      </c>
      <c r="T377" s="82" t="e">
        <f>SUMIF(#REF!,funkcijska!$E$15,#REF!)</f>
        <v>#REF!</v>
      </c>
      <c r="U377" s="357" t="e">
        <f>SUMIF(#REF!,funkcijska!$E377,#REF!)</f>
        <v>#REF!</v>
      </c>
      <c r="V377" s="357" t="e">
        <f>SUMIF(#REF!,funkcijska!$E377,#REF!)+SUMIF(#REF!,funkcijska!$E377,#REF!)</f>
        <v>#REF!</v>
      </c>
      <c r="W377" s="357" t="e">
        <f>SUMIF(#REF!,funkcijska!$E377,#REF!)+SUMIF(#REF!,funkcijska!$E377,#REF!)</f>
        <v>#REF!</v>
      </c>
      <c r="X377" s="357" t="e">
        <f>SUMIF(#REF!,funkcijska!$E377,#REF!)+SUMIF(#REF!,funkcijska!$E377,#REF!)</f>
        <v>#REF!</v>
      </c>
      <c r="AD377" s="60"/>
      <c r="AE377" s="60"/>
      <c r="AF377" s="60"/>
      <c r="AG377" s="60"/>
      <c r="AH377" s="60"/>
      <c r="AI377" s="60"/>
      <c r="AJ377" s="60"/>
      <c r="AK377" s="60"/>
      <c r="AL377" s="60"/>
    </row>
    <row r="378" spans="1:38" ht="17.25" customHeight="1" x14ac:dyDescent="0.25">
      <c r="A378" s="80"/>
      <c r="B378" s="80"/>
      <c r="C378" s="80"/>
      <c r="D378" s="80" t="str">
        <f>LEFT(E379,3)</f>
        <v>312</v>
      </c>
      <c r="E378" s="80"/>
      <c r="F378" s="81" t="s">
        <v>200</v>
      </c>
      <c r="G378" s="84" t="e">
        <f>G379</f>
        <v>#REF!</v>
      </c>
      <c r="H378" s="82" t="e">
        <f>SUMIF(#REF!,funkcijska!$E378,#REF!)</f>
        <v>#REF!</v>
      </c>
      <c r="I378" s="84" t="e">
        <f>I379</f>
        <v>#REF!</v>
      </c>
      <c r="J378" s="84" t="e">
        <f>J379</f>
        <v>#REF!</v>
      </c>
      <c r="K378" s="84" t="e">
        <f>K379</f>
        <v>#REF!</v>
      </c>
      <c r="L378" s="84" t="e">
        <f t="shared" si="187"/>
        <v>#REF!</v>
      </c>
      <c r="M378" s="84" t="e">
        <f t="shared" si="188"/>
        <v>#REF!</v>
      </c>
      <c r="N378" s="84" t="e">
        <f t="shared" ref="N378:X378" si="189">N379</f>
        <v>#REF!</v>
      </c>
      <c r="O378" s="84" t="e">
        <f t="shared" si="189"/>
        <v>#REF!</v>
      </c>
      <c r="P378" s="84" t="e">
        <f t="shared" si="189"/>
        <v>#REF!</v>
      </c>
      <c r="Q378" s="390" t="e">
        <f t="shared" si="189"/>
        <v>#REF!</v>
      </c>
      <c r="R378" s="84" t="e">
        <f t="shared" si="189"/>
        <v>#REF!</v>
      </c>
      <c r="S378" s="84" t="e">
        <f t="shared" si="189"/>
        <v>#REF!</v>
      </c>
      <c r="T378" s="84" t="e">
        <f t="shared" si="189"/>
        <v>#REF!</v>
      </c>
      <c r="U378" s="357" t="e">
        <f t="shared" si="189"/>
        <v>#REF!</v>
      </c>
      <c r="V378" s="357" t="e">
        <f t="shared" si="189"/>
        <v>#REF!</v>
      </c>
      <c r="W378" s="357" t="e">
        <f t="shared" si="189"/>
        <v>#REF!</v>
      </c>
      <c r="X378" s="357" t="e">
        <f t="shared" si="189"/>
        <v>#REF!</v>
      </c>
      <c r="AD378" s="60"/>
      <c r="AE378" s="60"/>
      <c r="AF378" s="60"/>
      <c r="AG378" s="60"/>
      <c r="AH378" s="60"/>
      <c r="AI378" s="60"/>
      <c r="AJ378" s="60"/>
      <c r="AK378" s="60"/>
      <c r="AL378" s="60"/>
    </row>
    <row r="379" spans="1:38" x14ac:dyDescent="0.25">
      <c r="A379" s="80"/>
      <c r="B379" s="80"/>
      <c r="C379" s="80"/>
      <c r="D379" s="80"/>
      <c r="E379" s="80">
        <v>3121</v>
      </c>
      <c r="F379" s="81" t="s">
        <v>200</v>
      </c>
      <c r="G379" s="82" t="e">
        <f>SUMIF(#REF!,funkcijska!$E379,#REF!)</f>
        <v>#REF!</v>
      </c>
      <c r="H379" s="82" t="e">
        <f>SUMIF(#REF!,funkcijska!$E379,#REF!)</f>
        <v>#REF!</v>
      </c>
      <c r="I379" s="82" t="e">
        <f>SUMIF(#REF!,funkcijska!$E379,#REF!)</f>
        <v>#REF!</v>
      </c>
      <c r="J379" s="82" t="e">
        <f>SUMIF(#REF!,funkcijska!$E379,#REF!)</f>
        <v>#REF!</v>
      </c>
      <c r="K379" s="82" t="e">
        <f>SUMIF(#REF!,funkcijska!$E379,#REF!)</f>
        <v>#REF!</v>
      </c>
      <c r="L379" s="82" t="e">
        <f t="shared" si="187"/>
        <v>#REF!</v>
      </c>
      <c r="M379" s="82" t="e">
        <f t="shared" si="188"/>
        <v>#REF!</v>
      </c>
      <c r="N379" s="82" t="e">
        <f>SUMIF(#REF!,funkcijska!$E379,#REF!)</f>
        <v>#REF!</v>
      </c>
      <c r="O379" s="82" t="e">
        <f>SUMIF(#REF!,funkcijska!$E379,#REF!)</f>
        <v>#REF!</v>
      </c>
      <c r="P379" s="82" t="e">
        <f>SUMIF(#REF!,funkcijska!$E379,#REF!)</f>
        <v>#REF!</v>
      </c>
      <c r="Q379" s="386" t="e">
        <f>SUMIF(#REF!,funkcijska!$E379,#REF!)</f>
        <v>#REF!</v>
      </c>
      <c r="R379" s="82" t="e">
        <f>SUMIF(#REF!,funkcijska!$E379,#REF!)</f>
        <v>#REF!</v>
      </c>
      <c r="S379" s="82" t="e">
        <f>SUMIF(#REF!,funkcijska!$E379,#REF!)</f>
        <v>#REF!</v>
      </c>
      <c r="T379" s="82" t="e">
        <f>SUMIF(#REF!,funkcijska!$E$17,#REF!)</f>
        <v>#REF!</v>
      </c>
      <c r="U379" s="357" t="e">
        <f>SUMIF(#REF!,funkcijska!$E379,#REF!)</f>
        <v>#REF!</v>
      </c>
      <c r="V379" s="357" t="e">
        <f>SUMIF(#REF!,funkcijska!$E379,#REF!)+SUMIF(#REF!,funkcijska!$E379,#REF!)</f>
        <v>#REF!</v>
      </c>
      <c r="W379" s="357" t="e">
        <f>SUMIF(#REF!,funkcijska!$E379,#REF!)+SUMIF(#REF!,funkcijska!$E379,#REF!)</f>
        <v>#REF!</v>
      </c>
      <c r="X379" s="357" t="e">
        <f>SUMIF(#REF!,funkcijska!$E379,#REF!)+SUMIF(#REF!,funkcijska!$E379,#REF!)</f>
        <v>#REF!</v>
      </c>
      <c r="AD379" s="60"/>
      <c r="AE379" s="60"/>
      <c r="AF379" s="60"/>
      <c r="AG379" s="60"/>
      <c r="AH379" s="60"/>
      <c r="AI379" s="60"/>
      <c r="AJ379" s="60"/>
      <c r="AK379" s="60"/>
      <c r="AL379" s="60"/>
    </row>
    <row r="380" spans="1:38" ht="17.25" customHeight="1" x14ac:dyDescent="0.25">
      <c r="A380" s="80"/>
      <c r="B380" s="80"/>
      <c r="C380" s="80"/>
      <c r="D380" s="80" t="str">
        <f>LEFT(E381,3)</f>
        <v>313</v>
      </c>
      <c r="E380" s="80"/>
      <c r="F380" s="81" t="s">
        <v>201</v>
      </c>
      <c r="G380" s="84" t="e">
        <f>SUM(G381:G382)</f>
        <v>#REF!</v>
      </c>
      <c r="H380" s="82" t="e">
        <f>SUMIF(#REF!,funkcijska!$E380,#REF!)</f>
        <v>#REF!</v>
      </c>
      <c r="I380" s="84" t="e">
        <f t="shared" ref="I380:X380" si="190">SUM(I381:I382)</f>
        <v>#REF!</v>
      </c>
      <c r="J380" s="84" t="e">
        <f t="shared" si="190"/>
        <v>#REF!</v>
      </c>
      <c r="K380" s="84" t="e">
        <f t="shared" si="190"/>
        <v>#REF!</v>
      </c>
      <c r="L380" s="84" t="e">
        <f t="shared" si="190"/>
        <v>#REF!</v>
      </c>
      <c r="M380" s="84" t="e">
        <f t="shared" si="190"/>
        <v>#REF!</v>
      </c>
      <c r="N380" s="84" t="e">
        <f t="shared" si="190"/>
        <v>#REF!</v>
      </c>
      <c r="O380" s="84" t="e">
        <f t="shared" si="190"/>
        <v>#REF!</v>
      </c>
      <c r="P380" s="84" t="e">
        <f t="shared" si="190"/>
        <v>#REF!</v>
      </c>
      <c r="Q380" s="390" t="e">
        <f t="shared" si="190"/>
        <v>#REF!</v>
      </c>
      <c r="R380" s="84" t="e">
        <f t="shared" si="190"/>
        <v>#REF!</v>
      </c>
      <c r="S380" s="84" t="e">
        <f t="shared" si="190"/>
        <v>#REF!</v>
      </c>
      <c r="T380" s="84" t="e">
        <f t="shared" si="190"/>
        <v>#REF!</v>
      </c>
      <c r="U380" s="357" t="e">
        <f t="shared" si="190"/>
        <v>#REF!</v>
      </c>
      <c r="V380" s="357" t="e">
        <f t="shared" si="190"/>
        <v>#REF!</v>
      </c>
      <c r="W380" s="357" t="e">
        <f t="shared" si="190"/>
        <v>#REF!</v>
      </c>
      <c r="X380" s="357" t="e">
        <f t="shared" si="190"/>
        <v>#REF!</v>
      </c>
      <c r="AD380" s="60"/>
      <c r="AE380" s="60"/>
      <c r="AF380" s="60"/>
      <c r="AG380" s="60"/>
      <c r="AH380" s="60"/>
      <c r="AI380" s="60"/>
      <c r="AJ380" s="60"/>
      <c r="AK380" s="60"/>
      <c r="AL380" s="60"/>
    </row>
    <row r="381" spans="1:38" x14ac:dyDescent="0.25">
      <c r="A381" s="80"/>
      <c r="B381" s="80"/>
      <c r="C381" s="80"/>
      <c r="D381" s="80"/>
      <c r="E381" s="80">
        <v>3132</v>
      </c>
      <c r="F381" s="81" t="s">
        <v>202</v>
      </c>
      <c r="G381" s="82" t="e">
        <f>SUMIF(#REF!,funkcijska!$E381,#REF!)</f>
        <v>#REF!</v>
      </c>
      <c r="H381" s="82" t="e">
        <f>SUMIF(#REF!,funkcijska!$E381,#REF!)</f>
        <v>#REF!</v>
      </c>
      <c r="I381" s="82" t="e">
        <f>SUMIF(#REF!,funkcijska!$E381,#REF!)</f>
        <v>#REF!</v>
      </c>
      <c r="J381" s="82" t="e">
        <f>SUMIF(#REF!,funkcijska!$E381,#REF!)</f>
        <v>#REF!</v>
      </c>
      <c r="K381" s="82" t="e">
        <f>SUMIF(#REF!,funkcijska!$E381,#REF!)</f>
        <v>#REF!</v>
      </c>
      <c r="L381" s="82" t="e">
        <f>ROUND(K381/J381*100,2)</f>
        <v>#REF!</v>
      </c>
      <c r="M381" s="82" t="e">
        <f>N381-J381</f>
        <v>#REF!</v>
      </c>
      <c r="N381" s="82" t="e">
        <f>SUMIF(#REF!,funkcijska!$E381,#REF!)</f>
        <v>#REF!</v>
      </c>
      <c r="O381" s="82" t="e">
        <f>SUMIF(#REF!,funkcijska!$E381,#REF!)</f>
        <v>#REF!</v>
      </c>
      <c r="P381" s="82" t="e">
        <f>SUMIF(#REF!,funkcijska!$E381,#REF!)</f>
        <v>#REF!</v>
      </c>
      <c r="Q381" s="386" t="e">
        <f>SUMIF(#REF!,funkcijska!$E381,#REF!)</f>
        <v>#REF!</v>
      </c>
      <c r="R381" s="82" t="e">
        <f>SUMIF(#REF!,funkcijska!$E381,#REF!)</f>
        <v>#REF!</v>
      </c>
      <c r="S381" s="82" t="e">
        <f>SUMIF(#REF!,funkcijska!$E381,#REF!)</f>
        <v>#REF!</v>
      </c>
      <c r="T381" s="82" t="e">
        <f>SUMIF(#REF!,funkcijska!$E$19,#REF!)</f>
        <v>#REF!</v>
      </c>
      <c r="U381" s="357" t="e">
        <f>SUMIF(#REF!,funkcijska!$E381,#REF!)</f>
        <v>#REF!</v>
      </c>
      <c r="V381" s="357" t="e">
        <f>SUMIF(#REF!,funkcijska!$E381,#REF!)+SUMIF(#REF!,funkcijska!$E381,#REF!)</f>
        <v>#REF!</v>
      </c>
      <c r="W381" s="357" t="e">
        <f>SUMIF(#REF!,funkcijska!$E381,#REF!)+SUMIF(#REF!,funkcijska!$E381,#REF!)</f>
        <v>#REF!</v>
      </c>
      <c r="X381" s="357" t="e">
        <f>SUMIF(#REF!,funkcijska!$E381,#REF!)+SUMIF(#REF!,funkcijska!$E381,#REF!)</f>
        <v>#REF!</v>
      </c>
      <c r="AD381" s="60"/>
      <c r="AE381" s="60"/>
      <c r="AF381" s="60"/>
      <c r="AG381" s="60"/>
      <c r="AH381" s="60"/>
      <c r="AI381" s="60"/>
      <c r="AJ381" s="60"/>
      <c r="AK381" s="60"/>
      <c r="AL381" s="60"/>
    </row>
    <row r="382" spans="1:38" ht="36" x14ac:dyDescent="0.25">
      <c r="A382" s="80"/>
      <c r="B382" s="80"/>
      <c r="C382" s="80"/>
      <c r="D382" s="80"/>
      <c r="E382" s="80">
        <v>3133</v>
      </c>
      <c r="F382" s="81" t="s">
        <v>203</v>
      </c>
      <c r="G382" s="82" t="e">
        <f>SUMIF(#REF!,funkcijska!$E382,#REF!)</f>
        <v>#REF!</v>
      </c>
      <c r="H382" s="82" t="e">
        <f>SUMIF(#REF!,funkcijska!$E382,#REF!)</f>
        <v>#REF!</v>
      </c>
      <c r="I382" s="82" t="e">
        <f>SUMIF(#REF!,funkcijska!$E382,#REF!)</f>
        <v>#REF!</v>
      </c>
      <c r="J382" s="82" t="e">
        <f>SUMIF(#REF!,funkcijska!$E382,#REF!)</f>
        <v>#REF!</v>
      </c>
      <c r="K382" s="82" t="e">
        <f>SUMIF(#REF!,funkcijska!$E382,#REF!)</f>
        <v>#REF!</v>
      </c>
      <c r="L382" s="82" t="e">
        <f>ROUND(K382/J382*100,2)</f>
        <v>#REF!</v>
      </c>
      <c r="M382" s="82" t="e">
        <f>N382-J382</f>
        <v>#REF!</v>
      </c>
      <c r="N382" s="82" t="e">
        <f>SUMIF(#REF!,funkcijska!$E382,#REF!)</f>
        <v>#REF!</v>
      </c>
      <c r="O382" s="82" t="e">
        <f>SUMIF(#REF!,funkcijska!$E382,#REF!)</f>
        <v>#REF!</v>
      </c>
      <c r="P382" s="82" t="e">
        <f>SUMIF(#REF!,funkcijska!$E382,#REF!)</f>
        <v>#REF!</v>
      </c>
      <c r="Q382" s="386" t="e">
        <f>SUMIF(#REF!,funkcijska!$E382,#REF!)</f>
        <v>#REF!</v>
      </c>
      <c r="R382" s="82" t="e">
        <f>SUMIF(#REF!,funkcijska!$E382,#REF!)</f>
        <v>#REF!</v>
      </c>
      <c r="S382" s="82" t="e">
        <f>SUMIF(#REF!,funkcijska!$E382,#REF!)</f>
        <v>#REF!</v>
      </c>
      <c r="T382" s="82" t="e">
        <f>SUMIF(#REF!,funkcijska!$E$20,#REF!)</f>
        <v>#REF!</v>
      </c>
      <c r="U382" s="357" t="e">
        <f>SUMIF(#REF!,funkcijska!$E382,#REF!)</f>
        <v>#REF!</v>
      </c>
      <c r="V382" s="357" t="e">
        <f>SUMIF(#REF!,funkcijska!$E382,#REF!)+SUMIF(#REF!,funkcijska!$E382,#REF!)</f>
        <v>#REF!</v>
      </c>
      <c r="W382" s="357" t="e">
        <f>SUMIF(#REF!,funkcijska!$E382,#REF!)+SUMIF(#REF!,funkcijska!$E382,#REF!)</f>
        <v>#REF!</v>
      </c>
      <c r="X382" s="357" t="e">
        <f>SUMIF(#REF!,funkcijska!$E382,#REF!)+SUMIF(#REF!,funkcijska!$E382,#REF!)</f>
        <v>#REF!</v>
      </c>
      <c r="AD382" s="60"/>
      <c r="AE382" s="60"/>
      <c r="AF382" s="60"/>
      <c r="AG382" s="60"/>
      <c r="AH382" s="60"/>
      <c r="AI382" s="60"/>
      <c r="AJ382" s="60"/>
      <c r="AK382" s="60"/>
      <c r="AL382" s="60"/>
    </row>
    <row r="383" spans="1:38" ht="18.75" customHeight="1" x14ac:dyDescent="0.25">
      <c r="A383" s="125"/>
      <c r="B383" s="74"/>
      <c r="C383" s="74" t="str">
        <f>LEFT(E385,2)</f>
        <v>32</v>
      </c>
      <c r="D383" s="74"/>
      <c r="E383" s="74"/>
      <c r="F383" s="75" t="s">
        <v>525</v>
      </c>
      <c r="G383" s="310" t="e">
        <f>G384+G389+G396+G408</f>
        <v>#REF!</v>
      </c>
      <c r="H383" s="118" t="e">
        <f>H384+H389+H396+H408</f>
        <v>#REF!</v>
      </c>
      <c r="I383" s="310" t="e">
        <f>I384+I389+I396+I408</f>
        <v>#REF!</v>
      </c>
      <c r="J383" s="310" t="e">
        <f>J384+J389+J396+J406+J408</f>
        <v>#REF!</v>
      </c>
      <c r="K383" s="310" t="e">
        <f>K384+K389+K396+K406+K408</f>
        <v>#REF!</v>
      </c>
      <c r="L383" s="310" t="e">
        <f>ROUND(K383/J383*100,2)</f>
        <v>#REF!</v>
      </c>
      <c r="M383" s="310" t="e">
        <f>N383-J383</f>
        <v>#REF!</v>
      </c>
      <c r="N383" s="310" t="e">
        <f t="shared" ref="N383:X383" si="191">N384+N389+N396+N406+N408</f>
        <v>#REF!</v>
      </c>
      <c r="O383" s="310" t="e">
        <f t="shared" si="191"/>
        <v>#REF!</v>
      </c>
      <c r="P383" s="310" t="e">
        <f t="shared" si="191"/>
        <v>#REF!</v>
      </c>
      <c r="Q383" s="391" t="e">
        <f t="shared" si="191"/>
        <v>#REF!</v>
      </c>
      <c r="R383" s="130" t="e">
        <f t="shared" si="191"/>
        <v>#REF!</v>
      </c>
      <c r="S383" s="130" t="e">
        <f t="shared" si="191"/>
        <v>#REF!</v>
      </c>
      <c r="T383" s="130" t="e">
        <f t="shared" si="191"/>
        <v>#REF!</v>
      </c>
      <c r="U383" s="364" t="e">
        <f t="shared" si="191"/>
        <v>#REF!</v>
      </c>
      <c r="V383" s="364" t="e">
        <f t="shared" si="191"/>
        <v>#REF!</v>
      </c>
      <c r="W383" s="364" t="e">
        <f t="shared" si="191"/>
        <v>#REF!</v>
      </c>
      <c r="X383" s="364" t="e">
        <f t="shared" si="191"/>
        <v>#REF!</v>
      </c>
      <c r="AD383" s="60"/>
      <c r="AE383" s="60"/>
      <c r="AF383" s="60"/>
      <c r="AG383" s="60"/>
      <c r="AH383" s="60"/>
      <c r="AI383" s="60"/>
      <c r="AJ383" s="60"/>
      <c r="AK383" s="60"/>
      <c r="AL383" s="60"/>
    </row>
    <row r="384" spans="1:38" s="373" customFormat="1" ht="16.5" customHeight="1" x14ac:dyDescent="0.25">
      <c r="A384" s="119"/>
      <c r="B384" s="119"/>
      <c r="C384" s="119"/>
      <c r="D384" s="119" t="str">
        <f>LEFT(E385,3)</f>
        <v>321</v>
      </c>
      <c r="E384" s="119"/>
      <c r="F384" s="368" t="s">
        <v>564</v>
      </c>
      <c r="G384" s="369" t="e">
        <f>SUM(G385:G387)</f>
        <v>#REF!</v>
      </c>
      <c r="H384" s="370" t="e">
        <f>SUM(H385:H387)</f>
        <v>#REF!</v>
      </c>
      <c r="I384" s="369" t="e">
        <f t="shared" ref="I384:X384" si="192">SUM(I385:I388)</f>
        <v>#REF!</v>
      </c>
      <c r="J384" s="369" t="e">
        <f t="shared" si="192"/>
        <v>#REF!</v>
      </c>
      <c r="K384" s="369" t="e">
        <f t="shared" si="192"/>
        <v>#REF!</v>
      </c>
      <c r="L384" s="369" t="e">
        <f t="shared" si="192"/>
        <v>#REF!</v>
      </c>
      <c r="M384" s="369" t="e">
        <f t="shared" si="192"/>
        <v>#REF!</v>
      </c>
      <c r="N384" s="369" t="e">
        <f t="shared" si="192"/>
        <v>#REF!</v>
      </c>
      <c r="O384" s="369" t="e">
        <f t="shared" si="192"/>
        <v>#REF!</v>
      </c>
      <c r="P384" s="369" t="e">
        <f t="shared" si="192"/>
        <v>#REF!</v>
      </c>
      <c r="Q384" s="392" t="e">
        <f t="shared" si="192"/>
        <v>#REF!</v>
      </c>
      <c r="R384" s="369" t="e">
        <f t="shared" si="192"/>
        <v>#REF!</v>
      </c>
      <c r="S384" s="369" t="e">
        <f t="shared" si="192"/>
        <v>#REF!</v>
      </c>
      <c r="T384" s="369" t="e">
        <f t="shared" si="192"/>
        <v>#REF!</v>
      </c>
      <c r="U384" s="374" t="e">
        <f t="shared" si="192"/>
        <v>#REF!</v>
      </c>
      <c r="V384" s="374" t="e">
        <f t="shared" si="192"/>
        <v>#REF!</v>
      </c>
      <c r="W384" s="374" t="e">
        <f t="shared" si="192"/>
        <v>#REF!</v>
      </c>
      <c r="X384" s="374" t="e">
        <f t="shared" si="192"/>
        <v>#REF!</v>
      </c>
      <c r="Y384" s="372"/>
      <c r="Z384" s="372"/>
      <c r="AA384" s="372"/>
      <c r="AB384" s="372"/>
      <c r="AC384" s="372"/>
      <c r="AD384" s="372"/>
      <c r="AE384" s="372"/>
      <c r="AF384" s="372"/>
      <c r="AG384" s="372"/>
      <c r="AH384" s="372"/>
      <c r="AI384" s="372"/>
      <c r="AJ384" s="372"/>
      <c r="AK384" s="372"/>
      <c r="AL384" s="372"/>
    </row>
    <row r="385" spans="1:38" x14ac:dyDescent="0.25">
      <c r="A385" s="80"/>
      <c r="B385" s="80"/>
      <c r="C385" s="80"/>
      <c r="D385" s="80"/>
      <c r="E385" s="80">
        <v>3211</v>
      </c>
      <c r="F385" s="81" t="s">
        <v>565</v>
      </c>
      <c r="G385" s="82" t="e">
        <f>SUMIF(#REF!,funkcijska!$E385,#REF!)</f>
        <v>#REF!</v>
      </c>
      <c r="H385" s="82" t="e">
        <f>SUMIF(#REF!,funkcijska!$E385,#REF!)</f>
        <v>#REF!</v>
      </c>
      <c r="I385" s="82" t="e">
        <f>SUMIF(#REF!,funkcijska!$E385,#REF!)</f>
        <v>#REF!</v>
      </c>
      <c r="J385" s="82" t="e">
        <f>SUMIF(#REF!,funkcijska!$E385,#REF!)</f>
        <v>#REF!</v>
      </c>
      <c r="K385" s="82" t="e">
        <f>SUMIF(#REF!,funkcijska!$E385,#REF!)</f>
        <v>#REF!</v>
      </c>
      <c r="L385" s="82" t="e">
        <f>ROUND(K385/J385*100,2)</f>
        <v>#REF!</v>
      </c>
      <c r="M385" s="82" t="e">
        <f>N385-J385</f>
        <v>#REF!</v>
      </c>
      <c r="N385" s="82" t="e">
        <f>SUMIF(#REF!,funkcijska!$E385,#REF!)</f>
        <v>#REF!</v>
      </c>
      <c r="O385" s="82" t="e">
        <f>SUMIF(#REF!,funkcijska!$E385,#REF!)</f>
        <v>#REF!</v>
      </c>
      <c r="P385" s="82" t="e">
        <f>SUMIF(#REF!,funkcijska!$E385,#REF!)</f>
        <v>#REF!</v>
      </c>
      <c r="Q385" s="386" t="e">
        <f>SUMIF(#REF!,funkcijska!$E385,#REF!)</f>
        <v>#REF!</v>
      </c>
      <c r="R385" s="82" t="e">
        <f>SUMIF(#REF!,funkcijska!$E385,#REF!)</f>
        <v>#REF!</v>
      </c>
      <c r="S385" s="82" t="e">
        <f>SUMIF(#REF!,funkcijska!$E385,#REF!)</f>
        <v>#REF!</v>
      </c>
      <c r="T385" s="82" t="e">
        <f>SUMIF(#REF!,funkcijska!$E$23,#REF!)</f>
        <v>#REF!</v>
      </c>
      <c r="U385" s="357" t="e">
        <f>SUMIF(#REF!,funkcijska!$E385,#REF!)</f>
        <v>#REF!</v>
      </c>
      <c r="V385" s="357" t="e">
        <f>SUMIF(#REF!,funkcijska!$E385,#REF!)+SUMIF(#REF!,funkcijska!$E385,#REF!)</f>
        <v>#REF!</v>
      </c>
      <c r="W385" s="357" t="e">
        <f>SUMIF(#REF!,funkcijska!$E385,#REF!)+SUMIF(#REF!,funkcijska!$E385,#REF!)</f>
        <v>#REF!</v>
      </c>
      <c r="X385" s="357" t="e">
        <f>SUMIF(#REF!,funkcijska!$E385,#REF!)+SUMIF(#REF!,funkcijska!$E385,#REF!)</f>
        <v>#REF!</v>
      </c>
      <c r="AD385" s="60"/>
      <c r="AE385" s="60"/>
      <c r="AF385" s="60"/>
      <c r="AG385" s="60"/>
      <c r="AH385" s="60"/>
      <c r="AI385" s="60"/>
      <c r="AJ385" s="60"/>
      <c r="AK385" s="60"/>
      <c r="AL385" s="60"/>
    </row>
    <row r="386" spans="1:38" ht="39" customHeight="1" x14ac:dyDescent="0.25">
      <c r="A386" s="80"/>
      <c r="B386" s="80"/>
      <c r="C386" s="80"/>
      <c r="D386" s="80"/>
      <c r="E386" s="80">
        <v>3212</v>
      </c>
      <c r="F386" s="81" t="s">
        <v>220</v>
      </c>
      <c r="G386" s="82" t="e">
        <f>SUMIF(#REF!,funkcijska!$E386,#REF!)</f>
        <v>#REF!</v>
      </c>
      <c r="H386" s="82" t="e">
        <f>SUMIF(#REF!,funkcijska!$E386,#REF!)</f>
        <v>#REF!</v>
      </c>
      <c r="I386" s="82" t="e">
        <f>SUMIF(#REF!,funkcijska!$E386,#REF!)</f>
        <v>#REF!</v>
      </c>
      <c r="J386" s="82" t="e">
        <f>SUMIF(#REF!,funkcijska!$E386,#REF!)</f>
        <v>#REF!</v>
      </c>
      <c r="K386" s="82" t="e">
        <f>SUMIF(#REF!,funkcijska!$E386,#REF!)</f>
        <v>#REF!</v>
      </c>
      <c r="L386" s="82" t="e">
        <f>ROUND(K386/J386*100,2)</f>
        <v>#REF!</v>
      </c>
      <c r="M386" s="82" t="e">
        <f>N386-J386</f>
        <v>#REF!</v>
      </c>
      <c r="N386" s="82" t="e">
        <f>SUMIF(#REF!,funkcijska!$E386,#REF!)</f>
        <v>#REF!</v>
      </c>
      <c r="O386" s="82" t="e">
        <f>SUMIF(#REF!,funkcijska!$E386,#REF!)</f>
        <v>#REF!</v>
      </c>
      <c r="P386" s="82" t="e">
        <f>SUMIF(#REF!,funkcijska!$E386,#REF!)</f>
        <v>#REF!</v>
      </c>
      <c r="Q386" s="386" t="e">
        <f>SUMIF(#REF!,funkcijska!$E386,#REF!)</f>
        <v>#REF!</v>
      </c>
      <c r="R386" s="82" t="e">
        <f>SUMIF(#REF!,funkcijska!$E386,#REF!)</f>
        <v>#REF!</v>
      </c>
      <c r="S386" s="82" t="e">
        <f>SUMIF(#REF!,funkcijska!$E386,#REF!)</f>
        <v>#REF!</v>
      </c>
      <c r="T386" s="82" t="e">
        <f>SUMIF(#REF!,funkcijska!$E$24,#REF!)</f>
        <v>#REF!</v>
      </c>
      <c r="U386" s="357" t="e">
        <f>SUMIF(#REF!,funkcijska!$E386,#REF!)</f>
        <v>#REF!</v>
      </c>
      <c r="V386" s="357" t="e">
        <f>SUMIF(#REF!,funkcijska!$E386,#REF!)+SUMIF(#REF!,funkcijska!$E386,#REF!)</f>
        <v>#REF!</v>
      </c>
      <c r="W386" s="357" t="e">
        <f>SUMIF(#REF!,funkcijska!$E386,#REF!)+SUMIF(#REF!,funkcijska!$E386,#REF!)</f>
        <v>#REF!</v>
      </c>
      <c r="X386" s="357" t="e">
        <f>SUMIF(#REF!,funkcijska!$E386,#REF!)+SUMIF(#REF!,funkcijska!$E386,#REF!)</f>
        <v>#REF!</v>
      </c>
      <c r="AD386" s="60"/>
      <c r="AE386" s="60"/>
      <c r="AF386" s="60"/>
      <c r="AG386" s="60"/>
      <c r="AH386" s="60"/>
      <c r="AI386" s="60"/>
      <c r="AJ386" s="60"/>
      <c r="AK386" s="60"/>
      <c r="AL386" s="60"/>
    </row>
    <row r="387" spans="1:38" ht="22.5" customHeight="1" x14ac:dyDescent="0.25">
      <c r="A387" s="80"/>
      <c r="B387" s="80"/>
      <c r="C387" s="80"/>
      <c r="D387" s="80"/>
      <c r="E387" s="80">
        <v>3213</v>
      </c>
      <c r="F387" s="81" t="s">
        <v>221</v>
      </c>
      <c r="G387" s="82" t="e">
        <f>SUMIF(#REF!,funkcijska!$E387,#REF!)</f>
        <v>#REF!</v>
      </c>
      <c r="H387" s="82" t="e">
        <f>SUMIF(#REF!,funkcijska!$E387,#REF!)</f>
        <v>#REF!</v>
      </c>
      <c r="I387" s="82" t="e">
        <f>SUMIF(#REF!,funkcijska!$E387,#REF!)</f>
        <v>#REF!</v>
      </c>
      <c r="J387" s="82" t="e">
        <f>SUMIF(#REF!,funkcijska!$E387,#REF!)</f>
        <v>#REF!</v>
      </c>
      <c r="K387" s="82" t="e">
        <f>SUMIF(#REF!,funkcijska!$E387,#REF!)</f>
        <v>#REF!</v>
      </c>
      <c r="L387" s="82" t="e">
        <f>ROUND(K387/J387*100,2)</f>
        <v>#REF!</v>
      </c>
      <c r="M387" s="82" t="e">
        <f>N387-J387</f>
        <v>#REF!</v>
      </c>
      <c r="N387" s="82" t="e">
        <f>SUMIF(#REF!,funkcijska!$E387,#REF!)</f>
        <v>#REF!</v>
      </c>
      <c r="O387" s="82" t="e">
        <f>SUMIF(#REF!,funkcijska!$E387,#REF!)</f>
        <v>#REF!</v>
      </c>
      <c r="P387" s="82" t="e">
        <f>SUMIF(#REF!,funkcijska!$E387,#REF!)</f>
        <v>#REF!</v>
      </c>
      <c r="Q387" s="386" t="e">
        <f>SUMIF(#REF!,funkcijska!$E387,#REF!)</f>
        <v>#REF!</v>
      </c>
      <c r="R387" s="82" t="e">
        <f>SUMIF(#REF!,funkcijska!$E387,#REF!)</f>
        <v>#REF!</v>
      </c>
      <c r="S387" s="82" t="e">
        <f>SUMIF(#REF!,funkcijska!$E387,#REF!)</f>
        <v>#REF!</v>
      </c>
      <c r="T387" s="82" t="e">
        <f>SUMIF(#REF!,funkcijska!$E$25,#REF!)</f>
        <v>#REF!</v>
      </c>
      <c r="U387" s="357" t="e">
        <f>SUMIF(#REF!,funkcijska!$E387,#REF!)</f>
        <v>#REF!</v>
      </c>
      <c r="V387" s="357" t="e">
        <f>SUMIF(#REF!,funkcijska!$E387,#REF!)+SUMIF(#REF!,funkcijska!$E387,#REF!)</f>
        <v>#REF!</v>
      </c>
      <c r="W387" s="357" t="e">
        <f>SUMIF(#REF!,funkcijska!$E387,#REF!)+SUMIF(#REF!,funkcijska!$E387,#REF!)</f>
        <v>#REF!</v>
      </c>
      <c r="X387" s="357" t="e">
        <f>SUMIF(#REF!,funkcijska!$E387,#REF!)+SUMIF(#REF!,funkcijska!$E387,#REF!)</f>
        <v>#REF!</v>
      </c>
      <c r="AD387" s="60"/>
      <c r="AE387" s="60"/>
      <c r="AF387" s="60"/>
      <c r="AG387" s="60"/>
      <c r="AH387" s="60"/>
      <c r="AI387" s="60"/>
      <c r="AJ387" s="60"/>
      <c r="AK387" s="60"/>
      <c r="AL387" s="60"/>
    </row>
    <row r="388" spans="1:38" ht="22.5" customHeight="1" x14ac:dyDescent="0.25">
      <c r="A388" s="80"/>
      <c r="B388" s="80"/>
      <c r="C388" s="80"/>
      <c r="D388" s="80"/>
      <c r="E388" s="80">
        <v>3214</v>
      </c>
      <c r="F388" s="81" t="s">
        <v>852</v>
      </c>
      <c r="G388" s="82" t="e">
        <f>SUMIF(#REF!,funkcijska!$E388,#REF!)</f>
        <v>#REF!</v>
      </c>
      <c r="H388" s="82" t="e">
        <f>SUMIF(#REF!,funkcijska!$E388,#REF!)</f>
        <v>#REF!</v>
      </c>
      <c r="I388" s="82" t="e">
        <f>SUMIF(#REF!,funkcijska!$E388,#REF!)</f>
        <v>#REF!</v>
      </c>
      <c r="J388" s="82" t="e">
        <f>SUMIF(#REF!,funkcijska!$E388,#REF!)</f>
        <v>#REF!</v>
      </c>
      <c r="K388" s="82" t="e">
        <f>SUMIF(#REF!,funkcijska!$E388,#REF!)</f>
        <v>#REF!</v>
      </c>
      <c r="L388" s="82" t="e">
        <f>ROUND(K388/J388*100,2)</f>
        <v>#REF!</v>
      </c>
      <c r="M388" s="82" t="e">
        <f>N388-J388</f>
        <v>#REF!</v>
      </c>
      <c r="N388" s="82" t="e">
        <f>SUMIF(#REF!,funkcijska!$E388,#REF!)</f>
        <v>#REF!</v>
      </c>
      <c r="O388" s="82" t="e">
        <f>SUMIF(#REF!,funkcijska!$E388,#REF!)</f>
        <v>#REF!</v>
      </c>
      <c r="P388" s="82" t="e">
        <f>SUMIF(#REF!,funkcijska!$E388,#REF!)</f>
        <v>#REF!</v>
      </c>
      <c r="Q388" s="386" t="e">
        <f>SUMIF(#REF!,funkcijska!$E388,#REF!)</f>
        <v>#REF!</v>
      </c>
      <c r="R388" s="82" t="e">
        <f>SUMIF(#REF!,funkcijska!$E388,#REF!)</f>
        <v>#REF!</v>
      </c>
      <c r="S388" s="82" t="e">
        <f>SUMIF(#REF!,funkcijska!$E388,#REF!)</f>
        <v>#REF!</v>
      </c>
      <c r="T388" s="82" t="e">
        <f>SUMIF(#REF!,funkcijska!$E$26,#REF!)</f>
        <v>#REF!</v>
      </c>
      <c r="U388" s="357" t="e">
        <f>SUMIF(#REF!,funkcijska!$E388,#REF!)</f>
        <v>#REF!</v>
      </c>
      <c r="V388" s="357" t="e">
        <f>SUMIF(#REF!,funkcijska!$E388,#REF!)+SUMIF(#REF!,funkcijska!$E388,#REF!)</f>
        <v>#REF!</v>
      </c>
      <c r="W388" s="357" t="e">
        <f>SUMIF(#REF!,funkcijska!$E388,#REF!)+SUMIF(#REF!,funkcijska!$E388,#REF!)</f>
        <v>#REF!</v>
      </c>
      <c r="X388" s="357" t="e">
        <f>SUMIF(#REF!,funkcijska!$E388,#REF!)+SUMIF(#REF!,funkcijska!$E388,#REF!)</f>
        <v>#REF!</v>
      </c>
      <c r="AD388" s="60"/>
      <c r="AE388" s="60"/>
      <c r="AF388" s="60"/>
      <c r="AG388" s="60"/>
      <c r="AH388" s="60"/>
      <c r="AI388" s="60"/>
      <c r="AJ388" s="60"/>
      <c r="AK388" s="60"/>
      <c r="AL388" s="60"/>
    </row>
    <row r="389" spans="1:38" s="373" customFormat="1" ht="22.5" customHeight="1" x14ac:dyDescent="0.25">
      <c r="A389" s="119"/>
      <c r="B389" s="119"/>
      <c r="C389" s="119"/>
      <c r="D389" s="119" t="str">
        <f>LEFT(E390,3)</f>
        <v>322</v>
      </c>
      <c r="E389" s="119"/>
      <c r="F389" s="368" t="s">
        <v>547</v>
      </c>
      <c r="G389" s="369" t="e">
        <f>SUM(G390:G394)</f>
        <v>#REF!</v>
      </c>
      <c r="H389" s="370" t="e">
        <f>SUM(H390:H394)</f>
        <v>#REF!</v>
      </c>
      <c r="I389" s="369" t="e">
        <f t="shared" ref="I389:X389" si="193">SUM(I390:I395)</f>
        <v>#REF!</v>
      </c>
      <c r="J389" s="369" t="e">
        <f t="shared" si="193"/>
        <v>#REF!</v>
      </c>
      <c r="K389" s="369" t="e">
        <f t="shared" si="193"/>
        <v>#REF!</v>
      </c>
      <c r="L389" s="369" t="e">
        <f t="shared" si="193"/>
        <v>#REF!</v>
      </c>
      <c r="M389" s="369" t="e">
        <f t="shared" si="193"/>
        <v>#REF!</v>
      </c>
      <c r="N389" s="369" t="e">
        <f t="shared" si="193"/>
        <v>#REF!</v>
      </c>
      <c r="O389" s="369" t="e">
        <f t="shared" si="193"/>
        <v>#REF!</v>
      </c>
      <c r="P389" s="369" t="e">
        <f t="shared" si="193"/>
        <v>#REF!</v>
      </c>
      <c r="Q389" s="392" t="e">
        <f t="shared" si="193"/>
        <v>#REF!</v>
      </c>
      <c r="R389" s="369" t="e">
        <f t="shared" si="193"/>
        <v>#REF!</v>
      </c>
      <c r="S389" s="369" t="e">
        <f t="shared" si="193"/>
        <v>#REF!</v>
      </c>
      <c r="T389" s="369" t="e">
        <f t="shared" si="193"/>
        <v>#REF!</v>
      </c>
      <c r="U389" s="371" t="e">
        <f t="shared" si="193"/>
        <v>#REF!</v>
      </c>
      <c r="V389" s="371" t="e">
        <f t="shared" si="193"/>
        <v>#REF!</v>
      </c>
      <c r="W389" s="371" t="e">
        <f t="shared" si="193"/>
        <v>#REF!</v>
      </c>
      <c r="X389" s="371" t="e">
        <f t="shared" si="193"/>
        <v>#REF!</v>
      </c>
      <c r="Y389" s="372"/>
      <c r="Z389" s="372"/>
      <c r="AA389" s="372"/>
      <c r="AB389" s="372"/>
      <c r="AC389" s="372"/>
      <c r="AD389" s="372"/>
      <c r="AE389" s="372"/>
      <c r="AF389" s="372"/>
      <c r="AG389" s="372"/>
      <c r="AH389" s="372"/>
      <c r="AI389" s="372"/>
      <c r="AJ389" s="372"/>
      <c r="AK389" s="372"/>
      <c r="AL389" s="372"/>
    </row>
    <row r="390" spans="1:38" ht="20.25" customHeight="1" x14ac:dyDescent="0.25">
      <c r="A390" s="80"/>
      <c r="B390" s="80"/>
      <c r="C390" s="80"/>
      <c r="D390" s="80"/>
      <c r="E390" s="80">
        <v>3221</v>
      </c>
      <c r="F390" s="81" t="s">
        <v>548</v>
      </c>
      <c r="G390" s="82" t="e">
        <f>SUMIF(#REF!,funkcijska!$E390,#REF!)</f>
        <v>#REF!</v>
      </c>
      <c r="H390" s="82" t="e">
        <f>SUMIF(#REF!,funkcijska!$E390,#REF!)</f>
        <v>#REF!</v>
      </c>
      <c r="I390" s="82" t="e">
        <f>SUMIF(#REF!,funkcijska!$E390,#REF!)</f>
        <v>#REF!</v>
      </c>
      <c r="J390" s="82" t="e">
        <f>SUMIF(#REF!,funkcijska!$E390,#REF!)</f>
        <v>#REF!</v>
      </c>
      <c r="K390" s="82" t="e">
        <f>SUMIF(#REF!,funkcijska!$E390,#REF!)</f>
        <v>#REF!</v>
      </c>
      <c r="L390" s="82" t="e">
        <f t="shared" ref="L390:L395" si="194">ROUND(K390/J390*100,2)</f>
        <v>#REF!</v>
      </c>
      <c r="M390" s="82" t="e">
        <f t="shared" ref="M390:M395" si="195">N390-J390</f>
        <v>#REF!</v>
      </c>
      <c r="N390" s="82" t="e">
        <f>SUMIF(#REF!,funkcijska!$E390,#REF!)</f>
        <v>#REF!</v>
      </c>
      <c r="O390" s="82" t="e">
        <f>SUMIF(#REF!,funkcijska!$E390,#REF!)</f>
        <v>#REF!</v>
      </c>
      <c r="P390" s="82" t="e">
        <f>SUMIF(#REF!,funkcijska!$E390,#REF!)</f>
        <v>#REF!</v>
      </c>
      <c r="Q390" s="386" t="e">
        <f>SUMIF(#REF!,funkcijska!$E390,#REF!)</f>
        <v>#REF!</v>
      </c>
      <c r="R390" s="82" t="e">
        <f>SUMIF(#REF!,funkcijska!$E390,#REF!)</f>
        <v>#REF!</v>
      </c>
      <c r="S390" s="82" t="e">
        <f>SUMIF(#REF!,funkcijska!$E390,#REF!)</f>
        <v>#REF!</v>
      </c>
      <c r="T390" s="82" t="e">
        <f>SUMIF(#REF!,funkcijska!$E$28,#REF!)</f>
        <v>#REF!</v>
      </c>
      <c r="U390" s="357" t="e">
        <f>SUMIF(#REF!,funkcijska!$E390,#REF!)</f>
        <v>#REF!</v>
      </c>
      <c r="V390" s="357" t="e">
        <f>SUMIF(#REF!,funkcijska!$E390,#REF!)+SUMIF(#REF!,funkcijska!$E390,#REF!)</f>
        <v>#REF!</v>
      </c>
      <c r="W390" s="357" t="e">
        <f>SUMIF(#REF!,funkcijska!$E390,#REF!)+SUMIF(#REF!,funkcijska!$E390,#REF!)</f>
        <v>#REF!</v>
      </c>
      <c r="X390" s="357" t="e">
        <f>SUMIF(#REF!,funkcijska!$E390,#REF!)+SUMIF(#REF!,funkcijska!$E390,#REF!)</f>
        <v>#REF!</v>
      </c>
      <c r="AD390" s="60"/>
      <c r="AE390" s="60"/>
      <c r="AF390" s="60"/>
      <c r="AG390" s="60"/>
      <c r="AH390" s="60"/>
      <c r="AI390" s="60"/>
      <c r="AJ390" s="60"/>
      <c r="AK390" s="60"/>
      <c r="AL390" s="60"/>
    </row>
    <row r="391" spans="1:38" ht="16.5" customHeight="1" x14ac:dyDescent="0.25">
      <c r="A391" s="80"/>
      <c r="B391" s="80"/>
      <c r="C391" s="80"/>
      <c r="D391" s="80"/>
      <c r="E391" s="80">
        <v>3222</v>
      </c>
      <c r="F391" s="81" t="s">
        <v>474</v>
      </c>
      <c r="G391" s="82" t="e">
        <f>SUMIF(#REF!,funkcijska!$E391,#REF!)</f>
        <v>#REF!</v>
      </c>
      <c r="H391" s="82" t="e">
        <f>SUMIF(#REF!,funkcijska!$E391,#REF!)</f>
        <v>#REF!</v>
      </c>
      <c r="I391" s="82" t="e">
        <f>SUMIF(#REF!,funkcijska!$E391,#REF!)</f>
        <v>#REF!</v>
      </c>
      <c r="J391" s="82" t="e">
        <f>SUMIF(#REF!,funkcijska!$E391,#REF!)</f>
        <v>#REF!</v>
      </c>
      <c r="K391" s="82" t="e">
        <f>SUMIF(#REF!,funkcijska!$E391,#REF!)</f>
        <v>#REF!</v>
      </c>
      <c r="L391" s="82" t="e">
        <f t="shared" si="194"/>
        <v>#REF!</v>
      </c>
      <c r="M391" s="82" t="e">
        <f t="shared" si="195"/>
        <v>#REF!</v>
      </c>
      <c r="N391" s="82" t="e">
        <f>SUMIF(#REF!,funkcijska!$E391,#REF!)</f>
        <v>#REF!</v>
      </c>
      <c r="O391" s="82" t="e">
        <f>SUMIF(#REF!,funkcijska!$E391,#REF!)</f>
        <v>#REF!</v>
      </c>
      <c r="P391" s="82" t="e">
        <f>SUMIF(#REF!,funkcijska!$E391,#REF!)</f>
        <v>#REF!</v>
      </c>
      <c r="Q391" s="386" t="e">
        <f>SUMIF(#REF!,funkcijska!$E391,#REF!)</f>
        <v>#REF!</v>
      </c>
      <c r="R391" s="82" t="e">
        <f>SUMIF(#REF!,funkcijska!$E391,#REF!)</f>
        <v>#REF!</v>
      </c>
      <c r="S391" s="82" t="e">
        <f>SUMIF(#REF!,funkcijska!$E391,#REF!)</f>
        <v>#REF!</v>
      </c>
      <c r="T391" s="82" t="e">
        <f>SUMIF(#REF!,funkcijska!$E$29,#REF!)</f>
        <v>#REF!</v>
      </c>
      <c r="U391" s="357" t="e">
        <f>SUMIF(#REF!,funkcijska!$E391,#REF!)</f>
        <v>#REF!</v>
      </c>
      <c r="V391" s="357" t="e">
        <f>SUMIF(#REF!,funkcijska!$E391,#REF!)+SUMIF(#REF!,funkcijska!$E391,#REF!)</f>
        <v>#REF!</v>
      </c>
      <c r="W391" s="357" t="e">
        <f>SUMIF(#REF!,funkcijska!$E391,#REF!)+SUMIF(#REF!,funkcijska!$E391,#REF!)</f>
        <v>#REF!</v>
      </c>
      <c r="X391" s="357" t="e">
        <f>SUMIF(#REF!,funkcijska!$E391,#REF!)+SUMIF(#REF!,funkcijska!$E391,#REF!)</f>
        <v>#REF!</v>
      </c>
      <c r="AD391" s="60"/>
      <c r="AE391" s="60"/>
      <c r="AF391" s="60"/>
      <c r="AG391" s="60"/>
      <c r="AH391" s="60"/>
      <c r="AI391" s="60"/>
      <c r="AJ391" s="60"/>
      <c r="AK391" s="60"/>
      <c r="AL391" s="60"/>
    </row>
    <row r="392" spans="1:38" ht="16.5" customHeight="1" x14ac:dyDescent="0.25">
      <c r="A392" s="80"/>
      <c r="B392" s="80"/>
      <c r="C392" s="80"/>
      <c r="D392" s="80"/>
      <c r="E392" s="80">
        <v>3223</v>
      </c>
      <c r="F392" s="81" t="s">
        <v>204</v>
      </c>
      <c r="G392" s="82" t="e">
        <f>SUMIF(#REF!,funkcijska!$E392,#REF!)</f>
        <v>#REF!</v>
      </c>
      <c r="H392" s="82" t="e">
        <f>SUMIF(#REF!,funkcijska!$E392,#REF!)</f>
        <v>#REF!</v>
      </c>
      <c r="I392" s="82" t="e">
        <f>SUMIF(#REF!,funkcijska!$E392,#REF!)</f>
        <v>#REF!</v>
      </c>
      <c r="J392" s="82" t="e">
        <f>SUMIF(#REF!,funkcijska!$E392,#REF!)</f>
        <v>#REF!</v>
      </c>
      <c r="K392" s="82" t="e">
        <f>SUMIF(#REF!,funkcijska!$E392,#REF!)</f>
        <v>#REF!</v>
      </c>
      <c r="L392" s="82" t="e">
        <f t="shared" si="194"/>
        <v>#REF!</v>
      </c>
      <c r="M392" s="82" t="e">
        <f t="shared" si="195"/>
        <v>#REF!</v>
      </c>
      <c r="N392" s="82" t="e">
        <f>SUMIF(#REF!,funkcijska!$E392,#REF!)</f>
        <v>#REF!</v>
      </c>
      <c r="O392" s="82" t="e">
        <f>SUMIF(#REF!,funkcijska!$E392,#REF!)</f>
        <v>#REF!</v>
      </c>
      <c r="P392" s="82" t="e">
        <f>SUMIF(#REF!,funkcijska!$E392,#REF!)</f>
        <v>#REF!</v>
      </c>
      <c r="Q392" s="386" t="e">
        <f>SUMIF(#REF!,funkcijska!$E392,#REF!)</f>
        <v>#REF!</v>
      </c>
      <c r="R392" s="82" t="e">
        <f>SUMIF(#REF!,funkcijska!$E392,#REF!)</f>
        <v>#REF!</v>
      </c>
      <c r="S392" s="82" t="e">
        <f>SUMIF(#REF!,funkcijska!$E392,#REF!)</f>
        <v>#REF!</v>
      </c>
      <c r="T392" s="82" t="e">
        <f>SUMIF(#REF!,funkcijska!$E$30,#REF!)</f>
        <v>#REF!</v>
      </c>
      <c r="U392" s="357" t="e">
        <f>SUMIF(#REF!,funkcijska!$E392,#REF!)</f>
        <v>#REF!</v>
      </c>
      <c r="V392" s="357" t="e">
        <f>SUMIF(#REF!,funkcijska!$E392,#REF!)+SUMIF(#REF!,funkcijska!$E392,#REF!)</f>
        <v>#REF!</v>
      </c>
      <c r="W392" s="357" t="e">
        <f>SUMIF(#REF!,funkcijska!$E392,#REF!)+SUMIF(#REF!,funkcijska!$E392,#REF!)</f>
        <v>#REF!</v>
      </c>
      <c r="X392" s="357" t="e">
        <f>SUMIF(#REF!,funkcijska!$E392,#REF!)+SUMIF(#REF!,funkcijska!$E392,#REF!)</f>
        <v>#REF!</v>
      </c>
      <c r="AD392" s="60"/>
      <c r="AE392" s="60"/>
      <c r="AF392" s="60"/>
      <c r="AG392" s="60"/>
      <c r="AH392" s="60"/>
      <c r="AI392" s="60"/>
      <c r="AJ392" s="60"/>
      <c r="AK392" s="60"/>
      <c r="AL392" s="60"/>
    </row>
    <row r="393" spans="1:38" ht="36.75" customHeight="1" x14ac:dyDescent="0.25">
      <c r="A393" s="80"/>
      <c r="B393" s="80"/>
      <c r="C393" s="80"/>
      <c r="D393" s="80"/>
      <c r="E393" s="80">
        <v>3224</v>
      </c>
      <c r="F393" s="81" t="s">
        <v>853</v>
      </c>
      <c r="G393" s="82" t="e">
        <f>SUMIF(#REF!,funkcijska!$E393,#REF!)</f>
        <v>#REF!</v>
      </c>
      <c r="H393" s="82" t="e">
        <f>SUMIF(#REF!,funkcijska!$E393,#REF!)</f>
        <v>#REF!</v>
      </c>
      <c r="I393" s="82" t="e">
        <f>SUMIF(#REF!,funkcijska!$E393,#REF!)</f>
        <v>#REF!</v>
      </c>
      <c r="J393" s="82" t="e">
        <f>SUMIF(#REF!,funkcijska!$E393,#REF!)</f>
        <v>#REF!</v>
      </c>
      <c r="K393" s="82" t="e">
        <f>SUMIF(#REF!,funkcijska!$E393,#REF!)</f>
        <v>#REF!</v>
      </c>
      <c r="L393" s="82" t="e">
        <f t="shared" si="194"/>
        <v>#REF!</v>
      </c>
      <c r="M393" s="82" t="e">
        <f t="shared" si="195"/>
        <v>#REF!</v>
      </c>
      <c r="N393" s="82" t="e">
        <f>SUMIF(#REF!,funkcijska!$E393,#REF!)</f>
        <v>#REF!</v>
      </c>
      <c r="O393" s="82" t="e">
        <f>SUMIF(#REF!,funkcijska!$E393,#REF!)</f>
        <v>#REF!</v>
      </c>
      <c r="P393" s="82" t="e">
        <f>SUMIF(#REF!,funkcijska!$E393,#REF!)</f>
        <v>#REF!</v>
      </c>
      <c r="Q393" s="386" t="e">
        <f>SUMIF(#REF!,funkcijska!$E393,#REF!)</f>
        <v>#REF!</v>
      </c>
      <c r="R393" s="82" t="e">
        <f>SUMIF(#REF!,funkcijska!$E393,#REF!)</f>
        <v>#REF!</v>
      </c>
      <c r="S393" s="82" t="e">
        <f>SUMIF(#REF!,funkcijska!$E393,#REF!)</f>
        <v>#REF!</v>
      </c>
      <c r="T393" s="82" t="e">
        <f>SUMIF(#REF!,funkcijska!$E$31,#REF!)</f>
        <v>#REF!</v>
      </c>
      <c r="U393" s="357" t="e">
        <f>SUMIF(#REF!,funkcijska!$E393,#REF!)</f>
        <v>#REF!</v>
      </c>
      <c r="V393" s="357" t="e">
        <f>SUMIF(#REF!,funkcijska!$E393,#REF!)+SUMIF(#REF!,funkcijska!$E393,#REF!)</f>
        <v>#REF!</v>
      </c>
      <c r="W393" s="357" t="e">
        <f>SUMIF(#REF!,funkcijska!$E393,#REF!)+SUMIF(#REF!,funkcijska!$E393,#REF!)</f>
        <v>#REF!</v>
      </c>
      <c r="X393" s="357" t="e">
        <f>SUMIF(#REF!,funkcijska!$E393,#REF!)+SUMIF(#REF!,funkcijska!$E393,#REF!)</f>
        <v>#REF!</v>
      </c>
      <c r="AD393" s="60"/>
      <c r="AE393" s="60"/>
      <c r="AF393" s="60"/>
      <c r="AG393" s="60"/>
      <c r="AH393" s="60"/>
      <c r="AI393" s="60"/>
      <c r="AJ393" s="60"/>
      <c r="AK393" s="60"/>
      <c r="AL393" s="60"/>
    </row>
    <row r="394" spans="1:38" ht="16.5" customHeight="1" x14ac:dyDescent="0.25">
      <c r="A394" s="80"/>
      <c r="B394" s="80"/>
      <c r="C394" s="80"/>
      <c r="D394" s="80"/>
      <c r="E394" s="80">
        <v>3225</v>
      </c>
      <c r="F394" s="81" t="s">
        <v>205</v>
      </c>
      <c r="G394" s="82" t="e">
        <f>SUMIF(#REF!,funkcijska!$E394,#REF!)</f>
        <v>#REF!</v>
      </c>
      <c r="H394" s="82" t="e">
        <f>SUMIF(#REF!,funkcijska!$E394,#REF!)</f>
        <v>#REF!</v>
      </c>
      <c r="I394" s="82" t="e">
        <f>SUMIF(#REF!,funkcijska!$E394,#REF!)</f>
        <v>#REF!</v>
      </c>
      <c r="J394" s="82" t="e">
        <f>SUMIF(#REF!,funkcijska!$E394,#REF!)</f>
        <v>#REF!</v>
      </c>
      <c r="K394" s="82" t="e">
        <f>SUMIF(#REF!,funkcijska!$E394,#REF!)</f>
        <v>#REF!</v>
      </c>
      <c r="L394" s="82" t="e">
        <f t="shared" si="194"/>
        <v>#REF!</v>
      </c>
      <c r="M394" s="82" t="e">
        <f t="shared" si="195"/>
        <v>#REF!</v>
      </c>
      <c r="N394" s="82" t="e">
        <f>SUMIF(#REF!,funkcijska!$E394,#REF!)</f>
        <v>#REF!</v>
      </c>
      <c r="O394" s="82" t="e">
        <f>SUMIF(#REF!,funkcijska!$E394,#REF!)</f>
        <v>#REF!</v>
      </c>
      <c r="P394" s="82" t="e">
        <f>SUMIF(#REF!,funkcijska!$E394,#REF!)</f>
        <v>#REF!</v>
      </c>
      <c r="Q394" s="386" t="e">
        <f>SUMIF(#REF!,funkcijska!$E394,#REF!)</f>
        <v>#REF!</v>
      </c>
      <c r="R394" s="82" t="e">
        <f>SUMIF(#REF!,funkcijska!$E394,#REF!)</f>
        <v>#REF!</v>
      </c>
      <c r="S394" s="82" t="e">
        <f>SUMIF(#REF!,funkcijska!$E394,#REF!)</f>
        <v>#REF!</v>
      </c>
      <c r="T394" s="82" t="e">
        <f>SUMIF(#REF!,funkcijska!$E$32,#REF!)</f>
        <v>#REF!</v>
      </c>
      <c r="U394" s="357" t="e">
        <f>SUMIF(#REF!,funkcijska!$E394,#REF!)</f>
        <v>#REF!</v>
      </c>
      <c r="V394" s="357" t="e">
        <f>SUMIF(#REF!,funkcijska!$E394,#REF!)+SUMIF(#REF!,funkcijska!$E394,#REF!)</f>
        <v>#REF!</v>
      </c>
      <c r="W394" s="357" t="e">
        <f>SUMIF(#REF!,funkcijska!$E394,#REF!)+SUMIF(#REF!,funkcijska!$E394,#REF!)</f>
        <v>#REF!</v>
      </c>
      <c r="X394" s="357" t="e">
        <f>SUMIF(#REF!,funkcijska!$E394,#REF!)+SUMIF(#REF!,funkcijska!$E394,#REF!)</f>
        <v>#REF!</v>
      </c>
      <c r="AD394" s="60"/>
      <c r="AE394" s="60"/>
      <c r="AF394" s="60"/>
      <c r="AG394" s="60"/>
      <c r="AH394" s="60"/>
      <c r="AI394" s="60"/>
      <c r="AJ394" s="60"/>
      <c r="AK394" s="60"/>
      <c r="AL394" s="60"/>
    </row>
    <row r="395" spans="1:38" ht="16.5" customHeight="1" x14ac:dyDescent="0.25">
      <c r="A395" s="80"/>
      <c r="B395" s="80"/>
      <c r="C395" s="80"/>
      <c r="D395" s="80"/>
      <c r="E395" s="131">
        <v>3227</v>
      </c>
      <c r="F395" s="132" t="s">
        <v>646</v>
      </c>
      <c r="G395" s="82" t="e">
        <f>SUMIF(#REF!,funkcijska!$E395,#REF!)</f>
        <v>#REF!</v>
      </c>
      <c r="H395" s="82" t="e">
        <f>SUMIF(#REF!,funkcijska!$E395,#REF!)</f>
        <v>#REF!</v>
      </c>
      <c r="I395" s="82" t="e">
        <f>SUMIF(#REF!,funkcijska!$E395,#REF!)</f>
        <v>#REF!</v>
      </c>
      <c r="J395" s="82" t="e">
        <f>SUMIF(#REF!,funkcijska!$E395,#REF!)</f>
        <v>#REF!</v>
      </c>
      <c r="K395" s="82" t="e">
        <f>SUMIF(#REF!,funkcijska!$E395,#REF!)</f>
        <v>#REF!</v>
      </c>
      <c r="L395" s="82" t="e">
        <f t="shared" si="194"/>
        <v>#REF!</v>
      </c>
      <c r="M395" s="82" t="e">
        <f t="shared" si="195"/>
        <v>#REF!</v>
      </c>
      <c r="N395" s="82" t="e">
        <f>SUMIF(#REF!,funkcijska!$E395,#REF!)</f>
        <v>#REF!</v>
      </c>
      <c r="O395" s="82" t="e">
        <f>SUMIF(#REF!,funkcijska!$E395,#REF!)</f>
        <v>#REF!</v>
      </c>
      <c r="P395" s="82" t="e">
        <f>SUMIF(#REF!,funkcijska!$E395,#REF!)</f>
        <v>#REF!</v>
      </c>
      <c r="Q395" s="386" t="e">
        <f>SUMIF(#REF!,funkcijska!$E395,#REF!)</f>
        <v>#REF!</v>
      </c>
      <c r="R395" s="82" t="e">
        <f>SUMIF(#REF!,funkcijska!$E395,#REF!)</f>
        <v>#REF!</v>
      </c>
      <c r="S395" s="82" t="e">
        <f>SUMIF(#REF!,funkcijska!$E395,#REF!)</f>
        <v>#REF!</v>
      </c>
      <c r="T395" s="82" t="e">
        <f>SUMIF(#REF!,funkcijska!$E$33,#REF!)</f>
        <v>#REF!</v>
      </c>
      <c r="U395" s="357" t="e">
        <f>SUMIF(#REF!,funkcijska!$E395,#REF!)</f>
        <v>#REF!</v>
      </c>
      <c r="V395" s="357" t="e">
        <f>SUMIF(#REF!,funkcijska!$E395,#REF!)+SUMIF(#REF!,funkcijska!$E395,#REF!)</f>
        <v>#REF!</v>
      </c>
      <c r="W395" s="357" t="e">
        <f>SUMIF(#REF!,funkcijska!$E395,#REF!)+SUMIF(#REF!,funkcijska!$E395,#REF!)</f>
        <v>#REF!</v>
      </c>
      <c r="X395" s="357" t="e">
        <f>SUMIF(#REF!,funkcijska!$E395,#REF!)+SUMIF(#REF!,funkcijska!$E395,#REF!)</f>
        <v>#REF!</v>
      </c>
      <c r="AD395" s="60"/>
      <c r="AE395" s="60"/>
      <c r="AF395" s="60"/>
      <c r="AG395" s="60"/>
      <c r="AH395" s="60"/>
      <c r="AI395" s="60"/>
      <c r="AJ395" s="60"/>
      <c r="AK395" s="60"/>
      <c r="AL395" s="60"/>
    </row>
    <row r="396" spans="1:38" s="373" customFormat="1" ht="20.25" customHeight="1" x14ac:dyDescent="0.25">
      <c r="A396" s="119"/>
      <c r="B396" s="119"/>
      <c r="C396" s="119"/>
      <c r="D396" s="119" t="str">
        <f>LEFT(E397,3)</f>
        <v>323</v>
      </c>
      <c r="E396" s="119"/>
      <c r="F396" s="368" t="s">
        <v>526</v>
      </c>
      <c r="G396" s="369" t="e">
        <f t="shared" ref="G396:X396" si="196">SUM(G397:G405)</f>
        <v>#REF!</v>
      </c>
      <c r="H396" s="370" t="e">
        <f t="shared" si="196"/>
        <v>#REF!</v>
      </c>
      <c r="I396" s="369" t="e">
        <f t="shared" si="196"/>
        <v>#REF!</v>
      </c>
      <c r="J396" s="369" t="e">
        <f t="shared" si="196"/>
        <v>#REF!</v>
      </c>
      <c r="K396" s="369" t="e">
        <f t="shared" si="196"/>
        <v>#REF!</v>
      </c>
      <c r="L396" s="369" t="e">
        <f t="shared" si="196"/>
        <v>#REF!</v>
      </c>
      <c r="M396" s="369" t="e">
        <f t="shared" si="196"/>
        <v>#REF!</v>
      </c>
      <c r="N396" s="369" t="e">
        <f t="shared" si="196"/>
        <v>#REF!</v>
      </c>
      <c r="O396" s="369" t="e">
        <f t="shared" si="196"/>
        <v>#REF!</v>
      </c>
      <c r="P396" s="369" t="e">
        <f t="shared" si="196"/>
        <v>#REF!</v>
      </c>
      <c r="Q396" s="392" t="e">
        <f t="shared" si="196"/>
        <v>#REF!</v>
      </c>
      <c r="R396" s="369" t="e">
        <f t="shared" si="196"/>
        <v>#REF!</v>
      </c>
      <c r="S396" s="369" t="e">
        <f t="shared" si="196"/>
        <v>#REF!</v>
      </c>
      <c r="T396" s="369" t="e">
        <f t="shared" si="196"/>
        <v>#REF!</v>
      </c>
      <c r="U396" s="371" t="e">
        <f t="shared" si="196"/>
        <v>#REF!</v>
      </c>
      <c r="V396" s="371" t="e">
        <f t="shared" si="196"/>
        <v>#REF!</v>
      </c>
      <c r="W396" s="371" t="e">
        <f t="shared" si="196"/>
        <v>#REF!</v>
      </c>
      <c r="X396" s="371" t="e">
        <f t="shared" si="196"/>
        <v>#REF!</v>
      </c>
      <c r="Y396" s="372"/>
      <c r="Z396" s="372"/>
      <c r="AA396" s="372"/>
      <c r="AB396" s="372"/>
      <c r="AC396" s="372"/>
      <c r="AD396" s="372"/>
      <c r="AE396" s="372"/>
      <c r="AF396" s="372"/>
      <c r="AG396" s="372"/>
      <c r="AH396" s="372"/>
      <c r="AI396" s="372"/>
      <c r="AJ396" s="372"/>
      <c r="AK396" s="372"/>
      <c r="AL396" s="372"/>
    </row>
    <row r="397" spans="1:38" ht="18" customHeight="1" x14ac:dyDescent="0.25">
      <c r="A397" s="80"/>
      <c r="B397" s="80"/>
      <c r="C397" s="80"/>
      <c r="D397" s="80"/>
      <c r="E397" s="80">
        <v>3231</v>
      </c>
      <c r="F397" s="81" t="s">
        <v>206</v>
      </c>
      <c r="G397" s="82" t="e">
        <f>SUMIF(#REF!,funkcijska!$E397,#REF!)</f>
        <v>#REF!</v>
      </c>
      <c r="H397" s="82" t="e">
        <f>SUMIF(#REF!,funkcijska!$E397,#REF!)</f>
        <v>#REF!</v>
      </c>
      <c r="I397" s="82" t="e">
        <f>SUMIF(#REF!,funkcijska!$E397,#REF!)</f>
        <v>#REF!</v>
      </c>
      <c r="J397" s="82" t="e">
        <f>SUMIF(#REF!,funkcijska!$E397,#REF!)</f>
        <v>#REF!</v>
      </c>
      <c r="K397" s="82" t="e">
        <f>SUMIF(#REF!,funkcijska!$E397,#REF!)</f>
        <v>#REF!</v>
      </c>
      <c r="L397" s="82" t="e">
        <f t="shared" ref="L397:L407" si="197">ROUND(K397/J397*100,2)</f>
        <v>#REF!</v>
      </c>
      <c r="M397" s="82" t="e">
        <f t="shared" ref="M397:M407" si="198">N397-J397</f>
        <v>#REF!</v>
      </c>
      <c r="N397" s="102" t="e">
        <f>SUMIF(#REF!,funkcijska!$E397,#REF!)</f>
        <v>#REF!</v>
      </c>
      <c r="O397" s="82" t="e">
        <f>SUMIF(#REF!,funkcijska!$E397,#REF!)</f>
        <v>#REF!</v>
      </c>
      <c r="P397" s="82" t="e">
        <f>SUMIF(#REF!,funkcijska!$E397,#REF!)</f>
        <v>#REF!</v>
      </c>
      <c r="Q397" s="386" t="e">
        <f>SUMIF(#REF!,funkcijska!$E397,#REF!)</f>
        <v>#REF!</v>
      </c>
      <c r="R397" s="82" t="e">
        <f>SUMIF(#REF!,funkcijska!$E397,#REF!)</f>
        <v>#REF!</v>
      </c>
      <c r="S397" s="82" t="e">
        <f>SUMIF(#REF!,funkcijska!$E397,#REF!)</f>
        <v>#REF!</v>
      </c>
      <c r="T397" s="82" t="e">
        <f>SUMIF(#REF!,funkcijska!$E$35,#REF!)</f>
        <v>#REF!</v>
      </c>
      <c r="U397" s="357" t="e">
        <f>SUMIF(#REF!,funkcijska!$E397,#REF!)</f>
        <v>#REF!</v>
      </c>
      <c r="V397" s="357" t="e">
        <f>SUMIF(#REF!,funkcijska!$E397,#REF!)+SUMIF(#REF!,funkcijska!$E397,#REF!)</f>
        <v>#REF!</v>
      </c>
      <c r="W397" s="357" t="e">
        <f>SUMIF(#REF!,funkcijska!$E397,#REF!)+SUMIF(#REF!,funkcijska!$E397,#REF!)</f>
        <v>#REF!</v>
      </c>
      <c r="X397" s="357" t="e">
        <f>SUMIF(#REF!,funkcijska!$E397,#REF!)+SUMIF(#REF!,funkcijska!$E397,#REF!)</f>
        <v>#REF!</v>
      </c>
      <c r="AD397" s="60"/>
      <c r="AE397" s="60"/>
      <c r="AF397" s="60"/>
      <c r="AG397" s="60"/>
      <c r="AH397" s="60"/>
      <c r="AI397" s="60"/>
      <c r="AJ397" s="60"/>
      <c r="AK397" s="60"/>
      <c r="AL397" s="60"/>
    </row>
    <row r="398" spans="1:38" ht="18" customHeight="1" x14ac:dyDescent="0.25">
      <c r="A398" s="80"/>
      <c r="B398" s="80"/>
      <c r="C398" s="80"/>
      <c r="D398" s="80"/>
      <c r="E398" s="80">
        <v>3232</v>
      </c>
      <c r="F398" s="81" t="s">
        <v>207</v>
      </c>
      <c r="G398" s="82" t="e">
        <f>SUMIF(#REF!,funkcijska!$E398,#REF!)</f>
        <v>#REF!</v>
      </c>
      <c r="H398" s="82" t="e">
        <f>SUMIF(#REF!,funkcijska!$E398,#REF!)</f>
        <v>#REF!</v>
      </c>
      <c r="I398" s="82" t="e">
        <f>SUMIF(#REF!,funkcijska!$E398,#REF!)</f>
        <v>#REF!</v>
      </c>
      <c r="J398" s="82" t="e">
        <f>SUMIF(#REF!,funkcijska!$E398,#REF!)</f>
        <v>#REF!</v>
      </c>
      <c r="K398" s="82" t="e">
        <f>SUMIF(#REF!,funkcijska!$E398,#REF!)</f>
        <v>#REF!</v>
      </c>
      <c r="L398" s="82" t="e">
        <f t="shared" si="197"/>
        <v>#REF!</v>
      </c>
      <c r="M398" s="82" t="e">
        <f t="shared" si="198"/>
        <v>#REF!</v>
      </c>
      <c r="N398" s="82" t="e">
        <f>SUMIF(#REF!,funkcijska!$E398,#REF!)</f>
        <v>#REF!</v>
      </c>
      <c r="O398" s="82" t="e">
        <f>SUMIF(#REF!,funkcijska!$E398,#REF!)</f>
        <v>#REF!</v>
      </c>
      <c r="P398" s="82" t="e">
        <f>SUMIF(#REF!,funkcijska!$E398,#REF!)</f>
        <v>#REF!</v>
      </c>
      <c r="Q398" s="386" t="e">
        <f>SUMIF(#REF!,funkcijska!$E398,#REF!)</f>
        <v>#REF!</v>
      </c>
      <c r="R398" s="82" t="e">
        <f>SUMIF(#REF!,funkcijska!$E398,#REF!)</f>
        <v>#REF!</v>
      </c>
      <c r="S398" s="82" t="e">
        <f>SUMIF(#REF!,funkcijska!$E398,#REF!)</f>
        <v>#REF!</v>
      </c>
      <c r="T398" s="82" t="e">
        <f>SUMIF(#REF!,funkcijska!$E$36,#REF!)</f>
        <v>#REF!</v>
      </c>
      <c r="U398" s="357" t="e">
        <f>SUMIF(#REF!,funkcijska!$E398,#REF!)</f>
        <v>#REF!</v>
      </c>
      <c r="V398" s="357" t="e">
        <f>SUMIF(#REF!,funkcijska!$E398,#REF!)+SUMIF(#REF!,funkcijska!$E398,#REF!)</f>
        <v>#REF!</v>
      </c>
      <c r="W398" s="357" t="e">
        <f>SUMIF(#REF!,funkcijska!$E398,#REF!)+SUMIF(#REF!,funkcijska!$E398,#REF!)</f>
        <v>#REF!</v>
      </c>
      <c r="X398" s="357" t="e">
        <f>SUMIF(#REF!,funkcijska!$E398,#REF!)+SUMIF(#REF!,funkcijska!$E398,#REF!)</f>
        <v>#REF!</v>
      </c>
      <c r="AD398" s="60"/>
      <c r="AE398" s="60"/>
      <c r="AF398" s="60"/>
      <c r="AG398" s="60"/>
      <c r="AH398" s="60"/>
      <c r="AI398" s="60"/>
      <c r="AJ398" s="60"/>
      <c r="AK398" s="60"/>
      <c r="AL398" s="60"/>
    </row>
    <row r="399" spans="1:38" ht="19.5" customHeight="1" x14ac:dyDescent="0.25">
      <c r="A399" s="80"/>
      <c r="B399" s="80"/>
      <c r="C399" s="80"/>
      <c r="D399" s="80"/>
      <c r="E399" s="80">
        <v>3233</v>
      </c>
      <c r="F399" s="81" t="s">
        <v>528</v>
      </c>
      <c r="G399" s="82" t="e">
        <f>SUMIF(#REF!,funkcijska!$E399,#REF!)</f>
        <v>#REF!</v>
      </c>
      <c r="H399" s="82" t="e">
        <f>SUMIF(#REF!,funkcijska!$E399,#REF!)</f>
        <v>#REF!</v>
      </c>
      <c r="I399" s="82" t="e">
        <f>SUMIF(#REF!,funkcijska!$E399,#REF!)</f>
        <v>#REF!</v>
      </c>
      <c r="J399" s="82" t="e">
        <f>SUMIF(#REF!,funkcijska!$E399,#REF!)</f>
        <v>#REF!</v>
      </c>
      <c r="K399" s="82" t="e">
        <f>SUMIF(#REF!,funkcijska!$E399,#REF!)</f>
        <v>#REF!</v>
      </c>
      <c r="L399" s="82" t="e">
        <f t="shared" si="197"/>
        <v>#REF!</v>
      </c>
      <c r="M399" s="82" t="e">
        <f t="shared" si="198"/>
        <v>#REF!</v>
      </c>
      <c r="N399" s="102" t="e">
        <f>SUMIF(#REF!,funkcijska!$E399,#REF!)</f>
        <v>#REF!</v>
      </c>
      <c r="O399" s="82" t="e">
        <f>SUMIF(#REF!,funkcijska!$E399,#REF!)</f>
        <v>#REF!</v>
      </c>
      <c r="P399" s="82" t="e">
        <f>SUMIF(#REF!,funkcijska!$E399,#REF!)</f>
        <v>#REF!</v>
      </c>
      <c r="Q399" s="386" t="e">
        <f>SUMIF(#REF!,funkcijska!$E399,#REF!)</f>
        <v>#REF!</v>
      </c>
      <c r="R399" s="82" t="e">
        <f>SUMIF(#REF!,funkcijska!$E399,#REF!)</f>
        <v>#REF!</v>
      </c>
      <c r="S399" s="82" t="e">
        <f>SUMIF(#REF!,funkcijska!$E399,#REF!)</f>
        <v>#REF!</v>
      </c>
      <c r="T399" s="82" t="e">
        <f>SUMIF(#REF!,funkcijska!$E$37,#REF!)</f>
        <v>#REF!</v>
      </c>
      <c r="U399" s="357" t="e">
        <f>SUMIF(#REF!,funkcijska!$E399,#REF!)</f>
        <v>#REF!</v>
      </c>
      <c r="V399" s="357" t="e">
        <f>SUMIF(#REF!,funkcijska!$E399,#REF!)+SUMIF(#REF!,funkcijska!$E399,#REF!)</f>
        <v>#REF!</v>
      </c>
      <c r="W399" s="357" t="e">
        <f>SUMIF(#REF!,funkcijska!$E399,#REF!)+SUMIF(#REF!,funkcijska!$E399,#REF!)</f>
        <v>#REF!</v>
      </c>
      <c r="X399" s="357" t="e">
        <f>SUMIF(#REF!,funkcijska!$E399,#REF!)+SUMIF(#REF!,funkcijska!$E399,#REF!)</f>
        <v>#REF!</v>
      </c>
      <c r="AD399" s="60"/>
      <c r="AE399" s="60"/>
      <c r="AF399" s="60"/>
      <c r="AG399" s="60"/>
      <c r="AH399" s="60"/>
      <c r="AI399" s="60"/>
      <c r="AJ399" s="60"/>
      <c r="AK399" s="60"/>
      <c r="AL399" s="60"/>
    </row>
    <row r="400" spans="1:38" ht="18.75" customHeight="1" x14ac:dyDescent="0.25">
      <c r="A400" s="80"/>
      <c r="B400" s="80"/>
      <c r="C400" s="80"/>
      <c r="D400" s="80"/>
      <c r="E400" s="80">
        <v>3234</v>
      </c>
      <c r="F400" s="81" t="s">
        <v>238</v>
      </c>
      <c r="G400" s="82" t="e">
        <f>SUMIF(#REF!,funkcijska!$E400,#REF!)</f>
        <v>#REF!</v>
      </c>
      <c r="H400" s="82" t="e">
        <f>SUMIF(#REF!,funkcijska!$E400,#REF!)</f>
        <v>#REF!</v>
      </c>
      <c r="I400" s="82" t="e">
        <f>SUMIF(#REF!,funkcijska!$E400,#REF!)</f>
        <v>#REF!</v>
      </c>
      <c r="J400" s="82" t="e">
        <f>SUMIF(#REF!,funkcijska!$E400,#REF!)</f>
        <v>#REF!</v>
      </c>
      <c r="K400" s="82" t="e">
        <f>SUMIF(#REF!,funkcijska!$E400,#REF!)</f>
        <v>#REF!</v>
      </c>
      <c r="L400" s="82" t="e">
        <f t="shared" si="197"/>
        <v>#REF!</v>
      </c>
      <c r="M400" s="82" t="e">
        <f t="shared" si="198"/>
        <v>#REF!</v>
      </c>
      <c r="N400" s="102" t="e">
        <f>SUMIF(#REF!,funkcijska!$E400,#REF!)</f>
        <v>#REF!</v>
      </c>
      <c r="O400" s="82" t="e">
        <f>SUMIF(#REF!,funkcijska!$E400,#REF!)</f>
        <v>#REF!</v>
      </c>
      <c r="P400" s="82" t="e">
        <f>SUMIF(#REF!,funkcijska!$E400,#REF!)</f>
        <v>#REF!</v>
      </c>
      <c r="Q400" s="386" t="e">
        <f>SUMIF(#REF!,funkcijska!$E400,#REF!)</f>
        <v>#REF!</v>
      </c>
      <c r="R400" s="82" t="e">
        <f>SUMIF(#REF!,funkcijska!$E400,#REF!)</f>
        <v>#REF!</v>
      </c>
      <c r="S400" s="82" t="e">
        <f>SUMIF(#REF!,funkcijska!$E400,#REF!)</f>
        <v>#REF!</v>
      </c>
      <c r="T400" s="82" t="e">
        <f>SUMIF(#REF!,funkcijska!$E$38,#REF!)</f>
        <v>#REF!</v>
      </c>
      <c r="U400" s="357" t="e">
        <f>SUMIF(#REF!,funkcijska!$E400,#REF!)</f>
        <v>#REF!</v>
      </c>
      <c r="V400" s="357" t="e">
        <f>SUMIF(#REF!,funkcijska!$E400,#REF!)+SUMIF(#REF!,funkcijska!$E400,#REF!)</f>
        <v>#REF!</v>
      </c>
      <c r="W400" s="357" t="e">
        <f>SUMIF(#REF!,funkcijska!$E400,#REF!)+SUMIF(#REF!,funkcijska!$E400,#REF!)</f>
        <v>#REF!</v>
      </c>
      <c r="X400" s="357" t="e">
        <f>SUMIF(#REF!,funkcijska!$E400,#REF!)+SUMIF(#REF!,funkcijska!$E400,#REF!)</f>
        <v>#REF!</v>
      </c>
      <c r="AD400" s="60"/>
      <c r="AE400" s="60"/>
      <c r="AF400" s="60"/>
      <c r="AG400" s="60"/>
      <c r="AH400" s="60"/>
      <c r="AI400" s="60"/>
      <c r="AJ400" s="60"/>
      <c r="AK400" s="60"/>
      <c r="AL400" s="60"/>
    </row>
    <row r="401" spans="1:38" ht="21" customHeight="1" x14ac:dyDescent="0.25">
      <c r="A401" s="80"/>
      <c r="B401" s="80"/>
      <c r="C401" s="80"/>
      <c r="D401" s="80"/>
      <c r="E401" s="80">
        <v>3235</v>
      </c>
      <c r="F401" s="81" t="s">
        <v>640</v>
      </c>
      <c r="G401" s="82" t="e">
        <f>SUMIF(#REF!,funkcijska!$E401,#REF!)</f>
        <v>#REF!</v>
      </c>
      <c r="H401" s="82" t="e">
        <f>SUMIF(#REF!,funkcijska!$E401,#REF!)</f>
        <v>#REF!</v>
      </c>
      <c r="I401" s="82" t="e">
        <f>SUMIF(#REF!,funkcijska!$E401,#REF!)</f>
        <v>#REF!</v>
      </c>
      <c r="J401" s="82" t="e">
        <f>SUMIF(#REF!,funkcijska!$E401,#REF!)</f>
        <v>#REF!</v>
      </c>
      <c r="K401" s="82" t="e">
        <f>SUMIF(#REF!,funkcijska!$E401,#REF!)</f>
        <v>#REF!</v>
      </c>
      <c r="L401" s="82" t="e">
        <f t="shared" si="197"/>
        <v>#REF!</v>
      </c>
      <c r="M401" s="82" t="e">
        <f t="shared" si="198"/>
        <v>#REF!</v>
      </c>
      <c r="N401" s="102" t="e">
        <f>SUMIF(#REF!,funkcijska!$E401,#REF!)</f>
        <v>#REF!</v>
      </c>
      <c r="O401" s="82" t="e">
        <f>SUMIF(#REF!,funkcijska!$E401,#REF!)</f>
        <v>#REF!</v>
      </c>
      <c r="P401" s="82" t="e">
        <f>SUMIF(#REF!,funkcijska!$E401,#REF!)</f>
        <v>#REF!</v>
      </c>
      <c r="Q401" s="386" t="e">
        <f>SUMIF(#REF!,funkcijska!$E401,#REF!)</f>
        <v>#REF!</v>
      </c>
      <c r="R401" s="82" t="e">
        <f>SUMIF(#REF!,funkcijska!$E401,#REF!)</f>
        <v>#REF!</v>
      </c>
      <c r="S401" s="82" t="e">
        <f>SUMIF(#REF!,funkcijska!$E401,#REF!)</f>
        <v>#REF!</v>
      </c>
      <c r="T401" s="82" t="e">
        <f>SUMIF(#REF!,funkcijska!$E$39,#REF!)</f>
        <v>#REF!</v>
      </c>
      <c r="U401" s="357" t="e">
        <f>SUMIF(#REF!,funkcijska!$E401,#REF!)</f>
        <v>#REF!</v>
      </c>
      <c r="V401" s="357" t="e">
        <f>SUMIF(#REF!,funkcijska!$E401,#REF!)+SUMIF(#REF!,funkcijska!$E401,#REF!)</f>
        <v>#REF!</v>
      </c>
      <c r="W401" s="357" t="e">
        <f>SUMIF(#REF!,funkcijska!$E401,#REF!)+SUMIF(#REF!,funkcijska!$E401,#REF!)</f>
        <v>#REF!</v>
      </c>
      <c r="X401" s="357" t="e">
        <f>SUMIF(#REF!,funkcijska!$E401,#REF!)+SUMIF(#REF!,funkcijska!$E401,#REF!)</f>
        <v>#REF!</v>
      </c>
      <c r="AD401" s="60"/>
      <c r="AE401" s="60"/>
      <c r="AF401" s="60"/>
      <c r="AG401" s="60"/>
      <c r="AH401" s="60"/>
      <c r="AI401" s="60"/>
      <c r="AJ401" s="60"/>
      <c r="AK401" s="60"/>
      <c r="AL401" s="60"/>
    </row>
    <row r="402" spans="1:38" ht="20.25" customHeight="1" x14ac:dyDescent="0.25">
      <c r="A402" s="80"/>
      <c r="B402" s="80"/>
      <c r="C402" s="80"/>
      <c r="D402" s="80"/>
      <c r="E402" s="80">
        <v>3236</v>
      </c>
      <c r="F402" s="81" t="s">
        <v>843</v>
      </c>
      <c r="G402" s="82" t="e">
        <f>SUMIF(#REF!,funkcijska!$E402,#REF!)</f>
        <v>#REF!</v>
      </c>
      <c r="H402" s="82" t="e">
        <f>SUMIF(#REF!,funkcijska!$E402,#REF!)</f>
        <v>#REF!</v>
      </c>
      <c r="I402" s="82" t="e">
        <f>SUMIF(#REF!,funkcijska!$E402,#REF!)</f>
        <v>#REF!</v>
      </c>
      <c r="J402" s="82" t="e">
        <f>SUMIF(#REF!,funkcijska!$E402,#REF!)</f>
        <v>#REF!</v>
      </c>
      <c r="K402" s="82" t="e">
        <f>SUMIF(#REF!,funkcijska!$E402,#REF!)</f>
        <v>#REF!</v>
      </c>
      <c r="L402" s="82" t="e">
        <f t="shared" si="197"/>
        <v>#REF!</v>
      </c>
      <c r="M402" s="82" t="e">
        <f t="shared" si="198"/>
        <v>#REF!</v>
      </c>
      <c r="N402" s="102" t="e">
        <f>SUMIF(#REF!,funkcijska!$E402,#REF!)</f>
        <v>#REF!</v>
      </c>
      <c r="O402" s="82" t="e">
        <f>SUMIF(#REF!,funkcijska!$E402,#REF!)</f>
        <v>#REF!</v>
      </c>
      <c r="P402" s="82" t="e">
        <f>SUMIF(#REF!,funkcijska!$E402,#REF!)</f>
        <v>#REF!</v>
      </c>
      <c r="Q402" s="386" t="e">
        <f>SUMIF(#REF!,funkcijska!$E402,#REF!)</f>
        <v>#REF!</v>
      </c>
      <c r="R402" s="82" t="e">
        <f>SUMIF(#REF!,funkcijska!$E402,#REF!)</f>
        <v>#REF!</v>
      </c>
      <c r="S402" s="82" t="e">
        <f>SUMIF(#REF!,funkcijska!$E402,#REF!)</f>
        <v>#REF!</v>
      </c>
      <c r="T402" s="82" t="e">
        <f>SUMIF(#REF!,funkcijska!$E$40,#REF!)</f>
        <v>#REF!</v>
      </c>
      <c r="U402" s="357" t="e">
        <f>SUMIF(#REF!,funkcijska!$E402,#REF!)</f>
        <v>#REF!</v>
      </c>
      <c r="V402" s="357" t="e">
        <f>SUMIF(#REF!,funkcijska!$E402,#REF!)+SUMIF(#REF!,funkcijska!$E402,#REF!)</f>
        <v>#REF!</v>
      </c>
      <c r="W402" s="357" t="e">
        <f>SUMIF(#REF!,funkcijska!$E402,#REF!)+SUMIF(#REF!,funkcijska!$E402,#REF!)</f>
        <v>#REF!</v>
      </c>
      <c r="X402" s="357" t="e">
        <f>SUMIF(#REF!,funkcijska!$E402,#REF!)+SUMIF(#REF!,funkcijska!$E402,#REF!)</f>
        <v>#REF!</v>
      </c>
      <c r="AD402" s="60"/>
      <c r="AE402" s="60"/>
      <c r="AF402" s="60"/>
      <c r="AG402" s="60"/>
      <c r="AH402" s="60"/>
      <c r="AI402" s="60"/>
      <c r="AJ402" s="60"/>
      <c r="AK402" s="60"/>
      <c r="AL402" s="60"/>
    </row>
    <row r="403" spans="1:38" ht="20.25" customHeight="1" x14ac:dyDescent="0.25">
      <c r="A403" s="80"/>
      <c r="B403" s="80"/>
      <c r="C403" s="80"/>
      <c r="D403" s="80"/>
      <c r="E403" s="80">
        <v>3237</v>
      </c>
      <c r="F403" s="81" t="s">
        <v>566</v>
      </c>
      <c r="G403" s="82" t="e">
        <f>SUMIF(#REF!,funkcijska!$E403,#REF!)</f>
        <v>#REF!</v>
      </c>
      <c r="H403" s="82" t="e">
        <f>SUMIF(#REF!,funkcijska!$E403,#REF!)</f>
        <v>#REF!</v>
      </c>
      <c r="I403" s="82" t="e">
        <f>SUMIF(#REF!,funkcijska!$E403,#REF!)</f>
        <v>#REF!</v>
      </c>
      <c r="J403" s="82" t="e">
        <f>SUMIF(#REF!,funkcijska!$E403,#REF!)</f>
        <v>#REF!</v>
      </c>
      <c r="K403" s="82" t="e">
        <f>SUMIF(#REF!,funkcijska!$E403,#REF!)</f>
        <v>#REF!</v>
      </c>
      <c r="L403" s="82" t="e">
        <f t="shared" si="197"/>
        <v>#REF!</v>
      </c>
      <c r="M403" s="82" t="e">
        <f t="shared" si="198"/>
        <v>#REF!</v>
      </c>
      <c r="N403" s="102" t="e">
        <f>SUMIF(#REF!,funkcijska!$E403,#REF!)</f>
        <v>#REF!</v>
      </c>
      <c r="O403" s="82" t="e">
        <f>SUMIF(#REF!,funkcijska!$E403,#REF!)</f>
        <v>#REF!</v>
      </c>
      <c r="P403" s="82" t="e">
        <f>SUMIF(#REF!,funkcijska!$E403,#REF!)</f>
        <v>#REF!</v>
      </c>
      <c r="Q403" s="386" t="e">
        <f>SUMIF(#REF!,funkcijska!$E403,#REF!)</f>
        <v>#REF!</v>
      </c>
      <c r="R403" s="82" t="e">
        <f>SUMIF(#REF!,funkcijska!$E403,#REF!)</f>
        <v>#REF!</v>
      </c>
      <c r="S403" s="82" t="e">
        <f>SUMIF(#REF!,funkcijska!$E403,#REF!)</f>
        <v>#REF!</v>
      </c>
      <c r="T403" s="82" t="e">
        <f>SUMIF(#REF!,funkcijska!$E$41,#REF!)</f>
        <v>#REF!</v>
      </c>
      <c r="U403" s="357" t="e">
        <f>SUMIF(#REF!,funkcijska!$E403,#REF!)</f>
        <v>#REF!</v>
      </c>
      <c r="V403" s="357" t="e">
        <f>SUMIF(#REF!,funkcijska!$E403,#REF!)+SUMIF(#REF!,funkcijska!$E403,#REF!)</f>
        <v>#REF!</v>
      </c>
      <c r="W403" s="357" t="e">
        <f>SUMIF(#REF!,funkcijska!$E403,#REF!)+SUMIF(#REF!,funkcijska!$E403,#REF!)</f>
        <v>#REF!</v>
      </c>
      <c r="X403" s="357" t="e">
        <f>SUMIF(#REF!,funkcijska!$E403,#REF!)+SUMIF(#REF!,funkcijska!$E403,#REF!)</f>
        <v>#REF!</v>
      </c>
      <c r="AD403" s="60"/>
      <c r="AE403" s="60"/>
      <c r="AF403" s="60"/>
      <c r="AG403" s="60"/>
      <c r="AH403" s="60"/>
      <c r="AI403" s="60"/>
      <c r="AJ403" s="60"/>
      <c r="AK403" s="60"/>
      <c r="AL403" s="60"/>
    </row>
    <row r="404" spans="1:38" ht="16.5" customHeight="1" x14ac:dyDescent="0.25">
      <c r="A404" s="80"/>
      <c r="B404" s="80"/>
      <c r="C404" s="80"/>
      <c r="D404" s="80"/>
      <c r="E404" s="80">
        <v>3238</v>
      </c>
      <c r="F404" s="81" t="s">
        <v>398</v>
      </c>
      <c r="G404" s="82" t="e">
        <f>SUMIF(#REF!,funkcijska!$E404,#REF!)</f>
        <v>#REF!</v>
      </c>
      <c r="H404" s="82" t="e">
        <f>SUMIF(#REF!,funkcijska!$E404,#REF!)</f>
        <v>#REF!</v>
      </c>
      <c r="I404" s="82" t="e">
        <f>SUMIF(#REF!,funkcijska!$E404,#REF!)</f>
        <v>#REF!</v>
      </c>
      <c r="J404" s="82" t="e">
        <f>SUMIF(#REF!,funkcijska!$E404,#REF!)</f>
        <v>#REF!</v>
      </c>
      <c r="K404" s="82" t="e">
        <f>SUMIF(#REF!,funkcijska!$E404,#REF!)</f>
        <v>#REF!</v>
      </c>
      <c r="L404" s="82" t="e">
        <f t="shared" si="197"/>
        <v>#REF!</v>
      </c>
      <c r="M404" s="82" t="e">
        <f t="shared" si="198"/>
        <v>#REF!</v>
      </c>
      <c r="N404" s="82" t="e">
        <f>SUMIF(#REF!,funkcijska!$E404,#REF!)</f>
        <v>#REF!</v>
      </c>
      <c r="O404" s="82" t="e">
        <f>SUMIF(#REF!,funkcijska!$E404,#REF!)</f>
        <v>#REF!</v>
      </c>
      <c r="P404" s="82" t="e">
        <f>SUMIF(#REF!,funkcijska!$E404,#REF!)</f>
        <v>#REF!</v>
      </c>
      <c r="Q404" s="386" t="e">
        <f>SUMIF(#REF!,funkcijska!$E404,#REF!)</f>
        <v>#REF!</v>
      </c>
      <c r="R404" s="82" t="e">
        <f>SUMIF(#REF!,funkcijska!$E404,#REF!)</f>
        <v>#REF!</v>
      </c>
      <c r="S404" s="82" t="e">
        <f>SUMIF(#REF!,funkcijska!$E404,#REF!)</f>
        <v>#REF!</v>
      </c>
      <c r="T404" s="82" t="e">
        <f>SUMIF(#REF!,funkcijska!$E$42,#REF!)</f>
        <v>#REF!</v>
      </c>
      <c r="U404" s="357" t="e">
        <f>SUMIF(#REF!,funkcijska!$E404,#REF!)</f>
        <v>#REF!</v>
      </c>
      <c r="V404" s="357" t="e">
        <f>SUMIF(#REF!,funkcijska!$E404,#REF!)+SUMIF(#REF!,funkcijska!$E404,#REF!)</f>
        <v>#REF!</v>
      </c>
      <c r="W404" s="357" t="e">
        <f>SUMIF(#REF!,funkcijska!$E404,#REF!)+SUMIF(#REF!,funkcijska!$E404,#REF!)</f>
        <v>#REF!</v>
      </c>
      <c r="X404" s="357" t="e">
        <f>SUMIF(#REF!,funkcijska!$E404,#REF!)+SUMIF(#REF!,funkcijska!$E404,#REF!)</f>
        <v>#REF!</v>
      </c>
      <c r="AD404" s="60"/>
      <c r="AE404" s="60"/>
      <c r="AF404" s="60"/>
      <c r="AG404" s="60"/>
      <c r="AH404" s="60"/>
      <c r="AI404" s="60"/>
      <c r="AJ404" s="60"/>
      <c r="AK404" s="60"/>
      <c r="AL404" s="60"/>
    </row>
    <row r="405" spans="1:38" ht="18" customHeight="1" x14ac:dyDescent="0.25">
      <c r="A405" s="80"/>
      <c r="B405" s="80"/>
      <c r="C405" s="80"/>
      <c r="D405" s="80"/>
      <c r="E405" s="80">
        <v>3239</v>
      </c>
      <c r="F405" s="81" t="s">
        <v>1017</v>
      </c>
      <c r="G405" s="82" t="e">
        <f>SUMIF(#REF!,funkcijska!$E405,#REF!)</f>
        <v>#REF!</v>
      </c>
      <c r="H405" s="82" t="e">
        <f>SUMIF(#REF!,funkcijska!$E405,#REF!)</f>
        <v>#REF!</v>
      </c>
      <c r="I405" s="82" t="e">
        <f>SUMIF(#REF!,funkcijska!$E405,#REF!)</f>
        <v>#REF!</v>
      </c>
      <c r="J405" s="82" t="e">
        <f>SUMIF(#REF!,funkcijska!$E405,#REF!)</f>
        <v>#REF!</v>
      </c>
      <c r="K405" s="82" t="e">
        <f>SUMIF(#REF!,funkcijska!$E405,#REF!)</f>
        <v>#REF!</v>
      </c>
      <c r="L405" s="82" t="e">
        <f t="shared" si="197"/>
        <v>#REF!</v>
      </c>
      <c r="M405" s="82" t="e">
        <f t="shared" si="198"/>
        <v>#REF!</v>
      </c>
      <c r="N405" s="82" t="e">
        <f>SUMIF(#REF!,funkcijska!$E405,#REF!)</f>
        <v>#REF!</v>
      </c>
      <c r="O405" s="82" t="e">
        <f>SUMIF(#REF!,funkcijska!$E405,#REF!)</f>
        <v>#REF!</v>
      </c>
      <c r="P405" s="82" t="e">
        <f>SUMIF(#REF!,funkcijska!$E405,#REF!)</f>
        <v>#REF!</v>
      </c>
      <c r="Q405" s="386" t="e">
        <f>SUMIF(#REF!,funkcijska!$E405,#REF!)</f>
        <v>#REF!</v>
      </c>
      <c r="R405" s="82" t="e">
        <f>SUMIF(#REF!,funkcijska!$E405,#REF!)</f>
        <v>#REF!</v>
      </c>
      <c r="S405" s="82" t="e">
        <f>SUMIF(#REF!,funkcijska!$E405,#REF!)</f>
        <v>#REF!</v>
      </c>
      <c r="T405" s="82" t="e">
        <f>SUMIF(#REF!,funkcijska!$E$43,#REF!)</f>
        <v>#REF!</v>
      </c>
      <c r="U405" s="357" t="e">
        <f>SUMIF(#REF!,funkcijska!$E405,#REF!)</f>
        <v>#REF!</v>
      </c>
      <c r="V405" s="357" t="e">
        <f>SUMIF(#REF!,funkcijska!$E405,#REF!)+SUMIF(#REF!,funkcijska!$E405,#REF!)</f>
        <v>#REF!</v>
      </c>
      <c r="W405" s="357" t="e">
        <f>SUMIF(#REF!,funkcijska!$E405,#REF!)+SUMIF(#REF!,funkcijska!$E405,#REF!)</f>
        <v>#REF!</v>
      </c>
      <c r="X405" s="357" t="e">
        <f>SUMIF(#REF!,funkcijska!$E405,#REF!)+SUMIF(#REF!,funkcijska!$E405,#REF!)</f>
        <v>#REF!</v>
      </c>
      <c r="AD405" s="60"/>
      <c r="AE405" s="60"/>
      <c r="AF405" s="60"/>
      <c r="AG405" s="60"/>
      <c r="AH405" s="60"/>
      <c r="AI405" s="60"/>
      <c r="AJ405" s="60"/>
      <c r="AK405" s="60"/>
      <c r="AL405" s="60"/>
    </row>
    <row r="406" spans="1:38" s="376" customFormat="1" ht="18.75" customHeight="1" x14ac:dyDescent="0.25">
      <c r="A406" s="119"/>
      <c r="B406" s="119"/>
      <c r="C406" s="119"/>
      <c r="D406" s="119">
        <v>324</v>
      </c>
      <c r="E406" s="119"/>
      <c r="F406" s="368" t="s">
        <v>530</v>
      </c>
      <c r="G406" s="137" t="e">
        <f>G407</f>
        <v>#REF!</v>
      </c>
      <c r="H406" s="137" t="e">
        <f>H407</f>
        <v>#REF!</v>
      </c>
      <c r="I406" s="137" t="e">
        <f>I407</f>
        <v>#REF!</v>
      </c>
      <c r="J406" s="137" t="e">
        <f>J407</f>
        <v>#REF!</v>
      </c>
      <c r="K406" s="137" t="e">
        <f>K407</f>
        <v>#REF!</v>
      </c>
      <c r="L406" s="137" t="e">
        <f t="shared" si="197"/>
        <v>#REF!</v>
      </c>
      <c r="M406" s="137" t="e">
        <f t="shared" si="198"/>
        <v>#REF!</v>
      </c>
      <c r="N406" s="137" t="e">
        <f t="shared" ref="N406:X406" si="199">N407</f>
        <v>#REF!</v>
      </c>
      <c r="O406" s="137" t="e">
        <f t="shared" si="199"/>
        <v>#REF!</v>
      </c>
      <c r="P406" s="137" t="e">
        <f t="shared" si="199"/>
        <v>#REF!</v>
      </c>
      <c r="Q406" s="393" t="e">
        <f t="shared" si="199"/>
        <v>#REF!</v>
      </c>
      <c r="R406" s="137" t="e">
        <f t="shared" si="199"/>
        <v>#REF!</v>
      </c>
      <c r="S406" s="137" t="e">
        <f t="shared" si="199"/>
        <v>#REF!</v>
      </c>
      <c r="T406" s="137" t="e">
        <f t="shared" si="199"/>
        <v>#REF!</v>
      </c>
      <c r="U406" s="371" t="e">
        <f t="shared" si="199"/>
        <v>#REF!</v>
      </c>
      <c r="V406" s="371" t="e">
        <f t="shared" si="199"/>
        <v>#REF!</v>
      </c>
      <c r="W406" s="371" t="e">
        <f t="shared" si="199"/>
        <v>#REF!</v>
      </c>
      <c r="X406" s="371" t="e">
        <f t="shared" si="199"/>
        <v>#REF!</v>
      </c>
      <c r="Y406" s="372"/>
      <c r="Z406" s="372"/>
      <c r="AA406" s="372"/>
      <c r="AB406" s="372"/>
      <c r="AC406" s="372"/>
      <c r="AD406" s="375"/>
      <c r="AE406" s="375"/>
      <c r="AF406" s="375"/>
      <c r="AG406" s="375"/>
      <c r="AH406" s="375"/>
      <c r="AI406" s="375"/>
      <c r="AJ406" s="375"/>
      <c r="AK406" s="375"/>
      <c r="AL406" s="375"/>
    </row>
    <row r="407" spans="1:38" ht="16.5" customHeight="1" x14ac:dyDescent="0.25">
      <c r="A407" s="133"/>
      <c r="B407" s="133"/>
      <c r="C407" s="133"/>
      <c r="D407" s="133"/>
      <c r="E407" s="133">
        <v>3241</v>
      </c>
      <c r="F407" s="134" t="s">
        <v>530</v>
      </c>
      <c r="G407" s="82" t="e">
        <f>SUMIF(#REF!,funkcijska!$E407,#REF!)</f>
        <v>#REF!</v>
      </c>
      <c r="H407" s="82" t="e">
        <f>SUMIF(#REF!,funkcijska!$E407,#REF!)</f>
        <v>#REF!</v>
      </c>
      <c r="I407" s="82" t="e">
        <f>SUMIF(#REF!,funkcijska!$E407,#REF!)</f>
        <v>#REF!</v>
      </c>
      <c r="J407" s="82" t="e">
        <f>SUMIF(#REF!,funkcijska!$E407,#REF!)</f>
        <v>#REF!</v>
      </c>
      <c r="K407" s="82" t="e">
        <f>SUMIF(#REF!,funkcijska!$E407,#REF!)</f>
        <v>#REF!</v>
      </c>
      <c r="L407" s="82" t="e">
        <f t="shared" si="197"/>
        <v>#REF!</v>
      </c>
      <c r="M407" s="82" t="e">
        <f t="shared" si="198"/>
        <v>#REF!</v>
      </c>
      <c r="N407" s="82" t="e">
        <f>SUMIF(#REF!,funkcijska!$E407,#REF!)</f>
        <v>#REF!</v>
      </c>
      <c r="O407" s="82" t="e">
        <f>SUMIF(#REF!,funkcijska!$E407,#REF!)</f>
        <v>#REF!</v>
      </c>
      <c r="P407" s="82" t="e">
        <f>SUMIF(#REF!,funkcijska!$E407,#REF!)</f>
        <v>#REF!</v>
      </c>
      <c r="Q407" s="386" t="e">
        <f>SUMIF(#REF!,funkcijska!$E407,#REF!)</f>
        <v>#REF!</v>
      </c>
      <c r="R407" s="82" t="e">
        <f>SUMIF(#REF!,funkcijska!$E407,#REF!)</f>
        <v>#REF!</v>
      </c>
      <c r="S407" s="82" t="e">
        <f>SUMIF(#REF!,funkcijska!$E407,#REF!)</f>
        <v>#REF!</v>
      </c>
      <c r="T407" s="82" t="e">
        <f>SUMIF(#REF!,funkcijska!$E$45,#REF!)</f>
        <v>#REF!</v>
      </c>
      <c r="U407" s="357" t="e">
        <f>SUMIF(#REF!,funkcijska!$E407,#REF!)</f>
        <v>#REF!</v>
      </c>
      <c r="V407" s="357" t="e">
        <f>SUMIF(#REF!,funkcijska!$E407,#REF!)+SUMIF(#REF!,funkcijska!$E407,#REF!)</f>
        <v>#REF!</v>
      </c>
      <c r="W407" s="357" t="e">
        <f>SUMIF(#REF!,funkcijska!$E407,#REF!)+SUMIF(#REF!,funkcijska!$E407,#REF!)</f>
        <v>#REF!</v>
      </c>
      <c r="X407" s="357" t="e">
        <f>SUMIF(#REF!,funkcijska!$E407,#REF!)+SUMIF(#REF!,funkcijska!$E407,#REF!)</f>
        <v>#REF!</v>
      </c>
      <c r="AD407" s="300"/>
      <c r="AE407" s="300"/>
      <c r="AF407" s="300"/>
      <c r="AG407" s="300"/>
      <c r="AH407" s="300"/>
      <c r="AI407" s="300"/>
      <c r="AJ407" s="300"/>
      <c r="AK407" s="60"/>
      <c r="AL407" s="60"/>
    </row>
    <row r="408" spans="1:38" s="376" customFormat="1" ht="16.5" customHeight="1" x14ac:dyDescent="0.25">
      <c r="A408" s="119"/>
      <c r="B408" s="119"/>
      <c r="C408" s="119"/>
      <c r="D408" s="119" t="str">
        <f>LEFT(E409,3)</f>
        <v>329</v>
      </c>
      <c r="E408" s="119"/>
      <c r="F408" s="368" t="s">
        <v>531</v>
      </c>
      <c r="G408" s="369" t="e">
        <f t="shared" ref="G408:X408" si="200">SUM(G409:G414)</f>
        <v>#REF!</v>
      </c>
      <c r="H408" s="370" t="e">
        <f t="shared" si="200"/>
        <v>#REF!</v>
      </c>
      <c r="I408" s="369" t="e">
        <f t="shared" si="200"/>
        <v>#REF!</v>
      </c>
      <c r="J408" s="369" t="e">
        <f t="shared" si="200"/>
        <v>#REF!</v>
      </c>
      <c r="K408" s="369" t="e">
        <f t="shared" si="200"/>
        <v>#REF!</v>
      </c>
      <c r="L408" s="369" t="e">
        <f t="shared" si="200"/>
        <v>#REF!</v>
      </c>
      <c r="M408" s="369" t="e">
        <f t="shared" si="200"/>
        <v>#REF!</v>
      </c>
      <c r="N408" s="369" t="e">
        <f t="shared" si="200"/>
        <v>#REF!</v>
      </c>
      <c r="O408" s="369" t="e">
        <f t="shared" si="200"/>
        <v>#REF!</v>
      </c>
      <c r="P408" s="369" t="e">
        <f t="shared" si="200"/>
        <v>#REF!</v>
      </c>
      <c r="Q408" s="392" t="e">
        <f t="shared" si="200"/>
        <v>#REF!</v>
      </c>
      <c r="R408" s="369" t="e">
        <f t="shared" si="200"/>
        <v>#REF!</v>
      </c>
      <c r="S408" s="369" t="e">
        <f t="shared" si="200"/>
        <v>#REF!</v>
      </c>
      <c r="T408" s="369" t="e">
        <f t="shared" si="200"/>
        <v>#REF!</v>
      </c>
      <c r="U408" s="371" t="e">
        <f t="shared" si="200"/>
        <v>#REF!</v>
      </c>
      <c r="V408" s="371" t="e">
        <f t="shared" si="200"/>
        <v>#REF!</v>
      </c>
      <c r="W408" s="371" t="e">
        <f t="shared" si="200"/>
        <v>#REF!</v>
      </c>
      <c r="X408" s="371" t="e">
        <f t="shared" si="200"/>
        <v>#REF!</v>
      </c>
      <c r="Y408" s="372"/>
      <c r="Z408" s="372"/>
      <c r="AA408" s="372"/>
      <c r="AB408" s="372"/>
      <c r="AC408" s="372"/>
      <c r="AD408" s="377"/>
      <c r="AE408" s="377"/>
      <c r="AF408" s="377"/>
      <c r="AG408" s="377"/>
      <c r="AH408" s="377"/>
      <c r="AI408" s="377"/>
      <c r="AJ408" s="377"/>
      <c r="AK408" s="375"/>
      <c r="AL408" s="375"/>
    </row>
    <row r="409" spans="1:38" ht="36.75" customHeight="1" x14ac:dyDescent="0.25">
      <c r="A409" s="133"/>
      <c r="B409" s="133"/>
      <c r="C409" s="133"/>
      <c r="D409" s="133"/>
      <c r="E409" s="133">
        <v>3291</v>
      </c>
      <c r="F409" s="134" t="s">
        <v>532</v>
      </c>
      <c r="G409" s="82" t="e">
        <f>SUMIF(#REF!,funkcijska!$E409,#REF!)</f>
        <v>#REF!</v>
      </c>
      <c r="H409" s="82" t="e">
        <f>SUMIF(#REF!,funkcijska!$E409,#REF!)</f>
        <v>#REF!</v>
      </c>
      <c r="I409" s="82" t="e">
        <f>SUMIF(#REF!,funkcijska!$E409,#REF!)</f>
        <v>#REF!</v>
      </c>
      <c r="J409" s="82" t="e">
        <f>SUMIF(#REF!,funkcijska!$E409,#REF!)</f>
        <v>#REF!</v>
      </c>
      <c r="K409" s="82" t="e">
        <f>SUMIF(#REF!,funkcijska!$E409,#REF!)</f>
        <v>#REF!</v>
      </c>
      <c r="L409" s="82" t="e">
        <f t="shared" ref="L409:L417" si="201">ROUND(K409/J409*100,2)</f>
        <v>#REF!</v>
      </c>
      <c r="M409" s="82" t="e">
        <f t="shared" ref="M409:M417" si="202">N409-J409</f>
        <v>#REF!</v>
      </c>
      <c r="N409" s="82" t="e">
        <f>SUMIF(#REF!,funkcijska!$E409,#REF!)</f>
        <v>#REF!</v>
      </c>
      <c r="O409" s="82" t="e">
        <f>SUMIF(#REF!,funkcijska!$E409,#REF!)</f>
        <v>#REF!</v>
      </c>
      <c r="P409" s="82" t="e">
        <f>SUMIF(#REF!,funkcijska!$E409,#REF!)</f>
        <v>#REF!</v>
      </c>
      <c r="Q409" s="386" t="e">
        <f>SUMIF(#REF!,funkcijska!$E409,#REF!)</f>
        <v>#REF!</v>
      </c>
      <c r="R409" s="82" t="e">
        <f>SUMIF(#REF!,funkcijska!$E409,#REF!)</f>
        <v>#REF!</v>
      </c>
      <c r="S409" s="82" t="e">
        <f>SUMIF(#REF!,funkcijska!$E409,#REF!)</f>
        <v>#REF!</v>
      </c>
      <c r="T409" s="82" t="e">
        <f>SUMIF(#REF!,funkcijska!$E$47,#REF!)</f>
        <v>#REF!</v>
      </c>
      <c r="U409" s="357" t="e">
        <f>SUMIF(#REF!,funkcijska!$E409,#REF!)</f>
        <v>#REF!</v>
      </c>
      <c r="V409" s="357" t="e">
        <f>SUMIF(#REF!,funkcijska!$E409,#REF!)+SUMIF(#REF!,funkcijska!$E409,#REF!)</f>
        <v>#REF!</v>
      </c>
      <c r="W409" s="357" t="e">
        <f>SUMIF(#REF!,funkcijska!$E409,#REF!)+SUMIF(#REF!,funkcijska!$E409,#REF!)</f>
        <v>#REF!</v>
      </c>
      <c r="X409" s="357" t="e">
        <f>SUMIF(#REF!,funkcijska!$E409,#REF!)+SUMIF(#REF!,funkcijska!$E409,#REF!)</f>
        <v>#REF!</v>
      </c>
      <c r="AD409" s="300"/>
      <c r="AE409" s="300"/>
      <c r="AF409" s="300"/>
      <c r="AG409" s="300"/>
      <c r="AH409" s="300"/>
      <c r="AI409" s="300"/>
      <c r="AJ409" s="300"/>
      <c r="AK409" s="60"/>
      <c r="AL409" s="60"/>
    </row>
    <row r="410" spans="1:38" ht="18.75" customHeight="1" x14ac:dyDescent="0.25">
      <c r="A410" s="80"/>
      <c r="B410" s="80"/>
      <c r="C410" s="80"/>
      <c r="D410" s="80"/>
      <c r="E410" s="80">
        <v>3292</v>
      </c>
      <c r="F410" s="81" t="s">
        <v>399</v>
      </c>
      <c r="G410" s="82" t="e">
        <f>SUMIF(#REF!,funkcijska!$E410,#REF!)</f>
        <v>#REF!</v>
      </c>
      <c r="H410" s="82" t="e">
        <f>SUMIF(#REF!,funkcijska!$E410,#REF!)</f>
        <v>#REF!</v>
      </c>
      <c r="I410" s="82" t="e">
        <f>SUMIF(#REF!,funkcijska!$E410,#REF!)</f>
        <v>#REF!</v>
      </c>
      <c r="J410" s="82" t="e">
        <f>SUMIF(#REF!,funkcijska!$E410,#REF!)</f>
        <v>#REF!</v>
      </c>
      <c r="K410" s="82" t="e">
        <f>SUMIF(#REF!,funkcijska!$E410,#REF!)</f>
        <v>#REF!</v>
      </c>
      <c r="L410" s="82" t="e">
        <f t="shared" si="201"/>
        <v>#REF!</v>
      </c>
      <c r="M410" s="82" t="e">
        <f t="shared" si="202"/>
        <v>#REF!</v>
      </c>
      <c r="N410" s="82" t="e">
        <f>SUMIF(#REF!,funkcijska!$E410,#REF!)</f>
        <v>#REF!</v>
      </c>
      <c r="O410" s="82" t="e">
        <f>SUMIF(#REF!,funkcijska!$E410,#REF!)</f>
        <v>#REF!</v>
      </c>
      <c r="P410" s="82" t="e">
        <f>SUMIF(#REF!,funkcijska!$E410,#REF!)</f>
        <v>#REF!</v>
      </c>
      <c r="Q410" s="386" t="e">
        <f>SUMIF(#REF!,funkcijska!$E410,#REF!)</f>
        <v>#REF!</v>
      </c>
      <c r="R410" s="82" t="e">
        <f>SUMIF(#REF!,funkcijska!$E410,#REF!)</f>
        <v>#REF!</v>
      </c>
      <c r="S410" s="82" t="e">
        <f>SUMIF(#REF!,funkcijska!$E410,#REF!)</f>
        <v>#REF!</v>
      </c>
      <c r="T410" s="82" t="e">
        <f>SUMIF(#REF!,funkcijska!$E$48,#REF!)</f>
        <v>#REF!</v>
      </c>
      <c r="U410" s="357" t="e">
        <f>SUMIF(#REF!,funkcijska!$E410,#REF!)</f>
        <v>#REF!</v>
      </c>
      <c r="V410" s="357" t="e">
        <f>SUMIF(#REF!,funkcijska!$E410,#REF!)+SUMIF(#REF!,funkcijska!$E410,#REF!)</f>
        <v>#REF!</v>
      </c>
      <c r="W410" s="357" t="e">
        <f>SUMIF(#REF!,funkcijska!$E410,#REF!)+SUMIF(#REF!,funkcijska!$E410,#REF!)</f>
        <v>#REF!</v>
      </c>
      <c r="X410" s="357" t="e">
        <f>SUMIF(#REF!,funkcijska!$E410,#REF!)+SUMIF(#REF!,funkcijska!$E410,#REF!)</f>
        <v>#REF!</v>
      </c>
      <c r="AD410" s="60"/>
      <c r="AE410" s="60"/>
      <c r="AF410" s="60"/>
      <c r="AG410" s="60"/>
      <c r="AH410" s="60"/>
      <c r="AI410" s="60"/>
      <c r="AJ410" s="60"/>
      <c r="AK410" s="60"/>
      <c r="AL410" s="60"/>
    </row>
    <row r="411" spans="1:38" ht="20.25" customHeight="1" x14ac:dyDescent="0.25">
      <c r="A411" s="80"/>
      <c r="B411" s="80"/>
      <c r="C411" s="80"/>
      <c r="D411" s="80"/>
      <c r="E411" s="80">
        <v>3293</v>
      </c>
      <c r="F411" s="81" t="s">
        <v>533</v>
      </c>
      <c r="G411" s="82" t="e">
        <f>SUMIF(#REF!,funkcijska!$E411,#REF!)</f>
        <v>#REF!</v>
      </c>
      <c r="H411" s="82" t="e">
        <f>SUMIF(#REF!,funkcijska!$E411,#REF!)</f>
        <v>#REF!</v>
      </c>
      <c r="I411" s="82" t="e">
        <f>SUMIF(#REF!,funkcijska!$E411,#REF!)</f>
        <v>#REF!</v>
      </c>
      <c r="J411" s="82" t="e">
        <f>SUMIF(#REF!,funkcijska!$E411,#REF!)</f>
        <v>#REF!</v>
      </c>
      <c r="K411" s="82" t="e">
        <f>SUMIF(#REF!,funkcijska!$E411,#REF!)</f>
        <v>#REF!</v>
      </c>
      <c r="L411" s="82" t="e">
        <f t="shared" si="201"/>
        <v>#REF!</v>
      </c>
      <c r="M411" s="82" t="e">
        <f t="shared" si="202"/>
        <v>#REF!</v>
      </c>
      <c r="N411" s="82" t="e">
        <f>SUMIF(#REF!,funkcijska!$E411,#REF!)</f>
        <v>#REF!</v>
      </c>
      <c r="O411" s="82" t="e">
        <f>SUMIF(#REF!,funkcijska!$E411,#REF!)</f>
        <v>#REF!</v>
      </c>
      <c r="P411" s="82" t="e">
        <f>SUMIF(#REF!,funkcijska!$E411,#REF!)</f>
        <v>#REF!</v>
      </c>
      <c r="Q411" s="386" t="e">
        <f>SUMIF(#REF!,funkcijska!$E411,#REF!)</f>
        <v>#REF!</v>
      </c>
      <c r="R411" s="82" t="e">
        <f>SUMIF(#REF!,funkcijska!$E411,#REF!)</f>
        <v>#REF!</v>
      </c>
      <c r="S411" s="82" t="e">
        <f>SUMIF(#REF!,funkcijska!$E411,#REF!)</f>
        <v>#REF!</v>
      </c>
      <c r="T411" s="82" t="e">
        <f>SUMIF(#REF!,funkcijska!$E$49,#REF!)</f>
        <v>#REF!</v>
      </c>
      <c r="U411" s="357" t="e">
        <f>SUMIF(#REF!,funkcijska!$E411,#REF!)</f>
        <v>#REF!</v>
      </c>
      <c r="V411" s="357" t="e">
        <f>SUMIF(#REF!,funkcijska!$E411,#REF!)+SUMIF(#REF!,funkcijska!$E411,#REF!)</f>
        <v>#REF!</v>
      </c>
      <c r="W411" s="357" t="e">
        <f>SUMIF(#REF!,funkcijska!$E411,#REF!)+SUMIF(#REF!,funkcijska!$E411,#REF!)</f>
        <v>#REF!</v>
      </c>
      <c r="X411" s="357" t="e">
        <f>SUMIF(#REF!,funkcijska!$E411,#REF!)+SUMIF(#REF!,funkcijska!$E411,#REF!)</f>
        <v>#REF!</v>
      </c>
      <c r="AD411" s="60"/>
      <c r="AE411" s="60"/>
      <c r="AF411" s="60"/>
      <c r="AG411" s="60"/>
      <c r="AH411" s="60"/>
      <c r="AI411" s="60"/>
      <c r="AJ411" s="60"/>
      <c r="AK411" s="60"/>
      <c r="AL411" s="60"/>
    </row>
    <row r="412" spans="1:38" ht="17.25" customHeight="1" x14ac:dyDescent="0.25">
      <c r="A412" s="80"/>
      <c r="B412" s="80"/>
      <c r="C412" s="80"/>
      <c r="D412" s="80"/>
      <c r="E412" s="80">
        <v>3294</v>
      </c>
      <c r="F412" s="81" t="s">
        <v>567</v>
      </c>
      <c r="G412" s="82" t="e">
        <f>SUMIF(#REF!,funkcijska!$E412,#REF!)</f>
        <v>#REF!</v>
      </c>
      <c r="H412" s="82" t="e">
        <f>SUMIF(#REF!,funkcijska!$E412,#REF!)</f>
        <v>#REF!</v>
      </c>
      <c r="I412" s="82" t="e">
        <f>SUMIF(#REF!,funkcijska!$E412,#REF!)</f>
        <v>#REF!</v>
      </c>
      <c r="J412" s="82" t="e">
        <f>SUMIF(#REF!,funkcijska!$E412,#REF!)</f>
        <v>#REF!</v>
      </c>
      <c r="K412" s="82" t="e">
        <f>SUMIF(#REF!,funkcijska!$E412,#REF!)</f>
        <v>#REF!</v>
      </c>
      <c r="L412" s="82" t="e">
        <f t="shared" si="201"/>
        <v>#REF!</v>
      </c>
      <c r="M412" s="82" t="e">
        <f t="shared" si="202"/>
        <v>#REF!</v>
      </c>
      <c r="N412" s="82" t="e">
        <f>SUMIF(#REF!,funkcijska!$E412,#REF!)</f>
        <v>#REF!</v>
      </c>
      <c r="O412" s="82" t="e">
        <f>SUMIF(#REF!,funkcijska!$E412,#REF!)</f>
        <v>#REF!</v>
      </c>
      <c r="P412" s="82" t="e">
        <f>SUMIF(#REF!,funkcijska!$E412,#REF!)</f>
        <v>#REF!</v>
      </c>
      <c r="Q412" s="386" t="e">
        <f>SUMIF(#REF!,funkcijska!$E412,#REF!)</f>
        <v>#REF!</v>
      </c>
      <c r="R412" s="82" t="e">
        <f>SUMIF(#REF!,funkcijska!$E412,#REF!)</f>
        <v>#REF!</v>
      </c>
      <c r="S412" s="82" t="e">
        <f>SUMIF(#REF!,funkcijska!$E412,#REF!)</f>
        <v>#REF!</v>
      </c>
      <c r="T412" s="82" t="e">
        <f>SUMIF(#REF!,funkcijska!$E$50,#REF!)</f>
        <v>#REF!</v>
      </c>
      <c r="U412" s="357" t="e">
        <f>SUMIF(#REF!,funkcijska!$E412,#REF!)</f>
        <v>#REF!</v>
      </c>
      <c r="V412" s="357" t="e">
        <f>SUMIF(#REF!,funkcijska!$E412,#REF!)+SUMIF(#REF!,funkcijska!$E412,#REF!)</f>
        <v>#REF!</v>
      </c>
      <c r="W412" s="357" t="e">
        <f>SUMIF(#REF!,funkcijska!$E412,#REF!)+SUMIF(#REF!,funkcijska!$E412,#REF!)</f>
        <v>#REF!</v>
      </c>
      <c r="X412" s="357" t="e">
        <f>SUMIF(#REF!,funkcijska!$E412,#REF!)+SUMIF(#REF!,funkcijska!$E412,#REF!)</f>
        <v>#REF!</v>
      </c>
      <c r="AD412" s="60"/>
      <c r="AE412" s="60"/>
      <c r="AF412" s="60"/>
      <c r="AG412" s="60"/>
      <c r="AH412" s="60"/>
      <c r="AI412" s="60"/>
      <c r="AJ412" s="60"/>
      <c r="AK412" s="60"/>
      <c r="AL412" s="60"/>
    </row>
    <row r="413" spans="1:38" ht="15.75" customHeight="1" x14ac:dyDescent="0.25">
      <c r="A413" s="80"/>
      <c r="B413" s="80"/>
      <c r="C413" s="80"/>
      <c r="D413" s="80"/>
      <c r="E413" s="80">
        <v>3295</v>
      </c>
      <c r="F413" s="81" t="s">
        <v>400</v>
      </c>
      <c r="G413" s="82" t="e">
        <f>SUMIF(#REF!,funkcijska!$E413,#REF!)</f>
        <v>#REF!</v>
      </c>
      <c r="H413" s="82" t="e">
        <f>SUMIF(#REF!,funkcijska!$E413,#REF!)</f>
        <v>#REF!</v>
      </c>
      <c r="I413" s="82" t="e">
        <f>SUMIF(#REF!,funkcijska!$E413,#REF!)</f>
        <v>#REF!</v>
      </c>
      <c r="J413" s="82" t="e">
        <f>SUMIF(#REF!,funkcijska!$E413,#REF!)</f>
        <v>#REF!</v>
      </c>
      <c r="K413" s="82" t="e">
        <f>SUMIF(#REF!,funkcijska!$E413,#REF!)</f>
        <v>#REF!</v>
      </c>
      <c r="L413" s="82" t="e">
        <f t="shared" si="201"/>
        <v>#REF!</v>
      </c>
      <c r="M413" s="82" t="e">
        <f t="shared" si="202"/>
        <v>#REF!</v>
      </c>
      <c r="N413" s="82" t="e">
        <f>SUMIF(#REF!,funkcijska!$E413,#REF!)</f>
        <v>#REF!</v>
      </c>
      <c r="O413" s="82" t="e">
        <f>SUMIF(#REF!,funkcijska!$E413,#REF!)</f>
        <v>#REF!</v>
      </c>
      <c r="P413" s="82" t="e">
        <f>SUMIF(#REF!,funkcijska!$E413,#REF!)</f>
        <v>#REF!</v>
      </c>
      <c r="Q413" s="386" t="e">
        <f>SUMIF(#REF!,funkcijska!$E413,#REF!)</f>
        <v>#REF!</v>
      </c>
      <c r="R413" s="82" t="e">
        <f>SUMIF(#REF!,funkcijska!$E413,#REF!)</f>
        <v>#REF!</v>
      </c>
      <c r="S413" s="82" t="e">
        <f>SUMIF(#REF!,funkcijska!$E413,#REF!)</f>
        <v>#REF!</v>
      </c>
      <c r="T413" s="82" t="e">
        <f>SUMIF(#REF!,funkcijska!$E$51,#REF!)</f>
        <v>#REF!</v>
      </c>
      <c r="U413" s="357" t="e">
        <f>SUMIF(#REF!,funkcijska!$E413,#REF!)</f>
        <v>#REF!</v>
      </c>
      <c r="V413" s="357" t="e">
        <f>SUMIF(#REF!,funkcijska!$E413,#REF!)+SUMIF(#REF!,funkcijska!$E413,#REF!)</f>
        <v>#REF!</v>
      </c>
      <c r="W413" s="357" t="e">
        <f>SUMIF(#REF!,funkcijska!$E413,#REF!)+SUMIF(#REF!,funkcijska!$E413,#REF!)</f>
        <v>#REF!</v>
      </c>
      <c r="X413" s="357" t="e">
        <f>SUMIF(#REF!,funkcijska!$E413,#REF!)+SUMIF(#REF!,funkcijska!$E413,#REF!)</f>
        <v>#REF!</v>
      </c>
      <c r="AD413" s="60"/>
      <c r="AE413" s="60"/>
      <c r="AF413" s="60"/>
      <c r="AG413" s="60"/>
      <c r="AH413" s="60"/>
      <c r="AI413" s="60"/>
      <c r="AJ413" s="60"/>
      <c r="AK413" s="60"/>
      <c r="AL413" s="60"/>
    </row>
    <row r="414" spans="1:38" ht="15.75" customHeight="1" x14ac:dyDescent="0.25">
      <c r="A414" s="80"/>
      <c r="B414" s="80"/>
      <c r="C414" s="80"/>
      <c r="D414" s="80"/>
      <c r="E414" s="80">
        <v>3299</v>
      </c>
      <c r="F414" s="81" t="s">
        <v>531</v>
      </c>
      <c r="G414" s="82" t="e">
        <f>SUMIF(#REF!,funkcijska!$E414,#REF!)</f>
        <v>#REF!</v>
      </c>
      <c r="H414" s="82" t="e">
        <f>SUMIF(#REF!,funkcijska!$E414,#REF!)</f>
        <v>#REF!</v>
      </c>
      <c r="I414" s="82" t="e">
        <f>SUMIF(#REF!,funkcijska!$E414,#REF!)</f>
        <v>#REF!</v>
      </c>
      <c r="J414" s="82" t="e">
        <f>SUMIF(#REF!,funkcijska!$E414,#REF!)</f>
        <v>#REF!</v>
      </c>
      <c r="K414" s="82" t="e">
        <f>SUMIF(#REF!,funkcijska!$E414,#REF!)</f>
        <v>#REF!</v>
      </c>
      <c r="L414" s="82" t="e">
        <f t="shared" si="201"/>
        <v>#REF!</v>
      </c>
      <c r="M414" s="82" t="e">
        <f t="shared" si="202"/>
        <v>#REF!</v>
      </c>
      <c r="N414" s="82" t="e">
        <f>SUMIF(#REF!,funkcijska!$E414,#REF!)</f>
        <v>#REF!</v>
      </c>
      <c r="O414" s="82" t="e">
        <f>SUMIF(#REF!,funkcijska!$E414,#REF!)</f>
        <v>#REF!</v>
      </c>
      <c r="P414" s="82" t="e">
        <f>SUMIF(#REF!,funkcijska!$E414,#REF!)</f>
        <v>#REF!</v>
      </c>
      <c r="Q414" s="386" t="e">
        <f>SUMIF(#REF!,funkcijska!$E414,#REF!)</f>
        <v>#REF!</v>
      </c>
      <c r="R414" s="82" t="e">
        <f>SUMIF(#REF!,funkcijska!$E414,#REF!)</f>
        <v>#REF!</v>
      </c>
      <c r="S414" s="82" t="e">
        <f>SUMIF(#REF!,funkcijska!$E414,#REF!)</f>
        <v>#REF!</v>
      </c>
      <c r="T414" s="82" t="e">
        <f>SUMIF(#REF!,funkcijska!$E$52,#REF!)</f>
        <v>#REF!</v>
      </c>
      <c r="U414" s="357" t="e">
        <f>SUMIF(#REF!,funkcijska!$E414,#REF!)</f>
        <v>#REF!</v>
      </c>
      <c r="V414" s="357" t="e">
        <f>SUMIF(#REF!,funkcijska!$E414,#REF!)+SUMIF(#REF!,funkcijska!$E414,#REF!)</f>
        <v>#REF!</v>
      </c>
      <c r="W414" s="357" t="e">
        <f>SUMIF(#REF!,funkcijska!$E414,#REF!)+SUMIF(#REF!,funkcijska!$E414,#REF!)</f>
        <v>#REF!</v>
      </c>
      <c r="X414" s="357" t="e">
        <f>SUMIF(#REF!,funkcijska!$E414,#REF!)+SUMIF(#REF!,funkcijska!$E414,#REF!)</f>
        <v>#REF!</v>
      </c>
      <c r="AD414" s="60"/>
      <c r="AE414" s="60"/>
      <c r="AF414" s="60"/>
      <c r="AG414" s="60"/>
      <c r="AH414" s="60"/>
      <c r="AI414" s="60"/>
      <c r="AJ414" s="60"/>
      <c r="AK414" s="60"/>
      <c r="AL414" s="60"/>
    </row>
    <row r="415" spans="1:38" ht="19.5" customHeight="1" x14ac:dyDescent="0.25">
      <c r="A415" s="125"/>
      <c r="B415" s="74"/>
      <c r="C415" s="74" t="str">
        <f>LEFT(E417,2)</f>
        <v>34</v>
      </c>
      <c r="D415" s="74"/>
      <c r="E415" s="74"/>
      <c r="F415" s="75" t="s">
        <v>208</v>
      </c>
      <c r="G415" s="77" t="e">
        <f>G416+G418</f>
        <v>#REF!</v>
      </c>
      <c r="H415" s="118" t="e">
        <f>H416+H418</f>
        <v>#REF!</v>
      </c>
      <c r="I415" s="77" t="e">
        <f>I416+I418</f>
        <v>#REF!</v>
      </c>
      <c r="J415" s="77" t="e">
        <f>J416+J418</f>
        <v>#REF!</v>
      </c>
      <c r="K415" s="77" t="e">
        <f>K416+K418</f>
        <v>#REF!</v>
      </c>
      <c r="L415" s="77" t="e">
        <f t="shared" si="201"/>
        <v>#REF!</v>
      </c>
      <c r="M415" s="77" t="e">
        <f t="shared" si="202"/>
        <v>#REF!</v>
      </c>
      <c r="N415" s="77" t="e">
        <f t="shared" ref="N415:X415" si="203">N416+N418</f>
        <v>#REF!</v>
      </c>
      <c r="O415" s="76" t="e">
        <f t="shared" si="203"/>
        <v>#REF!</v>
      </c>
      <c r="P415" s="76" t="e">
        <f t="shared" si="203"/>
        <v>#REF!</v>
      </c>
      <c r="Q415" s="385" t="e">
        <f t="shared" si="203"/>
        <v>#REF!</v>
      </c>
      <c r="R415" s="135" t="e">
        <f t="shared" si="203"/>
        <v>#REF!</v>
      </c>
      <c r="S415" s="135" t="e">
        <f t="shared" si="203"/>
        <v>#REF!</v>
      </c>
      <c r="T415" s="135" t="e">
        <f t="shared" si="203"/>
        <v>#REF!</v>
      </c>
      <c r="U415" s="356" t="e">
        <f t="shared" si="203"/>
        <v>#REF!</v>
      </c>
      <c r="V415" s="356" t="e">
        <f t="shared" si="203"/>
        <v>#REF!</v>
      </c>
      <c r="W415" s="356" t="e">
        <f t="shared" si="203"/>
        <v>#REF!</v>
      </c>
      <c r="X415" s="356" t="e">
        <f t="shared" si="203"/>
        <v>#REF!</v>
      </c>
      <c r="AD415" s="60"/>
      <c r="AE415" s="60"/>
      <c r="AF415" s="60"/>
      <c r="AG415" s="60"/>
      <c r="AH415" s="60"/>
      <c r="AI415" s="60"/>
      <c r="AJ415" s="60"/>
      <c r="AK415" s="60"/>
      <c r="AL415" s="60"/>
    </row>
    <row r="416" spans="1:38" s="373" customFormat="1" ht="22.5" customHeight="1" x14ac:dyDescent="0.25">
      <c r="A416" s="119"/>
      <c r="B416" s="119"/>
      <c r="C416" s="119"/>
      <c r="D416" s="119" t="str">
        <f>LEFT(E417,3)</f>
        <v>342</v>
      </c>
      <c r="E416" s="119"/>
      <c r="F416" s="368" t="s">
        <v>631</v>
      </c>
      <c r="G416" s="369" t="e">
        <f>G417</f>
        <v>#REF!</v>
      </c>
      <c r="H416" s="370" t="e">
        <f>H417</f>
        <v>#REF!</v>
      </c>
      <c r="I416" s="369" t="e">
        <f>I417</f>
        <v>#REF!</v>
      </c>
      <c r="J416" s="369" t="e">
        <f>J417</f>
        <v>#REF!</v>
      </c>
      <c r="K416" s="369" t="e">
        <f>K417</f>
        <v>#REF!</v>
      </c>
      <c r="L416" s="369" t="e">
        <f t="shared" si="201"/>
        <v>#REF!</v>
      </c>
      <c r="M416" s="369" t="e">
        <f t="shared" si="202"/>
        <v>#REF!</v>
      </c>
      <c r="N416" s="369" t="e">
        <f t="shared" ref="N416:X416" si="204">N417</f>
        <v>#REF!</v>
      </c>
      <c r="O416" s="137" t="e">
        <f t="shared" si="204"/>
        <v>#REF!</v>
      </c>
      <c r="P416" s="137" t="e">
        <f t="shared" si="204"/>
        <v>#REF!</v>
      </c>
      <c r="Q416" s="393" t="e">
        <f t="shared" si="204"/>
        <v>#REF!</v>
      </c>
      <c r="R416" s="137" t="e">
        <f t="shared" si="204"/>
        <v>#REF!</v>
      </c>
      <c r="S416" s="137" t="e">
        <f t="shared" si="204"/>
        <v>#REF!</v>
      </c>
      <c r="T416" s="137" t="e">
        <f t="shared" si="204"/>
        <v>#REF!</v>
      </c>
      <c r="U416" s="371" t="e">
        <f t="shared" si="204"/>
        <v>#REF!</v>
      </c>
      <c r="V416" s="371" t="e">
        <f t="shared" si="204"/>
        <v>#REF!</v>
      </c>
      <c r="W416" s="371" t="e">
        <f t="shared" si="204"/>
        <v>#REF!</v>
      </c>
      <c r="X416" s="371" t="e">
        <f t="shared" si="204"/>
        <v>#REF!</v>
      </c>
      <c r="Y416" s="372"/>
      <c r="Z416" s="372"/>
      <c r="AA416" s="372"/>
      <c r="AB416" s="372"/>
      <c r="AC416" s="372"/>
      <c r="AD416" s="372"/>
      <c r="AE416" s="372"/>
      <c r="AF416" s="372"/>
      <c r="AG416" s="372"/>
      <c r="AH416" s="372"/>
      <c r="AI416" s="372"/>
      <c r="AJ416" s="372"/>
      <c r="AK416" s="372"/>
      <c r="AL416" s="372"/>
    </row>
    <row r="417" spans="1:38" ht="38.25" customHeight="1" x14ac:dyDescent="0.25">
      <c r="A417" s="80"/>
      <c r="B417" s="80"/>
      <c r="C417" s="80"/>
      <c r="D417" s="80"/>
      <c r="E417" s="80">
        <v>3422</v>
      </c>
      <c r="F417" s="81" t="s">
        <v>358</v>
      </c>
      <c r="G417" s="82" t="e">
        <f>SUMIF(#REF!,funkcijska!$E417,#REF!)</f>
        <v>#REF!</v>
      </c>
      <c r="H417" s="82" t="e">
        <f>SUMIF(#REF!,funkcijska!$E417,#REF!)</f>
        <v>#REF!</v>
      </c>
      <c r="I417" s="82" t="e">
        <f>SUMIF(#REF!,funkcijska!$E417,#REF!)</f>
        <v>#REF!</v>
      </c>
      <c r="J417" s="82" t="e">
        <f>SUMIF(#REF!,funkcijska!$E417,#REF!)</f>
        <v>#REF!</v>
      </c>
      <c r="K417" s="82" t="e">
        <f>SUMIF(#REF!,funkcijska!$E417,#REF!)</f>
        <v>#REF!</v>
      </c>
      <c r="L417" s="82" t="e">
        <f t="shared" si="201"/>
        <v>#REF!</v>
      </c>
      <c r="M417" s="82" t="e">
        <f t="shared" si="202"/>
        <v>#REF!</v>
      </c>
      <c r="N417" s="82" t="e">
        <f>SUMIF(#REF!,funkcijska!$E417,#REF!)</f>
        <v>#REF!</v>
      </c>
      <c r="O417" s="82" t="e">
        <f>SUMIF(#REF!,funkcijska!$E417,#REF!)</f>
        <v>#REF!</v>
      </c>
      <c r="P417" s="82" t="e">
        <f>SUMIF(#REF!,funkcijska!$E417,#REF!)</f>
        <v>#REF!</v>
      </c>
      <c r="Q417" s="386" t="e">
        <f>SUMIF(#REF!,funkcijska!$E417,#REF!)</f>
        <v>#REF!</v>
      </c>
      <c r="R417" s="82" t="e">
        <f>SUMIF(#REF!,funkcijska!$E417,#REF!)</f>
        <v>#REF!</v>
      </c>
      <c r="S417" s="82" t="e">
        <f>SUMIF(#REF!,funkcijska!$E417,#REF!)</f>
        <v>#REF!</v>
      </c>
      <c r="T417" s="82" t="e">
        <f>SUMIF(#REF!,funkcijska!$E$55,#REF!)</f>
        <v>#REF!</v>
      </c>
      <c r="U417" s="357" t="e">
        <f>SUMIF(#REF!,funkcijska!$E417,#REF!)</f>
        <v>#REF!</v>
      </c>
      <c r="V417" s="357" t="e">
        <f>SUMIF(#REF!,funkcijska!$E417,#REF!)+SUMIF(#REF!,funkcijska!$E417,#REF!)</f>
        <v>#REF!</v>
      </c>
      <c r="W417" s="357" t="e">
        <f>SUMIF(#REF!,funkcijska!$E417,#REF!)+SUMIF(#REF!,funkcijska!$E417,#REF!)</f>
        <v>#REF!</v>
      </c>
      <c r="X417" s="357" t="e">
        <f>SUMIF(#REF!,funkcijska!$E417,#REF!)+SUMIF(#REF!,funkcijska!$E417,#REF!)</f>
        <v>#REF!</v>
      </c>
      <c r="AD417" s="60"/>
      <c r="AE417" s="60"/>
      <c r="AF417" s="60"/>
      <c r="AG417" s="60"/>
      <c r="AH417" s="60"/>
      <c r="AI417" s="60"/>
      <c r="AJ417" s="60"/>
      <c r="AK417" s="60"/>
      <c r="AL417" s="60"/>
    </row>
    <row r="418" spans="1:38" s="373" customFormat="1" ht="17.25" customHeight="1" x14ac:dyDescent="0.25">
      <c r="A418" s="119"/>
      <c r="B418" s="119"/>
      <c r="C418" s="119"/>
      <c r="D418" s="119" t="str">
        <f>LEFT(E419,3)</f>
        <v>343</v>
      </c>
      <c r="E418" s="119"/>
      <c r="F418" s="368" t="s">
        <v>209</v>
      </c>
      <c r="G418" s="369" t="e">
        <f t="shared" ref="G418:X418" si="205">SUM(G419:G421)</f>
        <v>#REF!</v>
      </c>
      <c r="H418" s="370" t="e">
        <f t="shared" si="205"/>
        <v>#REF!</v>
      </c>
      <c r="I418" s="369" t="e">
        <f t="shared" si="205"/>
        <v>#REF!</v>
      </c>
      <c r="J418" s="369" t="e">
        <f t="shared" si="205"/>
        <v>#REF!</v>
      </c>
      <c r="K418" s="369" t="e">
        <f t="shared" si="205"/>
        <v>#REF!</v>
      </c>
      <c r="L418" s="369" t="e">
        <f t="shared" si="205"/>
        <v>#REF!</v>
      </c>
      <c r="M418" s="369" t="e">
        <f t="shared" si="205"/>
        <v>#REF!</v>
      </c>
      <c r="N418" s="369" t="e">
        <f t="shared" si="205"/>
        <v>#REF!</v>
      </c>
      <c r="O418" s="369" t="e">
        <f t="shared" si="205"/>
        <v>#REF!</v>
      </c>
      <c r="P418" s="369" t="e">
        <f t="shared" si="205"/>
        <v>#REF!</v>
      </c>
      <c r="Q418" s="392" t="e">
        <f t="shared" si="205"/>
        <v>#REF!</v>
      </c>
      <c r="R418" s="369" t="e">
        <f t="shared" si="205"/>
        <v>#REF!</v>
      </c>
      <c r="S418" s="369" t="e">
        <f t="shared" si="205"/>
        <v>#REF!</v>
      </c>
      <c r="T418" s="369" t="e">
        <f t="shared" si="205"/>
        <v>#REF!</v>
      </c>
      <c r="U418" s="371" t="e">
        <f t="shared" si="205"/>
        <v>#REF!</v>
      </c>
      <c r="V418" s="371" t="e">
        <f t="shared" si="205"/>
        <v>#REF!</v>
      </c>
      <c r="W418" s="371" t="e">
        <f t="shared" si="205"/>
        <v>#REF!</v>
      </c>
      <c r="X418" s="371" t="e">
        <f t="shared" si="205"/>
        <v>#REF!</v>
      </c>
      <c r="Y418" s="372"/>
      <c r="Z418" s="372"/>
      <c r="AA418" s="372"/>
      <c r="AB418" s="372"/>
      <c r="AC418" s="372"/>
      <c r="AD418" s="372"/>
      <c r="AE418" s="372"/>
      <c r="AF418" s="372"/>
      <c r="AG418" s="372"/>
      <c r="AH418" s="372"/>
      <c r="AI418" s="372"/>
      <c r="AJ418" s="372"/>
      <c r="AK418" s="372"/>
      <c r="AL418" s="372"/>
    </row>
    <row r="419" spans="1:38" ht="18.75" customHeight="1" x14ac:dyDescent="0.25">
      <c r="A419" s="80"/>
      <c r="B419" s="80"/>
      <c r="C419" s="80"/>
      <c r="D419" s="80"/>
      <c r="E419" s="80">
        <v>3431</v>
      </c>
      <c r="F419" s="81" t="s">
        <v>211</v>
      </c>
      <c r="G419" s="82" t="e">
        <f>SUMIF(#REF!,funkcijska!$E419,#REF!)</f>
        <v>#REF!</v>
      </c>
      <c r="H419" s="82" t="e">
        <f>SUMIF(#REF!,funkcijska!$E419,#REF!)</f>
        <v>#REF!</v>
      </c>
      <c r="I419" s="82" t="e">
        <f>SUMIF(#REF!,funkcijska!$E419,#REF!)</f>
        <v>#REF!</v>
      </c>
      <c r="J419" s="82" t="e">
        <f>SUMIF(#REF!,funkcijska!$E419,#REF!)</f>
        <v>#REF!</v>
      </c>
      <c r="K419" s="82" t="e">
        <f>SUMIF(#REF!,funkcijska!$E419,#REF!)</f>
        <v>#REF!</v>
      </c>
      <c r="L419" s="82" t="e">
        <f>ROUND(K419/J419*100,2)</f>
        <v>#REF!</v>
      </c>
      <c r="M419" s="82" t="e">
        <f>N419-J419</f>
        <v>#REF!</v>
      </c>
      <c r="N419" s="82" t="e">
        <f>SUMIF(#REF!,funkcijska!$E419,#REF!)</f>
        <v>#REF!</v>
      </c>
      <c r="O419" s="82" t="e">
        <f>SUMIF(#REF!,funkcijska!$E419,#REF!)</f>
        <v>#REF!</v>
      </c>
      <c r="P419" s="82" t="e">
        <f>SUMIF(#REF!,funkcijska!$E419,#REF!)</f>
        <v>#REF!</v>
      </c>
      <c r="Q419" s="386" t="e">
        <f>SUMIF(#REF!,funkcijska!$E419,#REF!)</f>
        <v>#REF!</v>
      </c>
      <c r="R419" s="82" t="e">
        <f>SUMIF(#REF!,funkcijska!$E419,#REF!)</f>
        <v>#REF!</v>
      </c>
      <c r="S419" s="82" t="e">
        <f>SUMIF(#REF!,funkcijska!$E419,#REF!)</f>
        <v>#REF!</v>
      </c>
      <c r="T419" s="82" t="e">
        <f>SUMIF(#REF!,funkcijska!$E$57,#REF!)</f>
        <v>#REF!</v>
      </c>
      <c r="U419" s="357" t="e">
        <f>SUMIF(#REF!,funkcijska!$E419,#REF!)</f>
        <v>#REF!</v>
      </c>
      <c r="V419" s="357" t="e">
        <f>SUMIF(#REF!,funkcijska!$E419,#REF!)+SUMIF(#REF!,funkcijska!$E419,#REF!)</f>
        <v>#REF!</v>
      </c>
      <c r="W419" s="357" t="e">
        <f>SUMIF(#REF!,funkcijska!$E419,#REF!)+SUMIF(#REF!,funkcijska!$E419,#REF!)</f>
        <v>#REF!</v>
      </c>
      <c r="X419" s="357" t="e">
        <f>SUMIF(#REF!,funkcijska!$E419,#REF!)+SUMIF(#REF!,funkcijska!$E419,#REF!)</f>
        <v>#REF!</v>
      </c>
      <c r="AD419" s="60"/>
      <c r="AE419" s="60"/>
      <c r="AF419" s="60"/>
      <c r="AG419" s="60"/>
      <c r="AH419" s="60"/>
      <c r="AI419" s="60"/>
      <c r="AJ419" s="60"/>
      <c r="AK419" s="60"/>
      <c r="AL419" s="60"/>
    </row>
    <row r="420" spans="1:38" ht="18.75" customHeight="1" x14ac:dyDescent="0.25">
      <c r="A420" s="80"/>
      <c r="B420" s="80"/>
      <c r="C420" s="80"/>
      <c r="D420" s="80"/>
      <c r="E420" s="80">
        <v>3433</v>
      </c>
      <c r="F420" s="81" t="s">
        <v>402</v>
      </c>
      <c r="G420" s="82" t="e">
        <f>SUMIF(#REF!,funkcijska!$E420,#REF!)</f>
        <v>#REF!</v>
      </c>
      <c r="H420" s="82" t="e">
        <f>SUMIF(#REF!,funkcijska!$E420,#REF!)</f>
        <v>#REF!</v>
      </c>
      <c r="I420" s="82" t="e">
        <f>SUMIF(#REF!,funkcijska!$E420,#REF!)</f>
        <v>#REF!</v>
      </c>
      <c r="J420" s="82" t="e">
        <f>SUMIF(#REF!,funkcijska!$E420,#REF!)</f>
        <v>#REF!</v>
      </c>
      <c r="K420" s="82" t="e">
        <f>SUMIF(#REF!,funkcijska!$E420,#REF!)</f>
        <v>#REF!</v>
      </c>
      <c r="L420" s="82" t="e">
        <f>ROUND(K420/J420*100,2)</f>
        <v>#REF!</v>
      </c>
      <c r="M420" s="82" t="e">
        <f>N420-J420</f>
        <v>#REF!</v>
      </c>
      <c r="N420" s="82" t="e">
        <f>SUMIF(#REF!,funkcijska!$E420,#REF!)</f>
        <v>#REF!</v>
      </c>
      <c r="O420" s="82" t="e">
        <f>SUMIF(#REF!,funkcijska!$E420,#REF!)</f>
        <v>#REF!</v>
      </c>
      <c r="P420" s="82" t="e">
        <f>SUMIF(#REF!,funkcijska!$E420,#REF!)</f>
        <v>#REF!</v>
      </c>
      <c r="Q420" s="386" t="e">
        <f>SUMIF(#REF!,funkcijska!$E420,#REF!)</f>
        <v>#REF!</v>
      </c>
      <c r="R420" s="82" t="e">
        <f>SUMIF(#REF!,funkcijska!$E420,#REF!)</f>
        <v>#REF!</v>
      </c>
      <c r="S420" s="82" t="e">
        <f>SUMIF(#REF!,funkcijska!$E420,#REF!)</f>
        <v>#REF!</v>
      </c>
      <c r="T420" s="82" t="e">
        <f>SUMIF(#REF!,funkcijska!$E$58,#REF!)</f>
        <v>#REF!</v>
      </c>
      <c r="U420" s="357" t="e">
        <f>SUMIF(#REF!,funkcijska!$E420,#REF!)</f>
        <v>#REF!</v>
      </c>
      <c r="V420" s="357" t="e">
        <f>SUMIF(#REF!,funkcijska!$E420,#REF!)+SUMIF(#REF!,funkcijska!$E420,#REF!)</f>
        <v>#REF!</v>
      </c>
      <c r="W420" s="357" t="e">
        <f>SUMIF(#REF!,funkcijska!$E420,#REF!)+SUMIF(#REF!,funkcijska!$E420,#REF!)</f>
        <v>#REF!</v>
      </c>
      <c r="X420" s="357" t="e">
        <f>SUMIF(#REF!,funkcijska!$E420,#REF!)+SUMIF(#REF!,funkcijska!$E420,#REF!)</f>
        <v>#REF!</v>
      </c>
      <c r="AD420" s="60"/>
      <c r="AE420" s="60"/>
      <c r="AF420" s="60"/>
      <c r="AG420" s="60"/>
      <c r="AH420" s="60"/>
      <c r="AI420" s="60"/>
      <c r="AJ420" s="60"/>
      <c r="AK420" s="60"/>
      <c r="AL420" s="60"/>
    </row>
    <row r="421" spans="1:38" ht="24" customHeight="1" x14ac:dyDescent="0.25">
      <c r="A421" s="80"/>
      <c r="B421" s="80"/>
      <c r="C421" s="80"/>
      <c r="D421" s="80"/>
      <c r="E421" s="80">
        <v>3434</v>
      </c>
      <c r="F421" s="81" t="s">
        <v>403</v>
      </c>
      <c r="G421" s="82" t="e">
        <f>SUMIF(#REF!,funkcijska!$E421,#REF!)</f>
        <v>#REF!</v>
      </c>
      <c r="H421" s="82" t="e">
        <f>SUMIF(#REF!,funkcijska!$E421,#REF!)</f>
        <v>#REF!</v>
      </c>
      <c r="I421" s="82" t="e">
        <f>SUMIF(#REF!,funkcijska!$E421,#REF!)</f>
        <v>#REF!</v>
      </c>
      <c r="J421" s="82" t="e">
        <f>SUMIF(#REF!,funkcijska!$E421,#REF!)</f>
        <v>#REF!</v>
      </c>
      <c r="K421" s="82" t="e">
        <f>SUMIF(#REF!,funkcijska!$E421,#REF!)</f>
        <v>#REF!</v>
      </c>
      <c r="L421" s="82" t="e">
        <f>ROUND(K421/J421*100,2)</f>
        <v>#REF!</v>
      </c>
      <c r="M421" s="82" t="e">
        <f>N421-J421</f>
        <v>#REF!</v>
      </c>
      <c r="N421" s="82" t="e">
        <f>SUMIF(#REF!,funkcijska!$E421,#REF!)</f>
        <v>#REF!</v>
      </c>
      <c r="O421" s="82" t="e">
        <f>SUMIF(#REF!,funkcijska!$E421,#REF!)</f>
        <v>#REF!</v>
      </c>
      <c r="P421" s="82" t="e">
        <f>SUMIF(#REF!,funkcijska!$E421,#REF!)</f>
        <v>#REF!</v>
      </c>
      <c r="Q421" s="386" t="e">
        <f>SUMIF(#REF!,funkcijska!$E421,#REF!)</f>
        <v>#REF!</v>
      </c>
      <c r="R421" s="82" t="e">
        <f>SUMIF(#REF!,funkcijska!$E421,#REF!)</f>
        <v>#REF!</v>
      </c>
      <c r="S421" s="82" t="e">
        <f>SUMIF(#REF!,funkcijska!$E421,#REF!)</f>
        <v>#REF!</v>
      </c>
      <c r="T421" s="82" t="e">
        <f>SUMIF(#REF!,funkcijska!$E$59,#REF!)</f>
        <v>#REF!</v>
      </c>
      <c r="U421" s="357" t="e">
        <f>SUMIF(#REF!,funkcijska!$E421,#REF!)</f>
        <v>#REF!</v>
      </c>
      <c r="V421" s="357" t="e">
        <f>SUMIF(#REF!,funkcijska!$E421,#REF!)+SUMIF(#REF!,funkcijska!$E421,#REF!)</f>
        <v>#REF!</v>
      </c>
      <c r="W421" s="357" t="e">
        <f>SUMIF(#REF!,funkcijska!$E421,#REF!)+SUMIF(#REF!,funkcijska!$E421,#REF!)</f>
        <v>#REF!</v>
      </c>
      <c r="X421" s="357" t="e">
        <f>SUMIF(#REF!,funkcijska!$E421,#REF!)+SUMIF(#REF!,funkcijska!$E421,#REF!)</f>
        <v>#REF!</v>
      </c>
      <c r="AD421" s="60"/>
      <c r="AE421" s="60"/>
      <c r="AF421" s="60"/>
      <c r="AG421" s="60"/>
      <c r="AH421" s="60"/>
      <c r="AI421" s="60"/>
      <c r="AJ421" s="60"/>
      <c r="AK421" s="60"/>
      <c r="AL421" s="60"/>
    </row>
    <row r="422" spans="1:38" ht="18" customHeight="1" x14ac:dyDescent="0.25">
      <c r="A422" s="125"/>
      <c r="B422" s="74"/>
      <c r="C422" s="74" t="str">
        <f>LEFT(E428,2)</f>
        <v>35</v>
      </c>
      <c r="D422" s="74"/>
      <c r="E422" s="74"/>
      <c r="F422" s="75" t="s">
        <v>747</v>
      </c>
      <c r="G422" s="77" t="e">
        <f>G423+G426</f>
        <v>#REF!</v>
      </c>
      <c r="H422" s="118" t="e">
        <f>H423+H426</f>
        <v>#REF!</v>
      </c>
      <c r="I422" s="77" t="e">
        <f>I423+I426</f>
        <v>#REF!</v>
      </c>
      <c r="J422" s="77" t="e">
        <f>J423+J426</f>
        <v>#REF!</v>
      </c>
      <c r="K422" s="77" t="e">
        <f>K423+K426</f>
        <v>#REF!</v>
      </c>
      <c r="L422" s="77" t="e">
        <f>ROUND(K422/J422*100,2)</f>
        <v>#REF!</v>
      </c>
      <c r="M422" s="77" t="e">
        <f>N422-J422</f>
        <v>#REF!</v>
      </c>
      <c r="N422" s="77" t="e">
        <f t="shared" ref="N422:X422" si="206">N423+N426</f>
        <v>#REF!</v>
      </c>
      <c r="O422" s="76" t="e">
        <f t="shared" si="206"/>
        <v>#REF!</v>
      </c>
      <c r="P422" s="76" t="e">
        <f t="shared" si="206"/>
        <v>#REF!</v>
      </c>
      <c r="Q422" s="385" t="e">
        <f t="shared" si="206"/>
        <v>#REF!</v>
      </c>
      <c r="R422" s="135" t="e">
        <f t="shared" si="206"/>
        <v>#REF!</v>
      </c>
      <c r="S422" s="135" t="e">
        <f t="shared" si="206"/>
        <v>#REF!</v>
      </c>
      <c r="T422" s="135" t="e">
        <f t="shared" si="206"/>
        <v>#REF!</v>
      </c>
      <c r="U422" s="356" t="e">
        <f t="shared" si="206"/>
        <v>#REF!</v>
      </c>
      <c r="V422" s="356" t="e">
        <f t="shared" si="206"/>
        <v>#REF!</v>
      </c>
      <c r="W422" s="356" t="e">
        <f t="shared" si="206"/>
        <v>#REF!</v>
      </c>
      <c r="X422" s="356" t="e">
        <f t="shared" si="206"/>
        <v>#REF!</v>
      </c>
      <c r="AD422" s="60"/>
      <c r="AE422" s="60"/>
      <c r="AF422" s="60"/>
      <c r="AG422" s="60"/>
      <c r="AH422" s="60"/>
      <c r="AI422" s="60"/>
      <c r="AJ422" s="60"/>
      <c r="AK422" s="60"/>
      <c r="AL422" s="60"/>
    </row>
    <row r="423" spans="1:38" s="373" customFormat="1" ht="20.25" customHeight="1" x14ac:dyDescent="0.25">
      <c r="A423" s="119"/>
      <c r="B423" s="119"/>
      <c r="C423" s="119"/>
      <c r="D423" s="119" t="s">
        <v>1018</v>
      </c>
      <c r="E423" s="119"/>
      <c r="F423" s="368" t="s">
        <v>752</v>
      </c>
      <c r="G423" s="369" t="e">
        <f>G424</f>
        <v>#REF!</v>
      </c>
      <c r="H423" s="370" t="e">
        <f>H424</f>
        <v>#REF!</v>
      </c>
      <c r="I423" s="369" t="e">
        <f t="shared" ref="I423:X423" si="207">I424+I425</f>
        <v>#REF!</v>
      </c>
      <c r="J423" s="369" t="e">
        <f t="shared" si="207"/>
        <v>#REF!</v>
      </c>
      <c r="K423" s="369" t="e">
        <f t="shared" si="207"/>
        <v>#REF!</v>
      </c>
      <c r="L423" s="369" t="e">
        <f t="shared" si="207"/>
        <v>#REF!</v>
      </c>
      <c r="M423" s="369" t="e">
        <f t="shared" si="207"/>
        <v>#REF!</v>
      </c>
      <c r="N423" s="369" t="e">
        <f t="shared" si="207"/>
        <v>#REF!</v>
      </c>
      <c r="O423" s="369" t="e">
        <f t="shared" si="207"/>
        <v>#REF!</v>
      </c>
      <c r="P423" s="369" t="e">
        <f t="shared" si="207"/>
        <v>#REF!</v>
      </c>
      <c r="Q423" s="392" t="e">
        <f t="shared" si="207"/>
        <v>#REF!</v>
      </c>
      <c r="R423" s="369" t="e">
        <f t="shared" si="207"/>
        <v>#REF!</v>
      </c>
      <c r="S423" s="369" t="e">
        <f t="shared" si="207"/>
        <v>#REF!</v>
      </c>
      <c r="T423" s="369" t="e">
        <f t="shared" si="207"/>
        <v>#REF!</v>
      </c>
      <c r="U423" s="371" t="e">
        <f t="shared" si="207"/>
        <v>#REF!</v>
      </c>
      <c r="V423" s="371" t="e">
        <f t="shared" si="207"/>
        <v>#REF!</v>
      </c>
      <c r="W423" s="371" t="e">
        <f t="shared" si="207"/>
        <v>#REF!</v>
      </c>
      <c r="X423" s="371" t="e">
        <f t="shared" si="207"/>
        <v>#REF!</v>
      </c>
      <c r="Y423" s="372"/>
      <c r="Z423" s="372"/>
      <c r="AA423" s="372"/>
      <c r="AB423" s="372"/>
      <c r="AC423" s="372"/>
      <c r="AD423" s="372"/>
      <c r="AE423" s="372"/>
      <c r="AF423" s="372"/>
      <c r="AG423" s="372"/>
      <c r="AH423" s="372"/>
      <c r="AI423" s="372"/>
      <c r="AJ423" s="372"/>
      <c r="AK423" s="372"/>
      <c r="AL423" s="372"/>
    </row>
    <row r="424" spans="1:38" ht="54.75" customHeight="1" x14ac:dyDescent="0.25">
      <c r="A424" s="80"/>
      <c r="B424" s="80"/>
      <c r="C424" s="80"/>
      <c r="D424" s="80"/>
      <c r="E424" s="80">
        <v>3511</v>
      </c>
      <c r="F424" s="81" t="s">
        <v>323</v>
      </c>
      <c r="G424" s="82" t="e">
        <f>SUMIF(#REF!,funkcijska!$E424,#REF!)</f>
        <v>#REF!</v>
      </c>
      <c r="H424" s="82" t="e">
        <f>SUMIF(#REF!,funkcijska!$E424,#REF!)</f>
        <v>#REF!</v>
      </c>
      <c r="I424" s="82" t="e">
        <f>SUMIF(#REF!,funkcijska!$E424,#REF!)</f>
        <v>#REF!</v>
      </c>
      <c r="J424" s="82" t="e">
        <f>SUMIF(#REF!,funkcijska!$E424,#REF!)</f>
        <v>#REF!</v>
      </c>
      <c r="K424" s="82" t="e">
        <f>SUMIF(#REF!,funkcijska!$E424,#REF!)</f>
        <v>#REF!</v>
      </c>
      <c r="L424" s="82" t="e">
        <f>ROUND(K424/J424*100,2)</f>
        <v>#REF!</v>
      </c>
      <c r="M424" s="82" t="e">
        <f>N424-J424</f>
        <v>#REF!</v>
      </c>
      <c r="N424" s="82" t="e">
        <f>SUMIF(#REF!,funkcijska!$E424,#REF!)</f>
        <v>#REF!</v>
      </c>
      <c r="O424" s="82" t="e">
        <f>SUMIF(#REF!,funkcijska!$E424,#REF!)</f>
        <v>#REF!</v>
      </c>
      <c r="P424" s="82" t="e">
        <f>SUMIF(#REF!,funkcijska!$E424,#REF!)</f>
        <v>#REF!</v>
      </c>
      <c r="Q424" s="386" t="e">
        <f>SUMIF(#REF!,funkcijska!$E424,#REF!)</f>
        <v>#REF!</v>
      </c>
      <c r="R424" s="82" t="e">
        <f>SUMIF(#REF!,funkcijska!$E424,#REF!)</f>
        <v>#REF!</v>
      </c>
      <c r="S424" s="82" t="e">
        <f>SUMIF(#REF!,funkcijska!$E424,#REF!)</f>
        <v>#REF!</v>
      </c>
      <c r="T424" s="82" t="e">
        <f>SUMIF(#REF!,funkcijska!$E$62,#REF!)</f>
        <v>#REF!</v>
      </c>
      <c r="U424" s="357" t="e">
        <f>SUMIF(#REF!,funkcijska!$E424,#REF!)</f>
        <v>#REF!</v>
      </c>
      <c r="V424" s="357" t="e">
        <f>SUMIF(#REF!,funkcijska!$E424,#REF!)+SUMIF(#REF!,funkcijska!$E424,#REF!)</f>
        <v>#REF!</v>
      </c>
      <c r="W424" s="357" t="e">
        <f>SUMIF(#REF!,funkcijska!$E424,#REF!)+SUMIF(#REF!,funkcijska!$E424,#REF!)</f>
        <v>#REF!</v>
      </c>
      <c r="X424" s="357" t="e">
        <f>SUMIF(#REF!,funkcijska!$E424,#REF!)+SUMIF(#REF!,funkcijska!$E424,#REF!)</f>
        <v>#REF!</v>
      </c>
      <c r="AD424" s="60"/>
      <c r="AE424" s="60"/>
      <c r="AF424" s="60"/>
      <c r="AG424" s="60"/>
      <c r="AH424" s="60"/>
      <c r="AI424" s="60"/>
      <c r="AJ424" s="60"/>
      <c r="AK424" s="60"/>
      <c r="AL424" s="60"/>
    </row>
    <row r="425" spans="1:38" ht="23.25" customHeight="1" x14ac:dyDescent="0.25">
      <c r="A425" s="80"/>
      <c r="B425" s="80"/>
      <c r="C425" s="80"/>
      <c r="D425" s="80"/>
      <c r="E425" s="136">
        <v>3512</v>
      </c>
      <c r="F425" s="81" t="s">
        <v>752</v>
      </c>
      <c r="G425" s="82" t="e">
        <f>SUMIF(#REF!,funkcijska!$E425,#REF!)</f>
        <v>#REF!</v>
      </c>
      <c r="H425" s="82" t="e">
        <f>SUMIF(#REF!,funkcijska!$E425,#REF!)</f>
        <v>#REF!</v>
      </c>
      <c r="I425" s="82" t="e">
        <f>SUMIF(#REF!,funkcijska!$E425,#REF!)</f>
        <v>#REF!</v>
      </c>
      <c r="J425" s="82" t="e">
        <f>SUMIF(#REF!,funkcijska!$E425,#REF!)</f>
        <v>#REF!</v>
      </c>
      <c r="K425" s="82" t="e">
        <f>SUMIF(#REF!,funkcijska!$E425,#REF!)</f>
        <v>#REF!</v>
      </c>
      <c r="L425" s="82" t="e">
        <f>ROUND(K425/J425*100,2)</f>
        <v>#REF!</v>
      </c>
      <c r="M425" s="82" t="e">
        <f>N425-J425</f>
        <v>#REF!</v>
      </c>
      <c r="N425" s="82" t="e">
        <f>SUMIF(#REF!,funkcijska!$E425,#REF!)</f>
        <v>#REF!</v>
      </c>
      <c r="O425" s="82" t="e">
        <f>SUMIF(#REF!,funkcijska!$E425,#REF!)</f>
        <v>#REF!</v>
      </c>
      <c r="P425" s="82" t="e">
        <f>SUMIF(#REF!,funkcijska!$E425,#REF!)</f>
        <v>#REF!</v>
      </c>
      <c r="Q425" s="386" t="e">
        <f>SUMIF(#REF!,funkcijska!$E425,#REF!)</f>
        <v>#REF!</v>
      </c>
      <c r="R425" s="82" t="e">
        <f>SUMIF(#REF!,funkcijska!$E425,#REF!)</f>
        <v>#REF!</v>
      </c>
      <c r="S425" s="82" t="e">
        <f>SUMIF(#REF!,funkcijska!$E425,#REF!)</f>
        <v>#REF!</v>
      </c>
      <c r="T425" s="82" t="e">
        <f>SUMIF(#REF!,funkcijska!$E$63,#REF!)</f>
        <v>#REF!</v>
      </c>
      <c r="U425" s="357" t="e">
        <f>SUMIF(#REF!,funkcijska!$E425,#REF!)</f>
        <v>#REF!</v>
      </c>
      <c r="V425" s="357" t="e">
        <f>SUMIF(#REF!,funkcijska!$E425,#REF!)+SUMIF(#REF!,funkcijska!$E425,#REF!)</f>
        <v>#REF!</v>
      </c>
      <c r="W425" s="357" t="e">
        <f>SUMIF(#REF!,funkcijska!$E425,#REF!)+SUMIF(#REF!,funkcijska!$E425,#REF!)</f>
        <v>#REF!</v>
      </c>
      <c r="X425" s="357" t="e">
        <f>SUMIF(#REF!,funkcijska!$E425,#REF!)+SUMIF(#REF!,funkcijska!$E425,#REF!)</f>
        <v>#REF!</v>
      </c>
      <c r="AD425" s="60"/>
      <c r="AE425" s="60"/>
      <c r="AF425" s="60"/>
      <c r="AG425" s="60"/>
      <c r="AH425" s="60"/>
      <c r="AI425" s="60"/>
      <c r="AJ425" s="60"/>
      <c r="AK425" s="60"/>
      <c r="AL425" s="60"/>
    </row>
    <row r="426" spans="1:38" s="373" customFormat="1" ht="54.75" customHeight="1" x14ac:dyDescent="0.25">
      <c r="A426" s="119"/>
      <c r="B426" s="119"/>
      <c r="C426" s="119"/>
      <c r="D426" s="119" t="str">
        <f>LEFT(E428,3)</f>
        <v>352</v>
      </c>
      <c r="E426" s="119"/>
      <c r="F426" s="368" t="s">
        <v>748</v>
      </c>
      <c r="G426" s="137" t="e">
        <f t="shared" ref="G426:X426" si="208">G428+G427</f>
        <v>#REF!</v>
      </c>
      <c r="H426" s="137" t="e">
        <f t="shared" si="208"/>
        <v>#REF!</v>
      </c>
      <c r="I426" s="137" t="e">
        <f t="shared" si="208"/>
        <v>#REF!</v>
      </c>
      <c r="J426" s="137" t="e">
        <f t="shared" si="208"/>
        <v>#REF!</v>
      </c>
      <c r="K426" s="137" t="e">
        <f t="shared" si="208"/>
        <v>#REF!</v>
      </c>
      <c r="L426" s="137" t="e">
        <f t="shared" si="208"/>
        <v>#REF!</v>
      </c>
      <c r="M426" s="137" t="e">
        <f t="shared" si="208"/>
        <v>#REF!</v>
      </c>
      <c r="N426" s="137" t="e">
        <f t="shared" si="208"/>
        <v>#REF!</v>
      </c>
      <c r="O426" s="137" t="e">
        <f t="shared" si="208"/>
        <v>#REF!</v>
      </c>
      <c r="P426" s="137" t="e">
        <f t="shared" si="208"/>
        <v>#REF!</v>
      </c>
      <c r="Q426" s="393" t="e">
        <f t="shared" si="208"/>
        <v>#REF!</v>
      </c>
      <c r="R426" s="137" t="e">
        <f t="shared" si="208"/>
        <v>#REF!</v>
      </c>
      <c r="S426" s="137" t="e">
        <f t="shared" si="208"/>
        <v>#REF!</v>
      </c>
      <c r="T426" s="137" t="e">
        <f t="shared" si="208"/>
        <v>#REF!</v>
      </c>
      <c r="U426" s="371" t="e">
        <f t="shared" si="208"/>
        <v>#REF!</v>
      </c>
      <c r="V426" s="371" t="e">
        <f t="shared" si="208"/>
        <v>#REF!</v>
      </c>
      <c r="W426" s="371" t="e">
        <f t="shared" si="208"/>
        <v>#REF!</v>
      </c>
      <c r="X426" s="371" t="e">
        <f t="shared" si="208"/>
        <v>#REF!</v>
      </c>
      <c r="Y426" s="372"/>
      <c r="Z426" s="372"/>
      <c r="AA426" s="372"/>
      <c r="AB426" s="372"/>
      <c r="AC426" s="372"/>
      <c r="AD426" s="372"/>
      <c r="AE426" s="372"/>
      <c r="AF426" s="372"/>
      <c r="AG426" s="372"/>
      <c r="AH426" s="372"/>
      <c r="AI426" s="372"/>
      <c r="AJ426" s="372"/>
      <c r="AK426" s="372"/>
      <c r="AL426" s="372"/>
    </row>
    <row r="427" spans="1:38" ht="37.5" customHeight="1" x14ac:dyDescent="0.25">
      <c r="A427" s="80"/>
      <c r="B427" s="80"/>
      <c r="C427" s="80"/>
      <c r="D427" s="80"/>
      <c r="E427" s="80">
        <v>3522</v>
      </c>
      <c r="F427" s="81" t="s">
        <v>498</v>
      </c>
      <c r="G427" s="82" t="e">
        <f>SUMIF(#REF!,funkcijska!$E427,#REF!)</f>
        <v>#REF!</v>
      </c>
      <c r="H427" s="82" t="e">
        <f>SUMIF(#REF!,funkcijska!$E427,#REF!)</f>
        <v>#REF!</v>
      </c>
      <c r="I427" s="82" t="e">
        <f>SUMIF(#REF!,funkcijska!$E427,#REF!)</f>
        <v>#REF!</v>
      </c>
      <c r="J427" s="82" t="e">
        <f>SUMIF(#REF!,funkcijska!$E427,#REF!)</f>
        <v>#REF!</v>
      </c>
      <c r="K427" s="82" t="e">
        <f>SUMIF(#REF!,funkcijska!$E427,#REF!)</f>
        <v>#REF!</v>
      </c>
      <c r="L427" s="84"/>
      <c r="M427" s="82" t="e">
        <f>N427-J427</f>
        <v>#REF!</v>
      </c>
      <c r="N427" s="82" t="e">
        <f>SUMIF(#REF!,funkcijska!$E427,#REF!)</f>
        <v>#REF!</v>
      </c>
      <c r="O427" s="82" t="e">
        <f>SUMIF(#REF!,funkcijska!$E427,#REF!)</f>
        <v>#REF!</v>
      </c>
      <c r="P427" s="82" t="e">
        <f>SUMIF(#REF!,funkcijska!$E427,#REF!)</f>
        <v>#REF!</v>
      </c>
      <c r="Q427" s="386" t="e">
        <f>SUMIF(#REF!,funkcijska!$E427,#REF!)</f>
        <v>#REF!</v>
      </c>
      <c r="R427" s="82" t="e">
        <f>SUMIF(#REF!,funkcijska!$E427,#REF!)</f>
        <v>#REF!</v>
      </c>
      <c r="S427" s="82" t="e">
        <f>SUMIF(#REF!,funkcijska!$E427,#REF!)</f>
        <v>#REF!</v>
      </c>
      <c r="T427" s="82" t="e">
        <f>SUMIF(#REF!,funkcijska!$E$65,#REF!)</f>
        <v>#REF!</v>
      </c>
      <c r="U427" s="357" t="e">
        <f>SUMIF(#REF!,funkcijska!$E427,#REF!)</f>
        <v>#REF!</v>
      </c>
      <c r="V427" s="357" t="e">
        <f>SUMIF(#REF!,funkcijska!$E427,#REF!)+SUMIF(#REF!,funkcijska!$E427,#REF!)</f>
        <v>#REF!</v>
      </c>
      <c r="W427" s="357" t="e">
        <f>SUMIF(#REF!,funkcijska!$E427,#REF!)+SUMIF(#REF!,funkcijska!$E427,#REF!)</f>
        <v>#REF!</v>
      </c>
      <c r="X427" s="357" t="e">
        <f>SUMIF(#REF!,funkcijska!$E427,#REF!)+SUMIF(#REF!,funkcijska!$E427,#REF!)</f>
        <v>#REF!</v>
      </c>
      <c r="AD427" s="60"/>
      <c r="AE427" s="60"/>
      <c r="AF427" s="60"/>
      <c r="AG427" s="60"/>
      <c r="AH427" s="60"/>
      <c r="AI427" s="60"/>
      <c r="AJ427" s="60"/>
      <c r="AK427" s="60"/>
      <c r="AL427" s="60"/>
    </row>
    <row r="428" spans="1:38" ht="26.25" customHeight="1" x14ac:dyDescent="0.25">
      <c r="A428" s="80"/>
      <c r="B428" s="80"/>
      <c r="C428" s="80"/>
      <c r="D428" s="80"/>
      <c r="E428" s="80">
        <v>3523</v>
      </c>
      <c r="F428" s="81" t="s">
        <v>324</v>
      </c>
      <c r="G428" s="82" t="e">
        <f>SUMIF(#REF!,funkcijska!$E428,#REF!)</f>
        <v>#REF!</v>
      </c>
      <c r="H428" s="82" t="e">
        <f>SUMIF(#REF!,funkcijska!$E428,#REF!)</f>
        <v>#REF!</v>
      </c>
      <c r="I428" s="82" t="e">
        <f>SUMIF(#REF!,funkcijska!$E428,#REF!)</f>
        <v>#REF!</v>
      </c>
      <c r="J428" s="82" t="e">
        <f>SUMIF(#REF!,funkcijska!$E428,#REF!)</f>
        <v>#REF!</v>
      </c>
      <c r="K428" s="82" t="e">
        <f>SUMIF(#REF!,funkcijska!$E428,#REF!)</f>
        <v>#REF!</v>
      </c>
      <c r="L428" s="82" t="e">
        <f>ROUND(K428/J428*100,2)</f>
        <v>#REF!</v>
      </c>
      <c r="M428" s="82" t="e">
        <f>N428-J428</f>
        <v>#REF!</v>
      </c>
      <c r="N428" s="82" t="e">
        <f>SUMIF(#REF!,funkcijska!$E428,#REF!)</f>
        <v>#REF!</v>
      </c>
      <c r="O428" s="82" t="e">
        <f>SUMIF(#REF!,funkcijska!$E428,#REF!)</f>
        <v>#REF!</v>
      </c>
      <c r="P428" s="82" t="e">
        <f>SUMIF(#REF!,funkcijska!$E428,#REF!)</f>
        <v>#REF!</v>
      </c>
      <c r="Q428" s="386" t="e">
        <f>SUMIF(#REF!,funkcijska!$E428,#REF!)</f>
        <v>#REF!</v>
      </c>
      <c r="R428" s="82" t="e">
        <f>SUMIF(#REF!,funkcijska!$E428,#REF!)</f>
        <v>#REF!</v>
      </c>
      <c r="S428" s="82" t="e">
        <f>SUMIF(#REF!,funkcijska!$E428,#REF!)</f>
        <v>#REF!</v>
      </c>
      <c r="T428" s="82" t="e">
        <f>SUMIF(#REF!,funkcijska!$E$66,#REF!)</f>
        <v>#REF!</v>
      </c>
      <c r="U428" s="357" t="e">
        <f>SUMIF(#REF!,funkcijska!$E428,#REF!)</f>
        <v>#REF!</v>
      </c>
      <c r="V428" s="357" t="e">
        <f>SUMIF(#REF!,funkcijska!$E428,#REF!)+SUMIF(#REF!,funkcijska!$E428,#REF!)</f>
        <v>#REF!</v>
      </c>
      <c r="W428" s="357" t="e">
        <f>SUMIF(#REF!,funkcijska!$E428,#REF!)+SUMIF(#REF!,funkcijska!$E428,#REF!)</f>
        <v>#REF!</v>
      </c>
      <c r="X428" s="357" t="e">
        <f>SUMIF(#REF!,funkcijska!$E428,#REF!)+SUMIF(#REF!,funkcijska!$E428,#REF!)</f>
        <v>#REF!</v>
      </c>
      <c r="AD428" s="60"/>
      <c r="AE428" s="60"/>
      <c r="AF428" s="60"/>
      <c r="AG428" s="60"/>
      <c r="AH428" s="60"/>
      <c r="AI428" s="60"/>
      <c r="AJ428" s="60"/>
      <c r="AK428" s="60"/>
      <c r="AL428" s="60"/>
    </row>
    <row r="429" spans="1:38" ht="38.25" customHeight="1" x14ac:dyDescent="0.25">
      <c r="A429" s="125"/>
      <c r="B429" s="74"/>
      <c r="C429" s="74" t="str">
        <f>LEFT(E431,2)</f>
        <v>36</v>
      </c>
      <c r="D429" s="74"/>
      <c r="E429" s="74"/>
      <c r="F429" s="75" t="s">
        <v>751</v>
      </c>
      <c r="G429" s="77" t="e">
        <f>G430</f>
        <v>#REF!</v>
      </c>
      <c r="H429" s="118" t="e">
        <f>H430</f>
        <v>#REF!</v>
      </c>
      <c r="I429" s="77" t="e">
        <f>I430</f>
        <v>#REF!</v>
      </c>
      <c r="J429" s="77" t="e">
        <f>J430</f>
        <v>#REF!</v>
      </c>
      <c r="K429" s="77" t="e">
        <f>K430</f>
        <v>#REF!</v>
      </c>
      <c r="L429" s="77" t="e">
        <f>ROUND(K429/J429*100,2)</f>
        <v>#REF!</v>
      </c>
      <c r="M429" s="77" t="e">
        <f>N429-J429</f>
        <v>#REF!</v>
      </c>
      <c r="N429" s="77" t="e">
        <f t="shared" ref="N429:X429" si="209">N430</f>
        <v>#REF!</v>
      </c>
      <c r="O429" s="76" t="e">
        <f t="shared" si="209"/>
        <v>#REF!</v>
      </c>
      <c r="P429" s="76" t="e">
        <f t="shared" si="209"/>
        <v>#REF!</v>
      </c>
      <c r="Q429" s="385" t="e">
        <f t="shared" si="209"/>
        <v>#REF!</v>
      </c>
      <c r="R429" s="135" t="e">
        <f t="shared" si="209"/>
        <v>#REF!</v>
      </c>
      <c r="S429" s="135" t="e">
        <f t="shared" si="209"/>
        <v>#REF!</v>
      </c>
      <c r="T429" s="135" t="e">
        <f t="shared" si="209"/>
        <v>#REF!</v>
      </c>
      <c r="U429" s="356" t="e">
        <f t="shared" si="209"/>
        <v>#REF!</v>
      </c>
      <c r="V429" s="356" t="e">
        <f t="shared" si="209"/>
        <v>#REF!</v>
      </c>
      <c r="W429" s="356" t="e">
        <f t="shared" si="209"/>
        <v>#REF!</v>
      </c>
      <c r="X429" s="356" t="e">
        <f t="shared" si="209"/>
        <v>#REF!</v>
      </c>
      <c r="AD429" s="60"/>
      <c r="AE429" s="60"/>
      <c r="AF429" s="60"/>
      <c r="AG429" s="60"/>
      <c r="AH429" s="60"/>
      <c r="AI429" s="60"/>
      <c r="AJ429" s="60"/>
      <c r="AK429" s="60"/>
      <c r="AL429" s="60"/>
    </row>
    <row r="430" spans="1:38" s="373" customFormat="1" ht="21" customHeight="1" x14ac:dyDescent="0.25">
      <c r="A430" s="119"/>
      <c r="B430" s="119"/>
      <c r="C430" s="119"/>
      <c r="D430" s="119" t="str">
        <f>LEFT(E431,3)</f>
        <v>363</v>
      </c>
      <c r="E430" s="119"/>
      <c r="F430" s="368" t="s">
        <v>536</v>
      </c>
      <c r="G430" s="369" t="e">
        <f t="shared" ref="G430:X430" si="210">SUM(G431:G432)</f>
        <v>#REF!</v>
      </c>
      <c r="H430" s="370" t="e">
        <f t="shared" si="210"/>
        <v>#REF!</v>
      </c>
      <c r="I430" s="369" t="e">
        <f t="shared" si="210"/>
        <v>#REF!</v>
      </c>
      <c r="J430" s="369" t="e">
        <f t="shared" si="210"/>
        <v>#REF!</v>
      </c>
      <c r="K430" s="369" t="e">
        <f t="shared" si="210"/>
        <v>#REF!</v>
      </c>
      <c r="L430" s="369" t="e">
        <f t="shared" si="210"/>
        <v>#REF!</v>
      </c>
      <c r="M430" s="369" t="e">
        <f t="shared" si="210"/>
        <v>#REF!</v>
      </c>
      <c r="N430" s="369" t="e">
        <f t="shared" si="210"/>
        <v>#REF!</v>
      </c>
      <c r="O430" s="369" t="e">
        <f t="shared" si="210"/>
        <v>#REF!</v>
      </c>
      <c r="P430" s="369" t="e">
        <f t="shared" si="210"/>
        <v>#REF!</v>
      </c>
      <c r="Q430" s="392" t="e">
        <f t="shared" si="210"/>
        <v>#REF!</v>
      </c>
      <c r="R430" s="369" t="e">
        <f t="shared" si="210"/>
        <v>#REF!</v>
      </c>
      <c r="S430" s="369" t="e">
        <f t="shared" si="210"/>
        <v>#REF!</v>
      </c>
      <c r="T430" s="369" t="e">
        <f t="shared" si="210"/>
        <v>#REF!</v>
      </c>
      <c r="U430" s="357" t="e">
        <f t="shared" si="210"/>
        <v>#REF!</v>
      </c>
      <c r="V430" s="357" t="e">
        <f t="shared" si="210"/>
        <v>#REF!</v>
      </c>
      <c r="W430" s="357" t="e">
        <f t="shared" si="210"/>
        <v>#REF!</v>
      </c>
      <c r="X430" s="357" t="e">
        <f t="shared" si="210"/>
        <v>#REF!</v>
      </c>
      <c r="Y430" s="372"/>
      <c r="Z430" s="372"/>
      <c r="AA430" s="372"/>
      <c r="AB430" s="372"/>
      <c r="AC430" s="372"/>
      <c r="AD430" s="372"/>
      <c r="AE430" s="372"/>
      <c r="AF430" s="372"/>
      <c r="AG430" s="372"/>
      <c r="AH430" s="372"/>
      <c r="AI430" s="372"/>
      <c r="AJ430" s="372"/>
      <c r="AK430" s="372"/>
      <c r="AL430" s="372"/>
    </row>
    <row r="431" spans="1:38" ht="20.25" customHeight="1" x14ac:dyDescent="0.25">
      <c r="A431" s="80"/>
      <c r="B431" s="80"/>
      <c r="C431" s="80"/>
      <c r="D431" s="80"/>
      <c r="E431" s="80">
        <v>3631</v>
      </c>
      <c r="F431" s="81" t="s">
        <v>331</v>
      </c>
      <c r="G431" s="82" t="e">
        <f>SUMIF(#REF!,funkcijska!$E431,#REF!)</f>
        <v>#REF!</v>
      </c>
      <c r="H431" s="82" t="e">
        <f>SUMIF(#REF!,funkcijska!$E431,#REF!)</f>
        <v>#REF!</v>
      </c>
      <c r="I431" s="82" t="e">
        <f>SUMIF(#REF!,funkcijska!$E431,#REF!)</f>
        <v>#REF!</v>
      </c>
      <c r="J431" s="82" t="e">
        <f>SUMIF(#REF!,funkcijska!$E431,#REF!)</f>
        <v>#REF!</v>
      </c>
      <c r="K431" s="82" t="e">
        <f>SUMIF(#REF!,funkcijska!$E431,#REF!)</f>
        <v>#REF!</v>
      </c>
      <c r="L431" s="82" t="e">
        <f>ROUND(K431/J431*100,2)</f>
        <v>#REF!</v>
      </c>
      <c r="M431" s="82" t="e">
        <f>N431-J431</f>
        <v>#REF!</v>
      </c>
      <c r="N431" s="82" t="e">
        <f>SUMIF(#REF!,funkcijska!$E431,#REF!)</f>
        <v>#REF!</v>
      </c>
      <c r="O431" s="82" t="e">
        <f>SUMIF(#REF!,funkcijska!$E431,#REF!)</f>
        <v>#REF!</v>
      </c>
      <c r="P431" s="82" t="e">
        <f>SUMIF(#REF!,funkcijska!$E431,#REF!)</f>
        <v>#REF!</v>
      </c>
      <c r="Q431" s="386" t="e">
        <f>SUMIF(#REF!,funkcijska!$E431,#REF!)</f>
        <v>#REF!</v>
      </c>
      <c r="R431" s="82" t="e">
        <f>SUMIF(#REF!,funkcijska!$E431,#REF!)</f>
        <v>#REF!</v>
      </c>
      <c r="S431" s="82" t="e">
        <f>SUMIF(#REF!,funkcijska!$E431,#REF!)</f>
        <v>#REF!</v>
      </c>
      <c r="T431" s="82" t="e">
        <f>SUMIF(#REF!,funkcijska!$E$69,#REF!)</f>
        <v>#REF!</v>
      </c>
      <c r="U431" s="357" t="e">
        <f>SUMIF(#REF!,funkcijska!$E431,#REF!)</f>
        <v>#REF!</v>
      </c>
      <c r="V431" s="357" t="e">
        <f>SUMIF(#REF!,funkcijska!$E431,#REF!)+SUMIF(#REF!,funkcijska!$E431,#REF!)</f>
        <v>#REF!</v>
      </c>
      <c r="W431" s="357" t="e">
        <f>SUMIF(#REF!,funkcijska!$E431,#REF!)+SUMIF(#REF!,funkcijska!$E431,#REF!)</f>
        <v>#REF!</v>
      </c>
      <c r="X431" s="357" t="e">
        <f>SUMIF(#REF!,funkcijska!$E431,#REF!)+SUMIF(#REF!,funkcijska!$E431,#REF!)</f>
        <v>#REF!</v>
      </c>
      <c r="AD431" s="60"/>
      <c r="AE431" s="60"/>
      <c r="AF431" s="60"/>
      <c r="AG431" s="60"/>
      <c r="AH431" s="60"/>
      <c r="AI431" s="60"/>
      <c r="AJ431" s="60"/>
      <c r="AK431" s="60"/>
      <c r="AL431" s="60"/>
    </row>
    <row r="432" spans="1:38" ht="23.25" customHeight="1" x14ac:dyDescent="0.25">
      <c r="A432" s="80"/>
      <c r="B432" s="80"/>
      <c r="C432" s="80"/>
      <c r="D432" s="80"/>
      <c r="E432" s="80">
        <v>3632</v>
      </c>
      <c r="F432" s="81" t="s">
        <v>227</v>
      </c>
      <c r="G432" s="82" t="e">
        <f>SUMIF(#REF!,funkcijska!$E432,#REF!)</f>
        <v>#REF!</v>
      </c>
      <c r="H432" s="82" t="e">
        <f>SUMIF(#REF!,funkcijska!$E432,#REF!)</f>
        <v>#REF!</v>
      </c>
      <c r="I432" s="82" t="e">
        <f>SUMIF(#REF!,funkcijska!$E432,#REF!)</f>
        <v>#REF!</v>
      </c>
      <c r="J432" s="82" t="e">
        <f>SUMIF(#REF!,funkcijska!$E432,#REF!)</f>
        <v>#REF!</v>
      </c>
      <c r="K432" s="82" t="e">
        <f>SUMIF(#REF!,funkcijska!$E432,#REF!)</f>
        <v>#REF!</v>
      </c>
      <c r="L432" s="82" t="e">
        <f>ROUND(K432/J432*100,2)</f>
        <v>#REF!</v>
      </c>
      <c r="M432" s="82" t="e">
        <f>N432-J432</f>
        <v>#REF!</v>
      </c>
      <c r="N432" s="82" t="e">
        <f>SUMIF(#REF!,funkcijska!$E432,#REF!)</f>
        <v>#REF!</v>
      </c>
      <c r="O432" s="82" t="e">
        <f>SUMIF(#REF!,funkcijska!$E432,#REF!)</f>
        <v>#REF!</v>
      </c>
      <c r="P432" s="82" t="e">
        <f>SUMIF(#REF!,funkcijska!$E432,#REF!)</f>
        <v>#REF!</v>
      </c>
      <c r="Q432" s="386" t="e">
        <f>SUMIF(#REF!,funkcijska!$E432,#REF!)</f>
        <v>#REF!</v>
      </c>
      <c r="R432" s="82" t="e">
        <f>SUMIF(#REF!,funkcijska!$E432,#REF!)</f>
        <v>#REF!</v>
      </c>
      <c r="S432" s="82" t="e">
        <f>SUMIF(#REF!,funkcijska!$E432,#REF!)</f>
        <v>#REF!</v>
      </c>
      <c r="T432" s="82" t="e">
        <f>SUMIF(#REF!,funkcijska!$E432,#REF!)</f>
        <v>#REF!</v>
      </c>
      <c r="U432" s="82" t="e">
        <f>SUMIF(#REF!,funkcijska!$E432,#REF!)</f>
        <v>#REF!</v>
      </c>
      <c r="V432" s="357" t="e">
        <f>SUMIF(#REF!,funkcijska!$E432,#REF!)+SUMIF(#REF!,funkcijska!$E432,#REF!)</f>
        <v>#REF!</v>
      </c>
      <c r="W432" s="357" t="e">
        <f>SUMIF(#REF!,funkcijska!$E432,#REF!)+SUMIF(#REF!,funkcijska!$E432,#REF!)</f>
        <v>#REF!</v>
      </c>
      <c r="X432" s="357" t="e">
        <f>SUMIF(#REF!,funkcijska!$E432,#REF!)+SUMIF(#REF!,funkcijska!$E432,#REF!)</f>
        <v>#REF!</v>
      </c>
      <c r="AD432" s="60"/>
      <c r="AE432" s="60"/>
      <c r="AF432" s="60"/>
      <c r="AG432" s="60"/>
      <c r="AH432" s="60"/>
      <c r="AI432" s="60"/>
      <c r="AJ432" s="60"/>
      <c r="AK432" s="60"/>
      <c r="AL432" s="60"/>
    </row>
    <row r="433" spans="1:38" ht="36.75" customHeight="1" x14ac:dyDescent="0.25">
      <c r="A433" s="125"/>
      <c r="B433" s="74"/>
      <c r="C433" s="74" t="str">
        <f>LEFT(E435,2)</f>
        <v>37</v>
      </c>
      <c r="D433" s="74"/>
      <c r="E433" s="74"/>
      <c r="F433" s="75" t="s">
        <v>410</v>
      </c>
      <c r="G433" s="311" t="e">
        <f>G434</f>
        <v>#REF!</v>
      </c>
      <c r="H433" s="118" t="e">
        <f>H434</f>
        <v>#REF!</v>
      </c>
      <c r="I433" s="311" t="e">
        <f>I434</f>
        <v>#REF!</v>
      </c>
      <c r="J433" s="311" t="e">
        <f>J434</f>
        <v>#REF!</v>
      </c>
      <c r="K433" s="311" t="e">
        <f>K434</f>
        <v>#REF!</v>
      </c>
      <c r="L433" s="311" t="e">
        <f>ROUND(K433/J433*100,2)</f>
        <v>#REF!</v>
      </c>
      <c r="M433" s="311" t="e">
        <f>N433-J433</f>
        <v>#REF!</v>
      </c>
      <c r="N433" s="311" t="e">
        <f t="shared" ref="N433:X433" si="211">N434</f>
        <v>#REF!</v>
      </c>
      <c r="O433" s="312" t="e">
        <f t="shared" si="211"/>
        <v>#REF!</v>
      </c>
      <c r="P433" s="312" t="e">
        <f t="shared" si="211"/>
        <v>#REF!</v>
      </c>
      <c r="Q433" s="385" t="e">
        <f t="shared" si="211"/>
        <v>#REF!</v>
      </c>
      <c r="R433" s="137" t="e">
        <f t="shared" si="211"/>
        <v>#REF!</v>
      </c>
      <c r="S433" s="137" t="e">
        <f t="shared" si="211"/>
        <v>#REF!</v>
      </c>
      <c r="T433" s="137" t="e">
        <f t="shared" si="211"/>
        <v>#REF!</v>
      </c>
      <c r="U433" s="356" t="e">
        <f t="shared" si="211"/>
        <v>#REF!</v>
      </c>
      <c r="V433" s="356" t="e">
        <f t="shared" si="211"/>
        <v>#REF!</v>
      </c>
      <c r="W433" s="356" t="e">
        <f t="shared" si="211"/>
        <v>#REF!</v>
      </c>
      <c r="X433" s="356" t="e">
        <f t="shared" si="211"/>
        <v>#REF!</v>
      </c>
      <c r="AD433" s="60"/>
      <c r="AE433" s="60"/>
      <c r="AF433" s="60"/>
      <c r="AG433" s="60"/>
      <c r="AH433" s="60"/>
      <c r="AI433" s="60"/>
      <c r="AJ433" s="60"/>
      <c r="AK433" s="60"/>
      <c r="AL433" s="60"/>
    </row>
    <row r="434" spans="1:38" s="373" customFormat="1" ht="37.5" customHeight="1" x14ac:dyDescent="0.25">
      <c r="A434" s="119"/>
      <c r="B434" s="119"/>
      <c r="C434" s="119"/>
      <c r="D434" s="119" t="str">
        <f>LEFT(E435,3)</f>
        <v>372</v>
      </c>
      <c r="E434" s="119"/>
      <c r="F434" s="368" t="s">
        <v>411</v>
      </c>
      <c r="G434" s="369" t="e">
        <f t="shared" ref="G434:X434" si="212">SUM(G435:G436)</f>
        <v>#REF!</v>
      </c>
      <c r="H434" s="370" t="e">
        <f t="shared" si="212"/>
        <v>#REF!</v>
      </c>
      <c r="I434" s="369" t="e">
        <f t="shared" si="212"/>
        <v>#REF!</v>
      </c>
      <c r="J434" s="369" t="e">
        <f t="shared" si="212"/>
        <v>#REF!</v>
      </c>
      <c r="K434" s="369" t="e">
        <f t="shared" si="212"/>
        <v>#REF!</v>
      </c>
      <c r="L434" s="369" t="e">
        <f t="shared" si="212"/>
        <v>#REF!</v>
      </c>
      <c r="M434" s="369" t="e">
        <f t="shared" si="212"/>
        <v>#REF!</v>
      </c>
      <c r="N434" s="369" t="e">
        <f t="shared" si="212"/>
        <v>#REF!</v>
      </c>
      <c r="O434" s="369" t="e">
        <f t="shared" si="212"/>
        <v>#REF!</v>
      </c>
      <c r="P434" s="369" t="e">
        <f t="shared" si="212"/>
        <v>#REF!</v>
      </c>
      <c r="Q434" s="392" t="e">
        <f t="shared" si="212"/>
        <v>#REF!</v>
      </c>
      <c r="R434" s="369" t="e">
        <f t="shared" si="212"/>
        <v>#REF!</v>
      </c>
      <c r="S434" s="369" t="e">
        <f t="shared" si="212"/>
        <v>#REF!</v>
      </c>
      <c r="T434" s="369" t="e">
        <f t="shared" si="212"/>
        <v>#REF!</v>
      </c>
      <c r="U434" s="357" t="e">
        <f t="shared" si="212"/>
        <v>#REF!</v>
      </c>
      <c r="V434" s="357" t="e">
        <f t="shared" si="212"/>
        <v>#REF!</v>
      </c>
      <c r="W434" s="357" t="e">
        <f t="shared" si="212"/>
        <v>#REF!</v>
      </c>
      <c r="X434" s="357" t="e">
        <f t="shared" si="212"/>
        <v>#REF!</v>
      </c>
      <c r="Y434" s="372"/>
      <c r="Z434" s="372"/>
      <c r="AA434" s="372"/>
      <c r="AB434" s="372"/>
      <c r="AC434" s="372"/>
      <c r="AD434" s="372"/>
      <c r="AE434" s="372"/>
      <c r="AF434" s="372"/>
      <c r="AG434" s="372"/>
      <c r="AH434" s="372"/>
      <c r="AI434" s="372"/>
      <c r="AJ434" s="372"/>
      <c r="AK434" s="372"/>
      <c r="AL434" s="372"/>
    </row>
    <row r="435" spans="1:38" ht="21" customHeight="1" x14ac:dyDescent="0.25">
      <c r="A435" s="80"/>
      <c r="B435" s="80"/>
      <c r="C435" s="80"/>
      <c r="D435" s="80"/>
      <c r="E435" s="80">
        <v>3721</v>
      </c>
      <c r="F435" s="81" t="s">
        <v>412</v>
      </c>
      <c r="G435" s="82" t="e">
        <f>SUMIF(#REF!,funkcijska!$E435,#REF!)</f>
        <v>#REF!</v>
      </c>
      <c r="H435" s="82" t="e">
        <f>SUMIF(#REF!,funkcijska!$E435,#REF!)</f>
        <v>#REF!</v>
      </c>
      <c r="I435" s="82" t="e">
        <f>SUMIF(#REF!,funkcijska!$E435,#REF!)</f>
        <v>#REF!</v>
      </c>
      <c r="J435" s="82" t="e">
        <f>SUMIF(#REF!,funkcijska!$E435,#REF!)</f>
        <v>#REF!</v>
      </c>
      <c r="K435" s="82" t="e">
        <f>SUMIF(#REF!,funkcijska!$E435,#REF!)</f>
        <v>#REF!</v>
      </c>
      <c r="L435" s="82" t="e">
        <f t="shared" ref="L435:L444" si="213">ROUND(K435/J435*100,2)</f>
        <v>#REF!</v>
      </c>
      <c r="M435" s="82" t="e">
        <f t="shared" ref="M435:M444" si="214">N435-J435</f>
        <v>#REF!</v>
      </c>
      <c r="N435" s="82" t="e">
        <f>SUMIF(#REF!,funkcijska!$E435,#REF!)</f>
        <v>#REF!</v>
      </c>
      <c r="O435" s="82" t="e">
        <f>SUMIF(#REF!,funkcijska!$E435,#REF!)</f>
        <v>#REF!</v>
      </c>
      <c r="P435" s="82" t="e">
        <f>SUMIF(#REF!,funkcijska!$E435,#REF!)</f>
        <v>#REF!</v>
      </c>
      <c r="Q435" s="386" t="e">
        <f>SUMIF(#REF!,funkcijska!$E435,#REF!)</f>
        <v>#REF!</v>
      </c>
      <c r="R435" s="82" t="e">
        <f>SUMIF(#REF!,funkcijska!$E435,#REF!)</f>
        <v>#REF!</v>
      </c>
      <c r="S435" s="82" t="e">
        <f>SUMIF(#REF!,funkcijska!$E435,#REF!)</f>
        <v>#REF!</v>
      </c>
      <c r="T435" s="82" t="e">
        <f>SUMIF(#REF!,funkcijska!$E$73,#REF!)</f>
        <v>#REF!</v>
      </c>
      <c r="U435" s="357" t="e">
        <f>SUMIF(#REF!,funkcijska!$E435,#REF!)</f>
        <v>#REF!</v>
      </c>
      <c r="V435" s="357" t="e">
        <f>SUMIF(#REF!,funkcijska!$E435,#REF!)+SUMIF(#REF!,funkcijska!$E435,#REF!)</f>
        <v>#REF!</v>
      </c>
      <c r="W435" s="357" t="e">
        <f>SUMIF(#REF!,funkcijska!$E435,#REF!)+SUMIF(#REF!,funkcijska!$E435,#REF!)</f>
        <v>#REF!</v>
      </c>
      <c r="X435" s="357" t="e">
        <f>SUMIF(#REF!,funkcijska!$E435,#REF!)+SUMIF(#REF!,funkcijska!$E435,#REF!)</f>
        <v>#REF!</v>
      </c>
      <c r="AD435" s="60"/>
      <c r="AE435" s="60"/>
      <c r="AF435" s="60"/>
      <c r="AG435" s="60"/>
      <c r="AH435" s="60"/>
      <c r="AI435" s="60"/>
      <c r="AJ435" s="60"/>
      <c r="AK435" s="60"/>
      <c r="AL435" s="60"/>
    </row>
    <row r="436" spans="1:38" ht="36.75" customHeight="1" x14ac:dyDescent="0.25">
      <c r="A436" s="80"/>
      <c r="B436" s="80"/>
      <c r="C436" s="80"/>
      <c r="D436" s="80"/>
      <c r="E436" s="80">
        <v>3722</v>
      </c>
      <c r="F436" s="81" t="s">
        <v>1019</v>
      </c>
      <c r="G436" s="82" t="e">
        <f>SUMIF(#REF!,funkcijska!$E436,#REF!)</f>
        <v>#REF!</v>
      </c>
      <c r="H436" s="82" t="e">
        <f>SUMIF(#REF!,funkcijska!$E436,#REF!)</f>
        <v>#REF!</v>
      </c>
      <c r="I436" s="82" t="e">
        <f>SUMIF(#REF!,funkcijska!$E436,#REF!)</f>
        <v>#REF!</v>
      </c>
      <c r="J436" s="82" t="e">
        <f>SUMIF(#REF!,funkcijska!$E436,#REF!)</f>
        <v>#REF!</v>
      </c>
      <c r="K436" s="82" t="e">
        <f>SUMIF(#REF!,funkcijska!$E436,#REF!)</f>
        <v>#REF!</v>
      </c>
      <c r="L436" s="82" t="e">
        <f t="shared" si="213"/>
        <v>#REF!</v>
      </c>
      <c r="M436" s="82" t="e">
        <f t="shared" si="214"/>
        <v>#REF!</v>
      </c>
      <c r="N436" s="82" t="e">
        <f>SUMIF(#REF!,funkcijska!$E436,#REF!)</f>
        <v>#REF!</v>
      </c>
      <c r="O436" s="82" t="e">
        <f>SUMIF(#REF!,funkcijska!$E436,#REF!)</f>
        <v>#REF!</v>
      </c>
      <c r="P436" s="82" t="e">
        <f>SUMIF(#REF!,funkcijska!$E436,#REF!)</f>
        <v>#REF!</v>
      </c>
      <c r="Q436" s="386" t="e">
        <f>SUMIF(#REF!,funkcijska!$E436,#REF!)</f>
        <v>#REF!</v>
      </c>
      <c r="R436" s="82" t="e">
        <f>SUMIF(#REF!,funkcijska!$E436,#REF!)</f>
        <v>#REF!</v>
      </c>
      <c r="S436" s="82" t="e">
        <f>SUMIF(#REF!,funkcijska!$E436,#REF!)</f>
        <v>#REF!</v>
      </c>
      <c r="T436" s="82" t="e">
        <f>SUMIF(#REF!,funkcijska!$E$74,#REF!)</f>
        <v>#REF!</v>
      </c>
      <c r="U436" s="357" t="e">
        <f>SUMIF(#REF!,funkcijska!$E436,#REF!)</f>
        <v>#REF!</v>
      </c>
      <c r="V436" s="357" t="e">
        <f>SUMIF(#REF!,funkcijska!$E436,#REF!)+SUMIF(#REF!,funkcijska!$E436,#REF!)</f>
        <v>#REF!</v>
      </c>
      <c r="W436" s="357" t="e">
        <f>SUMIF(#REF!,funkcijska!$E436,#REF!)+SUMIF(#REF!,funkcijska!$E436,#REF!)</f>
        <v>#REF!</v>
      </c>
      <c r="X436" s="357" t="e">
        <f>SUMIF(#REF!,funkcijska!$E436,#REF!)+SUMIF(#REF!,funkcijska!$E436,#REF!)</f>
        <v>#REF!</v>
      </c>
      <c r="AD436" s="60"/>
      <c r="AE436" s="60"/>
      <c r="AF436" s="60"/>
      <c r="AG436" s="60"/>
      <c r="AH436" s="60"/>
      <c r="AI436" s="60"/>
      <c r="AJ436" s="60"/>
      <c r="AK436" s="60"/>
      <c r="AL436" s="60"/>
    </row>
    <row r="437" spans="1:38" ht="20.25" customHeight="1" x14ac:dyDescent="0.25">
      <c r="A437" s="125"/>
      <c r="B437" s="74"/>
      <c r="C437" s="74" t="str">
        <f>LEFT(E439,2)</f>
        <v>38</v>
      </c>
      <c r="D437" s="74"/>
      <c r="E437" s="74"/>
      <c r="F437" s="75" t="s">
        <v>539</v>
      </c>
      <c r="G437" s="311" t="e">
        <f>G438+G440+G443</f>
        <v>#REF!</v>
      </c>
      <c r="H437" s="118" t="e">
        <f>H438+H440+H443</f>
        <v>#REF!</v>
      </c>
      <c r="I437" s="311" t="e">
        <f>I438+I440+I443</f>
        <v>#REF!</v>
      </c>
      <c r="J437" s="311" t="e">
        <f>J438+J440+J443</f>
        <v>#REF!</v>
      </c>
      <c r="K437" s="311" t="e">
        <f>K438+K440+K443</f>
        <v>#REF!</v>
      </c>
      <c r="L437" s="311" t="e">
        <f t="shared" si="213"/>
        <v>#REF!</v>
      </c>
      <c r="M437" s="311" t="e">
        <f t="shared" si="214"/>
        <v>#REF!</v>
      </c>
      <c r="N437" s="311" t="e">
        <f t="shared" ref="N437:X437" si="215">N438+N440+N443</f>
        <v>#REF!</v>
      </c>
      <c r="O437" s="312" t="e">
        <f t="shared" si="215"/>
        <v>#REF!</v>
      </c>
      <c r="P437" s="312" t="e">
        <f t="shared" si="215"/>
        <v>#REF!</v>
      </c>
      <c r="Q437" s="385" t="e">
        <f t="shared" si="215"/>
        <v>#REF!</v>
      </c>
      <c r="R437" s="137" t="e">
        <f t="shared" si="215"/>
        <v>#REF!</v>
      </c>
      <c r="S437" s="137" t="e">
        <f t="shared" si="215"/>
        <v>#REF!</v>
      </c>
      <c r="T437" s="137" t="e">
        <f t="shared" si="215"/>
        <v>#REF!</v>
      </c>
      <c r="U437" s="356" t="e">
        <f t="shared" si="215"/>
        <v>#REF!</v>
      </c>
      <c r="V437" s="356" t="e">
        <f t="shared" si="215"/>
        <v>#REF!</v>
      </c>
      <c r="W437" s="356" t="e">
        <f t="shared" si="215"/>
        <v>#REF!</v>
      </c>
      <c r="X437" s="356" t="e">
        <f t="shared" si="215"/>
        <v>#REF!</v>
      </c>
      <c r="AD437" s="60"/>
      <c r="AE437" s="60"/>
      <c r="AF437" s="60"/>
      <c r="AG437" s="60"/>
      <c r="AH437" s="60"/>
      <c r="AI437" s="60"/>
      <c r="AJ437" s="60"/>
      <c r="AK437" s="60"/>
      <c r="AL437" s="60"/>
    </row>
    <row r="438" spans="1:38" s="373" customFormat="1" ht="17.25" customHeight="1" x14ac:dyDescent="0.25">
      <c r="A438" s="119"/>
      <c r="B438" s="119"/>
      <c r="C438" s="119"/>
      <c r="D438" s="119" t="str">
        <f>LEFT(E439,3)</f>
        <v>381</v>
      </c>
      <c r="E438" s="119"/>
      <c r="F438" s="368" t="s">
        <v>540</v>
      </c>
      <c r="G438" s="369" t="e">
        <f>G439</f>
        <v>#REF!</v>
      </c>
      <c r="H438" s="370" t="e">
        <f>H439</f>
        <v>#REF!</v>
      </c>
      <c r="I438" s="369" t="e">
        <f>I439</f>
        <v>#REF!</v>
      </c>
      <c r="J438" s="369" t="e">
        <f>J439</f>
        <v>#REF!</v>
      </c>
      <c r="K438" s="369" t="e">
        <f>K439</f>
        <v>#REF!</v>
      </c>
      <c r="L438" s="369" t="e">
        <f t="shared" si="213"/>
        <v>#REF!</v>
      </c>
      <c r="M438" s="369" t="e">
        <f t="shared" si="214"/>
        <v>#REF!</v>
      </c>
      <c r="N438" s="369" t="e">
        <f t="shared" ref="N438:X438" si="216">N439</f>
        <v>#REF!</v>
      </c>
      <c r="O438" s="137" t="e">
        <f t="shared" si="216"/>
        <v>#REF!</v>
      </c>
      <c r="P438" s="137" t="e">
        <f t="shared" si="216"/>
        <v>#REF!</v>
      </c>
      <c r="Q438" s="393" t="e">
        <f t="shared" si="216"/>
        <v>#REF!</v>
      </c>
      <c r="R438" s="137" t="e">
        <f t="shared" si="216"/>
        <v>#REF!</v>
      </c>
      <c r="S438" s="137" t="e">
        <f t="shared" si="216"/>
        <v>#REF!</v>
      </c>
      <c r="T438" s="137" t="e">
        <f t="shared" si="216"/>
        <v>#REF!</v>
      </c>
      <c r="U438" s="371" t="e">
        <f t="shared" si="216"/>
        <v>#REF!</v>
      </c>
      <c r="V438" s="371" t="e">
        <f t="shared" si="216"/>
        <v>#REF!</v>
      </c>
      <c r="W438" s="371" t="e">
        <f t="shared" si="216"/>
        <v>#REF!</v>
      </c>
      <c r="X438" s="371" t="e">
        <f t="shared" si="216"/>
        <v>#REF!</v>
      </c>
      <c r="Y438" s="372"/>
      <c r="Z438" s="372"/>
      <c r="AA438" s="372"/>
      <c r="AB438" s="372"/>
      <c r="AC438" s="372"/>
      <c r="AD438" s="372"/>
      <c r="AE438" s="372"/>
      <c r="AF438" s="372"/>
      <c r="AG438" s="372"/>
      <c r="AH438" s="372"/>
      <c r="AI438" s="372"/>
      <c r="AJ438" s="372"/>
      <c r="AK438" s="372"/>
      <c r="AL438" s="372"/>
    </row>
    <row r="439" spans="1:38" ht="20.25" customHeight="1" x14ac:dyDescent="0.25">
      <c r="A439" s="80"/>
      <c r="B439" s="80"/>
      <c r="C439" s="80"/>
      <c r="D439" s="80"/>
      <c r="E439" s="80">
        <v>3811</v>
      </c>
      <c r="F439" s="81" t="s">
        <v>623</v>
      </c>
      <c r="G439" s="82" t="e">
        <f>SUMIF(#REF!,funkcijska!$E439,#REF!)</f>
        <v>#REF!</v>
      </c>
      <c r="H439" s="82" t="e">
        <f>SUMIF(#REF!,funkcijska!$E439,#REF!)</f>
        <v>#REF!</v>
      </c>
      <c r="I439" s="82" t="e">
        <f>SUMIF(#REF!,funkcijska!$E439,#REF!)</f>
        <v>#REF!</v>
      </c>
      <c r="J439" s="82" t="e">
        <f>SUMIF(#REF!,funkcijska!$E439,#REF!)</f>
        <v>#REF!</v>
      </c>
      <c r="K439" s="82" t="e">
        <f>SUMIF(#REF!,funkcijska!$E439,#REF!)</f>
        <v>#REF!</v>
      </c>
      <c r="L439" s="82" t="e">
        <f t="shared" si="213"/>
        <v>#REF!</v>
      </c>
      <c r="M439" s="82" t="e">
        <f t="shared" si="214"/>
        <v>#REF!</v>
      </c>
      <c r="N439" s="82" t="e">
        <f>SUMIF(#REF!,funkcijska!$E439,#REF!)</f>
        <v>#REF!</v>
      </c>
      <c r="O439" s="82" t="e">
        <f>SUMIF(#REF!,funkcijska!$E439,#REF!)</f>
        <v>#REF!</v>
      </c>
      <c r="P439" s="82" t="e">
        <f>SUMIF(#REF!,funkcijska!$E439,#REF!)</f>
        <v>#REF!</v>
      </c>
      <c r="Q439" s="386" t="e">
        <f>SUMIF(#REF!,funkcijska!$E439,#REF!)</f>
        <v>#REF!</v>
      </c>
      <c r="R439" s="82" t="e">
        <f>SUMIF(#REF!,funkcijska!$E439,#REF!)</f>
        <v>#REF!</v>
      </c>
      <c r="S439" s="82" t="e">
        <f>SUMIF(#REF!,funkcijska!$E439,#REF!)</f>
        <v>#REF!</v>
      </c>
      <c r="T439" s="82" t="e">
        <f>SUMIF(#REF!,funkcijska!$E$77,#REF!)</f>
        <v>#REF!</v>
      </c>
      <c r="U439" s="357" t="e">
        <f>SUMIF(#REF!,funkcijska!$E439,#REF!)</f>
        <v>#REF!</v>
      </c>
      <c r="V439" s="357" t="e">
        <f>SUMIF(#REF!,funkcijska!$E439,#REF!)+SUMIF(#REF!,funkcijska!$E439,#REF!)</f>
        <v>#REF!</v>
      </c>
      <c r="W439" s="357" t="e">
        <f>SUMIF(#REF!,funkcijska!$E439,#REF!)+SUMIF(#REF!,funkcijska!$E439,#REF!)</f>
        <v>#REF!</v>
      </c>
      <c r="X439" s="357" t="e">
        <f>SUMIF(#REF!,funkcijska!$E439,#REF!)+SUMIF(#REF!,funkcijska!$E439,#REF!)</f>
        <v>#REF!</v>
      </c>
      <c r="AD439" s="60"/>
      <c r="AE439" s="60"/>
      <c r="AF439" s="60"/>
      <c r="AG439" s="60"/>
      <c r="AH439" s="60"/>
      <c r="AI439" s="60"/>
      <c r="AJ439" s="60"/>
      <c r="AK439" s="60"/>
      <c r="AL439" s="60"/>
    </row>
    <row r="440" spans="1:38" s="373" customFormat="1" ht="21" customHeight="1" x14ac:dyDescent="0.25">
      <c r="A440" s="119"/>
      <c r="B440" s="119"/>
      <c r="C440" s="119"/>
      <c r="D440" s="119" t="str">
        <f>LEFT(E441,3)</f>
        <v>382</v>
      </c>
      <c r="E440" s="119"/>
      <c r="F440" s="368" t="s">
        <v>230</v>
      </c>
      <c r="G440" s="369" t="e">
        <f>G441</f>
        <v>#REF!</v>
      </c>
      <c r="H440" s="370" t="e">
        <f>H441</f>
        <v>#REF!</v>
      </c>
      <c r="I440" s="369" t="e">
        <f>I441</f>
        <v>#REF!</v>
      </c>
      <c r="J440" s="369" t="e">
        <f>J441</f>
        <v>#REF!</v>
      </c>
      <c r="K440" s="369" t="e">
        <f>K441</f>
        <v>#REF!</v>
      </c>
      <c r="L440" s="369" t="e">
        <f t="shared" si="213"/>
        <v>#REF!</v>
      </c>
      <c r="M440" s="369" t="e">
        <f t="shared" si="214"/>
        <v>#REF!</v>
      </c>
      <c r="N440" s="369" t="e">
        <f t="shared" ref="N440:U440" si="217">N441</f>
        <v>#REF!</v>
      </c>
      <c r="O440" s="137" t="e">
        <f t="shared" si="217"/>
        <v>#REF!</v>
      </c>
      <c r="P440" s="137" t="e">
        <f t="shared" si="217"/>
        <v>#REF!</v>
      </c>
      <c r="Q440" s="393" t="e">
        <f t="shared" si="217"/>
        <v>#REF!</v>
      </c>
      <c r="R440" s="137" t="e">
        <f t="shared" si="217"/>
        <v>#REF!</v>
      </c>
      <c r="S440" s="137" t="e">
        <f t="shared" si="217"/>
        <v>#REF!</v>
      </c>
      <c r="T440" s="137" t="e">
        <f t="shared" si="217"/>
        <v>#REF!</v>
      </c>
      <c r="U440" s="371" t="e">
        <f t="shared" si="217"/>
        <v>#REF!</v>
      </c>
      <c r="V440" s="371" t="e">
        <f>V441+V442</f>
        <v>#REF!</v>
      </c>
      <c r="W440" s="371" t="e">
        <f>W441+W442</f>
        <v>#REF!</v>
      </c>
      <c r="X440" s="371" t="e">
        <f>X441+X442</f>
        <v>#REF!</v>
      </c>
      <c r="Y440" s="372"/>
      <c r="Z440" s="372"/>
      <c r="AA440" s="372"/>
      <c r="AB440" s="372"/>
      <c r="AC440" s="372"/>
      <c r="AD440" s="372"/>
      <c r="AE440" s="372"/>
      <c r="AF440" s="372"/>
      <c r="AG440" s="372"/>
      <c r="AH440" s="372"/>
      <c r="AI440" s="372"/>
      <c r="AJ440" s="372"/>
      <c r="AK440" s="372"/>
      <c r="AL440" s="372"/>
    </row>
    <row r="441" spans="1:38" ht="23.25" customHeight="1" x14ac:dyDescent="0.25">
      <c r="A441" s="80"/>
      <c r="B441" s="80"/>
      <c r="C441" s="80"/>
      <c r="D441" s="80"/>
      <c r="E441" s="80">
        <v>3821</v>
      </c>
      <c r="F441" s="81" t="s">
        <v>1020</v>
      </c>
      <c r="G441" s="82" t="e">
        <f>SUMIF(#REF!,funkcijska!$E441,#REF!)</f>
        <v>#REF!</v>
      </c>
      <c r="H441" s="82" t="e">
        <f>SUMIF(#REF!,funkcijska!$E441,#REF!)</f>
        <v>#REF!</v>
      </c>
      <c r="I441" s="82" t="e">
        <f>SUMIF(#REF!,funkcijska!$E441,#REF!)</f>
        <v>#REF!</v>
      </c>
      <c r="J441" s="82" t="e">
        <f>SUMIF(#REF!,funkcijska!$E441,#REF!)</f>
        <v>#REF!</v>
      </c>
      <c r="K441" s="82" t="e">
        <f>SUMIF(#REF!,funkcijska!$E441,#REF!)</f>
        <v>#REF!</v>
      </c>
      <c r="L441" s="82" t="e">
        <f t="shared" si="213"/>
        <v>#REF!</v>
      </c>
      <c r="M441" s="82" t="e">
        <f t="shared" si="214"/>
        <v>#REF!</v>
      </c>
      <c r="N441" s="82" t="e">
        <f>SUMIF(#REF!,funkcijska!$E441,#REF!)</f>
        <v>#REF!</v>
      </c>
      <c r="O441" s="82" t="e">
        <f>SUMIF(#REF!,funkcijska!$E441,#REF!)</f>
        <v>#REF!</v>
      </c>
      <c r="P441" s="82" t="e">
        <f>SUMIF(#REF!,funkcijska!$E441,#REF!)</f>
        <v>#REF!</v>
      </c>
      <c r="Q441" s="386" t="e">
        <f>SUMIF(#REF!,funkcijska!$E441,#REF!)</f>
        <v>#REF!</v>
      </c>
      <c r="R441" s="82" t="e">
        <f>SUMIF(#REF!,funkcijska!$E441,#REF!)</f>
        <v>#REF!</v>
      </c>
      <c r="S441" s="82" t="e">
        <f>SUMIF(#REF!,funkcijska!$E441,#REF!)</f>
        <v>#REF!</v>
      </c>
      <c r="T441" s="82" t="e">
        <f>SUMIF(#REF!,funkcijska!$E$79,#REF!)</f>
        <v>#REF!</v>
      </c>
      <c r="U441" s="357" t="e">
        <f>SUMIF(#REF!,funkcijska!$E441,#REF!)</f>
        <v>#REF!</v>
      </c>
      <c r="V441" s="357" t="e">
        <f>SUMIF(#REF!,funkcijska!$E441,#REF!)+SUMIF(#REF!,funkcijska!$E441,#REF!)</f>
        <v>#REF!</v>
      </c>
      <c r="W441" s="357" t="e">
        <f>SUMIF(#REF!,funkcijska!$E441,#REF!)+SUMIF(#REF!,funkcijska!$E441,#REF!)</f>
        <v>#REF!</v>
      </c>
      <c r="X441" s="357" t="e">
        <f>SUMIF(#REF!,funkcijska!$E441,#REF!)+SUMIF(#REF!,funkcijska!$E441,#REF!)</f>
        <v>#REF!</v>
      </c>
      <c r="AD441" s="60"/>
      <c r="AE441" s="60"/>
      <c r="AF441" s="60"/>
      <c r="AG441" s="60"/>
      <c r="AH441" s="60"/>
      <c r="AI441" s="60"/>
      <c r="AJ441" s="60"/>
      <c r="AK441" s="60"/>
      <c r="AL441" s="60"/>
    </row>
    <row r="442" spans="1:38" ht="23.25" customHeight="1" x14ac:dyDescent="0.25">
      <c r="A442" s="80"/>
      <c r="B442" s="80"/>
      <c r="C442" s="80"/>
      <c r="D442" s="80"/>
      <c r="E442" s="80">
        <v>3822</v>
      </c>
      <c r="F442" s="81" t="s">
        <v>734</v>
      </c>
      <c r="G442" s="82" t="e">
        <f>SUMIF(#REF!,funkcijska!$E442,#REF!)</f>
        <v>#REF!</v>
      </c>
      <c r="H442" s="82" t="e">
        <f>SUMIF(#REF!,funkcijska!$E442,#REF!)</f>
        <v>#REF!</v>
      </c>
      <c r="I442" s="82" t="e">
        <f>SUMIF(#REF!,funkcijska!$E442,#REF!)</f>
        <v>#REF!</v>
      </c>
      <c r="J442" s="82" t="e">
        <f>SUMIF(#REF!,funkcijska!$E442,#REF!)</f>
        <v>#REF!</v>
      </c>
      <c r="K442" s="82" t="e">
        <f>SUMIF(#REF!,funkcijska!$E442,#REF!)</f>
        <v>#REF!</v>
      </c>
      <c r="L442" s="82" t="e">
        <f t="shared" si="213"/>
        <v>#REF!</v>
      </c>
      <c r="M442" s="82" t="e">
        <f t="shared" si="214"/>
        <v>#REF!</v>
      </c>
      <c r="N442" s="82" t="e">
        <f>SUMIF(#REF!,funkcijska!$E442,#REF!)</f>
        <v>#REF!</v>
      </c>
      <c r="O442" s="82" t="e">
        <f>SUMIF(#REF!,funkcijska!$E442,#REF!)</f>
        <v>#REF!</v>
      </c>
      <c r="P442" s="82" t="e">
        <f>SUMIF(#REF!,funkcijska!$E442,#REF!)</f>
        <v>#REF!</v>
      </c>
      <c r="Q442" s="386" t="e">
        <f>SUMIF(#REF!,funkcijska!$E442,#REF!)</f>
        <v>#REF!</v>
      </c>
      <c r="R442" s="82" t="e">
        <f>SUMIF(#REF!,funkcijska!$E442,#REF!)</f>
        <v>#REF!</v>
      </c>
      <c r="S442" s="82" t="e">
        <f>SUMIF(#REF!,funkcijska!$E442,#REF!)</f>
        <v>#REF!</v>
      </c>
      <c r="T442" s="82" t="e">
        <f>SUMIF(#REF!,funkcijska!$E$79,#REF!)</f>
        <v>#REF!</v>
      </c>
      <c r="U442" s="357" t="e">
        <f>SUMIF(#REF!,funkcijska!$E442,#REF!)</f>
        <v>#REF!</v>
      </c>
      <c r="V442" s="357" t="e">
        <f>SUMIF(#REF!,funkcijska!$E442,#REF!)+SUMIF(#REF!,funkcijska!$E442,#REF!)</f>
        <v>#REF!</v>
      </c>
      <c r="W442" s="357" t="e">
        <f>SUMIF(#REF!,funkcijska!$E442,#REF!)+SUMIF(#REF!,funkcijska!$E442,#REF!)</f>
        <v>#REF!</v>
      </c>
      <c r="X442" s="357" t="e">
        <f>SUMIF(#REF!,funkcijska!$E442,#REF!)+SUMIF(#REF!,funkcijska!$E442,#REF!)</f>
        <v>#REF!</v>
      </c>
      <c r="AD442" s="60"/>
      <c r="AE442" s="60"/>
      <c r="AF442" s="60"/>
      <c r="AG442" s="60"/>
      <c r="AH442" s="60"/>
      <c r="AI442" s="60"/>
      <c r="AJ442" s="60"/>
      <c r="AK442" s="60"/>
      <c r="AL442" s="60"/>
    </row>
    <row r="443" spans="1:38" s="373" customFormat="1" ht="21" customHeight="1" x14ac:dyDescent="0.25">
      <c r="A443" s="119"/>
      <c r="B443" s="119"/>
      <c r="C443" s="119"/>
      <c r="D443" s="119" t="str">
        <f>LEFT(E444,3)</f>
        <v>385</v>
      </c>
      <c r="E443" s="119"/>
      <c r="F443" s="368" t="s">
        <v>545</v>
      </c>
      <c r="G443" s="369" t="e">
        <f>G444</f>
        <v>#REF!</v>
      </c>
      <c r="H443" s="370" t="e">
        <f>H444</f>
        <v>#REF!</v>
      </c>
      <c r="I443" s="369" t="e">
        <f>I444</f>
        <v>#REF!</v>
      </c>
      <c r="J443" s="369" t="e">
        <f>J444</f>
        <v>#REF!</v>
      </c>
      <c r="K443" s="369" t="e">
        <f>K444</f>
        <v>#REF!</v>
      </c>
      <c r="L443" s="369" t="e">
        <f t="shared" si="213"/>
        <v>#REF!</v>
      </c>
      <c r="M443" s="369" t="e">
        <f t="shared" si="214"/>
        <v>#REF!</v>
      </c>
      <c r="N443" s="369" t="e">
        <f t="shared" ref="N443:X443" si="218">N444</f>
        <v>#REF!</v>
      </c>
      <c r="O443" s="137" t="e">
        <f t="shared" si="218"/>
        <v>#REF!</v>
      </c>
      <c r="P443" s="137" t="e">
        <f t="shared" si="218"/>
        <v>#REF!</v>
      </c>
      <c r="Q443" s="393" t="e">
        <f t="shared" si="218"/>
        <v>#REF!</v>
      </c>
      <c r="R443" s="137" t="e">
        <f t="shared" si="218"/>
        <v>#REF!</v>
      </c>
      <c r="S443" s="137" t="e">
        <f t="shared" si="218"/>
        <v>#REF!</v>
      </c>
      <c r="T443" s="137" t="e">
        <f t="shared" si="218"/>
        <v>#REF!</v>
      </c>
      <c r="U443" s="371" t="e">
        <f t="shared" si="218"/>
        <v>#REF!</v>
      </c>
      <c r="V443" s="371" t="e">
        <f t="shared" si="218"/>
        <v>#REF!</v>
      </c>
      <c r="W443" s="371" t="e">
        <f t="shared" si="218"/>
        <v>#REF!</v>
      </c>
      <c r="X443" s="371" t="e">
        <f t="shared" si="218"/>
        <v>#REF!</v>
      </c>
      <c r="Y443" s="372"/>
      <c r="Z443" s="372"/>
      <c r="AA443" s="372"/>
      <c r="AB443" s="372"/>
      <c r="AC443" s="372"/>
      <c r="AD443" s="372"/>
      <c r="AE443" s="372"/>
      <c r="AF443" s="372"/>
      <c r="AG443" s="372"/>
      <c r="AH443" s="372"/>
      <c r="AI443" s="372"/>
      <c r="AJ443" s="372"/>
      <c r="AK443" s="372"/>
      <c r="AL443" s="372"/>
    </row>
    <row r="444" spans="1:38" ht="21.75" customHeight="1" x14ac:dyDescent="0.25">
      <c r="A444" s="80"/>
      <c r="B444" s="80"/>
      <c r="C444" s="80"/>
      <c r="D444" s="80"/>
      <c r="E444" s="80">
        <v>3851</v>
      </c>
      <c r="F444" s="81" t="s">
        <v>546</v>
      </c>
      <c r="G444" s="82" t="e">
        <f>SUMIF(#REF!,funkcijska!$E444,#REF!)</f>
        <v>#REF!</v>
      </c>
      <c r="H444" s="82" t="e">
        <f>SUMIF(#REF!,funkcijska!$E444,#REF!)</f>
        <v>#REF!</v>
      </c>
      <c r="I444" s="82" t="e">
        <f>SUMIF(#REF!,funkcijska!$E444,#REF!)</f>
        <v>#REF!</v>
      </c>
      <c r="J444" s="82" t="e">
        <f>SUMIF(#REF!,funkcijska!$E444,#REF!)</f>
        <v>#REF!</v>
      </c>
      <c r="K444" s="82" t="e">
        <f>SUMIF(#REF!,funkcijska!$E444,#REF!)</f>
        <v>#REF!</v>
      </c>
      <c r="L444" s="82" t="e">
        <f t="shared" si="213"/>
        <v>#REF!</v>
      </c>
      <c r="M444" s="82" t="e">
        <f t="shared" si="214"/>
        <v>#REF!</v>
      </c>
      <c r="N444" s="82" t="e">
        <f>SUMIF(#REF!,funkcijska!$E444,#REF!)</f>
        <v>#REF!</v>
      </c>
      <c r="O444" s="82" t="e">
        <f>SUMIF(#REF!,funkcijska!$E444,#REF!)</f>
        <v>#REF!</v>
      </c>
      <c r="P444" s="82" t="e">
        <f>SUMIF(#REF!,funkcijska!$E444,#REF!)</f>
        <v>#REF!</v>
      </c>
      <c r="Q444" s="386" t="e">
        <f>SUMIF(#REF!,funkcijska!$E444,#REF!)</f>
        <v>#REF!</v>
      </c>
      <c r="R444" s="82" t="e">
        <f>SUMIF(#REF!,funkcijska!$E444,#REF!)</f>
        <v>#REF!</v>
      </c>
      <c r="S444" s="82" t="e">
        <f>SUMIF(#REF!,funkcijska!$E444,#REF!)</f>
        <v>#REF!</v>
      </c>
      <c r="T444" s="82" t="e">
        <f>SUMIF(#REF!,funkcijska!$E$82,#REF!)</f>
        <v>#REF!</v>
      </c>
      <c r="U444" s="357" t="e">
        <f>SUMIF(#REF!,funkcijska!$E444,#REF!)</f>
        <v>#REF!</v>
      </c>
      <c r="V444" s="357" t="e">
        <f>SUMIF(#REF!,funkcijska!$E444,#REF!)+SUMIF(#REF!,funkcijska!$E444,#REF!)</f>
        <v>#REF!</v>
      </c>
      <c r="W444" s="357" t="e">
        <f>SUMIF(#REF!,funkcijska!$E444,#REF!)+SUMIF(#REF!,funkcijska!$E444,#REF!)</f>
        <v>#REF!</v>
      </c>
      <c r="X444" s="357" t="e">
        <f>SUMIF(#REF!,funkcijska!$E444,#REF!)+SUMIF(#REF!,funkcijska!$E444,#REF!)</f>
        <v>#REF!</v>
      </c>
      <c r="AD444" s="60"/>
      <c r="AE444" s="60"/>
      <c r="AF444" s="60"/>
      <c r="AG444" s="60"/>
      <c r="AH444" s="60"/>
      <c r="AI444" s="60"/>
      <c r="AJ444" s="60"/>
      <c r="AK444" s="60"/>
      <c r="AL444" s="60"/>
    </row>
    <row r="445" spans="1:38" x14ac:dyDescent="0.25">
      <c r="A445" s="108"/>
      <c r="B445" s="108"/>
      <c r="C445" s="108"/>
      <c r="D445" s="108"/>
      <c r="E445" s="108"/>
      <c r="F445" s="104" t="s">
        <v>1021</v>
      </c>
      <c r="G445" s="110"/>
      <c r="H445" s="103"/>
      <c r="I445" s="110"/>
      <c r="J445" s="110"/>
      <c r="K445" s="110"/>
      <c r="L445" s="110"/>
      <c r="M445" s="110"/>
      <c r="N445" s="110"/>
      <c r="O445" s="110"/>
      <c r="P445" s="110"/>
      <c r="Q445" s="395"/>
      <c r="R445" s="110"/>
      <c r="S445" s="110"/>
      <c r="T445" s="110"/>
      <c r="U445" s="361"/>
      <c r="V445" s="361"/>
      <c r="W445" s="361"/>
      <c r="X445" s="361"/>
      <c r="AD445" s="60"/>
      <c r="AE445" s="60"/>
      <c r="AF445" s="60"/>
      <c r="AG445" s="60"/>
      <c r="AH445" s="60"/>
      <c r="AI445" s="60"/>
      <c r="AJ445" s="60"/>
      <c r="AK445" s="60"/>
      <c r="AL445" s="60"/>
    </row>
    <row r="446" spans="1:38" x14ac:dyDescent="0.25">
      <c r="A446" s="74"/>
      <c r="B446" s="105" t="str">
        <f>LEFT(E455,1)</f>
        <v>4</v>
      </c>
      <c r="C446" s="105"/>
      <c r="D446" s="105"/>
      <c r="E446" s="105"/>
      <c r="F446" s="72" t="s">
        <v>552</v>
      </c>
      <c r="G446" s="313" t="e">
        <f>G447+G453+G475</f>
        <v>#REF!</v>
      </c>
      <c r="H446" s="73" t="e">
        <f>H447+H453+H475</f>
        <v>#REF!</v>
      </c>
      <c r="I446" s="313" t="e">
        <f>I447+I453+I475</f>
        <v>#REF!</v>
      </c>
      <c r="J446" s="313" t="e">
        <f>J447+J453+J475</f>
        <v>#REF!</v>
      </c>
      <c r="K446" s="313" t="e">
        <f>K447+K453+K475</f>
        <v>#REF!</v>
      </c>
      <c r="L446" s="313" t="e">
        <f t="shared" ref="L446:L453" si="219">ROUND(K446/J446*100,2)</f>
        <v>#REF!</v>
      </c>
      <c r="M446" s="313" t="e">
        <f t="shared" ref="M446:M453" si="220">N446-J446</f>
        <v>#REF!</v>
      </c>
      <c r="N446" s="313" t="e">
        <f t="shared" ref="N446:X446" si="221">N447+N453+N475</f>
        <v>#REF!</v>
      </c>
      <c r="O446" s="73" t="e">
        <f t="shared" si="221"/>
        <v>#REF!</v>
      </c>
      <c r="P446" s="73" t="e">
        <f t="shared" si="221"/>
        <v>#REF!</v>
      </c>
      <c r="Q446" s="412" t="e">
        <f t="shared" si="221"/>
        <v>#REF!</v>
      </c>
      <c r="R446" s="76" t="e">
        <f t="shared" si="221"/>
        <v>#REF!</v>
      </c>
      <c r="S446" s="76" t="e">
        <f t="shared" si="221"/>
        <v>#REF!</v>
      </c>
      <c r="T446" s="76" t="e">
        <f t="shared" si="221"/>
        <v>#REF!</v>
      </c>
      <c r="U446" s="355" t="e">
        <f t="shared" si="221"/>
        <v>#REF!</v>
      </c>
      <c r="V446" s="355" t="e">
        <f t="shared" si="221"/>
        <v>#REF!</v>
      </c>
      <c r="W446" s="355" t="e">
        <f t="shared" si="221"/>
        <v>#REF!</v>
      </c>
      <c r="X446" s="355" t="e">
        <f t="shared" si="221"/>
        <v>#REF!</v>
      </c>
      <c r="AD446" s="60"/>
      <c r="AE446" s="60"/>
      <c r="AF446" s="60"/>
      <c r="AG446" s="60"/>
      <c r="AH446" s="60"/>
      <c r="AI446" s="60"/>
      <c r="AJ446" s="60"/>
      <c r="AK446" s="60"/>
      <c r="AL446" s="60"/>
    </row>
    <row r="447" spans="1:38" ht="36" x14ac:dyDescent="0.25">
      <c r="A447" s="125"/>
      <c r="B447" s="74"/>
      <c r="C447" s="74">
        <v>41</v>
      </c>
      <c r="D447" s="74"/>
      <c r="E447" s="74"/>
      <c r="F447" s="75" t="s">
        <v>753</v>
      </c>
      <c r="G447" s="77" t="e">
        <f>G450+G448</f>
        <v>#REF!</v>
      </c>
      <c r="H447" s="118" t="e">
        <f>H450+H448</f>
        <v>#REF!</v>
      </c>
      <c r="I447" s="77" t="e">
        <f>I450+I448</f>
        <v>#REF!</v>
      </c>
      <c r="J447" s="77" t="e">
        <f>J450+J448</f>
        <v>#REF!</v>
      </c>
      <c r="K447" s="77" t="e">
        <f>K450+K448</f>
        <v>#REF!</v>
      </c>
      <c r="L447" s="77" t="e">
        <f t="shared" si="219"/>
        <v>#REF!</v>
      </c>
      <c r="M447" s="77" t="e">
        <f t="shared" si="220"/>
        <v>#REF!</v>
      </c>
      <c r="N447" s="77" t="e">
        <f t="shared" ref="N447:X447" si="222">N450+N448</f>
        <v>#REF!</v>
      </c>
      <c r="O447" s="76" t="e">
        <f t="shared" si="222"/>
        <v>#REF!</v>
      </c>
      <c r="P447" s="76" t="e">
        <f t="shared" si="222"/>
        <v>#REF!</v>
      </c>
      <c r="Q447" s="385" t="e">
        <f t="shared" si="222"/>
        <v>#REF!</v>
      </c>
      <c r="R447" s="135" t="e">
        <f t="shared" si="222"/>
        <v>#REF!</v>
      </c>
      <c r="S447" s="135" t="e">
        <f t="shared" si="222"/>
        <v>#REF!</v>
      </c>
      <c r="T447" s="135" t="e">
        <f t="shared" si="222"/>
        <v>#REF!</v>
      </c>
      <c r="U447" s="356" t="e">
        <f t="shared" si="222"/>
        <v>#REF!</v>
      </c>
      <c r="V447" s="356" t="e">
        <f t="shared" si="222"/>
        <v>#REF!</v>
      </c>
      <c r="W447" s="356" t="e">
        <f t="shared" si="222"/>
        <v>#REF!</v>
      </c>
      <c r="X447" s="356" t="e">
        <f t="shared" si="222"/>
        <v>#REF!</v>
      </c>
      <c r="AD447" s="60"/>
      <c r="AE447" s="60"/>
      <c r="AF447" s="60"/>
      <c r="AG447" s="60"/>
      <c r="AH447" s="60"/>
      <c r="AI447" s="60"/>
      <c r="AJ447" s="60"/>
      <c r="AK447" s="60"/>
      <c r="AL447" s="60"/>
    </row>
    <row r="448" spans="1:38" s="373" customFormat="1" ht="17.25" customHeight="1" x14ac:dyDescent="0.25">
      <c r="A448" s="119"/>
      <c r="B448" s="119"/>
      <c r="C448" s="119"/>
      <c r="D448" s="119" t="s">
        <v>1022</v>
      </c>
      <c r="E448" s="119"/>
      <c r="F448" s="368" t="s">
        <v>471</v>
      </c>
      <c r="G448" s="369" t="e">
        <f>G449</f>
        <v>#REF!</v>
      </c>
      <c r="H448" s="370" t="e">
        <f>H449</f>
        <v>#REF!</v>
      </c>
      <c r="I448" s="369" t="e">
        <f>I449</f>
        <v>#REF!</v>
      </c>
      <c r="J448" s="369" t="e">
        <f>J449</f>
        <v>#REF!</v>
      </c>
      <c r="K448" s="369" t="e">
        <f>K449</f>
        <v>#REF!</v>
      </c>
      <c r="L448" s="369" t="e">
        <f t="shared" si="219"/>
        <v>#REF!</v>
      </c>
      <c r="M448" s="369" t="e">
        <f t="shared" si="220"/>
        <v>#REF!</v>
      </c>
      <c r="N448" s="369" t="e">
        <f t="shared" ref="N448:X448" si="223">N449</f>
        <v>#REF!</v>
      </c>
      <c r="O448" s="137" t="e">
        <f t="shared" si="223"/>
        <v>#REF!</v>
      </c>
      <c r="P448" s="137" t="e">
        <f t="shared" si="223"/>
        <v>#REF!</v>
      </c>
      <c r="Q448" s="393" t="e">
        <f t="shared" si="223"/>
        <v>#REF!</v>
      </c>
      <c r="R448" s="137" t="e">
        <f t="shared" si="223"/>
        <v>#REF!</v>
      </c>
      <c r="S448" s="137" t="e">
        <f t="shared" si="223"/>
        <v>#REF!</v>
      </c>
      <c r="T448" s="137" t="e">
        <f t="shared" si="223"/>
        <v>#REF!</v>
      </c>
      <c r="U448" s="371" t="e">
        <f t="shared" si="223"/>
        <v>#REF!</v>
      </c>
      <c r="V448" s="371" t="e">
        <f t="shared" si="223"/>
        <v>#REF!</v>
      </c>
      <c r="W448" s="371" t="e">
        <f t="shared" si="223"/>
        <v>#REF!</v>
      </c>
      <c r="X448" s="371" t="e">
        <f t="shared" si="223"/>
        <v>#REF!</v>
      </c>
      <c r="Y448" s="372"/>
      <c r="Z448" s="372"/>
      <c r="AA448" s="372"/>
      <c r="AB448" s="372"/>
      <c r="AC448" s="372"/>
      <c r="AD448" s="372"/>
      <c r="AE448" s="372"/>
      <c r="AF448" s="372"/>
      <c r="AG448" s="372"/>
      <c r="AH448" s="372"/>
      <c r="AI448" s="372"/>
      <c r="AJ448" s="372"/>
      <c r="AK448" s="372"/>
      <c r="AL448" s="372"/>
    </row>
    <row r="449" spans="1:38" ht="24.75" customHeight="1" x14ac:dyDescent="0.25">
      <c r="A449" s="80"/>
      <c r="B449" s="80"/>
      <c r="C449" s="80"/>
      <c r="D449" s="80"/>
      <c r="E449" s="80">
        <v>4111</v>
      </c>
      <c r="F449" s="81" t="s">
        <v>755</v>
      </c>
      <c r="G449" s="82" t="e">
        <f>SUMIF(#REF!,funkcijska!$E449,#REF!)</f>
        <v>#REF!</v>
      </c>
      <c r="H449" s="82" t="e">
        <f>SUMIF(#REF!,funkcijska!$E449,#REF!)</f>
        <v>#REF!</v>
      </c>
      <c r="I449" s="82" t="e">
        <f>SUMIF(#REF!,funkcijska!$E449,#REF!)</f>
        <v>#REF!</v>
      </c>
      <c r="J449" s="82" t="e">
        <f>SUMIF(#REF!,funkcijska!$E449,#REF!)</f>
        <v>#REF!</v>
      </c>
      <c r="K449" s="82" t="e">
        <f>SUMIF(#REF!,funkcijska!$E449,#REF!)</f>
        <v>#REF!</v>
      </c>
      <c r="L449" s="82" t="e">
        <f t="shared" si="219"/>
        <v>#REF!</v>
      </c>
      <c r="M449" s="82" t="e">
        <f t="shared" si="220"/>
        <v>#REF!</v>
      </c>
      <c r="N449" s="82" t="e">
        <f>SUMIF(#REF!,funkcijska!$E449,#REF!)</f>
        <v>#REF!</v>
      </c>
      <c r="O449" s="82" t="e">
        <f>SUMIF(#REF!,funkcijska!$E449,#REF!)</f>
        <v>#REF!</v>
      </c>
      <c r="P449" s="82" t="e">
        <f>SUMIF(#REF!,funkcijska!$E449,#REF!)</f>
        <v>#REF!</v>
      </c>
      <c r="Q449" s="386" t="e">
        <f>SUMIF(#REF!,funkcijska!$E449,#REF!)</f>
        <v>#REF!</v>
      </c>
      <c r="R449" s="82" t="e">
        <f>SUMIF(#REF!,funkcijska!$E449,#REF!)</f>
        <v>#REF!</v>
      </c>
      <c r="S449" s="82" t="e">
        <f>SUMIF(#REF!,funkcijska!$E449,#REF!)</f>
        <v>#REF!</v>
      </c>
      <c r="T449" s="82" t="e">
        <f>SUMIF(#REF!,funkcijska!$E$87,#REF!)</f>
        <v>#REF!</v>
      </c>
      <c r="U449" s="357" t="e">
        <f>SUMIF(#REF!,funkcijska!$E449,#REF!)</f>
        <v>#REF!</v>
      </c>
      <c r="V449" s="357" t="e">
        <f>SUMIF(#REF!,funkcijska!$E449,#REF!)+SUMIF(#REF!,funkcijska!$E449,#REF!)</f>
        <v>#REF!</v>
      </c>
      <c r="W449" s="357" t="e">
        <f>SUMIF(#REF!,funkcijska!$E449,#REF!)+SUMIF(#REF!,funkcijska!$E449,#REF!)</f>
        <v>#REF!</v>
      </c>
      <c r="X449" s="357" t="e">
        <f>SUMIF(#REF!,funkcijska!$E449,#REF!)+SUMIF(#REF!,funkcijska!$E449,#REF!)</f>
        <v>#REF!</v>
      </c>
      <c r="AD449" s="60"/>
      <c r="AE449" s="60"/>
      <c r="AF449" s="60"/>
      <c r="AG449" s="60"/>
      <c r="AH449" s="60"/>
      <c r="AI449" s="60"/>
      <c r="AJ449" s="60"/>
      <c r="AK449" s="60"/>
      <c r="AL449" s="60"/>
    </row>
    <row r="450" spans="1:38" s="373" customFormat="1" ht="18.75" customHeight="1" x14ac:dyDescent="0.25">
      <c r="A450" s="119"/>
      <c r="B450" s="119"/>
      <c r="C450" s="119"/>
      <c r="D450" s="119">
        <v>412</v>
      </c>
      <c r="E450" s="119"/>
      <c r="F450" s="368" t="s">
        <v>553</v>
      </c>
      <c r="G450" s="137" t="e">
        <f>G451+G452</f>
        <v>#REF!</v>
      </c>
      <c r="H450" s="137" t="e">
        <f>H451+H452</f>
        <v>#REF!</v>
      </c>
      <c r="I450" s="137" t="e">
        <f>I451+I452</f>
        <v>#REF!</v>
      </c>
      <c r="J450" s="137" t="e">
        <f>J451+J452</f>
        <v>#REF!</v>
      </c>
      <c r="K450" s="137" t="e">
        <f>K451+K452</f>
        <v>#REF!</v>
      </c>
      <c r="L450" s="137" t="e">
        <f t="shared" si="219"/>
        <v>#REF!</v>
      </c>
      <c r="M450" s="137" t="e">
        <f t="shared" si="220"/>
        <v>#REF!</v>
      </c>
      <c r="N450" s="137" t="e">
        <f t="shared" ref="N450:X450" si="224">N451+N452</f>
        <v>#REF!</v>
      </c>
      <c r="O450" s="137" t="e">
        <f t="shared" si="224"/>
        <v>#REF!</v>
      </c>
      <c r="P450" s="137" t="e">
        <f t="shared" si="224"/>
        <v>#REF!</v>
      </c>
      <c r="Q450" s="393" t="e">
        <f t="shared" si="224"/>
        <v>#REF!</v>
      </c>
      <c r="R450" s="137" t="e">
        <f t="shared" si="224"/>
        <v>#REF!</v>
      </c>
      <c r="S450" s="137" t="e">
        <f t="shared" si="224"/>
        <v>#REF!</v>
      </c>
      <c r="T450" s="137" t="e">
        <f t="shared" si="224"/>
        <v>#REF!</v>
      </c>
      <c r="U450" s="371" t="e">
        <f t="shared" si="224"/>
        <v>#REF!</v>
      </c>
      <c r="V450" s="371" t="e">
        <f t="shared" si="224"/>
        <v>#REF!</v>
      </c>
      <c r="W450" s="371" t="e">
        <f t="shared" si="224"/>
        <v>#REF!</v>
      </c>
      <c r="X450" s="371" t="e">
        <f t="shared" si="224"/>
        <v>#REF!</v>
      </c>
      <c r="Y450" s="372"/>
      <c r="Z450" s="372"/>
      <c r="AA450" s="372"/>
      <c r="AB450" s="372"/>
      <c r="AC450" s="372"/>
      <c r="AD450" s="372"/>
      <c r="AE450" s="372"/>
      <c r="AF450" s="372"/>
      <c r="AG450" s="372"/>
      <c r="AH450" s="372"/>
      <c r="AI450" s="372"/>
      <c r="AJ450" s="372"/>
      <c r="AK450" s="372"/>
      <c r="AL450" s="372"/>
    </row>
    <row r="451" spans="1:38" ht="18" customHeight="1" x14ac:dyDescent="0.25">
      <c r="A451" s="80"/>
      <c r="B451" s="80"/>
      <c r="C451" s="80"/>
      <c r="D451" s="80"/>
      <c r="E451" s="80">
        <v>4123</v>
      </c>
      <c r="F451" s="81" t="s">
        <v>554</v>
      </c>
      <c r="G451" s="82" t="e">
        <f>SUMIF(#REF!,funkcijska!$E451,#REF!)</f>
        <v>#REF!</v>
      </c>
      <c r="H451" s="82" t="e">
        <f>SUMIF(#REF!,funkcijska!$E451,#REF!)</f>
        <v>#REF!</v>
      </c>
      <c r="I451" s="82" t="e">
        <f>SUMIF(#REF!,funkcijska!$E451,#REF!)</f>
        <v>#REF!</v>
      </c>
      <c r="J451" s="82" t="e">
        <f>SUMIF(#REF!,funkcijska!$E451,#REF!)</f>
        <v>#REF!</v>
      </c>
      <c r="K451" s="82" t="e">
        <f>SUMIF(#REF!,funkcijska!$E451,#REF!)</f>
        <v>#REF!</v>
      </c>
      <c r="L451" s="82" t="e">
        <f t="shared" si="219"/>
        <v>#REF!</v>
      </c>
      <c r="M451" s="82" t="e">
        <f t="shared" si="220"/>
        <v>#REF!</v>
      </c>
      <c r="N451" s="82" t="e">
        <f>SUMIF(#REF!,funkcijska!$E451,#REF!)</f>
        <v>#REF!</v>
      </c>
      <c r="O451" s="82" t="e">
        <f>SUMIF(#REF!,funkcijska!$E451,#REF!)</f>
        <v>#REF!</v>
      </c>
      <c r="P451" s="82" t="e">
        <f>SUMIF(#REF!,funkcijska!$E451,#REF!)</f>
        <v>#REF!</v>
      </c>
      <c r="Q451" s="386" t="e">
        <f>SUMIF(#REF!,funkcijska!$E451,#REF!)</f>
        <v>#REF!</v>
      </c>
      <c r="R451" s="82" t="e">
        <f>SUMIF(#REF!,funkcijska!$E451,#REF!)</f>
        <v>#REF!</v>
      </c>
      <c r="S451" s="82" t="e">
        <f>SUMIF(#REF!,funkcijska!$E451,#REF!)</f>
        <v>#REF!</v>
      </c>
      <c r="T451" s="82" t="e">
        <f>SUMIF(#REF!,funkcijska!$E$89,#REF!)</f>
        <v>#REF!</v>
      </c>
      <c r="U451" s="357" t="e">
        <f>SUMIF(#REF!,funkcijska!$E451,#REF!)</f>
        <v>#REF!</v>
      </c>
      <c r="V451" s="357" t="e">
        <f>SUMIF(#REF!,funkcijska!$E451,#REF!)+SUMIF(#REF!,funkcijska!$E451,#REF!)</f>
        <v>#REF!</v>
      </c>
      <c r="W451" s="357" t="e">
        <f>SUMIF(#REF!,funkcijska!$E451,#REF!)+SUMIF(#REF!,funkcijska!$E451,#REF!)</f>
        <v>#REF!</v>
      </c>
      <c r="X451" s="357" t="e">
        <f>SUMIF(#REF!,funkcijska!$E451,#REF!)+SUMIF(#REF!,funkcijska!$E451,#REF!)</f>
        <v>#REF!</v>
      </c>
      <c r="AD451" s="60"/>
      <c r="AE451" s="60"/>
      <c r="AF451" s="60"/>
      <c r="AG451" s="60"/>
      <c r="AH451" s="60"/>
      <c r="AI451" s="60"/>
      <c r="AJ451" s="60"/>
      <c r="AK451" s="60"/>
      <c r="AL451" s="60"/>
    </row>
    <row r="452" spans="1:38" ht="18.75" hidden="1" customHeight="1" x14ac:dyDescent="0.25">
      <c r="A452" s="80"/>
      <c r="B452" s="80"/>
      <c r="C452" s="80"/>
      <c r="D452" s="80"/>
      <c r="E452" s="136" t="s">
        <v>1023</v>
      </c>
      <c r="F452" s="81" t="s">
        <v>1024</v>
      </c>
      <c r="G452" s="82" t="e">
        <f>SUMIF(#REF!,funkcijska!$E452,#REF!)</f>
        <v>#REF!</v>
      </c>
      <c r="H452" s="82" t="e">
        <f>SUMIF(#REF!,funkcijska!$E452,#REF!)</f>
        <v>#REF!</v>
      </c>
      <c r="I452" s="82" t="e">
        <f>SUMIF(#REF!,funkcijska!$E452,#REF!)</f>
        <v>#REF!</v>
      </c>
      <c r="J452" s="82" t="e">
        <f>SUMIF(#REF!,funkcijska!$E452,#REF!)</f>
        <v>#REF!</v>
      </c>
      <c r="K452" s="82" t="e">
        <f>SUMIF(#REF!,funkcijska!$E452,#REF!)</f>
        <v>#REF!</v>
      </c>
      <c r="L452" s="82" t="e">
        <f t="shared" si="219"/>
        <v>#REF!</v>
      </c>
      <c r="M452" s="82" t="e">
        <f t="shared" si="220"/>
        <v>#REF!</v>
      </c>
      <c r="N452" s="82" t="e">
        <f>SUMIF(#REF!,funkcijska!$E452,#REF!)</f>
        <v>#REF!</v>
      </c>
      <c r="O452" s="82" t="e">
        <f>SUMIF(#REF!,funkcijska!$E452,#REF!)</f>
        <v>#REF!</v>
      </c>
      <c r="P452" s="82" t="e">
        <f>SUMIF(#REF!,funkcijska!$E452,#REF!)</f>
        <v>#REF!</v>
      </c>
      <c r="Q452" s="389" t="e">
        <f>U452-O452</f>
        <v>#REF!</v>
      </c>
      <c r="R452" s="82" t="e">
        <f>SUMIF(#REF!,funkcijska!$E452,#REF!)</f>
        <v>#REF!</v>
      </c>
      <c r="S452" s="82" t="e">
        <f>SUMIF(#REF!,funkcijska!$E452,#REF!)</f>
        <v>#REF!</v>
      </c>
      <c r="T452" s="82" t="e">
        <f>SUMIF(#REF!,funkcijska!$E$90,#REF!)</f>
        <v>#REF!</v>
      </c>
      <c r="U452" s="357" t="e">
        <f>SUMIF(#REF!,funkcijska!$E452,#REF!)</f>
        <v>#REF!</v>
      </c>
      <c r="V452" s="357" t="e">
        <f>SUMIF(#REF!,funkcijska!$E452,#REF!)</f>
        <v>#REF!</v>
      </c>
      <c r="W452" s="357" t="e">
        <f>SUMIF(#REF!,funkcijska!$E452,#REF!)</f>
        <v>#REF!</v>
      </c>
      <c r="X452" s="357" t="e">
        <f>SUMIF(#REF!,funkcijska!$E452,#REF!)</f>
        <v>#REF!</v>
      </c>
      <c r="AD452" s="60"/>
      <c r="AE452" s="60"/>
      <c r="AF452" s="60"/>
      <c r="AG452" s="60"/>
      <c r="AH452" s="60"/>
      <c r="AI452" s="60"/>
      <c r="AJ452" s="60"/>
      <c r="AK452" s="60"/>
      <c r="AL452" s="60"/>
    </row>
    <row r="453" spans="1:38" ht="36.75" customHeight="1" x14ac:dyDescent="0.25">
      <c r="A453" s="125"/>
      <c r="B453" s="74"/>
      <c r="C453" s="74" t="str">
        <f>LEFT(E455,2)</f>
        <v>42</v>
      </c>
      <c r="D453" s="74"/>
      <c r="E453" s="74"/>
      <c r="F453" s="75" t="s">
        <v>212</v>
      </c>
      <c r="G453" s="77" t="e">
        <f>G454+G458+G466+G468+G472+G470</f>
        <v>#REF!</v>
      </c>
      <c r="H453" s="118" t="e">
        <f>H454+H458+H466+H468+H472+H470</f>
        <v>#REF!</v>
      </c>
      <c r="I453" s="77" t="e">
        <f>I454+I458+I466+I468+I472+I470</f>
        <v>#REF!</v>
      </c>
      <c r="J453" s="77" t="e">
        <f>J454+J458+J466+J468+J472+J470</f>
        <v>#REF!</v>
      </c>
      <c r="K453" s="77" t="e">
        <f>K454+K458+K466+K468+K472+K470</f>
        <v>#REF!</v>
      </c>
      <c r="L453" s="77" t="e">
        <f t="shared" si="219"/>
        <v>#REF!</v>
      </c>
      <c r="M453" s="77" t="e">
        <f t="shared" si="220"/>
        <v>#REF!</v>
      </c>
      <c r="N453" s="77" t="e">
        <f t="shared" ref="N453:X453" si="225">N454+N458+N466+N468+N472+N470</f>
        <v>#REF!</v>
      </c>
      <c r="O453" s="76" t="e">
        <f t="shared" si="225"/>
        <v>#REF!</v>
      </c>
      <c r="P453" s="76" t="e">
        <f t="shared" si="225"/>
        <v>#REF!</v>
      </c>
      <c r="Q453" s="385" t="e">
        <f t="shared" si="225"/>
        <v>#REF!</v>
      </c>
      <c r="R453" s="135" t="e">
        <f t="shared" si="225"/>
        <v>#REF!</v>
      </c>
      <c r="S453" s="135" t="e">
        <f t="shared" si="225"/>
        <v>#REF!</v>
      </c>
      <c r="T453" s="135" t="e">
        <f t="shared" si="225"/>
        <v>#REF!</v>
      </c>
      <c r="U453" s="356" t="e">
        <f t="shared" si="225"/>
        <v>#REF!</v>
      </c>
      <c r="V453" s="356" t="e">
        <f t="shared" si="225"/>
        <v>#REF!</v>
      </c>
      <c r="W453" s="356" t="e">
        <f t="shared" si="225"/>
        <v>#REF!</v>
      </c>
      <c r="X453" s="356" t="e">
        <f t="shared" si="225"/>
        <v>#REF!</v>
      </c>
      <c r="AD453" s="60"/>
      <c r="AE453" s="60"/>
      <c r="AF453" s="60"/>
      <c r="AG453" s="60"/>
      <c r="AH453" s="60"/>
      <c r="AI453" s="60"/>
      <c r="AJ453" s="60"/>
      <c r="AK453" s="60"/>
      <c r="AL453" s="60"/>
    </row>
    <row r="454" spans="1:38" s="373" customFormat="1" ht="17.25" customHeight="1" x14ac:dyDescent="0.25">
      <c r="A454" s="119"/>
      <c r="B454" s="119"/>
      <c r="C454" s="119"/>
      <c r="D454" s="119" t="str">
        <f>LEFT(E455,3)</f>
        <v>421</v>
      </c>
      <c r="E454" s="119"/>
      <c r="F454" s="368" t="s">
        <v>759</v>
      </c>
      <c r="G454" s="369" t="e">
        <f t="shared" ref="G454:X454" si="226">SUM(G455:G457)</f>
        <v>#REF!</v>
      </c>
      <c r="H454" s="370" t="e">
        <f t="shared" si="226"/>
        <v>#REF!</v>
      </c>
      <c r="I454" s="369" t="e">
        <f t="shared" si="226"/>
        <v>#REF!</v>
      </c>
      <c r="J454" s="369" t="e">
        <f t="shared" si="226"/>
        <v>#REF!</v>
      </c>
      <c r="K454" s="369" t="e">
        <f t="shared" si="226"/>
        <v>#REF!</v>
      </c>
      <c r="L454" s="369" t="e">
        <f t="shared" si="226"/>
        <v>#REF!</v>
      </c>
      <c r="M454" s="369" t="e">
        <f t="shared" si="226"/>
        <v>#REF!</v>
      </c>
      <c r="N454" s="369" t="e">
        <f t="shared" si="226"/>
        <v>#REF!</v>
      </c>
      <c r="O454" s="369" t="e">
        <f t="shared" si="226"/>
        <v>#REF!</v>
      </c>
      <c r="P454" s="369" t="e">
        <f t="shared" si="226"/>
        <v>#REF!</v>
      </c>
      <c r="Q454" s="392" t="e">
        <f t="shared" si="226"/>
        <v>#REF!</v>
      </c>
      <c r="R454" s="369" t="e">
        <f t="shared" si="226"/>
        <v>#REF!</v>
      </c>
      <c r="S454" s="369" t="e">
        <f t="shared" si="226"/>
        <v>#REF!</v>
      </c>
      <c r="T454" s="369" t="e">
        <f t="shared" si="226"/>
        <v>#REF!</v>
      </c>
      <c r="U454" s="374" t="e">
        <f t="shared" si="226"/>
        <v>#REF!</v>
      </c>
      <c r="V454" s="374" t="e">
        <f t="shared" si="226"/>
        <v>#REF!</v>
      </c>
      <c r="W454" s="374" t="e">
        <f t="shared" si="226"/>
        <v>#REF!</v>
      </c>
      <c r="X454" s="374" t="e">
        <f t="shared" si="226"/>
        <v>#REF!</v>
      </c>
      <c r="Y454" s="372"/>
      <c r="Z454" s="372"/>
      <c r="AA454" s="372"/>
      <c r="AB454" s="372"/>
      <c r="AC454" s="372"/>
      <c r="AD454" s="372"/>
      <c r="AE454" s="372"/>
      <c r="AF454" s="372"/>
      <c r="AG454" s="372"/>
      <c r="AH454" s="372"/>
      <c r="AI454" s="372"/>
      <c r="AJ454" s="372"/>
      <c r="AK454" s="372"/>
      <c r="AL454" s="372"/>
    </row>
    <row r="455" spans="1:38" ht="21" customHeight="1" x14ac:dyDescent="0.25">
      <c r="A455" s="80"/>
      <c r="B455" s="80"/>
      <c r="C455" s="80"/>
      <c r="D455" s="80"/>
      <c r="E455" s="80">
        <v>4212</v>
      </c>
      <c r="F455" s="81" t="s">
        <v>1025</v>
      </c>
      <c r="G455" s="82" t="e">
        <f>SUMIF(#REF!,funkcijska!$E455,#REF!)</f>
        <v>#REF!</v>
      </c>
      <c r="H455" s="82" t="e">
        <f>SUMIF(#REF!,funkcijska!$E455,#REF!)</f>
        <v>#REF!</v>
      </c>
      <c r="I455" s="82" t="e">
        <f>SUMIF(#REF!,funkcijska!$E455,#REF!)</f>
        <v>#REF!</v>
      </c>
      <c r="J455" s="82" t="e">
        <f>SUMIF(#REF!,funkcijska!$E455,#REF!)</f>
        <v>#REF!</v>
      </c>
      <c r="K455" s="82" t="e">
        <f>SUMIF(#REF!,funkcijska!$E455,#REF!)</f>
        <v>#REF!</v>
      </c>
      <c r="L455" s="82" t="e">
        <f>ROUND(K455/J455*100,2)</f>
        <v>#REF!</v>
      </c>
      <c r="M455" s="82" t="e">
        <f>N455-J455</f>
        <v>#REF!</v>
      </c>
      <c r="N455" s="82" t="e">
        <f>SUMIF(#REF!,funkcijska!$E455,#REF!)</f>
        <v>#REF!</v>
      </c>
      <c r="O455" s="82" t="e">
        <f>SUMIF(#REF!,funkcijska!$E455,#REF!)</f>
        <v>#REF!</v>
      </c>
      <c r="P455" s="82" t="e">
        <f>SUMIF(#REF!,funkcijska!$E455,#REF!)</f>
        <v>#REF!</v>
      </c>
      <c r="Q455" s="386" t="e">
        <f>SUMIF(#REF!,funkcijska!$E455,#REF!)</f>
        <v>#REF!</v>
      </c>
      <c r="R455" s="82" t="e">
        <f>SUMIF(#REF!,funkcijska!$E455,#REF!)</f>
        <v>#REF!</v>
      </c>
      <c r="S455" s="82" t="e">
        <f>SUMIF(#REF!,funkcijska!$E455,#REF!)</f>
        <v>#REF!</v>
      </c>
      <c r="T455" s="82" t="e">
        <f>SUMIF(#REF!,funkcijska!$E$93,#REF!)</f>
        <v>#REF!</v>
      </c>
      <c r="U455" s="357" t="e">
        <f>SUMIF(#REF!,funkcijska!$E455,#REF!)</f>
        <v>#REF!</v>
      </c>
      <c r="V455" s="357" t="e">
        <f>SUMIF(#REF!,funkcijska!$E455,#REF!)+SUMIF(#REF!,funkcijska!$E455,#REF!)</f>
        <v>#REF!</v>
      </c>
      <c r="W455" s="357" t="e">
        <f>SUMIF(#REF!,funkcijska!$E455,#REF!)+SUMIF(#REF!,funkcijska!$E455,#REF!)</f>
        <v>#REF!</v>
      </c>
      <c r="X455" s="357" t="e">
        <f>SUMIF(#REF!,funkcijska!$E455,#REF!)+SUMIF(#REF!,funkcijska!$E455,#REF!)</f>
        <v>#REF!</v>
      </c>
      <c r="AD455" s="60"/>
      <c r="AE455" s="60"/>
      <c r="AF455" s="60"/>
      <c r="AG455" s="60"/>
      <c r="AH455" s="60"/>
      <c r="AI455" s="60"/>
      <c r="AJ455" s="60"/>
      <c r="AK455" s="60"/>
      <c r="AL455" s="60"/>
    </row>
    <row r="456" spans="1:38" ht="15" customHeight="1" x14ac:dyDescent="0.25">
      <c r="A456" s="80"/>
      <c r="B456" s="80"/>
      <c r="C456" s="80"/>
      <c r="D456" s="80"/>
      <c r="E456" s="80">
        <v>4213</v>
      </c>
      <c r="F456" s="81" t="s">
        <v>1026</v>
      </c>
      <c r="G456" s="82" t="e">
        <f>SUMIF(#REF!,funkcijska!$E456,#REF!)</f>
        <v>#REF!</v>
      </c>
      <c r="H456" s="82" t="e">
        <f>SUMIF(#REF!,funkcijska!$E456,#REF!)</f>
        <v>#REF!</v>
      </c>
      <c r="I456" s="82" t="e">
        <f>SUMIF(#REF!,funkcijska!$E456,#REF!)</f>
        <v>#REF!</v>
      </c>
      <c r="J456" s="82" t="e">
        <f>SUMIF(#REF!,funkcijska!$E456,#REF!)</f>
        <v>#REF!</v>
      </c>
      <c r="K456" s="82" t="e">
        <f>SUMIF(#REF!,funkcijska!$E456,#REF!)</f>
        <v>#REF!</v>
      </c>
      <c r="L456" s="82" t="e">
        <f>ROUND(K456/J456*100,2)</f>
        <v>#REF!</v>
      </c>
      <c r="M456" s="82" t="e">
        <f>N456-J456</f>
        <v>#REF!</v>
      </c>
      <c r="N456" s="82" t="e">
        <f>SUMIF(#REF!,funkcijska!$E456,#REF!)</f>
        <v>#REF!</v>
      </c>
      <c r="O456" s="82" t="e">
        <f>SUMIF(#REF!,funkcijska!$E456,#REF!)</f>
        <v>#REF!</v>
      </c>
      <c r="P456" s="82" t="e">
        <f>SUMIF(#REF!,funkcijska!$E456,#REF!)</f>
        <v>#REF!</v>
      </c>
      <c r="Q456" s="386" t="e">
        <f>SUMIF(#REF!,funkcijska!$E456,#REF!)</f>
        <v>#REF!</v>
      </c>
      <c r="R456" s="82" t="e">
        <f>SUMIF(#REF!,funkcijska!$E456,#REF!)</f>
        <v>#REF!</v>
      </c>
      <c r="S456" s="82" t="e">
        <f>SUMIF(#REF!,funkcijska!$E456,#REF!)</f>
        <v>#REF!</v>
      </c>
      <c r="T456" s="82" t="e">
        <f>SUMIF(#REF!,funkcijska!$E$94,#REF!)</f>
        <v>#REF!</v>
      </c>
      <c r="U456" s="357" t="e">
        <f>SUMIF(#REF!,funkcijska!$E456,#REF!)</f>
        <v>#REF!</v>
      </c>
      <c r="V456" s="357" t="e">
        <f>SUMIF(#REF!,funkcijska!$E456,#REF!)+SUMIF(#REF!,funkcijska!$E456,#REF!)</f>
        <v>#REF!</v>
      </c>
      <c r="W456" s="357" t="e">
        <f>SUMIF(#REF!,funkcijska!$E456,#REF!)+SUMIF(#REF!,funkcijska!$E456,#REF!)</f>
        <v>#REF!</v>
      </c>
      <c r="X456" s="357" t="e">
        <f>SUMIF(#REF!,funkcijska!$E456,#REF!)+SUMIF(#REF!,funkcijska!$E456,#REF!)</f>
        <v>#REF!</v>
      </c>
      <c r="AD456" s="60"/>
      <c r="AE456" s="60"/>
      <c r="AF456" s="60"/>
      <c r="AG456" s="60"/>
      <c r="AH456" s="60"/>
      <c r="AI456" s="60"/>
      <c r="AJ456" s="60"/>
      <c r="AK456" s="60"/>
      <c r="AL456" s="60"/>
    </row>
    <row r="457" spans="1:38" ht="20.25" customHeight="1" x14ac:dyDescent="0.25">
      <c r="A457" s="80"/>
      <c r="B457" s="80"/>
      <c r="C457" s="80"/>
      <c r="D457" s="80"/>
      <c r="E457" s="80">
        <v>4214</v>
      </c>
      <c r="F457" s="132" t="s">
        <v>1027</v>
      </c>
      <c r="G457" s="82" t="e">
        <f>SUMIF(#REF!,funkcijska!$E457,#REF!)</f>
        <v>#REF!</v>
      </c>
      <c r="H457" s="82" t="e">
        <f>SUMIF(#REF!,funkcijska!$E457,#REF!)</f>
        <v>#REF!</v>
      </c>
      <c r="I457" s="82" t="e">
        <f>SUMIF(#REF!,funkcijska!$E457,#REF!)</f>
        <v>#REF!</v>
      </c>
      <c r="J457" s="82" t="e">
        <f>SUMIF(#REF!,funkcijska!$E457,#REF!)</f>
        <v>#REF!</v>
      </c>
      <c r="K457" s="82" t="e">
        <f>SUMIF(#REF!,funkcijska!$E457,#REF!)</f>
        <v>#REF!</v>
      </c>
      <c r="L457" s="82" t="e">
        <f>ROUND(K457/J457*100,2)</f>
        <v>#REF!</v>
      </c>
      <c r="M457" s="82" t="e">
        <f>N457-J457</f>
        <v>#REF!</v>
      </c>
      <c r="N457" s="82" t="e">
        <f>SUMIF(#REF!,funkcijska!$E457,#REF!)</f>
        <v>#REF!</v>
      </c>
      <c r="O457" s="82" t="e">
        <f>SUMIF(#REF!,funkcijska!$E457,#REF!)</f>
        <v>#REF!</v>
      </c>
      <c r="P457" s="82" t="e">
        <f>SUMIF(#REF!,funkcijska!$E457,#REF!)</f>
        <v>#REF!</v>
      </c>
      <c r="Q457" s="386" t="e">
        <f>SUMIF(#REF!,funkcijska!$E457,#REF!)</f>
        <v>#REF!</v>
      </c>
      <c r="R457" s="82" t="e">
        <f>SUMIF(#REF!,funkcijska!$E457,#REF!)</f>
        <v>#REF!</v>
      </c>
      <c r="S457" s="82" t="e">
        <f>SUMIF(#REF!,funkcijska!$E457,#REF!)</f>
        <v>#REF!</v>
      </c>
      <c r="T457" s="82" t="e">
        <f>SUMIF(#REF!,funkcijska!$E$95,#REF!)</f>
        <v>#REF!</v>
      </c>
      <c r="U457" s="357" t="e">
        <f>SUMIF(#REF!,funkcijska!$E457,#REF!)</f>
        <v>#REF!</v>
      </c>
      <c r="V457" s="357" t="e">
        <f>SUMIF(#REF!,funkcijska!$E457,#REF!)+SUMIF(#REF!,funkcijska!$E457,#REF!)</f>
        <v>#REF!</v>
      </c>
      <c r="W457" s="357" t="e">
        <f>SUMIF(#REF!,funkcijska!$E457,#REF!)+SUMIF(#REF!,funkcijska!$E457,#REF!)</f>
        <v>#REF!</v>
      </c>
      <c r="X457" s="357" t="e">
        <f>SUMIF(#REF!,funkcijska!$E457,#REF!)+SUMIF(#REF!,funkcijska!$E457,#REF!)</f>
        <v>#REF!</v>
      </c>
      <c r="AD457" s="60"/>
      <c r="AE457" s="60"/>
      <c r="AF457" s="60"/>
      <c r="AG457" s="60"/>
      <c r="AH457" s="60"/>
      <c r="AI457" s="60"/>
      <c r="AJ457" s="60"/>
      <c r="AK457" s="60"/>
      <c r="AL457" s="60"/>
    </row>
    <row r="458" spans="1:38" s="373" customFormat="1" ht="17.25" customHeight="1" x14ac:dyDescent="0.25">
      <c r="A458" s="119"/>
      <c r="B458" s="119"/>
      <c r="C458" s="119"/>
      <c r="D458" s="119" t="str">
        <f>LEFT(E459,3)</f>
        <v>422</v>
      </c>
      <c r="E458" s="119"/>
      <c r="F458" s="368" t="s">
        <v>555</v>
      </c>
      <c r="G458" s="369" t="e">
        <f t="shared" ref="G458:X458" si="227">SUM(G459:G465)</f>
        <v>#REF!</v>
      </c>
      <c r="H458" s="370" t="e">
        <f t="shared" si="227"/>
        <v>#REF!</v>
      </c>
      <c r="I458" s="369" t="e">
        <f t="shared" si="227"/>
        <v>#REF!</v>
      </c>
      <c r="J458" s="369" t="e">
        <f t="shared" si="227"/>
        <v>#REF!</v>
      </c>
      <c r="K458" s="369" t="e">
        <f t="shared" si="227"/>
        <v>#REF!</v>
      </c>
      <c r="L458" s="369" t="e">
        <f t="shared" si="227"/>
        <v>#REF!</v>
      </c>
      <c r="M458" s="369" t="e">
        <f t="shared" si="227"/>
        <v>#REF!</v>
      </c>
      <c r="N458" s="369" t="e">
        <f t="shared" si="227"/>
        <v>#REF!</v>
      </c>
      <c r="O458" s="369" t="e">
        <f t="shared" si="227"/>
        <v>#REF!</v>
      </c>
      <c r="P458" s="369" t="e">
        <f t="shared" si="227"/>
        <v>#REF!</v>
      </c>
      <c r="Q458" s="392" t="e">
        <f t="shared" si="227"/>
        <v>#REF!</v>
      </c>
      <c r="R458" s="369" t="e">
        <f t="shared" si="227"/>
        <v>#REF!</v>
      </c>
      <c r="S458" s="369" t="e">
        <f t="shared" si="227"/>
        <v>#REF!</v>
      </c>
      <c r="T458" s="369" t="e">
        <f t="shared" si="227"/>
        <v>#REF!</v>
      </c>
      <c r="U458" s="371" t="e">
        <f t="shared" si="227"/>
        <v>#REF!</v>
      </c>
      <c r="V458" s="371" t="e">
        <f t="shared" si="227"/>
        <v>#REF!</v>
      </c>
      <c r="W458" s="371" t="e">
        <f t="shared" si="227"/>
        <v>#REF!</v>
      </c>
      <c r="X458" s="371" t="e">
        <f t="shared" si="227"/>
        <v>#REF!</v>
      </c>
      <c r="Y458" s="372"/>
      <c r="Z458" s="372"/>
      <c r="AA458" s="372"/>
      <c r="AB458" s="372"/>
      <c r="AC458" s="372"/>
      <c r="AD458" s="372"/>
      <c r="AE458" s="372"/>
      <c r="AF458" s="372"/>
      <c r="AG458" s="372"/>
      <c r="AH458" s="372"/>
      <c r="AI458" s="372"/>
      <c r="AJ458" s="372"/>
      <c r="AK458" s="372"/>
      <c r="AL458" s="372"/>
    </row>
    <row r="459" spans="1:38" ht="18.75" customHeight="1" x14ac:dyDescent="0.25">
      <c r="A459" s="80"/>
      <c r="B459" s="80"/>
      <c r="C459" s="80"/>
      <c r="D459" s="80"/>
      <c r="E459" s="80">
        <v>4221</v>
      </c>
      <c r="F459" s="81" t="s">
        <v>558</v>
      </c>
      <c r="G459" s="82" t="e">
        <f>SUMIF(#REF!,funkcijska!$E459,#REF!)</f>
        <v>#REF!</v>
      </c>
      <c r="H459" s="82" t="e">
        <f>SUMIF(#REF!,funkcijska!$E459,#REF!)</f>
        <v>#REF!</v>
      </c>
      <c r="I459" s="82" t="e">
        <f>SUMIF(#REF!,funkcijska!$E459,#REF!)</f>
        <v>#REF!</v>
      </c>
      <c r="J459" s="82" t="e">
        <f>SUMIF(#REF!,funkcijska!$E459,#REF!)</f>
        <v>#REF!</v>
      </c>
      <c r="K459" s="82" t="e">
        <f>SUMIF(#REF!,funkcijska!$E459,#REF!)</f>
        <v>#REF!</v>
      </c>
      <c r="L459" s="82" t="e">
        <f t="shared" ref="L459:L471" si="228">ROUND(K459/J459*100,2)</f>
        <v>#REF!</v>
      </c>
      <c r="M459" s="82" t="e">
        <f t="shared" ref="M459:M471" si="229">N459-J459</f>
        <v>#REF!</v>
      </c>
      <c r="N459" s="82" t="e">
        <f>SUMIF(#REF!,funkcijska!$E459,#REF!)</f>
        <v>#REF!</v>
      </c>
      <c r="O459" s="82" t="e">
        <f>SUMIF(#REF!,funkcijska!$E459,#REF!)</f>
        <v>#REF!</v>
      </c>
      <c r="P459" s="82" t="e">
        <f>SUMIF(#REF!,funkcijska!$E459,#REF!)</f>
        <v>#REF!</v>
      </c>
      <c r="Q459" s="386" t="e">
        <f>SUMIF(#REF!,funkcijska!$E459,#REF!)</f>
        <v>#REF!</v>
      </c>
      <c r="R459" s="82" t="e">
        <f>SUMIF(#REF!,funkcijska!$E459,#REF!)</f>
        <v>#REF!</v>
      </c>
      <c r="S459" s="82" t="e">
        <f>SUMIF(#REF!,funkcijska!$E459,#REF!)</f>
        <v>#REF!</v>
      </c>
      <c r="T459" s="82" t="e">
        <f>SUMIF(#REF!,funkcijska!$E$97,#REF!)</f>
        <v>#REF!</v>
      </c>
      <c r="U459" s="357" t="e">
        <f>SUMIF(#REF!,funkcijska!$E459,#REF!)</f>
        <v>#REF!</v>
      </c>
      <c r="V459" s="357" t="e">
        <f>SUMIF(#REF!,funkcijska!$E459,#REF!)+SUMIF(#REF!,funkcijska!$E459,#REF!)</f>
        <v>#REF!</v>
      </c>
      <c r="W459" s="357" t="e">
        <f>SUMIF(#REF!,funkcijska!$E459,#REF!)+SUMIF(#REF!,funkcijska!$E459,#REF!)</f>
        <v>#REF!</v>
      </c>
      <c r="X459" s="357" t="e">
        <f>SUMIF(#REF!,funkcijska!$E459,#REF!)+SUMIF(#REF!,funkcijska!$E459,#REF!)</f>
        <v>#REF!</v>
      </c>
      <c r="AD459" s="60"/>
      <c r="AE459" s="60"/>
      <c r="AF459" s="60"/>
      <c r="AG459" s="60"/>
      <c r="AH459" s="60"/>
      <c r="AI459" s="60"/>
      <c r="AJ459" s="60"/>
      <c r="AK459" s="60"/>
      <c r="AL459" s="60"/>
    </row>
    <row r="460" spans="1:38" ht="20.25" customHeight="1" x14ac:dyDescent="0.25">
      <c r="A460" s="80"/>
      <c r="B460" s="80"/>
      <c r="C460" s="80"/>
      <c r="D460" s="80"/>
      <c r="E460" s="80">
        <v>4222</v>
      </c>
      <c r="F460" s="81" t="s">
        <v>559</v>
      </c>
      <c r="G460" s="82" t="e">
        <f>SUMIF(#REF!,funkcijska!$E460,#REF!)</f>
        <v>#REF!</v>
      </c>
      <c r="H460" s="82" t="e">
        <f>SUMIF(#REF!,funkcijska!$E460,#REF!)</f>
        <v>#REF!</v>
      </c>
      <c r="I460" s="82" t="e">
        <f>SUMIF(#REF!,funkcijska!$E460,#REF!)</f>
        <v>#REF!</v>
      </c>
      <c r="J460" s="82" t="e">
        <f>SUMIF(#REF!,funkcijska!$E460,#REF!)</f>
        <v>#REF!</v>
      </c>
      <c r="K460" s="82" t="e">
        <f>SUMIF(#REF!,funkcijska!$E460,#REF!)</f>
        <v>#REF!</v>
      </c>
      <c r="L460" s="82" t="e">
        <f t="shared" si="228"/>
        <v>#REF!</v>
      </c>
      <c r="M460" s="82" t="e">
        <f t="shared" si="229"/>
        <v>#REF!</v>
      </c>
      <c r="N460" s="82" t="e">
        <f>SUMIF(#REF!,funkcijska!$E460,#REF!)</f>
        <v>#REF!</v>
      </c>
      <c r="O460" s="82" t="e">
        <f>SUMIF(#REF!,funkcijska!$E460,#REF!)</f>
        <v>#REF!</v>
      </c>
      <c r="P460" s="82" t="e">
        <f>SUMIF(#REF!,funkcijska!$E460,#REF!)</f>
        <v>#REF!</v>
      </c>
      <c r="Q460" s="386" t="e">
        <f>SUMIF(#REF!,funkcijska!$E460,#REF!)</f>
        <v>#REF!</v>
      </c>
      <c r="R460" s="82" t="e">
        <f>SUMIF(#REF!,funkcijska!$E460,#REF!)</f>
        <v>#REF!</v>
      </c>
      <c r="S460" s="82" t="e">
        <f>SUMIF(#REF!,funkcijska!$E460,#REF!)</f>
        <v>#REF!</v>
      </c>
      <c r="T460" s="82" t="e">
        <f>SUMIF(#REF!,funkcijska!$E$98,#REF!)</f>
        <v>#REF!</v>
      </c>
      <c r="U460" s="357" t="e">
        <f>SUMIF(#REF!,funkcijska!$E460,#REF!)</f>
        <v>#REF!</v>
      </c>
      <c r="V460" s="357" t="e">
        <f>SUMIF(#REF!,funkcijska!$E460,#REF!)+SUMIF(#REF!,funkcijska!$E460,#REF!)</f>
        <v>#REF!</v>
      </c>
      <c r="W460" s="357" t="e">
        <f>SUMIF(#REF!,funkcijska!$E460,#REF!)+SUMIF(#REF!,funkcijska!$E460,#REF!)</f>
        <v>#REF!</v>
      </c>
      <c r="X460" s="357" t="e">
        <f>SUMIF(#REF!,funkcijska!$E460,#REF!)+SUMIF(#REF!,funkcijska!$E460,#REF!)</f>
        <v>#REF!</v>
      </c>
      <c r="AD460" s="60"/>
      <c r="AE460" s="60"/>
      <c r="AF460" s="60"/>
      <c r="AG460" s="60"/>
      <c r="AH460" s="60"/>
      <c r="AI460" s="60"/>
      <c r="AJ460" s="60"/>
      <c r="AK460" s="60"/>
      <c r="AL460" s="60"/>
    </row>
    <row r="461" spans="1:38" ht="23.25" customHeight="1" x14ac:dyDescent="0.25">
      <c r="A461" s="80"/>
      <c r="B461" s="80"/>
      <c r="C461" s="80"/>
      <c r="D461" s="80"/>
      <c r="E461" s="80">
        <v>4223</v>
      </c>
      <c r="F461" s="81" t="s">
        <v>628</v>
      </c>
      <c r="G461" s="82" t="e">
        <f>SUMIF(#REF!,funkcijska!$E461,#REF!)</f>
        <v>#REF!</v>
      </c>
      <c r="H461" s="82" t="e">
        <f>SUMIF(#REF!,funkcijska!$E461,#REF!)</f>
        <v>#REF!</v>
      </c>
      <c r="I461" s="82" t="e">
        <f>SUMIF(#REF!,funkcijska!$E461,#REF!)</f>
        <v>#REF!</v>
      </c>
      <c r="J461" s="82" t="e">
        <f>SUMIF(#REF!,funkcijska!$E461,#REF!)</f>
        <v>#REF!</v>
      </c>
      <c r="K461" s="82" t="e">
        <f>SUMIF(#REF!,funkcijska!$E461,#REF!)</f>
        <v>#REF!</v>
      </c>
      <c r="L461" s="82" t="e">
        <f t="shared" si="228"/>
        <v>#REF!</v>
      </c>
      <c r="M461" s="82" t="e">
        <f t="shared" si="229"/>
        <v>#REF!</v>
      </c>
      <c r="N461" s="82" t="e">
        <f>SUMIF(#REF!,funkcijska!$E461,#REF!)</f>
        <v>#REF!</v>
      </c>
      <c r="O461" s="82" t="e">
        <f>SUMIF(#REF!,funkcijska!$E461,#REF!)</f>
        <v>#REF!</v>
      </c>
      <c r="P461" s="82" t="e">
        <f>SUMIF(#REF!,funkcijska!$E461,#REF!)</f>
        <v>#REF!</v>
      </c>
      <c r="Q461" s="386" t="e">
        <f>SUMIF(#REF!,funkcijska!$E461,#REF!)</f>
        <v>#REF!</v>
      </c>
      <c r="R461" s="82" t="e">
        <f>SUMIF(#REF!,funkcijska!$E461,#REF!)</f>
        <v>#REF!</v>
      </c>
      <c r="S461" s="82" t="e">
        <f>SUMIF(#REF!,funkcijska!$E461,#REF!)</f>
        <v>#REF!</v>
      </c>
      <c r="T461" s="82" t="e">
        <f>SUMIF(#REF!,funkcijska!$E$99,#REF!)</f>
        <v>#REF!</v>
      </c>
      <c r="U461" s="357" t="e">
        <f>SUMIF(#REF!,funkcijska!$E461,#REF!)</f>
        <v>#REF!</v>
      </c>
      <c r="V461" s="357" t="e">
        <f>SUMIF(#REF!,funkcijska!$E461,#REF!)+SUMIF(#REF!,funkcijska!$E461,#REF!)</f>
        <v>#REF!</v>
      </c>
      <c r="W461" s="357" t="e">
        <f>SUMIF(#REF!,funkcijska!$E461,#REF!)+SUMIF(#REF!,funkcijska!$E461,#REF!)</f>
        <v>#REF!</v>
      </c>
      <c r="X461" s="357" t="e">
        <f>SUMIF(#REF!,funkcijska!$E461,#REF!)+SUMIF(#REF!,funkcijska!$E461,#REF!)</f>
        <v>#REF!</v>
      </c>
      <c r="AD461" s="60"/>
      <c r="AE461" s="60"/>
      <c r="AF461" s="60"/>
      <c r="AG461" s="60"/>
      <c r="AH461" s="60"/>
      <c r="AI461" s="60"/>
      <c r="AJ461" s="60"/>
      <c r="AK461" s="60"/>
      <c r="AL461" s="60"/>
    </row>
    <row r="462" spans="1:38" x14ac:dyDescent="0.25">
      <c r="A462" s="80"/>
      <c r="B462" s="80"/>
      <c r="C462" s="80"/>
      <c r="D462" s="80"/>
      <c r="E462" s="80">
        <v>4224</v>
      </c>
      <c r="F462" s="81" t="s">
        <v>638</v>
      </c>
      <c r="G462" s="82" t="e">
        <f>SUMIF(#REF!,funkcijska!$E462,#REF!)</f>
        <v>#REF!</v>
      </c>
      <c r="H462" s="82" t="e">
        <f>SUMIF(#REF!,funkcijska!$E462,#REF!)</f>
        <v>#REF!</v>
      </c>
      <c r="I462" s="82" t="e">
        <f>SUMIF(#REF!,funkcijska!$E462,#REF!)</f>
        <v>#REF!</v>
      </c>
      <c r="J462" s="82" t="e">
        <f>SUMIF(#REF!,funkcijska!$E462,#REF!)</f>
        <v>#REF!</v>
      </c>
      <c r="K462" s="82" t="e">
        <f>SUMIF(#REF!,funkcijska!$E462,#REF!)</f>
        <v>#REF!</v>
      </c>
      <c r="L462" s="82" t="e">
        <f t="shared" si="228"/>
        <v>#REF!</v>
      </c>
      <c r="M462" s="82" t="e">
        <f t="shared" si="229"/>
        <v>#REF!</v>
      </c>
      <c r="N462" s="82" t="e">
        <f>SUMIF(#REF!,funkcijska!$E462,#REF!)</f>
        <v>#REF!</v>
      </c>
      <c r="O462" s="82" t="e">
        <f>SUMIF(#REF!,funkcijska!$E462,#REF!)</f>
        <v>#REF!</v>
      </c>
      <c r="P462" s="82" t="e">
        <f>SUMIF(#REF!,funkcijska!$E462,#REF!)</f>
        <v>#REF!</v>
      </c>
      <c r="Q462" s="386" t="e">
        <f>SUMIF(#REF!,funkcijska!$E462,#REF!)</f>
        <v>#REF!</v>
      </c>
      <c r="R462" s="82" t="e">
        <f>SUMIF(#REF!,funkcijska!$E462,#REF!)</f>
        <v>#REF!</v>
      </c>
      <c r="S462" s="82" t="e">
        <f>SUMIF(#REF!,funkcijska!$E462,#REF!)</f>
        <v>#REF!</v>
      </c>
      <c r="T462" s="82" t="e">
        <f>SUMIF(#REF!,funkcijska!$E$100,#REF!)</f>
        <v>#REF!</v>
      </c>
      <c r="U462" s="357" t="e">
        <f>SUMIF(#REF!,funkcijska!$E462,#REF!)</f>
        <v>#REF!</v>
      </c>
      <c r="V462" s="357" t="e">
        <f>SUMIF(#REF!,funkcijska!$E462,#REF!)+SUMIF(#REF!,funkcijska!$E462,#REF!)</f>
        <v>#REF!</v>
      </c>
      <c r="W462" s="357" t="e">
        <f>SUMIF(#REF!,funkcijska!$E462,#REF!)+SUMIF(#REF!,funkcijska!$E462,#REF!)</f>
        <v>#REF!</v>
      </c>
      <c r="X462" s="357" t="e">
        <f>SUMIF(#REF!,funkcijska!$E462,#REF!)+SUMIF(#REF!,funkcijska!$E462,#REF!)</f>
        <v>#REF!</v>
      </c>
      <c r="AD462" s="60"/>
      <c r="AE462" s="60"/>
      <c r="AF462" s="60"/>
      <c r="AG462" s="60"/>
      <c r="AH462" s="60"/>
      <c r="AI462" s="60"/>
      <c r="AJ462" s="60"/>
      <c r="AK462" s="60"/>
      <c r="AL462" s="60"/>
    </row>
    <row r="463" spans="1:38" ht="18" customHeight="1" x14ac:dyDescent="0.25">
      <c r="A463" s="80"/>
      <c r="B463" s="80"/>
      <c r="C463" s="80"/>
      <c r="D463" s="80"/>
      <c r="E463" s="80">
        <v>4225</v>
      </c>
      <c r="F463" s="81" t="s">
        <v>844</v>
      </c>
      <c r="G463" s="82" t="e">
        <f>SUMIF(#REF!,funkcijska!$E463,#REF!)</f>
        <v>#REF!</v>
      </c>
      <c r="H463" s="82" t="e">
        <f>SUMIF(#REF!,funkcijska!$E463,#REF!)</f>
        <v>#REF!</v>
      </c>
      <c r="I463" s="82" t="e">
        <f>SUMIF(#REF!,funkcijska!$E463,#REF!)</f>
        <v>#REF!</v>
      </c>
      <c r="J463" s="82" t="e">
        <f>SUMIF(#REF!,funkcijska!$E463,#REF!)</f>
        <v>#REF!</v>
      </c>
      <c r="K463" s="82" t="e">
        <f>SUMIF(#REF!,funkcijska!$E463,#REF!)</f>
        <v>#REF!</v>
      </c>
      <c r="L463" s="82" t="e">
        <f t="shared" si="228"/>
        <v>#REF!</v>
      </c>
      <c r="M463" s="82" t="e">
        <f t="shared" si="229"/>
        <v>#REF!</v>
      </c>
      <c r="N463" s="82" t="e">
        <f>SUMIF(#REF!,funkcijska!$E463,#REF!)</f>
        <v>#REF!</v>
      </c>
      <c r="O463" s="82" t="e">
        <f>SUMIF(#REF!,funkcijska!$E463,#REF!)</f>
        <v>#REF!</v>
      </c>
      <c r="P463" s="82" t="e">
        <f>SUMIF(#REF!,funkcijska!$E463,#REF!)</f>
        <v>#REF!</v>
      </c>
      <c r="Q463" s="386" t="e">
        <f>SUMIF(#REF!,funkcijska!$E463,#REF!)</f>
        <v>#REF!</v>
      </c>
      <c r="R463" s="82" t="e">
        <f>SUMIF(#REF!,funkcijska!$E463,#REF!)</f>
        <v>#REF!</v>
      </c>
      <c r="S463" s="82" t="e">
        <f>SUMIF(#REF!,funkcijska!$E463,#REF!)</f>
        <v>#REF!</v>
      </c>
      <c r="T463" s="82" t="e">
        <f>SUMIF(#REF!,funkcijska!$E$101,#REF!)</f>
        <v>#REF!</v>
      </c>
      <c r="U463" s="357" t="e">
        <f>SUMIF(#REF!,funkcijska!$E463,#REF!)</f>
        <v>#REF!</v>
      </c>
      <c r="V463" s="357" t="e">
        <f>SUMIF(#REF!,funkcijska!$E463,#REF!)+SUMIF(#REF!,funkcijska!$E463,#REF!)</f>
        <v>#REF!</v>
      </c>
      <c r="W463" s="357" t="e">
        <f>SUMIF(#REF!,funkcijska!$E463,#REF!)+SUMIF(#REF!,funkcijska!$E463,#REF!)</f>
        <v>#REF!</v>
      </c>
      <c r="X463" s="357" t="e">
        <f>SUMIF(#REF!,funkcijska!$E463,#REF!)+SUMIF(#REF!,funkcijska!$E463,#REF!)</f>
        <v>#REF!</v>
      </c>
      <c r="AD463" s="60"/>
      <c r="AE463" s="60"/>
      <c r="AF463" s="60"/>
      <c r="AG463" s="60"/>
      <c r="AH463" s="60"/>
      <c r="AI463" s="60"/>
      <c r="AJ463" s="60"/>
      <c r="AK463" s="60"/>
      <c r="AL463" s="60"/>
    </row>
    <row r="464" spans="1:38" ht="20.25" customHeight="1" x14ac:dyDescent="0.25">
      <c r="A464" s="80"/>
      <c r="B464" s="80"/>
      <c r="C464" s="80"/>
      <c r="D464" s="80"/>
      <c r="E464" s="80">
        <v>4226</v>
      </c>
      <c r="F464" s="81" t="s">
        <v>432</v>
      </c>
      <c r="G464" s="82" t="e">
        <f>SUMIF(#REF!,funkcijska!$E464,#REF!)</f>
        <v>#REF!</v>
      </c>
      <c r="H464" s="82" t="e">
        <f>SUMIF(#REF!,funkcijska!$E464,#REF!)</f>
        <v>#REF!</v>
      </c>
      <c r="I464" s="82" t="e">
        <f>SUMIF(#REF!,funkcijska!$E464,#REF!)</f>
        <v>#REF!</v>
      </c>
      <c r="J464" s="82" t="e">
        <f>SUMIF(#REF!,funkcijska!$E464,#REF!)</f>
        <v>#REF!</v>
      </c>
      <c r="K464" s="82" t="e">
        <f>SUMIF(#REF!,funkcijska!$E464,#REF!)</f>
        <v>#REF!</v>
      </c>
      <c r="L464" s="82" t="e">
        <f t="shared" si="228"/>
        <v>#REF!</v>
      </c>
      <c r="M464" s="82" t="e">
        <f t="shared" si="229"/>
        <v>#REF!</v>
      </c>
      <c r="N464" s="82" t="e">
        <f>SUMIF(#REF!,funkcijska!$E464,#REF!)</f>
        <v>#REF!</v>
      </c>
      <c r="O464" s="82" t="e">
        <f>SUMIF(#REF!,funkcijska!$E464,#REF!)</f>
        <v>#REF!</v>
      </c>
      <c r="P464" s="82" t="e">
        <f>SUMIF(#REF!,funkcijska!$E464,#REF!)</f>
        <v>#REF!</v>
      </c>
      <c r="Q464" s="386" t="e">
        <f>SUMIF(#REF!,funkcijska!$E464,#REF!)</f>
        <v>#REF!</v>
      </c>
      <c r="R464" s="82" t="e">
        <f>SUMIF(#REF!,funkcijska!$E464,#REF!)</f>
        <v>#REF!</v>
      </c>
      <c r="S464" s="82" t="e">
        <f>SUMIF(#REF!,funkcijska!$E464,#REF!)</f>
        <v>#REF!</v>
      </c>
      <c r="T464" s="82" t="e">
        <f>SUMIF(#REF!,funkcijska!$E$102,#REF!)</f>
        <v>#REF!</v>
      </c>
      <c r="U464" s="357" t="e">
        <f>SUMIF(#REF!,funkcijska!$E464,#REF!)</f>
        <v>#REF!</v>
      </c>
      <c r="V464" s="357" t="e">
        <f>SUMIF(#REF!,funkcijska!$E464,#REF!)+SUMIF(#REF!,funkcijska!$E464,#REF!)</f>
        <v>#REF!</v>
      </c>
      <c r="W464" s="357" t="e">
        <f>SUMIF(#REF!,funkcijska!$E464,#REF!)+SUMIF(#REF!,funkcijska!$E464,#REF!)</f>
        <v>#REF!</v>
      </c>
      <c r="X464" s="357" t="e">
        <f>SUMIF(#REF!,funkcijska!$E464,#REF!)+SUMIF(#REF!,funkcijska!$E464,#REF!)</f>
        <v>#REF!</v>
      </c>
      <c r="AD464" s="60"/>
      <c r="AE464" s="60"/>
      <c r="AF464" s="60"/>
      <c r="AG464" s="60"/>
      <c r="AH464" s="60"/>
      <c r="AI464" s="60"/>
      <c r="AJ464" s="60"/>
      <c r="AK464" s="60"/>
      <c r="AL464" s="60"/>
    </row>
    <row r="465" spans="1:38" ht="18.75" customHeight="1" x14ac:dyDescent="0.25">
      <c r="A465" s="80"/>
      <c r="B465" s="80"/>
      <c r="C465" s="80"/>
      <c r="D465" s="80"/>
      <c r="E465" s="80">
        <v>4227</v>
      </c>
      <c r="F465" s="81" t="s">
        <v>413</v>
      </c>
      <c r="G465" s="82" t="e">
        <f>SUMIF(#REF!,funkcijska!$E465,#REF!)</f>
        <v>#REF!</v>
      </c>
      <c r="H465" s="82" t="e">
        <f>SUMIF(#REF!,funkcijska!$E465,#REF!)</f>
        <v>#REF!</v>
      </c>
      <c r="I465" s="82" t="e">
        <f>SUMIF(#REF!,funkcijska!$E465,#REF!)</f>
        <v>#REF!</v>
      </c>
      <c r="J465" s="82" t="e">
        <f>SUMIF(#REF!,funkcijska!$E465,#REF!)</f>
        <v>#REF!</v>
      </c>
      <c r="K465" s="82" t="e">
        <f>SUMIF(#REF!,funkcijska!$E465,#REF!)</f>
        <v>#REF!</v>
      </c>
      <c r="L465" s="82" t="e">
        <f t="shared" si="228"/>
        <v>#REF!</v>
      </c>
      <c r="M465" s="82" t="e">
        <f t="shared" si="229"/>
        <v>#REF!</v>
      </c>
      <c r="N465" s="82" t="e">
        <f>SUMIF(#REF!,funkcijska!$E465,#REF!)</f>
        <v>#REF!</v>
      </c>
      <c r="O465" s="82" t="e">
        <f>SUMIF(#REF!,funkcijska!$E465,#REF!)</f>
        <v>#REF!</v>
      </c>
      <c r="P465" s="82" t="e">
        <f>SUMIF(#REF!,funkcijska!$E465,#REF!)</f>
        <v>#REF!</v>
      </c>
      <c r="Q465" s="386" t="e">
        <f>SUMIF(#REF!,funkcijska!$E465,#REF!)</f>
        <v>#REF!</v>
      </c>
      <c r="R465" s="82" t="e">
        <f>SUMIF(#REF!,funkcijska!$E465,#REF!)</f>
        <v>#REF!</v>
      </c>
      <c r="S465" s="82" t="e">
        <f>SUMIF(#REF!,funkcijska!$E465,#REF!)</f>
        <v>#REF!</v>
      </c>
      <c r="T465" s="82" t="e">
        <f>SUMIF(#REF!,funkcijska!$E$103,#REF!)</f>
        <v>#REF!</v>
      </c>
      <c r="U465" s="357" t="e">
        <f>SUMIF(#REF!,funkcijska!$E465,#REF!)</f>
        <v>#REF!</v>
      </c>
      <c r="V465" s="357" t="e">
        <f>SUMIF(#REF!,funkcijska!$E465,#REF!)+SUMIF(#REF!,funkcijska!$E465,#REF!)</f>
        <v>#REF!</v>
      </c>
      <c r="W465" s="357" t="e">
        <f>SUMIF(#REF!,funkcijska!$E465,#REF!)+SUMIF(#REF!,funkcijska!$E465,#REF!)</f>
        <v>#REF!</v>
      </c>
      <c r="X465" s="357" t="e">
        <f>SUMIF(#REF!,funkcijska!$E465,#REF!)+SUMIF(#REF!,funkcijska!$E465,#REF!)</f>
        <v>#REF!</v>
      </c>
      <c r="AD465" s="60"/>
      <c r="AE465" s="60"/>
      <c r="AF465" s="60"/>
      <c r="AG465" s="60"/>
      <c r="AH465" s="60"/>
      <c r="AI465" s="60"/>
      <c r="AJ465" s="60"/>
      <c r="AK465" s="60"/>
      <c r="AL465" s="60"/>
    </row>
    <row r="466" spans="1:38" s="373" customFormat="1" ht="17.25" customHeight="1" x14ac:dyDescent="0.25">
      <c r="A466" s="119"/>
      <c r="B466" s="119"/>
      <c r="C466" s="119"/>
      <c r="D466" s="119" t="str">
        <f>LEFT(E467,3)</f>
        <v>423</v>
      </c>
      <c r="E466" s="119"/>
      <c r="F466" s="368" t="s">
        <v>223</v>
      </c>
      <c r="G466" s="369" t="e">
        <f>G467</f>
        <v>#REF!</v>
      </c>
      <c r="H466" s="370" t="e">
        <f>H467</f>
        <v>#REF!</v>
      </c>
      <c r="I466" s="369" t="e">
        <f>I467</f>
        <v>#REF!</v>
      </c>
      <c r="J466" s="369" t="e">
        <f>J467</f>
        <v>#REF!</v>
      </c>
      <c r="K466" s="369" t="e">
        <f>K467</f>
        <v>#REF!</v>
      </c>
      <c r="L466" s="369" t="e">
        <f t="shared" si="228"/>
        <v>#REF!</v>
      </c>
      <c r="M466" s="369" t="e">
        <f t="shared" si="229"/>
        <v>#REF!</v>
      </c>
      <c r="N466" s="369" t="e">
        <f t="shared" ref="N466:X466" si="230">N467</f>
        <v>#REF!</v>
      </c>
      <c r="O466" s="137" t="e">
        <f t="shared" si="230"/>
        <v>#REF!</v>
      </c>
      <c r="P466" s="137" t="e">
        <f t="shared" si="230"/>
        <v>#REF!</v>
      </c>
      <c r="Q466" s="393" t="e">
        <f t="shared" si="230"/>
        <v>#REF!</v>
      </c>
      <c r="R466" s="137" t="e">
        <f t="shared" si="230"/>
        <v>#REF!</v>
      </c>
      <c r="S466" s="137" t="e">
        <f t="shared" si="230"/>
        <v>#REF!</v>
      </c>
      <c r="T466" s="137" t="e">
        <f t="shared" si="230"/>
        <v>#REF!</v>
      </c>
      <c r="U466" s="371" t="e">
        <f t="shared" si="230"/>
        <v>#REF!</v>
      </c>
      <c r="V466" s="371" t="e">
        <f t="shared" si="230"/>
        <v>#REF!</v>
      </c>
      <c r="W466" s="371" t="e">
        <f t="shared" si="230"/>
        <v>#REF!</v>
      </c>
      <c r="X466" s="371" t="e">
        <f t="shared" si="230"/>
        <v>#REF!</v>
      </c>
      <c r="Y466" s="372"/>
      <c r="Z466" s="372"/>
      <c r="AA466" s="372"/>
      <c r="AB466" s="372"/>
      <c r="AC466" s="372"/>
      <c r="AD466" s="372"/>
      <c r="AE466" s="372"/>
      <c r="AF466" s="372"/>
      <c r="AG466" s="372"/>
      <c r="AH466" s="372"/>
      <c r="AI466" s="372"/>
      <c r="AJ466" s="372"/>
      <c r="AK466" s="372"/>
      <c r="AL466" s="372"/>
    </row>
    <row r="467" spans="1:38" ht="21" customHeight="1" x14ac:dyDescent="0.25">
      <c r="A467" s="80"/>
      <c r="B467" s="80"/>
      <c r="C467" s="80"/>
      <c r="D467" s="80"/>
      <c r="E467" s="80">
        <v>4231</v>
      </c>
      <c r="F467" s="81" t="s">
        <v>1028</v>
      </c>
      <c r="G467" s="82" t="e">
        <f>SUMIF(#REF!,funkcijska!$E467,#REF!)</f>
        <v>#REF!</v>
      </c>
      <c r="H467" s="82" t="e">
        <f>SUMIF(#REF!,funkcijska!$E467,#REF!)</f>
        <v>#REF!</v>
      </c>
      <c r="I467" s="82" t="e">
        <f>SUMIF(#REF!,funkcijska!$E467,#REF!)</f>
        <v>#REF!</v>
      </c>
      <c r="J467" s="82" t="e">
        <f>SUMIF(#REF!,funkcijska!$E467,#REF!)</f>
        <v>#REF!</v>
      </c>
      <c r="K467" s="82" t="e">
        <f>SUMIF(#REF!,funkcijska!$E467,#REF!)</f>
        <v>#REF!</v>
      </c>
      <c r="L467" s="82" t="e">
        <f t="shared" si="228"/>
        <v>#REF!</v>
      </c>
      <c r="M467" s="82" t="e">
        <f t="shared" si="229"/>
        <v>#REF!</v>
      </c>
      <c r="N467" s="82" t="e">
        <f>SUMIF(#REF!,funkcijska!$E467,#REF!)</f>
        <v>#REF!</v>
      </c>
      <c r="O467" s="82" t="e">
        <f>SUMIF(#REF!,funkcijska!$E467,#REF!)</f>
        <v>#REF!</v>
      </c>
      <c r="P467" s="82" t="e">
        <f>SUMIF(#REF!,funkcijska!$E467,#REF!)</f>
        <v>#REF!</v>
      </c>
      <c r="Q467" s="386" t="e">
        <f>SUMIF(#REF!,funkcijska!$E467,#REF!)</f>
        <v>#REF!</v>
      </c>
      <c r="R467" s="82" t="e">
        <f>SUMIF(#REF!,funkcijska!$E467,#REF!)</f>
        <v>#REF!</v>
      </c>
      <c r="S467" s="82" t="e">
        <f>SUMIF(#REF!,funkcijska!$E467,#REF!)</f>
        <v>#REF!</v>
      </c>
      <c r="T467" s="82" t="e">
        <f>SUMIF(#REF!,funkcijska!$E$105,#REF!)</f>
        <v>#REF!</v>
      </c>
      <c r="U467" s="357" t="e">
        <f>SUMIF(#REF!,funkcijska!$E467,#REF!)</f>
        <v>#REF!</v>
      </c>
      <c r="V467" s="357" t="e">
        <f>SUMIF(#REF!,funkcijska!$E467,#REF!)+SUMIF(#REF!,funkcijska!$E467,#REF!)</f>
        <v>#REF!</v>
      </c>
      <c r="W467" s="357" t="e">
        <f>SUMIF(#REF!,funkcijska!$E467,#REF!)+SUMIF(#REF!,funkcijska!$E467,#REF!)</f>
        <v>#REF!</v>
      </c>
      <c r="X467" s="357" t="e">
        <f>SUMIF(#REF!,funkcijska!$E467,#REF!)+SUMIF(#REF!,funkcijska!$E467,#REF!)</f>
        <v>#REF!</v>
      </c>
      <c r="AD467" s="60"/>
      <c r="AE467" s="60"/>
      <c r="AF467" s="60"/>
      <c r="AG467" s="60"/>
      <c r="AH467" s="60"/>
      <c r="AI467" s="60"/>
      <c r="AJ467" s="60"/>
      <c r="AK467" s="60"/>
      <c r="AL467" s="60"/>
    </row>
    <row r="468" spans="1:38" s="373" customFormat="1" ht="37.5" customHeight="1" x14ac:dyDescent="0.25">
      <c r="A468" s="119"/>
      <c r="B468" s="119"/>
      <c r="C468" s="119"/>
      <c r="D468" s="119" t="str">
        <f>LEFT(E469,3)</f>
        <v>424</v>
      </c>
      <c r="E468" s="119"/>
      <c r="F468" s="368" t="s">
        <v>447</v>
      </c>
      <c r="G468" s="369" t="e">
        <f>G469</f>
        <v>#REF!</v>
      </c>
      <c r="H468" s="370" t="e">
        <f>H469</f>
        <v>#REF!</v>
      </c>
      <c r="I468" s="369" t="e">
        <f>I469</f>
        <v>#REF!</v>
      </c>
      <c r="J468" s="369" t="e">
        <f>J469</f>
        <v>#REF!</v>
      </c>
      <c r="K468" s="369" t="e">
        <f>K469</f>
        <v>#REF!</v>
      </c>
      <c r="L468" s="369" t="e">
        <f t="shared" si="228"/>
        <v>#REF!</v>
      </c>
      <c r="M468" s="369" t="e">
        <f t="shared" si="229"/>
        <v>#REF!</v>
      </c>
      <c r="N468" s="369" t="e">
        <f t="shared" ref="N468:X468" si="231">N469</f>
        <v>#REF!</v>
      </c>
      <c r="O468" s="137" t="e">
        <f t="shared" si="231"/>
        <v>#REF!</v>
      </c>
      <c r="P468" s="137" t="e">
        <f t="shared" si="231"/>
        <v>#REF!</v>
      </c>
      <c r="Q468" s="393" t="e">
        <f t="shared" si="231"/>
        <v>#REF!</v>
      </c>
      <c r="R468" s="137" t="e">
        <f t="shared" si="231"/>
        <v>#REF!</v>
      </c>
      <c r="S468" s="137" t="e">
        <f t="shared" si="231"/>
        <v>#REF!</v>
      </c>
      <c r="T468" s="137" t="e">
        <f t="shared" si="231"/>
        <v>#REF!</v>
      </c>
      <c r="U468" s="371" t="e">
        <f t="shared" si="231"/>
        <v>#REF!</v>
      </c>
      <c r="V468" s="371" t="e">
        <f t="shared" si="231"/>
        <v>#REF!</v>
      </c>
      <c r="W468" s="371" t="e">
        <f t="shared" si="231"/>
        <v>#REF!</v>
      </c>
      <c r="X468" s="371" t="e">
        <f t="shared" si="231"/>
        <v>#REF!</v>
      </c>
      <c r="Y468" s="372"/>
      <c r="Z468" s="372"/>
      <c r="AA468" s="372"/>
      <c r="AB468" s="372"/>
      <c r="AC468" s="372"/>
      <c r="AD468" s="372"/>
      <c r="AE468" s="372"/>
      <c r="AF468" s="372"/>
      <c r="AG468" s="372"/>
      <c r="AH468" s="372"/>
      <c r="AI468" s="372"/>
      <c r="AJ468" s="372"/>
      <c r="AK468" s="372"/>
      <c r="AL468" s="372"/>
    </row>
    <row r="469" spans="1:38" ht="21" customHeight="1" x14ac:dyDescent="0.25">
      <c r="A469" s="80"/>
      <c r="B469" s="80"/>
      <c r="C469" s="80"/>
      <c r="D469" s="80"/>
      <c r="E469" s="80">
        <v>4241</v>
      </c>
      <c r="F469" s="81" t="s">
        <v>437</v>
      </c>
      <c r="G469" s="82" t="e">
        <f>SUMIF(#REF!,funkcijska!$E469,#REF!)</f>
        <v>#REF!</v>
      </c>
      <c r="H469" s="82" t="e">
        <f>SUMIF(#REF!,funkcijska!$E469,#REF!)</f>
        <v>#REF!</v>
      </c>
      <c r="I469" s="82" t="e">
        <f>SUMIF(#REF!,funkcijska!$E469,#REF!)</f>
        <v>#REF!</v>
      </c>
      <c r="J469" s="82" t="e">
        <f>SUMIF(#REF!,funkcijska!$E469,#REF!)</f>
        <v>#REF!</v>
      </c>
      <c r="K469" s="82" t="e">
        <f>SUMIF(#REF!,funkcijska!$E469,#REF!)</f>
        <v>#REF!</v>
      </c>
      <c r="L469" s="82" t="e">
        <f t="shared" si="228"/>
        <v>#REF!</v>
      </c>
      <c r="M469" s="82" t="e">
        <f t="shared" si="229"/>
        <v>#REF!</v>
      </c>
      <c r="N469" s="82" t="e">
        <f>SUMIF(#REF!,funkcijska!$E469,#REF!)</f>
        <v>#REF!</v>
      </c>
      <c r="O469" s="82" t="e">
        <f>SUMIF(#REF!,funkcijska!$E469,#REF!)</f>
        <v>#REF!</v>
      </c>
      <c r="P469" s="82" t="e">
        <f>SUMIF(#REF!,funkcijska!$E469,#REF!)</f>
        <v>#REF!</v>
      </c>
      <c r="Q469" s="386" t="e">
        <f>SUMIF(#REF!,funkcijska!$E469,#REF!)</f>
        <v>#REF!</v>
      </c>
      <c r="R469" s="82" t="e">
        <f>SUMIF(#REF!,funkcijska!$E469,#REF!)</f>
        <v>#REF!</v>
      </c>
      <c r="S469" s="82" t="e">
        <f>SUMIF(#REF!,funkcijska!$E469,#REF!)</f>
        <v>#REF!</v>
      </c>
      <c r="T469" s="82" t="e">
        <f>SUMIF(#REF!,funkcijska!$E$107,#REF!)</f>
        <v>#REF!</v>
      </c>
      <c r="U469" s="357" t="e">
        <f>SUMIF(#REF!,funkcijska!$E469,#REF!)</f>
        <v>#REF!</v>
      </c>
      <c r="V469" s="357" t="e">
        <f>SUMIF(#REF!,funkcijska!$E469,#REF!)+SUMIF(#REF!,funkcijska!$E469,#REF!)</f>
        <v>#REF!</v>
      </c>
      <c r="W469" s="357" t="e">
        <f>SUMIF(#REF!,funkcijska!$E469,#REF!)+SUMIF(#REF!,funkcijska!$E469,#REF!)</f>
        <v>#REF!</v>
      </c>
      <c r="X469" s="357" t="e">
        <f>SUMIF(#REF!,funkcijska!$E469,#REF!)+SUMIF(#REF!,funkcijska!$E469,#REF!)</f>
        <v>#REF!</v>
      </c>
      <c r="AD469" s="60"/>
      <c r="AE469" s="60"/>
      <c r="AF469" s="60"/>
      <c r="AG469" s="60"/>
      <c r="AH469" s="60"/>
      <c r="AI469" s="60"/>
      <c r="AJ469" s="60"/>
      <c r="AK469" s="60"/>
      <c r="AL469" s="60"/>
    </row>
    <row r="470" spans="1:38" ht="18" hidden="1" customHeight="1" x14ac:dyDescent="0.25">
      <c r="A470" s="80"/>
      <c r="B470" s="80"/>
      <c r="C470" s="80"/>
      <c r="D470" s="80" t="str">
        <f>LEFT(E471,3)</f>
        <v>425</v>
      </c>
      <c r="E470" s="80"/>
      <c r="F470" s="81" t="s">
        <v>839</v>
      </c>
      <c r="G470" s="84" t="e">
        <f>G471</f>
        <v>#REF!</v>
      </c>
      <c r="H470" s="102" t="e">
        <f>H471</f>
        <v>#REF!</v>
      </c>
      <c r="I470" s="84" t="e">
        <f>I471</f>
        <v>#REF!</v>
      </c>
      <c r="J470" s="84" t="e">
        <f>J471</f>
        <v>#REF!</v>
      </c>
      <c r="K470" s="84" t="e">
        <f>K471</f>
        <v>#REF!</v>
      </c>
      <c r="L470" s="84" t="e">
        <f t="shared" si="228"/>
        <v>#REF!</v>
      </c>
      <c r="M470" s="84" t="e">
        <f t="shared" si="229"/>
        <v>#REF!</v>
      </c>
      <c r="N470" s="84" t="e">
        <f>N471</f>
        <v>#REF!</v>
      </c>
      <c r="O470" s="82" t="e">
        <f>O471</f>
        <v>#REF!</v>
      </c>
      <c r="P470" s="82" t="e">
        <f>P471</f>
        <v>#REF!</v>
      </c>
      <c r="Q470" s="389" t="e">
        <f>U470-O470</f>
        <v>#REF!</v>
      </c>
      <c r="R470" s="82" t="e">
        <f t="shared" ref="R470:X470" si="232">R471</f>
        <v>#REF!</v>
      </c>
      <c r="S470" s="82" t="e">
        <f t="shared" si="232"/>
        <v>#REF!</v>
      </c>
      <c r="T470" s="82" t="e">
        <f t="shared" si="232"/>
        <v>#REF!</v>
      </c>
      <c r="U470" s="357" t="e">
        <f t="shared" si="232"/>
        <v>#REF!</v>
      </c>
      <c r="V470" s="357" t="e">
        <f t="shared" si="232"/>
        <v>#REF!</v>
      </c>
      <c r="W470" s="357" t="e">
        <f t="shared" si="232"/>
        <v>#REF!</v>
      </c>
      <c r="X470" s="357" t="e">
        <f t="shared" si="232"/>
        <v>#REF!</v>
      </c>
      <c r="AD470" s="60"/>
      <c r="AE470" s="60"/>
      <c r="AF470" s="60"/>
      <c r="AG470" s="60"/>
      <c r="AH470" s="60"/>
      <c r="AI470" s="60"/>
      <c r="AJ470" s="60"/>
      <c r="AK470" s="60"/>
      <c r="AL470" s="60"/>
    </row>
    <row r="471" spans="1:38" ht="22.5" hidden="1" customHeight="1" x14ac:dyDescent="0.25">
      <c r="A471" s="80"/>
      <c r="B471" s="80"/>
      <c r="C471" s="80"/>
      <c r="D471" s="80"/>
      <c r="E471" s="80" t="s">
        <v>1029</v>
      </c>
      <c r="F471" s="81" t="s">
        <v>840</v>
      </c>
      <c r="G471" s="82" t="e">
        <f>SUMIF(#REF!,funkcijska!$E471,#REF!)</f>
        <v>#REF!</v>
      </c>
      <c r="H471" s="82" t="e">
        <f>SUMIF(#REF!,funkcijska!$E471,#REF!)</f>
        <v>#REF!</v>
      </c>
      <c r="I471" s="82" t="e">
        <f>SUMIF(#REF!,funkcijska!$E471,#REF!)</f>
        <v>#REF!</v>
      </c>
      <c r="J471" s="82" t="e">
        <f>SUMIF(#REF!,funkcijska!$E471,#REF!)</f>
        <v>#REF!</v>
      </c>
      <c r="K471" s="82" t="e">
        <f>SUMIF(#REF!,funkcijska!$E471,#REF!)</f>
        <v>#REF!</v>
      </c>
      <c r="L471" s="82" t="e">
        <f t="shared" si="228"/>
        <v>#REF!</v>
      </c>
      <c r="M471" s="82" t="e">
        <f t="shared" si="229"/>
        <v>#REF!</v>
      </c>
      <c r="N471" s="82" t="e">
        <f>SUMIF(#REF!,funkcijska!$E471,#REF!)</f>
        <v>#REF!</v>
      </c>
      <c r="O471" s="82" t="e">
        <f>SUMIF(#REF!,funkcijska!$E471,#REF!)</f>
        <v>#REF!</v>
      </c>
      <c r="P471" s="82" t="e">
        <f>SUMIF(#REF!,funkcijska!$E471,#REF!)</f>
        <v>#REF!</v>
      </c>
      <c r="Q471" s="389" t="e">
        <f>U471-O471</f>
        <v>#REF!</v>
      </c>
      <c r="R471" s="82" t="e">
        <f>SUMIF(#REF!,funkcijska!$E471,#REF!)</f>
        <v>#REF!</v>
      </c>
      <c r="S471" s="82" t="e">
        <f>SUMIF(#REF!,funkcijska!$E471,#REF!)</f>
        <v>#REF!</v>
      </c>
      <c r="T471" s="82" t="e">
        <f>SUMIF(#REF!,funkcijska!$E$109,#REF!)</f>
        <v>#REF!</v>
      </c>
      <c r="U471" s="357" t="e">
        <f>SUMIF(#REF!,funkcijska!$E471,#REF!)</f>
        <v>#REF!</v>
      </c>
      <c r="V471" s="357" t="e">
        <f>SUMIF(#REF!,funkcijska!$E471,#REF!)</f>
        <v>#REF!</v>
      </c>
      <c r="W471" s="357" t="e">
        <f>SUMIF(#REF!,funkcijska!$E471,#REF!)</f>
        <v>#REF!</v>
      </c>
      <c r="X471" s="357" t="e">
        <f>SUMIF(#REF!,funkcijska!$E471,#REF!)</f>
        <v>#REF!</v>
      </c>
      <c r="AD471" s="60"/>
      <c r="AE471" s="60"/>
      <c r="AF471" s="60"/>
      <c r="AG471" s="60"/>
      <c r="AH471" s="60"/>
      <c r="AI471" s="60"/>
      <c r="AJ471" s="60"/>
      <c r="AK471" s="60"/>
      <c r="AL471" s="60"/>
    </row>
    <row r="472" spans="1:38" s="373" customFormat="1" ht="21" customHeight="1" x14ac:dyDescent="0.25">
      <c r="A472" s="119"/>
      <c r="B472" s="119"/>
      <c r="C472" s="119"/>
      <c r="D472" s="119" t="str">
        <f>LEFT(E473,3)</f>
        <v>426</v>
      </c>
      <c r="E472" s="119"/>
      <c r="F472" s="368" t="s">
        <v>560</v>
      </c>
      <c r="G472" s="369" t="e">
        <f t="shared" ref="G472:X472" si="233">SUM(G473:G474)</f>
        <v>#REF!</v>
      </c>
      <c r="H472" s="370" t="e">
        <f t="shared" si="233"/>
        <v>#REF!</v>
      </c>
      <c r="I472" s="369" t="e">
        <f t="shared" si="233"/>
        <v>#REF!</v>
      </c>
      <c r="J472" s="369" t="e">
        <f t="shared" si="233"/>
        <v>#REF!</v>
      </c>
      <c r="K472" s="369" t="e">
        <f t="shared" si="233"/>
        <v>#REF!</v>
      </c>
      <c r="L472" s="369" t="e">
        <f t="shared" si="233"/>
        <v>#REF!</v>
      </c>
      <c r="M472" s="369" t="e">
        <f t="shared" si="233"/>
        <v>#REF!</v>
      </c>
      <c r="N472" s="369" t="e">
        <f t="shared" si="233"/>
        <v>#REF!</v>
      </c>
      <c r="O472" s="369" t="e">
        <f t="shared" si="233"/>
        <v>#REF!</v>
      </c>
      <c r="P472" s="369" t="e">
        <f t="shared" si="233"/>
        <v>#REF!</v>
      </c>
      <c r="Q472" s="392" t="e">
        <f t="shared" si="233"/>
        <v>#REF!</v>
      </c>
      <c r="R472" s="369" t="e">
        <f t="shared" si="233"/>
        <v>#REF!</v>
      </c>
      <c r="S472" s="369" t="e">
        <f t="shared" si="233"/>
        <v>#REF!</v>
      </c>
      <c r="T472" s="137" t="e">
        <f t="shared" si="233"/>
        <v>#REF!</v>
      </c>
      <c r="U472" s="371" t="e">
        <f t="shared" si="233"/>
        <v>#REF!</v>
      </c>
      <c r="V472" s="371" t="e">
        <f t="shared" si="233"/>
        <v>#REF!</v>
      </c>
      <c r="W472" s="371" t="e">
        <f t="shared" si="233"/>
        <v>#REF!</v>
      </c>
      <c r="X472" s="371" t="e">
        <f t="shared" si="233"/>
        <v>#REF!</v>
      </c>
      <c r="Y472" s="372"/>
      <c r="Z472" s="372"/>
      <c r="AA472" s="372"/>
      <c r="AB472" s="372"/>
      <c r="AC472" s="372"/>
      <c r="AD472" s="372"/>
      <c r="AE472" s="372"/>
      <c r="AF472" s="372"/>
      <c r="AG472" s="372"/>
      <c r="AH472" s="372"/>
      <c r="AI472" s="372"/>
      <c r="AJ472" s="372"/>
      <c r="AK472" s="372"/>
      <c r="AL472" s="372"/>
    </row>
    <row r="473" spans="1:38" ht="21.75" customHeight="1" x14ac:dyDescent="0.25">
      <c r="A473" s="80"/>
      <c r="B473" s="80"/>
      <c r="C473" s="80"/>
      <c r="D473" s="80"/>
      <c r="E473" s="80">
        <v>4262</v>
      </c>
      <c r="F473" s="81" t="s">
        <v>561</v>
      </c>
      <c r="G473" s="82" t="e">
        <f>SUMIF(#REF!,funkcijska!$E473,#REF!)</f>
        <v>#REF!</v>
      </c>
      <c r="H473" s="82" t="e">
        <f>SUMIF(#REF!,funkcijska!$E473,#REF!)</f>
        <v>#REF!</v>
      </c>
      <c r="I473" s="82" t="e">
        <f>SUMIF(#REF!,funkcijska!$E473,#REF!)</f>
        <v>#REF!</v>
      </c>
      <c r="J473" s="82" t="e">
        <f>SUMIF(#REF!,funkcijska!$E473,#REF!)</f>
        <v>#REF!</v>
      </c>
      <c r="K473" s="82" t="e">
        <f>SUMIF(#REF!,funkcijska!$E473,#REF!)</f>
        <v>#REF!</v>
      </c>
      <c r="L473" s="82" t="e">
        <f t="shared" ref="L473:L479" si="234">ROUND(K473/J473*100,2)</f>
        <v>#REF!</v>
      </c>
      <c r="M473" s="82" t="e">
        <f t="shared" ref="M473:M479" si="235">N473-J473</f>
        <v>#REF!</v>
      </c>
      <c r="N473" s="82" t="e">
        <f>SUMIF(#REF!,funkcijska!$E473,#REF!)</f>
        <v>#REF!</v>
      </c>
      <c r="O473" s="82" t="e">
        <f>SUMIF(#REF!,funkcijska!$E473,#REF!)</f>
        <v>#REF!</v>
      </c>
      <c r="P473" s="82" t="e">
        <f>SUMIF(#REF!,funkcijska!$E473,#REF!)</f>
        <v>#REF!</v>
      </c>
      <c r="Q473" s="386" t="e">
        <f>SUMIF(#REF!,funkcijska!$E473,#REF!)</f>
        <v>#REF!</v>
      </c>
      <c r="R473" s="82" t="e">
        <f>SUMIF(#REF!,funkcijska!$E473,#REF!)</f>
        <v>#REF!</v>
      </c>
      <c r="S473" s="82" t="e">
        <f>SUMIF(#REF!,funkcijska!$E473,#REF!)</f>
        <v>#REF!</v>
      </c>
      <c r="T473" s="82" t="e">
        <f>SUMIF(#REF!,funkcijska!$E$111,#REF!)</f>
        <v>#REF!</v>
      </c>
      <c r="U473" s="357" t="e">
        <f>SUMIF(#REF!,funkcijska!$E473,#REF!)</f>
        <v>#REF!</v>
      </c>
      <c r="V473" s="357" t="e">
        <f>SUMIF(#REF!,funkcijska!$E473,#REF!)+SUMIF(#REF!,funkcijska!$E473,#REF!)</f>
        <v>#REF!</v>
      </c>
      <c r="W473" s="357" t="e">
        <f>SUMIF(#REF!,funkcijska!$E473,#REF!)+SUMIF(#REF!,funkcijska!$E473,#REF!)</f>
        <v>#REF!</v>
      </c>
      <c r="X473" s="357" t="e">
        <f>SUMIF(#REF!,funkcijska!$E473,#REF!)+SUMIF(#REF!,funkcijska!$E473,#REF!)</f>
        <v>#REF!</v>
      </c>
      <c r="AD473" s="60"/>
      <c r="AE473" s="60"/>
      <c r="AF473" s="60"/>
      <c r="AG473" s="60"/>
      <c r="AH473" s="60"/>
      <c r="AI473" s="60"/>
      <c r="AJ473" s="60"/>
      <c r="AK473" s="60"/>
      <c r="AL473" s="60"/>
    </row>
    <row r="474" spans="1:38" ht="21" customHeight="1" x14ac:dyDescent="0.25">
      <c r="A474" s="80"/>
      <c r="B474" s="80"/>
      <c r="C474" s="80"/>
      <c r="D474" s="80"/>
      <c r="E474" s="80">
        <v>4264</v>
      </c>
      <c r="F474" s="81" t="s">
        <v>1030</v>
      </c>
      <c r="G474" s="82" t="e">
        <f>SUMIF(#REF!,funkcijska!$E474,#REF!)</f>
        <v>#REF!</v>
      </c>
      <c r="H474" s="82" t="e">
        <f>SUMIF(#REF!,funkcijska!$E474,#REF!)</f>
        <v>#REF!</v>
      </c>
      <c r="I474" s="82" t="e">
        <f>SUMIF(#REF!,funkcijska!$E474,#REF!)</f>
        <v>#REF!</v>
      </c>
      <c r="J474" s="82" t="e">
        <f>SUMIF(#REF!,funkcijska!$E474,#REF!)</f>
        <v>#REF!</v>
      </c>
      <c r="K474" s="82" t="e">
        <f>SUMIF(#REF!,funkcijska!$E474,#REF!)</f>
        <v>#REF!</v>
      </c>
      <c r="L474" s="82" t="e">
        <f t="shared" si="234"/>
        <v>#REF!</v>
      </c>
      <c r="M474" s="82" t="e">
        <f t="shared" si="235"/>
        <v>#REF!</v>
      </c>
      <c r="N474" s="82" t="e">
        <f>SUMIF(#REF!,funkcijska!$E474,#REF!)</f>
        <v>#REF!</v>
      </c>
      <c r="O474" s="82" t="e">
        <f>SUMIF(#REF!,funkcijska!$E474,#REF!)</f>
        <v>#REF!</v>
      </c>
      <c r="P474" s="82" t="e">
        <f>SUMIF(#REF!,funkcijska!$E474,#REF!)</f>
        <v>#REF!</v>
      </c>
      <c r="Q474" s="386" t="e">
        <f>SUMIF(#REF!,funkcijska!$E474,#REF!)</f>
        <v>#REF!</v>
      </c>
      <c r="R474" s="82" t="e">
        <f>SUMIF(#REF!,funkcijska!$E474,#REF!)</f>
        <v>#REF!</v>
      </c>
      <c r="S474" s="82" t="e">
        <f>SUMIF(#REF!,funkcijska!$E474,#REF!)</f>
        <v>#REF!</v>
      </c>
      <c r="T474" s="82" t="e">
        <f>SUMIF(#REF!,funkcijska!$E$112,#REF!)</f>
        <v>#REF!</v>
      </c>
      <c r="U474" s="357" t="e">
        <f>SUMIF(#REF!,funkcijska!$E474,#REF!)</f>
        <v>#REF!</v>
      </c>
      <c r="V474" s="357" t="e">
        <f>SUMIF(#REF!,funkcijska!$E474,#REF!)+SUMIF(#REF!,funkcijska!$E474,#REF!)</f>
        <v>#REF!</v>
      </c>
      <c r="W474" s="357" t="e">
        <f>SUMIF(#REF!,funkcijska!$E474,#REF!)+SUMIF(#REF!,funkcijska!$E474,#REF!)</f>
        <v>#REF!</v>
      </c>
      <c r="X474" s="357" t="e">
        <f>SUMIF(#REF!,funkcijska!$E474,#REF!)+SUMIF(#REF!,funkcijska!$E474,#REF!)</f>
        <v>#REF!</v>
      </c>
      <c r="AD474" s="60"/>
      <c r="AE474" s="60"/>
      <c r="AF474" s="60"/>
      <c r="AG474" s="60"/>
      <c r="AH474" s="60"/>
      <c r="AI474" s="60"/>
      <c r="AJ474" s="60"/>
      <c r="AK474" s="60"/>
      <c r="AL474" s="60"/>
    </row>
    <row r="475" spans="1:38" ht="36.75" customHeight="1" x14ac:dyDescent="0.25">
      <c r="A475" s="125"/>
      <c r="B475" s="74"/>
      <c r="C475" s="74" t="str">
        <f>LEFT(E477,2)</f>
        <v>45</v>
      </c>
      <c r="D475" s="74"/>
      <c r="E475" s="74"/>
      <c r="F475" s="75" t="s">
        <v>808</v>
      </c>
      <c r="G475" s="77" t="e">
        <f>G476+G478+#REF!</f>
        <v>#REF!</v>
      </c>
      <c r="H475" s="118" t="e">
        <f>H476+H478+#REF!</f>
        <v>#REF!</v>
      </c>
      <c r="I475" s="77" t="e">
        <f>I476+I478+#REF!</f>
        <v>#REF!</v>
      </c>
      <c r="J475" s="77" t="e">
        <f>J476+J478+#REF!</f>
        <v>#REF!</v>
      </c>
      <c r="K475" s="77" t="e">
        <f>K476+K478+#REF!</f>
        <v>#REF!</v>
      </c>
      <c r="L475" s="77" t="e">
        <f t="shared" si="234"/>
        <v>#REF!</v>
      </c>
      <c r="M475" s="77" t="e">
        <f t="shared" si="235"/>
        <v>#REF!</v>
      </c>
      <c r="N475" s="77" t="e">
        <f>N476+N478+#REF!</f>
        <v>#REF!</v>
      </c>
      <c r="O475" s="76" t="e">
        <f>O476+O478+#REF!</f>
        <v>#REF!</v>
      </c>
      <c r="P475" s="76" t="e">
        <f>P476+P478+#REF!</f>
        <v>#REF!</v>
      </c>
      <c r="Q475" s="385" t="e">
        <f>Q476+Q478+#REF!</f>
        <v>#REF!</v>
      </c>
      <c r="R475" s="135" t="e">
        <f>R476+R478+#REF!</f>
        <v>#REF!</v>
      </c>
      <c r="S475" s="135" t="e">
        <f>S476+S478+#REF!</f>
        <v>#REF!</v>
      </c>
      <c r="T475" s="135" t="e">
        <f>T476+T478+#REF!</f>
        <v>#REF!</v>
      </c>
      <c r="U475" s="356" t="e">
        <f>U476+U478+#REF!</f>
        <v>#REF!</v>
      </c>
      <c r="V475" s="356" t="e">
        <f>V476+V478</f>
        <v>#REF!</v>
      </c>
      <c r="W475" s="356" t="e">
        <f>W476+W478</f>
        <v>#REF!</v>
      </c>
      <c r="X475" s="356" t="e">
        <f>X476+X478</f>
        <v>#REF!</v>
      </c>
      <c r="AD475" s="60"/>
      <c r="AE475" s="60"/>
      <c r="AF475" s="60"/>
      <c r="AG475" s="60"/>
      <c r="AH475" s="60"/>
      <c r="AI475" s="60"/>
      <c r="AJ475" s="60"/>
      <c r="AK475" s="60"/>
      <c r="AL475" s="60"/>
    </row>
    <row r="476" spans="1:38" s="373" customFormat="1" ht="20.25" customHeight="1" x14ac:dyDescent="0.25">
      <c r="A476" s="119"/>
      <c r="B476" s="119"/>
      <c r="C476" s="119"/>
      <c r="D476" s="119" t="str">
        <f>LEFT(E477,3)</f>
        <v>451</v>
      </c>
      <c r="E476" s="119"/>
      <c r="F476" s="368" t="s">
        <v>809</v>
      </c>
      <c r="G476" s="369" t="e">
        <f>G477</f>
        <v>#REF!</v>
      </c>
      <c r="H476" s="370" t="e">
        <f>H477</f>
        <v>#REF!</v>
      </c>
      <c r="I476" s="369" t="e">
        <f>I477</f>
        <v>#REF!</v>
      </c>
      <c r="J476" s="369" t="e">
        <f>J477</f>
        <v>#REF!</v>
      </c>
      <c r="K476" s="369" t="e">
        <f>K477</f>
        <v>#REF!</v>
      </c>
      <c r="L476" s="369" t="e">
        <f t="shared" si="234"/>
        <v>#REF!</v>
      </c>
      <c r="M476" s="369" t="e">
        <f t="shared" si="235"/>
        <v>#REF!</v>
      </c>
      <c r="N476" s="369" t="e">
        <f t="shared" ref="N476:X476" si="236">N477</f>
        <v>#REF!</v>
      </c>
      <c r="O476" s="137" t="e">
        <f t="shared" si="236"/>
        <v>#REF!</v>
      </c>
      <c r="P476" s="137" t="e">
        <f t="shared" si="236"/>
        <v>#REF!</v>
      </c>
      <c r="Q476" s="393" t="e">
        <f t="shared" si="236"/>
        <v>#REF!</v>
      </c>
      <c r="R476" s="137" t="e">
        <f t="shared" si="236"/>
        <v>#REF!</v>
      </c>
      <c r="S476" s="137" t="e">
        <f t="shared" si="236"/>
        <v>#REF!</v>
      </c>
      <c r="T476" s="137" t="e">
        <f t="shared" si="236"/>
        <v>#REF!</v>
      </c>
      <c r="U476" s="371" t="e">
        <f t="shared" si="236"/>
        <v>#REF!</v>
      </c>
      <c r="V476" s="371" t="e">
        <f t="shared" si="236"/>
        <v>#REF!</v>
      </c>
      <c r="W476" s="371" t="e">
        <f t="shared" si="236"/>
        <v>#REF!</v>
      </c>
      <c r="X476" s="371" t="e">
        <f t="shared" si="236"/>
        <v>#REF!</v>
      </c>
      <c r="Y476" s="372"/>
      <c r="Z476" s="372"/>
      <c r="AA476" s="372"/>
      <c r="AB476" s="372"/>
      <c r="AC476" s="372"/>
      <c r="AD476" s="372"/>
      <c r="AE476" s="372"/>
      <c r="AF476" s="372"/>
      <c r="AG476" s="372"/>
      <c r="AH476" s="372"/>
      <c r="AI476" s="372"/>
      <c r="AJ476" s="372"/>
      <c r="AK476" s="372"/>
      <c r="AL476" s="372"/>
    </row>
    <row r="477" spans="1:38" ht="21" customHeight="1" x14ac:dyDescent="0.25">
      <c r="A477" s="80"/>
      <c r="B477" s="80"/>
      <c r="C477" s="80"/>
      <c r="D477" s="80"/>
      <c r="E477" s="80">
        <v>4511</v>
      </c>
      <c r="F477" s="81" t="s">
        <v>809</v>
      </c>
      <c r="G477" s="82" t="e">
        <f>SUMIF(#REF!,funkcijska!E477,#REF!)</f>
        <v>#REF!</v>
      </c>
      <c r="H477" s="82" t="e">
        <f>SUMIF(#REF!,funkcijska!$E477,#REF!)</f>
        <v>#REF!</v>
      </c>
      <c r="I477" s="82" t="e">
        <f>SUMIF(#REF!,funkcijska!$E477,#REF!)</f>
        <v>#REF!</v>
      </c>
      <c r="J477" s="82" t="e">
        <f>SUMIF(#REF!,funkcijska!$E477,#REF!)</f>
        <v>#REF!</v>
      </c>
      <c r="K477" s="82" t="e">
        <f>SUMIF(#REF!,funkcijska!$E477,#REF!)</f>
        <v>#REF!</v>
      </c>
      <c r="L477" s="82" t="e">
        <f t="shared" si="234"/>
        <v>#REF!</v>
      </c>
      <c r="M477" s="82" t="e">
        <f t="shared" si="235"/>
        <v>#REF!</v>
      </c>
      <c r="N477" s="82" t="e">
        <f>SUMIF(#REF!,funkcijska!$E477,#REF!)</f>
        <v>#REF!</v>
      </c>
      <c r="O477" s="82" t="e">
        <f>SUMIF(#REF!,funkcijska!$E477,#REF!)</f>
        <v>#REF!</v>
      </c>
      <c r="P477" s="82" t="e">
        <f>SUMIF(#REF!,funkcijska!$E477,#REF!)</f>
        <v>#REF!</v>
      </c>
      <c r="Q477" s="386" t="e">
        <f>SUMIF(#REF!,funkcijska!$E477,#REF!)</f>
        <v>#REF!</v>
      </c>
      <c r="R477" s="82" t="e">
        <f>SUMIF(#REF!,funkcijska!$E477,#REF!)</f>
        <v>#REF!</v>
      </c>
      <c r="S477" s="82" t="e">
        <f>SUMIF(#REF!,funkcijska!$E477,#REF!)</f>
        <v>#REF!</v>
      </c>
      <c r="T477" s="82" t="e">
        <f>SUMIF(#REF!,funkcijska!$E$115,#REF!)</f>
        <v>#REF!</v>
      </c>
      <c r="U477" s="357" t="e">
        <f>SUMIF(#REF!,funkcijska!$E477,#REF!)</f>
        <v>#REF!</v>
      </c>
      <c r="V477" s="357" t="e">
        <f>SUMIF(#REF!,funkcijska!$E477,#REF!)+SUMIF(#REF!,funkcijska!$E477,#REF!)</f>
        <v>#REF!</v>
      </c>
      <c r="W477" s="357" t="e">
        <f>SUMIF(#REF!,funkcijska!$E477,#REF!)+SUMIF(#REF!,funkcijska!$E477,#REF!)</f>
        <v>#REF!</v>
      </c>
      <c r="X477" s="357" t="e">
        <f>SUMIF(#REF!,funkcijska!$E477,#REF!)+SUMIF(#REF!,funkcijska!$E477,#REF!)</f>
        <v>#REF!</v>
      </c>
      <c r="AD477" s="60"/>
      <c r="AE477" s="60"/>
      <c r="AF477" s="60"/>
      <c r="AG477" s="60"/>
      <c r="AH477" s="60"/>
      <c r="AI477" s="60"/>
      <c r="AJ477" s="60"/>
      <c r="AK477" s="60"/>
      <c r="AL477" s="60"/>
    </row>
    <row r="478" spans="1:38" s="373" customFormat="1" ht="21.75" customHeight="1" x14ac:dyDescent="0.25">
      <c r="A478" s="119"/>
      <c r="B478" s="119"/>
      <c r="C478" s="119"/>
      <c r="D478" s="119">
        <v>452</v>
      </c>
      <c r="E478" s="119"/>
      <c r="F478" s="368" t="s">
        <v>639</v>
      </c>
      <c r="G478" s="137" t="e">
        <f>G479</f>
        <v>#REF!</v>
      </c>
      <c r="H478" s="370" t="e">
        <f>H479</f>
        <v>#REF!</v>
      </c>
      <c r="I478" s="137" t="e">
        <f>I479</f>
        <v>#REF!</v>
      </c>
      <c r="J478" s="137" t="e">
        <f>J479</f>
        <v>#REF!</v>
      </c>
      <c r="K478" s="137" t="e">
        <f>K479</f>
        <v>#REF!</v>
      </c>
      <c r="L478" s="137" t="e">
        <f t="shared" si="234"/>
        <v>#REF!</v>
      </c>
      <c r="M478" s="137" t="e">
        <f t="shared" si="235"/>
        <v>#REF!</v>
      </c>
      <c r="N478" s="137" t="e">
        <f t="shared" ref="N478:X478" si="237">N479</f>
        <v>#REF!</v>
      </c>
      <c r="O478" s="137" t="e">
        <f t="shared" si="237"/>
        <v>#REF!</v>
      </c>
      <c r="P478" s="137" t="e">
        <f t="shared" si="237"/>
        <v>#REF!</v>
      </c>
      <c r="Q478" s="393" t="e">
        <f t="shared" si="237"/>
        <v>#REF!</v>
      </c>
      <c r="R478" s="137" t="e">
        <f t="shared" si="237"/>
        <v>#REF!</v>
      </c>
      <c r="S478" s="137" t="e">
        <f t="shared" si="237"/>
        <v>#REF!</v>
      </c>
      <c r="T478" s="137" t="e">
        <f t="shared" si="237"/>
        <v>#REF!</v>
      </c>
      <c r="U478" s="371" t="e">
        <f t="shared" si="237"/>
        <v>#REF!</v>
      </c>
      <c r="V478" s="371" t="e">
        <f t="shared" si="237"/>
        <v>#REF!</v>
      </c>
      <c r="W478" s="371" t="e">
        <f t="shared" si="237"/>
        <v>#REF!</v>
      </c>
      <c r="X478" s="371" t="e">
        <f t="shared" si="237"/>
        <v>#REF!</v>
      </c>
      <c r="Y478" s="372"/>
      <c r="Z478" s="372"/>
      <c r="AA478" s="372"/>
      <c r="AB478" s="372"/>
      <c r="AC478" s="372"/>
      <c r="AD478" s="372"/>
      <c r="AE478" s="372"/>
      <c r="AF478" s="372"/>
      <c r="AG478" s="372"/>
      <c r="AH478" s="372"/>
      <c r="AI478" s="372"/>
      <c r="AJ478" s="372"/>
      <c r="AK478" s="372"/>
      <c r="AL478" s="372"/>
    </row>
    <row r="479" spans="1:38" ht="21" customHeight="1" x14ac:dyDescent="0.25">
      <c r="A479" s="80"/>
      <c r="B479" s="80"/>
      <c r="C479" s="80"/>
      <c r="D479" s="80"/>
      <c r="E479" s="80">
        <v>4521</v>
      </c>
      <c r="F479" s="81" t="s">
        <v>639</v>
      </c>
      <c r="G479" s="82" t="e">
        <f>SUMIF(#REF!,funkcijska!E479,#REF!)</f>
        <v>#REF!</v>
      </c>
      <c r="H479" s="82" t="e">
        <f>SUMIF(#REF!,funkcijska!$E479,#REF!)</f>
        <v>#REF!</v>
      </c>
      <c r="I479" s="82" t="e">
        <f>SUMIF(#REF!,funkcijska!$E479,#REF!)</f>
        <v>#REF!</v>
      </c>
      <c r="J479" s="82" t="e">
        <f>SUMIF(#REF!,funkcijska!$E479,#REF!)</f>
        <v>#REF!</v>
      </c>
      <c r="K479" s="82" t="e">
        <f>SUMIF(#REF!,funkcijska!$E479,#REF!)</f>
        <v>#REF!</v>
      </c>
      <c r="L479" s="82" t="e">
        <f t="shared" si="234"/>
        <v>#REF!</v>
      </c>
      <c r="M479" s="82" t="e">
        <f t="shared" si="235"/>
        <v>#REF!</v>
      </c>
      <c r="N479" s="82" t="e">
        <f>SUMIF(#REF!,funkcijska!$E479,#REF!)</f>
        <v>#REF!</v>
      </c>
      <c r="O479" s="82" t="e">
        <f>SUMIF(#REF!,funkcijska!$E479,#REF!)</f>
        <v>#REF!</v>
      </c>
      <c r="P479" s="82" t="e">
        <f>SUMIF(#REF!,funkcijska!$E479,#REF!)</f>
        <v>#REF!</v>
      </c>
      <c r="Q479" s="386" t="e">
        <f>SUMIF(#REF!,funkcijska!$E479,#REF!)</f>
        <v>#REF!</v>
      </c>
      <c r="R479" s="82" t="e">
        <f>SUMIF(#REF!,funkcijska!$E479,#REF!)</f>
        <v>#REF!</v>
      </c>
      <c r="S479" s="82" t="e">
        <f>SUMIF(#REF!,funkcijska!$E479,#REF!)</f>
        <v>#REF!</v>
      </c>
      <c r="T479" s="82" t="e">
        <f>SUMIF(#REF!,funkcijska!$E$117,#REF!)</f>
        <v>#REF!</v>
      </c>
      <c r="U479" s="357" t="e">
        <f>SUMIF(#REF!,funkcijska!$E479,#REF!)</f>
        <v>#REF!</v>
      </c>
      <c r="V479" s="357" t="e">
        <f>SUMIF(#REF!,funkcijska!$E479,#REF!)+SUMIF(#REF!,funkcijska!$E479,#REF!)</f>
        <v>#REF!</v>
      </c>
      <c r="W479" s="357" t="e">
        <f>SUMIF(#REF!,funkcijska!$E479,#REF!)+SUMIF(#REF!,funkcijska!$E479,#REF!)</f>
        <v>#REF!</v>
      </c>
      <c r="X479" s="357" t="e">
        <f>SUMIF(#REF!,funkcijska!$E479,#REF!)+SUMIF(#REF!,funkcijska!$E479,#REF!)</f>
        <v>#REF!</v>
      </c>
      <c r="AD479" s="60"/>
      <c r="AE479" s="60"/>
      <c r="AF479" s="60"/>
      <c r="AG479" s="60"/>
      <c r="AH479" s="60"/>
      <c r="AI479" s="60"/>
      <c r="AJ479" s="60"/>
      <c r="AK479" s="60"/>
      <c r="AL479" s="60"/>
    </row>
    <row r="480" spans="1:38" x14ac:dyDescent="0.25">
      <c r="A480" s="123"/>
      <c r="B480" s="123"/>
      <c r="C480" s="123"/>
      <c r="D480" s="123"/>
      <c r="E480" s="123"/>
    </row>
    <row r="481" spans="1:38" x14ac:dyDescent="0.25">
      <c r="A481" s="123"/>
      <c r="B481" s="123"/>
      <c r="C481" s="123"/>
      <c r="D481" s="123"/>
      <c r="E481" s="123"/>
    </row>
    <row r="482" spans="1:38" s="534" customFormat="1" ht="36" x14ac:dyDescent="0.25">
      <c r="A482" s="542"/>
      <c r="B482" s="567"/>
      <c r="C482" s="567"/>
      <c r="D482" s="567"/>
      <c r="E482" s="567"/>
      <c r="F482" s="568" t="s">
        <v>781</v>
      </c>
      <c r="G482" s="549"/>
      <c r="H482" s="549"/>
      <c r="I482" s="549"/>
      <c r="J482" s="549"/>
      <c r="K482" s="549"/>
      <c r="L482" s="549"/>
      <c r="M482" s="549"/>
      <c r="N482" s="549"/>
      <c r="O482" s="550"/>
      <c r="P482" s="550"/>
      <c r="Q482" s="550"/>
      <c r="R482" s="550"/>
      <c r="S482" s="550"/>
      <c r="T482" s="550"/>
      <c r="U482" s="550"/>
      <c r="V482" s="551" t="e">
        <f>V483+V558+V593</f>
        <v>#REF!</v>
      </c>
      <c r="W482" s="551" t="e">
        <f>W483+W558+W593</f>
        <v>#REF!</v>
      </c>
      <c r="X482" s="551" t="e">
        <f>X483+X558+X593</f>
        <v>#REF!</v>
      </c>
      <c r="Y482" s="535"/>
      <c r="Z482" s="535"/>
      <c r="AA482" s="535"/>
      <c r="AB482" s="535"/>
      <c r="AC482" s="535"/>
    </row>
    <row r="483" spans="1:38" x14ac:dyDescent="0.25">
      <c r="A483" s="74"/>
      <c r="B483" s="105" t="str">
        <f>LEFT(E486,1)</f>
        <v>3</v>
      </c>
      <c r="C483" s="105"/>
      <c r="D483" s="105"/>
      <c r="E483" s="105"/>
      <c r="F483" s="72" t="s">
        <v>524</v>
      </c>
      <c r="G483" s="313" t="e">
        <f>G484+G495+G527+G534+G541+G545+G549</f>
        <v>#REF!</v>
      </c>
      <c r="H483" s="73" t="e">
        <f>H484+H495+H527+H534+H541+H545+H549</f>
        <v>#REF!</v>
      </c>
      <c r="I483" s="313" t="e">
        <f>I484+I495+I527+I534+I541+I545+I549</f>
        <v>#REF!</v>
      </c>
      <c r="J483" s="313" t="e">
        <f>J484+J495+J527+J534+J541+J545+J549</f>
        <v>#REF!</v>
      </c>
      <c r="K483" s="313" t="e">
        <f>K484+K495+K527+K534+K541+K545+K549</f>
        <v>#REF!</v>
      </c>
      <c r="L483" s="313" t="e">
        <f>ROUND(K483/J483*100,2)</f>
        <v>#REF!</v>
      </c>
      <c r="M483" s="313" t="e">
        <f>N483-J483</f>
        <v>#REF!</v>
      </c>
      <c r="N483" s="313" t="e">
        <f t="shared" ref="N483:X483" si="238">N484+N495+N527+N534+N541+N545+N549</f>
        <v>#REF!</v>
      </c>
      <c r="O483" s="73" t="e">
        <f t="shared" si="238"/>
        <v>#REF!</v>
      </c>
      <c r="P483" s="73" t="e">
        <f t="shared" si="238"/>
        <v>#REF!</v>
      </c>
      <c r="Q483" s="384" t="e">
        <f t="shared" si="238"/>
        <v>#REF!</v>
      </c>
      <c r="R483" s="76" t="e">
        <f t="shared" si="238"/>
        <v>#REF!</v>
      </c>
      <c r="S483" s="76" t="e">
        <f t="shared" si="238"/>
        <v>#REF!</v>
      </c>
      <c r="T483" s="76" t="e">
        <f t="shared" si="238"/>
        <v>#REF!</v>
      </c>
      <c r="U483" s="355" t="e">
        <f t="shared" si="238"/>
        <v>#REF!</v>
      </c>
      <c r="V483" s="355" t="e">
        <f t="shared" si="238"/>
        <v>#REF!</v>
      </c>
      <c r="W483" s="355" t="e">
        <f t="shared" si="238"/>
        <v>#REF!</v>
      </c>
      <c r="X483" s="355" t="e">
        <f t="shared" si="238"/>
        <v>#REF!</v>
      </c>
      <c r="AD483" s="60"/>
      <c r="AE483" s="60"/>
      <c r="AF483" s="60"/>
      <c r="AG483" s="60"/>
      <c r="AH483" s="60"/>
      <c r="AI483" s="60"/>
      <c r="AJ483" s="60"/>
      <c r="AK483" s="60"/>
      <c r="AL483" s="60"/>
    </row>
    <row r="484" spans="1:38" ht="16.5" customHeight="1" x14ac:dyDescent="0.25">
      <c r="A484" s="125"/>
      <c r="B484" s="74"/>
      <c r="C484" s="74" t="str">
        <f>LEFT(E486,2)</f>
        <v>31</v>
      </c>
      <c r="D484" s="74"/>
      <c r="E484" s="74"/>
      <c r="F484" s="75" t="s">
        <v>197</v>
      </c>
      <c r="G484" s="77" t="e">
        <f>G485+G490+G492</f>
        <v>#REF!</v>
      </c>
      <c r="H484" s="76" t="e">
        <f>H485+H490+H492</f>
        <v>#REF!</v>
      </c>
      <c r="I484" s="77" t="e">
        <f>I485+I490+I492</f>
        <v>#REF!</v>
      </c>
      <c r="J484" s="77" t="e">
        <f>J485+J490+J492</f>
        <v>#REF!</v>
      </c>
      <c r="K484" s="77" t="e">
        <f>K485+K490+K492</f>
        <v>#REF!</v>
      </c>
      <c r="L484" s="77" t="e">
        <f>ROUND(K484/J484*100,2)</f>
        <v>#REF!</v>
      </c>
      <c r="M484" s="77" t="e">
        <f>N484-J484</f>
        <v>#REF!</v>
      </c>
      <c r="N484" s="77" t="e">
        <f t="shared" ref="N484:X484" si="239">N485+N490+N492</f>
        <v>#REF!</v>
      </c>
      <c r="O484" s="76" t="e">
        <f t="shared" si="239"/>
        <v>#REF!</v>
      </c>
      <c r="P484" s="76" t="e">
        <f t="shared" si="239"/>
        <v>#REF!</v>
      </c>
      <c r="Q484" s="385" t="e">
        <f t="shared" si="239"/>
        <v>#REF!</v>
      </c>
      <c r="R484" s="127" t="e">
        <f t="shared" si="239"/>
        <v>#REF!</v>
      </c>
      <c r="S484" s="127" t="e">
        <f t="shared" si="239"/>
        <v>#REF!</v>
      </c>
      <c r="T484" s="127" t="e">
        <f t="shared" si="239"/>
        <v>#REF!</v>
      </c>
      <c r="U484" s="356" t="e">
        <f t="shared" si="239"/>
        <v>#REF!</v>
      </c>
      <c r="V484" s="356" t="e">
        <f t="shared" si="239"/>
        <v>#REF!</v>
      </c>
      <c r="W484" s="356" t="e">
        <f t="shared" si="239"/>
        <v>#REF!</v>
      </c>
      <c r="X484" s="356" t="e">
        <f t="shared" si="239"/>
        <v>#REF!</v>
      </c>
      <c r="AD484" s="128"/>
      <c r="AE484" s="60"/>
      <c r="AF484" s="60"/>
      <c r="AG484" s="60"/>
      <c r="AH484" s="60"/>
      <c r="AI484" s="60"/>
      <c r="AJ484" s="60"/>
      <c r="AK484" s="60"/>
      <c r="AL484" s="60"/>
    </row>
    <row r="485" spans="1:38" ht="18" customHeight="1" x14ac:dyDescent="0.25">
      <c r="A485" s="80"/>
      <c r="B485" s="80"/>
      <c r="C485" s="80"/>
      <c r="D485" s="80" t="str">
        <f>LEFT(E486,3)</f>
        <v>311</v>
      </c>
      <c r="E485" s="80"/>
      <c r="F485" s="81" t="s">
        <v>198</v>
      </c>
      <c r="G485" s="129" t="e">
        <f t="shared" ref="G485:X485" si="240">SUM(G486:G489)</f>
        <v>#REF!</v>
      </c>
      <c r="H485" s="102" t="e">
        <f t="shared" si="240"/>
        <v>#REF!</v>
      </c>
      <c r="I485" s="129" t="e">
        <f t="shared" si="240"/>
        <v>#REF!</v>
      </c>
      <c r="J485" s="129" t="e">
        <f t="shared" si="240"/>
        <v>#REF!</v>
      </c>
      <c r="K485" s="129" t="e">
        <f t="shared" si="240"/>
        <v>#REF!</v>
      </c>
      <c r="L485" s="129" t="e">
        <f t="shared" si="240"/>
        <v>#REF!</v>
      </c>
      <c r="M485" s="129" t="e">
        <f t="shared" si="240"/>
        <v>#REF!</v>
      </c>
      <c r="N485" s="129" t="e">
        <f t="shared" si="240"/>
        <v>#REF!</v>
      </c>
      <c r="O485" s="129" t="e">
        <f t="shared" si="240"/>
        <v>#REF!</v>
      </c>
      <c r="P485" s="129" t="e">
        <f t="shared" si="240"/>
        <v>#REF!</v>
      </c>
      <c r="Q485" s="389" t="e">
        <f t="shared" si="240"/>
        <v>#REF!</v>
      </c>
      <c r="R485" s="129" t="e">
        <f t="shared" si="240"/>
        <v>#REF!</v>
      </c>
      <c r="S485" s="129" t="e">
        <f t="shared" si="240"/>
        <v>#REF!</v>
      </c>
      <c r="T485" s="129" t="e">
        <f t="shared" si="240"/>
        <v>#REF!</v>
      </c>
      <c r="U485" s="363" t="e">
        <f t="shared" si="240"/>
        <v>#REF!</v>
      </c>
      <c r="V485" s="363" t="e">
        <f t="shared" si="240"/>
        <v>#REF!</v>
      </c>
      <c r="W485" s="363" t="e">
        <f t="shared" si="240"/>
        <v>#REF!</v>
      </c>
      <c r="X485" s="363" t="e">
        <f t="shared" si="240"/>
        <v>#REF!</v>
      </c>
      <c r="AD485" s="60"/>
      <c r="AE485" s="60"/>
      <c r="AF485" s="60"/>
      <c r="AG485" s="60"/>
      <c r="AH485" s="60"/>
      <c r="AI485" s="60"/>
      <c r="AJ485" s="60"/>
      <c r="AK485" s="60"/>
      <c r="AL485" s="60"/>
    </row>
    <row r="486" spans="1:38" ht="18" customHeight="1" x14ac:dyDescent="0.25">
      <c r="A486" s="80"/>
      <c r="B486" s="80"/>
      <c r="C486" s="80"/>
      <c r="D486" s="80"/>
      <c r="E486" s="80">
        <v>3111</v>
      </c>
      <c r="F486" s="81" t="s">
        <v>199</v>
      </c>
      <c r="G486" s="82" t="e">
        <f>SUMIF(#REF!,funkcijska!$E486,#REF!)</f>
        <v>#REF!</v>
      </c>
      <c r="H486" s="82" t="e">
        <f>SUMIF(#REF!,funkcijska!$E486,#REF!)</f>
        <v>#REF!</v>
      </c>
      <c r="I486" s="82" t="e">
        <f>SUMIF(#REF!,funkcijska!$E486,#REF!)</f>
        <v>#REF!</v>
      </c>
      <c r="J486" s="82" t="e">
        <f>SUMIF(#REF!,funkcijska!$E486,#REF!)</f>
        <v>#REF!</v>
      </c>
      <c r="K486" s="82" t="e">
        <f>SUMIF(#REF!,funkcijska!$E486,#REF!)</f>
        <v>#REF!</v>
      </c>
      <c r="L486" s="82" t="e">
        <f t="shared" ref="L486:L491" si="241">ROUND(K486/J486*100,2)</f>
        <v>#REF!</v>
      </c>
      <c r="M486" s="82" t="e">
        <f t="shared" ref="M486:M491" si="242">N486-J486</f>
        <v>#REF!</v>
      </c>
      <c r="N486" s="82" t="e">
        <f>SUMIF(#REF!,funkcijska!$E486,#REF!)</f>
        <v>#REF!</v>
      </c>
      <c r="O486" s="82" t="e">
        <f>SUMIF(#REF!,funkcijska!$E486,#REF!)</f>
        <v>#REF!</v>
      </c>
      <c r="P486" s="82" t="e">
        <f>SUMIF(#REF!,funkcijska!$E486,#REF!)</f>
        <v>#REF!</v>
      </c>
      <c r="Q486" s="386" t="e">
        <f>SUMIF(#REF!,funkcijska!$E486,#REF!)</f>
        <v>#REF!</v>
      </c>
      <c r="R486" s="82" t="e">
        <f>SUMIF(#REF!,funkcijska!$E486,#REF!)</f>
        <v>#REF!</v>
      </c>
      <c r="S486" s="82" t="e">
        <f>SUMIF(#REF!,funkcijska!$E486,#REF!)</f>
        <v>#REF!</v>
      </c>
      <c r="T486" s="82" t="e">
        <f>SUMIF(#REF!,funkcijska!$E$12,#REF!)</f>
        <v>#REF!</v>
      </c>
      <c r="U486" s="357" t="e">
        <f>SUMIF(#REF!,funkcijska!$E486,#REF!)</f>
        <v>#REF!</v>
      </c>
      <c r="V486" s="357" t="e">
        <f>SUMIF(#REF!,funkcijska!$E486,#REF!)</f>
        <v>#REF!</v>
      </c>
      <c r="W486" s="357" t="e">
        <f>SUMIF(#REF!,funkcijska!$E486,#REF!)</f>
        <v>#REF!</v>
      </c>
      <c r="X486" s="357" t="e">
        <f>SUMIF(#REF!,funkcijska!$E486,#REF!)</f>
        <v>#REF!</v>
      </c>
      <c r="AD486" s="60"/>
      <c r="AE486" s="60"/>
      <c r="AF486" s="60"/>
      <c r="AG486" s="60"/>
      <c r="AH486" s="60"/>
      <c r="AI486" s="60"/>
      <c r="AJ486" s="60"/>
      <c r="AK486" s="60"/>
      <c r="AL486" s="60"/>
    </row>
    <row r="487" spans="1:38" x14ac:dyDescent="0.25">
      <c r="A487" s="80"/>
      <c r="B487" s="80"/>
      <c r="C487" s="80"/>
      <c r="D487" s="80"/>
      <c r="E487" s="80">
        <v>3112</v>
      </c>
      <c r="F487" s="81" t="s">
        <v>219</v>
      </c>
      <c r="G487" s="82" t="e">
        <f>SUMIF(#REF!,funkcijska!$E487,#REF!)</f>
        <v>#REF!</v>
      </c>
      <c r="H487" s="82" t="e">
        <f>SUMIF(#REF!,funkcijska!$E487,#REF!)</f>
        <v>#REF!</v>
      </c>
      <c r="I487" s="82" t="e">
        <f>SUMIF(#REF!,funkcijska!$E487,#REF!)</f>
        <v>#REF!</v>
      </c>
      <c r="J487" s="82" t="e">
        <f>SUMIF(#REF!,funkcijska!$E487,#REF!)</f>
        <v>#REF!</v>
      </c>
      <c r="K487" s="82" t="e">
        <f>SUMIF(#REF!,funkcijska!$E487,#REF!)</f>
        <v>#REF!</v>
      </c>
      <c r="L487" s="82" t="e">
        <f t="shared" si="241"/>
        <v>#REF!</v>
      </c>
      <c r="M487" s="82" t="e">
        <f t="shared" si="242"/>
        <v>#REF!</v>
      </c>
      <c r="N487" s="82" t="e">
        <f>SUMIF(#REF!,funkcijska!$E487,#REF!)</f>
        <v>#REF!</v>
      </c>
      <c r="O487" s="82" t="e">
        <f>SUMIF(#REF!,funkcijska!$E487,#REF!)</f>
        <v>#REF!</v>
      </c>
      <c r="P487" s="82" t="e">
        <f>SUMIF(#REF!,funkcijska!$E487,#REF!)</f>
        <v>#REF!</v>
      </c>
      <c r="Q487" s="386" t="e">
        <f>SUMIF(#REF!,funkcijska!$E487,#REF!)</f>
        <v>#REF!</v>
      </c>
      <c r="R487" s="82" t="e">
        <f>SUMIF(#REF!,funkcijska!$E487,#REF!)</f>
        <v>#REF!</v>
      </c>
      <c r="S487" s="82" t="e">
        <f>SUMIF(#REF!,funkcijska!$E487,#REF!)</f>
        <v>#REF!</v>
      </c>
      <c r="T487" s="82" t="e">
        <f>SUMIF(#REF!,funkcijska!$E$13,#REF!)</f>
        <v>#REF!</v>
      </c>
      <c r="U487" s="357" t="e">
        <f>SUMIF(#REF!,funkcijska!$E487,#REF!)</f>
        <v>#REF!</v>
      </c>
      <c r="V487" s="357" t="e">
        <f>SUMIF(#REF!,funkcijska!$E487,#REF!)</f>
        <v>#REF!</v>
      </c>
      <c r="W487" s="357" t="e">
        <f>SUMIF(#REF!,funkcijska!$E487,#REF!)</f>
        <v>#REF!</v>
      </c>
      <c r="X487" s="357" t="e">
        <f>SUMIF(#REF!,funkcijska!$E487,#REF!)</f>
        <v>#REF!</v>
      </c>
      <c r="AD487" s="60"/>
      <c r="AE487" s="60"/>
      <c r="AF487" s="60"/>
      <c r="AG487" s="60"/>
      <c r="AH487" s="60"/>
      <c r="AI487" s="60"/>
      <c r="AJ487" s="60"/>
      <c r="AK487" s="60"/>
      <c r="AL487" s="60"/>
    </row>
    <row r="488" spans="1:38" x14ac:dyDescent="0.25">
      <c r="A488" s="80"/>
      <c r="B488" s="80"/>
      <c r="C488" s="80"/>
      <c r="D488" s="80"/>
      <c r="E488" s="80">
        <v>3113</v>
      </c>
      <c r="F488" s="81" t="s">
        <v>476</v>
      </c>
      <c r="G488" s="82" t="e">
        <f>SUMIF(#REF!,funkcijska!$E488,#REF!)</f>
        <v>#REF!</v>
      </c>
      <c r="H488" s="82" t="e">
        <f>SUMIF(#REF!,funkcijska!$E488,#REF!)</f>
        <v>#REF!</v>
      </c>
      <c r="I488" s="82" t="e">
        <f>SUMIF(#REF!,funkcijska!$E488,#REF!)</f>
        <v>#REF!</v>
      </c>
      <c r="J488" s="82" t="e">
        <f>SUMIF(#REF!,funkcijska!$E488,#REF!)</f>
        <v>#REF!</v>
      </c>
      <c r="K488" s="82" t="e">
        <f>SUMIF(#REF!,funkcijska!$E488,#REF!)</f>
        <v>#REF!</v>
      </c>
      <c r="L488" s="82" t="e">
        <f t="shared" si="241"/>
        <v>#REF!</v>
      </c>
      <c r="M488" s="82" t="e">
        <f t="shared" si="242"/>
        <v>#REF!</v>
      </c>
      <c r="N488" s="82" t="e">
        <f>SUMIF(#REF!,funkcijska!$E488,#REF!)</f>
        <v>#REF!</v>
      </c>
      <c r="O488" s="82" t="e">
        <f>SUMIF(#REF!,funkcijska!$E488,#REF!)</f>
        <v>#REF!</v>
      </c>
      <c r="P488" s="82" t="e">
        <f>SUMIF(#REF!,funkcijska!$E488,#REF!)</f>
        <v>#REF!</v>
      </c>
      <c r="Q488" s="386" t="e">
        <f>SUMIF(#REF!,funkcijska!$E488,#REF!)</f>
        <v>#REF!</v>
      </c>
      <c r="R488" s="82" t="e">
        <f>SUMIF(#REF!,funkcijska!$E488,#REF!)</f>
        <v>#REF!</v>
      </c>
      <c r="S488" s="82" t="e">
        <f>SUMIF(#REF!,funkcijska!$E488,#REF!)</f>
        <v>#REF!</v>
      </c>
      <c r="T488" s="82" t="e">
        <f>SUMIF(#REF!,funkcijska!$E$14,#REF!)</f>
        <v>#REF!</v>
      </c>
      <c r="U488" s="357" t="e">
        <f>SUMIF(#REF!,funkcijska!$E488,#REF!)</f>
        <v>#REF!</v>
      </c>
      <c r="V488" s="357" t="e">
        <f>SUMIF(#REF!,funkcijska!$E488,#REF!)</f>
        <v>#REF!</v>
      </c>
      <c r="W488" s="357" t="e">
        <f>SUMIF(#REF!,funkcijska!$E488,#REF!)</f>
        <v>#REF!</v>
      </c>
      <c r="X488" s="357" t="e">
        <f>SUMIF(#REF!,funkcijska!$E488,#REF!)</f>
        <v>#REF!</v>
      </c>
      <c r="AD488" s="60"/>
      <c r="AE488" s="60"/>
      <c r="AF488" s="60"/>
      <c r="AG488" s="60"/>
      <c r="AH488" s="60"/>
      <c r="AI488" s="60"/>
      <c r="AJ488" s="60"/>
      <c r="AK488" s="60"/>
      <c r="AL488" s="60"/>
    </row>
    <row r="489" spans="1:38" x14ac:dyDescent="0.25">
      <c r="A489" s="80"/>
      <c r="B489" s="80"/>
      <c r="C489" s="80"/>
      <c r="D489" s="80"/>
      <c r="E489" s="80">
        <v>3114</v>
      </c>
      <c r="F489" s="81" t="s">
        <v>643</v>
      </c>
      <c r="G489" s="82" t="e">
        <f>SUMIF(#REF!,funkcijska!$E489,#REF!)</f>
        <v>#REF!</v>
      </c>
      <c r="H489" s="82" t="e">
        <f>SUMIF(#REF!,funkcijska!$E489,#REF!)</f>
        <v>#REF!</v>
      </c>
      <c r="I489" s="82" t="e">
        <f>SUMIF(#REF!,funkcijska!$E489,#REF!)</f>
        <v>#REF!</v>
      </c>
      <c r="J489" s="82" t="e">
        <f>SUMIF(#REF!,funkcijska!$E489,#REF!)</f>
        <v>#REF!</v>
      </c>
      <c r="K489" s="82" t="e">
        <f>SUMIF(#REF!,funkcijska!$E489,#REF!)</f>
        <v>#REF!</v>
      </c>
      <c r="L489" s="82" t="e">
        <f t="shared" si="241"/>
        <v>#REF!</v>
      </c>
      <c r="M489" s="82" t="e">
        <f t="shared" si="242"/>
        <v>#REF!</v>
      </c>
      <c r="N489" s="82" t="e">
        <f>SUMIF(#REF!,funkcijska!$E489,#REF!)</f>
        <v>#REF!</v>
      </c>
      <c r="O489" s="82" t="e">
        <f>SUMIF(#REF!,funkcijska!$E489,#REF!)</f>
        <v>#REF!</v>
      </c>
      <c r="P489" s="82" t="e">
        <f>SUMIF(#REF!,funkcijska!$E489,#REF!)</f>
        <v>#REF!</v>
      </c>
      <c r="Q489" s="386" t="e">
        <f>SUMIF(#REF!,funkcijska!$E489,#REF!)</f>
        <v>#REF!</v>
      </c>
      <c r="R489" s="82" t="e">
        <f>SUMIF(#REF!,funkcijska!$E489,#REF!)</f>
        <v>#REF!</v>
      </c>
      <c r="S489" s="82" t="e">
        <f>SUMIF(#REF!,funkcijska!$E489,#REF!)</f>
        <v>#REF!</v>
      </c>
      <c r="T489" s="82" t="e">
        <f>SUMIF(#REF!,funkcijska!$E$15,#REF!)</f>
        <v>#REF!</v>
      </c>
      <c r="U489" s="357" t="e">
        <f>SUMIF(#REF!,funkcijska!$E489,#REF!)</f>
        <v>#REF!</v>
      </c>
      <c r="V489" s="357" t="e">
        <f>SUMIF(#REF!,funkcijska!$E489,#REF!)</f>
        <v>#REF!</v>
      </c>
      <c r="W489" s="357" t="e">
        <f>SUMIF(#REF!,funkcijska!$E489,#REF!)</f>
        <v>#REF!</v>
      </c>
      <c r="X489" s="357" t="e">
        <f>SUMIF(#REF!,funkcijska!$E489,#REF!)</f>
        <v>#REF!</v>
      </c>
      <c r="AD489" s="60"/>
      <c r="AE489" s="60"/>
      <c r="AF489" s="60"/>
      <c r="AG489" s="60"/>
      <c r="AH489" s="60"/>
      <c r="AI489" s="60"/>
      <c r="AJ489" s="60"/>
      <c r="AK489" s="60"/>
      <c r="AL489" s="60"/>
    </row>
    <row r="490" spans="1:38" ht="17.25" customHeight="1" x14ac:dyDescent="0.25">
      <c r="A490" s="80"/>
      <c r="B490" s="80"/>
      <c r="C490" s="80"/>
      <c r="D490" s="80" t="str">
        <f>LEFT(E491,3)</f>
        <v>312</v>
      </c>
      <c r="E490" s="80"/>
      <c r="F490" s="81" t="s">
        <v>200</v>
      </c>
      <c r="G490" s="84" t="e">
        <f>G491</f>
        <v>#REF!</v>
      </c>
      <c r="H490" s="82" t="e">
        <f>SUMIF(#REF!,funkcijska!$E490,#REF!)</f>
        <v>#REF!</v>
      </c>
      <c r="I490" s="84" t="e">
        <f>I491</f>
        <v>#REF!</v>
      </c>
      <c r="J490" s="84" t="e">
        <f>J491</f>
        <v>#REF!</v>
      </c>
      <c r="K490" s="84" t="e">
        <f>K491</f>
        <v>#REF!</v>
      </c>
      <c r="L490" s="84" t="e">
        <f t="shared" si="241"/>
        <v>#REF!</v>
      </c>
      <c r="M490" s="84" t="e">
        <f t="shared" si="242"/>
        <v>#REF!</v>
      </c>
      <c r="N490" s="84" t="e">
        <f t="shared" ref="N490:X490" si="243">N491</f>
        <v>#REF!</v>
      </c>
      <c r="O490" s="84" t="e">
        <f t="shared" si="243"/>
        <v>#REF!</v>
      </c>
      <c r="P490" s="84" t="e">
        <f t="shared" si="243"/>
        <v>#REF!</v>
      </c>
      <c r="Q490" s="390" t="e">
        <f t="shared" si="243"/>
        <v>#REF!</v>
      </c>
      <c r="R490" s="84" t="e">
        <f t="shared" si="243"/>
        <v>#REF!</v>
      </c>
      <c r="S490" s="84" t="e">
        <f t="shared" si="243"/>
        <v>#REF!</v>
      </c>
      <c r="T490" s="84" t="e">
        <f t="shared" si="243"/>
        <v>#REF!</v>
      </c>
      <c r="U490" s="357" t="e">
        <f t="shared" si="243"/>
        <v>#REF!</v>
      </c>
      <c r="V490" s="357" t="e">
        <f t="shared" si="243"/>
        <v>#REF!</v>
      </c>
      <c r="W490" s="357" t="e">
        <f t="shared" si="243"/>
        <v>#REF!</v>
      </c>
      <c r="X490" s="357" t="e">
        <f t="shared" si="243"/>
        <v>#REF!</v>
      </c>
      <c r="AD490" s="60"/>
      <c r="AE490" s="60"/>
      <c r="AF490" s="60"/>
      <c r="AG490" s="60"/>
      <c r="AH490" s="60"/>
      <c r="AI490" s="60"/>
      <c r="AJ490" s="60"/>
      <c r="AK490" s="60"/>
      <c r="AL490" s="60"/>
    </row>
    <row r="491" spans="1:38" x14ac:dyDescent="0.25">
      <c r="A491" s="80"/>
      <c r="B491" s="80"/>
      <c r="C491" s="80"/>
      <c r="D491" s="80"/>
      <c r="E491" s="80">
        <v>3121</v>
      </c>
      <c r="F491" s="81" t="s">
        <v>200</v>
      </c>
      <c r="G491" s="82" t="e">
        <f>SUMIF(#REF!,funkcijska!$E491,#REF!)</f>
        <v>#REF!</v>
      </c>
      <c r="H491" s="82" t="e">
        <f>SUMIF(#REF!,funkcijska!$E491,#REF!)</f>
        <v>#REF!</v>
      </c>
      <c r="I491" s="82" t="e">
        <f>SUMIF(#REF!,funkcijska!$E491,#REF!)</f>
        <v>#REF!</v>
      </c>
      <c r="J491" s="82" t="e">
        <f>SUMIF(#REF!,funkcijska!$E491,#REF!)</f>
        <v>#REF!</v>
      </c>
      <c r="K491" s="82" t="e">
        <f>SUMIF(#REF!,funkcijska!$E491,#REF!)</f>
        <v>#REF!</v>
      </c>
      <c r="L491" s="82" t="e">
        <f t="shared" si="241"/>
        <v>#REF!</v>
      </c>
      <c r="M491" s="82" t="e">
        <f t="shared" si="242"/>
        <v>#REF!</v>
      </c>
      <c r="N491" s="82" t="e">
        <f>SUMIF(#REF!,funkcijska!$E491,#REF!)</f>
        <v>#REF!</v>
      </c>
      <c r="O491" s="82" t="e">
        <f>SUMIF(#REF!,funkcijska!$E491,#REF!)</f>
        <v>#REF!</v>
      </c>
      <c r="P491" s="82" t="e">
        <f>SUMIF(#REF!,funkcijska!$E491,#REF!)</f>
        <v>#REF!</v>
      </c>
      <c r="Q491" s="386" t="e">
        <f>SUMIF(#REF!,funkcijska!$E491,#REF!)</f>
        <v>#REF!</v>
      </c>
      <c r="R491" s="82" t="e">
        <f>SUMIF(#REF!,funkcijska!$E491,#REF!)</f>
        <v>#REF!</v>
      </c>
      <c r="S491" s="82" t="e">
        <f>SUMIF(#REF!,funkcijska!$E491,#REF!)</f>
        <v>#REF!</v>
      </c>
      <c r="T491" s="82" t="e">
        <f>SUMIF(#REF!,funkcijska!$E$17,#REF!)</f>
        <v>#REF!</v>
      </c>
      <c r="U491" s="357" t="e">
        <f>SUMIF(#REF!,funkcijska!$E491,#REF!)</f>
        <v>#REF!</v>
      </c>
      <c r="V491" s="357" t="e">
        <f>SUMIF(#REF!,funkcijska!$E491,#REF!)</f>
        <v>#REF!</v>
      </c>
      <c r="W491" s="357" t="e">
        <f>SUMIF(#REF!,funkcijska!$E491,#REF!)</f>
        <v>#REF!</v>
      </c>
      <c r="X491" s="357" t="e">
        <f>SUMIF(#REF!,funkcijska!$E491,#REF!)</f>
        <v>#REF!</v>
      </c>
      <c r="AD491" s="60"/>
      <c r="AE491" s="60"/>
      <c r="AF491" s="60"/>
      <c r="AG491" s="60"/>
      <c r="AH491" s="60"/>
      <c r="AI491" s="60"/>
      <c r="AJ491" s="60"/>
      <c r="AK491" s="60"/>
      <c r="AL491" s="60"/>
    </row>
    <row r="492" spans="1:38" ht="17.25" customHeight="1" x14ac:dyDescent="0.25">
      <c r="A492" s="80"/>
      <c r="B492" s="80"/>
      <c r="C492" s="80"/>
      <c r="D492" s="80" t="str">
        <f>LEFT(E493,3)</f>
        <v>313</v>
      </c>
      <c r="E492" s="80"/>
      <c r="F492" s="81" t="s">
        <v>201</v>
      </c>
      <c r="G492" s="84" t="e">
        <f>SUM(G493:G494)</f>
        <v>#REF!</v>
      </c>
      <c r="H492" s="82" t="e">
        <f>SUMIF(#REF!,funkcijska!$E492,#REF!)</f>
        <v>#REF!</v>
      </c>
      <c r="I492" s="84" t="e">
        <f t="shared" ref="I492:X492" si="244">SUM(I493:I494)</f>
        <v>#REF!</v>
      </c>
      <c r="J492" s="84" t="e">
        <f t="shared" si="244"/>
        <v>#REF!</v>
      </c>
      <c r="K492" s="84" t="e">
        <f t="shared" si="244"/>
        <v>#REF!</v>
      </c>
      <c r="L492" s="84" t="e">
        <f t="shared" si="244"/>
        <v>#REF!</v>
      </c>
      <c r="M492" s="84" t="e">
        <f t="shared" si="244"/>
        <v>#REF!</v>
      </c>
      <c r="N492" s="84" t="e">
        <f t="shared" si="244"/>
        <v>#REF!</v>
      </c>
      <c r="O492" s="84" t="e">
        <f t="shared" si="244"/>
        <v>#REF!</v>
      </c>
      <c r="P492" s="84" t="e">
        <f t="shared" si="244"/>
        <v>#REF!</v>
      </c>
      <c r="Q492" s="390" t="e">
        <f t="shared" si="244"/>
        <v>#REF!</v>
      </c>
      <c r="R492" s="84" t="e">
        <f t="shared" si="244"/>
        <v>#REF!</v>
      </c>
      <c r="S492" s="84" t="e">
        <f t="shared" si="244"/>
        <v>#REF!</v>
      </c>
      <c r="T492" s="84" t="e">
        <f t="shared" si="244"/>
        <v>#REF!</v>
      </c>
      <c r="U492" s="357" t="e">
        <f t="shared" si="244"/>
        <v>#REF!</v>
      </c>
      <c r="V492" s="357" t="e">
        <f t="shared" si="244"/>
        <v>#REF!</v>
      </c>
      <c r="W492" s="357" t="e">
        <f t="shared" si="244"/>
        <v>#REF!</v>
      </c>
      <c r="X492" s="357" t="e">
        <f t="shared" si="244"/>
        <v>#REF!</v>
      </c>
      <c r="AD492" s="60"/>
      <c r="AE492" s="60"/>
      <c r="AF492" s="60"/>
      <c r="AG492" s="60"/>
      <c r="AH492" s="60"/>
      <c r="AI492" s="60"/>
      <c r="AJ492" s="60"/>
      <c r="AK492" s="60"/>
      <c r="AL492" s="60"/>
    </row>
    <row r="493" spans="1:38" x14ac:dyDescent="0.25">
      <c r="A493" s="80"/>
      <c r="B493" s="80"/>
      <c r="C493" s="80"/>
      <c r="D493" s="80"/>
      <c r="E493" s="80">
        <v>3132</v>
      </c>
      <c r="F493" s="81" t="s">
        <v>202</v>
      </c>
      <c r="G493" s="82" t="e">
        <f>SUMIF(#REF!,funkcijska!$E493,#REF!)</f>
        <v>#REF!</v>
      </c>
      <c r="H493" s="82" t="e">
        <f>SUMIF(#REF!,funkcijska!$E493,#REF!)</f>
        <v>#REF!</v>
      </c>
      <c r="I493" s="82" t="e">
        <f>SUMIF(#REF!,funkcijska!$E493,#REF!)</f>
        <v>#REF!</v>
      </c>
      <c r="J493" s="82" t="e">
        <f>SUMIF(#REF!,funkcijska!$E493,#REF!)</f>
        <v>#REF!</v>
      </c>
      <c r="K493" s="82" t="e">
        <f>SUMIF(#REF!,funkcijska!$E493,#REF!)</f>
        <v>#REF!</v>
      </c>
      <c r="L493" s="82" t="e">
        <f>ROUND(K493/J493*100,2)</f>
        <v>#REF!</v>
      </c>
      <c r="M493" s="82" t="e">
        <f>N493-J493</f>
        <v>#REF!</v>
      </c>
      <c r="N493" s="82" t="e">
        <f>SUMIF(#REF!,funkcijska!$E493,#REF!)</f>
        <v>#REF!</v>
      </c>
      <c r="O493" s="82" t="e">
        <f>SUMIF(#REF!,funkcijska!$E493,#REF!)</f>
        <v>#REF!</v>
      </c>
      <c r="P493" s="82" t="e">
        <f>SUMIF(#REF!,funkcijska!$E493,#REF!)</f>
        <v>#REF!</v>
      </c>
      <c r="Q493" s="386" t="e">
        <f>SUMIF(#REF!,funkcijska!$E493,#REF!)</f>
        <v>#REF!</v>
      </c>
      <c r="R493" s="82" t="e">
        <f>SUMIF(#REF!,funkcijska!$E493,#REF!)</f>
        <v>#REF!</v>
      </c>
      <c r="S493" s="82" t="e">
        <f>SUMIF(#REF!,funkcijska!$E493,#REF!)</f>
        <v>#REF!</v>
      </c>
      <c r="T493" s="82" t="e">
        <f>SUMIF(#REF!,funkcijska!$E$19,#REF!)</f>
        <v>#REF!</v>
      </c>
      <c r="U493" s="357" t="e">
        <f>SUMIF(#REF!,funkcijska!$E493,#REF!)</f>
        <v>#REF!</v>
      </c>
      <c r="V493" s="357" t="e">
        <f>SUMIF(#REF!,funkcijska!$E493,#REF!)</f>
        <v>#REF!</v>
      </c>
      <c r="W493" s="357" t="e">
        <f>SUMIF(#REF!,funkcijska!$E493,#REF!)</f>
        <v>#REF!</v>
      </c>
      <c r="X493" s="357" t="e">
        <f>SUMIF(#REF!,funkcijska!$E493,#REF!)</f>
        <v>#REF!</v>
      </c>
      <c r="AD493" s="60"/>
      <c r="AE493" s="60"/>
      <c r="AF493" s="60"/>
      <c r="AG493" s="60"/>
      <c r="AH493" s="60"/>
      <c r="AI493" s="60"/>
      <c r="AJ493" s="60"/>
      <c r="AK493" s="60"/>
      <c r="AL493" s="60"/>
    </row>
    <row r="494" spans="1:38" ht="36" x14ac:dyDescent="0.25">
      <c r="A494" s="80"/>
      <c r="B494" s="80"/>
      <c r="C494" s="80"/>
      <c r="D494" s="80"/>
      <c r="E494" s="80">
        <v>3133</v>
      </c>
      <c r="F494" s="81" t="s">
        <v>203</v>
      </c>
      <c r="G494" s="82" t="e">
        <f>SUMIF(#REF!,funkcijska!$E494,#REF!)</f>
        <v>#REF!</v>
      </c>
      <c r="H494" s="82" t="e">
        <f>SUMIF(#REF!,funkcijska!$E494,#REF!)</f>
        <v>#REF!</v>
      </c>
      <c r="I494" s="82" t="e">
        <f>SUMIF(#REF!,funkcijska!$E494,#REF!)</f>
        <v>#REF!</v>
      </c>
      <c r="J494" s="82" t="e">
        <f>SUMIF(#REF!,funkcijska!$E494,#REF!)</f>
        <v>#REF!</v>
      </c>
      <c r="K494" s="82" t="e">
        <f>SUMIF(#REF!,funkcijska!$E494,#REF!)</f>
        <v>#REF!</v>
      </c>
      <c r="L494" s="82" t="e">
        <f>ROUND(K494/J494*100,2)</f>
        <v>#REF!</v>
      </c>
      <c r="M494" s="82" t="e">
        <f>N494-J494</f>
        <v>#REF!</v>
      </c>
      <c r="N494" s="82" t="e">
        <f>SUMIF(#REF!,funkcijska!$E494,#REF!)</f>
        <v>#REF!</v>
      </c>
      <c r="O494" s="82" t="e">
        <f>SUMIF(#REF!,funkcijska!$E494,#REF!)</f>
        <v>#REF!</v>
      </c>
      <c r="P494" s="82" t="e">
        <f>SUMIF(#REF!,funkcijska!$E494,#REF!)</f>
        <v>#REF!</v>
      </c>
      <c r="Q494" s="386" t="e">
        <f>SUMIF(#REF!,funkcijska!$E494,#REF!)</f>
        <v>#REF!</v>
      </c>
      <c r="R494" s="82" t="e">
        <f>SUMIF(#REF!,funkcijska!$E494,#REF!)</f>
        <v>#REF!</v>
      </c>
      <c r="S494" s="82" t="e">
        <f>SUMIF(#REF!,funkcijska!$E494,#REF!)</f>
        <v>#REF!</v>
      </c>
      <c r="T494" s="82" t="e">
        <f>SUMIF(#REF!,funkcijska!$E$20,#REF!)</f>
        <v>#REF!</v>
      </c>
      <c r="U494" s="357" t="e">
        <f>SUMIF(#REF!,funkcijska!$E494,#REF!)</f>
        <v>#REF!</v>
      </c>
      <c r="V494" s="357" t="e">
        <f>SUMIF(#REF!,funkcijska!$E494,#REF!)</f>
        <v>#REF!</v>
      </c>
      <c r="W494" s="357" t="e">
        <f>SUMIF(#REF!,funkcijska!$E494,#REF!)</f>
        <v>#REF!</v>
      </c>
      <c r="X494" s="357" t="e">
        <f>SUMIF(#REF!,funkcijska!$E494,#REF!)</f>
        <v>#REF!</v>
      </c>
      <c r="AD494" s="60"/>
      <c r="AE494" s="60"/>
      <c r="AF494" s="60"/>
      <c r="AG494" s="60"/>
      <c r="AH494" s="60"/>
      <c r="AI494" s="60"/>
      <c r="AJ494" s="60"/>
      <c r="AK494" s="60"/>
      <c r="AL494" s="60"/>
    </row>
    <row r="495" spans="1:38" ht="18.75" customHeight="1" x14ac:dyDescent="0.25">
      <c r="A495" s="125"/>
      <c r="B495" s="74"/>
      <c r="C495" s="74" t="str">
        <f>LEFT(E497,2)</f>
        <v>32</v>
      </c>
      <c r="D495" s="74"/>
      <c r="E495" s="74"/>
      <c r="F495" s="75" t="s">
        <v>525</v>
      </c>
      <c r="G495" s="310" t="e">
        <f>G496+G501+G508+G520</f>
        <v>#REF!</v>
      </c>
      <c r="H495" s="118" t="e">
        <f>H496+H501+H508+H520</f>
        <v>#REF!</v>
      </c>
      <c r="I495" s="310" t="e">
        <f>I496+I501+I508+I520</f>
        <v>#REF!</v>
      </c>
      <c r="J495" s="310" t="e">
        <f>J496+J501+J508+J518+J520</f>
        <v>#REF!</v>
      </c>
      <c r="K495" s="310" t="e">
        <f>K496+K501+K508+K518+K520</f>
        <v>#REF!</v>
      </c>
      <c r="L495" s="310" t="e">
        <f>ROUND(K495/J495*100,2)</f>
        <v>#REF!</v>
      </c>
      <c r="M495" s="310" t="e">
        <f>N495-J495</f>
        <v>#REF!</v>
      </c>
      <c r="N495" s="310" t="e">
        <f t="shared" ref="N495:X495" si="245">N496+N501+N508+N518+N520</f>
        <v>#REF!</v>
      </c>
      <c r="O495" s="310" t="e">
        <f t="shared" si="245"/>
        <v>#REF!</v>
      </c>
      <c r="P495" s="310" t="e">
        <f t="shared" si="245"/>
        <v>#REF!</v>
      </c>
      <c r="Q495" s="391" t="e">
        <f t="shared" si="245"/>
        <v>#REF!</v>
      </c>
      <c r="R495" s="130" t="e">
        <f t="shared" si="245"/>
        <v>#REF!</v>
      </c>
      <c r="S495" s="130" t="e">
        <f t="shared" si="245"/>
        <v>#REF!</v>
      </c>
      <c r="T495" s="130" t="e">
        <f t="shared" si="245"/>
        <v>#REF!</v>
      </c>
      <c r="U495" s="364" t="e">
        <f t="shared" si="245"/>
        <v>#REF!</v>
      </c>
      <c r="V495" s="364" t="e">
        <f t="shared" si="245"/>
        <v>#REF!</v>
      </c>
      <c r="W495" s="364" t="e">
        <f t="shared" si="245"/>
        <v>#REF!</v>
      </c>
      <c r="X495" s="364" t="e">
        <f t="shared" si="245"/>
        <v>#REF!</v>
      </c>
      <c r="AD495" s="60"/>
      <c r="AE495" s="60"/>
      <c r="AF495" s="60"/>
      <c r="AG495" s="60"/>
      <c r="AH495" s="60"/>
      <c r="AI495" s="60"/>
      <c r="AJ495" s="60"/>
      <c r="AK495" s="60"/>
      <c r="AL495" s="60"/>
    </row>
    <row r="496" spans="1:38" s="373" customFormat="1" ht="16.5" customHeight="1" x14ac:dyDescent="0.25">
      <c r="A496" s="119"/>
      <c r="B496" s="119"/>
      <c r="C496" s="119"/>
      <c r="D496" s="119" t="str">
        <f>LEFT(E497,3)</f>
        <v>321</v>
      </c>
      <c r="E496" s="119"/>
      <c r="F496" s="368" t="s">
        <v>564</v>
      </c>
      <c r="G496" s="369" t="e">
        <f>SUM(G497:G499)</f>
        <v>#REF!</v>
      </c>
      <c r="H496" s="370" t="e">
        <f>SUM(H497:H499)</f>
        <v>#REF!</v>
      </c>
      <c r="I496" s="369" t="e">
        <f t="shared" ref="I496:X496" si="246">SUM(I497:I500)</f>
        <v>#REF!</v>
      </c>
      <c r="J496" s="369" t="e">
        <f t="shared" si="246"/>
        <v>#REF!</v>
      </c>
      <c r="K496" s="369" t="e">
        <f t="shared" si="246"/>
        <v>#REF!</v>
      </c>
      <c r="L496" s="369" t="e">
        <f t="shared" si="246"/>
        <v>#REF!</v>
      </c>
      <c r="M496" s="369" t="e">
        <f t="shared" si="246"/>
        <v>#REF!</v>
      </c>
      <c r="N496" s="369" t="e">
        <f t="shared" si="246"/>
        <v>#REF!</v>
      </c>
      <c r="O496" s="369" t="e">
        <f t="shared" si="246"/>
        <v>#REF!</v>
      </c>
      <c r="P496" s="369" t="e">
        <f t="shared" si="246"/>
        <v>#REF!</v>
      </c>
      <c r="Q496" s="392" t="e">
        <f t="shared" si="246"/>
        <v>#REF!</v>
      </c>
      <c r="R496" s="369" t="e">
        <f t="shared" si="246"/>
        <v>#REF!</v>
      </c>
      <c r="S496" s="369" t="e">
        <f t="shared" si="246"/>
        <v>#REF!</v>
      </c>
      <c r="T496" s="369" t="e">
        <f t="shared" si="246"/>
        <v>#REF!</v>
      </c>
      <c r="U496" s="374" t="e">
        <f t="shared" si="246"/>
        <v>#REF!</v>
      </c>
      <c r="V496" s="374" t="e">
        <f t="shared" si="246"/>
        <v>#REF!</v>
      </c>
      <c r="W496" s="374" t="e">
        <f t="shared" si="246"/>
        <v>#REF!</v>
      </c>
      <c r="X496" s="374" t="e">
        <f t="shared" si="246"/>
        <v>#REF!</v>
      </c>
      <c r="Y496" s="372"/>
      <c r="Z496" s="372"/>
      <c r="AA496" s="372"/>
      <c r="AB496" s="372"/>
      <c r="AC496" s="372"/>
      <c r="AD496" s="372"/>
      <c r="AE496" s="372"/>
      <c r="AF496" s="372"/>
      <c r="AG496" s="372"/>
      <c r="AH496" s="372"/>
      <c r="AI496" s="372"/>
      <c r="AJ496" s="372"/>
      <c r="AK496" s="372"/>
      <c r="AL496" s="372"/>
    </row>
    <row r="497" spans="1:38" x14ac:dyDescent="0.25">
      <c r="A497" s="80"/>
      <c r="B497" s="80"/>
      <c r="C497" s="80"/>
      <c r="D497" s="80"/>
      <c r="E497" s="80">
        <v>3211</v>
      </c>
      <c r="F497" s="81" t="s">
        <v>565</v>
      </c>
      <c r="G497" s="82" t="e">
        <f>SUMIF(#REF!,funkcijska!$E497,#REF!)</f>
        <v>#REF!</v>
      </c>
      <c r="H497" s="82" t="e">
        <f>SUMIF(#REF!,funkcijska!$E497,#REF!)</f>
        <v>#REF!</v>
      </c>
      <c r="I497" s="82" t="e">
        <f>SUMIF(#REF!,funkcijska!$E497,#REF!)</f>
        <v>#REF!</v>
      </c>
      <c r="J497" s="82" t="e">
        <f>SUMIF(#REF!,funkcijska!$E497,#REF!)</f>
        <v>#REF!</v>
      </c>
      <c r="K497" s="82" t="e">
        <f>SUMIF(#REF!,funkcijska!$E497,#REF!)</f>
        <v>#REF!</v>
      </c>
      <c r="L497" s="82" t="e">
        <f>ROUND(K497/J497*100,2)</f>
        <v>#REF!</v>
      </c>
      <c r="M497" s="82" t="e">
        <f>N497-J497</f>
        <v>#REF!</v>
      </c>
      <c r="N497" s="82" t="e">
        <f>SUMIF(#REF!,funkcijska!$E497,#REF!)</f>
        <v>#REF!</v>
      </c>
      <c r="O497" s="82" t="e">
        <f>SUMIF(#REF!,funkcijska!$E497,#REF!)</f>
        <v>#REF!</v>
      </c>
      <c r="P497" s="82" t="e">
        <f>SUMIF(#REF!,funkcijska!$E497,#REF!)</f>
        <v>#REF!</v>
      </c>
      <c r="Q497" s="386" t="e">
        <f>SUMIF(#REF!,funkcijska!$E497,#REF!)</f>
        <v>#REF!</v>
      </c>
      <c r="R497" s="82" t="e">
        <f>SUMIF(#REF!,funkcijska!$E497,#REF!)</f>
        <v>#REF!</v>
      </c>
      <c r="S497" s="82" t="e">
        <f>SUMIF(#REF!,funkcijska!$E497,#REF!)</f>
        <v>#REF!</v>
      </c>
      <c r="T497" s="82" t="e">
        <f>SUMIF(#REF!,funkcijska!$E$23,#REF!)</f>
        <v>#REF!</v>
      </c>
      <c r="U497" s="357" t="e">
        <f>SUMIF(#REF!,funkcijska!$E497,#REF!)</f>
        <v>#REF!</v>
      </c>
      <c r="V497" s="357" t="e">
        <f>SUMIF(#REF!,funkcijska!$E497,#REF!)</f>
        <v>#REF!</v>
      </c>
      <c r="W497" s="357" t="e">
        <f>SUMIF(#REF!,funkcijska!$E497,#REF!)</f>
        <v>#REF!</v>
      </c>
      <c r="X497" s="357" t="e">
        <f>SUMIF(#REF!,funkcijska!$E497,#REF!)</f>
        <v>#REF!</v>
      </c>
      <c r="AD497" s="60"/>
      <c r="AE497" s="60"/>
      <c r="AF497" s="60"/>
      <c r="AG497" s="60"/>
      <c r="AH497" s="60"/>
      <c r="AI497" s="60"/>
      <c r="AJ497" s="60"/>
      <c r="AK497" s="60"/>
      <c r="AL497" s="60"/>
    </row>
    <row r="498" spans="1:38" ht="39" customHeight="1" x14ac:dyDescent="0.25">
      <c r="A498" s="80"/>
      <c r="B498" s="80"/>
      <c r="C498" s="80"/>
      <c r="D498" s="80"/>
      <c r="E498" s="80">
        <v>3212</v>
      </c>
      <c r="F498" s="81" t="s">
        <v>220</v>
      </c>
      <c r="G498" s="82" t="e">
        <f>SUMIF(#REF!,funkcijska!$E498,#REF!)</f>
        <v>#REF!</v>
      </c>
      <c r="H498" s="82" t="e">
        <f>SUMIF(#REF!,funkcijska!$E498,#REF!)</f>
        <v>#REF!</v>
      </c>
      <c r="I498" s="82" t="e">
        <f>SUMIF(#REF!,funkcijska!$E498,#REF!)</f>
        <v>#REF!</v>
      </c>
      <c r="J498" s="82" t="e">
        <f>SUMIF(#REF!,funkcijska!$E498,#REF!)</f>
        <v>#REF!</v>
      </c>
      <c r="K498" s="82" t="e">
        <f>SUMIF(#REF!,funkcijska!$E498,#REF!)</f>
        <v>#REF!</v>
      </c>
      <c r="L498" s="82" t="e">
        <f>ROUND(K498/J498*100,2)</f>
        <v>#REF!</v>
      </c>
      <c r="M498" s="82" t="e">
        <f>N498-J498</f>
        <v>#REF!</v>
      </c>
      <c r="N498" s="82" t="e">
        <f>SUMIF(#REF!,funkcijska!$E498,#REF!)</f>
        <v>#REF!</v>
      </c>
      <c r="O498" s="82" t="e">
        <f>SUMIF(#REF!,funkcijska!$E498,#REF!)</f>
        <v>#REF!</v>
      </c>
      <c r="P498" s="82" t="e">
        <f>SUMIF(#REF!,funkcijska!$E498,#REF!)</f>
        <v>#REF!</v>
      </c>
      <c r="Q498" s="386" t="e">
        <f>SUMIF(#REF!,funkcijska!$E498,#REF!)</f>
        <v>#REF!</v>
      </c>
      <c r="R498" s="82" t="e">
        <f>SUMIF(#REF!,funkcijska!$E498,#REF!)</f>
        <v>#REF!</v>
      </c>
      <c r="S498" s="82" t="e">
        <f>SUMIF(#REF!,funkcijska!$E498,#REF!)</f>
        <v>#REF!</v>
      </c>
      <c r="T498" s="82" t="e">
        <f>SUMIF(#REF!,funkcijska!$E$24,#REF!)</f>
        <v>#REF!</v>
      </c>
      <c r="U498" s="357" t="e">
        <f>SUMIF(#REF!,funkcijska!$E498,#REF!)</f>
        <v>#REF!</v>
      </c>
      <c r="V498" s="357" t="e">
        <f>SUMIF(#REF!,funkcijska!$E498,#REF!)</f>
        <v>#REF!</v>
      </c>
      <c r="W498" s="357" t="e">
        <f>SUMIF(#REF!,funkcijska!$E498,#REF!)</f>
        <v>#REF!</v>
      </c>
      <c r="X498" s="357" t="e">
        <f>SUMIF(#REF!,funkcijska!$E498,#REF!)</f>
        <v>#REF!</v>
      </c>
      <c r="AD498" s="60"/>
      <c r="AE498" s="60"/>
      <c r="AF498" s="60"/>
      <c r="AG498" s="60"/>
      <c r="AH498" s="60"/>
      <c r="AI498" s="60"/>
      <c r="AJ498" s="60"/>
      <c r="AK498" s="60"/>
      <c r="AL498" s="60"/>
    </row>
    <row r="499" spans="1:38" ht="22.5" customHeight="1" x14ac:dyDescent="0.25">
      <c r="A499" s="80"/>
      <c r="B499" s="80"/>
      <c r="C499" s="80"/>
      <c r="D499" s="80"/>
      <c r="E499" s="80">
        <v>3213</v>
      </c>
      <c r="F499" s="81" t="s">
        <v>221</v>
      </c>
      <c r="G499" s="82" t="e">
        <f>SUMIF(#REF!,funkcijska!$E499,#REF!)</f>
        <v>#REF!</v>
      </c>
      <c r="H499" s="82" t="e">
        <f>SUMIF(#REF!,funkcijska!$E499,#REF!)</f>
        <v>#REF!</v>
      </c>
      <c r="I499" s="82" t="e">
        <f>SUMIF(#REF!,funkcijska!$E499,#REF!)</f>
        <v>#REF!</v>
      </c>
      <c r="J499" s="82" t="e">
        <f>SUMIF(#REF!,funkcijska!$E499,#REF!)</f>
        <v>#REF!</v>
      </c>
      <c r="K499" s="82" t="e">
        <f>SUMIF(#REF!,funkcijska!$E499,#REF!)</f>
        <v>#REF!</v>
      </c>
      <c r="L499" s="82" t="e">
        <f>ROUND(K499/J499*100,2)</f>
        <v>#REF!</v>
      </c>
      <c r="M499" s="82" t="e">
        <f>N499-J499</f>
        <v>#REF!</v>
      </c>
      <c r="N499" s="82" t="e">
        <f>SUMIF(#REF!,funkcijska!$E499,#REF!)</f>
        <v>#REF!</v>
      </c>
      <c r="O499" s="82" t="e">
        <f>SUMIF(#REF!,funkcijska!$E499,#REF!)</f>
        <v>#REF!</v>
      </c>
      <c r="P499" s="82" t="e">
        <f>SUMIF(#REF!,funkcijska!$E499,#REF!)</f>
        <v>#REF!</v>
      </c>
      <c r="Q499" s="386" t="e">
        <f>SUMIF(#REF!,funkcijska!$E499,#REF!)</f>
        <v>#REF!</v>
      </c>
      <c r="R499" s="82" t="e">
        <f>SUMIF(#REF!,funkcijska!$E499,#REF!)</f>
        <v>#REF!</v>
      </c>
      <c r="S499" s="82" t="e">
        <f>SUMIF(#REF!,funkcijska!$E499,#REF!)</f>
        <v>#REF!</v>
      </c>
      <c r="T499" s="82" t="e">
        <f>SUMIF(#REF!,funkcijska!$E$25,#REF!)</f>
        <v>#REF!</v>
      </c>
      <c r="U499" s="357" t="e">
        <f>SUMIF(#REF!,funkcijska!$E499,#REF!)</f>
        <v>#REF!</v>
      </c>
      <c r="V499" s="357" t="e">
        <f>SUMIF(#REF!,funkcijska!$E499,#REF!)</f>
        <v>#REF!</v>
      </c>
      <c r="W499" s="357" t="e">
        <f>SUMIF(#REF!,funkcijska!$E499,#REF!)</f>
        <v>#REF!</v>
      </c>
      <c r="X499" s="357" t="e">
        <f>SUMIF(#REF!,funkcijska!$E499,#REF!)</f>
        <v>#REF!</v>
      </c>
      <c r="AD499" s="60"/>
      <c r="AE499" s="60"/>
      <c r="AF499" s="60"/>
      <c r="AG499" s="60"/>
      <c r="AH499" s="60"/>
      <c r="AI499" s="60"/>
      <c r="AJ499" s="60"/>
      <c r="AK499" s="60"/>
      <c r="AL499" s="60"/>
    </row>
    <row r="500" spans="1:38" ht="22.5" customHeight="1" x14ac:dyDescent="0.25">
      <c r="A500" s="80"/>
      <c r="B500" s="80"/>
      <c r="C500" s="80"/>
      <c r="D500" s="80"/>
      <c r="E500" s="80">
        <v>3214</v>
      </c>
      <c r="F500" s="81" t="s">
        <v>852</v>
      </c>
      <c r="G500" s="82" t="e">
        <f>SUMIF(#REF!,funkcijska!$E500,#REF!)</f>
        <v>#REF!</v>
      </c>
      <c r="H500" s="82" t="e">
        <f>SUMIF(#REF!,funkcijska!$E500,#REF!)</f>
        <v>#REF!</v>
      </c>
      <c r="I500" s="82" t="e">
        <f>SUMIF(#REF!,funkcijska!$E500,#REF!)</f>
        <v>#REF!</v>
      </c>
      <c r="J500" s="82" t="e">
        <f>SUMIF(#REF!,funkcijska!$E500,#REF!)</f>
        <v>#REF!</v>
      </c>
      <c r="K500" s="82" t="e">
        <f>SUMIF(#REF!,funkcijska!$E500,#REF!)</f>
        <v>#REF!</v>
      </c>
      <c r="L500" s="82" t="e">
        <f>ROUND(K500/J500*100,2)</f>
        <v>#REF!</v>
      </c>
      <c r="M500" s="82" t="e">
        <f>N500-J500</f>
        <v>#REF!</v>
      </c>
      <c r="N500" s="82" t="e">
        <f>SUMIF(#REF!,funkcijska!$E500,#REF!)</f>
        <v>#REF!</v>
      </c>
      <c r="O500" s="82" t="e">
        <f>SUMIF(#REF!,funkcijska!$E500,#REF!)</f>
        <v>#REF!</v>
      </c>
      <c r="P500" s="82" t="e">
        <f>SUMIF(#REF!,funkcijska!$E500,#REF!)</f>
        <v>#REF!</v>
      </c>
      <c r="Q500" s="386" t="e">
        <f>SUMIF(#REF!,funkcijska!$E500,#REF!)</f>
        <v>#REF!</v>
      </c>
      <c r="R500" s="82" t="e">
        <f>SUMIF(#REF!,funkcijska!$E500,#REF!)</f>
        <v>#REF!</v>
      </c>
      <c r="S500" s="82" t="e">
        <f>SUMIF(#REF!,funkcijska!$E500,#REF!)</f>
        <v>#REF!</v>
      </c>
      <c r="T500" s="82" t="e">
        <f>SUMIF(#REF!,funkcijska!$E$26,#REF!)</f>
        <v>#REF!</v>
      </c>
      <c r="U500" s="357" t="e">
        <f>SUMIF(#REF!,funkcijska!$E500,#REF!)</f>
        <v>#REF!</v>
      </c>
      <c r="V500" s="357" t="e">
        <f>SUMIF(#REF!,funkcijska!$E500,#REF!)</f>
        <v>#REF!</v>
      </c>
      <c r="W500" s="357" t="e">
        <f>SUMIF(#REF!,funkcijska!$E500,#REF!)</f>
        <v>#REF!</v>
      </c>
      <c r="X500" s="357" t="e">
        <f>SUMIF(#REF!,funkcijska!$E500,#REF!)</f>
        <v>#REF!</v>
      </c>
      <c r="AD500" s="60"/>
      <c r="AE500" s="60"/>
      <c r="AF500" s="60"/>
      <c r="AG500" s="60"/>
      <c r="AH500" s="60"/>
      <c r="AI500" s="60"/>
      <c r="AJ500" s="60"/>
      <c r="AK500" s="60"/>
      <c r="AL500" s="60"/>
    </row>
    <row r="501" spans="1:38" s="373" customFormat="1" ht="22.5" customHeight="1" x14ac:dyDescent="0.25">
      <c r="A501" s="119"/>
      <c r="B501" s="119"/>
      <c r="C501" s="119"/>
      <c r="D501" s="119" t="str">
        <f>LEFT(E502,3)</f>
        <v>322</v>
      </c>
      <c r="E501" s="119"/>
      <c r="F501" s="368" t="s">
        <v>547</v>
      </c>
      <c r="G501" s="369" t="e">
        <f>SUM(G502:G506)</f>
        <v>#REF!</v>
      </c>
      <c r="H501" s="370" t="e">
        <f>SUM(H502:H506)</f>
        <v>#REF!</v>
      </c>
      <c r="I501" s="369" t="e">
        <f t="shared" ref="I501:X501" si="247">SUM(I502:I507)</f>
        <v>#REF!</v>
      </c>
      <c r="J501" s="369" t="e">
        <f t="shared" si="247"/>
        <v>#REF!</v>
      </c>
      <c r="K501" s="369" t="e">
        <f t="shared" si="247"/>
        <v>#REF!</v>
      </c>
      <c r="L501" s="369" t="e">
        <f t="shared" si="247"/>
        <v>#REF!</v>
      </c>
      <c r="M501" s="369" t="e">
        <f t="shared" si="247"/>
        <v>#REF!</v>
      </c>
      <c r="N501" s="369" t="e">
        <f t="shared" si="247"/>
        <v>#REF!</v>
      </c>
      <c r="O501" s="369" t="e">
        <f t="shared" si="247"/>
        <v>#REF!</v>
      </c>
      <c r="P501" s="369" t="e">
        <f t="shared" si="247"/>
        <v>#REF!</v>
      </c>
      <c r="Q501" s="392" t="e">
        <f t="shared" si="247"/>
        <v>#REF!</v>
      </c>
      <c r="R501" s="369" t="e">
        <f t="shared" si="247"/>
        <v>#REF!</v>
      </c>
      <c r="S501" s="369" t="e">
        <f t="shared" si="247"/>
        <v>#REF!</v>
      </c>
      <c r="T501" s="369" t="e">
        <f t="shared" si="247"/>
        <v>#REF!</v>
      </c>
      <c r="U501" s="371" t="e">
        <f t="shared" si="247"/>
        <v>#REF!</v>
      </c>
      <c r="V501" s="371" t="e">
        <f t="shared" si="247"/>
        <v>#REF!</v>
      </c>
      <c r="W501" s="371" t="e">
        <f t="shared" si="247"/>
        <v>#REF!</v>
      </c>
      <c r="X501" s="371" t="e">
        <f t="shared" si="247"/>
        <v>#REF!</v>
      </c>
      <c r="Y501" s="372"/>
      <c r="Z501" s="372"/>
      <c r="AA501" s="372"/>
      <c r="AB501" s="372"/>
      <c r="AC501" s="372"/>
      <c r="AD501" s="372"/>
      <c r="AE501" s="372"/>
      <c r="AF501" s="372"/>
      <c r="AG501" s="372"/>
      <c r="AH501" s="372"/>
      <c r="AI501" s="372"/>
      <c r="AJ501" s="372"/>
      <c r="AK501" s="372"/>
      <c r="AL501" s="372"/>
    </row>
    <row r="502" spans="1:38" ht="20.25" customHeight="1" x14ac:dyDescent="0.25">
      <c r="A502" s="80"/>
      <c r="B502" s="80"/>
      <c r="C502" s="80"/>
      <c r="D502" s="80"/>
      <c r="E502" s="80">
        <v>3221</v>
      </c>
      <c r="F502" s="81" t="s">
        <v>548</v>
      </c>
      <c r="G502" s="82" t="e">
        <f>SUMIF(#REF!,funkcijska!$E502,#REF!)</f>
        <v>#REF!</v>
      </c>
      <c r="H502" s="82" t="e">
        <f>SUMIF(#REF!,funkcijska!$E502,#REF!)</f>
        <v>#REF!</v>
      </c>
      <c r="I502" s="82" t="e">
        <f>SUMIF(#REF!,funkcijska!$E502,#REF!)</f>
        <v>#REF!</v>
      </c>
      <c r="J502" s="82" t="e">
        <f>SUMIF(#REF!,funkcijska!$E502,#REF!)</f>
        <v>#REF!</v>
      </c>
      <c r="K502" s="82" t="e">
        <f>SUMIF(#REF!,funkcijska!$E502,#REF!)</f>
        <v>#REF!</v>
      </c>
      <c r="L502" s="82" t="e">
        <f t="shared" ref="L502:L507" si="248">ROUND(K502/J502*100,2)</f>
        <v>#REF!</v>
      </c>
      <c r="M502" s="82" t="e">
        <f t="shared" ref="M502:M507" si="249">N502-J502</f>
        <v>#REF!</v>
      </c>
      <c r="N502" s="82" t="e">
        <f>SUMIF(#REF!,funkcijska!$E502,#REF!)</f>
        <v>#REF!</v>
      </c>
      <c r="O502" s="82" t="e">
        <f>SUMIF(#REF!,funkcijska!$E502,#REF!)</f>
        <v>#REF!</v>
      </c>
      <c r="P502" s="82" t="e">
        <f>SUMIF(#REF!,funkcijska!$E502,#REF!)</f>
        <v>#REF!</v>
      </c>
      <c r="Q502" s="386" t="e">
        <f>SUMIF(#REF!,funkcijska!$E502,#REF!)</f>
        <v>#REF!</v>
      </c>
      <c r="R502" s="82" t="e">
        <f>SUMIF(#REF!,funkcijska!$E502,#REF!)</f>
        <v>#REF!</v>
      </c>
      <c r="S502" s="82" t="e">
        <f>SUMIF(#REF!,funkcijska!$E502,#REF!)</f>
        <v>#REF!</v>
      </c>
      <c r="T502" s="82" t="e">
        <f>SUMIF(#REF!,funkcijska!$E$28,#REF!)</f>
        <v>#REF!</v>
      </c>
      <c r="U502" s="357" t="e">
        <f>SUMIF(#REF!,funkcijska!$E502,#REF!)</f>
        <v>#REF!</v>
      </c>
      <c r="V502" s="357" t="e">
        <f>SUMIF(#REF!,funkcijska!$E502,#REF!)</f>
        <v>#REF!</v>
      </c>
      <c r="W502" s="357" t="e">
        <f>SUMIF(#REF!,funkcijska!$E502,#REF!)</f>
        <v>#REF!</v>
      </c>
      <c r="X502" s="357" t="e">
        <f>SUMIF(#REF!,funkcijska!$E502,#REF!)</f>
        <v>#REF!</v>
      </c>
      <c r="AD502" s="60"/>
      <c r="AE502" s="60"/>
      <c r="AF502" s="60"/>
      <c r="AG502" s="60"/>
      <c r="AH502" s="60"/>
      <c r="AI502" s="60"/>
      <c r="AJ502" s="60"/>
      <c r="AK502" s="60"/>
      <c r="AL502" s="60"/>
    </row>
    <row r="503" spans="1:38" ht="16.5" customHeight="1" x14ac:dyDescent="0.25">
      <c r="A503" s="80"/>
      <c r="B503" s="80"/>
      <c r="C503" s="80"/>
      <c r="D503" s="80"/>
      <c r="E503" s="80">
        <v>3222</v>
      </c>
      <c r="F503" s="81" t="s">
        <v>474</v>
      </c>
      <c r="G503" s="82" t="e">
        <f>SUMIF(#REF!,funkcijska!$E503,#REF!)</f>
        <v>#REF!</v>
      </c>
      <c r="H503" s="82" t="e">
        <f>SUMIF(#REF!,funkcijska!$E503,#REF!)</f>
        <v>#REF!</v>
      </c>
      <c r="I503" s="82" t="e">
        <f>SUMIF(#REF!,funkcijska!$E503,#REF!)</f>
        <v>#REF!</v>
      </c>
      <c r="J503" s="82" t="e">
        <f>SUMIF(#REF!,funkcijska!$E503,#REF!)</f>
        <v>#REF!</v>
      </c>
      <c r="K503" s="82" t="e">
        <f>SUMIF(#REF!,funkcijska!$E503,#REF!)</f>
        <v>#REF!</v>
      </c>
      <c r="L503" s="82" t="e">
        <f t="shared" si="248"/>
        <v>#REF!</v>
      </c>
      <c r="M503" s="82" t="e">
        <f t="shared" si="249"/>
        <v>#REF!</v>
      </c>
      <c r="N503" s="82" t="e">
        <f>SUMIF(#REF!,funkcijska!$E503,#REF!)</f>
        <v>#REF!</v>
      </c>
      <c r="O503" s="82" t="e">
        <f>SUMIF(#REF!,funkcijska!$E503,#REF!)</f>
        <v>#REF!</v>
      </c>
      <c r="P503" s="82" t="e">
        <f>SUMIF(#REF!,funkcijska!$E503,#REF!)</f>
        <v>#REF!</v>
      </c>
      <c r="Q503" s="386" t="e">
        <f>SUMIF(#REF!,funkcijska!$E503,#REF!)</f>
        <v>#REF!</v>
      </c>
      <c r="R503" s="82" t="e">
        <f>SUMIF(#REF!,funkcijska!$E503,#REF!)</f>
        <v>#REF!</v>
      </c>
      <c r="S503" s="82" t="e">
        <f>SUMIF(#REF!,funkcijska!$E503,#REF!)</f>
        <v>#REF!</v>
      </c>
      <c r="T503" s="82" t="e">
        <f>SUMIF(#REF!,funkcijska!$E$29,#REF!)</f>
        <v>#REF!</v>
      </c>
      <c r="U503" s="357" t="e">
        <f>SUMIF(#REF!,funkcijska!$E503,#REF!)</f>
        <v>#REF!</v>
      </c>
      <c r="V503" s="357" t="e">
        <f>SUMIF(#REF!,funkcijska!$E503,#REF!)</f>
        <v>#REF!</v>
      </c>
      <c r="W503" s="357" t="e">
        <f>SUMIF(#REF!,funkcijska!$E503,#REF!)</f>
        <v>#REF!</v>
      </c>
      <c r="X503" s="357" t="e">
        <f>SUMIF(#REF!,funkcijska!$E503,#REF!)</f>
        <v>#REF!</v>
      </c>
      <c r="AD503" s="60"/>
      <c r="AE503" s="60"/>
      <c r="AF503" s="60"/>
      <c r="AG503" s="60"/>
      <c r="AH503" s="60"/>
      <c r="AI503" s="60"/>
      <c r="AJ503" s="60"/>
      <c r="AK503" s="60"/>
      <c r="AL503" s="60"/>
    </row>
    <row r="504" spans="1:38" ht="16.5" customHeight="1" x14ac:dyDescent="0.25">
      <c r="A504" s="80"/>
      <c r="B504" s="80"/>
      <c r="C504" s="80"/>
      <c r="D504" s="80"/>
      <c r="E504" s="80">
        <v>3223</v>
      </c>
      <c r="F504" s="81" t="s">
        <v>204</v>
      </c>
      <c r="G504" s="82" t="e">
        <f>SUMIF(#REF!,funkcijska!$E504,#REF!)</f>
        <v>#REF!</v>
      </c>
      <c r="H504" s="82" t="e">
        <f>SUMIF(#REF!,funkcijska!$E504,#REF!)</f>
        <v>#REF!</v>
      </c>
      <c r="I504" s="82" t="e">
        <f>SUMIF(#REF!,funkcijska!$E504,#REF!)</f>
        <v>#REF!</v>
      </c>
      <c r="J504" s="82" t="e">
        <f>SUMIF(#REF!,funkcijska!$E504,#REF!)</f>
        <v>#REF!</v>
      </c>
      <c r="K504" s="82" t="e">
        <f>SUMIF(#REF!,funkcijska!$E504,#REF!)</f>
        <v>#REF!</v>
      </c>
      <c r="L504" s="82" t="e">
        <f t="shared" si="248"/>
        <v>#REF!</v>
      </c>
      <c r="M504" s="82" t="e">
        <f t="shared" si="249"/>
        <v>#REF!</v>
      </c>
      <c r="N504" s="82" t="e">
        <f>SUMIF(#REF!,funkcijska!$E504,#REF!)</f>
        <v>#REF!</v>
      </c>
      <c r="O504" s="82" t="e">
        <f>SUMIF(#REF!,funkcijska!$E504,#REF!)</f>
        <v>#REF!</v>
      </c>
      <c r="P504" s="82" t="e">
        <f>SUMIF(#REF!,funkcijska!$E504,#REF!)</f>
        <v>#REF!</v>
      </c>
      <c r="Q504" s="386" t="e">
        <f>SUMIF(#REF!,funkcijska!$E504,#REF!)</f>
        <v>#REF!</v>
      </c>
      <c r="R504" s="82" t="e">
        <f>SUMIF(#REF!,funkcijska!$E504,#REF!)</f>
        <v>#REF!</v>
      </c>
      <c r="S504" s="82" t="e">
        <f>SUMIF(#REF!,funkcijska!$E504,#REF!)</f>
        <v>#REF!</v>
      </c>
      <c r="T504" s="82" t="e">
        <f>SUMIF(#REF!,funkcijska!$E$30,#REF!)</f>
        <v>#REF!</v>
      </c>
      <c r="U504" s="357" t="e">
        <f>SUMIF(#REF!,funkcijska!$E504,#REF!)</f>
        <v>#REF!</v>
      </c>
      <c r="V504" s="357" t="e">
        <f>SUMIF(#REF!,funkcijska!$E504,#REF!)</f>
        <v>#REF!</v>
      </c>
      <c r="W504" s="357" t="e">
        <f>SUMIF(#REF!,funkcijska!$E504,#REF!)</f>
        <v>#REF!</v>
      </c>
      <c r="X504" s="357" t="e">
        <f>SUMIF(#REF!,funkcijska!$E504,#REF!)</f>
        <v>#REF!</v>
      </c>
      <c r="AD504" s="60"/>
      <c r="AE504" s="60"/>
      <c r="AF504" s="60"/>
      <c r="AG504" s="60"/>
      <c r="AH504" s="60"/>
      <c r="AI504" s="60"/>
      <c r="AJ504" s="60"/>
      <c r="AK504" s="60"/>
      <c r="AL504" s="60"/>
    </row>
    <row r="505" spans="1:38" ht="36.75" customHeight="1" x14ac:dyDescent="0.25">
      <c r="A505" s="80"/>
      <c r="B505" s="80"/>
      <c r="C505" s="80"/>
      <c r="D505" s="80"/>
      <c r="E505" s="80">
        <v>3224</v>
      </c>
      <c r="F505" s="81" t="s">
        <v>853</v>
      </c>
      <c r="G505" s="82" t="e">
        <f>SUMIF(#REF!,funkcijska!$E505,#REF!)</f>
        <v>#REF!</v>
      </c>
      <c r="H505" s="82" t="e">
        <f>SUMIF(#REF!,funkcijska!$E505,#REF!)</f>
        <v>#REF!</v>
      </c>
      <c r="I505" s="82" t="e">
        <f>SUMIF(#REF!,funkcijska!$E505,#REF!)</f>
        <v>#REF!</v>
      </c>
      <c r="J505" s="82" t="e">
        <f>SUMIF(#REF!,funkcijska!$E505,#REF!)</f>
        <v>#REF!</v>
      </c>
      <c r="K505" s="82" t="e">
        <f>SUMIF(#REF!,funkcijska!$E505,#REF!)</f>
        <v>#REF!</v>
      </c>
      <c r="L505" s="82" t="e">
        <f t="shared" si="248"/>
        <v>#REF!</v>
      </c>
      <c r="M505" s="82" t="e">
        <f t="shared" si="249"/>
        <v>#REF!</v>
      </c>
      <c r="N505" s="82" t="e">
        <f>SUMIF(#REF!,funkcijska!$E505,#REF!)</f>
        <v>#REF!</v>
      </c>
      <c r="O505" s="82" t="e">
        <f>SUMIF(#REF!,funkcijska!$E505,#REF!)</f>
        <v>#REF!</v>
      </c>
      <c r="P505" s="82" t="e">
        <f>SUMIF(#REF!,funkcijska!$E505,#REF!)</f>
        <v>#REF!</v>
      </c>
      <c r="Q505" s="386" t="e">
        <f>SUMIF(#REF!,funkcijska!$E505,#REF!)</f>
        <v>#REF!</v>
      </c>
      <c r="R505" s="82" t="e">
        <f>SUMIF(#REF!,funkcijska!$E505,#REF!)</f>
        <v>#REF!</v>
      </c>
      <c r="S505" s="82" t="e">
        <f>SUMIF(#REF!,funkcijska!$E505,#REF!)</f>
        <v>#REF!</v>
      </c>
      <c r="T505" s="82" t="e">
        <f>SUMIF(#REF!,funkcijska!$E$31,#REF!)</f>
        <v>#REF!</v>
      </c>
      <c r="U505" s="357" t="e">
        <f>SUMIF(#REF!,funkcijska!$E505,#REF!)</f>
        <v>#REF!</v>
      </c>
      <c r="V505" s="357" t="e">
        <f>SUMIF(#REF!,funkcijska!$E505,#REF!)</f>
        <v>#REF!</v>
      </c>
      <c r="W505" s="357" t="e">
        <f>SUMIF(#REF!,funkcijska!$E505,#REF!)</f>
        <v>#REF!</v>
      </c>
      <c r="X505" s="357" t="e">
        <f>SUMIF(#REF!,funkcijska!$E505,#REF!)</f>
        <v>#REF!</v>
      </c>
      <c r="AD505" s="60"/>
      <c r="AE505" s="60"/>
      <c r="AF505" s="60"/>
      <c r="AG505" s="60"/>
      <c r="AH505" s="60"/>
      <c r="AI505" s="60"/>
      <c r="AJ505" s="60"/>
      <c r="AK505" s="60"/>
      <c r="AL505" s="60"/>
    </row>
    <row r="506" spans="1:38" ht="16.5" customHeight="1" x14ac:dyDescent="0.25">
      <c r="A506" s="80"/>
      <c r="B506" s="80"/>
      <c r="C506" s="80"/>
      <c r="D506" s="80"/>
      <c r="E506" s="80">
        <v>3225</v>
      </c>
      <c r="F506" s="81" t="s">
        <v>205</v>
      </c>
      <c r="G506" s="82" t="e">
        <f>SUMIF(#REF!,funkcijska!$E506,#REF!)</f>
        <v>#REF!</v>
      </c>
      <c r="H506" s="82" t="e">
        <f>SUMIF(#REF!,funkcijska!$E506,#REF!)</f>
        <v>#REF!</v>
      </c>
      <c r="I506" s="82" t="e">
        <f>SUMIF(#REF!,funkcijska!$E506,#REF!)</f>
        <v>#REF!</v>
      </c>
      <c r="J506" s="82" t="e">
        <f>SUMIF(#REF!,funkcijska!$E506,#REF!)</f>
        <v>#REF!</v>
      </c>
      <c r="K506" s="82" t="e">
        <f>SUMIF(#REF!,funkcijska!$E506,#REF!)</f>
        <v>#REF!</v>
      </c>
      <c r="L506" s="82" t="e">
        <f t="shared" si="248"/>
        <v>#REF!</v>
      </c>
      <c r="M506" s="82" t="e">
        <f t="shared" si="249"/>
        <v>#REF!</v>
      </c>
      <c r="N506" s="82" t="e">
        <f>SUMIF(#REF!,funkcijska!$E506,#REF!)</f>
        <v>#REF!</v>
      </c>
      <c r="O506" s="82" t="e">
        <f>SUMIF(#REF!,funkcijska!$E506,#REF!)</f>
        <v>#REF!</v>
      </c>
      <c r="P506" s="82" t="e">
        <f>SUMIF(#REF!,funkcijska!$E506,#REF!)</f>
        <v>#REF!</v>
      </c>
      <c r="Q506" s="386" t="e">
        <f>SUMIF(#REF!,funkcijska!$E506,#REF!)</f>
        <v>#REF!</v>
      </c>
      <c r="R506" s="82" t="e">
        <f>SUMIF(#REF!,funkcijska!$E506,#REF!)</f>
        <v>#REF!</v>
      </c>
      <c r="S506" s="82" t="e">
        <f>SUMIF(#REF!,funkcijska!$E506,#REF!)</f>
        <v>#REF!</v>
      </c>
      <c r="T506" s="82" t="e">
        <f>SUMIF(#REF!,funkcijska!$E$32,#REF!)</f>
        <v>#REF!</v>
      </c>
      <c r="U506" s="357" t="e">
        <f>SUMIF(#REF!,funkcijska!$E506,#REF!)</f>
        <v>#REF!</v>
      </c>
      <c r="V506" s="357" t="e">
        <f>SUMIF(#REF!,funkcijska!$E506,#REF!)</f>
        <v>#REF!</v>
      </c>
      <c r="W506" s="357" t="e">
        <f>SUMIF(#REF!,funkcijska!$E506,#REF!)</f>
        <v>#REF!</v>
      </c>
      <c r="X506" s="357" t="e">
        <f>SUMIF(#REF!,funkcijska!$E506,#REF!)</f>
        <v>#REF!</v>
      </c>
      <c r="AD506" s="60"/>
      <c r="AE506" s="60"/>
      <c r="AF506" s="60"/>
      <c r="AG506" s="60"/>
      <c r="AH506" s="60"/>
      <c r="AI506" s="60"/>
      <c r="AJ506" s="60"/>
      <c r="AK506" s="60"/>
      <c r="AL506" s="60"/>
    </row>
    <row r="507" spans="1:38" ht="16.5" customHeight="1" x14ac:dyDescent="0.25">
      <c r="A507" s="80"/>
      <c r="B507" s="80"/>
      <c r="C507" s="80"/>
      <c r="D507" s="80"/>
      <c r="E507" s="131">
        <v>3227</v>
      </c>
      <c r="F507" s="132" t="s">
        <v>646</v>
      </c>
      <c r="G507" s="82" t="e">
        <f>SUMIF(#REF!,funkcijska!$E507,#REF!)</f>
        <v>#REF!</v>
      </c>
      <c r="H507" s="82" t="e">
        <f>SUMIF(#REF!,funkcijska!$E507,#REF!)</f>
        <v>#REF!</v>
      </c>
      <c r="I507" s="82" t="e">
        <f>SUMIF(#REF!,funkcijska!$E507,#REF!)</f>
        <v>#REF!</v>
      </c>
      <c r="J507" s="82" t="e">
        <f>SUMIF(#REF!,funkcijska!$E507,#REF!)</f>
        <v>#REF!</v>
      </c>
      <c r="K507" s="82" t="e">
        <f>SUMIF(#REF!,funkcijska!$E507,#REF!)</f>
        <v>#REF!</v>
      </c>
      <c r="L507" s="82" t="e">
        <f t="shared" si="248"/>
        <v>#REF!</v>
      </c>
      <c r="M507" s="82" t="e">
        <f t="shared" si="249"/>
        <v>#REF!</v>
      </c>
      <c r="N507" s="82" t="e">
        <f>SUMIF(#REF!,funkcijska!$E507,#REF!)</f>
        <v>#REF!</v>
      </c>
      <c r="O507" s="82" t="e">
        <f>SUMIF(#REF!,funkcijska!$E507,#REF!)</f>
        <v>#REF!</v>
      </c>
      <c r="P507" s="82" t="e">
        <f>SUMIF(#REF!,funkcijska!$E507,#REF!)</f>
        <v>#REF!</v>
      </c>
      <c r="Q507" s="386" t="e">
        <f>SUMIF(#REF!,funkcijska!$E507,#REF!)</f>
        <v>#REF!</v>
      </c>
      <c r="R507" s="82" t="e">
        <f>SUMIF(#REF!,funkcijska!$E507,#REF!)</f>
        <v>#REF!</v>
      </c>
      <c r="S507" s="82" t="e">
        <f>SUMIF(#REF!,funkcijska!$E507,#REF!)</f>
        <v>#REF!</v>
      </c>
      <c r="T507" s="82" t="e">
        <f>SUMIF(#REF!,funkcijska!$E$33,#REF!)</f>
        <v>#REF!</v>
      </c>
      <c r="U507" s="357" t="e">
        <f>SUMIF(#REF!,funkcijska!$E507,#REF!)</f>
        <v>#REF!</v>
      </c>
      <c r="V507" s="357" t="e">
        <f>SUMIF(#REF!,funkcijska!$E507,#REF!)</f>
        <v>#REF!</v>
      </c>
      <c r="W507" s="357" t="e">
        <f>SUMIF(#REF!,funkcijska!$E507,#REF!)</f>
        <v>#REF!</v>
      </c>
      <c r="X507" s="357" t="e">
        <f>SUMIF(#REF!,funkcijska!$E507,#REF!)</f>
        <v>#REF!</v>
      </c>
      <c r="AD507" s="60"/>
      <c r="AE507" s="60"/>
      <c r="AF507" s="60"/>
      <c r="AG507" s="60"/>
      <c r="AH507" s="60"/>
      <c r="AI507" s="60"/>
      <c r="AJ507" s="60"/>
      <c r="AK507" s="60"/>
      <c r="AL507" s="60"/>
    </row>
    <row r="508" spans="1:38" s="373" customFormat="1" ht="20.25" customHeight="1" x14ac:dyDescent="0.25">
      <c r="A508" s="119"/>
      <c r="B508" s="119"/>
      <c r="C508" s="119"/>
      <c r="D508" s="119" t="str">
        <f>LEFT(E509,3)</f>
        <v>323</v>
      </c>
      <c r="E508" s="119"/>
      <c r="F508" s="368" t="s">
        <v>526</v>
      </c>
      <c r="G508" s="369" t="e">
        <f t="shared" ref="G508:X508" si="250">SUM(G509:G517)</f>
        <v>#REF!</v>
      </c>
      <c r="H508" s="370" t="e">
        <f t="shared" si="250"/>
        <v>#REF!</v>
      </c>
      <c r="I508" s="369" t="e">
        <f t="shared" si="250"/>
        <v>#REF!</v>
      </c>
      <c r="J508" s="369" t="e">
        <f t="shared" si="250"/>
        <v>#REF!</v>
      </c>
      <c r="K508" s="369" t="e">
        <f t="shared" si="250"/>
        <v>#REF!</v>
      </c>
      <c r="L508" s="369" t="e">
        <f t="shared" si="250"/>
        <v>#REF!</v>
      </c>
      <c r="M508" s="369" t="e">
        <f t="shared" si="250"/>
        <v>#REF!</v>
      </c>
      <c r="N508" s="369" t="e">
        <f t="shared" si="250"/>
        <v>#REF!</v>
      </c>
      <c r="O508" s="369" t="e">
        <f t="shared" si="250"/>
        <v>#REF!</v>
      </c>
      <c r="P508" s="369" t="e">
        <f t="shared" si="250"/>
        <v>#REF!</v>
      </c>
      <c r="Q508" s="392" t="e">
        <f t="shared" si="250"/>
        <v>#REF!</v>
      </c>
      <c r="R508" s="369" t="e">
        <f t="shared" si="250"/>
        <v>#REF!</v>
      </c>
      <c r="S508" s="369" t="e">
        <f t="shared" si="250"/>
        <v>#REF!</v>
      </c>
      <c r="T508" s="369" t="e">
        <f t="shared" si="250"/>
        <v>#REF!</v>
      </c>
      <c r="U508" s="371" t="e">
        <f t="shared" si="250"/>
        <v>#REF!</v>
      </c>
      <c r="V508" s="371" t="e">
        <f t="shared" si="250"/>
        <v>#REF!</v>
      </c>
      <c r="W508" s="371" t="e">
        <f t="shared" si="250"/>
        <v>#REF!</v>
      </c>
      <c r="X508" s="371" t="e">
        <f t="shared" si="250"/>
        <v>#REF!</v>
      </c>
      <c r="Y508" s="372"/>
      <c r="Z508" s="372"/>
      <c r="AA508" s="372"/>
      <c r="AB508" s="372"/>
      <c r="AC508" s="372"/>
      <c r="AD508" s="372"/>
      <c r="AE508" s="372"/>
      <c r="AF508" s="372"/>
      <c r="AG508" s="372"/>
      <c r="AH508" s="372"/>
      <c r="AI508" s="372"/>
      <c r="AJ508" s="372"/>
      <c r="AK508" s="372"/>
      <c r="AL508" s="372"/>
    </row>
    <row r="509" spans="1:38" ht="18" customHeight="1" x14ac:dyDescent="0.25">
      <c r="A509" s="80"/>
      <c r="B509" s="80"/>
      <c r="C509" s="80"/>
      <c r="D509" s="80"/>
      <c r="E509" s="80">
        <v>3231</v>
      </c>
      <c r="F509" s="81" t="s">
        <v>206</v>
      </c>
      <c r="G509" s="82" t="e">
        <f>SUMIF(#REF!,funkcijska!$E509,#REF!)</f>
        <v>#REF!</v>
      </c>
      <c r="H509" s="82" t="e">
        <f>SUMIF(#REF!,funkcijska!$E509,#REF!)</f>
        <v>#REF!</v>
      </c>
      <c r="I509" s="82" t="e">
        <f>SUMIF(#REF!,funkcijska!$E509,#REF!)</f>
        <v>#REF!</v>
      </c>
      <c r="J509" s="82" t="e">
        <f>SUMIF(#REF!,funkcijska!$E509,#REF!)</f>
        <v>#REF!</v>
      </c>
      <c r="K509" s="82" t="e">
        <f>SUMIF(#REF!,funkcijska!$E509,#REF!)</f>
        <v>#REF!</v>
      </c>
      <c r="L509" s="82" t="e">
        <f t="shared" ref="L509:L519" si="251">ROUND(K509/J509*100,2)</f>
        <v>#REF!</v>
      </c>
      <c r="M509" s="82" t="e">
        <f t="shared" ref="M509:M519" si="252">N509-J509</f>
        <v>#REF!</v>
      </c>
      <c r="N509" s="102" t="e">
        <f>SUMIF(#REF!,funkcijska!$E509,#REF!)</f>
        <v>#REF!</v>
      </c>
      <c r="O509" s="82" t="e">
        <f>SUMIF(#REF!,funkcijska!$E509,#REF!)</f>
        <v>#REF!</v>
      </c>
      <c r="P509" s="82" t="e">
        <f>SUMIF(#REF!,funkcijska!$E509,#REF!)</f>
        <v>#REF!</v>
      </c>
      <c r="Q509" s="386" t="e">
        <f>SUMIF(#REF!,funkcijska!$E509,#REF!)</f>
        <v>#REF!</v>
      </c>
      <c r="R509" s="82" t="e">
        <f>SUMIF(#REF!,funkcijska!$E509,#REF!)</f>
        <v>#REF!</v>
      </c>
      <c r="S509" s="82" t="e">
        <f>SUMIF(#REF!,funkcijska!$E509,#REF!)</f>
        <v>#REF!</v>
      </c>
      <c r="T509" s="82" t="e">
        <f>SUMIF(#REF!,funkcijska!$E$35,#REF!)</f>
        <v>#REF!</v>
      </c>
      <c r="U509" s="357" t="e">
        <f>SUMIF(#REF!,funkcijska!$E509,#REF!)</f>
        <v>#REF!</v>
      </c>
      <c r="V509" s="357" t="e">
        <f>SUMIF(#REF!,funkcijska!$E509,#REF!)</f>
        <v>#REF!</v>
      </c>
      <c r="W509" s="357" t="e">
        <f>SUMIF(#REF!,funkcijska!$E509,#REF!)</f>
        <v>#REF!</v>
      </c>
      <c r="X509" s="357" t="e">
        <f>SUMIF(#REF!,funkcijska!$E509,#REF!)</f>
        <v>#REF!</v>
      </c>
      <c r="AD509" s="60"/>
      <c r="AE509" s="60"/>
      <c r="AF509" s="60"/>
      <c r="AG509" s="60"/>
      <c r="AH509" s="60"/>
      <c r="AI509" s="60"/>
      <c r="AJ509" s="60"/>
      <c r="AK509" s="60"/>
      <c r="AL509" s="60"/>
    </row>
    <row r="510" spans="1:38" ht="18" customHeight="1" x14ac:dyDescent="0.25">
      <c r="A510" s="80"/>
      <c r="B510" s="80"/>
      <c r="C510" s="80"/>
      <c r="D510" s="80"/>
      <c r="E510" s="80">
        <v>3232</v>
      </c>
      <c r="F510" s="81" t="s">
        <v>207</v>
      </c>
      <c r="G510" s="82" t="e">
        <f>SUMIF(#REF!,funkcijska!$E510,#REF!)</f>
        <v>#REF!</v>
      </c>
      <c r="H510" s="82" t="e">
        <f>SUMIF(#REF!,funkcijska!$E510,#REF!)</f>
        <v>#REF!</v>
      </c>
      <c r="I510" s="82" t="e">
        <f>SUMIF(#REF!,funkcijska!$E510,#REF!)</f>
        <v>#REF!</v>
      </c>
      <c r="J510" s="82" t="e">
        <f>SUMIF(#REF!,funkcijska!$E510,#REF!)</f>
        <v>#REF!</v>
      </c>
      <c r="K510" s="82" t="e">
        <f>SUMIF(#REF!,funkcijska!$E510,#REF!)</f>
        <v>#REF!</v>
      </c>
      <c r="L510" s="82" t="e">
        <f t="shared" si="251"/>
        <v>#REF!</v>
      </c>
      <c r="M510" s="82" t="e">
        <f t="shared" si="252"/>
        <v>#REF!</v>
      </c>
      <c r="N510" s="82" t="e">
        <f>SUMIF(#REF!,funkcijska!$E510,#REF!)</f>
        <v>#REF!</v>
      </c>
      <c r="O510" s="82" t="e">
        <f>SUMIF(#REF!,funkcijska!$E510,#REF!)</f>
        <v>#REF!</v>
      </c>
      <c r="P510" s="82" t="e">
        <f>SUMIF(#REF!,funkcijska!$E510,#REF!)</f>
        <v>#REF!</v>
      </c>
      <c r="Q510" s="386" t="e">
        <f>SUMIF(#REF!,funkcijska!$E510,#REF!)</f>
        <v>#REF!</v>
      </c>
      <c r="R510" s="82" t="e">
        <f>SUMIF(#REF!,funkcijska!$E510,#REF!)</f>
        <v>#REF!</v>
      </c>
      <c r="S510" s="82" t="e">
        <f>SUMIF(#REF!,funkcijska!$E510,#REF!)</f>
        <v>#REF!</v>
      </c>
      <c r="T510" s="82" t="e">
        <f>SUMIF(#REF!,funkcijska!$E$36,#REF!)</f>
        <v>#REF!</v>
      </c>
      <c r="U510" s="357" t="e">
        <f>SUMIF(#REF!,funkcijska!$E510,#REF!)</f>
        <v>#REF!</v>
      </c>
      <c r="V510" s="357" t="e">
        <f>SUMIF(#REF!,funkcijska!$E510,#REF!)</f>
        <v>#REF!</v>
      </c>
      <c r="W510" s="357" t="e">
        <f>SUMIF(#REF!,funkcijska!$E510,#REF!)</f>
        <v>#REF!</v>
      </c>
      <c r="X510" s="357" t="e">
        <f>SUMIF(#REF!,funkcijska!$E510,#REF!)</f>
        <v>#REF!</v>
      </c>
      <c r="AD510" s="60"/>
      <c r="AE510" s="60"/>
      <c r="AF510" s="60"/>
      <c r="AG510" s="60"/>
      <c r="AH510" s="60"/>
      <c r="AI510" s="60"/>
      <c r="AJ510" s="60"/>
      <c r="AK510" s="60"/>
      <c r="AL510" s="60"/>
    </row>
    <row r="511" spans="1:38" ht="19.5" customHeight="1" x14ac:dyDescent="0.25">
      <c r="A511" s="80"/>
      <c r="B511" s="80"/>
      <c r="C511" s="80"/>
      <c r="D511" s="80"/>
      <c r="E511" s="80">
        <v>3233</v>
      </c>
      <c r="F511" s="81" t="s">
        <v>528</v>
      </c>
      <c r="G511" s="82" t="e">
        <f>SUMIF(#REF!,funkcijska!$E511,#REF!)</f>
        <v>#REF!</v>
      </c>
      <c r="H511" s="82" t="e">
        <f>SUMIF(#REF!,funkcijska!$E511,#REF!)</f>
        <v>#REF!</v>
      </c>
      <c r="I511" s="82" t="e">
        <f>SUMIF(#REF!,funkcijska!$E511,#REF!)</f>
        <v>#REF!</v>
      </c>
      <c r="J511" s="82" t="e">
        <f>SUMIF(#REF!,funkcijska!$E511,#REF!)</f>
        <v>#REF!</v>
      </c>
      <c r="K511" s="82" t="e">
        <f>SUMIF(#REF!,funkcijska!$E511,#REF!)</f>
        <v>#REF!</v>
      </c>
      <c r="L511" s="82" t="e">
        <f t="shared" si="251"/>
        <v>#REF!</v>
      </c>
      <c r="M511" s="82" t="e">
        <f t="shared" si="252"/>
        <v>#REF!</v>
      </c>
      <c r="N511" s="102" t="e">
        <f>SUMIF(#REF!,funkcijska!$E511,#REF!)</f>
        <v>#REF!</v>
      </c>
      <c r="O511" s="82" t="e">
        <f>SUMIF(#REF!,funkcijska!$E511,#REF!)</f>
        <v>#REF!</v>
      </c>
      <c r="P511" s="82" t="e">
        <f>SUMIF(#REF!,funkcijska!$E511,#REF!)</f>
        <v>#REF!</v>
      </c>
      <c r="Q511" s="386" t="e">
        <f>SUMIF(#REF!,funkcijska!$E511,#REF!)</f>
        <v>#REF!</v>
      </c>
      <c r="R511" s="82" t="e">
        <f>SUMIF(#REF!,funkcijska!$E511,#REF!)</f>
        <v>#REF!</v>
      </c>
      <c r="S511" s="82" t="e">
        <f>SUMIF(#REF!,funkcijska!$E511,#REF!)</f>
        <v>#REF!</v>
      </c>
      <c r="T511" s="82" t="e">
        <f>SUMIF(#REF!,funkcijska!$E$37,#REF!)</f>
        <v>#REF!</v>
      </c>
      <c r="U511" s="357" t="e">
        <f>SUMIF(#REF!,funkcijska!$E511,#REF!)</f>
        <v>#REF!</v>
      </c>
      <c r="V511" s="357" t="e">
        <f>SUMIF(#REF!,funkcijska!$E511,#REF!)</f>
        <v>#REF!</v>
      </c>
      <c r="W511" s="357" t="e">
        <f>SUMIF(#REF!,funkcijska!$E511,#REF!)</f>
        <v>#REF!</v>
      </c>
      <c r="X511" s="357" t="e">
        <f>SUMIF(#REF!,funkcijska!$E511,#REF!)</f>
        <v>#REF!</v>
      </c>
      <c r="AD511" s="60"/>
      <c r="AE511" s="60"/>
      <c r="AF511" s="60"/>
      <c r="AG511" s="60"/>
      <c r="AH511" s="60"/>
      <c r="AI511" s="60"/>
      <c r="AJ511" s="60"/>
      <c r="AK511" s="60"/>
      <c r="AL511" s="60"/>
    </row>
    <row r="512" spans="1:38" ht="18.75" customHeight="1" x14ac:dyDescent="0.25">
      <c r="A512" s="80"/>
      <c r="B512" s="80"/>
      <c r="C512" s="80"/>
      <c r="D512" s="80"/>
      <c r="E512" s="80">
        <v>3234</v>
      </c>
      <c r="F512" s="81" t="s">
        <v>238</v>
      </c>
      <c r="G512" s="82" t="e">
        <f>SUMIF(#REF!,funkcijska!$E512,#REF!)</f>
        <v>#REF!</v>
      </c>
      <c r="H512" s="82" t="e">
        <f>SUMIF(#REF!,funkcijska!$E512,#REF!)</f>
        <v>#REF!</v>
      </c>
      <c r="I512" s="82" t="e">
        <f>SUMIF(#REF!,funkcijska!$E512,#REF!)</f>
        <v>#REF!</v>
      </c>
      <c r="J512" s="82" t="e">
        <f>SUMIF(#REF!,funkcijska!$E512,#REF!)</f>
        <v>#REF!</v>
      </c>
      <c r="K512" s="82" t="e">
        <f>SUMIF(#REF!,funkcijska!$E512,#REF!)</f>
        <v>#REF!</v>
      </c>
      <c r="L512" s="82" t="e">
        <f t="shared" si="251"/>
        <v>#REF!</v>
      </c>
      <c r="M512" s="82" t="e">
        <f t="shared" si="252"/>
        <v>#REF!</v>
      </c>
      <c r="N512" s="102" t="e">
        <f>SUMIF(#REF!,funkcijska!$E512,#REF!)</f>
        <v>#REF!</v>
      </c>
      <c r="O512" s="82" t="e">
        <f>SUMIF(#REF!,funkcijska!$E512,#REF!)</f>
        <v>#REF!</v>
      </c>
      <c r="P512" s="82" t="e">
        <f>SUMIF(#REF!,funkcijska!$E512,#REF!)</f>
        <v>#REF!</v>
      </c>
      <c r="Q512" s="386" t="e">
        <f>SUMIF(#REF!,funkcijska!$E512,#REF!)</f>
        <v>#REF!</v>
      </c>
      <c r="R512" s="82" t="e">
        <f>SUMIF(#REF!,funkcijska!$E512,#REF!)</f>
        <v>#REF!</v>
      </c>
      <c r="S512" s="82" t="e">
        <f>SUMIF(#REF!,funkcijska!$E512,#REF!)</f>
        <v>#REF!</v>
      </c>
      <c r="T512" s="82" t="e">
        <f>SUMIF(#REF!,funkcijska!$E$38,#REF!)</f>
        <v>#REF!</v>
      </c>
      <c r="U512" s="357" t="e">
        <f>SUMIF(#REF!,funkcijska!$E512,#REF!)</f>
        <v>#REF!</v>
      </c>
      <c r="V512" s="357" t="e">
        <f>SUMIF(#REF!,funkcijska!$E512,#REF!)</f>
        <v>#REF!</v>
      </c>
      <c r="W512" s="357" t="e">
        <f>SUMIF(#REF!,funkcijska!$E512,#REF!)</f>
        <v>#REF!</v>
      </c>
      <c r="X512" s="357" t="e">
        <f>SUMIF(#REF!,funkcijska!$E512,#REF!)</f>
        <v>#REF!</v>
      </c>
      <c r="AD512" s="60"/>
      <c r="AE512" s="60"/>
      <c r="AF512" s="60"/>
      <c r="AG512" s="60"/>
      <c r="AH512" s="60"/>
      <c r="AI512" s="60"/>
      <c r="AJ512" s="60"/>
      <c r="AK512" s="60"/>
      <c r="AL512" s="60"/>
    </row>
    <row r="513" spans="1:38" ht="21" customHeight="1" x14ac:dyDescent="0.25">
      <c r="A513" s="80"/>
      <c r="B513" s="80"/>
      <c r="C513" s="80"/>
      <c r="D513" s="80"/>
      <c r="E513" s="80">
        <v>3235</v>
      </c>
      <c r="F513" s="81" t="s">
        <v>640</v>
      </c>
      <c r="G513" s="82" t="e">
        <f>SUMIF(#REF!,funkcijska!$E513,#REF!)</f>
        <v>#REF!</v>
      </c>
      <c r="H513" s="82" t="e">
        <f>SUMIF(#REF!,funkcijska!$E513,#REF!)</f>
        <v>#REF!</v>
      </c>
      <c r="I513" s="82" t="e">
        <f>SUMIF(#REF!,funkcijska!$E513,#REF!)</f>
        <v>#REF!</v>
      </c>
      <c r="J513" s="82" t="e">
        <f>SUMIF(#REF!,funkcijska!$E513,#REF!)</f>
        <v>#REF!</v>
      </c>
      <c r="K513" s="82" t="e">
        <f>SUMIF(#REF!,funkcijska!$E513,#REF!)</f>
        <v>#REF!</v>
      </c>
      <c r="L513" s="82" t="e">
        <f t="shared" si="251"/>
        <v>#REF!</v>
      </c>
      <c r="M513" s="82" t="e">
        <f t="shared" si="252"/>
        <v>#REF!</v>
      </c>
      <c r="N513" s="102" t="e">
        <f>SUMIF(#REF!,funkcijska!$E513,#REF!)</f>
        <v>#REF!</v>
      </c>
      <c r="O513" s="82" t="e">
        <f>SUMIF(#REF!,funkcijska!$E513,#REF!)</f>
        <v>#REF!</v>
      </c>
      <c r="P513" s="82" t="e">
        <f>SUMIF(#REF!,funkcijska!$E513,#REF!)</f>
        <v>#REF!</v>
      </c>
      <c r="Q513" s="386" t="e">
        <f>SUMIF(#REF!,funkcijska!$E513,#REF!)</f>
        <v>#REF!</v>
      </c>
      <c r="R513" s="82" t="e">
        <f>SUMIF(#REF!,funkcijska!$E513,#REF!)</f>
        <v>#REF!</v>
      </c>
      <c r="S513" s="82" t="e">
        <f>SUMIF(#REF!,funkcijska!$E513,#REF!)</f>
        <v>#REF!</v>
      </c>
      <c r="T513" s="82" t="e">
        <f>SUMIF(#REF!,funkcijska!$E$39,#REF!)</f>
        <v>#REF!</v>
      </c>
      <c r="U513" s="357" t="e">
        <f>SUMIF(#REF!,funkcijska!$E513,#REF!)</f>
        <v>#REF!</v>
      </c>
      <c r="V513" s="357" t="e">
        <f>SUMIF(#REF!,funkcijska!$E513,#REF!)</f>
        <v>#REF!</v>
      </c>
      <c r="W513" s="357" t="e">
        <f>SUMIF(#REF!,funkcijska!$E513,#REF!)</f>
        <v>#REF!</v>
      </c>
      <c r="X513" s="357" t="e">
        <f>SUMIF(#REF!,funkcijska!$E513,#REF!)</f>
        <v>#REF!</v>
      </c>
      <c r="AD513" s="60"/>
      <c r="AE513" s="60"/>
      <c r="AF513" s="60"/>
      <c r="AG513" s="60"/>
      <c r="AH513" s="60"/>
      <c r="AI513" s="60"/>
      <c r="AJ513" s="60"/>
      <c r="AK513" s="60"/>
      <c r="AL513" s="60"/>
    </row>
    <row r="514" spans="1:38" ht="20.25" customHeight="1" x14ac:dyDescent="0.25">
      <c r="A514" s="80"/>
      <c r="B514" s="80"/>
      <c r="C514" s="80"/>
      <c r="D514" s="80"/>
      <c r="E514" s="80">
        <v>3236</v>
      </c>
      <c r="F514" s="81" t="s">
        <v>843</v>
      </c>
      <c r="G514" s="82" t="e">
        <f>SUMIF(#REF!,funkcijska!$E514,#REF!)</f>
        <v>#REF!</v>
      </c>
      <c r="H514" s="82" t="e">
        <f>SUMIF(#REF!,funkcijska!$E514,#REF!)</f>
        <v>#REF!</v>
      </c>
      <c r="I514" s="82" t="e">
        <f>SUMIF(#REF!,funkcijska!$E514,#REF!)</f>
        <v>#REF!</v>
      </c>
      <c r="J514" s="82" t="e">
        <f>SUMIF(#REF!,funkcijska!$E514,#REF!)</f>
        <v>#REF!</v>
      </c>
      <c r="K514" s="82" t="e">
        <f>SUMIF(#REF!,funkcijska!$E514,#REF!)</f>
        <v>#REF!</v>
      </c>
      <c r="L514" s="82" t="e">
        <f t="shared" si="251"/>
        <v>#REF!</v>
      </c>
      <c r="M514" s="82" t="e">
        <f t="shared" si="252"/>
        <v>#REF!</v>
      </c>
      <c r="N514" s="102" t="e">
        <f>SUMIF(#REF!,funkcijska!$E514,#REF!)</f>
        <v>#REF!</v>
      </c>
      <c r="O514" s="82" t="e">
        <f>SUMIF(#REF!,funkcijska!$E514,#REF!)</f>
        <v>#REF!</v>
      </c>
      <c r="P514" s="82" t="e">
        <f>SUMIF(#REF!,funkcijska!$E514,#REF!)</f>
        <v>#REF!</v>
      </c>
      <c r="Q514" s="386" t="e">
        <f>SUMIF(#REF!,funkcijska!$E514,#REF!)</f>
        <v>#REF!</v>
      </c>
      <c r="R514" s="82" t="e">
        <f>SUMIF(#REF!,funkcijska!$E514,#REF!)</f>
        <v>#REF!</v>
      </c>
      <c r="S514" s="82" t="e">
        <f>SUMIF(#REF!,funkcijska!$E514,#REF!)</f>
        <v>#REF!</v>
      </c>
      <c r="T514" s="82" t="e">
        <f>SUMIF(#REF!,funkcijska!$E$40,#REF!)</f>
        <v>#REF!</v>
      </c>
      <c r="U514" s="357" t="e">
        <f>SUMIF(#REF!,funkcijska!$E514,#REF!)</f>
        <v>#REF!</v>
      </c>
      <c r="V514" s="357" t="e">
        <f>SUMIF(#REF!,funkcijska!$E514,#REF!)</f>
        <v>#REF!</v>
      </c>
      <c r="W514" s="357" t="e">
        <f>SUMIF(#REF!,funkcijska!$E514,#REF!)</f>
        <v>#REF!</v>
      </c>
      <c r="X514" s="357" t="e">
        <f>SUMIF(#REF!,funkcijska!$E514,#REF!)</f>
        <v>#REF!</v>
      </c>
      <c r="AD514" s="60"/>
      <c r="AE514" s="60"/>
      <c r="AF514" s="60"/>
      <c r="AG514" s="60"/>
      <c r="AH514" s="60"/>
      <c r="AI514" s="60"/>
      <c r="AJ514" s="60"/>
      <c r="AK514" s="60"/>
      <c r="AL514" s="60"/>
    </row>
    <row r="515" spans="1:38" ht="20.25" customHeight="1" x14ac:dyDescent="0.25">
      <c r="A515" s="80"/>
      <c r="B515" s="80"/>
      <c r="C515" s="80"/>
      <c r="D515" s="80"/>
      <c r="E515" s="80">
        <v>3237</v>
      </c>
      <c r="F515" s="81" t="s">
        <v>566</v>
      </c>
      <c r="G515" s="82" t="e">
        <f>SUMIF(#REF!,funkcijska!$E515,#REF!)</f>
        <v>#REF!</v>
      </c>
      <c r="H515" s="82" t="e">
        <f>SUMIF(#REF!,funkcijska!$E515,#REF!)</f>
        <v>#REF!</v>
      </c>
      <c r="I515" s="82" t="e">
        <f>SUMIF(#REF!,funkcijska!$E515,#REF!)</f>
        <v>#REF!</v>
      </c>
      <c r="J515" s="82" t="e">
        <f>SUMIF(#REF!,funkcijska!$E515,#REF!)</f>
        <v>#REF!</v>
      </c>
      <c r="K515" s="82" t="e">
        <f>SUMIF(#REF!,funkcijska!$E515,#REF!)</f>
        <v>#REF!</v>
      </c>
      <c r="L515" s="82" t="e">
        <f t="shared" si="251"/>
        <v>#REF!</v>
      </c>
      <c r="M515" s="82" t="e">
        <f t="shared" si="252"/>
        <v>#REF!</v>
      </c>
      <c r="N515" s="102" t="e">
        <f>SUMIF(#REF!,funkcijska!$E515,#REF!)</f>
        <v>#REF!</v>
      </c>
      <c r="O515" s="82" t="e">
        <f>SUMIF(#REF!,funkcijska!$E515,#REF!)</f>
        <v>#REF!</v>
      </c>
      <c r="P515" s="82" t="e">
        <f>SUMIF(#REF!,funkcijska!$E515,#REF!)</f>
        <v>#REF!</v>
      </c>
      <c r="Q515" s="386" t="e">
        <f>SUMIF(#REF!,funkcijska!$E515,#REF!)</f>
        <v>#REF!</v>
      </c>
      <c r="R515" s="82" t="e">
        <f>SUMIF(#REF!,funkcijska!$E515,#REF!)</f>
        <v>#REF!</v>
      </c>
      <c r="S515" s="82" t="e">
        <f>SUMIF(#REF!,funkcijska!$E515,#REF!)</f>
        <v>#REF!</v>
      </c>
      <c r="T515" s="82" t="e">
        <f>SUMIF(#REF!,funkcijska!$E$41,#REF!)</f>
        <v>#REF!</v>
      </c>
      <c r="U515" s="357" t="e">
        <f>SUMIF(#REF!,funkcijska!$E515,#REF!)</f>
        <v>#REF!</v>
      </c>
      <c r="V515" s="357" t="e">
        <f>SUMIF(#REF!,funkcijska!$E515,#REF!)</f>
        <v>#REF!</v>
      </c>
      <c r="W515" s="357" t="e">
        <f>SUMIF(#REF!,funkcijska!$E515,#REF!)</f>
        <v>#REF!</v>
      </c>
      <c r="X515" s="357" t="e">
        <f>SUMIF(#REF!,funkcijska!$E515,#REF!)</f>
        <v>#REF!</v>
      </c>
      <c r="AD515" s="60"/>
      <c r="AE515" s="60"/>
      <c r="AF515" s="60"/>
      <c r="AG515" s="60"/>
      <c r="AH515" s="60"/>
      <c r="AI515" s="60"/>
      <c r="AJ515" s="60"/>
      <c r="AK515" s="60"/>
      <c r="AL515" s="60"/>
    </row>
    <row r="516" spans="1:38" ht="16.5" customHeight="1" x14ac:dyDescent="0.25">
      <c r="A516" s="80"/>
      <c r="B516" s="80"/>
      <c r="C516" s="80"/>
      <c r="D516" s="80"/>
      <c r="E516" s="80">
        <v>3238</v>
      </c>
      <c r="F516" s="81" t="s">
        <v>398</v>
      </c>
      <c r="G516" s="82" t="e">
        <f>SUMIF(#REF!,funkcijska!$E516,#REF!)</f>
        <v>#REF!</v>
      </c>
      <c r="H516" s="82" t="e">
        <f>SUMIF(#REF!,funkcijska!$E516,#REF!)</f>
        <v>#REF!</v>
      </c>
      <c r="I516" s="82" t="e">
        <f>SUMIF(#REF!,funkcijska!$E516,#REF!)</f>
        <v>#REF!</v>
      </c>
      <c r="J516" s="82" t="e">
        <f>SUMIF(#REF!,funkcijska!$E516,#REF!)</f>
        <v>#REF!</v>
      </c>
      <c r="K516" s="82" t="e">
        <f>SUMIF(#REF!,funkcijska!$E516,#REF!)</f>
        <v>#REF!</v>
      </c>
      <c r="L516" s="82" t="e">
        <f t="shared" si="251"/>
        <v>#REF!</v>
      </c>
      <c r="M516" s="82" t="e">
        <f t="shared" si="252"/>
        <v>#REF!</v>
      </c>
      <c r="N516" s="82" t="e">
        <f>SUMIF(#REF!,funkcijska!$E516,#REF!)</f>
        <v>#REF!</v>
      </c>
      <c r="O516" s="82" t="e">
        <f>SUMIF(#REF!,funkcijska!$E516,#REF!)</f>
        <v>#REF!</v>
      </c>
      <c r="P516" s="82" t="e">
        <f>SUMIF(#REF!,funkcijska!$E516,#REF!)</f>
        <v>#REF!</v>
      </c>
      <c r="Q516" s="386" t="e">
        <f>SUMIF(#REF!,funkcijska!$E516,#REF!)</f>
        <v>#REF!</v>
      </c>
      <c r="R516" s="82" t="e">
        <f>SUMIF(#REF!,funkcijska!$E516,#REF!)</f>
        <v>#REF!</v>
      </c>
      <c r="S516" s="82" t="e">
        <f>SUMIF(#REF!,funkcijska!$E516,#REF!)</f>
        <v>#REF!</v>
      </c>
      <c r="T516" s="82" t="e">
        <f>SUMIF(#REF!,funkcijska!$E$42,#REF!)</f>
        <v>#REF!</v>
      </c>
      <c r="U516" s="357" t="e">
        <f>SUMIF(#REF!,funkcijska!$E516,#REF!)</f>
        <v>#REF!</v>
      </c>
      <c r="V516" s="357" t="e">
        <f>SUMIF(#REF!,funkcijska!$E516,#REF!)</f>
        <v>#REF!</v>
      </c>
      <c r="W516" s="357" t="e">
        <f>SUMIF(#REF!,funkcijska!$E516,#REF!)</f>
        <v>#REF!</v>
      </c>
      <c r="X516" s="357" t="e">
        <f>SUMIF(#REF!,funkcijska!$E516,#REF!)</f>
        <v>#REF!</v>
      </c>
      <c r="AD516" s="60"/>
      <c r="AE516" s="60"/>
      <c r="AF516" s="60"/>
      <c r="AG516" s="60"/>
      <c r="AH516" s="60"/>
      <c r="AI516" s="60"/>
      <c r="AJ516" s="60"/>
      <c r="AK516" s="60"/>
      <c r="AL516" s="60"/>
    </row>
    <row r="517" spans="1:38" ht="18" customHeight="1" x14ac:dyDescent="0.25">
      <c r="A517" s="80"/>
      <c r="B517" s="80"/>
      <c r="C517" s="80"/>
      <c r="D517" s="80"/>
      <c r="E517" s="80">
        <v>3239</v>
      </c>
      <c r="F517" s="81" t="s">
        <v>1017</v>
      </c>
      <c r="G517" s="82" t="e">
        <f>SUMIF(#REF!,funkcijska!$E517,#REF!)</f>
        <v>#REF!</v>
      </c>
      <c r="H517" s="82" t="e">
        <f>SUMIF(#REF!,funkcijska!$E517,#REF!)</f>
        <v>#REF!</v>
      </c>
      <c r="I517" s="82" t="e">
        <f>SUMIF(#REF!,funkcijska!$E517,#REF!)</f>
        <v>#REF!</v>
      </c>
      <c r="J517" s="82" t="e">
        <f>SUMIF(#REF!,funkcijska!$E517,#REF!)</f>
        <v>#REF!</v>
      </c>
      <c r="K517" s="82" t="e">
        <f>SUMIF(#REF!,funkcijska!$E517,#REF!)</f>
        <v>#REF!</v>
      </c>
      <c r="L517" s="82" t="e">
        <f t="shared" si="251"/>
        <v>#REF!</v>
      </c>
      <c r="M517" s="82" t="e">
        <f t="shared" si="252"/>
        <v>#REF!</v>
      </c>
      <c r="N517" s="82" t="e">
        <f>SUMIF(#REF!,funkcijska!$E517,#REF!)</f>
        <v>#REF!</v>
      </c>
      <c r="O517" s="82" t="e">
        <f>SUMIF(#REF!,funkcijska!$E517,#REF!)</f>
        <v>#REF!</v>
      </c>
      <c r="P517" s="82" t="e">
        <f>SUMIF(#REF!,funkcijska!$E517,#REF!)</f>
        <v>#REF!</v>
      </c>
      <c r="Q517" s="386" t="e">
        <f>SUMIF(#REF!,funkcijska!$E517,#REF!)</f>
        <v>#REF!</v>
      </c>
      <c r="R517" s="82" t="e">
        <f>SUMIF(#REF!,funkcijska!$E517,#REF!)</f>
        <v>#REF!</v>
      </c>
      <c r="S517" s="82" t="e">
        <f>SUMIF(#REF!,funkcijska!$E517,#REF!)</f>
        <v>#REF!</v>
      </c>
      <c r="T517" s="82" t="e">
        <f>SUMIF(#REF!,funkcijska!$E$43,#REF!)</f>
        <v>#REF!</v>
      </c>
      <c r="U517" s="357" t="e">
        <f>SUMIF(#REF!,funkcijska!$E517,#REF!)</f>
        <v>#REF!</v>
      </c>
      <c r="V517" s="357" t="e">
        <f>SUMIF(#REF!,funkcijska!$E517,#REF!)</f>
        <v>#REF!</v>
      </c>
      <c r="W517" s="357" t="e">
        <f>SUMIF(#REF!,funkcijska!$E517,#REF!)</f>
        <v>#REF!</v>
      </c>
      <c r="X517" s="357" t="e">
        <f>SUMIF(#REF!,funkcijska!$E517,#REF!)</f>
        <v>#REF!</v>
      </c>
      <c r="AD517" s="60"/>
      <c r="AE517" s="60"/>
      <c r="AF517" s="60"/>
      <c r="AG517" s="60"/>
      <c r="AH517" s="60"/>
      <c r="AI517" s="60"/>
      <c r="AJ517" s="60"/>
      <c r="AK517" s="60"/>
      <c r="AL517" s="60"/>
    </row>
    <row r="518" spans="1:38" s="376" customFormat="1" ht="18.75" customHeight="1" x14ac:dyDescent="0.25">
      <c r="A518" s="119"/>
      <c r="B518" s="119"/>
      <c r="C518" s="119"/>
      <c r="D518" s="119">
        <v>324</v>
      </c>
      <c r="E518" s="119"/>
      <c r="F518" s="368" t="s">
        <v>530</v>
      </c>
      <c r="G518" s="137" t="e">
        <f>G519</f>
        <v>#REF!</v>
      </c>
      <c r="H518" s="137" t="e">
        <f>H519</f>
        <v>#REF!</v>
      </c>
      <c r="I518" s="137" t="e">
        <f>I519</f>
        <v>#REF!</v>
      </c>
      <c r="J518" s="137" t="e">
        <f>J519</f>
        <v>#REF!</v>
      </c>
      <c r="K518" s="137" t="e">
        <f>K519</f>
        <v>#REF!</v>
      </c>
      <c r="L518" s="137" t="e">
        <f t="shared" si="251"/>
        <v>#REF!</v>
      </c>
      <c r="M518" s="137" t="e">
        <f t="shared" si="252"/>
        <v>#REF!</v>
      </c>
      <c r="N518" s="137" t="e">
        <f t="shared" ref="N518:X518" si="253">N519</f>
        <v>#REF!</v>
      </c>
      <c r="O518" s="137" t="e">
        <f t="shared" si="253"/>
        <v>#REF!</v>
      </c>
      <c r="P518" s="137" t="e">
        <f t="shared" si="253"/>
        <v>#REF!</v>
      </c>
      <c r="Q518" s="393" t="e">
        <f t="shared" si="253"/>
        <v>#REF!</v>
      </c>
      <c r="R518" s="137" t="e">
        <f t="shared" si="253"/>
        <v>#REF!</v>
      </c>
      <c r="S518" s="137" t="e">
        <f t="shared" si="253"/>
        <v>#REF!</v>
      </c>
      <c r="T518" s="137" t="e">
        <f t="shared" si="253"/>
        <v>#REF!</v>
      </c>
      <c r="U518" s="371" t="e">
        <f t="shared" si="253"/>
        <v>#REF!</v>
      </c>
      <c r="V518" s="371" t="e">
        <f t="shared" si="253"/>
        <v>#REF!</v>
      </c>
      <c r="W518" s="371" t="e">
        <f t="shared" si="253"/>
        <v>#REF!</v>
      </c>
      <c r="X518" s="371" t="e">
        <f t="shared" si="253"/>
        <v>#REF!</v>
      </c>
      <c r="Y518" s="372"/>
      <c r="Z518" s="372"/>
      <c r="AA518" s="372"/>
      <c r="AB518" s="372"/>
      <c r="AC518" s="372"/>
      <c r="AD518" s="375"/>
      <c r="AE518" s="375"/>
      <c r="AF518" s="375"/>
      <c r="AG518" s="375"/>
      <c r="AH518" s="375"/>
      <c r="AI518" s="375"/>
      <c r="AJ518" s="375"/>
      <c r="AK518" s="375"/>
      <c r="AL518" s="375"/>
    </row>
    <row r="519" spans="1:38" ht="16.5" customHeight="1" x14ac:dyDescent="0.25">
      <c r="A519" s="133"/>
      <c r="B519" s="133"/>
      <c r="C519" s="133"/>
      <c r="D519" s="133"/>
      <c r="E519" s="133">
        <v>3241</v>
      </c>
      <c r="F519" s="134" t="s">
        <v>530</v>
      </c>
      <c r="G519" s="82" t="e">
        <f>SUMIF(#REF!,funkcijska!$E519,#REF!)</f>
        <v>#REF!</v>
      </c>
      <c r="H519" s="82" t="e">
        <f>SUMIF(#REF!,funkcijska!$E519,#REF!)</f>
        <v>#REF!</v>
      </c>
      <c r="I519" s="82" t="e">
        <f>SUMIF(#REF!,funkcijska!$E519,#REF!)</f>
        <v>#REF!</v>
      </c>
      <c r="J519" s="82" t="e">
        <f>SUMIF(#REF!,funkcijska!$E519,#REF!)</f>
        <v>#REF!</v>
      </c>
      <c r="K519" s="82" t="e">
        <f>SUMIF(#REF!,funkcijska!$E519,#REF!)</f>
        <v>#REF!</v>
      </c>
      <c r="L519" s="82" t="e">
        <f t="shared" si="251"/>
        <v>#REF!</v>
      </c>
      <c r="M519" s="82" t="e">
        <f t="shared" si="252"/>
        <v>#REF!</v>
      </c>
      <c r="N519" s="82" t="e">
        <f>SUMIF(#REF!,funkcijska!$E519,#REF!)</f>
        <v>#REF!</v>
      </c>
      <c r="O519" s="82" t="e">
        <f>SUMIF(#REF!,funkcijska!$E519,#REF!)</f>
        <v>#REF!</v>
      </c>
      <c r="P519" s="82" t="e">
        <f>SUMIF(#REF!,funkcijska!$E519,#REF!)</f>
        <v>#REF!</v>
      </c>
      <c r="Q519" s="386" t="e">
        <f>SUMIF(#REF!,funkcijska!$E519,#REF!)</f>
        <v>#REF!</v>
      </c>
      <c r="R519" s="82" t="e">
        <f>SUMIF(#REF!,funkcijska!$E519,#REF!)</f>
        <v>#REF!</v>
      </c>
      <c r="S519" s="82" t="e">
        <f>SUMIF(#REF!,funkcijska!$E519,#REF!)</f>
        <v>#REF!</v>
      </c>
      <c r="T519" s="82" t="e">
        <f>SUMIF(#REF!,funkcijska!$E$45,#REF!)</f>
        <v>#REF!</v>
      </c>
      <c r="U519" s="357" t="e">
        <f>SUMIF(#REF!,funkcijska!$E519,#REF!)</f>
        <v>#REF!</v>
      </c>
      <c r="V519" s="357" t="e">
        <f>SUMIF(#REF!,funkcijska!$E519,#REF!)</f>
        <v>#REF!</v>
      </c>
      <c r="W519" s="357" t="e">
        <f>SUMIF(#REF!,funkcijska!$E519,#REF!)</f>
        <v>#REF!</v>
      </c>
      <c r="X519" s="357" t="e">
        <f>SUMIF(#REF!,funkcijska!$E519,#REF!)</f>
        <v>#REF!</v>
      </c>
      <c r="AD519" s="300"/>
      <c r="AE519" s="300"/>
      <c r="AF519" s="300"/>
      <c r="AG519" s="300"/>
      <c r="AH519" s="300"/>
      <c r="AI519" s="300"/>
      <c r="AJ519" s="300"/>
      <c r="AK519" s="60"/>
      <c r="AL519" s="60"/>
    </row>
    <row r="520" spans="1:38" s="376" customFormat="1" ht="16.5" customHeight="1" x14ac:dyDescent="0.25">
      <c r="A520" s="119"/>
      <c r="B520" s="119"/>
      <c r="C520" s="119"/>
      <c r="D520" s="119" t="str">
        <f>LEFT(E521,3)</f>
        <v>329</v>
      </c>
      <c r="E520" s="119"/>
      <c r="F520" s="368" t="s">
        <v>531</v>
      </c>
      <c r="G520" s="369" t="e">
        <f t="shared" ref="G520:X520" si="254">SUM(G521:G526)</f>
        <v>#REF!</v>
      </c>
      <c r="H520" s="370" t="e">
        <f t="shared" si="254"/>
        <v>#REF!</v>
      </c>
      <c r="I520" s="369" t="e">
        <f t="shared" si="254"/>
        <v>#REF!</v>
      </c>
      <c r="J520" s="369" t="e">
        <f t="shared" si="254"/>
        <v>#REF!</v>
      </c>
      <c r="K520" s="369" t="e">
        <f t="shared" si="254"/>
        <v>#REF!</v>
      </c>
      <c r="L520" s="369" t="e">
        <f t="shared" si="254"/>
        <v>#REF!</v>
      </c>
      <c r="M520" s="369" t="e">
        <f t="shared" si="254"/>
        <v>#REF!</v>
      </c>
      <c r="N520" s="369" t="e">
        <f t="shared" si="254"/>
        <v>#REF!</v>
      </c>
      <c r="O520" s="369" t="e">
        <f t="shared" si="254"/>
        <v>#REF!</v>
      </c>
      <c r="P520" s="369" t="e">
        <f t="shared" si="254"/>
        <v>#REF!</v>
      </c>
      <c r="Q520" s="392" t="e">
        <f t="shared" si="254"/>
        <v>#REF!</v>
      </c>
      <c r="R520" s="369" t="e">
        <f t="shared" si="254"/>
        <v>#REF!</v>
      </c>
      <c r="S520" s="369" t="e">
        <f t="shared" si="254"/>
        <v>#REF!</v>
      </c>
      <c r="T520" s="369" t="e">
        <f t="shared" si="254"/>
        <v>#REF!</v>
      </c>
      <c r="U520" s="371" t="e">
        <f t="shared" si="254"/>
        <v>#REF!</v>
      </c>
      <c r="V520" s="371" t="e">
        <f t="shared" si="254"/>
        <v>#REF!</v>
      </c>
      <c r="W520" s="371" t="e">
        <f t="shared" si="254"/>
        <v>#REF!</v>
      </c>
      <c r="X520" s="371" t="e">
        <f t="shared" si="254"/>
        <v>#REF!</v>
      </c>
      <c r="Y520" s="372"/>
      <c r="Z520" s="372"/>
      <c r="AA520" s="372"/>
      <c r="AB520" s="372"/>
      <c r="AC520" s="372"/>
      <c r="AD520" s="377"/>
      <c r="AE520" s="377"/>
      <c r="AF520" s="377"/>
      <c r="AG520" s="377"/>
      <c r="AH520" s="377"/>
      <c r="AI520" s="377"/>
      <c r="AJ520" s="377"/>
      <c r="AK520" s="375"/>
      <c r="AL520" s="375"/>
    </row>
    <row r="521" spans="1:38" ht="42.75" customHeight="1" x14ac:dyDescent="0.25">
      <c r="A521" s="133"/>
      <c r="B521" s="133"/>
      <c r="C521" s="133"/>
      <c r="D521" s="133"/>
      <c r="E521" s="133">
        <v>3291</v>
      </c>
      <c r="F521" s="134" t="s">
        <v>532</v>
      </c>
      <c r="G521" s="82" t="e">
        <f>SUMIF(#REF!,funkcijska!$E521,#REF!)</f>
        <v>#REF!</v>
      </c>
      <c r="H521" s="82" t="e">
        <f>SUMIF(#REF!,funkcijska!$E521,#REF!)</f>
        <v>#REF!</v>
      </c>
      <c r="I521" s="82" t="e">
        <f>SUMIF(#REF!,funkcijska!$E521,#REF!)</f>
        <v>#REF!</v>
      </c>
      <c r="J521" s="82" t="e">
        <f>SUMIF(#REF!,funkcijska!$E521,#REF!)</f>
        <v>#REF!</v>
      </c>
      <c r="K521" s="82" t="e">
        <f>SUMIF(#REF!,funkcijska!$E521,#REF!)</f>
        <v>#REF!</v>
      </c>
      <c r="L521" s="82" t="e">
        <f t="shared" ref="L521:L529" si="255">ROUND(K521/J521*100,2)</f>
        <v>#REF!</v>
      </c>
      <c r="M521" s="82" t="e">
        <f t="shared" ref="M521:M529" si="256">N521-J521</f>
        <v>#REF!</v>
      </c>
      <c r="N521" s="82" t="e">
        <f>SUMIF(#REF!,funkcijska!$E521,#REF!)</f>
        <v>#REF!</v>
      </c>
      <c r="O521" s="82" t="e">
        <f>SUMIF(#REF!,funkcijska!$E521,#REF!)</f>
        <v>#REF!</v>
      </c>
      <c r="P521" s="82" t="e">
        <f>SUMIF(#REF!,funkcijska!$E521,#REF!)</f>
        <v>#REF!</v>
      </c>
      <c r="Q521" s="386" t="e">
        <f>SUMIF(#REF!,funkcijska!$E521,#REF!)</f>
        <v>#REF!</v>
      </c>
      <c r="R521" s="82" t="e">
        <f>SUMIF(#REF!,funkcijska!$E521,#REF!)</f>
        <v>#REF!</v>
      </c>
      <c r="S521" s="82" t="e">
        <f>SUMIF(#REF!,funkcijska!$E521,#REF!)</f>
        <v>#REF!</v>
      </c>
      <c r="T521" s="82" t="e">
        <f>SUMIF(#REF!,funkcijska!$E$47,#REF!)</f>
        <v>#REF!</v>
      </c>
      <c r="U521" s="357" t="e">
        <f>SUMIF(#REF!,funkcijska!$E521,#REF!)</f>
        <v>#REF!</v>
      </c>
      <c r="V521" s="357" t="e">
        <f>SUMIF(#REF!,funkcijska!$E521,#REF!)</f>
        <v>#REF!</v>
      </c>
      <c r="W521" s="357" t="e">
        <f>SUMIF(#REF!,funkcijska!$E521,#REF!)</f>
        <v>#REF!</v>
      </c>
      <c r="X521" s="357" t="e">
        <f>SUMIF(#REF!,funkcijska!$E521,#REF!)</f>
        <v>#REF!</v>
      </c>
      <c r="AD521" s="300"/>
      <c r="AE521" s="300"/>
      <c r="AF521" s="300"/>
      <c r="AG521" s="300"/>
      <c r="AH521" s="300"/>
      <c r="AI521" s="300"/>
      <c r="AJ521" s="300"/>
      <c r="AK521" s="60"/>
      <c r="AL521" s="60"/>
    </row>
    <row r="522" spans="1:38" ht="18.75" customHeight="1" x14ac:dyDescent="0.25">
      <c r="A522" s="80"/>
      <c r="B522" s="80"/>
      <c r="C522" s="80"/>
      <c r="D522" s="80"/>
      <c r="E522" s="80">
        <v>3292</v>
      </c>
      <c r="F522" s="81" t="s">
        <v>399</v>
      </c>
      <c r="G522" s="82" t="e">
        <f>SUMIF(#REF!,funkcijska!$E522,#REF!)</f>
        <v>#REF!</v>
      </c>
      <c r="H522" s="82" t="e">
        <f>SUMIF(#REF!,funkcijska!$E522,#REF!)</f>
        <v>#REF!</v>
      </c>
      <c r="I522" s="82" t="e">
        <f>SUMIF(#REF!,funkcijska!$E522,#REF!)</f>
        <v>#REF!</v>
      </c>
      <c r="J522" s="82" t="e">
        <f>SUMIF(#REF!,funkcijska!$E522,#REF!)</f>
        <v>#REF!</v>
      </c>
      <c r="K522" s="82" t="e">
        <f>SUMIF(#REF!,funkcijska!$E522,#REF!)</f>
        <v>#REF!</v>
      </c>
      <c r="L522" s="82" t="e">
        <f t="shared" si="255"/>
        <v>#REF!</v>
      </c>
      <c r="M522" s="82" t="e">
        <f t="shared" si="256"/>
        <v>#REF!</v>
      </c>
      <c r="N522" s="82" t="e">
        <f>SUMIF(#REF!,funkcijska!$E522,#REF!)</f>
        <v>#REF!</v>
      </c>
      <c r="O522" s="82" t="e">
        <f>SUMIF(#REF!,funkcijska!$E522,#REF!)</f>
        <v>#REF!</v>
      </c>
      <c r="P522" s="82" t="e">
        <f>SUMIF(#REF!,funkcijska!$E522,#REF!)</f>
        <v>#REF!</v>
      </c>
      <c r="Q522" s="386" t="e">
        <f>SUMIF(#REF!,funkcijska!$E522,#REF!)</f>
        <v>#REF!</v>
      </c>
      <c r="R522" s="82" t="e">
        <f>SUMIF(#REF!,funkcijska!$E522,#REF!)</f>
        <v>#REF!</v>
      </c>
      <c r="S522" s="82" t="e">
        <f>SUMIF(#REF!,funkcijska!$E522,#REF!)</f>
        <v>#REF!</v>
      </c>
      <c r="T522" s="82" t="e">
        <f>SUMIF(#REF!,funkcijska!$E$48,#REF!)</f>
        <v>#REF!</v>
      </c>
      <c r="U522" s="357" t="e">
        <f>SUMIF(#REF!,funkcijska!$E522,#REF!)</f>
        <v>#REF!</v>
      </c>
      <c r="V522" s="357" t="e">
        <f>SUMIF(#REF!,funkcijska!$E522,#REF!)</f>
        <v>#REF!</v>
      </c>
      <c r="W522" s="357" t="e">
        <f>SUMIF(#REF!,funkcijska!$E522,#REF!)</f>
        <v>#REF!</v>
      </c>
      <c r="X522" s="357" t="e">
        <f>SUMIF(#REF!,funkcijska!$E522,#REF!)</f>
        <v>#REF!</v>
      </c>
      <c r="AD522" s="60"/>
      <c r="AE522" s="60"/>
      <c r="AF522" s="60"/>
      <c r="AG522" s="60"/>
      <c r="AH522" s="60"/>
      <c r="AI522" s="60"/>
      <c r="AJ522" s="60"/>
      <c r="AK522" s="60"/>
      <c r="AL522" s="60"/>
    </row>
    <row r="523" spans="1:38" ht="20.25" customHeight="1" x14ac:dyDescent="0.25">
      <c r="A523" s="80"/>
      <c r="B523" s="80"/>
      <c r="C523" s="80"/>
      <c r="D523" s="80"/>
      <c r="E523" s="80">
        <v>3293</v>
      </c>
      <c r="F523" s="81" t="s">
        <v>533</v>
      </c>
      <c r="G523" s="82" t="e">
        <f>SUMIF(#REF!,funkcijska!$E523,#REF!)</f>
        <v>#REF!</v>
      </c>
      <c r="H523" s="82" t="e">
        <f>SUMIF(#REF!,funkcijska!$E523,#REF!)</f>
        <v>#REF!</v>
      </c>
      <c r="I523" s="82" t="e">
        <f>SUMIF(#REF!,funkcijska!$E523,#REF!)</f>
        <v>#REF!</v>
      </c>
      <c r="J523" s="82" t="e">
        <f>SUMIF(#REF!,funkcijska!$E523,#REF!)</f>
        <v>#REF!</v>
      </c>
      <c r="K523" s="82" t="e">
        <f>SUMIF(#REF!,funkcijska!$E523,#REF!)</f>
        <v>#REF!</v>
      </c>
      <c r="L523" s="82" t="e">
        <f t="shared" si="255"/>
        <v>#REF!</v>
      </c>
      <c r="M523" s="82" t="e">
        <f t="shared" si="256"/>
        <v>#REF!</v>
      </c>
      <c r="N523" s="82" t="e">
        <f>SUMIF(#REF!,funkcijska!$E523,#REF!)</f>
        <v>#REF!</v>
      </c>
      <c r="O523" s="82" t="e">
        <f>SUMIF(#REF!,funkcijska!$E523,#REF!)</f>
        <v>#REF!</v>
      </c>
      <c r="P523" s="82" t="e">
        <f>SUMIF(#REF!,funkcijska!$E523,#REF!)</f>
        <v>#REF!</v>
      </c>
      <c r="Q523" s="386" t="e">
        <f>SUMIF(#REF!,funkcijska!$E523,#REF!)</f>
        <v>#REF!</v>
      </c>
      <c r="R523" s="82" t="e">
        <f>SUMIF(#REF!,funkcijska!$E523,#REF!)</f>
        <v>#REF!</v>
      </c>
      <c r="S523" s="82" t="e">
        <f>SUMIF(#REF!,funkcijska!$E523,#REF!)</f>
        <v>#REF!</v>
      </c>
      <c r="T523" s="82" t="e">
        <f>SUMIF(#REF!,funkcijska!$E$49,#REF!)</f>
        <v>#REF!</v>
      </c>
      <c r="U523" s="357" t="e">
        <f>SUMIF(#REF!,funkcijska!$E523,#REF!)</f>
        <v>#REF!</v>
      </c>
      <c r="V523" s="357" t="e">
        <f>SUMIF(#REF!,funkcijska!$E523,#REF!)</f>
        <v>#REF!</v>
      </c>
      <c r="W523" s="357" t="e">
        <f>SUMIF(#REF!,funkcijska!$E523,#REF!)</f>
        <v>#REF!</v>
      </c>
      <c r="X523" s="357" t="e">
        <f>SUMIF(#REF!,funkcijska!$E523,#REF!)</f>
        <v>#REF!</v>
      </c>
      <c r="AD523" s="60"/>
      <c r="AE523" s="60"/>
      <c r="AF523" s="60"/>
      <c r="AG523" s="60"/>
      <c r="AH523" s="60"/>
      <c r="AI523" s="60"/>
      <c r="AJ523" s="60"/>
      <c r="AK523" s="60"/>
      <c r="AL523" s="60"/>
    </row>
    <row r="524" spans="1:38" ht="17.25" customHeight="1" x14ac:dyDescent="0.25">
      <c r="A524" s="80"/>
      <c r="B524" s="80"/>
      <c r="C524" s="80"/>
      <c r="D524" s="80"/>
      <c r="E524" s="80">
        <v>3294</v>
      </c>
      <c r="F524" s="81" t="s">
        <v>567</v>
      </c>
      <c r="G524" s="82" t="e">
        <f>SUMIF(#REF!,funkcijska!$E524,#REF!)</f>
        <v>#REF!</v>
      </c>
      <c r="H524" s="82" t="e">
        <f>SUMIF(#REF!,funkcijska!$E524,#REF!)</f>
        <v>#REF!</v>
      </c>
      <c r="I524" s="82" t="e">
        <f>SUMIF(#REF!,funkcijska!$E524,#REF!)</f>
        <v>#REF!</v>
      </c>
      <c r="J524" s="82" t="e">
        <f>SUMIF(#REF!,funkcijska!$E524,#REF!)</f>
        <v>#REF!</v>
      </c>
      <c r="K524" s="82" t="e">
        <f>SUMIF(#REF!,funkcijska!$E524,#REF!)</f>
        <v>#REF!</v>
      </c>
      <c r="L524" s="82" t="e">
        <f t="shared" si="255"/>
        <v>#REF!</v>
      </c>
      <c r="M524" s="82" t="e">
        <f t="shared" si="256"/>
        <v>#REF!</v>
      </c>
      <c r="N524" s="82" t="e">
        <f>SUMIF(#REF!,funkcijska!$E524,#REF!)</f>
        <v>#REF!</v>
      </c>
      <c r="O524" s="82" t="e">
        <f>SUMIF(#REF!,funkcijska!$E524,#REF!)</f>
        <v>#REF!</v>
      </c>
      <c r="P524" s="82" t="e">
        <f>SUMIF(#REF!,funkcijska!$E524,#REF!)</f>
        <v>#REF!</v>
      </c>
      <c r="Q524" s="386" t="e">
        <f>SUMIF(#REF!,funkcijska!$E524,#REF!)</f>
        <v>#REF!</v>
      </c>
      <c r="R524" s="82" t="e">
        <f>SUMIF(#REF!,funkcijska!$E524,#REF!)</f>
        <v>#REF!</v>
      </c>
      <c r="S524" s="82" t="e">
        <f>SUMIF(#REF!,funkcijska!$E524,#REF!)</f>
        <v>#REF!</v>
      </c>
      <c r="T524" s="82" t="e">
        <f>SUMIF(#REF!,funkcijska!$E$50,#REF!)</f>
        <v>#REF!</v>
      </c>
      <c r="U524" s="357" t="e">
        <f>SUMIF(#REF!,funkcijska!$E524,#REF!)</f>
        <v>#REF!</v>
      </c>
      <c r="V524" s="357" t="e">
        <f>SUMIF(#REF!,funkcijska!$E524,#REF!)</f>
        <v>#REF!</v>
      </c>
      <c r="W524" s="357" t="e">
        <f>SUMIF(#REF!,funkcijska!$E524,#REF!)</f>
        <v>#REF!</v>
      </c>
      <c r="X524" s="357" t="e">
        <f>SUMIF(#REF!,funkcijska!$E524,#REF!)</f>
        <v>#REF!</v>
      </c>
      <c r="AD524" s="60"/>
      <c r="AE524" s="60"/>
      <c r="AF524" s="60"/>
      <c r="AG524" s="60"/>
      <c r="AH524" s="60"/>
      <c r="AI524" s="60"/>
      <c r="AJ524" s="60"/>
      <c r="AK524" s="60"/>
      <c r="AL524" s="60"/>
    </row>
    <row r="525" spans="1:38" ht="15.75" customHeight="1" x14ac:dyDescent="0.25">
      <c r="A525" s="80"/>
      <c r="B525" s="80"/>
      <c r="C525" s="80"/>
      <c r="D525" s="80"/>
      <c r="E525" s="80">
        <v>3295</v>
      </c>
      <c r="F525" s="81" t="s">
        <v>400</v>
      </c>
      <c r="G525" s="82" t="e">
        <f>SUMIF(#REF!,funkcijska!$E525,#REF!)</f>
        <v>#REF!</v>
      </c>
      <c r="H525" s="82" t="e">
        <f>SUMIF(#REF!,funkcijska!$E525,#REF!)</f>
        <v>#REF!</v>
      </c>
      <c r="I525" s="82" t="e">
        <f>SUMIF(#REF!,funkcijska!$E525,#REF!)</f>
        <v>#REF!</v>
      </c>
      <c r="J525" s="82" t="e">
        <f>SUMIF(#REF!,funkcijska!$E525,#REF!)</f>
        <v>#REF!</v>
      </c>
      <c r="K525" s="82" t="e">
        <f>SUMIF(#REF!,funkcijska!$E525,#REF!)</f>
        <v>#REF!</v>
      </c>
      <c r="L525" s="82" t="e">
        <f t="shared" si="255"/>
        <v>#REF!</v>
      </c>
      <c r="M525" s="82" t="e">
        <f t="shared" si="256"/>
        <v>#REF!</v>
      </c>
      <c r="N525" s="82" t="e">
        <f>SUMIF(#REF!,funkcijska!$E525,#REF!)</f>
        <v>#REF!</v>
      </c>
      <c r="O525" s="82" t="e">
        <f>SUMIF(#REF!,funkcijska!$E525,#REF!)</f>
        <v>#REF!</v>
      </c>
      <c r="P525" s="82" t="e">
        <f>SUMIF(#REF!,funkcijska!$E525,#REF!)</f>
        <v>#REF!</v>
      </c>
      <c r="Q525" s="386" t="e">
        <f>SUMIF(#REF!,funkcijska!$E525,#REF!)</f>
        <v>#REF!</v>
      </c>
      <c r="R525" s="82" t="e">
        <f>SUMIF(#REF!,funkcijska!$E525,#REF!)</f>
        <v>#REF!</v>
      </c>
      <c r="S525" s="82" t="e">
        <f>SUMIF(#REF!,funkcijska!$E525,#REF!)</f>
        <v>#REF!</v>
      </c>
      <c r="T525" s="82" t="e">
        <f>SUMIF(#REF!,funkcijska!$E$51,#REF!)</f>
        <v>#REF!</v>
      </c>
      <c r="U525" s="357" t="e">
        <f>SUMIF(#REF!,funkcijska!$E525,#REF!)</f>
        <v>#REF!</v>
      </c>
      <c r="V525" s="357" t="e">
        <f>SUMIF(#REF!,funkcijska!$E525,#REF!)</f>
        <v>#REF!</v>
      </c>
      <c r="W525" s="357" t="e">
        <f>SUMIF(#REF!,funkcijska!$E525,#REF!)</f>
        <v>#REF!</v>
      </c>
      <c r="X525" s="357" t="e">
        <f>SUMIF(#REF!,funkcijska!$E525,#REF!)</f>
        <v>#REF!</v>
      </c>
      <c r="AD525" s="60"/>
      <c r="AE525" s="60"/>
      <c r="AF525" s="60"/>
      <c r="AG525" s="60"/>
      <c r="AH525" s="60"/>
      <c r="AI525" s="60"/>
      <c r="AJ525" s="60"/>
      <c r="AK525" s="60"/>
      <c r="AL525" s="60"/>
    </row>
    <row r="526" spans="1:38" ht="15.75" customHeight="1" x14ac:dyDescent="0.25">
      <c r="A526" s="80"/>
      <c r="B526" s="80"/>
      <c r="C526" s="80"/>
      <c r="D526" s="80"/>
      <c r="E526" s="80">
        <v>3299</v>
      </c>
      <c r="F526" s="81" t="s">
        <v>531</v>
      </c>
      <c r="G526" s="82" t="e">
        <f>SUMIF(#REF!,funkcijska!$E526,#REF!)</f>
        <v>#REF!</v>
      </c>
      <c r="H526" s="82" t="e">
        <f>SUMIF(#REF!,funkcijska!$E526,#REF!)</f>
        <v>#REF!</v>
      </c>
      <c r="I526" s="82" t="e">
        <f>SUMIF(#REF!,funkcijska!$E526,#REF!)</f>
        <v>#REF!</v>
      </c>
      <c r="J526" s="82" t="e">
        <f>SUMIF(#REF!,funkcijska!$E526,#REF!)</f>
        <v>#REF!</v>
      </c>
      <c r="K526" s="82" t="e">
        <f>SUMIF(#REF!,funkcijska!$E526,#REF!)</f>
        <v>#REF!</v>
      </c>
      <c r="L526" s="82" t="e">
        <f t="shared" si="255"/>
        <v>#REF!</v>
      </c>
      <c r="M526" s="82" t="e">
        <f t="shared" si="256"/>
        <v>#REF!</v>
      </c>
      <c r="N526" s="82" t="e">
        <f>SUMIF(#REF!,funkcijska!$E526,#REF!)</f>
        <v>#REF!</v>
      </c>
      <c r="O526" s="82" t="e">
        <f>SUMIF(#REF!,funkcijska!$E526,#REF!)</f>
        <v>#REF!</v>
      </c>
      <c r="P526" s="82" t="e">
        <f>SUMIF(#REF!,funkcijska!$E526,#REF!)</f>
        <v>#REF!</v>
      </c>
      <c r="Q526" s="386" t="e">
        <f>SUMIF(#REF!,funkcijska!$E526,#REF!)</f>
        <v>#REF!</v>
      </c>
      <c r="R526" s="82" t="e">
        <f>SUMIF(#REF!,funkcijska!$E526,#REF!)</f>
        <v>#REF!</v>
      </c>
      <c r="S526" s="82" t="e">
        <f>SUMIF(#REF!,funkcijska!$E526,#REF!)</f>
        <v>#REF!</v>
      </c>
      <c r="T526" s="82" t="e">
        <f>SUMIF(#REF!,funkcijska!$E$52,#REF!)</f>
        <v>#REF!</v>
      </c>
      <c r="U526" s="357" t="e">
        <f>SUMIF(#REF!,funkcijska!$E526,#REF!)</f>
        <v>#REF!</v>
      </c>
      <c r="V526" s="357" t="e">
        <f>SUMIF(#REF!,funkcijska!$E526,#REF!)</f>
        <v>#REF!</v>
      </c>
      <c r="W526" s="357" t="e">
        <f>SUMIF(#REF!,funkcijska!$E526,#REF!)</f>
        <v>#REF!</v>
      </c>
      <c r="X526" s="357" t="e">
        <f>SUMIF(#REF!,funkcijska!$E526,#REF!)</f>
        <v>#REF!</v>
      </c>
      <c r="AD526" s="60"/>
      <c r="AE526" s="60"/>
      <c r="AF526" s="60"/>
      <c r="AG526" s="60"/>
      <c r="AH526" s="60"/>
      <c r="AI526" s="60"/>
      <c r="AJ526" s="60"/>
      <c r="AK526" s="60"/>
      <c r="AL526" s="60"/>
    </row>
    <row r="527" spans="1:38" ht="19.5" customHeight="1" x14ac:dyDescent="0.25">
      <c r="A527" s="125"/>
      <c r="B527" s="74"/>
      <c r="C527" s="74" t="str">
        <f>LEFT(E529,2)</f>
        <v>34</v>
      </c>
      <c r="D527" s="74"/>
      <c r="E527" s="74"/>
      <c r="F527" s="75" t="s">
        <v>208</v>
      </c>
      <c r="G527" s="77" t="e">
        <f>G528+G530</f>
        <v>#REF!</v>
      </c>
      <c r="H527" s="118" t="e">
        <f>H528+H530</f>
        <v>#REF!</v>
      </c>
      <c r="I527" s="77" t="e">
        <f>I528+I530</f>
        <v>#REF!</v>
      </c>
      <c r="J527" s="77" t="e">
        <f>J528+J530</f>
        <v>#REF!</v>
      </c>
      <c r="K527" s="77" t="e">
        <f>K528+K530</f>
        <v>#REF!</v>
      </c>
      <c r="L527" s="77" t="e">
        <f t="shared" si="255"/>
        <v>#REF!</v>
      </c>
      <c r="M527" s="77" t="e">
        <f t="shared" si="256"/>
        <v>#REF!</v>
      </c>
      <c r="N527" s="77" t="e">
        <f t="shared" ref="N527:X527" si="257">N528+N530</f>
        <v>#REF!</v>
      </c>
      <c r="O527" s="76" t="e">
        <f t="shared" si="257"/>
        <v>#REF!</v>
      </c>
      <c r="P527" s="76" t="e">
        <f t="shared" si="257"/>
        <v>#REF!</v>
      </c>
      <c r="Q527" s="385" t="e">
        <f t="shared" si="257"/>
        <v>#REF!</v>
      </c>
      <c r="R527" s="135" t="e">
        <f t="shared" si="257"/>
        <v>#REF!</v>
      </c>
      <c r="S527" s="135" t="e">
        <f t="shared" si="257"/>
        <v>#REF!</v>
      </c>
      <c r="T527" s="135" t="e">
        <f t="shared" si="257"/>
        <v>#REF!</v>
      </c>
      <c r="U527" s="356" t="e">
        <f t="shared" si="257"/>
        <v>#REF!</v>
      </c>
      <c r="V527" s="356" t="e">
        <f t="shared" si="257"/>
        <v>#REF!</v>
      </c>
      <c r="W527" s="356" t="e">
        <f t="shared" si="257"/>
        <v>#REF!</v>
      </c>
      <c r="X527" s="356" t="e">
        <f t="shared" si="257"/>
        <v>#REF!</v>
      </c>
      <c r="AD527" s="60"/>
      <c r="AE527" s="60"/>
      <c r="AF527" s="60"/>
      <c r="AG527" s="60"/>
      <c r="AH527" s="60"/>
      <c r="AI527" s="60"/>
      <c r="AJ527" s="60"/>
      <c r="AK527" s="60"/>
      <c r="AL527" s="60"/>
    </row>
    <row r="528" spans="1:38" s="373" customFormat="1" ht="22.5" customHeight="1" x14ac:dyDescent="0.25">
      <c r="A528" s="119"/>
      <c r="B528" s="119"/>
      <c r="C528" s="119"/>
      <c r="D528" s="119" t="str">
        <f>LEFT(E529,3)</f>
        <v>342</v>
      </c>
      <c r="E528" s="119"/>
      <c r="F528" s="368" t="s">
        <v>631</v>
      </c>
      <c r="G528" s="369" t="e">
        <f>G529</f>
        <v>#REF!</v>
      </c>
      <c r="H528" s="370" t="e">
        <f>H529</f>
        <v>#REF!</v>
      </c>
      <c r="I528" s="369" t="e">
        <f>I529</f>
        <v>#REF!</v>
      </c>
      <c r="J528" s="369" t="e">
        <f>J529</f>
        <v>#REF!</v>
      </c>
      <c r="K528" s="369" t="e">
        <f>K529</f>
        <v>#REF!</v>
      </c>
      <c r="L528" s="369" t="e">
        <f t="shared" si="255"/>
        <v>#REF!</v>
      </c>
      <c r="M528" s="369" t="e">
        <f t="shared" si="256"/>
        <v>#REF!</v>
      </c>
      <c r="N528" s="369" t="e">
        <f t="shared" ref="N528:X528" si="258">N529</f>
        <v>#REF!</v>
      </c>
      <c r="O528" s="137" t="e">
        <f t="shared" si="258"/>
        <v>#REF!</v>
      </c>
      <c r="P528" s="137" t="e">
        <f t="shared" si="258"/>
        <v>#REF!</v>
      </c>
      <c r="Q528" s="393" t="e">
        <f t="shared" si="258"/>
        <v>#REF!</v>
      </c>
      <c r="R528" s="137" t="e">
        <f t="shared" si="258"/>
        <v>#REF!</v>
      </c>
      <c r="S528" s="137" t="e">
        <f t="shared" si="258"/>
        <v>#REF!</v>
      </c>
      <c r="T528" s="137" t="e">
        <f t="shared" si="258"/>
        <v>#REF!</v>
      </c>
      <c r="U528" s="371" t="e">
        <f t="shared" si="258"/>
        <v>#REF!</v>
      </c>
      <c r="V528" s="371" t="e">
        <f t="shared" si="258"/>
        <v>#REF!</v>
      </c>
      <c r="W528" s="371" t="e">
        <f t="shared" si="258"/>
        <v>#REF!</v>
      </c>
      <c r="X528" s="371" t="e">
        <f t="shared" si="258"/>
        <v>#REF!</v>
      </c>
      <c r="Y528" s="372"/>
      <c r="Z528" s="372"/>
      <c r="AA528" s="372"/>
      <c r="AB528" s="372"/>
      <c r="AC528" s="372"/>
      <c r="AD528" s="372"/>
      <c r="AE528" s="372"/>
      <c r="AF528" s="372"/>
      <c r="AG528" s="372"/>
      <c r="AH528" s="372"/>
      <c r="AI528" s="372"/>
      <c r="AJ528" s="372"/>
      <c r="AK528" s="372"/>
      <c r="AL528" s="372"/>
    </row>
    <row r="529" spans="1:38" ht="38.25" customHeight="1" x14ac:dyDescent="0.25">
      <c r="A529" s="80"/>
      <c r="B529" s="80"/>
      <c r="C529" s="80"/>
      <c r="D529" s="80"/>
      <c r="E529" s="80">
        <v>3422</v>
      </c>
      <c r="F529" s="81" t="s">
        <v>358</v>
      </c>
      <c r="G529" s="82" t="e">
        <f>SUMIF(#REF!,funkcijska!$E529,#REF!)</f>
        <v>#REF!</v>
      </c>
      <c r="H529" s="82" t="e">
        <f>SUMIF(#REF!,funkcijska!$E529,#REF!)</f>
        <v>#REF!</v>
      </c>
      <c r="I529" s="82" t="e">
        <f>SUMIF(#REF!,funkcijska!$E529,#REF!)</f>
        <v>#REF!</v>
      </c>
      <c r="J529" s="82" t="e">
        <f>SUMIF(#REF!,funkcijska!$E529,#REF!)</f>
        <v>#REF!</v>
      </c>
      <c r="K529" s="82" t="e">
        <f>SUMIF(#REF!,funkcijska!$E529,#REF!)</f>
        <v>#REF!</v>
      </c>
      <c r="L529" s="82" t="e">
        <f t="shared" si="255"/>
        <v>#REF!</v>
      </c>
      <c r="M529" s="82" t="e">
        <f t="shared" si="256"/>
        <v>#REF!</v>
      </c>
      <c r="N529" s="82" t="e">
        <f>SUMIF(#REF!,funkcijska!$E529,#REF!)</f>
        <v>#REF!</v>
      </c>
      <c r="O529" s="82" t="e">
        <f>SUMIF(#REF!,funkcijska!$E529,#REF!)</f>
        <v>#REF!</v>
      </c>
      <c r="P529" s="82" t="e">
        <f>SUMIF(#REF!,funkcijska!$E529,#REF!)</f>
        <v>#REF!</v>
      </c>
      <c r="Q529" s="386" t="e">
        <f>SUMIF(#REF!,funkcijska!$E529,#REF!)</f>
        <v>#REF!</v>
      </c>
      <c r="R529" s="82" t="e">
        <f>SUMIF(#REF!,funkcijska!$E529,#REF!)</f>
        <v>#REF!</v>
      </c>
      <c r="S529" s="82" t="e">
        <f>SUMIF(#REF!,funkcijska!$E529,#REF!)</f>
        <v>#REF!</v>
      </c>
      <c r="T529" s="82" t="e">
        <f>SUMIF(#REF!,funkcijska!$E$55,#REF!)</f>
        <v>#REF!</v>
      </c>
      <c r="U529" s="357" t="e">
        <f>SUMIF(#REF!,funkcijska!$E529,#REF!)</f>
        <v>#REF!</v>
      </c>
      <c r="V529" s="357" t="e">
        <f>SUMIF(#REF!,funkcijska!$E529,#REF!)</f>
        <v>#REF!</v>
      </c>
      <c r="W529" s="357" t="e">
        <f>SUMIF(#REF!,funkcijska!$E529,#REF!)</f>
        <v>#REF!</v>
      </c>
      <c r="X529" s="357" t="e">
        <f>SUMIF(#REF!,funkcijska!$E529,#REF!)</f>
        <v>#REF!</v>
      </c>
      <c r="AD529" s="60"/>
      <c r="AE529" s="60"/>
      <c r="AF529" s="60"/>
      <c r="AG529" s="60"/>
      <c r="AH529" s="60"/>
      <c r="AI529" s="60"/>
      <c r="AJ529" s="60"/>
      <c r="AK529" s="60"/>
      <c r="AL529" s="60"/>
    </row>
    <row r="530" spans="1:38" s="373" customFormat="1" ht="17.25" customHeight="1" x14ac:dyDescent="0.25">
      <c r="A530" s="119"/>
      <c r="B530" s="119"/>
      <c r="C530" s="119"/>
      <c r="D530" s="119" t="str">
        <f>LEFT(E531,3)</f>
        <v>343</v>
      </c>
      <c r="E530" s="119"/>
      <c r="F530" s="368" t="s">
        <v>209</v>
      </c>
      <c r="G530" s="369" t="e">
        <f t="shared" ref="G530:X530" si="259">SUM(G531:G533)</f>
        <v>#REF!</v>
      </c>
      <c r="H530" s="370" t="e">
        <f t="shared" si="259"/>
        <v>#REF!</v>
      </c>
      <c r="I530" s="369" t="e">
        <f t="shared" si="259"/>
        <v>#REF!</v>
      </c>
      <c r="J530" s="369" t="e">
        <f t="shared" si="259"/>
        <v>#REF!</v>
      </c>
      <c r="K530" s="369" t="e">
        <f t="shared" si="259"/>
        <v>#REF!</v>
      </c>
      <c r="L530" s="369" t="e">
        <f t="shared" si="259"/>
        <v>#REF!</v>
      </c>
      <c r="M530" s="369" t="e">
        <f t="shared" si="259"/>
        <v>#REF!</v>
      </c>
      <c r="N530" s="369" t="e">
        <f t="shared" si="259"/>
        <v>#REF!</v>
      </c>
      <c r="O530" s="369" t="e">
        <f t="shared" si="259"/>
        <v>#REF!</v>
      </c>
      <c r="P530" s="369" t="e">
        <f t="shared" si="259"/>
        <v>#REF!</v>
      </c>
      <c r="Q530" s="392" t="e">
        <f t="shared" si="259"/>
        <v>#REF!</v>
      </c>
      <c r="R530" s="369" t="e">
        <f t="shared" si="259"/>
        <v>#REF!</v>
      </c>
      <c r="S530" s="369" t="e">
        <f t="shared" si="259"/>
        <v>#REF!</v>
      </c>
      <c r="T530" s="369" t="e">
        <f t="shared" si="259"/>
        <v>#REF!</v>
      </c>
      <c r="U530" s="371" t="e">
        <f t="shared" si="259"/>
        <v>#REF!</v>
      </c>
      <c r="V530" s="371" t="e">
        <f t="shared" si="259"/>
        <v>#REF!</v>
      </c>
      <c r="W530" s="371" t="e">
        <f t="shared" si="259"/>
        <v>#REF!</v>
      </c>
      <c r="X530" s="371" t="e">
        <f t="shared" si="259"/>
        <v>#REF!</v>
      </c>
      <c r="Y530" s="372"/>
      <c r="Z530" s="372"/>
      <c r="AA530" s="372"/>
      <c r="AB530" s="372"/>
      <c r="AC530" s="372"/>
      <c r="AD530" s="372"/>
      <c r="AE530" s="372"/>
      <c r="AF530" s="372"/>
      <c r="AG530" s="372"/>
      <c r="AH530" s="372"/>
      <c r="AI530" s="372"/>
      <c r="AJ530" s="372"/>
      <c r="AK530" s="372"/>
      <c r="AL530" s="372"/>
    </row>
    <row r="531" spans="1:38" ht="18.75" customHeight="1" x14ac:dyDescent="0.25">
      <c r="A531" s="80"/>
      <c r="B531" s="80"/>
      <c r="C531" s="80"/>
      <c r="D531" s="80"/>
      <c r="E531" s="80">
        <v>3431</v>
      </c>
      <c r="F531" s="81" t="s">
        <v>211</v>
      </c>
      <c r="G531" s="82" t="e">
        <f>SUMIF(#REF!,funkcijska!$E531,#REF!)</f>
        <v>#REF!</v>
      </c>
      <c r="H531" s="82" t="e">
        <f>SUMIF(#REF!,funkcijska!$E531,#REF!)</f>
        <v>#REF!</v>
      </c>
      <c r="I531" s="82" t="e">
        <f>SUMIF(#REF!,funkcijska!$E531,#REF!)</f>
        <v>#REF!</v>
      </c>
      <c r="J531" s="82" t="e">
        <f>SUMIF(#REF!,funkcijska!$E531,#REF!)</f>
        <v>#REF!</v>
      </c>
      <c r="K531" s="82" t="e">
        <f>SUMIF(#REF!,funkcijska!$E531,#REF!)</f>
        <v>#REF!</v>
      </c>
      <c r="L531" s="82" t="e">
        <f>ROUND(K531/J531*100,2)</f>
        <v>#REF!</v>
      </c>
      <c r="M531" s="82" t="e">
        <f>N531-J531</f>
        <v>#REF!</v>
      </c>
      <c r="N531" s="82" t="e">
        <f>SUMIF(#REF!,funkcijska!$E531,#REF!)</f>
        <v>#REF!</v>
      </c>
      <c r="O531" s="82" t="e">
        <f>SUMIF(#REF!,funkcijska!$E531,#REF!)</f>
        <v>#REF!</v>
      </c>
      <c r="P531" s="82" t="e">
        <f>SUMIF(#REF!,funkcijska!$E531,#REF!)</f>
        <v>#REF!</v>
      </c>
      <c r="Q531" s="386" t="e">
        <f>SUMIF(#REF!,funkcijska!$E531,#REF!)</f>
        <v>#REF!</v>
      </c>
      <c r="R531" s="82" t="e">
        <f>SUMIF(#REF!,funkcijska!$E531,#REF!)</f>
        <v>#REF!</v>
      </c>
      <c r="S531" s="82" t="e">
        <f>SUMIF(#REF!,funkcijska!$E531,#REF!)</f>
        <v>#REF!</v>
      </c>
      <c r="T531" s="82" t="e">
        <f>SUMIF(#REF!,funkcijska!$E$57,#REF!)</f>
        <v>#REF!</v>
      </c>
      <c r="U531" s="357" t="e">
        <f>SUMIF(#REF!,funkcijska!$E531,#REF!)</f>
        <v>#REF!</v>
      </c>
      <c r="V531" s="357" t="e">
        <f>SUMIF(#REF!,funkcijska!$E531,#REF!)</f>
        <v>#REF!</v>
      </c>
      <c r="W531" s="357" t="e">
        <f>SUMIF(#REF!,funkcijska!$E531,#REF!)</f>
        <v>#REF!</v>
      </c>
      <c r="X531" s="357" t="e">
        <f>SUMIF(#REF!,funkcijska!$E531,#REF!)</f>
        <v>#REF!</v>
      </c>
      <c r="AD531" s="60"/>
      <c r="AE531" s="60"/>
      <c r="AF531" s="60"/>
      <c r="AG531" s="60"/>
      <c r="AH531" s="60"/>
      <c r="AI531" s="60"/>
      <c r="AJ531" s="60"/>
      <c r="AK531" s="60"/>
      <c r="AL531" s="60"/>
    </row>
    <row r="532" spans="1:38" ht="18.75" customHeight="1" x14ac:dyDescent="0.25">
      <c r="A532" s="80"/>
      <c r="B532" s="80"/>
      <c r="C532" s="80"/>
      <c r="D532" s="80"/>
      <c r="E532" s="80">
        <v>3433</v>
      </c>
      <c r="F532" s="81" t="s">
        <v>402</v>
      </c>
      <c r="G532" s="82" t="e">
        <f>SUMIF(#REF!,funkcijska!$E532,#REF!)</f>
        <v>#REF!</v>
      </c>
      <c r="H532" s="82" t="e">
        <f>SUMIF(#REF!,funkcijska!$E532,#REF!)</f>
        <v>#REF!</v>
      </c>
      <c r="I532" s="82" t="e">
        <f>SUMIF(#REF!,funkcijska!$E532,#REF!)</f>
        <v>#REF!</v>
      </c>
      <c r="J532" s="82" t="e">
        <f>SUMIF(#REF!,funkcijska!$E532,#REF!)</f>
        <v>#REF!</v>
      </c>
      <c r="K532" s="82" t="e">
        <f>SUMIF(#REF!,funkcijska!$E532,#REF!)</f>
        <v>#REF!</v>
      </c>
      <c r="L532" s="82" t="e">
        <f>ROUND(K532/J532*100,2)</f>
        <v>#REF!</v>
      </c>
      <c r="M532" s="82" t="e">
        <f>N532-J532</f>
        <v>#REF!</v>
      </c>
      <c r="N532" s="82" t="e">
        <f>SUMIF(#REF!,funkcijska!$E532,#REF!)</f>
        <v>#REF!</v>
      </c>
      <c r="O532" s="82" t="e">
        <f>SUMIF(#REF!,funkcijska!$E532,#REF!)</f>
        <v>#REF!</v>
      </c>
      <c r="P532" s="82" t="e">
        <f>SUMIF(#REF!,funkcijska!$E532,#REF!)</f>
        <v>#REF!</v>
      </c>
      <c r="Q532" s="386" t="e">
        <f>SUMIF(#REF!,funkcijska!$E532,#REF!)</f>
        <v>#REF!</v>
      </c>
      <c r="R532" s="82" t="e">
        <f>SUMIF(#REF!,funkcijska!$E532,#REF!)</f>
        <v>#REF!</v>
      </c>
      <c r="S532" s="82" t="e">
        <f>SUMIF(#REF!,funkcijska!$E532,#REF!)</f>
        <v>#REF!</v>
      </c>
      <c r="T532" s="82" t="e">
        <f>SUMIF(#REF!,funkcijska!$E$58,#REF!)</f>
        <v>#REF!</v>
      </c>
      <c r="U532" s="357" t="e">
        <f>SUMIF(#REF!,funkcijska!$E532,#REF!)</f>
        <v>#REF!</v>
      </c>
      <c r="V532" s="357" t="e">
        <f>SUMIF(#REF!,funkcijska!$E532,#REF!)</f>
        <v>#REF!</v>
      </c>
      <c r="W532" s="357" t="e">
        <f>SUMIF(#REF!,funkcijska!$E532,#REF!)</f>
        <v>#REF!</v>
      </c>
      <c r="X532" s="357" t="e">
        <f>SUMIF(#REF!,funkcijska!$E532,#REF!)</f>
        <v>#REF!</v>
      </c>
      <c r="AD532" s="60"/>
      <c r="AE532" s="60"/>
      <c r="AF532" s="60"/>
      <c r="AG532" s="60"/>
      <c r="AH532" s="60"/>
      <c r="AI532" s="60"/>
      <c r="AJ532" s="60"/>
      <c r="AK532" s="60"/>
      <c r="AL532" s="60"/>
    </row>
    <row r="533" spans="1:38" ht="24" customHeight="1" x14ac:dyDescent="0.25">
      <c r="A533" s="80"/>
      <c r="B533" s="80"/>
      <c r="C533" s="80"/>
      <c r="D533" s="80"/>
      <c r="E533" s="80">
        <v>3434</v>
      </c>
      <c r="F533" s="81" t="s">
        <v>403</v>
      </c>
      <c r="G533" s="82" t="e">
        <f>SUMIF(#REF!,funkcijska!$E533,#REF!)</f>
        <v>#REF!</v>
      </c>
      <c r="H533" s="82" t="e">
        <f>SUMIF(#REF!,funkcijska!$E533,#REF!)</f>
        <v>#REF!</v>
      </c>
      <c r="I533" s="82" t="e">
        <f>SUMIF(#REF!,funkcijska!$E533,#REF!)</f>
        <v>#REF!</v>
      </c>
      <c r="J533" s="82" t="e">
        <f>SUMIF(#REF!,funkcijska!$E533,#REF!)</f>
        <v>#REF!</v>
      </c>
      <c r="K533" s="82" t="e">
        <f>SUMIF(#REF!,funkcijska!$E533,#REF!)</f>
        <v>#REF!</v>
      </c>
      <c r="L533" s="82" t="e">
        <f>ROUND(K533/J533*100,2)</f>
        <v>#REF!</v>
      </c>
      <c r="M533" s="82" t="e">
        <f>N533-J533</f>
        <v>#REF!</v>
      </c>
      <c r="N533" s="82" t="e">
        <f>SUMIF(#REF!,funkcijska!$E533,#REF!)</f>
        <v>#REF!</v>
      </c>
      <c r="O533" s="82" t="e">
        <f>SUMIF(#REF!,funkcijska!$E533,#REF!)</f>
        <v>#REF!</v>
      </c>
      <c r="P533" s="82" t="e">
        <f>SUMIF(#REF!,funkcijska!$E533,#REF!)</f>
        <v>#REF!</v>
      </c>
      <c r="Q533" s="386" t="e">
        <f>SUMIF(#REF!,funkcijska!$E533,#REF!)</f>
        <v>#REF!</v>
      </c>
      <c r="R533" s="82" t="e">
        <f>SUMIF(#REF!,funkcijska!$E533,#REF!)</f>
        <v>#REF!</v>
      </c>
      <c r="S533" s="82" t="e">
        <f>SUMIF(#REF!,funkcijska!$E533,#REF!)</f>
        <v>#REF!</v>
      </c>
      <c r="T533" s="82" t="e">
        <f>SUMIF(#REF!,funkcijska!$E$59,#REF!)</f>
        <v>#REF!</v>
      </c>
      <c r="U533" s="357" t="e">
        <f>SUMIF(#REF!,funkcijska!$E533,#REF!)</f>
        <v>#REF!</v>
      </c>
      <c r="V533" s="357" t="e">
        <f>SUMIF(#REF!,funkcijska!$E533,#REF!)</f>
        <v>#REF!</v>
      </c>
      <c r="W533" s="357" t="e">
        <f>SUMIF(#REF!,funkcijska!$E533,#REF!)</f>
        <v>#REF!</v>
      </c>
      <c r="X533" s="357" t="e">
        <f>SUMIF(#REF!,funkcijska!$E533,#REF!)</f>
        <v>#REF!</v>
      </c>
      <c r="AD533" s="60"/>
      <c r="AE533" s="60"/>
      <c r="AF533" s="60"/>
      <c r="AG533" s="60"/>
      <c r="AH533" s="60"/>
      <c r="AI533" s="60"/>
      <c r="AJ533" s="60"/>
      <c r="AK533" s="60"/>
      <c r="AL533" s="60"/>
    </row>
    <row r="534" spans="1:38" ht="18" customHeight="1" x14ac:dyDescent="0.25">
      <c r="A534" s="125"/>
      <c r="B534" s="74"/>
      <c r="C534" s="74" t="str">
        <f>LEFT(E540,2)</f>
        <v>35</v>
      </c>
      <c r="D534" s="74"/>
      <c r="E534" s="74"/>
      <c r="F534" s="75" t="s">
        <v>747</v>
      </c>
      <c r="G534" s="77" t="e">
        <f>G535+G538</f>
        <v>#REF!</v>
      </c>
      <c r="H534" s="118" t="e">
        <f>H535+H538</f>
        <v>#REF!</v>
      </c>
      <c r="I534" s="77" t="e">
        <f>I535+I538</f>
        <v>#REF!</v>
      </c>
      <c r="J534" s="77" t="e">
        <f>J535+J538</f>
        <v>#REF!</v>
      </c>
      <c r="K534" s="77" t="e">
        <f>K535+K538</f>
        <v>#REF!</v>
      </c>
      <c r="L534" s="77" t="e">
        <f>ROUND(K534/J534*100,2)</f>
        <v>#REF!</v>
      </c>
      <c r="M534" s="77" t="e">
        <f>N534-J534</f>
        <v>#REF!</v>
      </c>
      <c r="N534" s="77" t="e">
        <f t="shared" ref="N534:X534" si="260">N535+N538</f>
        <v>#REF!</v>
      </c>
      <c r="O534" s="76" t="e">
        <f t="shared" si="260"/>
        <v>#REF!</v>
      </c>
      <c r="P534" s="76" t="e">
        <f t="shared" si="260"/>
        <v>#REF!</v>
      </c>
      <c r="Q534" s="385" t="e">
        <f t="shared" si="260"/>
        <v>#REF!</v>
      </c>
      <c r="R534" s="135" t="e">
        <f t="shared" si="260"/>
        <v>#REF!</v>
      </c>
      <c r="S534" s="135" t="e">
        <f t="shared" si="260"/>
        <v>#REF!</v>
      </c>
      <c r="T534" s="135" t="e">
        <f t="shared" si="260"/>
        <v>#REF!</v>
      </c>
      <c r="U534" s="356" t="e">
        <f t="shared" si="260"/>
        <v>#REF!</v>
      </c>
      <c r="V534" s="356" t="e">
        <f t="shared" si="260"/>
        <v>#REF!</v>
      </c>
      <c r="W534" s="356" t="e">
        <f t="shared" si="260"/>
        <v>#REF!</v>
      </c>
      <c r="X534" s="356" t="e">
        <f t="shared" si="260"/>
        <v>#REF!</v>
      </c>
      <c r="AD534" s="60"/>
      <c r="AE534" s="60"/>
      <c r="AF534" s="60"/>
      <c r="AG534" s="60"/>
      <c r="AH534" s="60"/>
      <c r="AI534" s="60"/>
      <c r="AJ534" s="60"/>
      <c r="AK534" s="60"/>
      <c r="AL534" s="60"/>
    </row>
    <row r="535" spans="1:38" s="373" customFormat="1" ht="20.25" customHeight="1" x14ac:dyDescent="0.25">
      <c r="A535" s="119"/>
      <c r="B535" s="119"/>
      <c r="C535" s="119"/>
      <c r="D535" s="119" t="s">
        <v>1018</v>
      </c>
      <c r="E535" s="119"/>
      <c r="F535" s="368" t="s">
        <v>752</v>
      </c>
      <c r="G535" s="369" t="e">
        <f>G536</f>
        <v>#REF!</v>
      </c>
      <c r="H535" s="370" t="e">
        <f>H536</f>
        <v>#REF!</v>
      </c>
      <c r="I535" s="369" t="e">
        <f t="shared" ref="I535:X535" si="261">I536+I537</f>
        <v>#REF!</v>
      </c>
      <c r="J535" s="369" t="e">
        <f t="shared" si="261"/>
        <v>#REF!</v>
      </c>
      <c r="K535" s="369" t="e">
        <f t="shared" si="261"/>
        <v>#REF!</v>
      </c>
      <c r="L535" s="369" t="e">
        <f t="shared" si="261"/>
        <v>#REF!</v>
      </c>
      <c r="M535" s="369" t="e">
        <f t="shared" si="261"/>
        <v>#REF!</v>
      </c>
      <c r="N535" s="369" t="e">
        <f t="shared" si="261"/>
        <v>#REF!</v>
      </c>
      <c r="O535" s="369" t="e">
        <f t="shared" si="261"/>
        <v>#REF!</v>
      </c>
      <c r="P535" s="369" t="e">
        <f t="shared" si="261"/>
        <v>#REF!</v>
      </c>
      <c r="Q535" s="392" t="e">
        <f t="shared" si="261"/>
        <v>#REF!</v>
      </c>
      <c r="R535" s="369" t="e">
        <f t="shared" si="261"/>
        <v>#REF!</v>
      </c>
      <c r="S535" s="369" t="e">
        <f t="shared" si="261"/>
        <v>#REF!</v>
      </c>
      <c r="T535" s="369" t="e">
        <f t="shared" si="261"/>
        <v>#REF!</v>
      </c>
      <c r="U535" s="371" t="e">
        <f t="shared" si="261"/>
        <v>#REF!</v>
      </c>
      <c r="V535" s="371" t="e">
        <f t="shared" si="261"/>
        <v>#REF!</v>
      </c>
      <c r="W535" s="371" t="e">
        <f t="shared" si="261"/>
        <v>#REF!</v>
      </c>
      <c r="X535" s="371" t="e">
        <f t="shared" si="261"/>
        <v>#REF!</v>
      </c>
      <c r="Y535" s="372"/>
      <c r="Z535" s="372"/>
      <c r="AA535" s="372"/>
      <c r="AB535" s="372"/>
      <c r="AC535" s="372"/>
      <c r="AD535" s="372"/>
      <c r="AE535" s="372"/>
      <c r="AF535" s="372"/>
      <c r="AG535" s="372"/>
      <c r="AH535" s="372"/>
      <c r="AI535" s="372"/>
      <c r="AJ535" s="372"/>
      <c r="AK535" s="372"/>
      <c r="AL535" s="372"/>
    </row>
    <row r="536" spans="1:38" ht="54.75" customHeight="1" x14ac:dyDescent="0.25">
      <c r="A536" s="80"/>
      <c r="B536" s="80"/>
      <c r="C536" s="80"/>
      <c r="D536" s="80"/>
      <c r="E536" s="80">
        <v>3511</v>
      </c>
      <c r="F536" s="81" t="s">
        <v>323</v>
      </c>
      <c r="G536" s="82" t="e">
        <f>SUMIF(#REF!,funkcijska!$E536,#REF!)</f>
        <v>#REF!</v>
      </c>
      <c r="H536" s="82" t="e">
        <f>SUMIF(#REF!,funkcijska!$E536,#REF!)</f>
        <v>#REF!</v>
      </c>
      <c r="I536" s="82" t="e">
        <f>SUMIF(#REF!,funkcijska!$E536,#REF!)</f>
        <v>#REF!</v>
      </c>
      <c r="J536" s="82" t="e">
        <f>SUMIF(#REF!,funkcijska!$E536,#REF!)</f>
        <v>#REF!</v>
      </c>
      <c r="K536" s="82" t="e">
        <f>SUMIF(#REF!,funkcijska!$E536,#REF!)</f>
        <v>#REF!</v>
      </c>
      <c r="L536" s="82" t="e">
        <f>ROUND(K536/J536*100,2)</f>
        <v>#REF!</v>
      </c>
      <c r="M536" s="82" t="e">
        <f>N536-J536</f>
        <v>#REF!</v>
      </c>
      <c r="N536" s="82" t="e">
        <f>SUMIF(#REF!,funkcijska!$E536,#REF!)</f>
        <v>#REF!</v>
      </c>
      <c r="O536" s="82" t="e">
        <f>SUMIF(#REF!,funkcijska!$E536,#REF!)</f>
        <v>#REF!</v>
      </c>
      <c r="P536" s="82" t="e">
        <f>SUMIF(#REF!,funkcijska!$E536,#REF!)</f>
        <v>#REF!</v>
      </c>
      <c r="Q536" s="386" t="e">
        <f>SUMIF(#REF!,funkcijska!$E536,#REF!)</f>
        <v>#REF!</v>
      </c>
      <c r="R536" s="82" t="e">
        <f>SUMIF(#REF!,funkcijska!$E536,#REF!)</f>
        <v>#REF!</v>
      </c>
      <c r="S536" s="82" t="e">
        <f>SUMIF(#REF!,funkcijska!$E536,#REF!)</f>
        <v>#REF!</v>
      </c>
      <c r="T536" s="82" t="e">
        <f>SUMIF(#REF!,funkcijska!$E$62,#REF!)</f>
        <v>#REF!</v>
      </c>
      <c r="U536" s="357" t="e">
        <f>SUMIF(#REF!,funkcijska!$E536,#REF!)</f>
        <v>#REF!</v>
      </c>
      <c r="V536" s="357" t="e">
        <f>SUMIF(#REF!,funkcijska!$E536,#REF!)</f>
        <v>#REF!</v>
      </c>
      <c r="W536" s="357" t="e">
        <f>SUMIF(#REF!,funkcijska!$E536,#REF!)</f>
        <v>#REF!</v>
      </c>
      <c r="X536" s="357" t="e">
        <f>SUMIF(#REF!,funkcijska!$E536,#REF!)</f>
        <v>#REF!</v>
      </c>
      <c r="AD536" s="60"/>
      <c r="AE536" s="60"/>
      <c r="AF536" s="60"/>
      <c r="AG536" s="60"/>
      <c r="AH536" s="60"/>
      <c r="AI536" s="60"/>
      <c r="AJ536" s="60"/>
      <c r="AK536" s="60"/>
      <c r="AL536" s="60"/>
    </row>
    <row r="537" spans="1:38" ht="23.25" customHeight="1" x14ac:dyDescent="0.25">
      <c r="A537" s="80"/>
      <c r="B537" s="80"/>
      <c r="C537" s="80"/>
      <c r="D537" s="80"/>
      <c r="E537" s="136">
        <v>3512</v>
      </c>
      <c r="F537" s="81" t="s">
        <v>752</v>
      </c>
      <c r="G537" s="82" t="e">
        <f>SUMIF(#REF!,funkcijska!$E537,#REF!)</f>
        <v>#REF!</v>
      </c>
      <c r="H537" s="82" t="e">
        <f>SUMIF(#REF!,funkcijska!$E537,#REF!)</f>
        <v>#REF!</v>
      </c>
      <c r="I537" s="82" t="e">
        <f>SUMIF(#REF!,funkcijska!$E537,#REF!)</f>
        <v>#REF!</v>
      </c>
      <c r="J537" s="82" t="e">
        <f>SUMIF(#REF!,funkcijska!$E537,#REF!)</f>
        <v>#REF!</v>
      </c>
      <c r="K537" s="82" t="e">
        <f>SUMIF(#REF!,funkcijska!$E537,#REF!)</f>
        <v>#REF!</v>
      </c>
      <c r="L537" s="82" t="e">
        <f>ROUND(K537/J537*100,2)</f>
        <v>#REF!</v>
      </c>
      <c r="M537" s="82" t="e">
        <f>N537-J537</f>
        <v>#REF!</v>
      </c>
      <c r="N537" s="82" t="e">
        <f>SUMIF(#REF!,funkcijska!$E537,#REF!)</f>
        <v>#REF!</v>
      </c>
      <c r="O537" s="82" t="e">
        <f>SUMIF(#REF!,funkcijska!$E537,#REF!)</f>
        <v>#REF!</v>
      </c>
      <c r="P537" s="82" t="e">
        <f>SUMIF(#REF!,funkcijska!$E537,#REF!)</f>
        <v>#REF!</v>
      </c>
      <c r="Q537" s="386" t="e">
        <f>SUMIF(#REF!,funkcijska!$E537,#REF!)</f>
        <v>#REF!</v>
      </c>
      <c r="R537" s="82" t="e">
        <f>SUMIF(#REF!,funkcijska!$E537,#REF!)</f>
        <v>#REF!</v>
      </c>
      <c r="S537" s="82" t="e">
        <f>SUMIF(#REF!,funkcijska!$E537,#REF!)</f>
        <v>#REF!</v>
      </c>
      <c r="T537" s="82" t="e">
        <f>SUMIF(#REF!,funkcijska!$E$63,#REF!)</f>
        <v>#REF!</v>
      </c>
      <c r="U537" s="357" t="e">
        <f>SUMIF(#REF!,funkcijska!$E537,#REF!)</f>
        <v>#REF!</v>
      </c>
      <c r="V537" s="357" t="e">
        <f>SUMIF(#REF!,funkcijska!$E537,#REF!)</f>
        <v>#REF!</v>
      </c>
      <c r="W537" s="357" t="e">
        <f>SUMIF(#REF!,funkcijska!$E537,#REF!)</f>
        <v>#REF!</v>
      </c>
      <c r="X537" s="357" t="e">
        <f>SUMIF(#REF!,funkcijska!$E537,#REF!)</f>
        <v>#REF!</v>
      </c>
      <c r="AD537" s="60"/>
      <c r="AE537" s="60"/>
      <c r="AF537" s="60"/>
      <c r="AG537" s="60"/>
      <c r="AH537" s="60"/>
      <c r="AI537" s="60"/>
      <c r="AJ537" s="60"/>
      <c r="AK537" s="60"/>
      <c r="AL537" s="60"/>
    </row>
    <row r="538" spans="1:38" s="373" customFormat="1" ht="54.75" customHeight="1" x14ac:dyDescent="0.25">
      <c r="A538" s="119"/>
      <c r="B538" s="119"/>
      <c r="C538" s="119"/>
      <c r="D538" s="119" t="str">
        <f>LEFT(E540,3)</f>
        <v>352</v>
      </c>
      <c r="E538" s="119"/>
      <c r="F538" s="368" t="s">
        <v>748</v>
      </c>
      <c r="G538" s="137" t="e">
        <f t="shared" ref="G538:X538" si="262">G540+G539</f>
        <v>#REF!</v>
      </c>
      <c r="H538" s="137" t="e">
        <f t="shared" si="262"/>
        <v>#REF!</v>
      </c>
      <c r="I538" s="137" t="e">
        <f t="shared" si="262"/>
        <v>#REF!</v>
      </c>
      <c r="J538" s="137" t="e">
        <f t="shared" si="262"/>
        <v>#REF!</v>
      </c>
      <c r="K538" s="137" t="e">
        <f t="shared" si="262"/>
        <v>#REF!</v>
      </c>
      <c r="L538" s="137" t="e">
        <f t="shared" si="262"/>
        <v>#REF!</v>
      </c>
      <c r="M538" s="137" t="e">
        <f t="shared" si="262"/>
        <v>#REF!</v>
      </c>
      <c r="N538" s="137" t="e">
        <f t="shared" si="262"/>
        <v>#REF!</v>
      </c>
      <c r="O538" s="137" t="e">
        <f t="shared" si="262"/>
        <v>#REF!</v>
      </c>
      <c r="P538" s="137" t="e">
        <f t="shared" si="262"/>
        <v>#REF!</v>
      </c>
      <c r="Q538" s="393" t="e">
        <f t="shared" si="262"/>
        <v>#REF!</v>
      </c>
      <c r="R538" s="137" t="e">
        <f t="shared" si="262"/>
        <v>#REF!</v>
      </c>
      <c r="S538" s="137" t="e">
        <f t="shared" si="262"/>
        <v>#REF!</v>
      </c>
      <c r="T538" s="137" t="e">
        <f t="shared" si="262"/>
        <v>#REF!</v>
      </c>
      <c r="U538" s="371" t="e">
        <f t="shared" si="262"/>
        <v>#REF!</v>
      </c>
      <c r="V538" s="371" t="e">
        <f t="shared" si="262"/>
        <v>#REF!</v>
      </c>
      <c r="W538" s="371" t="e">
        <f t="shared" si="262"/>
        <v>#REF!</v>
      </c>
      <c r="X538" s="371" t="e">
        <f t="shared" si="262"/>
        <v>#REF!</v>
      </c>
      <c r="Y538" s="372"/>
      <c r="Z538" s="372"/>
      <c r="AA538" s="372"/>
      <c r="AB538" s="372"/>
      <c r="AC538" s="372"/>
      <c r="AD538" s="372"/>
      <c r="AE538" s="372"/>
      <c r="AF538" s="372"/>
      <c r="AG538" s="372"/>
      <c r="AH538" s="372"/>
      <c r="AI538" s="372"/>
      <c r="AJ538" s="372"/>
      <c r="AK538" s="372"/>
      <c r="AL538" s="372"/>
    </row>
    <row r="539" spans="1:38" ht="37.5" customHeight="1" x14ac:dyDescent="0.25">
      <c r="A539" s="80"/>
      <c r="B539" s="80"/>
      <c r="C539" s="80"/>
      <c r="D539" s="80"/>
      <c r="E539" s="80">
        <v>3522</v>
      </c>
      <c r="F539" s="81" t="s">
        <v>498</v>
      </c>
      <c r="G539" s="82" t="e">
        <f>SUMIF(#REF!,funkcijska!$E539,#REF!)</f>
        <v>#REF!</v>
      </c>
      <c r="H539" s="82" t="e">
        <f>SUMIF(#REF!,funkcijska!$E539,#REF!)</f>
        <v>#REF!</v>
      </c>
      <c r="I539" s="82" t="e">
        <f>SUMIF(#REF!,funkcijska!$E539,#REF!)</f>
        <v>#REF!</v>
      </c>
      <c r="J539" s="82" t="e">
        <f>SUMIF(#REF!,funkcijska!$E539,#REF!)</f>
        <v>#REF!</v>
      </c>
      <c r="K539" s="82" t="e">
        <f>SUMIF(#REF!,funkcijska!$E539,#REF!)</f>
        <v>#REF!</v>
      </c>
      <c r="L539" s="84"/>
      <c r="M539" s="82" t="e">
        <f>N539-J539</f>
        <v>#REF!</v>
      </c>
      <c r="N539" s="82" t="e">
        <f>SUMIF(#REF!,funkcijska!$E539,#REF!)</f>
        <v>#REF!</v>
      </c>
      <c r="O539" s="82" t="e">
        <f>SUMIF(#REF!,funkcijska!$E539,#REF!)</f>
        <v>#REF!</v>
      </c>
      <c r="P539" s="82" t="e">
        <f>SUMIF(#REF!,funkcijska!$E539,#REF!)</f>
        <v>#REF!</v>
      </c>
      <c r="Q539" s="386" t="e">
        <f>SUMIF(#REF!,funkcijska!$E539,#REF!)</f>
        <v>#REF!</v>
      </c>
      <c r="R539" s="82" t="e">
        <f>SUMIF(#REF!,funkcijska!$E539,#REF!)</f>
        <v>#REF!</v>
      </c>
      <c r="S539" s="82" t="e">
        <f>SUMIF(#REF!,funkcijska!$E539,#REF!)</f>
        <v>#REF!</v>
      </c>
      <c r="T539" s="82" t="e">
        <f>SUMIF(#REF!,funkcijska!$E$65,#REF!)</f>
        <v>#REF!</v>
      </c>
      <c r="U539" s="357" t="e">
        <f>SUMIF(#REF!,funkcijska!$E539,#REF!)</f>
        <v>#REF!</v>
      </c>
      <c r="V539" s="357" t="e">
        <f>SUMIF(#REF!,funkcijska!$E539,#REF!)</f>
        <v>#REF!</v>
      </c>
      <c r="W539" s="357" t="e">
        <f>SUMIF(#REF!,funkcijska!$E539,#REF!)</f>
        <v>#REF!</v>
      </c>
      <c r="X539" s="357" t="e">
        <f>SUMIF(#REF!,funkcijska!$E539,#REF!)</f>
        <v>#REF!</v>
      </c>
      <c r="AD539" s="60"/>
      <c r="AE539" s="60"/>
      <c r="AF539" s="60"/>
      <c r="AG539" s="60"/>
      <c r="AH539" s="60"/>
      <c r="AI539" s="60"/>
      <c r="AJ539" s="60"/>
      <c r="AK539" s="60"/>
      <c r="AL539" s="60"/>
    </row>
    <row r="540" spans="1:38" ht="26.25" customHeight="1" x14ac:dyDescent="0.25">
      <c r="A540" s="80"/>
      <c r="B540" s="80"/>
      <c r="C540" s="80"/>
      <c r="D540" s="80"/>
      <c r="E540" s="80">
        <v>3523</v>
      </c>
      <c r="F540" s="81" t="s">
        <v>324</v>
      </c>
      <c r="G540" s="82" t="e">
        <f>SUMIF(#REF!,funkcijska!$E540,#REF!)</f>
        <v>#REF!</v>
      </c>
      <c r="H540" s="82" t="e">
        <f>SUMIF(#REF!,funkcijska!$E540,#REF!)</f>
        <v>#REF!</v>
      </c>
      <c r="I540" s="82" t="e">
        <f>SUMIF(#REF!,funkcijska!$E540,#REF!)</f>
        <v>#REF!</v>
      </c>
      <c r="J540" s="82" t="e">
        <f>SUMIF(#REF!,funkcijska!$E540,#REF!)</f>
        <v>#REF!</v>
      </c>
      <c r="K540" s="82" t="e">
        <f>SUMIF(#REF!,funkcijska!$E540,#REF!)</f>
        <v>#REF!</v>
      </c>
      <c r="L540" s="82" t="e">
        <f>ROUND(K540/J540*100,2)</f>
        <v>#REF!</v>
      </c>
      <c r="M540" s="82" t="e">
        <f>N540-J540</f>
        <v>#REF!</v>
      </c>
      <c r="N540" s="82" t="e">
        <f>SUMIF(#REF!,funkcijska!$E540,#REF!)</f>
        <v>#REF!</v>
      </c>
      <c r="O540" s="82" t="e">
        <f>SUMIF(#REF!,funkcijska!$E540,#REF!)</f>
        <v>#REF!</v>
      </c>
      <c r="P540" s="82" t="e">
        <f>SUMIF(#REF!,funkcijska!$E540,#REF!)</f>
        <v>#REF!</v>
      </c>
      <c r="Q540" s="386" t="e">
        <f>SUMIF(#REF!,funkcijska!$E540,#REF!)</f>
        <v>#REF!</v>
      </c>
      <c r="R540" s="82" t="e">
        <f>SUMIF(#REF!,funkcijska!$E540,#REF!)</f>
        <v>#REF!</v>
      </c>
      <c r="S540" s="82" t="e">
        <f>SUMIF(#REF!,funkcijska!$E540,#REF!)</f>
        <v>#REF!</v>
      </c>
      <c r="T540" s="82" t="e">
        <f>SUMIF(#REF!,funkcijska!$E$66,#REF!)</f>
        <v>#REF!</v>
      </c>
      <c r="U540" s="357" t="e">
        <f>SUMIF(#REF!,funkcijska!$E540,#REF!)</f>
        <v>#REF!</v>
      </c>
      <c r="V540" s="357" t="e">
        <f>SUMIF(#REF!,funkcijska!$E540,#REF!)</f>
        <v>#REF!</v>
      </c>
      <c r="W540" s="357" t="e">
        <f>SUMIF(#REF!,funkcijska!$E540,#REF!)</f>
        <v>#REF!</v>
      </c>
      <c r="X540" s="357" t="e">
        <f>SUMIF(#REF!,funkcijska!$E540,#REF!)</f>
        <v>#REF!</v>
      </c>
      <c r="AD540" s="60"/>
      <c r="AE540" s="60"/>
      <c r="AF540" s="60"/>
      <c r="AG540" s="60"/>
      <c r="AH540" s="60"/>
      <c r="AI540" s="60"/>
      <c r="AJ540" s="60"/>
      <c r="AK540" s="60"/>
      <c r="AL540" s="60"/>
    </row>
    <row r="541" spans="1:38" ht="38.25" customHeight="1" x14ac:dyDescent="0.25">
      <c r="A541" s="125"/>
      <c r="B541" s="74"/>
      <c r="C541" s="74" t="str">
        <f>LEFT(E543,2)</f>
        <v>36</v>
      </c>
      <c r="D541" s="74"/>
      <c r="E541" s="74"/>
      <c r="F541" s="75" t="s">
        <v>751</v>
      </c>
      <c r="G541" s="77" t="e">
        <f>G542</f>
        <v>#REF!</v>
      </c>
      <c r="H541" s="118" t="e">
        <f>H542</f>
        <v>#REF!</v>
      </c>
      <c r="I541" s="77" t="e">
        <f>I542</f>
        <v>#REF!</v>
      </c>
      <c r="J541" s="77" t="e">
        <f>J542</f>
        <v>#REF!</v>
      </c>
      <c r="K541" s="77" t="e">
        <f>K542</f>
        <v>#REF!</v>
      </c>
      <c r="L541" s="77" t="e">
        <f>ROUND(K541/J541*100,2)</f>
        <v>#REF!</v>
      </c>
      <c r="M541" s="77" t="e">
        <f>N541-J541</f>
        <v>#REF!</v>
      </c>
      <c r="N541" s="77" t="e">
        <f t="shared" ref="N541:X541" si="263">N542</f>
        <v>#REF!</v>
      </c>
      <c r="O541" s="76" t="e">
        <f t="shared" si="263"/>
        <v>#REF!</v>
      </c>
      <c r="P541" s="76" t="e">
        <f t="shared" si="263"/>
        <v>#REF!</v>
      </c>
      <c r="Q541" s="385" t="e">
        <f t="shared" si="263"/>
        <v>#REF!</v>
      </c>
      <c r="R541" s="135" t="e">
        <f t="shared" si="263"/>
        <v>#REF!</v>
      </c>
      <c r="S541" s="135" t="e">
        <f t="shared" si="263"/>
        <v>#REF!</v>
      </c>
      <c r="T541" s="135" t="e">
        <f t="shared" si="263"/>
        <v>#REF!</v>
      </c>
      <c r="U541" s="356" t="e">
        <f t="shared" si="263"/>
        <v>#REF!</v>
      </c>
      <c r="V541" s="356" t="e">
        <f t="shared" si="263"/>
        <v>#REF!</v>
      </c>
      <c r="W541" s="356" t="e">
        <f t="shared" si="263"/>
        <v>#REF!</v>
      </c>
      <c r="X541" s="356" t="e">
        <f t="shared" si="263"/>
        <v>#REF!</v>
      </c>
      <c r="AD541" s="60"/>
      <c r="AE541" s="60"/>
      <c r="AF541" s="60"/>
      <c r="AG541" s="60"/>
      <c r="AH541" s="60"/>
      <c r="AI541" s="60"/>
      <c r="AJ541" s="60"/>
      <c r="AK541" s="60"/>
      <c r="AL541" s="60"/>
    </row>
    <row r="542" spans="1:38" s="373" customFormat="1" ht="21" customHeight="1" x14ac:dyDescent="0.25">
      <c r="A542" s="119"/>
      <c r="B542" s="119"/>
      <c r="C542" s="119"/>
      <c r="D542" s="119" t="str">
        <f>LEFT(E543,3)</f>
        <v>363</v>
      </c>
      <c r="E542" s="119"/>
      <c r="F542" s="368" t="s">
        <v>536</v>
      </c>
      <c r="G542" s="369" t="e">
        <f t="shared" ref="G542:X542" si="264">SUM(G543:G544)</f>
        <v>#REF!</v>
      </c>
      <c r="H542" s="370" t="e">
        <f t="shared" si="264"/>
        <v>#REF!</v>
      </c>
      <c r="I542" s="369" t="e">
        <f t="shared" si="264"/>
        <v>#REF!</v>
      </c>
      <c r="J542" s="369" t="e">
        <f t="shared" si="264"/>
        <v>#REF!</v>
      </c>
      <c r="K542" s="369" t="e">
        <f t="shared" si="264"/>
        <v>#REF!</v>
      </c>
      <c r="L542" s="369" t="e">
        <f t="shared" si="264"/>
        <v>#REF!</v>
      </c>
      <c r="M542" s="369" t="e">
        <f t="shared" si="264"/>
        <v>#REF!</v>
      </c>
      <c r="N542" s="369" t="e">
        <f t="shared" si="264"/>
        <v>#REF!</v>
      </c>
      <c r="O542" s="369" t="e">
        <f t="shared" si="264"/>
        <v>#REF!</v>
      </c>
      <c r="P542" s="369" t="e">
        <f t="shared" si="264"/>
        <v>#REF!</v>
      </c>
      <c r="Q542" s="392" t="e">
        <f t="shared" si="264"/>
        <v>#REF!</v>
      </c>
      <c r="R542" s="369" t="e">
        <f t="shared" si="264"/>
        <v>#REF!</v>
      </c>
      <c r="S542" s="369" t="e">
        <f t="shared" si="264"/>
        <v>#REF!</v>
      </c>
      <c r="T542" s="369" t="e">
        <f t="shared" si="264"/>
        <v>#REF!</v>
      </c>
      <c r="U542" s="357" t="e">
        <f t="shared" si="264"/>
        <v>#REF!</v>
      </c>
      <c r="V542" s="357" t="e">
        <f t="shared" si="264"/>
        <v>#REF!</v>
      </c>
      <c r="W542" s="357" t="e">
        <f t="shared" si="264"/>
        <v>#REF!</v>
      </c>
      <c r="X542" s="357" t="e">
        <f t="shared" si="264"/>
        <v>#REF!</v>
      </c>
      <c r="Y542" s="372"/>
      <c r="Z542" s="372"/>
      <c r="AA542" s="372"/>
      <c r="AB542" s="372"/>
      <c r="AC542" s="372"/>
      <c r="AD542" s="372"/>
      <c r="AE542" s="372"/>
      <c r="AF542" s="372"/>
      <c r="AG542" s="372"/>
      <c r="AH542" s="372"/>
      <c r="AI542" s="372"/>
      <c r="AJ542" s="372"/>
      <c r="AK542" s="372"/>
      <c r="AL542" s="372"/>
    </row>
    <row r="543" spans="1:38" ht="20.25" customHeight="1" x14ac:dyDescent="0.25">
      <c r="A543" s="80"/>
      <c r="B543" s="80"/>
      <c r="C543" s="80"/>
      <c r="D543" s="80"/>
      <c r="E543" s="80">
        <v>3631</v>
      </c>
      <c r="F543" s="81" t="s">
        <v>331</v>
      </c>
      <c r="G543" s="82" t="e">
        <f>SUMIF(#REF!,funkcijska!$E543,#REF!)</f>
        <v>#REF!</v>
      </c>
      <c r="H543" s="82" t="e">
        <f>SUMIF(#REF!,funkcijska!$E543,#REF!)</f>
        <v>#REF!</v>
      </c>
      <c r="I543" s="82" t="e">
        <f>SUMIF(#REF!,funkcijska!$E543,#REF!)</f>
        <v>#REF!</v>
      </c>
      <c r="J543" s="82" t="e">
        <f>SUMIF(#REF!,funkcijska!$E543,#REF!)</f>
        <v>#REF!</v>
      </c>
      <c r="K543" s="82" t="e">
        <f>SUMIF(#REF!,funkcijska!$E543,#REF!)</f>
        <v>#REF!</v>
      </c>
      <c r="L543" s="82" t="e">
        <f>ROUND(K543/J543*100,2)</f>
        <v>#REF!</v>
      </c>
      <c r="M543" s="82" t="e">
        <f>N543-J543</f>
        <v>#REF!</v>
      </c>
      <c r="N543" s="82" t="e">
        <f>SUMIF(#REF!,funkcijska!$E543,#REF!)</f>
        <v>#REF!</v>
      </c>
      <c r="O543" s="82" t="e">
        <f>SUMIF(#REF!,funkcijska!$E543,#REF!)</f>
        <v>#REF!</v>
      </c>
      <c r="P543" s="82" t="e">
        <f>SUMIF(#REF!,funkcijska!$E543,#REF!)</f>
        <v>#REF!</v>
      </c>
      <c r="Q543" s="386" t="e">
        <f>SUMIF(#REF!,funkcijska!$E543,#REF!)</f>
        <v>#REF!</v>
      </c>
      <c r="R543" s="82" t="e">
        <f>SUMIF(#REF!,funkcijska!$E543,#REF!)</f>
        <v>#REF!</v>
      </c>
      <c r="S543" s="82" t="e">
        <f>SUMIF(#REF!,funkcijska!$E543,#REF!)</f>
        <v>#REF!</v>
      </c>
      <c r="T543" s="82" t="e">
        <f>SUMIF(#REF!,funkcijska!$E$69,#REF!)</f>
        <v>#REF!</v>
      </c>
      <c r="U543" s="357" t="e">
        <f>SUMIF(#REF!,funkcijska!$E543,#REF!)</f>
        <v>#REF!</v>
      </c>
      <c r="V543" s="357" t="e">
        <f>SUMIF(#REF!,funkcijska!$E543,#REF!)</f>
        <v>#REF!</v>
      </c>
      <c r="W543" s="357" t="e">
        <f>SUMIF(#REF!,funkcijska!$E543,#REF!)</f>
        <v>#REF!</v>
      </c>
      <c r="X543" s="357" t="e">
        <f>SUMIF(#REF!,funkcijska!$E543,#REF!)</f>
        <v>#REF!</v>
      </c>
      <c r="AD543" s="60"/>
      <c r="AE543" s="60"/>
      <c r="AF543" s="60"/>
      <c r="AG543" s="60"/>
      <c r="AH543" s="60"/>
      <c r="AI543" s="60"/>
      <c r="AJ543" s="60"/>
      <c r="AK543" s="60"/>
      <c r="AL543" s="60"/>
    </row>
    <row r="544" spans="1:38" ht="23.25" customHeight="1" x14ac:dyDescent="0.25">
      <c r="A544" s="80"/>
      <c r="B544" s="80"/>
      <c r="C544" s="80"/>
      <c r="D544" s="80"/>
      <c r="E544" s="80">
        <v>3632</v>
      </c>
      <c r="F544" s="81" t="s">
        <v>227</v>
      </c>
      <c r="G544" s="82" t="e">
        <f>SUMIF(#REF!,funkcijska!$E544,#REF!)</f>
        <v>#REF!</v>
      </c>
      <c r="H544" s="82" t="e">
        <f>SUMIF(#REF!,funkcijska!$E544,#REF!)</f>
        <v>#REF!</v>
      </c>
      <c r="I544" s="82" t="e">
        <f>SUMIF(#REF!,funkcijska!$E544,#REF!)</f>
        <v>#REF!</v>
      </c>
      <c r="J544" s="82" t="e">
        <f>SUMIF(#REF!,funkcijska!$E544,#REF!)</f>
        <v>#REF!</v>
      </c>
      <c r="K544" s="82" t="e">
        <f>SUMIF(#REF!,funkcijska!$E544,#REF!)</f>
        <v>#REF!</v>
      </c>
      <c r="L544" s="82" t="e">
        <f>ROUND(K544/J544*100,2)</f>
        <v>#REF!</v>
      </c>
      <c r="M544" s="82" t="e">
        <f>N544-J544</f>
        <v>#REF!</v>
      </c>
      <c r="N544" s="82" t="e">
        <f>SUMIF(#REF!,funkcijska!$E544,#REF!)</f>
        <v>#REF!</v>
      </c>
      <c r="O544" s="82" t="e">
        <f>SUMIF(#REF!,funkcijska!$E544,#REF!)</f>
        <v>#REF!</v>
      </c>
      <c r="P544" s="82" t="e">
        <f>SUMIF(#REF!,funkcijska!$E544,#REF!)</f>
        <v>#REF!</v>
      </c>
      <c r="Q544" s="386" t="e">
        <f>SUMIF(#REF!,funkcijska!$E544,#REF!)</f>
        <v>#REF!</v>
      </c>
      <c r="R544" s="82" t="e">
        <f>SUMIF(#REF!,funkcijska!$E544,#REF!)</f>
        <v>#REF!</v>
      </c>
      <c r="S544" s="82" t="e">
        <f>SUMIF(#REF!,funkcijska!$E544,#REF!)</f>
        <v>#REF!</v>
      </c>
      <c r="T544" s="82" t="e">
        <f>SUMIF(#REF!,funkcijska!$E544,#REF!)</f>
        <v>#REF!</v>
      </c>
      <c r="U544" s="82" t="e">
        <f>SUMIF(#REF!,funkcijska!$E544,#REF!)</f>
        <v>#REF!</v>
      </c>
      <c r="V544" s="357" t="e">
        <f>SUMIF(#REF!,funkcijska!$E544,#REF!)</f>
        <v>#REF!</v>
      </c>
      <c r="W544" s="357" t="e">
        <f>SUMIF(#REF!,funkcijska!$E544,#REF!)</f>
        <v>#REF!</v>
      </c>
      <c r="X544" s="357" t="e">
        <f>SUMIF(#REF!,funkcijska!$E544,#REF!)</f>
        <v>#REF!</v>
      </c>
      <c r="AD544" s="60"/>
      <c r="AE544" s="60"/>
      <c r="AF544" s="60"/>
      <c r="AG544" s="60"/>
      <c r="AH544" s="60"/>
      <c r="AI544" s="60"/>
      <c r="AJ544" s="60"/>
      <c r="AK544" s="60"/>
      <c r="AL544" s="60"/>
    </row>
    <row r="545" spans="1:38" ht="36.75" customHeight="1" x14ac:dyDescent="0.25">
      <c r="A545" s="125"/>
      <c r="B545" s="74"/>
      <c r="C545" s="74" t="str">
        <f>LEFT(E547,2)</f>
        <v>37</v>
      </c>
      <c r="D545" s="74"/>
      <c r="E545" s="74"/>
      <c r="F545" s="75" t="s">
        <v>410</v>
      </c>
      <c r="G545" s="311" t="e">
        <f>G546</f>
        <v>#REF!</v>
      </c>
      <c r="H545" s="118" t="e">
        <f>H546</f>
        <v>#REF!</v>
      </c>
      <c r="I545" s="311" t="e">
        <f>I546</f>
        <v>#REF!</v>
      </c>
      <c r="J545" s="311" t="e">
        <f>J546</f>
        <v>#REF!</v>
      </c>
      <c r="K545" s="311" t="e">
        <f>K546</f>
        <v>#REF!</v>
      </c>
      <c r="L545" s="311" t="e">
        <f>ROUND(K545/J545*100,2)</f>
        <v>#REF!</v>
      </c>
      <c r="M545" s="311" t="e">
        <f>N545-J545</f>
        <v>#REF!</v>
      </c>
      <c r="N545" s="311" t="e">
        <f t="shared" ref="N545:X545" si="265">N546</f>
        <v>#REF!</v>
      </c>
      <c r="O545" s="312" t="e">
        <f t="shared" si="265"/>
        <v>#REF!</v>
      </c>
      <c r="P545" s="312" t="e">
        <f t="shared" si="265"/>
        <v>#REF!</v>
      </c>
      <c r="Q545" s="385" t="e">
        <f t="shared" si="265"/>
        <v>#REF!</v>
      </c>
      <c r="R545" s="137" t="e">
        <f t="shared" si="265"/>
        <v>#REF!</v>
      </c>
      <c r="S545" s="137" t="e">
        <f t="shared" si="265"/>
        <v>#REF!</v>
      </c>
      <c r="T545" s="137" t="e">
        <f t="shared" si="265"/>
        <v>#REF!</v>
      </c>
      <c r="U545" s="356" t="e">
        <f t="shared" si="265"/>
        <v>#REF!</v>
      </c>
      <c r="V545" s="356" t="e">
        <f t="shared" si="265"/>
        <v>#REF!</v>
      </c>
      <c r="W545" s="356" t="e">
        <f t="shared" si="265"/>
        <v>#REF!</v>
      </c>
      <c r="X545" s="356" t="e">
        <f t="shared" si="265"/>
        <v>#REF!</v>
      </c>
      <c r="AD545" s="60"/>
      <c r="AE545" s="60"/>
      <c r="AF545" s="60"/>
      <c r="AG545" s="60"/>
      <c r="AH545" s="60"/>
      <c r="AI545" s="60"/>
      <c r="AJ545" s="60"/>
      <c r="AK545" s="60"/>
      <c r="AL545" s="60"/>
    </row>
    <row r="546" spans="1:38" s="373" customFormat="1" ht="37.5" customHeight="1" x14ac:dyDescent="0.25">
      <c r="A546" s="119"/>
      <c r="B546" s="119"/>
      <c r="C546" s="119"/>
      <c r="D546" s="119" t="str">
        <f>LEFT(E547,3)</f>
        <v>372</v>
      </c>
      <c r="E546" s="119"/>
      <c r="F546" s="368" t="s">
        <v>411</v>
      </c>
      <c r="G546" s="369" t="e">
        <f t="shared" ref="G546:X546" si="266">SUM(G547:G548)</f>
        <v>#REF!</v>
      </c>
      <c r="H546" s="370" t="e">
        <f t="shared" si="266"/>
        <v>#REF!</v>
      </c>
      <c r="I546" s="369" t="e">
        <f t="shared" si="266"/>
        <v>#REF!</v>
      </c>
      <c r="J546" s="369" t="e">
        <f t="shared" si="266"/>
        <v>#REF!</v>
      </c>
      <c r="K546" s="369" t="e">
        <f t="shared" si="266"/>
        <v>#REF!</v>
      </c>
      <c r="L546" s="369" t="e">
        <f t="shared" si="266"/>
        <v>#REF!</v>
      </c>
      <c r="M546" s="369" t="e">
        <f t="shared" si="266"/>
        <v>#REF!</v>
      </c>
      <c r="N546" s="369" t="e">
        <f t="shared" si="266"/>
        <v>#REF!</v>
      </c>
      <c r="O546" s="369" t="e">
        <f t="shared" si="266"/>
        <v>#REF!</v>
      </c>
      <c r="P546" s="369" t="e">
        <f t="shared" si="266"/>
        <v>#REF!</v>
      </c>
      <c r="Q546" s="392" t="e">
        <f t="shared" si="266"/>
        <v>#REF!</v>
      </c>
      <c r="R546" s="369" t="e">
        <f t="shared" si="266"/>
        <v>#REF!</v>
      </c>
      <c r="S546" s="369" t="e">
        <f t="shared" si="266"/>
        <v>#REF!</v>
      </c>
      <c r="T546" s="369" t="e">
        <f t="shared" si="266"/>
        <v>#REF!</v>
      </c>
      <c r="U546" s="357" t="e">
        <f t="shared" si="266"/>
        <v>#REF!</v>
      </c>
      <c r="V546" s="357" t="e">
        <f t="shared" si="266"/>
        <v>#REF!</v>
      </c>
      <c r="W546" s="357" t="e">
        <f t="shared" si="266"/>
        <v>#REF!</v>
      </c>
      <c r="X546" s="357" t="e">
        <f t="shared" si="266"/>
        <v>#REF!</v>
      </c>
      <c r="Y546" s="372"/>
      <c r="Z546" s="372"/>
      <c r="AA546" s="372"/>
      <c r="AB546" s="372"/>
      <c r="AC546" s="372"/>
      <c r="AD546" s="372"/>
      <c r="AE546" s="372"/>
      <c r="AF546" s="372"/>
      <c r="AG546" s="372"/>
      <c r="AH546" s="372"/>
      <c r="AI546" s="372"/>
      <c r="AJ546" s="372"/>
      <c r="AK546" s="372"/>
      <c r="AL546" s="372"/>
    </row>
    <row r="547" spans="1:38" ht="21" customHeight="1" x14ac:dyDescent="0.25">
      <c r="A547" s="80"/>
      <c r="B547" s="80"/>
      <c r="C547" s="80"/>
      <c r="D547" s="80"/>
      <c r="E547" s="80">
        <v>3721</v>
      </c>
      <c r="F547" s="81" t="s">
        <v>412</v>
      </c>
      <c r="G547" s="82" t="e">
        <f>SUMIF(#REF!,funkcijska!$E547,#REF!)</f>
        <v>#REF!</v>
      </c>
      <c r="H547" s="82" t="e">
        <f>SUMIF(#REF!,funkcijska!$E547,#REF!)</f>
        <v>#REF!</v>
      </c>
      <c r="I547" s="82" t="e">
        <f>SUMIF(#REF!,funkcijska!$E547,#REF!)</f>
        <v>#REF!</v>
      </c>
      <c r="J547" s="82" t="e">
        <f>SUMIF(#REF!,funkcijska!$E547,#REF!)</f>
        <v>#REF!</v>
      </c>
      <c r="K547" s="82" t="e">
        <f>SUMIF(#REF!,funkcijska!$E547,#REF!)</f>
        <v>#REF!</v>
      </c>
      <c r="L547" s="82" t="e">
        <f t="shared" ref="L547:L556" si="267">ROUND(K547/J547*100,2)</f>
        <v>#REF!</v>
      </c>
      <c r="M547" s="82" t="e">
        <f t="shared" ref="M547:M556" si="268">N547-J547</f>
        <v>#REF!</v>
      </c>
      <c r="N547" s="82" t="e">
        <f>SUMIF(#REF!,funkcijska!$E547,#REF!)</f>
        <v>#REF!</v>
      </c>
      <c r="O547" s="82" t="e">
        <f>SUMIF(#REF!,funkcijska!$E547,#REF!)</f>
        <v>#REF!</v>
      </c>
      <c r="P547" s="82" t="e">
        <f>SUMIF(#REF!,funkcijska!$E547,#REF!)</f>
        <v>#REF!</v>
      </c>
      <c r="Q547" s="386" t="e">
        <f>SUMIF(#REF!,funkcijska!$E547,#REF!)</f>
        <v>#REF!</v>
      </c>
      <c r="R547" s="82" t="e">
        <f>SUMIF(#REF!,funkcijska!$E547,#REF!)</f>
        <v>#REF!</v>
      </c>
      <c r="S547" s="82" t="e">
        <f>SUMIF(#REF!,funkcijska!$E547,#REF!)</f>
        <v>#REF!</v>
      </c>
      <c r="T547" s="82" t="e">
        <f>SUMIF(#REF!,funkcijska!$E$73,#REF!)</f>
        <v>#REF!</v>
      </c>
      <c r="U547" s="357" t="e">
        <f>SUMIF(#REF!,funkcijska!$E547,#REF!)</f>
        <v>#REF!</v>
      </c>
      <c r="V547" s="357" t="e">
        <f>SUMIF(#REF!,funkcijska!$E547,#REF!)</f>
        <v>#REF!</v>
      </c>
      <c r="W547" s="357" t="e">
        <f>SUMIF(#REF!,funkcijska!$E547,#REF!)</f>
        <v>#REF!</v>
      </c>
      <c r="X547" s="357" t="e">
        <f>SUMIF(#REF!,funkcijska!$E547,#REF!)</f>
        <v>#REF!</v>
      </c>
      <c r="AD547" s="60"/>
      <c r="AE547" s="60"/>
      <c r="AF547" s="60"/>
      <c r="AG547" s="60"/>
      <c r="AH547" s="60"/>
      <c r="AI547" s="60"/>
      <c r="AJ547" s="60"/>
      <c r="AK547" s="60"/>
      <c r="AL547" s="60"/>
    </row>
    <row r="548" spans="1:38" ht="36.75" customHeight="1" x14ac:dyDescent="0.25">
      <c r="A548" s="80"/>
      <c r="B548" s="80"/>
      <c r="C548" s="80"/>
      <c r="D548" s="80"/>
      <c r="E548" s="80">
        <v>3722</v>
      </c>
      <c r="F548" s="81" t="s">
        <v>1019</v>
      </c>
      <c r="G548" s="82" t="e">
        <f>SUMIF(#REF!,funkcijska!$E548,#REF!)</f>
        <v>#REF!</v>
      </c>
      <c r="H548" s="82" t="e">
        <f>SUMIF(#REF!,funkcijska!$E548,#REF!)</f>
        <v>#REF!</v>
      </c>
      <c r="I548" s="82" t="e">
        <f>SUMIF(#REF!,funkcijska!$E548,#REF!)</f>
        <v>#REF!</v>
      </c>
      <c r="J548" s="82" t="e">
        <f>SUMIF(#REF!,funkcijska!$E548,#REF!)</f>
        <v>#REF!</v>
      </c>
      <c r="K548" s="82" t="e">
        <f>SUMIF(#REF!,funkcijska!$E548,#REF!)</f>
        <v>#REF!</v>
      </c>
      <c r="L548" s="82" t="e">
        <f t="shared" si="267"/>
        <v>#REF!</v>
      </c>
      <c r="M548" s="82" t="e">
        <f t="shared" si="268"/>
        <v>#REF!</v>
      </c>
      <c r="N548" s="82" t="e">
        <f>SUMIF(#REF!,funkcijska!$E548,#REF!)</f>
        <v>#REF!</v>
      </c>
      <c r="O548" s="82" t="e">
        <f>SUMIF(#REF!,funkcijska!$E548,#REF!)</f>
        <v>#REF!</v>
      </c>
      <c r="P548" s="82" t="e">
        <f>SUMIF(#REF!,funkcijska!$E548,#REF!)</f>
        <v>#REF!</v>
      </c>
      <c r="Q548" s="386" t="e">
        <f>SUMIF(#REF!,funkcijska!$E548,#REF!)</f>
        <v>#REF!</v>
      </c>
      <c r="R548" s="82" t="e">
        <f>SUMIF(#REF!,funkcijska!$E548,#REF!)</f>
        <v>#REF!</v>
      </c>
      <c r="S548" s="82" t="e">
        <f>SUMIF(#REF!,funkcijska!$E548,#REF!)</f>
        <v>#REF!</v>
      </c>
      <c r="T548" s="82" t="e">
        <f>SUMIF(#REF!,funkcijska!$E$74,#REF!)</f>
        <v>#REF!</v>
      </c>
      <c r="U548" s="357" t="e">
        <f>SUMIF(#REF!,funkcijska!$E548,#REF!)</f>
        <v>#REF!</v>
      </c>
      <c r="V548" s="357" t="e">
        <f>SUMIF(#REF!,funkcijska!$E548,#REF!)</f>
        <v>#REF!</v>
      </c>
      <c r="W548" s="357" t="e">
        <f>SUMIF(#REF!,funkcijska!$E548,#REF!)</f>
        <v>#REF!</v>
      </c>
      <c r="X548" s="543" t="e">
        <f>SUMIF(#REF!,funkcijska!$E548,#REF!)</f>
        <v>#REF!</v>
      </c>
      <c r="Y548" s="361"/>
      <c r="AD548" s="60"/>
      <c r="AE548" s="60"/>
      <c r="AF548" s="60"/>
      <c r="AG548" s="60"/>
      <c r="AH548" s="60"/>
      <c r="AI548" s="60"/>
      <c r="AJ548" s="60"/>
      <c r="AK548" s="60"/>
      <c r="AL548" s="60"/>
    </row>
    <row r="549" spans="1:38" ht="20.25" customHeight="1" x14ac:dyDescent="0.25">
      <c r="A549" s="125"/>
      <c r="B549" s="74"/>
      <c r="C549" s="74" t="str">
        <f>LEFT(E551,2)</f>
        <v>38</v>
      </c>
      <c r="D549" s="74"/>
      <c r="E549" s="74"/>
      <c r="F549" s="75" t="s">
        <v>539</v>
      </c>
      <c r="G549" s="311" t="e">
        <f>G550+G552+G555</f>
        <v>#REF!</v>
      </c>
      <c r="H549" s="118" t="e">
        <f>H550+H552+H555</f>
        <v>#REF!</v>
      </c>
      <c r="I549" s="311" t="e">
        <f>I550+I552+I555</f>
        <v>#REF!</v>
      </c>
      <c r="J549" s="311" t="e">
        <f>J550+J552+J555</f>
        <v>#REF!</v>
      </c>
      <c r="K549" s="311" t="e">
        <f>K550+K552+K555</f>
        <v>#REF!</v>
      </c>
      <c r="L549" s="311" t="e">
        <f t="shared" si="267"/>
        <v>#REF!</v>
      </c>
      <c r="M549" s="311" t="e">
        <f t="shared" si="268"/>
        <v>#REF!</v>
      </c>
      <c r="N549" s="311" t="e">
        <f t="shared" ref="N549:X549" si="269">N550+N552+N555</f>
        <v>#REF!</v>
      </c>
      <c r="O549" s="312" t="e">
        <f t="shared" si="269"/>
        <v>#REF!</v>
      </c>
      <c r="P549" s="312" t="e">
        <f t="shared" si="269"/>
        <v>#REF!</v>
      </c>
      <c r="Q549" s="385" t="e">
        <f t="shared" si="269"/>
        <v>#REF!</v>
      </c>
      <c r="R549" s="137" t="e">
        <f t="shared" si="269"/>
        <v>#REF!</v>
      </c>
      <c r="S549" s="137" t="e">
        <f t="shared" si="269"/>
        <v>#REF!</v>
      </c>
      <c r="T549" s="137" t="e">
        <f t="shared" si="269"/>
        <v>#REF!</v>
      </c>
      <c r="U549" s="356" t="e">
        <f t="shared" si="269"/>
        <v>#REF!</v>
      </c>
      <c r="V549" s="356" t="e">
        <f t="shared" si="269"/>
        <v>#REF!</v>
      </c>
      <c r="W549" s="356" t="e">
        <f t="shared" si="269"/>
        <v>#REF!</v>
      </c>
      <c r="X549" s="356" t="e">
        <f t="shared" si="269"/>
        <v>#REF!</v>
      </c>
      <c r="AD549" s="60"/>
      <c r="AE549" s="60"/>
      <c r="AF549" s="60"/>
      <c r="AG549" s="60"/>
      <c r="AH549" s="60"/>
      <c r="AI549" s="60"/>
      <c r="AJ549" s="60"/>
      <c r="AK549" s="60"/>
      <c r="AL549" s="60"/>
    </row>
    <row r="550" spans="1:38" s="373" customFormat="1" ht="17.25" customHeight="1" x14ac:dyDescent="0.25">
      <c r="A550" s="119"/>
      <c r="B550" s="119"/>
      <c r="C550" s="119"/>
      <c r="D550" s="119" t="str">
        <f>LEFT(E551,3)</f>
        <v>381</v>
      </c>
      <c r="E550" s="119"/>
      <c r="F550" s="368" t="s">
        <v>540</v>
      </c>
      <c r="G550" s="369" t="e">
        <f>G551</f>
        <v>#REF!</v>
      </c>
      <c r="H550" s="370" t="e">
        <f>H551</f>
        <v>#REF!</v>
      </c>
      <c r="I550" s="369" t="e">
        <f>I551</f>
        <v>#REF!</v>
      </c>
      <c r="J550" s="369" t="e">
        <f>J551</f>
        <v>#REF!</v>
      </c>
      <c r="K550" s="369" t="e">
        <f>K551</f>
        <v>#REF!</v>
      </c>
      <c r="L550" s="369" t="e">
        <f t="shared" si="267"/>
        <v>#REF!</v>
      </c>
      <c r="M550" s="369" t="e">
        <f t="shared" si="268"/>
        <v>#REF!</v>
      </c>
      <c r="N550" s="369" t="e">
        <f t="shared" ref="N550:X550" si="270">N551</f>
        <v>#REF!</v>
      </c>
      <c r="O550" s="137" t="e">
        <f t="shared" si="270"/>
        <v>#REF!</v>
      </c>
      <c r="P550" s="137" t="e">
        <f t="shared" si="270"/>
        <v>#REF!</v>
      </c>
      <c r="Q550" s="393" t="e">
        <f t="shared" si="270"/>
        <v>#REF!</v>
      </c>
      <c r="R550" s="137" t="e">
        <f t="shared" si="270"/>
        <v>#REF!</v>
      </c>
      <c r="S550" s="137" t="e">
        <f t="shared" si="270"/>
        <v>#REF!</v>
      </c>
      <c r="T550" s="137" t="e">
        <f t="shared" si="270"/>
        <v>#REF!</v>
      </c>
      <c r="U550" s="371" t="e">
        <f t="shared" si="270"/>
        <v>#REF!</v>
      </c>
      <c r="V550" s="371" t="e">
        <f t="shared" si="270"/>
        <v>#REF!</v>
      </c>
      <c r="W550" s="371" t="e">
        <f t="shared" si="270"/>
        <v>#REF!</v>
      </c>
      <c r="X550" s="371" t="e">
        <f t="shared" si="270"/>
        <v>#REF!</v>
      </c>
      <c r="Y550" s="372"/>
      <c r="Z550" s="372"/>
      <c r="AA550" s="372"/>
      <c r="AB550" s="372"/>
      <c r="AC550" s="372"/>
      <c r="AD550" s="372"/>
      <c r="AE550" s="372"/>
      <c r="AF550" s="372"/>
      <c r="AG550" s="372"/>
      <c r="AH550" s="372"/>
      <c r="AI550" s="372"/>
      <c r="AJ550" s="372"/>
      <c r="AK550" s="372"/>
      <c r="AL550" s="372"/>
    </row>
    <row r="551" spans="1:38" ht="20.25" customHeight="1" x14ac:dyDescent="0.25">
      <c r="A551" s="80"/>
      <c r="B551" s="80"/>
      <c r="C551" s="80"/>
      <c r="D551" s="80"/>
      <c r="E551" s="80">
        <v>3811</v>
      </c>
      <c r="F551" s="81" t="s">
        <v>623</v>
      </c>
      <c r="G551" s="82" t="e">
        <f>SUMIF(#REF!,funkcijska!$E551,#REF!)</f>
        <v>#REF!</v>
      </c>
      <c r="H551" s="82" t="e">
        <f>SUMIF(#REF!,funkcijska!$E551,#REF!)</f>
        <v>#REF!</v>
      </c>
      <c r="I551" s="82" t="e">
        <f>SUMIF(#REF!,funkcijska!$E551,#REF!)</f>
        <v>#REF!</v>
      </c>
      <c r="J551" s="82" t="e">
        <f>SUMIF(#REF!,funkcijska!$E551,#REF!)</f>
        <v>#REF!</v>
      </c>
      <c r="K551" s="82" t="e">
        <f>SUMIF(#REF!,funkcijska!$E551,#REF!)</f>
        <v>#REF!</v>
      </c>
      <c r="L551" s="82" t="e">
        <f t="shared" si="267"/>
        <v>#REF!</v>
      </c>
      <c r="M551" s="82" t="e">
        <f t="shared" si="268"/>
        <v>#REF!</v>
      </c>
      <c r="N551" s="82" t="e">
        <f>SUMIF(#REF!,funkcijska!$E551,#REF!)</f>
        <v>#REF!</v>
      </c>
      <c r="O551" s="82" t="e">
        <f>SUMIF(#REF!,funkcijska!$E551,#REF!)</f>
        <v>#REF!</v>
      </c>
      <c r="P551" s="82" t="e">
        <f>SUMIF(#REF!,funkcijska!$E551,#REF!)</f>
        <v>#REF!</v>
      </c>
      <c r="Q551" s="386" t="e">
        <f>SUMIF(#REF!,funkcijska!$E551,#REF!)</f>
        <v>#REF!</v>
      </c>
      <c r="R551" s="82" t="e">
        <f>SUMIF(#REF!,funkcijska!$E551,#REF!)</f>
        <v>#REF!</v>
      </c>
      <c r="S551" s="82" t="e">
        <f>SUMIF(#REF!,funkcijska!$E551,#REF!)</f>
        <v>#REF!</v>
      </c>
      <c r="T551" s="82" t="e">
        <f>SUMIF(#REF!,funkcijska!$E$77,#REF!)</f>
        <v>#REF!</v>
      </c>
      <c r="U551" s="357" t="e">
        <f>SUMIF(#REF!,funkcijska!$E551,#REF!)</f>
        <v>#REF!</v>
      </c>
      <c r="V551" s="357" t="e">
        <f>SUMIF(#REF!,funkcijska!$E551,#REF!)</f>
        <v>#REF!</v>
      </c>
      <c r="W551" s="357" t="e">
        <f>SUMIF(#REF!,funkcijska!$E551,#REF!)</f>
        <v>#REF!</v>
      </c>
      <c r="X551" s="357" t="e">
        <f>SUMIF(#REF!,funkcijska!$E551,#REF!)</f>
        <v>#REF!</v>
      </c>
      <c r="AD551" s="60"/>
      <c r="AE551" s="60"/>
      <c r="AF551" s="60"/>
      <c r="AG551" s="60"/>
      <c r="AH551" s="60"/>
      <c r="AI551" s="60"/>
      <c r="AJ551" s="60"/>
      <c r="AK551" s="60"/>
      <c r="AL551" s="60"/>
    </row>
    <row r="552" spans="1:38" s="373" customFormat="1" ht="21" customHeight="1" x14ac:dyDescent="0.25">
      <c r="A552" s="119"/>
      <c r="B552" s="119"/>
      <c r="C552" s="119"/>
      <c r="D552" s="119" t="str">
        <f>LEFT(E553,3)</f>
        <v>382</v>
      </c>
      <c r="E552" s="119"/>
      <c r="F552" s="368" t="s">
        <v>230</v>
      </c>
      <c r="G552" s="369" t="e">
        <f>G553</f>
        <v>#REF!</v>
      </c>
      <c r="H552" s="370" t="e">
        <f>H553</f>
        <v>#REF!</v>
      </c>
      <c r="I552" s="369" t="e">
        <f>I553</f>
        <v>#REF!</v>
      </c>
      <c r="J552" s="369" t="e">
        <f>J553</f>
        <v>#REF!</v>
      </c>
      <c r="K552" s="369" t="e">
        <f>K553</f>
        <v>#REF!</v>
      </c>
      <c r="L552" s="369" t="e">
        <f t="shared" si="267"/>
        <v>#REF!</v>
      </c>
      <c r="M552" s="369" t="e">
        <f t="shared" si="268"/>
        <v>#REF!</v>
      </c>
      <c r="N552" s="369" t="e">
        <f t="shared" ref="N552:U552" si="271">N553</f>
        <v>#REF!</v>
      </c>
      <c r="O552" s="137" t="e">
        <f t="shared" si="271"/>
        <v>#REF!</v>
      </c>
      <c r="P552" s="137" t="e">
        <f t="shared" si="271"/>
        <v>#REF!</v>
      </c>
      <c r="Q552" s="393" t="e">
        <f t="shared" si="271"/>
        <v>#REF!</v>
      </c>
      <c r="R552" s="137" t="e">
        <f t="shared" si="271"/>
        <v>#REF!</v>
      </c>
      <c r="S552" s="137" t="e">
        <f t="shared" si="271"/>
        <v>#REF!</v>
      </c>
      <c r="T552" s="137" t="e">
        <f t="shared" si="271"/>
        <v>#REF!</v>
      </c>
      <c r="U552" s="371" t="e">
        <f t="shared" si="271"/>
        <v>#REF!</v>
      </c>
      <c r="V552" s="371" t="e">
        <f>V553+V554</f>
        <v>#REF!</v>
      </c>
      <c r="W552" s="371" t="e">
        <f>W553+W554</f>
        <v>#REF!</v>
      </c>
      <c r="X552" s="371" t="e">
        <f>X553+X554</f>
        <v>#REF!</v>
      </c>
      <c r="Y552" s="372"/>
      <c r="Z552" s="372"/>
      <c r="AA552" s="372"/>
      <c r="AB552" s="372"/>
      <c r="AC552" s="372"/>
      <c r="AD552" s="372"/>
      <c r="AE552" s="372"/>
      <c r="AF552" s="372"/>
      <c r="AG552" s="372"/>
      <c r="AH552" s="372"/>
      <c r="AI552" s="372"/>
      <c r="AJ552" s="372"/>
      <c r="AK552" s="372"/>
      <c r="AL552" s="372"/>
    </row>
    <row r="553" spans="1:38" ht="23.25" customHeight="1" x14ac:dyDescent="0.25">
      <c r="A553" s="80"/>
      <c r="B553" s="80"/>
      <c r="C553" s="80"/>
      <c r="D553" s="80"/>
      <c r="E553" s="80">
        <v>3821</v>
      </c>
      <c r="F553" s="81" t="s">
        <v>1020</v>
      </c>
      <c r="G553" s="82" t="e">
        <f>SUMIF(#REF!,funkcijska!$E553,#REF!)</f>
        <v>#REF!</v>
      </c>
      <c r="H553" s="82" t="e">
        <f>SUMIF(#REF!,funkcijska!$E553,#REF!)</f>
        <v>#REF!</v>
      </c>
      <c r="I553" s="82" t="e">
        <f>SUMIF(#REF!,funkcijska!$E553,#REF!)</f>
        <v>#REF!</v>
      </c>
      <c r="J553" s="82" t="e">
        <f>SUMIF(#REF!,funkcijska!$E553,#REF!)</f>
        <v>#REF!</v>
      </c>
      <c r="K553" s="82" t="e">
        <f>SUMIF(#REF!,funkcijska!$E553,#REF!)</f>
        <v>#REF!</v>
      </c>
      <c r="L553" s="82" t="e">
        <f t="shared" si="267"/>
        <v>#REF!</v>
      </c>
      <c r="M553" s="82" t="e">
        <f t="shared" si="268"/>
        <v>#REF!</v>
      </c>
      <c r="N553" s="82" t="e">
        <f>SUMIF(#REF!,funkcijska!$E553,#REF!)</f>
        <v>#REF!</v>
      </c>
      <c r="O553" s="82" t="e">
        <f>SUMIF(#REF!,funkcijska!$E553,#REF!)</f>
        <v>#REF!</v>
      </c>
      <c r="P553" s="82" t="e">
        <f>SUMIF(#REF!,funkcijska!$E553,#REF!)</f>
        <v>#REF!</v>
      </c>
      <c r="Q553" s="386" t="e">
        <f>SUMIF(#REF!,funkcijska!$E553,#REF!)</f>
        <v>#REF!</v>
      </c>
      <c r="R553" s="82" t="e">
        <f>SUMIF(#REF!,funkcijska!$E553,#REF!)</f>
        <v>#REF!</v>
      </c>
      <c r="S553" s="82" t="e">
        <f>SUMIF(#REF!,funkcijska!$E553,#REF!)</f>
        <v>#REF!</v>
      </c>
      <c r="T553" s="82" t="e">
        <f>SUMIF(#REF!,funkcijska!$E$79,#REF!)</f>
        <v>#REF!</v>
      </c>
      <c r="U553" s="357" t="e">
        <f>SUMIF(#REF!,funkcijska!$E553,#REF!)</f>
        <v>#REF!</v>
      </c>
      <c r="V553" s="357" t="e">
        <f>SUMIF(#REF!,funkcijska!$E553,#REF!)</f>
        <v>#REF!</v>
      </c>
      <c r="W553" s="357" t="e">
        <f>SUMIF(#REF!,funkcijska!$E553,#REF!)</f>
        <v>#REF!</v>
      </c>
      <c r="X553" s="357" t="e">
        <f>SUMIF(#REF!,funkcijska!$E553,#REF!)</f>
        <v>#REF!</v>
      </c>
      <c r="AD553" s="60"/>
      <c r="AE553" s="60"/>
      <c r="AF553" s="60"/>
      <c r="AG553" s="60"/>
      <c r="AH553" s="60"/>
      <c r="AI553" s="60"/>
      <c r="AJ553" s="60"/>
      <c r="AK553" s="60"/>
      <c r="AL553" s="60"/>
    </row>
    <row r="554" spans="1:38" ht="23.25" customHeight="1" x14ac:dyDescent="0.25">
      <c r="A554" s="80"/>
      <c r="B554" s="80"/>
      <c r="C554" s="80"/>
      <c r="D554" s="80"/>
      <c r="E554" s="80">
        <v>3822</v>
      </c>
      <c r="F554" s="81" t="s">
        <v>734</v>
      </c>
      <c r="G554" s="82" t="e">
        <f>SUMIF(#REF!,funkcijska!$E554,#REF!)</f>
        <v>#REF!</v>
      </c>
      <c r="H554" s="82" t="e">
        <f>SUMIF(#REF!,funkcijska!$E554,#REF!)</f>
        <v>#REF!</v>
      </c>
      <c r="I554" s="82" t="e">
        <f>SUMIF(#REF!,funkcijska!$E554,#REF!)</f>
        <v>#REF!</v>
      </c>
      <c r="J554" s="82" t="e">
        <f>SUMIF(#REF!,funkcijska!$E554,#REF!)</f>
        <v>#REF!</v>
      </c>
      <c r="K554" s="82" t="e">
        <f>SUMIF(#REF!,funkcijska!$E554,#REF!)</f>
        <v>#REF!</v>
      </c>
      <c r="L554" s="82" t="e">
        <f t="shared" si="267"/>
        <v>#REF!</v>
      </c>
      <c r="M554" s="82" t="e">
        <f t="shared" si="268"/>
        <v>#REF!</v>
      </c>
      <c r="N554" s="82" t="e">
        <f>SUMIF(#REF!,funkcijska!$E554,#REF!)</f>
        <v>#REF!</v>
      </c>
      <c r="O554" s="82" t="e">
        <f>SUMIF(#REF!,funkcijska!$E554,#REF!)</f>
        <v>#REF!</v>
      </c>
      <c r="P554" s="82" t="e">
        <f>SUMIF(#REF!,funkcijska!$E554,#REF!)</f>
        <v>#REF!</v>
      </c>
      <c r="Q554" s="386" t="e">
        <f>SUMIF(#REF!,funkcijska!$E554,#REF!)</f>
        <v>#REF!</v>
      </c>
      <c r="R554" s="82" t="e">
        <f>SUMIF(#REF!,funkcijska!$E554,#REF!)</f>
        <v>#REF!</v>
      </c>
      <c r="S554" s="82" t="e">
        <f>SUMIF(#REF!,funkcijska!$E554,#REF!)</f>
        <v>#REF!</v>
      </c>
      <c r="T554" s="82" t="e">
        <f>SUMIF(#REF!,funkcijska!$E$79,#REF!)</f>
        <v>#REF!</v>
      </c>
      <c r="U554" s="357" t="e">
        <f>SUMIF(#REF!,funkcijska!$E554,#REF!)</f>
        <v>#REF!</v>
      </c>
      <c r="V554" s="357" t="e">
        <f>SUMIF(#REF!,funkcijska!$E554,#REF!)</f>
        <v>#REF!</v>
      </c>
      <c r="W554" s="357" t="e">
        <f>SUMIF(#REF!,funkcijska!$E554,#REF!)</f>
        <v>#REF!</v>
      </c>
      <c r="X554" s="357" t="e">
        <f>SUMIF(#REF!,funkcijska!$E554,#REF!)</f>
        <v>#REF!</v>
      </c>
      <c r="AD554" s="60"/>
      <c r="AE554" s="60"/>
      <c r="AF554" s="60"/>
      <c r="AG554" s="60"/>
      <c r="AH554" s="60"/>
      <c r="AI554" s="60"/>
      <c r="AJ554" s="60"/>
      <c r="AK554" s="60"/>
      <c r="AL554" s="60"/>
    </row>
    <row r="555" spans="1:38" s="373" customFormat="1" ht="21" customHeight="1" x14ac:dyDescent="0.25">
      <c r="A555" s="119"/>
      <c r="B555" s="119"/>
      <c r="C555" s="119"/>
      <c r="D555" s="119" t="str">
        <f>LEFT(E556,3)</f>
        <v>385</v>
      </c>
      <c r="E555" s="119"/>
      <c r="F555" s="368" t="s">
        <v>545</v>
      </c>
      <c r="G555" s="369" t="e">
        <f>G556</f>
        <v>#REF!</v>
      </c>
      <c r="H555" s="370" t="e">
        <f>H556</f>
        <v>#REF!</v>
      </c>
      <c r="I555" s="369" t="e">
        <f>I556</f>
        <v>#REF!</v>
      </c>
      <c r="J555" s="369" t="e">
        <f>J556</f>
        <v>#REF!</v>
      </c>
      <c r="K555" s="369" t="e">
        <f>K556</f>
        <v>#REF!</v>
      </c>
      <c r="L555" s="369" t="e">
        <f t="shared" si="267"/>
        <v>#REF!</v>
      </c>
      <c r="M555" s="369" t="e">
        <f t="shared" si="268"/>
        <v>#REF!</v>
      </c>
      <c r="N555" s="369" t="e">
        <f t="shared" ref="N555:X555" si="272">N556</f>
        <v>#REF!</v>
      </c>
      <c r="O555" s="137" t="e">
        <f t="shared" si="272"/>
        <v>#REF!</v>
      </c>
      <c r="P555" s="137" t="e">
        <f t="shared" si="272"/>
        <v>#REF!</v>
      </c>
      <c r="Q555" s="393" t="e">
        <f t="shared" si="272"/>
        <v>#REF!</v>
      </c>
      <c r="R555" s="137" t="e">
        <f t="shared" si="272"/>
        <v>#REF!</v>
      </c>
      <c r="S555" s="137" t="e">
        <f t="shared" si="272"/>
        <v>#REF!</v>
      </c>
      <c r="T555" s="137" t="e">
        <f t="shared" si="272"/>
        <v>#REF!</v>
      </c>
      <c r="U555" s="371" t="e">
        <f t="shared" si="272"/>
        <v>#REF!</v>
      </c>
      <c r="V555" s="371" t="e">
        <f t="shared" si="272"/>
        <v>#REF!</v>
      </c>
      <c r="W555" s="371" t="e">
        <f t="shared" si="272"/>
        <v>#REF!</v>
      </c>
      <c r="X555" s="371" t="e">
        <f t="shared" si="272"/>
        <v>#REF!</v>
      </c>
      <c r="Y555" s="372"/>
      <c r="Z555" s="372"/>
      <c r="AA555" s="372"/>
      <c r="AB555" s="372"/>
      <c r="AC555" s="372"/>
      <c r="AD555" s="372"/>
      <c r="AE555" s="372"/>
      <c r="AF555" s="372"/>
      <c r="AG555" s="372"/>
      <c r="AH555" s="372"/>
      <c r="AI555" s="372"/>
      <c r="AJ555" s="372"/>
      <c r="AK555" s="372"/>
      <c r="AL555" s="372"/>
    </row>
    <row r="556" spans="1:38" ht="21.75" customHeight="1" x14ac:dyDescent="0.25">
      <c r="A556" s="80"/>
      <c r="B556" s="80"/>
      <c r="C556" s="80"/>
      <c r="D556" s="80"/>
      <c r="E556" s="80">
        <v>3851</v>
      </c>
      <c r="F556" s="81" t="s">
        <v>546</v>
      </c>
      <c r="G556" s="82" t="e">
        <f>SUMIF(#REF!,funkcijska!$E556,#REF!)</f>
        <v>#REF!</v>
      </c>
      <c r="H556" s="82" t="e">
        <f>SUMIF(#REF!,funkcijska!$E556,#REF!)</f>
        <v>#REF!</v>
      </c>
      <c r="I556" s="82" t="e">
        <f>SUMIF(#REF!,funkcijska!$E556,#REF!)</f>
        <v>#REF!</v>
      </c>
      <c r="J556" s="82" t="e">
        <f>SUMIF(#REF!,funkcijska!$E556,#REF!)</f>
        <v>#REF!</v>
      </c>
      <c r="K556" s="82" t="e">
        <f>SUMIF(#REF!,funkcijska!$E556,#REF!)</f>
        <v>#REF!</v>
      </c>
      <c r="L556" s="82" t="e">
        <f t="shared" si="267"/>
        <v>#REF!</v>
      </c>
      <c r="M556" s="82" t="e">
        <f t="shared" si="268"/>
        <v>#REF!</v>
      </c>
      <c r="N556" s="82" t="e">
        <f>SUMIF(#REF!,funkcijska!$E556,#REF!)</f>
        <v>#REF!</v>
      </c>
      <c r="O556" s="82" t="e">
        <f>SUMIF(#REF!,funkcijska!$E556,#REF!)</f>
        <v>#REF!</v>
      </c>
      <c r="P556" s="82" t="e">
        <f>SUMIF(#REF!,funkcijska!$E556,#REF!)</f>
        <v>#REF!</v>
      </c>
      <c r="Q556" s="386" t="e">
        <f>SUMIF(#REF!,funkcijska!$E556,#REF!)</f>
        <v>#REF!</v>
      </c>
      <c r="R556" s="82" t="e">
        <f>SUMIF(#REF!,funkcijska!$E556,#REF!)</f>
        <v>#REF!</v>
      </c>
      <c r="S556" s="82" t="e">
        <f>SUMIF(#REF!,funkcijska!$E556,#REF!)</f>
        <v>#REF!</v>
      </c>
      <c r="T556" s="82" t="e">
        <f>SUMIF(#REF!,funkcijska!$E$82,#REF!)</f>
        <v>#REF!</v>
      </c>
      <c r="U556" s="357" t="e">
        <f>SUMIF(#REF!,funkcijska!$E556,#REF!)</f>
        <v>#REF!</v>
      </c>
      <c r="V556" s="357" t="e">
        <f>SUMIF(#REF!,funkcijska!$E556,#REF!)</f>
        <v>#REF!</v>
      </c>
      <c r="W556" s="357" t="e">
        <f>SUMIF(#REF!,funkcijska!$E556,#REF!)</f>
        <v>#REF!</v>
      </c>
      <c r="X556" s="357" t="e">
        <f>SUMIF(#REF!,funkcijska!$E556,#REF!)</f>
        <v>#REF!</v>
      </c>
      <c r="AD556" s="60"/>
      <c r="AE556" s="60"/>
      <c r="AF556" s="60"/>
      <c r="AG556" s="60"/>
      <c r="AH556" s="60"/>
      <c r="AI556" s="60"/>
      <c r="AJ556" s="60"/>
      <c r="AK556" s="60"/>
      <c r="AL556" s="60"/>
    </row>
    <row r="557" spans="1:38" x14ac:dyDescent="0.25">
      <c r="A557" s="108"/>
      <c r="B557" s="108"/>
      <c r="C557" s="108"/>
      <c r="D557" s="108"/>
      <c r="E557" s="108"/>
      <c r="F557" s="104" t="s">
        <v>1021</v>
      </c>
      <c r="G557" s="110"/>
      <c r="H557" s="103"/>
      <c r="I557" s="110"/>
      <c r="J557" s="110"/>
      <c r="K557" s="110"/>
      <c r="L557" s="110"/>
      <c r="M557" s="110"/>
      <c r="N557" s="110"/>
      <c r="O557" s="110"/>
      <c r="P557" s="110"/>
      <c r="Q557" s="395"/>
      <c r="R557" s="110"/>
      <c r="S557" s="110"/>
      <c r="T557" s="110"/>
      <c r="U557" s="361"/>
      <c r="V557" s="361"/>
      <c r="W557" s="361"/>
      <c r="X557" s="361"/>
      <c r="AD557" s="60"/>
      <c r="AE557" s="60"/>
      <c r="AF557" s="60"/>
      <c r="AG557" s="60"/>
      <c r="AH557" s="60"/>
      <c r="AI557" s="60"/>
      <c r="AJ557" s="60"/>
      <c r="AK557" s="60"/>
      <c r="AL557" s="60"/>
    </row>
    <row r="558" spans="1:38" x14ac:dyDescent="0.25">
      <c r="A558" s="74"/>
      <c r="B558" s="105" t="str">
        <f>LEFT(E567,1)</f>
        <v>4</v>
      </c>
      <c r="C558" s="105"/>
      <c r="D558" s="105"/>
      <c r="E558" s="105"/>
      <c r="F558" s="72" t="s">
        <v>552</v>
      </c>
      <c r="G558" s="313" t="e">
        <f>G559+G565+G587</f>
        <v>#REF!</v>
      </c>
      <c r="H558" s="73" t="e">
        <f>H559+H565+H587</f>
        <v>#REF!</v>
      </c>
      <c r="I558" s="313" t="e">
        <f>I559+I565+I587</f>
        <v>#REF!</v>
      </c>
      <c r="J558" s="313" t="e">
        <f>J559+J565+J587</f>
        <v>#REF!</v>
      </c>
      <c r="K558" s="313" t="e">
        <f>K559+K565+K587</f>
        <v>#REF!</v>
      </c>
      <c r="L558" s="313" t="e">
        <f t="shared" ref="L558:L565" si="273">ROUND(K558/J558*100,2)</f>
        <v>#REF!</v>
      </c>
      <c r="M558" s="313" t="e">
        <f t="shared" ref="M558:M565" si="274">N558-J558</f>
        <v>#REF!</v>
      </c>
      <c r="N558" s="313" t="e">
        <f t="shared" ref="N558:X558" si="275">N559+N565+N587</f>
        <v>#REF!</v>
      </c>
      <c r="O558" s="73" t="e">
        <f t="shared" si="275"/>
        <v>#REF!</v>
      </c>
      <c r="P558" s="73" t="e">
        <f t="shared" si="275"/>
        <v>#REF!</v>
      </c>
      <c r="Q558" s="412" t="e">
        <f t="shared" si="275"/>
        <v>#REF!</v>
      </c>
      <c r="R558" s="76" t="e">
        <f t="shared" si="275"/>
        <v>#REF!</v>
      </c>
      <c r="S558" s="76" t="e">
        <f t="shared" si="275"/>
        <v>#REF!</v>
      </c>
      <c r="T558" s="76" t="e">
        <f t="shared" si="275"/>
        <v>#REF!</v>
      </c>
      <c r="U558" s="355" t="e">
        <f t="shared" si="275"/>
        <v>#REF!</v>
      </c>
      <c r="V558" s="355" t="e">
        <f t="shared" si="275"/>
        <v>#REF!</v>
      </c>
      <c r="W558" s="355" t="e">
        <f t="shared" si="275"/>
        <v>#REF!</v>
      </c>
      <c r="X558" s="355" t="e">
        <f t="shared" si="275"/>
        <v>#REF!</v>
      </c>
      <c r="AD558" s="60"/>
      <c r="AE558" s="60"/>
      <c r="AF558" s="60"/>
      <c r="AG558" s="60"/>
      <c r="AH558" s="60"/>
      <c r="AI558" s="60"/>
      <c r="AJ558" s="60"/>
      <c r="AK558" s="60"/>
      <c r="AL558" s="60"/>
    </row>
    <row r="559" spans="1:38" ht="36" x14ac:dyDescent="0.25">
      <c r="A559" s="125"/>
      <c r="B559" s="74"/>
      <c r="C559" s="74">
        <v>41</v>
      </c>
      <c r="D559" s="74"/>
      <c r="E559" s="74"/>
      <c r="F559" s="75" t="s">
        <v>753</v>
      </c>
      <c r="G559" s="77" t="e">
        <f>G562+G560</f>
        <v>#REF!</v>
      </c>
      <c r="H559" s="118" t="e">
        <f>H562+H560</f>
        <v>#REF!</v>
      </c>
      <c r="I559" s="77" t="e">
        <f>I562+I560</f>
        <v>#REF!</v>
      </c>
      <c r="J559" s="77" t="e">
        <f>J562+J560</f>
        <v>#REF!</v>
      </c>
      <c r="K559" s="77" t="e">
        <f>K562+K560</f>
        <v>#REF!</v>
      </c>
      <c r="L559" s="77" t="e">
        <f t="shared" si="273"/>
        <v>#REF!</v>
      </c>
      <c r="M559" s="77" t="e">
        <f t="shared" si="274"/>
        <v>#REF!</v>
      </c>
      <c r="N559" s="77" t="e">
        <f t="shared" ref="N559:X559" si="276">N562+N560</f>
        <v>#REF!</v>
      </c>
      <c r="O559" s="76" t="e">
        <f t="shared" si="276"/>
        <v>#REF!</v>
      </c>
      <c r="P559" s="76" t="e">
        <f t="shared" si="276"/>
        <v>#REF!</v>
      </c>
      <c r="Q559" s="385" t="e">
        <f t="shared" si="276"/>
        <v>#REF!</v>
      </c>
      <c r="R559" s="135" t="e">
        <f t="shared" si="276"/>
        <v>#REF!</v>
      </c>
      <c r="S559" s="135" t="e">
        <f t="shared" si="276"/>
        <v>#REF!</v>
      </c>
      <c r="T559" s="135" t="e">
        <f t="shared" si="276"/>
        <v>#REF!</v>
      </c>
      <c r="U559" s="356" t="e">
        <f t="shared" si="276"/>
        <v>#REF!</v>
      </c>
      <c r="V559" s="356" t="e">
        <f t="shared" si="276"/>
        <v>#REF!</v>
      </c>
      <c r="W559" s="356" t="e">
        <f t="shared" si="276"/>
        <v>#REF!</v>
      </c>
      <c r="X559" s="356" t="e">
        <f t="shared" si="276"/>
        <v>#REF!</v>
      </c>
      <c r="AD559" s="60"/>
      <c r="AE559" s="60"/>
      <c r="AF559" s="60"/>
      <c r="AG559" s="60"/>
      <c r="AH559" s="60"/>
      <c r="AI559" s="60"/>
      <c r="AJ559" s="60"/>
      <c r="AK559" s="60"/>
      <c r="AL559" s="60"/>
    </row>
    <row r="560" spans="1:38" s="373" customFormat="1" ht="17.25" customHeight="1" x14ac:dyDescent="0.25">
      <c r="A560" s="119"/>
      <c r="B560" s="119"/>
      <c r="C560" s="119"/>
      <c r="D560" s="119" t="s">
        <v>1022</v>
      </c>
      <c r="E560" s="119"/>
      <c r="F560" s="368" t="s">
        <v>471</v>
      </c>
      <c r="G560" s="369" t="e">
        <f>G561</f>
        <v>#REF!</v>
      </c>
      <c r="H560" s="370" t="e">
        <f>H561</f>
        <v>#REF!</v>
      </c>
      <c r="I560" s="369" t="e">
        <f>I561</f>
        <v>#REF!</v>
      </c>
      <c r="J560" s="369" t="e">
        <f>J561</f>
        <v>#REF!</v>
      </c>
      <c r="K560" s="369" t="e">
        <f>K561</f>
        <v>#REF!</v>
      </c>
      <c r="L560" s="369" t="e">
        <f t="shared" si="273"/>
        <v>#REF!</v>
      </c>
      <c r="M560" s="369" t="e">
        <f t="shared" si="274"/>
        <v>#REF!</v>
      </c>
      <c r="N560" s="369" t="e">
        <f t="shared" ref="N560:X560" si="277">N561</f>
        <v>#REF!</v>
      </c>
      <c r="O560" s="137" t="e">
        <f t="shared" si="277"/>
        <v>#REF!</v>
      </c>
      <c r="P560" s="137" t="e">
        <f t="shared" si="277"/>
        <v>#REF!</v>
      </c>
      <c r="Q560" s="393" t="e">
        <f t="shared" si="277"/>
        <v>#REF!</v>
      </c>
      <c r="R560" s="137" t="e">
        <f t="shared" si="277"/>
        <v>#REF!</v>
      </c>
      <c r="S560" s="137" t="e">
        <f t="shared" si="277"/>
        <v>#REF!</v>
      </c>
      <c r="T560" s="137" t="e">
        <f t="shared" si="277"/>
        <v>#REF!</v>
      </c>
      <c r="U560" s="371" t="e">
        <f t="shared" si="277"/>
        <v>#REF!</v>
      </c>
      <c r="V560" s="371" t="e">
        <f t="shared" si="277"/>
        <v>#REF!</v>
      </c>
      <c r="W560" s="371" t="e">
        <f t="shared" si="277"/>
        <v>#REF!</v>
      </c>
      <c r="X560" s="371" t="e">
        <f t="shared" si="277"/>
        <v>#REF!</v>
      </c>
      <c r="Y560" s="372"/>
      <c r="Z560" s="372"/>
      <c r="AA560" s="372"/>
      <c r="AB560" s="372"/>
      <c r="AC560" s="372"/>
      <c r="AD560" s="372"/>
      <c r="AE560" s="372"/>
      <c r="AF560" s="372"/>
      <c r="AG560" s="372"/>
      <c r="AH560" s="372"/>
      <c r="AI560" s="372"/>
      <c r="AJ560" s="372"/>
      <c r="AK560" s="372"/>
      <c r="AL560" s="372"/>
    </row>
    <row r="561" spans="1:38" ht="24.75" customHeight="1" x14ac:dyDescent="0.25">
      <c r="A561" s="80"/>
      <c r="B561" s="80"/>
      <c r="C561" s="80"/>
      <c r="D561" s="80"/>
      <c r="E561" s="80">
        <v>4111</v>
      </c>
      <c r="F561" s="81" t="s">
        <v>755</v>
      </c>
      <c r="G561" s="82" t="e">
        <f>SUMIF(#REF!,funkcijska!$E561,#REF!)</f>
        <v>#REF!</v>
      </c>
      <c r="H561" s="82" t="e">
        <f>SUMIF(#REF!,funkcijska!$E561,#REF!)</f>
        <v>#REF!</v>
      </c>
      <c r="I561" s="82" t="e">
        <f>SUMIF(#REF!,funkcijska!$E561,#REF!)</f>
        <v>#REF!</v>
      </c>
      <c r="J561" s="82" t="e">
        <f>SUMIF(#REF!,funkcijska!$E561,#REF!)</f>
        <v>#REF!</v>
      </c>
      <c r="K561" s="82" t="e">
        <f>SUMIF(#REF!,funkcijska!$E561,#REF!)</f>
        <v>#REF!</v>
      </c>
      <c r="L561" s="82" t="e">
        <f t="shared" si="273"/>
        <v>#REF!</v>
      </c>
      <c r="M561" s="82" t="e">
        <f t="shared" si="274"/>
        <v>#REF!</v>
      </c>
      <c r="N561" s="82" t="e">
        <f>SUMIF(#REF!,funkcijska!$E561,#REF!)</f>
        <v>#REF!</v>
      </c>
      <c r="O561" s="82" t="e">
        <f>SUMIF(#REF!,funkcijska!$E561,#REF!)</f>
        <v>#REF!</v>
      </c>
      <c r="P561" s="82" t="e">
        <f>SUMIF(#REF!,funkcijska!$E561,#REF!)</f>
        <v>#REF!</v>
      </c>
      <c r="Q561" s="386" t="e">
        <f>SUMIF(#REF!,funkcijska!$E561,#REF!)</f>
        <v>#REF!</v>
      </c>
      <c r="R561" s="82" t="e">
        <f>SUMIF(#REF!,funkcijska!$E561,#REF!)</f>
        <v>#REF!</v>
      </c>
      <c r="S561" s="82" t="e">
        <f>SUMIF(#REF!,funkcijska!$E561,#REF!)</f>
        <v>#REF!</v>
      </c>
      <c r="T561" s="82" t="e">
        <f>SUMIF(#REF!,funkcijska!$E$87,#REF!)</f>
        <v>#REF!</v>
      </c>
      <c r="U561" s="357" t="e">
        <f>SUMIF(#REF!,funkcijska!$E561,#REF!)</f>
        <v>#REF!</v>
      </c>
      <c r="V561" s="357" t="e">
        <f>SUMIF(#REF!,funkcijska!$E561,#REF!)</f>
        <v>#REF!</v>
      </c>
      <c r="W561" s="357" t="e">
        <f>SUMIF(#REF!,funkcijska!$E561,#REF!)</f>
        <v>#REF!</v>
      </c>
      <c r="X561" s="357" t="e">
        <f>SUMIF(#REF!,funkcijska!$E561,#REF!)</f>
        <v>#REF!</v>
      </c>
      <c r="AD561" s="60"/>
      <c r="AE561" s="60"/>
      <c r="AF561" s="60"/>
      <c r="AG561" s="60"/>
      <c r="AH561" s="60"/>
      <c r="AI561" s="60"/>
      <c r="AJ561" s="60"/>
      <c r="AK561" s="60"/>
      <c r="AL561" s="60"/>
    </row>
    <row r="562" spans="1:38" s="373" customFormat="1" ht="18.75" customHeight="1" x14ac:dyDescent="0.25">
      <c r="A562" s="119"/>
      <c r="B562" s="119"/>
      <c r="C562" s="119"/>
      <c r="D562" s="119">
        <v>412</v>
      </c>
      <c r="E562" s="119"/>
      <c r="F562" s="368" t="s">
        <v>553</v>
      </c>
      <c r="G562" s="137" t="e">
        <f>G563+G564</f>
        <v>#REF!</v>
      </c>
      <c r="H562" s="137" t="e">
        <f>H563+H564</f>
        <v>#REF!</v>
      </c>
      <c r="I562" s="137" t="e">
        <f>I563+I564</f>
        <v>#REF!</v>
      </c>
      <c r="J562" s="137" t="e">
        <f>J563+J564</f>
        <v>#REF!</v>
      </c>
      <c r="K562" s="137" t="e">
        <f>K563+K564</f>
        <v>#REF!</v>
      </c>
      <c r="L562" s="137" t="e">
        <f t="shared" si="273"/>
        <v>#REF!</v>
      </c>
      <c r="M562" s="137" t="e">
        <f t="shared" si="274"/>
        <v>#REF!</v>
      </c>
      <c r="N562" s="137" t="e">
        <f t="shared" ref="N562:X562" si="278">N563+N564</f>
        <v>#REF!</v>
      </c>
      <c r="O562" s="137" t="e">
        <f t="shared" si="278"/>
        <v>#REF!</v>
      </c>
      <c r="P562" s="137" t="e">
        <f t="shared" si="278"/>
        <v>#REF!</v>
      </c>
      <c r="Q562" s="393" t="e">
        <f t="shared" si="278"/>
        <v>#REF!</v>
      </c>
      <c r="R562" s="137" t="e">
        <f t="shared" si="278"/>
        <v>#REF!</v>
      </c>
      <c r="S562" s="137" t="e">
        <f t="shared" si="278"/>
        <v>#REF!</v>
      </c>
      <c r="T562" s="137" t="e">
        <f t="shared" si="278"/>
        <v>#REF!</v>
      </c>
      <c r="U562" s="371" t="e">
        <f t="shared" si="278"/>
        <v>#REF!</v>
      </c>
      <c r="V562" s="371" t="e">
        <f t="shared" si="278"/>
        <v>#REF!</v>
      </c>
      <c r="W562" s="371" t="e">
        <f t="shared" si="278"/>
        <v>#REF!</v>
      </c>
      <c r="X562" s="371" t="e">
        <f t="shared" si="278"/>
        <v>#REF!</v>
      </c>
      <c r="Y562" s="372"/>
      <c r="Z562" s="372"/>
      <c r="AA562" s="372"/>
      <c r="AB562" s="372"/>
      <c r="AC562" s="372"/>
      <c r="AD562" s="372"/>
      <c r="AE562" s="372"/>
      <c r="AF562" s="372"/>
      <c r="AG562" s="372"/>
      <c r="AH562" s="372"/>
      <c r="AI562" s="372"/>
      <c r="AJ562" s="372"/>
      <c r="AK562" s="372"/>
      <c r="AL562" s="372"/>
    </row>
    <row r="563" spans="1:38" ht="18" customHeight="1" x14ac:dyDescent="0.25">
      <c r="A563" s="80"/>
      <c r="B563" s="80"/>
      <c r="C563" s="80"/>
      <c r="D563" s="80"/>
      <c r="E563" s="80">
        <v>4123</v>
      </c>
      <c r="F563" s="81" t="s">
        <v>554</v>
      </c>
      <c r="G563" s="82" t="e">
        <f>SUMIF(#REF!,funkcijska!$E563,#REF!)</f>
        <v>#REF!</v>
      </c>
      <c r="H563" s="82" t="e">
        <f>SUMIF(#REF!,funkcijska!$E563,#REF!)</f>
        <v>#REF!</v>
      </c>
      <c r="I563" s="82" t="e">
        <f>SUMIF(#REF!,funkcijska!$E563,#REF!)</f>
        <v>#REF!</v>
      </c>
      <c r="J563" s="82" t="e">
        <f>SUMIF(#REF!,funkcijska!$E563,#REF!)</f>
        <v>#REF!</v>
      </c>
      <c r="K563" s="82" t="e">
        <f>SUMIF(#REF!,funkcijska!$E563,#REF!)</f>
        <v>#REF!</v>
      </c>
      <c r="L563" s="82" t="e">
        <f t="shared" si="273"/>
        <v>#REF!</v>
      </c>
      <c r="M563" s="82" t="e">
        <f t="shared" si="274"/>
        <v>#REF!</v>
      </c>
      <c r="N563" s="82" t="e">
        <f>SUMIF(#REF!,funkcijska!$E563,#REF!)</f>
        <v>#REF!</v>
      </c>
      <c r="O563" s="82" t="e">
        <f>SUMIF(#REF!,funkcijska!$E563,#REF!)</f>
        <v>#REF!</v>
      </c>
      <c r="P563" s="82" t="e">
        <f>SUMIF(#REF!,funkcijska!$E563,#REF!)</f>
        <v>#REF!</v>
      </c>
      <c r="Q563" s="386" t="e">
        <f>SUMIF(#REF!,funkcijska!$E563,#REF!)</f>
        <v>#REF!</v>
      </c>
      <c r="R563" s="82" t="e">
        <f>SUMIF(#REF!,funkcijska!$E563,#REF!)</f>
        <v>#REF!</v>
      </c>
      <c r="S563" s="82" t="e">
        <f>SUMIF(#REF!,funkcijska!$E563,#REF!)</f>
        <v>#REF!</v>
      </c>
      <c r="T563" s="82" t="e">
        <f>SUMIF(#REF!,funkcijska!$E$89,#REF!)</f>
        <v>#REF!</v>
      </c>
      <c r="U563" s="357" t="e">
        <f>SUMIF(#REF!,funkcijska!$E563,#REF!)</f>
        <v>#REF!</v>
      </c>
      <c r="V563" s="357" t="e">
        <f>SUMIF(#REF!,funkcijska!$E563,#REF!)</f>
        <v>#REF!</v>
      </c>
      <c r="W563" s="357" t="e">
        <f>SUMIF(#REF!,funkcijska!$E563,#REF!)</f>
        <v>#REF!</v>
      </c>
      <c r="X563" s="357" t="e">
        <f>SUMIF(#REF!,funkcijska!$E563,#REF!)</f>
        <v>#REF!</v>
      </c>
      <c r="AD563" s="60"/>
      <c r="AE563" s="60"/>
      <c r="AF563" s="60"/>
      <c r="AG563" s="60"/>
      <c r="AH563" s="60"/>
      <c r="AI563" s="60"/>
      <c r="AJ563" s="60"/>
      <c r="AK563" s="60"/>
      <c r="AL563" s="60"/>
    </row>
    <row r="564" spans="1:38" ht="18.75" hidden="1" customHeight="1" x14ac:dyDescent="0.25">
      <c r="A564" s="80"/>
      <c r="B564" s="80"/>
      <c r="C564" s="80"/>
      <c r="D564" s="80"/>
      <c r="E564" s="136" t="s">
        <v>1023</v>
      </c>
      <c r="F564" s="81" t="s">
        <v>1024</v>
      </c>
      <c r="G564" s="82" t="e">
        <f>SUMIF(#REF!,funkcijska!$E564,#REF!)</f>
        <v>#REF!</v>
      </c>
      <c r="H564" s="82" t="e">
        <f>SUMIF(#REF!,funkcijska!$E564,#REF!)</f>
        <v>#REF!</v>
      </c>
      <c r="I564" s="82" t="e">
        <f>SUMIF(#REF!,funkcijska!$E564,#REF!)</f>
        <v>#REF!</v>
      </c>
      <c r="J564" s="82" t="e">
        <f>SUMIF(#REF!,funkcijska!$E564,#REF!)</f>
        <v>#REF!</v>
      </c>
      <c r="K564" s="82" t="e">
        <f>SUMIF(#REF!,funkcijska!$E564,#REF!)</f>
        <v>#REF!</v>
      </c>
      <c r="L564" s="82" t="e">
        <f t="shared" si="273"/>
        <v>#REF!</v>
      </c>
      <c r="M564" s="82" t="e">
        <f t="shared" si="274"/>
        <v>#REF!</v>
      </c>
      <c r="N564" s="82" t="e">
        <f>SUMIF(#REF!,funkcijska!$E564,#REF!)</f>
        <v>#REF!</v>
      </c>
      <c r="O564" s="82" t="e">
        <f>SUMIF(#REF!,funkcijska!$E564,#REF!)</f>
        <v>#REF!</v>
      </c>
      <c r="P564" s="82" t="e">
        <f>SUMIF(#REF!,funkcijska!$E564,#REF!)</f>
        <v>#REF!</v>
      </c>
      <c r="Q564" s="389" t="e">
        <f>U564-O564</f>
        <v>#REF!</v>
      </c>
      <c r="R564" s="82" t="e">
        <f>SUMIF(#REF!,funkcijska!$E564,#REF!)</f>
        <v>#REF!</v>
      </c>
      <c r="S564" s="82" t="e">
        <f>SUMIF(#REF!,funkcijska!$E564,#REF!)</f>
        <v>#REF!</v>
      </c>
      <c r="T564" s="82" t="e">
        <f>SUMIF(#REF!,funkcijska!$E$90,#REF!)</f>
        <v>#REF!</v>
      </c>
      <c r="U564" s="357" t="e">
        <f>SUMIF(#REF!,funkcijska!$E564,#REF!)</f>
        <v>#REF!</v>
      </c>
      <c r="V564" s="357" t="e">
        <f>SUMIF(#REF!,funkcijska!$E564,#REF!)</f>
        <v>#REF!</v>
      </c>
      <c r="W564" s="357" t="e">
        <f>SUMIF(#REF!,funkcijska!$E564,#REF!)</f>
        <v>#REF!</v>
      </c>
      <c r="X564" s="357" t="e">
        <f>SUMIF(#REF!,funkcijska!$E564,#REF!)</f>
        <v>#REF!</v>
      </c>
      <c r="AD564" s="60"/>
      <c r="AE564" s="60"/>
      <c r="AF564" s="60"/>
      <c r="AG564" s="60"/>
      <c r="AH564" s="60"/>
      <c r="AI564" s="60"/>
      <c r="AJ564" s="60"/>
      <c r="AK564" s="60"/>
      <c r="AL564" s="60"/>
    </row>
    <row r="565" spans="1:38" ht="36.75" customHeight="1" x14ac:dyDescent="0.25">
      <c r="A565" s="125"/>
      <c r="B565" s="74"/>
      <c r="C565" s="74" t="str">
        <f>LEFT(E567,2)</f>
        <v>42</v>
      </c>
      <c r="D565" s="74"/>
      <c r="E565" s="74"/>
      <c r="F565" s="75" t="s">
        <v>212</v>
      </c>
      <c r="G565" s="77" t="e">
        <f>G566+G570+G578+G580+G584+G582</f>
        <v>#REF!</v>
      </c>
      <c r="H565" s="118" t="e">
        <f>H566+H570+H578+H580+H584+H582</f>
        <v>#REF!</v>
      </c>
      <c r="I565" s="77" t="e">
        <f>I566+I570+I578+I580+I584+I582</f>
        <v>#REF!</v>
      </c>
      <c r="J565" s="77" t="e">
        <f>J566+J570+J578+J580+J584+J582</f>
        <v>#REF!</v>
      </c>
      <c r="K565" s="77" t="e">
        <f>K566+K570+K578+K580+K584+K582</f>
        <v>#REF!</v>
      </c>
      <c r="L565" s="77" t="e">
        <f t="shared" si="273"/>
        <v>#REF!</v>
      </c>
      <c r="M565" s="77" t="e">
        <f t="shared" si="274"/>
        <v>#REF!</v>
      </c>
      <c r="N565" s="77" t="e">
        <f t="shared" ref="N565:X565" si="279">N566+N570+N578+N580+N584+N582</f>
        <v>#REF!</v>
      </c>
      <c r="O565" s="76" t="e">
        <f t="shared" si="279"/>
        <v>#REF!</v>
      </c>
      <c r="P565" s="76" t="e">
        <f t="shared" si="279"/>
        <v>#REF!</v>
      </c>
      <c r="Q565" s="385" t="e">
        <f t="shared" si="279"/>
        <v>#REF!</v>
      </c>
      <c r="R565" s="135" t="e">
        <f t="shared" si="279"/>
        <v>#REF!</v>
      </c>
      <c r="S565" s="135" t="e">
        <f t="shared" si="279"/>
        <v>#REF!</v>
      </c>
      <c r="T565" s="135" t="e">
        <f t="shared" si="279"/>
        <v>#REF!</v>
      </c>
      <c r="U565" s="356" t="e">
        <f t="shared" si="279"/>
        <v>#REF!</v>
      </c>
      <c r="V565" s="356" t="e">
        <f t="shared" si="279"/>
        <v>#REF!</v>
      </c>
      <c r="W565" s="356" t="e">
        <f t="shared" si="279"/>
        <v>#REF!</v>
      </c>
      <c r="X565" s="356" t="e">
        <f t="shared" si="279"/>
        <v>#REF!</v>
      </c>
      <c r="AD565" s="60"/>
      <c r="AE565" s="60"/>
      <c r="AF565" s="60"/>
      <c r="AG565" s="60"/>
      <c r="AH565" s="60"/>
      <c r="AI565" s="60"/>
      <c r="AJ565" s="60"/>
      <c r="AK565" s="60"/>
      <c r="AL565" s="60"/>
    </row>
    <row r="566" spans="1:38" s="373" customFormat="1" ht="17.25" customHeight="1" x14ac:dyDescent="0.25">
      <c r="A566" s="119"/>
      <c r="B566" s="119"/>
      <c r="C566" s="119"/>
      <c r="D566" s="119" t="str">
        <f>LEFT(E567,3)</f>
        <v>421</v>
      </c>
      <c r="E566" s="119"/>
      <c r="F566" s="368" t="s">
        <v>759</v>
      </c>
      <c r="G566" s="369" t="e">
        <f t="shared" ref="G566:X566" si="280">SUM(G567:G569)</f>
        <v>#REF!</v>
      </c>
      <c r="H566" s="370" t="e">
        <f t="shared" si="280"/>
        <v>#REF!</v>
      </c>
      <c r="I566" s="369" t="e">
        <f t="shared" si="280"/>
        <v>#REF!</v>
      </c>
      <c r="J566" s="369" t="e">
        <f t="shared" si="280"/>
        <v>#REF!</v>
      </c>
      <c r="K566" s="369" t="e">
        <f t="shared" si="280"/>
        <v>#REF!</v>
      </c>
      <c r="L566" s="369" t="e">
        <f t="shared" si="280"/>
        <v>#REF!</v>
      </c>
      <c r="M566" s="369" t="e">
        <f t="shared" si="280"/>
        <v>#REF!</v>
      </c>
      <c r="N566" s="369" t="e">
        <f t="shared" si="280"/>
        <v>#REF!</v>
      </c>
      <c r="O566" s="369" t="e">
        <f t="shared" si="280"/>
        <v>#REF!</v>
      </c>
      <c r="P566" s="369" t="e">
        <f t="shared" si="280"/>
        <v>#REF!</v>
      </c>
      <c r="Q566" s="392" t="e">
        <f t="shared" si="280"/>
        <v>#REF!</v>
      </c>
      <c r="R566" s="369" t="e">
        <f t="shared" si="280"/>
        <v>#REF!</v>
      </c>
      <c r="S566" s="369" t="e">
        <f t="shared" si="280"/>
        <v>#REF!</v>
      </c>
      <c r="T566" s="369" t="e">
        <f t="shared" si="280"/>
        <v>#REF!</v>
      </c>
      <c r="U566" s="374" t="e">
        <f t="shared" si="280"/>
        <v>#REF!</v>
      </c>
      <c r="V566" s="374" t="e">
        <f t="shared" si="280"/>
        <v>#REF!</v>
      </c>
      <c r="W566" s="374" t="e">
        <f t="shared" si="280"/>
        <v>#REF!</v>
      </c>
      <c r="X566" s="374" t="e">
        <f t="shared" si="280"/>
        <v>#REF!</v>
      </c>
      <c r="Y566" s="372"/>
      <c r="Z566" s="372"/>
      <c r="AA566" s="372"/>
      <c r="AB566" s="372"/>
      <c r="AC566" s="372"/>
      <c r="AD566" s="372"/>
      <c r="AE566" s="372"/>
      <c r="AF566" s="372"/>
      <c r="AG566" s="372"/>
      <c r="AH566" s="372"/>
      <c r="AI566" s="372"/>
      <c r="AJ566" s="372"/>
      <c r="AK566" s="372"/>
      <c r="AL566" s="372"/>
    </row>
    <row r="567" spans="1:38" ht="21" customHeight="1" x14ac:dyDescent="0.25">
      <c r="A567" s="80"/>
      <c r="B567" s="80"/>
      <c r="C567" s="80"/>
      <c r="D567" s="80"/>
      <c r="E567" s="80">
        <v>4212</v>
      </c>
      <c r="F567" s="81" t="s">
        <v>1025</v>
      </c>
      <c r="G567" s="82" t="e">
        <f>SUMIF(#REF!,funkcijska!$E567,#REF!)</f>
        <v>#REF!</v>
      </c>
      <c r="H567" s="82" t="e">
        <f>SUMIF(#REF!,funkcijska!$E567,#REF!)</f>
        <v>#REF!</v>
      </c>
      <c r="I567" s="82" t="e">
        <f>SUMIF(#REF!,funkcijska!$E567,#REF!)</f>
        <v>#REF!</v>
      </c>
      <c r="J567" s="82" t="e">
        <f>SUMIF(#REF!,funkcijska!$E567,#REF!)</f>
        <v>#REF!</v>
      </c>
      <c r="K567" s="82" t="e">
        <f>SUMIF(#REF!,funkcijska!$E567,#REF!)</f>
        <v>#REF!</v>
      </c>
      <c r="L567" s="82" t="e">
        <f>ROUND(K567/J567*100,2)</f>
        <v>#REF!</v>
      </c>
      <c r="M567" s="82" t="e">
        <f>N567-J567</f>
        <v>#REF!</v>
      </c>
      <c r="N567" s="82" t="e">
        <f>SUMIF(#REF!,funkcijska!$E567,#REF!)</f>
        <v>#REF!</v>
      </c>
      <c r="O567" s="82" t="e">
        <f>SUMIF(#REF!,funkcijska!$E567,#REF!)</f>
        <v>#REF!</v>
      </c>
      <c r="P567" s="82" t="e">
        <f>SUMIF(#REF!,funkcijska!$E567,#REF!)</f>
        <v>#REF!</v>
      </c>
      <c r="Q567" s="386" t="e">
        <f>SUMIF(#REF!,funkcijska!$E567,#REF!)</f>
        <v>#REF!</v>
      </c>
      <c r="R567" s="82" t="e">
        <f>SUMIF(#REF!,funkcijska!$E567,#REF!)</f>
        <v>#REF!</v>
      </c>
      <c r="S567" s="82" t="e">
        <f>SUMIF(#REF!,funkcijska!$E567,#REF!)</f>
        <v>#REF!</v>
      </c>
      <c r="T567" s="82" t="e">
        <f>SUMIF(#REF!,funkcijska!$E$93,#REF!)</f>
        <v>#REF!</v>
      </c>
      <c r="U567" s="357" t="e">
        <f>SUMIF(#REF!,funkcijska!$E567,#REF!)</f>
        <v>#REF!</v>
      </c>
      <c r="V567" s="357" t="e">
        <f>SUMIF(#REF!,funkcijska!$E567,#REF!)</f>
        <v>#REF!</v>
      </c>
      <c r="W567" s="357" t="e">
        <f>SUMIF(#REF!,funkcijska!$E567,#REF!)</f>
        <v>#REF!</v>
      </c>
      <c r="X567" s="357" t="e">
        <f>SUMIF(#REF!,funkcijska!$E567,#REF!)</f>
        <v>#REF!</v>
      </c>
      <c r="AD567" s="60"/>
      <c r="AE567" s="60"/>
      <c r="AF567" s="60"/>
      <c r="AG567" s="60"/>
      <c r="AH567" s="60"/>
      <c r="AI567" s="60"/>
      <c r="AJ567" s="60"/>
      <c r="AK567" s="60"/>
      <c r="AL567" s="60"/>
    </row>
    <row r="568" spans="1:38" ht="15" customHeight="1" x14ac:dyDescent="0.25">
      <c r="A568" s="80"/>
      <c r="B568" s="80"/>
      <c r="C568" s="80"/>
      <c r="D568" s="80"/>
      <c r="E568" s="80">
        <v>4213</v>
      </c>
      <c r="F568" s="81" t="s">
        <v>1026</v>
      </c>
      <c r="G568" s="82" t="e">
        <f>SUMIF(#REF!,funkcijska!$E568,#REF!)</f>
        <v>#REF!</v>
      </c>
      <c r="H568" s="82" t="e">
        <f>SUMIF(#REF!,funkcijska!$E568,#REF!)</f>
        <v>#REF!</v>
      </c>
      <c r="I568" s="82" t="e">
        <f>SUMIF(#REF!,funkcijska!$E568,#REF!)</f>
        <v>#REF!</v>
      </c>
      <c r="J568" s="82" t="e">
        <f>SUMIF(#REF!,funkcijska!$E568,#REF!)</f>
        <v>#REF!</v>
      </c>
      <c r="K568" s="82" t="e">
        <f>SUMIF(#REF!,funkcijska!$E568,#REF!)</f>
        <v>#REF!</v>
      </c>
      <c r="L568" s="82" t="e">
        <f>ROUND(K568/J568*100,2)</f>
        <v>#REF!</v>
      </c>
      <c r="M568" s="82" t="e">
        <f>N568-J568</f>
        <v>#REF!</v>
      </c>
      <c r="N568" s="82" t="e">
        <f>SUMIF(#REF!,funkcijska!$E568,#REF!)</f>
        <v>#REF!</v>
      </c>
      <c r="O568" s="82" t="e">
        <f>SUMIF(#REF!,funkcijska!$E568,#REF!)</f>
        <v>#REF!</v>
      </c>
      <c r="P568" s="82" t="e">
        <f>SUMIF(#REF!,funkcijska!$E568,#REF!)</f>
        <v>#REF!</v>
      </c>
      <c r="Q568" s="386" t="e">
        <f>SUMIF(#REF!,funkcijska!$E568,#REF!)</f>
        <v>#REF!</v>
      </c>
      <c r="R568" s="82" t="e">
        <f>SUMIF(#REF!,funkcijska!$E568,#REF!)</f>
        <v>#REF!</v>
      </c>
      <c r="S568" s="82" t="e">
        <f>SUMIF(#REF!,funkcijska!$E568,#REF!)</f>
        <v>#REF!</v>
      </c>
      <c r="T568" s="82" t="e">
        <f>SUMIF(#REF!,funkcijska!$E$94,#REF!)</f>
        <v>#REF!</v>
      </c>
      <c r="U568" s="357" t="e">
        <f>SUMIF(#REF!,funkcijska!$E568,#REF!)</f>
        <v>#REF!</v>
      </c>
      <c r="V568" s="357" t="e">
        <f>SUMIF(#REF!,funkcijska!$E568,#REF!)</f>
        <v>#REF!</v>
      </c>
      <c r="W568" s="357" t="e">
        <f>SUMIF(#REF!,funkcijska!$E568,#REF!)</f>
        <v>#REF!</v>
      </c>
      <c r="X568" s="357" t="e">
        <f>SUMIF(#REF!,funkcijska!$E568,#REF!)</f>
        <v>#REF!</v>
      </c>
      <c r="AD568" s="60"/>
      <c r="AE568" s="60"/>
      <c r="AF568" s="60"/>
      <c r="AG568" s="60"/>
      <c r="AH568" s="60"/>
      <c r="AI568" s="60"/>
      <c r="AJ568" s="60"/>
      <c r="AK568" s="60"/>
      <c r="AL568" s="60"/>
    </row>
    <row r="569" spans="1:38" ht="20.25" customHeight="1" x14ac:dyDescent="0.25">
      <c r="A569" s="80"/>
      <c r="B569" s="80"/>
      <c r="C569" s="80"/>
      <c r="D569" s="80"/>
      <c r="E569" s="80">
        <v>4214</v>
      </c>
      <c r="F569" s="132" t="s">
        <v>1027</v>
      </c>
      <c r="G569" s="82" t="e">
        <f>SUMIF(#REF!,funkcijska!$E569,#REF!)</f>
        <v>#REF!</v>
      </c>
      <c r="H569" s="82" t="e">
        <f>SUMIF(#REF!,funkcijska!$E569,#REF!)</f>
        <v>#REF!</v>
      </c>
      <c r="I569" s="82" t="e">
        <f>SUMIF(#REF!,funkcijska!$E569,#REF!)</f>
        <v>#REF!</v>
      </c>
      <c r="J569" s="82" t="e">
        <f>SUMIF(#REF!,funkcijska!$E569,#REF!)</f>
        <v>#REF!</v>
      </c>
      <c r="K569" s="82" t="e">
        <f>SUMIF(#REF!,funkcijska!$E569,#REF!)</f>
        <v>#REF!</v>
      </c>
      <c r="L569" s="82" t="e">
        <f>ROUND(K569/J569*100,2)</f>
        <v>#REF!</v>
      </c>
      <c r="M569" s="82" t="e">
        <f>N569-J569</f>
        <v>#REF!</v>
      </c>
      <c r="N569" s="82" t="e">
        <f>SUMIF(#REF!,funkcijska!$E569,#REF!)</f>
        <v>#REF!</v>
      </c>
      <c r="O569" s="82" t="e">
        <f>SUMIF(#REF!,funkcijska!$E569,#REF!)</f>
        <v>#REF!</v>
      </c>
      <c r="P569" s="82" t="e">
        <f>SUMIF(#REF!,funkcijska!$E569,#REF!)</f>
        <v>#REF!</v>
      </c>
      <c r="Q569" s="386" t="e">
        <f>SUMIF(#REF!,funkcijska!$E569,#REF!)</f>
        <v>#REF!</v>
      </c>
      <c r="R569" s="82" t="e">
        <f>SUMIF(#REF!,funkcijska!$E569,#REF!)</f>
        <v>#REF!</v>
      </c>
      <c r="S569" s="82" t="e">
        <f>SUMIF(#REF!,funkcijska!$E569,#REF!)</f>
        <v>#REF!</v>
      </c>
      <c r="T569" s="82" t="e">
        <f>SUMIF(#REF!,funkcijska!$E$95,#REF!)</f>
        <v>#REF!</v>
      </c>
      <c r="U569" s="357" t="e">
        <f>SUMIF(#REF!,funkcijska!$E569,#REF!)</f>
        <v>#REF!</v>
      </c>
      <c r="V569" s="357" t="e">
        <f>SUMIF(#REF!,funkcijska!$E569,#REF!)</f>
        <v>#REF!</v>
      </c>
      <c r="W569" s="357" t="e">
        <f>SUMIF(#REF!,funkcijska!$E569,#REF!)</f>
        <v>#REF!</v>
      </c>
      <c r="X569" s="357" t="e">
        <f>SUMIF(#REF!,funkcijska!$E569,#REF!)</f>
        <v>#REF!</v>
      </c>
      <c r="AD569" s="60"/>
      <c r="AE569" s="60"/>
      <c r="AF569" s="60"/>
      <c r="AG569" s="60"/>
      <c r="AH569" s="60"/>
      <c r="AI569" s="60"/>
      <c r="AJ569" s="60"/>
      <c r="AK569" s="60"/>
      <c r="AL569" s="60"/>
    </row>
    <row r="570" spans="1:38" s="373" customFormat="1" ht="17.25" customHeight="1" x14ac:dyDescent="0.25">
      <c r="A570" s="119"/>
      <c r="B570" s="119"/>
      <c r="C570" s="119"/>
      <c r="D570" s="119" t="str">
        <f>LEFT(E571,3)</f>
        <v>422</v>
      </c>
      <c r="E570" s="119"/>
      <c r="F570" s="368" t="s">
        <v>555</v>
      </c>
      <c r="G570" s="369" t="e">
        <f t="shared" ref="G570:X570" si="281">SUM(G571:G577)</f>
        <v>#REF!</v>
      </c>
      <c r="H570" s="370" t="e">
        <f t="shared" si="281"/>
        <v>#REF!</v>
      </c>
      <c r="I570" s="369" t="e">
        <f t="shared" si="281"/>
        <v>#REF!</v>
      </c>
      <c r="J570" s="369" t="e">
        <f t="shared" si="281"/>
        <v>#REF!</v>
      </c>
      <c r="K570" s="369" t="e">
        <f t="shared" si="281"/>
        <v>#REF!</v>
      </c>
      <c r="L570" s="369" t="e">
        <f t="shared" si="281"/>
        <v>#REF!</v>
      </c>
      <c r="M570" s="369" t="e">
        <f t="shared" si="281"/>
        <v>#REF!</v>
      </c>
      <c r="N570" s="369" t="e">
        <f t="shared" si="281"/>
        <v>#REF!</v>
      </c>
      <c r="O570" s="369" t="e">
        <f t="shared" si="281"/>
        <v>#REF!</v>
      </c>
      <c r="P570" s="369" t="e">
        <f t="shared" si="281"/>
        <v>#REF!</v>
      </c>
      <c r="Q570" s="392" t="e">
        <f t="shared" si="281"/>
        <v>#REF!</v>
      </c>
      <c r="R570" s="369" t="e">
        <f t="shared" si="281"/>
        <v>#REF!</v>
      </c>
      <c r="S570" s="369" t="e">
        <f t="shared" si="281"/>
        <v>#REF!</v>
      </c>
      <c r="T570" s="369" t="e">
        <f t="shared" si="281"/>
        <v>#REF!</v>
      </c>
      <c r="U570" s="371" t="e">
        <f t="shared" si="281"/>
        <v>#REF!</v>
      </c>
      <c r="V570" s="371" t="e">
        <f t="shared" si="281"/>
        <v>#REF!</v>
      </c>
      <c r="W570" s="371" t="e">
        <f t="shared" si="281"/>
        <v>#REF!</v>
      </c>
      <c r="X570" s="371" t="e">
        <f t="shared" si="281"/>
        <v>#REF!</v>
      </c>
      <c r="Y570" s="372"/>
      <c r="Z570" s="372"/>
      <c r="AA570" s="372"/>
      <c r="AB570" s="372"/>
      <c r="AC570" s="372"/>
      <c r="AD570" s="372"/>
      <c r="AE570" s="372"/>
      <c r="AF570" s="372"/>
      <c r="AG570" s="372"/>
      <c r="AH570" s="372"/>
      <c r="AI570" s="372"/>
      <c r="AJ570" s="372"/>
      <c r="AK570" s="372"/>
      <c r="AL570" s="372"/>
    </row>
    <row r="571" spans="1:38" ht="18.75" customHeight="1" x14ac:dyDescent="0.25">
      <c r="A571" s="80"/>
      <c r="B571" s="80"/>
      <c r="C571" s="80"/>
      <c r="D571" s="80"/>
      <c r="E571" s="80">
        <v>4221</v>
      </c>
      <c r="F571" s="81" t="s">
        <v>558</v>
      </c>
      <c r="G571" s="82" t="e">
        <f>SUMIF(#REF!,funkcijska!$E571,#REF!)</f>
        <v>#REF!</v>
      </c>
      <c r="H571" s="82" t="e">
        <f>SUMIF(#REF!,funkcijska!$E571,#REF!)</f>
        <v>#REF!</v>
      </c>
      <c r="I571" s="82" t="e">
        <f>SUMIF(#REF!,funkcijska!$E571,#REF!)</f>
        <v>#REF!</v>
      </c>
      <c r="J571" s="82" t="e">
        <f>SUMIF(#REF!,funkcijska!$E571,#REF!)</f>
        <v>#REF!</v>
      </c>
      <c r="K571" s="82" t="e">
        <f>SUMIF(#REF!,funkcijska!$E571,#REF!)</f>
        <v>#REF!</v>
      </c>
      <c r="L571" s="82" t="e">
        <f t="shared" ref="L571:L583" si="282">ROUND(K571/J571*100,2)</f>
        <v>#REF!</v>
      </c>
      <c r="M571" s="82" t="e">
        <f t="shared" ref="M571:M583" si="283">N571-J571</f>
        <v>#REF!</v>
      </c>
      <c r="N571" s="82" t="e">
        <f>SUMIF(#REF!,funkcijska!$E571,#REF!)</f>
        <v>#REF!</v>
      </c>
      <c r="O571" s="82" t="e">
        <f>SUMIF(#REF!,funkcijska!$E571,#REF!)</f>
        <v>#REF!</v>
      </c>
      <c r="P571" s="82" t="e">
        <f>SUMIF(#REF!,funkcijska!$E571,#REF!)</f>
        <v>#REF!</v>
      </c>
      <c r="Q571" s="386" t="e">
        <f>SUMIF(#REF!,funkcijska!$E571,#REF!)</f>
        <v>#REF!</v>
      </c>
      <c r="R571" s="82" t="e">
        <f>SUMIF(#REF!,funkcijska!$E571,#REF!)</f>
        <v>#REF!</v>
      </c>
      <c r="S571" s="82" t="e">
        <f>SUMIF(#REF!,funkcijska!$E571,#REF!)</f>
        <v>#REF!</v>
      </c>
      <c r="T571" s="82" t="e">
        <f>SUMIF(#REF!,funkcijska!$E$97,#REF!)</f>
        <v>#REF!</v>
      </c>
      <c r="U571" s="357" t="e">
        <f>SUMIF(#REF!,funkcijska!$E571,#REF!)</f>
        <v>#REF!</v>
      </c>
      <c r="V571" s="357" t="e">
        <f>SUMIF(#REF!,funkcijska!$E571,#REF!)</f>
        <v>#REF!</v>
      </c>
      <c r="W571" s="357" t="e">
        <f>SUMIF(#REF!,funkcijska!$E571,#REF!)</f>
        <v>#REF!</v>
      </c>
      <c r="X571" s="357" t="e">
        <f>SUMIF(#REF!,funkcijska!$E571,#REF!)</f>
        <v>#REF!</v>
      </c>
      <c r="AD571" s="60"/>
      <c r="AE571" s="60"/>
      <c r="AF571" s="60"/>
      <c r="AG571" s="60"/>
      <c r="AH571" s="60"/>
      <c r="AI571" s="60"/>
      <c r="AJ571" s="60"/>
      <c r="AK571" s="60"/>
      <c r="AL571" s="60"/>
    </row>
    <row r="572" spans="1:38" ht="20.25" customHeight="1" x14ac:dyDescent="0.25">
      <c r="A572" s="80"/>
      <c r="B572" s="80"/>
      <c r="C572" s="80"/>
      <c r="D572" s="80"/>
      <c r="E572" s="80">
        <v>4222</v>
      </c>
      <c r="F572" s="81" t="s">
        <v>559</v>
      </c>
      <c r="G572" s="82" t="e">
        <f>SUMIF(#REF!,funkcijska!$E572,#REF!)</f>
        <v>#REF!</v>
      </c>
      <c r="H572" s="82" t="e">
        <f>SUMIF(#REF!,funkcijska!$E572,#REF!)</f>
        <v>#REF!</v>
      </c>
      <c r="I572" s="82" t="e">
        <f>SUMIF(#REF!,funkcijska!$E572,#REF!)</f>
        <v>#REF!</v>
      </c>
      <c r="J572" s="82" t="e">
        <f>SUMIF(#REF!,funkcijska!$E572,#REF!)</f>
        <v>#REF!</v>
      </c>
      <c r="K572" s="82" t="e">
        <f>SUMIF(#REF!,funkcijska!$E572,#REF!)</f>
        <v>#REF!</v>
      </c>
      <c r="L572" s="82" t="e">
        <f t="shared" si="282"/>
        <v>#REF!</v>
      </c>
      <c r="M572" s="82" t="e">
        <f t="shared" si="283"/>
        <v>#REF!</v>
      </c>
      <c r="N572" s="82" t="e">
        <f>SUMIF(#REF!,funkcijska!$E572,#REF!)</f>
        <v>#REF!</v>
      </c>
      <c r="O572" s="82" t="e">
        <f>SUMIF(#REF!,funkcijska!$E572,#REF!)</f>
        <v>#REF!</v>
      </c>
      <c r="P572" s="82" t="e">
        <f>SUMIF(#REF!,funkcijska!$E572,#REF!)</f>
        <v>#REF!</v>
      </c>
      <c r="Q572" s="386" t="e">
        <f>SUMIF(#REF!,funkcijska!$E572,#REF!)</f>
        <v>#REF!</v>
      </c>
      <c r="R572" s="82" t="e">
        <f>SUMIF(#REF!,funkcijska!$E572,#REF!)</f>
        <v>#REF!</v>
      </c>
      <c r="S572" s="82" t="e">
        <f>SUMIF(#REF!,funkcijska!$E572,#REF!)</f>
        <v>#REF!</v>
      </c>
      <c r="T572" s="82" t="e">
        <f>SUMIF(#REF!,funkcijska!$E$98,#REF!)</f>
        <v>#REF!</v>
      </c>
      <c r="U572" s="357" t="e">
        <f>SUMIF(#REF!,funkcijska!$E572,#REF!)</f>
        <v>#REF!</v>
      </c>
      <c r="V572" s="357" t="e">
        <f>SUMIF(#REF!,funkcijska!$E572,#REF!)</f>
        <v>#REF!</v>
      </c>
      <c r="W572" s="357" t="e">
        <f>SUMIF(#REF!,funkcijska!$E572,#REF!)</f>
        <v>#REF!</v>
      </c>
      <c r="X572" s="357" t="e">
        <f>SUMIF(#REF!,funkcijska!$E572,#REF!)</f>
        <v>#REF!</v>
      </c>
      <c r="AD572" s="60"/>
      <c r="AE572" s="60"/>
      <c r="AF572" s="60"/>
      <c r="AG572" s="60"/>
      <c r="AH572" s="60"/>
      <c r="AI572" s="60"/>
      <c r="AJ572" s="60"/>
      <c r="AK572" s="60"/>
      <c r="AL572" s="60"/>
    </row>
    <row r="573" spans="1:38" ht="23.25" customHeight="1" x14ac:dyDescent="0.25">
      <c r="A573" s="80"/>
      <c r="B573" s="80"/>
      <c r="C573" s="80"/>
      <c r="D573" s="80"/>
      <c r="E573" s="80">
        <v>4223</v>
      </c>
      <c r="F573" s="81" t="s">
        <v>628</v>
      </c>
      <c r="G573" s="82" t="e">
        <f>SUMIF(#REF!,funkcijska!$E573,#REF!)</f>
        <v>#REF!</v>
      </c>
      <c r="H573" s="82" t="e">
        <f>SUMIF(#REF!,funkcijska!$E573,#REF!)</f>
        <v>#REF!</v>
      </c>
      <c r="I573" s="82" t="e">
        <f>SUMIF(#REF!,funkcijska!$E573,#REF!)</f>
        <v>#REF!</v>
      </c>
      <c r="J573" s="82" t="e">
        <f>SUMIF(#REF!,funkcijska!$E573,#REF!)</f>
        <v>#REF!</v>
      </c>
      <c r="K573" s="82" t="e">
        <f>SUMIF(#REF!,funkcijska!$E573,#REF!)</f>
        <v>#REF!</v>
      </c>
      <c r="L573" s="82" t="e">
        <f t="shared" si="282"/>
        <v>#REF!</v>
      </c>
      <c r="M573" s="82" t="e">
        <f t="shared" si="283"/>
        <v>#REF!</v>
      </c>
      <c r="N573" s="82" t="e">
        <f>SUMIF(#REF!,funkcijska!$E573,#REF!)</f>
        <v>#REF!</v>
      </c>
      <c r="O573" s="82" t="e">
        <f>SUMIF(#REF!,funkcijska!$E573,#REF!)</f>
        <v>#REF!</v>
      </c>
      <c r="P573" s="82" t="e">
        <f>SUMIF(#REF!,funkcijska!$E573,#REF!)</f>
        <v>#REF!</v>
      </c>
      <c r="Q573" s="386" t="e">
        <f>SUMIF(#REF!,funkcijska!$E573,#REF!)</f>
        <v>#REF!</v>
      </c>
      <c r="R573" s="82" t="e">
        <f>SUMIF(#REF!,funkcijska!$E573,#REF!)</f>
        <v>#REF!</v>
      </c>
      <c r="S573" s="82" t="e">
        <f>SUMIF(#REF!,funkcijska!$E573,#REF!)</f>
        <v>#REF!</v>
      </c>
      <c r="T573" s="82" t="e">
        <f>SUMIF(#REF!,funkcijska!$E$99,#REF!)</f>
        <v>#REF!</v>
      </c>
      <c r="U573" s="357" t="e">
        <f>SUMIF(#REF!,funkcijska!$E573,#REF!)</f>
        <v>#REF!</v>
      </c>
      <c r="V573" s="357" t="e">
        <f>SUMIF(#REF!,funkcijska!$E573,#REF!)</f>
        <v>#REF!</v>
      </c>
      <c r="W573" s="357" t="e">
        <f>SUMIF(#REF!,funkcijska!$E573,#REF!)</f>
        <v>#REF!</v>
      </c>
      <c r="X573" s="357" t="e">
        <f>SUMIF(#REF!,funkcijska!$E573,#REF!)</f>
        <v>#REF!</v>
      </c>
      <c r="AD573" s="60"/>
      <c r="AE573" s="60"/>
      <c r="AF573" s="60"/>
      <c r="AG573" s="60"/>
      <c r="AH573" s="60"/>
      <c r="AI573" s="60"/>
      <c r="AJ573" s="60"/>
      <c r="AK573" s="60"/>
      <c r="AL573" s="60"/>
    </row>
    <row r="574" spans="1:38" x14ac:dyDescent="0.25">
      <c r="A574" s="80"/>
      <c r="B574" s="80"/>
      <c r="C574" s="80"/>
      <c r="D574" s="80"/>
      <c r="E574" s="80">
        <v>4224</v>
      </c>
      <c r="F574" s="81" t="s">
        <v>638</v>
      </c>
      <c r="G574" s="82" t="e">
        <f>SUMIF(#REF!,funkcijska!$E574,#REF!)</f>
        <v>#REF!</v>
      </c>
      <c r="H574" s="82" t="e">
        <f>SUMIF(#REF!,funkcijska!$E574,#REF!)</f>
        <v>#REF!</v>
      </c>
      <c r="I574" s="82" t="e">
        <f>SUMIF(#REF!,funkcijska!$E574,#REF!)</f>
        <v>#REF!</v>
      </c>
      <c r="J574" s="82" t="e">
        <f>SUMIF(#REF!,funkcijska!$E574,#REF!)</f>
        <v>#REF!</v>
      </c>
      <c r="K574" s="82" t="e">
        <f>SUMIF(#REF!,funkcijska!$E574,#REF!)</f>
        <v>#REF!</v>
      </c>
      <c r="L574" s="82" t="e">
        <f t="shared" si="282"/>
        <v>#REF!</v>
      </c>
      <c r="M574" s="82" t="e">
        <f t="shared" si="283"/>
        <v>#REF!</v>
      </c>
      <c r="N574" s="82" t="e">
        <f>SUMIF(#REF!,funkcijska!$E574,#REF!)</f>
        <v>#REF!</v>
      </c>
      <c r="O574" s="82" t="e">
        <f>SUMIF(#REF!,funkcijska!$E574,#REF!)</f>
        <v>#REF!</v>
      </c>
      <c r="P574" s="82" t="e">
        <f>SUMIF(#REF!,funkcijska!$E574,#REF!)</f>
        <v>#REF!</v>
      </c>
      <c r="Q574" s="386" t="e">
        <f>SUMIF(#REF!,funkcijska!$E574,#REF!)</f>
        <v>#REF!</v>
      </c>
      <c r="R574" s="82" t="e">
        <f>SUMIF(#REF!,funkcijska!$E574,#REF!)</f>
        <v>#REF!</v>
      </c>
      <c r="S574" s="82" t="e">
        <f>SUMIF(#REF!,funkcijska!$E574,#REF!)</f>
        <v>#REF!</v>
      </c>
      <c r="T574" s="82" t="e">
        <f>SUMIF(#REF!,funkcijska!$E$100,#REF!)</f>
        <v>#REF!</v>
      </c>
      <c r="U574" s="357" t="e">
        <f>SUMIF(#REF!,funkcijska!$E574,#REF!)</f>
        <v>#REF!</v>
      </c>
      <c r="V574" s="357" t="e">
        <f>SUMIF(#REF!,funkcijska!$E574,#REF!)</f>
        <v>#REF!</v>
      </c>
      <c r="W574" s="357" t="e">
        <f>SUMIF(#REF!,funkcijska!$E574,#REF!)</f>
        <v>#REF!</v>
      </c>
      <c r="X574" s="357" t="e">
        <f>SUMIF(#REF!,funkcijska!$E574,#REF!)</f>
        <v>#REF!</v>
      </c>
      <c r="AD574" s="60"/>
      <c r="AE574" s="60"/>
      <c r="AF574" s="60"/>
      <c r="AG574" s="60"/>
      <c r="AH574" s="60"/>
      <c r="AI574" s="60"/>
      <c r="AJ574" s="60"/>
      <c r="AK574" s="60"/>
      <c r="AL574" s="60"/>
    </row>
    <row r="575" spans="1:38" ht="18" customHeight="1" x14ac:dyDescent="0.25">
      <c r="A575" s="80"/>
      <c r="B575" s="80"/>
      <c r="C575" s="80"/>
      <c r="D575" s="80"/>
      <c r="E575" s="80">
        <v>4225</v>
      </c>
      <c r="F575" s="81" t="s">
        <v>844</v>
      </c>
      <c r="G575" s="82" t="e">
        <f>SUMIF(#REF!,funkcijska!$E575,#REF!)</f>
        <v>#REF!</v>
      </c>
      <c r="H575" s="82" t="e">
        <f>SUMIF(#REF!,funkcijska!$E575,#REF!)</f>
        <v>#REF!</v>
      </c>
      <c r="I575" s="82" t="e">
        <f>SUMIF(#REF!,funkcijska!$E575,#REF!)</f>
        <v>#REF!</v>
      </c>
      <c r="J575" s="82" t="e">
        <f>SUMIF(#REF!,funkcijska!$E575,#REF!)</f>
        <v>#REF!</v>
      </c>
      <c r="K575" s="82" t="e">
        <f>SUMIF(#REF!,funkcijska!$E575,#REF!)</f>
        <v>#REF!</v>
      </c>
      <c r="L575" s="82" t="e">
        <f t="shared" si="282"/>
        <v>#REF!</v>
      </c>
      <c r="M575" s="82" t="e">
        <f t="shared" si="283"/>
        <v>#REF!</v>
      </c>
      <c r="N575" s="82" t="e">
        <f>SUMIF(#REF!,funkcijska!$E575,#REF!)</f>
        <v>#REF!</v>
      </c>
      <c r="O575" s="82" t="e">
        <f>SUMIF(#REF!,funkcijska!$E575,#REF!)</f>
        <v>#REF!</v>
      </c>
      <c r="P575" s="82" t="e">
        <f>SUMIF(#REF!,funkcijska!$E575,#REF!)</f>
        <v>#REF!</v>
      </c>
      <c r="Q575" s="386" t="e">
        <f>SUMIF(#REF!,funkcijska!$E575,#REF!)</f>
        <v>#REF!</v>
      </c>
      <c r="R575" s="82" t="e">
        <f>SUMIF(#REF!,funkcijska!$E575,#REF!)</f>
        <v>#REF!</v>
      </c>
      <c r="S575" s="82" t="e">
        <f>SUMIF(#REF!,funkcijska!$E575,#REF!)</f>
        <v>#REF!</v>
      </c>
      <c r="T575" s="82" t="e">
        <f>SUMIF(#REF!,funkcijska!$E$101,#REF!)</f>
        <v>#REF!</v>
      </c>
      <c r="U575" s="357" t="e">
        <f>SUMIF(#REF!,funkcijska!$E575,#REF!)</f>
        <v>#REF!</v>
      </c>
      <c r="V575" s="357" t="e">
        <f>SUMIF(#REF!,funkcijska!$E575,#REF!)</f>
        <v>#REF!</v>
      </c>
      <c r="W575" s="357" t="e">
        <f>SUMIF(#REF!,funkcijska!$E575,#REF!)</f>
        <v>#REF!</v>
      </c>
      <c r="X575" s="357" t="e">
        <f>SUMIF(#REF!,funkcijska!$E575,#REF!)</f>
        <v>#REF!</v>
      </c>
      <c r="AD575" s="60"/>
      <c r="AE575" s="60"/>
      <c r="AF575" s="60"/>
      <c r="AG575" s="60"/>
      <c r="AH575" s="60"/>
      <c r="AI575" s="60"/>
      <c r="AJ575" s="60"/>
      <c r="AK575" s="60"/>
      <c r="AL575" s="60"/>
    </row>
    <row r="576" spans="1:38" ht="20.25" customHeight="1" x14ac:dyDescent="0.25">
      <c r="A576" s="80"/>
      <c r="B576" s="80"/>
      <c r="C576" s="80"/>
      <c r="D576" s="80"/>
      <c r="E576" s="80">
        <v>4226</v>
      </c>
      <c r="F576" s="81" t="s">
        <v>432</v>
      </c>
      <c r="G576" s="82" t="e">
        <f>SUMIF(#REF!,funkcijska!$E576,#REF!)</f>
        <v>#REF!</v>
      </c>
      <c r="H576" s="82" t="e">
        <f>SUMIF(#REF!,funkcijska!$E576,#REF!)</f>
        <v>#REF!</v>
      </c>
      <c r="I576" s="82" t="e">
        <f>SUMIF(#REF!,funkcijska!$E576,#REF!)</f>
        <v>#REF!</v>
      </c>
      <c r="J576" s="82" t="e">
        <f>SUMIF(#REF!,funkcijska!$E576,#REF!)</f>
        <v>#REF!</v>
      </c>
      <c r="K576" s="82" t="e">
        <f>SUMIF(#REF!,funkcijska!$E576,#REF!)</f>
        <v>#REF!</v>
      </c>
      <c r="L576" s="82" t="e">
        <f t="shared" si="282"/>
        <v>#REF!</v>
      </c>
      <c r="M576" s="82" t="e">
        <f t="shared" si="283"/>
        <v>#REF!</v>
      </c>
      <c r="N576" s="82" t="e">
        <f>SUMIF(#REF!,funkcijska!$E576,#REF!)</f>
        <v>#REF!</v>
      </c>
      <c r="O576" s="82" t="e">
        <f>SUMIF(#REF!,funkcijska!$E576,#REF!)</f>
        <v>#REF!</v>
      </c>
      <c r="P576" s="82" t="e">
        <f>SUMIF(#REF!,funkcijska!$E576,#REF!)</f>
        <v>#REF!</v>
      </c>
      <c r="Q576" s="386" t="e">
        <f>SUMIF(#REF!,funkcijska!$E576,#REF!)</f>
        <v>#REF!</v>
      </c>
      <c r="R576" s="82" t="e">
        <f>SUMIF(#REF!,funkcijska!$E576,#REF!)</f>
        <v>#REF!</v>
      </c>
      <c r="S576" s="82" t="e">
        <f>SUMIF(#REF!,funkcijska!$E576,#REF!)</f>
        <v>#REF!</v>
      </c>
      <c r="T576" s="82" t="e">
        <f>SUMIF(#REF!,funkcijska!$E$102,#REF!)</f>
        <v>#REF!</v>
      </c>
      <c r="U576" s="357" t="e">
        <f>SUMIF(#REF!,funkcijska!$E576,#REF!)</f>
        <v>#REF!</v>
      </c>
      <c r="V576" s="357" t="e">
        <f>SUMIF(#REF!,funkcijska!$E576,#REF!)</f>
        <v>#REF!</v>
      </c>
      <c r="W576" s="357" t="e">
        <f>SUMIF(#REF!,funkcijska!$E576,#REF!)</f>
        <v>#REF!</v>
      </c>
      <c r="X576" s="357" t="e">
        <f>SUMIF(#REF!,funkcijska!$E576,#REF!)</f>
        <v>#REF!</v>
      </c>
      <c r="AD576" s="60"/>
      <c r="AE576" s="60"/>
      <c r="AF576" s="60"/>
      <c r="AG576" s="60"/>
      <c r="AH576" s="60"/>
      <c r="AI576" s="60"/>
      <c r="AJ576" s="60"/>
      <c r="AK576" s="60"/>
      <c r="AL576" s="60"/>
    </row>
    <row r="577" spans="1:38" ht="18.75" customHeight="1" x14ac:dyDescent="0.25">
      <c r="A577" s="80"/>
      <c r="B577" s="80"/>
      <c r="C577" s="80"/>
      <c r="D577" s="80"/>
      <c r="E577" s="80">
        <v>4227</v>
      </c>
      <c r="F577" s="81" t="s">
        <v>413</v>
      </c>
      <c r="G577" s="82" t="e">
        <f>SUMIF(#REF!,funkcijska!$E577,#REF!)</f>
        <v>#REF!</v>
      </c>
      <c r="H577" s="82" t="e">
        <f>SUMIF(#REF!,funkcijska!$E577,#REF!)</f>
        <v>#REF!</v>
      </c>
      <c r="I577" s="82" t="e">
        <f>SUMIF(#REF!,funkcijska!$E577,#REF!)</f>
        <v>#REF!</v>
      </c>
      <c r="J577" s="82" t="e">
        <f>SUMIF(#REF!,funkcijska!$E577,#REF!)</f>
        <v>#REF!</v>
      </c>
      <c r="K577" s="82" t="e">
        <f>SUMIF(#REF!,funkcijska!$E577,#REF!)</f>
        <v>#REF!</v>
      </c>
      <c r="L577" s="82" t="e">
        <f t="shared" si="282"/>
        <v>#REF!</v>
      </c>
      <c r="M577" s="82" t="e">
        <f t="shared" si="283"/>
        <v>#REF!</v>
      </c>
      <c r="N577" s="82" t="e">
        <f>SUMIF(#REF!,funkcijska!$E577,#REF!)</f>
        <v>#REF!</v>
      </c>
      <c r="O577" s="82" t="e">
        <f>SUMIF(#REF!,funkcijska!$E577,#REF!)</f>
        <v>#REF!</v>
      </c>
      <c r="P577" s="82" t="e">
        <f>SUMIF(#REF!,funkcijska!$E577,#REF!)</f>
        <v>#REF!</v>
      </c>
      <c r="Q577" s="386" t="e">
        <f>SUMIF(#REF!,funkcijska!$E577,#REF!)</f>
        <v>#REF!</v>
      </c>
      <c r="R577" s="82" t="e">
        <f>SUMIF(#REF!,funkcijska!$E577,#REF!)</f>
        <v>#REF!</v>
      </c>
      <c r="S577" s="82" t="e">
        <f>SUMIF(#REF!,funkcijska!$E577,#REF!)</f>
        <v>#REF!</v>
      </c>
      <c r="T577" s="82" t="e">
        <f>SUMIF(#REF!,funkcijska!$E$103,#REF!)</f>
        <v>#REF!</v>
      </c>
      <c r="U577" s="357" t="e">
        <f>SUMIF(#REF!,funkcijska!$E577,#REF!)</f>
        <v>#REF!</v>
      </c>
      <c r="V577" s="357" t="e">
        <f>SUMIF(#REF!,funkcijska!$E577,#REF!)</f>
        <v>#REF!</v>
      </c>
      <c r="W577" s="357" t="e">
        <f>SUMIF(#REF!,funkcijska!$E577,#REF!)</f>
        <v>#REF!</v>
      </c>
      <c r="X577" s="357" t="e">
        <f>SUMIF(#REF!,funkcijska!$E577,#REF!)</f>
        <v>#REF!</v>
      </c>
      <c r="AD577" s="60"/>
      <c r="AE577" s="60"/>
      <c r="AF577" s="60"/>
      <c r="AG577" s="60"/>
      <c r="AH577" s="60"/>
      <c r="AI577" s="60"/>
      <c r="AJ577" s="60"/>
      <c r="AK577" s="60"/>
      <c r="AL577" s="60"/>
    </row>
    <row r="578" spans="1:38" s="373" customFormat="1" ht="17.25" customHeight="1" x14ac:dyDescent="0.25">
      <c r="A578" s="119"/>
      <c r="B578" s="119"/>
      <c r="C578" s="119"/>
      <c r="D578" s="119" t="str">
        <f>LEFT(E579,3)</f>
        <v>423</v>
      </c>
      <c r="E578" s="119"/>
      <c r="F578" s="368" t="s">
        <v>223</v>
      </c>
      <c r="G578" s="369" t="e">
        <f>G579</f>
        <v>#REF!</v>
      </c>
      <c r="H578" s="370" t="e">
        <f>H579</f>
        <v>#REF!</v>
      </c>
      <c r="I578" s="369" t="e">
        <f>I579</f>
        <v>#REF!</v>
      </c>
      <c r="J578" s="369" t="e">
        <f>J579</f>
        <v>#REF!</v>
      </c>
      <c r="K578" s="369" t="e">
        <f>K579</f>
        <v>#REF!</v>
      </c>
      <c r="L578" s="369" t="e">
        <f t="shared" si="282"/>
        <v>#REF!</v>
      </c>
      <c r="M578" s="369" t="e">
        <f t="shared" si="283"/>
        <v>#REF!</v>
      </c>
      <c r="N578" s="369" t="e">
        <f t="shared" ref="N578:X578" si="284">N579</f>
        <v>#REF!</v>
      </c>
      <c r="O578" s="137" t="e">
        <f t="shared" si="284"/>
        <v>#REF!</v>
      </c>
      <c r="P578" s="137" t="e">
        <f t="shared" si="284"/>
        <v>#REF!</v>
      </c>
      <c r="Q578" s="393" t="e">
        <f t="shared" si="284"/>
        <v>#REF!</v>
      </c>
      <c r="R578" s="137" t="e">
        <f t="shared" si="284"/>
        <v>#REF!</v>
      </c>
      <c r="S578" s="137" t="e">
        <f t="shared" si="284"/>
        <v>#REF!</v>
      </c>
      <c r="T578" s="137" t="e">
        <f t="shared" si="284"/>
        <v>#REF!</v>
      </c>
      <c r="U578" s="371" t="e">
        <f t="shared" si="284"/>
        <v>#REF!</v>
      </c>
      <c r="V578" s="371" t="e">
        <f t="shared" si="284"/>
        <v>#REF!</v>
      </c>
      <c r="W578" s="371" t="e">
        <f t="shared" si="284"/>
        <v>#REF!</v>
      </c>
      <c r="X578" s="371" t="e">
        <f t="shared" si="284"/>
        <v>#REF!</v>
      </c>
      <c r="Y578" s="372"/>
      <c r="Z578" s="372"/>
      <c r="AA578" s="372"/>
      <c r="AB578" s="372"/>
      <c r="AC578" s="372"/>
      <c r="AD578" s="372"/>
      <c r="AE578" s="372"/>
      <c r="AF578" s="372"/>
      <c r="AG578" s="372"/>
      <c r="AH578" s="372"/>
      <c r="AI578" s="372"/>
      <c r="AJ578" s="372"/>
      <c r="AK578" s="372"/>
      <c r="AL578" s="372"/>
    </row>
    <row r="579" spans="1:38" ht="21" customHeight="1" x14ac:dyDescent="0.25">
      <c r="A579" s="80"/>
      <c r="B579" s="80"/>
      <c r="C579" s="80"/>
      <c r="D579" s="80"/>
      <c r="E579" s="80">
        <v>4231</v>
      </c>
      <c r="F579" s="81" t="s">
        <v>1028</v>
      </c>
      <c r="G579" s="82" t="e">
        <f>SUMIF(#REF!,funkcijska!$E579,#REF!)</f>
        <v>#REF!</v>
      </c>
      <c r="H579" s="82" t="e">
        <f>SUMIF(#REF!,funkcijska!$E579,#REF!)</f>
        <v>#REF!</v>
      </c>
      <c r="I579" s="82" t="e">
        <f>SUMIF(#REF!,funkcijska!$E579,#REF!)</f>
        <v>#REF!</v>
      </c>
      <c r="J579" s="82" t="e">
        <f>SUMIF(#REF!,funkcijska!$E579,#REF!)</f>
        <v>#REF!</v>
      </c>
      <c r="K579" s="82" t="e">
        <f>SUMIF(#REF!,funkcijska!$E579,#REF!)</f>
        <v>#REF!</v>
      </c>
      <c r="L579" s="82" t="e">
        <f t="shared" si="282"/>
        <v>#REF!</v>
      </c>
      <c r="M579" s="82" t="e">
        <f t="shared" si="283"/>
        <v>#REF!</v>
      </c>
      <c r="N579" s="82" t="e">
        <f>SUMIF(#REF!,funkcijska!$E579,#REF!)</f>
        <v>#REF!</v>
      </c>
      <c r="O579" s="82" t="e">
        <f>SUMIF(#REF!,funkcijska!$E579,#REF!)</f>
        <v>#REF!</v>
      </c>
      <c r="P579" s="82" t="e">
        <f>SUMIF(#REF!,funkcijska!$E579,#REF!)</f>
        <v>#REF!</v>
      </c>
      <c r="Q579" s="386" t="e">
        <f>SUMIF(#REF!,funkcijska!$E579,#REF!)</f>
        <v>#REF!</v>
      </c>
      <c r="R579" s="82" t="e">
        <f>SUMIF(#REF!,funkcijska!$E579,#REF!)</f>
        <v>#REF!</v>
      </c>
      <c r="S579" s="82" t="e">
        <f>SUMIF(#REF!,funkcijska!$E579,#REF!)</f>
        <v>#REF!</v>
      </c>
      <c r="T579" s="82" t="e">
        <f>SUMIF(#REF!,funkcijska!$E$105,#REF!)</f>
        <v>#REF!</v>
      </c>
      <c r="U579" s="357" t="e">
        <f>SUMIF(#REF!,funkcijska!$E579,#REF!)</f>
        <v>#REF!</v>
      </c>
      <c r="V579" s="357" t="e">
        <f>SUMIF(#REF!,funkcijska!$E579,#REF!)</f>
        <v>#REF!</v>
      </c>
      <c r="W579" s="357" t="e">
        <f>SUMIF(#REF!,funkcijska!$E579,#REF!)</f>
        <v>#REF!</v>
      </c>
      <c r="X579" s="357" t="e">
        <f>SUMIF(#REF!,funkcijska!$E579,#REF!)</f>
        <v>#REF!</v>
      </c>
      <c r="AD579" s="60"/>
      <c r="AE579" s="60"/>
      <c r="AF579" s="60"/>
      <c r="AG579" s="60"/>
      <c r="AH579" s="60"/>
      <c r="AI579" s="60"/>
      <c r="AJ579" s="60"/>
      <c r="AK579" s="60"/>
      <c r="AL579" s="60"/>
    </row>
    <row r="580" spans="1:38" s="373" customFormat="1" ht="37.5" customHeight="1" x14ac:dyDescent="0.25">
      <c r="A580" s="119"/>
      <c r="B580" s="119"/>
      <c r="C580" s="119"/>
      <c r="D580" s="119" t="str">
        <f>LEFT(E581,3)</f>
        <v>424</v>
      </c>
      <c r="E580" s="119"/>
      <c r="F580" s="368" t="s">
        <v>447</v>
      </c>
      <c r="G580" s="369" t="e">
        <f>G581</f>
        <v>#REF!</v>
      </c>
      <c r="H580" s="370" t="e">
        <f>H581</f>
        <v>#REF!</v>
      </c>
      <c r="I580" s="369" t="e">
        <f>I581</f>
        <v>#REF!</v>
      </c>
      <c r="J580" s="369" t="e">
        <f>J581</f>
        <v>#REF!</v>
      </c>
      <c r="K580" s="369" t="e">
        <f>K581</f>
        <v>#REF!</v>
      </c>
      <c r="L580" s="369" t="e">
        <f t="shared" si="282"/>
        <v>#REF!</v>
      </c>
      <c r="M580" s="369" t="e">
        <f t="shared" si="283"/>
        <v>#REF!</v>
      </c>
      <c r="N580" s="369" t="e">
        <f t="shared" ref="N580:X580" si="285">N581</f>
        <v>#REF!</v>
      </c>
      <c r="O580" s="137" t="e">
        <f t="shared" si="285"/>
        <v>#REF!</v>
      </c>
      <c r="P580" s="137" t="e">
        <f t="shared" si="285"/>
        <v>#REF!</v>
      </c>
      <c r="Q580" s="393" t="e">
        <f t="shared" si="285"/>
        <v>#REF!</v>
      </c>
      <c r="R580" s="137" t="e">
        <f t="shared" si="285"/>
        <v>#REF!</v>
      </c>
      <c r="S580" s="137" t="e">
        <f t="shared" si="285"/>
        <v>#REF!</v>
      </c>
      <c r="T580" s="137" t="e">
        <f t="shared" si="285"/>
        <v>#REF!</v>
      </c>
      <c r="U580" s="371" t="e">
        <f t="shared" si="285"/>
        <v>#REF!</v>
      </c>
      <c r="V580" s="371" t="e">
        <f t="shared" si="285"/>
        <v>#REF!</v>
      </c>
      <c r="W580" s="371" t="e">
        <f t="shared" si="285"/>
        <v>#REF!</v>
      </c>
      <c r="X580" s="371" t="e">
        <f t="shared" si="285"/>
        <v>#REF!</v>
      </c>
      <c r="Y580" s="372"/>
      <c r="Z580" s="372"/>
      <c r="AA580" s="372"/>
      <c r="AB580" s="372"/>
      <c r="AC580" s="372"/>
      <c r="AD580" s="372"/>
      <c r="AE580" s="372"/>
      <c r="AF580" s="372"/>
      <c r="AG580" s="372"/>
      <c r="AH580" s="372"/>
      <c r="AI580" s="372"/>
      <c r="AJ580" s="372"/>
      <c r="AK580" s="372"/>
      <c r="AL580" s="372"/>
    </row>
    <row r="581" spans="1:38" ht="21" customHeight="1" x14ac:dyDescent="0.25">
      <c r="A581" s="80"/>
      <c r="B581" s="80"/>
      <c r="C581" s="80"/>
      <c r="D581" s="80"/>
      <c r="E581" s="80">
        <v>4241</v>
      </c>
      <c r="F581" s="81" t="s">
        <v>437</v>
      </c>
      <c r="G581" s="82" t="e">
        <f>SUMIF(#REF!,funkcijska!$E581,#REF!)</f>
        <v>#REF!</v>
      </c>
      <c r="H581" s="82" t="e">
        <f>SUMIF(#REF!,funkcijska!$E581,#REF!)</f>
        <v>#REF!</v>
      </c>
      <c r="I581" s="82" t="e">
        <f>SUMIF(#REF!,funkcijska!$E581,#REF!)</f>
        <v>#REF!</v>
      </c>
      <c r="J581" s="82" t="e">
        <f>SUMIF(#REF!,funkcijska!$E581,#REF!)</f>
        <v>#REF!</v>
      </c>
      <c r="K581" s="82" t="e">
        <f>SUMIF(#REF!,funkcijska!$E581,#REF!)</f>
        <v>#REF!</v>
      </c>
      <c r="L581" s="82" t="e">
        <f t="shared" si="282"/>
        <v>#REF!</v>
      </c>
      <c r="M581" s="82" t="e">
        <f t="shared" si="283"/>
        <v>#REF!</v>
      </c>
      <c r="N581" s="82" t="e">
        <f>SUMIF(#REF!,funkcijska!$E581,#REF!)</f>
        <v>#REF!</v>
      </c>
      <c r="O581" s="82" t="e">
        <f>SUMIF(#REF!,funkcijska!$E581,#REF!)</f>
        <v>#REF!</v>
      </c>
      <c r="P581" s="82" t="e">
        <f>SUMIF(#REF!,funkcijska!$E581,#REF!)</f>
        <v>#REF!</v>
      </c>
      <c r="Q581" s="386" t="e">
        <f>SUMIF(#REF!,funkcijska!$E581,#REF!)</f>
        <v>#REF!</v>
      </c>
      <c r="R581" s="82" t="e">
        <f>SUMIF(#REF!,funkcijska!$E581,#REF!)</f>
        <v>#REF!</v>
      </c>
      <c r="S581" s="82" t="e">
        <f>SUMIF(#REF!,funkcijska!$E581,#REF!)</f>
        <v>#REF!</v>
      </c>
      <c r="T581" s="82" t="e">
        <f>SUMIF(#REF!,funkcijska!$E$107,#REF!)</f>
        <v>#REF!</v>
      </c>
      <c r="U581" s="357" t="e">
        <f>SUMIF(#REF!,funkcijska!$E581,#REF!)</f>
        <v>#REF!</v>
      </c>
      <c r="V581" s="357" t="e">
        <f>SUMIF(#REF!,funkcijska!$E581,#REF!)</f>
        <v>#REF!</v>
      </c>
      <c r="W581" s="357" t="e">
        <f>SUMIF(#REF!,funkcijska!$E581,#REF!)</f>
        <v>#REF!</v>
      </c>
      <c r="X581" s="357" t="e">
        <f>SUMIF(#REF!,funkcijska!$E581,#REF!)</f>
        <v>#REF!</v>
      </c>
      <c r="AD581" s="60"/>
      <c r="AE581" s="60"/>
      <c r="AF581" s="60"/>
      <c r="AG581" s="60"/>
      <c r="AH581" s="60"/>
      <c r="AI581" s="60"/>
      <c r="AJ581" s="60"/>
      <c r="AK581" s="60"/>
      <c r="AL581" s="60"/>
    </row>
    <row r="582" spans="1:38" ht="18" hidden="1" customHeight="1" x14ac:dyDescent="0.25">
      <c r="A582" s="80"/>
      <c r="B582" s="80"/>
      <c r="C582" s="80"/>
      <c r="D582" s="80" t="str">
        <f>LEFT(E583,3)</f>
        <v>425</v>
      </c>
      <c r="E582" s="80"/>
      <c r="F582" s="81" t="s">
        <v>839</v>
      </c>
      <c r="G582" s="84" t="e">
        <f>G583</f>
        <v>#REF!</v>
      </c>
      <c r="H582" s="102" t="e">
        <f>H583</f>
        <v>#REF!</v>
      </c>
      <c r="I582" s="84" t="e">
        <f>I583</f>
        <v>#REF!</v>
      </c>
      <c r="J582" s="84" t="e">
        <f>J583</f>
        <v>#REF!</v>
      </c>
      <c r="K582" s="84" t="e">
        <f>K583</f>
        <v>#REF!</v>
      </c>
      <c r="L582" s="84" t="e">
        <f t="shared" si="282"/>
        <v>#REF!</v>
      </c>
      <c r="M582" s="84" t="e">
        <f t="shared" si="283"/>
        <v>#REF!</v>
      </c>
      <c r="N582" s="84" t="e">
        <f>N583</f>
        <v>#REF!</v>
      </c>
      <c r="O582" s="82" t="e">
        <f>O583</f>
        <v>#REF!</v>
      </c>
      <c r="P582" s="82" t="e">
        <f>P583</f>
        <v>#REF!</v>
      </c>
      <c r="Q582" s="389" t="e">
        <f>U582-O582</f>
        <v>#REF!</v>
      </c>
      <c r="R582" s="82" t="e">
        <f t="shared" ref="R582:X582" si="286">R583</f>
        <v>#REF!</v>
      </c>
      <c r="S582" s="82" t="e">
        <f t="shared" si="286"/>
        <v>#REF!</v>
      </c>
      <c r="T582" s="82" t="e">
        <f t="shared" si="286"/>
        <v>#REF!</v>
      </c>
      <c r="U582" s="357" t="e">
        <f t="shared" si="286"/>
        <v>#REF!</v>
      </c>
      <c r="V582" s="357" t="e">
        <f t="shared" si="286"/>
        <v>#REF!</v>
      </c>
      <c r="W582" s="357" t="e">
        <f t="shared" si="286"/>
        <v>#REF!</v>
      </c>
      <c r="X582" s="357" t="e">
        <f t="shared" si="286"/>
        <v>#REF!</v>
      </c>
      <c r="AD582" s="60"/>
      <c r="AE582" s="60"/>
      <c r="AF582" s="60"/>
      <c r="AG582" s="60"/>
      <c r="AH582" s="60"/>
      <c r="AI582" s="60"/>
      <c r="AJ582" s="60"/>
      <c r="AK582" s="60"/>
      <c r="AL582" s="60"/>
    </row>
    <row r="583" spans="1:38" ht="22.5" hidden="1" customHeight="1" x14ac:dyDescent="0.25">
      <c r="A583" s="80"/>
      <c r="B583" s="80"/>
      <c r="C583" s="80"/>
      <c r="D583" s="80"/>
      <c r="E583" s="80" t="s">
        <v>1029</v>
      </c>
      <c r="F583" s="81" t="s">
        <v>840</v>
      </c>
      <c r="G583" s="82" t="e">
        <f>SUMIF(#REF!,funkcijska!$E583,#REF!)</f>
        <v>#REF!</v>
      </c>
      <c r="H583" s="82" t="e">
        <f>SUMIF(#REF!,funkcijska!$E583,#REF!)</f>
        <v>#REF!</v>
      </c>
      <c r="I583" s="82" t="e">
        <f>SUMIF(#REF!,funkcijska!$E583,#REF!)</f>
        <v>#REF!</v>
      </c>
      <c r="J583" s="82" t="e">
        <f>SUMIF(#REF!,funkcijska!$E583,#REF!)</f>
        <v>#REF!</v>
      </c>
      <c r="K583" s="82" t="e">
        <f>SUMIF(#REF!,funkcijska!$E583,#REF!)</f>
        <v>#REF!</v>
      </c>
      <c r="L583" s="82" t="e">
        <f t="shared" si="282"/>
        <v>#REF!</v>
      </c>
      <c r="M583" s="82" t="e">
        <f t="shared" si="283"/>
        <v>#REF!</v>
      </c>
      <c r="N583" s="82" t="e">
        <f>SUMIF(#REF!,funkcijska!$E583,#REF!)</f>
        <v>#REF!</v>
      </c>
      <c r="O583" s="82" t="e">
        <f>SUMIF(#REF!,funkcijska!$E583,#REF!)</f>
        <v>#REF!</v>
      </c>
      <c r="P583" s="82" t="e">
        <f>SUMIF(#REF!,funkcijska!$E583,#REF!)</f>
        <v>#REF!</v>
      </c>
      <c r="Q583" s="389" t="e">
        <f>U583-O583</f>
        <v>#REF!</v>
      </c>
      <c r="R583" s="82" t="e">
        <f>SUMIF(#REF!,funkcijska!$E583,#REF!)</f>
        <v>#REF!</v>
      </c>
      <c r="S583" s="82" t="e">
        <f>SUMIF(#REF!,funkcijska!$E583,#REF!)</f>
        <v>#REF!</v>
      </c>
      <c r="T583" s="82" t="e">
        <f>SUMIF(#REF!,funkcijska!$E$109,#REF!)</f>
        <v>#REF!</v>
      </c>
      <c r="U583" s="357" t="e">
        <f>SUMIF(#REF!,funkcijska!$E583,#REF!)</f>
        <v>#REF!</v>
      </c>
      <c r="V583" s="357" t="e">
        <f>SUMIF(#REF!,funkcijska!$E583,#REF!)</f>
        <v>#REF!</v>
      </c>
      <c r="W583" s="357" t="e">
        <f>SUMIF(#REF!,funkcijska!$E583,#REF!)</f>
        <v>#REF!</v>
      </c>
      <c r="X583" s="357" t="e">
        <f>SUMIF(#REF!,funkcijska!$E583,#REF!)</f>
        <v>#REF!</v>
      </c>
      <c r="AD583" s="60"/>
      <c r="AE583" s="60"/>
      <c r="AF583" s="60"/>
      <c r="AG583" s="60"/>
      <c r="AH583" s="60"/>
      <c r="AI583" s="60"/>
      <c r="AJ583" s="60"/>
      <c r="AK583" s="60"/>
      <c r="AL583" s="60"/>
    </row>
    <row r="584" spans="1:38" s="373" customFormat="1" ht="21" customHeight="1" x14ac:dyDescent="0.25">
      <c r="A584" s="119"/>
      <c r="B584" s="119"/>
      <c r="C584" s="119"/>
      <c r="D584" s="119" t="str">
        <f>LEFT(E585,3)</f>
        <v>426</v>
      </c>
      <c r="E584" s="119"/>
      <c r="F584" s="368" t="s">
        <v>560</v>
      </c>
      <c r="G584" s="369" t="e">
        <f t="shared" ref="G584:X584" si="287">SUM(G585:G586)</f>
        <v>#REF!</v>
      </c>
      <c r="H584" s="370" t="e">
        <f t="shared" si="287"/>
        <v>#REF!</v>
      </c>
      <c r="I584" s="369" t="e">
        <f t="shared" si="287"/>
        <v>#REF!</v>
      </c>
      <c r="J584" s="369" t="e">
        <f t="shared" si="287"/>
        <v>#REF!</v>
      </c>
      <c r="K584" s="369" t="e">
        <f t="shared" si="287"/>
        <v>#REF!</v>
      </c>
      <c r="L584" s="369" t="e">
        <f t="shared" si="287"/>
        <v>#REF!</v>
      </c>
      <c r="M584" s="369" t="e">
        <f t="shared" si="287"/>
        <v>#REF!</v>
      </c>
      <c r="N584" s="369" t="e">
        <f t="shared" si="287"/>
        <v>#REF!</v>
      </c>
      <c r="O584" s="369" t="e">
        <f t="shared" si="287"/>
        <v>#REF!</v>
      </c>
      <c r="P584" s="369" t="e">
        <f t="shared" si="287"/>
        <v>#REF!</v>
      </c>
      <c r="Q584" s="392" t="e">
        <f t="shared" si="287"/>
        <v>#REF!</v>
      </c>
      <c r="R584" s="369" t="e">
        <f t="shared" si="287"/>
        <v>#REF!</v>
      </c>
      <c r="S584" s="369" t="e">
        <f t="shared" si="287"/>
        <v>#REF!</v>
      </c>
      <c r="T584" s="137" t="e">
        <f t="shared" si="287"/>
        <v>#REF!</v>
      </c>
      <c r="U584" s="371" t="e">
        <f t="shared" si="287"/>
        <v>#REF!</v>
      </c>
      <c r="V584" s="371" t="e">
        <f t="shared" si="287"/>
        <v>#REF!</v>
      </c>
      <c r="W584" s="371" t="e">
        <f t="shared" si="287"/>
        <v>#REF!</v>
      </c>
      <c r="X584" s="371" t="e">
        <f t="shared" si="287"/>
        <v>#REF!</v>
      </c>
      <c r="Y584" s="372"/>
      <c r="Z584" s="372"/>
      <c r="AA584" s="372"/>
      <c r="AB584" s="372"/>
      <c r="AC584" s="372"/>
      <c r="AD584" s="372"/>
      <c r="AE584" s="372"/>
      <c r="AF584" s="372"/>
      <c r="AG584" s="372"/>
      <c r="AH584" s="372"/>
      <c r="AI584" s="372"/>
      <c r="AJ584" s="372"/>
      <c r="AK584" s="372"/>
      <c r="AL584" s="372"/>
    </row>
    <row r="585" spans="1:38" ht="21.75" customHeight="1" x14ac:dyDescent="0.25">
      <c r="A585" s="80"/>
      <c r="B585" s="80"/>
      <c r="C585" s="80"/>
      <c r="D585" s="80"/>
      <c r="E585" s="80">
        <v>4262</v>
      </c>
      <c r="F585" s="81" t="s">
        <v>561</v>
      </c>
      <c r="G585" s="82" t="e">
        <f>SUMIF(#REF!,funkcijska!$E585,#REF!)</f>
        <v>#REF!</v>
      </c>
      <c r="H585" s="82" t="e">
        <f>SUMIF(#REF!,funkcijska!$E585,#REF!)</f>
        <v>#REF!</v>
      </c>
      <c r="I585" s="82" t="e">
        <f>SUMIF(#REF!,funkcijska!$E585,#REF!)</f>
        <v>#REF!</v>
      </c>
      <c r="J585" s="82" t="e">
        <f>SUMIF(#REF!,funkcijska!$E585,#REF!)</f>
        <v>#REF!</v>
      </c>
      <c r="K585" s="82" t="e">
        <f>SUMIF(#REF!,funkcijska!$E585,#REF!)</f>
        <v>#REF!</v>
      </c>
      <c r="L585" s="82" t="e">
        <f t="shared" ref="L585:L591" si="288">ROUND(K585/J585*100,2)</f>
        <v>#REF!</v>
      </c>
      <c r="M585" s="82" t="e">
        <f t="shared" ref="M585:M591" si="289">N585-J585</f>
        <v>#REF!</v>
      </c>
      <c r="N585" s="82" t="e">
        <f>SUMIF(#REF!,funkcijska!$E585,#REF!)</f>
        <v>#REF!</v>
      </c>
      <c r="O585" s="82" t="e">
        <f>SUMIF(#REF!,funkcijska!$E585,#REF!)</f>
        <v>#REF!</v>
      </c>
      <c r="P585" s="82" t="e">
        <f>SUMIF(#REF!,funkcijska!$E585,#REF!)</f>
        <v>#REF!</v>
      </c>
      <c r="Q585" s="386" t="e">
        <f>SUMIF(#REF!,funkcijska!$E585,#REF!)</f>
        <v>#REF!</v>
      </c>
      <c r="R585" s="82" t="e">
        <f>SUMIF(#REF!,funkcijska!$E585,#REF!)</f>
        <v>#REF!</v>
      </c>
      <c r="S585" s="82" t="e">
        <f>SUMIF(#REF!,funkcijska!$E585,#REF!)</f>
        <v>#REF!</v>
      </c>
      <c r="T585" s="82" t="e">
        <f>SUMIF(#REF!,funkcijska!$E$111,#REF!)</f>
        <v>#REF!</v>
      </c>
      <c r="U585" s="357" t="e">
        <f>SUMIF(#REF!,funkcijska!$E585,#REF!)</f>
        <v>#REF!</v>
      </c>
      <c r="V585" s="357" t="e">
        <f>SUMIF(#REF!,funkcijska!$E585,#REF!)</f>
        <v>#REF!</v>
      </c>
      <c r="W585" s="357" t="e">
        <f>SUMIF(#REF!,funkcijska!$E585,#REF!)</f>
        <v>#REF!</v>
      </c>
      <c r="X585" s="357" t="e">
        <f>SUMIF(#REF!,funkcijska!$E585,#REF!)</f>
        <v>#REF!</v>
      </c>
      <c r="AD585" s="60"/>
      <c r="AE585" s="60"/>
      <c r="AF585" s="60"/>
      <c r="AG585" s="60"/>
      <c r="AH585" s="60"/>
      <c r="AI585" s="60"/>
      <c r="AJ585" s="60"/>
      <c r="AK585" s="60"/>
      <c r="AL585" s="60"/>
    </row>
    <row r="586" spans="1:38" ht="21" customHeight="1" x14ac:dyDescent="0.25">
      <c r="A586" s="80"/>
      <c r="B586" s="80"/>
      <c r="C586" s="80"/>
      <c r="D586" s="80"/>
      <c r="E586" s="80">
        <v>4264</v>
      </c>
      <c r="F586" s="81" t="s">
        <v>1030</v>
      </c>
      <c r="G586" s="82" t="e">
        <f>SUMIF(#REF!,funkcijska!$E586,#REF!)</f>
        <v>#REF!</v>
      </c>
      <c r="H586" s="82" t="e">
        <f>SUMIF(#REF!,funkcijska!$E586,#REF!)</f>
        <v>#REF!</v>
      </c>
      <c r="I586" s="82" t="e">
        <f>SUMIF(#REF!,funkcijska!$E586,#REF!)</f>
        <v>#REF!</v>
      </c>
      <c r="J586" s="82" t="e">
        <f>SUMIF(#REF!,funkcijska!$E586,#REF!)</f>
        <v>#REF!</v>
      </c>
      <c r="K586" s="82" t="e">
        <f>SUMIF(#REF!,funkcijska!$E586,#REF!)</f>
        <v>#REF!</v>
      </c>
      <c r="L586" s="82" t="e">
        <f t="shared" si="288"/>
        <v>#REF!</v>
      </c>
      <c r="M586" s="82" t="e">
        <f t="shared" si="289"/>
        <v>#REF!</v>
      </c>
      <c r="N586" s="82" t="e">
        <f>SUMIF(#REF!,funkcijska!$E586,#REF!)</f>
        <v>#REF!</v>
      </c>
      <c r="O586" s="82" t="e">
        <f>SUMIF(#REF!,funkcijska!$E586,#REF!)</f>
        <v>#REF!</v>
      </c>
      <c r="P586" s="82" t="e">
        <f>SUMIF(#REF!,funkcijska!$E586,#REF!)</f>
        <v>#REF!</v>
      </c>
      <c r="Q586" s="386" t="e">
        <f>SUMIF(#REF!,funkcijska!$E586,#REF!)</f>
        <v>#REF!</v>
      </c>
      <c r="R586" s="82" t="e">
        <f>SUMIF(#REF!,funkcijska!$E586,#REF!)</f>
        <v>#REF!</v>
      </c>
      <c r="S586" s="82" t="e">
        <f>SUMIF(#REF!,funkcijska!$E586,#REF!)</f>
        <v>#REF!</v>
      </c>
      <c r="T586" s="82" t="e">
        <f>SUMIF(#REF!,funkcijska!$E$112,#REF!)</f>
        <v>#REF!</v>
      </c>
      <c r="U586" s="357" t="e">
        <f>SUMIF(#REF!,funkcijska!$E586,#REF!)</f>
        <v>#REF!</v>
      </c>
      <c r="V586" s="357" t="e">
        <f>SUMIF(#REF!,funkcijska!$E586,#REF!)</f>
        <v>#REF!</v>
      </c>
      <c r="W586" s="357" t="e">
        <f>SUMIF(#REF!,funkcijska!$E586,#REF!)</f>
        <v>#REF!</v>
      </c>
      <c r="X586" s="357" t="e">
        <f>SUMIF(#REF!,funkcijska!$E586,#REF!)</f>
        <v>#REF!</v>
      </c>
      <c r="AD586" s="60"/>
      <c r="AE586" s="60"/>
      <c r="AF586" s="60"/>
      <c r="AG586" s="60"/>
      <c r="AH586" s="60"/>
      <c r="AI586" s="60"/>
      <c r="AJ586" s="60"/>
      <c r="AK586" s="60"/>
      <c r="AL586" s="60"/>
    </row>
    <row r="587" spans="1:38" ht="36.75" customHeight="1" x14ac:dyDescent="0.25">
      <c r="A587" s="125"/>
      <c r="B587" s="74"/>
      <c r="C587" s="74" t="str">
        <f>LEFT(E589,2)</f>
        <v>45</v>
      </c>
      <c r="D587" s="74"/>
      <c r="E587" s="74"/>
      <c r="F587" s="75" t="s">
        <v>808</v>
      </c>
      <c r="G587" s="77" t="e">
        <f>G588+G590+#REF!</f>
        <v>#REF!</v>
      </c>
      <c r="H587" s="118" t="e">
        <f>H588+H590+#REF!</f>
        <v>#REF!</v>
      </c>
      <c r="I587" s="77" t="e">
        <f>I588+I590+#REF!</f>
        <v>#REF!</v>
      </c>
      <c r="J587" s="77" t="e">
        <f>J588+J590+#REF!</f>
        <v>#REF!</v>
      </c>
      <c r="K587" s="77" t="e">
        <f>K588+K590+#REF!</f>
        <v>#REF!</v>
      </c>
      <c r="L587" s="77" t="e">
        <f t="shared" si="288"/>
        <v>#REF!</v>
      </c>
      <c r="M587" s="77" t="e">
        <f t="shared" si="289"/>
        <v>#REF!</v>
      </c>
      <c r="N587" s="77" t="e">
        <f>N588+N590+#REF!</f>
        <v>#REF!</v>
      </c>
      <c r="O587" s="76" t="e">
        <f>O588+O590+#REF!</f>
        <v>#REF!</v>
      </c>
      <c r="P587" s="76" t="e">
        <f>P588+P590+#REF!</f>
        <v>#REF!</v>
      </c>
      <c r="Q587" s="385" t="e">
        <f>Q588+Q590+#REF!</f>
        <v>#REF!</v>
      </c>
      <c r="R587" s="135" t="e">
        <f>R588+R590+#REF!</f>
        <v>#REF!</v>
      </c>
      <c r="S587" s="135" t="e">
        <f>S588+S590+#REF!</f>
        <v>#REF!</v>
      </c>
      <c r="T587" s="135" t="e">
        <f>T588+T590+#REF!</f>
        <v>#REF!</v>
      </c>
      <c r="U587" s="356" t="e">
        <f>U588+U590+#REF!</f>
        <v>#REF!</v>
      </c>
      <c r="V587" s="356" t="e">
        <f>V588+V590</f>
        <v>#REF!</v>
      </c>
      <c r="W587" s="356" t="e">
        <f>W588+W590</f>
        <v>#REF!</v>
      </c>
      <c r="X587" s="356" t="e">
        <f>X588+X590</f>
        <v>#REF!</v>
      </c>
      <c r="AD587" s="60"/>
      <c r="AE587" s="60"/>
      <c r="AF587" s="60"/>
      <c r="AG587" s="60"/>
      <c r="AH587" s="60"/>
      <c r="AI587" s="60"/>
      <c r="AJ587" s="60"/>
      <c r="AK587" s="60"/>
      <c r="AL587" s="60"/>
    </row>
    <row r="588" spans="1:38" s="373" customFormat="1" ht="20.25" customHeight="1" x14ac:dyDescent="0.25">
      <c r="A588" s="119"/>
      <c r="B588" s="119"/>
      <c r="C588" s="119"/>
      <c r="D588" s="119" t="str">
        <f>LEFT(E589,3)</f>
        <v>451</v>
      </c>
      <c r="E588" s="119"/>
      <c r="F588" s="368" t="s">
        <v>809</v>
      </c>
      <c r="G588" s="369" t="e">
        <f>G589</f>
        <v>#REF!</v>
      </c>
      <c r="H588" s="370" t="e">
        <f>H589</f>
        <v>#REF!</v>
      </c>
      <c r="I588" s="369" t="e">
        <f>I589</f>
        <v>#REF!</v>
      </c>
      <c r="J588" s="369" t="e">
        <f>J589</f>
        <v>#REF!</v>
      </c>
      <c r="K588" s="369" t="e">
        <f>K589</f>
        <v>#REF!</v>
      </c>
      <c r="L588" s="369" t="e">
        <f t="shared" si="288"/>
        <v>#REF!</v>
      </c>
      <c r="M588" s="369" t="e">
        <f t="shared" si="289"/>
        <v>#REF!</v>
      </c>
      <c r="N588" s="369" t="e">
        <f t="shared" ref="N588:X588" si="290">N589</f>
        <v>#REF!</v>
      </c>
      <c r="O588" s="137" t="e">
        <f t="shared" si="290"/>
        <v>#REF!</v>
      </c>
      <c r="P588" s="137" t="e">
        <f t="shared" si="290"/>
        <v>#REF!</v>
      </c>
      <c r="Q588" s="393" t="e">
        <f t="shared" si="290"/>
        <v>#REF!</v>
      </c>
      <c r="R588" s="137" t="e">
        <f t="shared" si="290"/>
        <v>#REF!</v>
      </c>
      <c r="S588" s="137" t="e">
        <f t="shared" si="290"/>
        <v>#REF!</v>
      </c>
      <c r="T588" s="137" t="e">
        <f t="shared" si="290"/>
        <v>#REF!</v>
      </c>
      <c r="U588" s="371" t="e">
        <f t="shared" si="290"/>
        <v>#REF!</v>
      </c>
      <c r="V588" s="371" t="e">
        <f t="shared" si="290"/>
        <v>#REF!</v>
      </c>
      <c r="W588" s="371" t="e">
        <f t="shared" si="290"/>
        <v>#REF!</v>
      </c>
      <c r="X588" s="371" t="e">
        <f t="shared" si="290"/>
        <v>#REF!</v>
      </c>
      <c r="Y588" s="372"/>
      <c r="Z588" s="372"/>
      <c r="AA588" s="372"/>
      <c r="AB588" s="372"/>
      <c r="AC588" s="372"/>
      <c r="AD588" s="372"/>
      <c r="AE588" s="372"/>
      <c r="AF588" s="372"/>
      <c r="AG588" s="372"/>
      <c r="AH588" s="372"/>
      <c r="AI588" s="372"/>
      <c r="AJ588" s="372"/>
      <c r="AK588" s="372"/>
      <c r="AL588" s="372"/>
    </row>
    <row r="589" spans="1:38" ht="21" customHeight="1" x14ac:dyDescent="0.25">
      <c r="A589" s="80"/>
      <c r="B589" s="80"/>
      <c r="C589" s="80"/>
      <c r="D589" s="80"/>
      <c r="E589" s="80">
        <v>4511</v>
      </c>
      <c r="F589" s="81" t="s">
        <v>809</v>
      </c>
      <c r="G589" s="82" t="e">
        <f>SUMIF(#REF!,funkcijska!E589,#REF!)</f>
        <v>#REF!</v>
      </c>
      <c r="H589" s="82" t="e">
        <f>SUMIF(#REF!,funkcijska!$E589,#REF!)</f>
        <v>#REF!</v>
      </c>
      <c r="I589" s="82" t="e">
        <f>SUMIF(#REF!,funkcijska!$E589,#REF!)</f>
        <v>#REF!</v>
      </c>
      <c r="J589" s="82" t="e">
        <f>SUMIF(#REF!,funkcijska!$E589,#REF!)</f>
        <v>#REF!</v>
      </c>
      <c r="K589" s="82" t="e">
        <f>SUMIF(#REF!,funkcijska!$E589,#REF!)</f>
        <v>#REF!</v>
      </c>
      <c r="L589" s="82" t="e">
        <f t="shared" si="288"/>
        <v>#REF!</v>
      </c>
      <c r="M589" s="82" t="e">
        <f t="shared" si="289"/>
        <v>#REF!</v>
      </c>
      <c r="N589" s="82" t="e">
        <f>SUMIF(#REF!,funkcijska!$E589,#REF!)</f>
        <v>#REF!</v>
      </c>
      <c r="O589" s="82" t="e">
        <f>SUMIF(#REF!,funkcijska!$E589,#REF!)</f>
        <v>#REF!</v>
      </c>
      <c r="P589" s="82" t="e">
        <f>SUMIF(#REF!,funkcijska!$E589,#REF!)</f>
        <v>#REF!</v>
      </c>
      <c r="Q589" s="386" t="e">
        <f>SUMIF(#REF!,funkcijska!$E589,#REF!)</f>
        <v>#REF!</v>
      </c>
      <c r="R589" s="82" t="e">
        <f>SUMIF(#REF!,funkcijska!$E589,#REF!)</f>
        <v>#REF!</v>
      </c>
      <c r="S589" s="82" t="e">
        <f>SUMIF(#REF!,funkcijska!$E589,#REF!)</f>
        <v>#REF!</v>
      </c>
      <c r="T589" s="82" t="e">
        <f>SUMIF(#REF!,funkcijska!$E$115,#REF!)</f>
        <v>#REF!</v>
      </c>
      <c r="U589" s="357" t="e">
        <f>SUMIF(#REF!,funkcijska!$E589,#REF!)</f>
        <v>#REF!</v>
      </c>
      <c r="V589" s="357" t="e">
        <f>SUMIF(#REF!,funkcijska!$E589,#REF!)</f>
        <v>#REF!</v>
      </c>
      <c r="W589" s="357" t="e">
        <f>SUMIF(#REF!,funkcijska!$E589,#REF!)</f>
        <v>#REF!</v>
      </c>
      <c r="X589" s="357" t="e">
        <f>SUMIF(#REF!,funkcijska!$E589,#REF!)</f>
        <v>#REF!</v>
      </c>
      <c r="AD589" s="60"/>
      <c r="AE589" s="60"/>
      <c r="AF589" s="60"/>
      <c r="AG589" s="60"/>
      <c r="AH589" s="60"/>
      <c r="AI589" s="60"/>
      <c r="AJ589" s="60"/>
      <c r="AK589" s="60"/>
      <c r="AL589" s="60"/>
    </row>
    <row r="590" spans="1:38" s="373" customFormat="1" ht="21.75" customHeight="1" x14ac:dyDescent="0.25">
      <c r="A590" s="119"/>
      <c r="B590" s="119"/>
      <c r="C590" s="119"/>
      <c r="D590" s="119">
        <v>452</v>
      </c>
      <c r="E590" s="119"/>
      <c r="F590" s="368" t="s">
        <v>639</v>
      </c>
      <c r="G590" s="137" t="e">
        <f>G591</f>
        <v>#REF!</v>
      </c>
      <c r="H590" s="370" t="e">
        <f>H591</f>
        <v>#REF!</v>
      </c>
      <c r="I590" s="137" t="e">
        <f>I591</f>
        <v>#REF!</v>
      </c>
      <c r="J590" s="137" t="e">
        <f>J591</f>
        <v>#REF!</v>
      </c>
      <c r="K590" s="137" t="e">
        <f>K591</f>
        <v>#REF!</v>
      </c>
      <c r="L590" s="137" t="e">
        <f t="shared" si="288"/>
        <v>#REF!</v>
      </c>
      <c r="M590" s="137" t="e">
        <f t="shared" si="289"/>
        <v>#REF!</v>
      </c>
      <c r="N590" s="137" t="e">
        <f t="shared" ref="N590:X590" si="291">N591</f>
        <v>#REF!</v>
      </c>
      <c r="O590" s="137" t="e">
        <f t="shared" si="291"/>
        <v>#REF!</v>
      </c>
      <c r="P590" s="137" t="e">
        <f t="shared" si="291"/>
        <v>#REF!</v>
      </c>
      <c r="Q590" s="393" t="e">
        <f t="shared" si="291"/>
        <v>#REF!</v>
      </c>
      <c r="R590" s="137" t="e">
        <f t="shared" si="291"/>
        <v>#REF!</v>
      </c>
      <c r="S590" s="137" t="e">
        <f t="shared" si="291"/>
        <v>#REF!</v>
      </c>
      <c r="T590" s="137" t="e">
        <f t="shared" si="291"/>
        <v>#REF!</v>
      </c>
      <c r="U590" s="371" t="e">
        <f t="shared" si="291"/>
        <v>#REF!</v>
      </c>
      <c r="V590" s="371" t="e">
        <f t="shared" si="291"/>
        <v>#REF!</v>
      </c>
      <c r="W590" s="371" t="e">
        <f t="shared" si="291"/>
        <v>#REF!</v>
      </c>
      <c r="X590" s="371" t="e">
        <f t="shared" si="291"/>
        <v>#REF!</v>
      </c>
      <c r="Y590" s="372"/>
      <c r="Z590" s="372"/>
      <c r="AA590" s="372"/>
      <c r="AB590" s="372"/>
      <c r="AC590" s="372"/>
      <c r="AD590" s="372"/>
      <c r="AE590" s="372"/>
      <c r="AF590" s="372"/>
      <c r="AG590" s="372"/>
      <c r="AH590" s="372"/>
      <c r="AI590" s="372"/>
      <c r="AJ590" s="372"/>
      <c r="AK590" s="372"/>
      <c r="AL590" s="372"/>
    </row>
    <row r="591" spans="1:38" ht="21" customHeight="1" x14ac:dyDescent="0.25">
      <c r="A591" s="80"/>
      <c r="B591" s="80"/>
      <c r="C591" s="80"/>
      <c r="D591" s="80"/>
      <c r="E591" s="80">
        <v>4521</v>
      </c>
      <c r="F591" s="81" t="s">
        <v>639</v>
      </c>
      <c r="G591" s="82" t="e">
        <f>SUMIF(#REF!,funkcijska!E591,#REF!)</f>
        <v>#REF!</v>
      </c>
      <c r="H591" s="82" t="e">
        <f>SUMIF(#REF!,funkcijska!$E591,#REF!)</f>
        <v>#REF!</v>
      </c>
      <c r="I591" s="82" t="e">
        <f>SUMIF(#REF!,funkcijska!$E591,#REF!)</f>
        <v>#REF!</v>
      </c>
      <c r="J591" s="82" t="e">
        <f>SUMIF(#REF!,funkcijska!$E591,#REF!)</f>
        <v>#REF!</v>
      </c>
      <c r="K591" s="82" t="e">
        <f>SUMIF(#REF!,funkcijska!$E591,#REF!)</f>
        <v>#REF!</v>
      </c>
      <c r="L591" s="82" t="e">
        <f t="shared" si="288"/>
        <v>#REF!</v>
      </c>
      <c r="M591" s="82" t="e">
        <f t="shared" si="289"/>
        <v>#REF!</v>
      </c>
      <c r="N591" s="82" t="e">
        <f>SUMIF(#REF!,funkcijska!$E591,#REF!)</f>
        <v>#REF!</v>
      </c>
      <c r="O591" s="82" t="e">
        <f>SUMIF(#REF!,funkcijska!$E591,#REF!)</f>
        <v>#REF!</v>
      </c>
      <c r="P591" s="82" t="e">
        <f>SUMIF(#REF!,funkcijska!$E591,#REF!)</f>
        <v>#REF!</v>
      </c>
      <c r="Q591" s="386" t="e">
        <f>SUMIF(#REF!,funkcijska!$E591,#REF!)</f>
        <v>#REF!</v>
      </c>
      <c r="R591" s="82" t="e">
        <f>SUMIF(#REF!,funkcijska!$E591,#REF!)</f>
        <v>#REF!</v>
      </c>
      <c r="S591" s="82" t="e">
        <f>SUMIF(#REF!,funkcijska!$E591,#REF!)</f>
        <v>#REF!</v>
      </c>
      <c r="T591" s="82" t="e">
        <f>SUMIF(#REF!,funkcijska!$E$117,#REF!)</f>
        <v>#REF!</v>
      </c>
      <c r="U591" s="357" t="e">
        <f>SUMIF(#REF!,funkcijska!$E591,#REF!)</f>
        <v>#REF!</v>
      </c>
      <c r="V591" s="357" t="e">
        <f>SUMIF(#REF!,funkcijska!$E591,#REF!)</f>
        <v>#REF!</v>
      </c>
      <c r="W591" s="357" t="e">
        <f>SUMIF(#REF!,funkcijska!$E591,#REF!)</f>
        <v>#REF!</v>
      </c>
      <c r="X591" s="357" t="e">
        <f>SUMIF(#REF!,funkcijska!$E591,#REF!)</f>
        <v>#REF!</v>
      </c>
      <c r="AD591" s="60"/>
      <c r="AE591" s="60"/>
      <c r="AF591" s="60"/>
      <c r="AG591" s="60"/>
      <c r="AH591" s="60"/>
      <c r="AI591" s="60"/>
      <c r="AJ591" s="60"/>
      <c r="AK591" s="60"/>
      <c r="AL591" s="60"/>
    </row>
    <row r="592" spans="1:38" ht="27" customHeight="1" x14ac:dyDescent="0.25">
      <c r="A592" s="108"/>
      <c r="B592" s="108"/>
      <c r="C592" s="108"/>
      <c r="D592" s="108"/>
      <c r="E592" s="108"/>
      <c r="F592" s="58" t="s">
        <v>1031</v>
      </c>
      <c r="G592" s="110"/>
      <c r="H592" s="103"/>
      <c r="I592" s="110"/>
      <c r="J592" s="110"/>
      <c r="K592" s="110"/>
      <c r="L592" s="110"/>
      <c r="M592" s="110"/>
      <c r="N592" s="110"/>
      <c r="O592" s="110"/>
      <c r="P592" s="110"/>
      <c r="Q592" s="396"/>
      <c r="R592" s="110"/>
      <c r="S592" s="110"/>
      <c r="T592" s="110"/>
      <c r="U592" s="361"/>
      <c r="V592" s="361"/>
      <c r="W592" s="361"/>
      <c r="X592" s="361"/>
      <c r="AD592" s="60"/>
      <c r="AE592" s="60"/>
      <c r="AF592" s="60"/>
      <c r="AG592" s="60"/>
      <c r="AH592" s="60"/>
      <c r="AI592" s="60"/>
      <c r="AJ592" s="60"/>
      <c r="AK592" s="60"/>
      <c r="AL592" s="60"/>
    </row>
    <row r="593" spans="1:38" ht="23.25" customHeight="1" x14ac:dyDescent="0.25">
      <c r="A593" s="258"/>
      <c r="B593" s="105" t="str">
        <f>LEFT(E596,1)</f>
        <v>5</v>
      </c>
      <c r="C593" s="105"/>
      <c r="D593" s="105"/>
      <c r="E593" s="105"/>
      <c r="F593" s="72" t="s">
        <v>415</v>
      </c>
      <c r="G593" s="73" t="e">
        <f>G594+G599+G602</f>
        <v>#REF!</v>
      </c>
      <c r="H593" s="73" t="e">
        <f>H594+H599+H602</f>
        <v>#REF!</v>
      </c>
      <c r="I593" s="73" t="e">
        <f>I594+I599+I602</f>
        <v>#REF!</v>
      </c>
      <c r="J593" s="73" t="e">
        <f>J594+J599+J602</f>
        <v>#REF!</v>
      </c>
      <c r="K593" s="73" t="e">
        <f>K594+K599+K602</f>
        <v>#REF!</v>
      </c>
      <c r="L593" s="73" t="e">
        <f t="shared" ref="L593:L605" si="292">ROUND(K593/J593*100,2)</f>
        <v>#REF!</v>
      </c>
      <c r="M593" s="73" t="e">
        <f t="shared" ref="M593:M605" si="293">N593-J593</f>
        <v>#REF!</v>
      </c>
      <c r="N593" s="73" t="e">
        <f>N594+N599+N602</f>
        <v>#REF!</v>
      </c>
      <c r="O593" s="73" t="e">
        <f>O594+O599+O602</f>
        <v>#REF!</v>
      </c>
      <c r="P593" s="73" t="e">
        <f>P594+P599+P602</f>
        <v>#REF!</v>
      </c>
      <c r="Q593" s="397" t="e">
        <f t="shared" ref="Q593:Q605" si="294">U593-O593</f>
        <v>#REF!</v>
      </c>
      <c r="R593" s="76" t="e">
        <f t="shared" ref="R593:X593" si="295">R594+R599+R602</f>
        <v>#REF!</v>
      </c>
      <c r="S593" s="76" t="e">
        <f t="shared" si="295"/>
        <v>#REF!</v>
      </c>
      <c r="T593" s="76" t="e">
        <f t="shared" si="295"/>
        <v>#REF!</v>
      </c>
      <c r="U593" s="355" t="e">
        <f t="shared" si="295"/>
        <v>#REF!</v>
      </c>
      <c r="V593" s="355" t="e">
        <f t="shared" si="295"/>
        <v>#REF!</v>
      </c>
      <c r="W593" s="355" t="e">
        <f t="shared" si="295"/>
        <v>#REF!</v>
      </c>
      <c r="X593" s="355" t="e">
        <f t="shared" si="295"/>
        <v>#REF!</v>
      </c>
      <c r="AD593" s="60"/>
      <c r="AE593" s="60"/>
      <c r="AF593" s="60"/>
      <c r="AG593" s="60"/>
      <c r="AH593" s="60"/>
      <c r="AI593" s="60"/>
      <c r="AJ593" s="60"/>
      <c r="AK593" s="60"/>
      <c r="AL593" s="60"/>
    </row>
    <row r="594" spans="1:38" ht="21.75" customHeight="1" x14ac:dyDescent="0.25">
      <c r="A594" s="125"/>
      <c r="B594" s="125"/>
      <c r="C594" s="125" t="str">
        <f>LEFT(E596,2)</f>
        <v>51</v>
      </c>
      <c r="D594" s="125"/>
      <c r="E594" s="125"/>
      <c r="F594" s="126" t="s">
        <v>750</v>
      </c>
      <c r="G594" s="82" t="e">
        <f>G595+G597</f>
        <v>#REF!</v>
      </c>
      <c r="H594" s="82" t="e">
        <f>H595+H597</f>
        <v>#REF!</v>
      </c>
      <c r="I594" s="82" t="e">
        <f>I595+I597</f>
        <v>#REF!</v>
      </c>
      <c r="J594" s="82" t="e">
        <f>J595+J597</f>
        <v>#REF!</v>
      </c>
      <c r="K594" s="82" t="e">
        <f>K595+K597</f>
        <v>#REF!</v>
      </c>
      <c r="L594" s="82" t="e">
        <f t="shared" si="292"/>
        <v>#REF!</v>
      </c>
      <c r="M594" s="82" t="e">
        <f t="shared" si="293"/>
        <v>#REF!</v>
      </c>
      <c r="N594" s="82" t="e">
        <f>N595+N597</f>
        <v>#REF!</v>
      </c>
      <c r="O594" s="82" t="e">
        <f>O595+O597</f>
        <v>#REF!</v>
      </c>
      <c r="P594" s="82" t="e">
        <f>P595+P597</f>
        <v>#REF!</v>
      </c>
      <c r="Q594" s="389" t="e">
        <f t="shared" si="294"/>
        <v>#REF!</v>
      </c>
      <c r="R594" s="82" t="e">
        <f t="shared" ref="R594:X594" si="296">R595+R597</f>
        <v>#REF!</v>
      </c>
      <c r="S594" s="82" t="e">
        <f t="shared" si="296"/>
        <v>#REF!</v>
      </c>
      <c r="T594" s="82" t="e">
        <f t="shared" si="296"/>
        <v>#REF!</v>
      </c>
      <c r="U594" s="357" t="e">
        <f t="shared" si="296"/>
        <v>#REF!</v>
      </c>
      <c r="V594" s="357" t="e">
        <f t="shared" si="296"/>
        <v>#REF!</v>
      </c>
      <c r="W594" s="357" t="e">
        <f t="shared" si="296"/>
        <v>#REF!</v>
      </c>
      <c r="X594" s="357" t="e">
        <f t="shared" si="296"/>
        <v>#REF!</v>
      </c>
      <c r="AD594" s="60"/>
      <c r="AE594" s="60"/>
      <c r="AF594" s="60"/>
      <c r="AG594" s="60"/>
      <c r="AH594" s="60"/>
      <c r="AI594" s="60"/>
      <c r="AJ594" s="60"/>
      <c r="AK594" s="60"/>
      <c r="AL594" s="60"/>
    </row>
    <row r="595" spans="1:38" ht="42" customHeight="1" x14ac:dyDescent="0.25">
      <c r="A595" s="80"/>
      <c r="B595" s="80"/>
      <c r="C595" s="80"/>
      <c r="D595" s="80" t="str">
        <f>LEFT(E596,3)</f>
        <v>512</v>
      </c>
      <c r="E595" s="80"/>
      <c r="F595" s="81" t="s">
        <v>485</v>
      </c>
      <c r="G595" s="82" t="e">
        <f>G596</f>
        <v>#REF!</v>
      </c>
      <c r="H595" s="82" t="e">
        <f>H596</f>
        <v>#REF!</v>
      </c>
      <c r="I595" s="82" t="e">
        <f>I596</f>
        <v>#REF!</v>
      </c>
      <c r="J595" s="82" t="e">
        <f>J596</f>
        <v>#REF!</v>
      </c>
      <c r="K595" s="82" t="e">
        <f>K596</f>
        <v>#REF!</v>
      </c>
      <c r="L595" s="82" t="e">
        <f t="shared" si="292"/>
        <v>#REF!</v>
      </c>
      <c r="M595" s="82" t="e">
        <f t="shared" si="293"/>
        <v>#REF!</v>
      </c>
      <c r="N595" s="82" t="e">
        <f>N596</f>
        <v>#REF!</v>
      </c>
      <c r="O595" s="82" t="e">
        <f>O596</f>
        <v>#REF!</v>
      </c>
      <c r="P595" s="82" t="e">
        <f>P596</f>
        <v>#REF!</v>
      </c>
      <c r="Q595" s="389" t="e">
        <f t="shared" si="294"/>
        <v>#REF!</v>
      </c>
      <c r="R595" s="82" t="e">
        <f t="shared" ref="R595:X595" si="297">R596</f>
        <v>#REF!</v>
      </c>
      <c r="S595" s="82" t="e">
        <f t="shared" si="297"/>
        <v>#REF!</v>
      </c>
      <c r="T595" s="82" t="e">
        <f t="shared" si="297"/>
        <v>#REF!</v>
      </c>
      <c r="U595" s="357" t="e">
        <f t="shared" si="297"/>
        <v>#REF!</v>
      </c>
      <c r="V595" s="357" t="e">
        <f t="shared" si="297"/>
        <v>#REF!</v>
      </c>
      <c r="W595" s="357" t="e">
        <f t="shared" si="297"/>
        <v>#REF!</v>
      </c>
      <c r="X595" s="357" t="e">
        <f t="shared" si="297"/>
        <v>#REF!</v>
      </c>
      <c r="AD595" s="60"/>
      <c r="AE595" s="60"/>
      <c r="AF595" s="60"/>
      <c r="AG595" s="60"/>
      <c r="AH595" s="60"/>
      <c r="AI595" s="60"/>
      <c r="AJ595" s="60"/>
      <c r="AK595" s="60"/>
      <c r="AL595" s="60"/>
    </row>
    <row r="596" spans="1:38" s="139" customFormat="1" ht="41.25" customHeight="1" x14ac:dyDescent="0.25">
      <c r="A596" s="80"/>
      <c r="B596" s="80"/>
      <c r="C596" s="80"/>
      <c r="D596" s="80"/>
      <c r="E596" s="80">
        <v>5121</v>
      </c>
      <c r="F596" s="81" t="s">
        <v>1032</v>
      </c>
      <c r="G596" s="82" t="e">
        <f>SUMIF(#REF!,funkcijska!E596,#REF!)</f>
        <v>#REF!</v>
      </c>
      <c r="H596" s="82" t="e">
        <f>SUMIF(#REF!,funkcijska!$E596,#REF!)</f>
        <v>#REF!</v>
      </c>
      <c r="I596" s="82" t="e">
        <f>SUMIF(#REF!,funkcijska!$E596,#REF!)</f>
        <v>#REF!</v>
      </c>
      <c r="J596" s="82" t="e">
        <f>SUMIF(#REF!,funkcijska!$E596,#REF!)</f>
        <v>#REF!</v>
      </c>
      <c r="K596" s="82" t="e">
        <f>SUMIF(#REF!,funkcijska!$E596,#REF!)</f>
        <v>#REF!</v>
      </c>
      <c r="L596" s="82" t="e">
        <f t="shared" si="292"/>
        <v>#REF!</v>
      </c>
      <c r="M596" s="82" t="e">
        <f t="shared" si="293"/>
        <v>#REF!</v>
      </c>
      <c r="N596" s="82" t="e">
        <f>SUMIF(#REF!,funkcijska!$E596,#REF!)</f>
        <v>#REF!</v>
      </c>
      <c r="O596" s="82" t="e">
        <f>SUMIF(#REF!,funkcijska!$E596,#REF!)</f>
        <v>#REF!</v>
      </c>
      <c r="P596" s="82" t="e">
        <f>SUMIF(#REF!,funkcijska!$E596,#REF!)</f>
        <v>#REF!</v>
      </c>
      <c r="Q596" s="389" t="e">
        <f t="shared" si="294"/>
        <v>#REF!</v>
      </c>
      <c r="R596" s="82" t="e">
        <f>SUMIF(#REF!,funkcijska!$E596,#REF!)</f>
        <v>#REF!</v>
      </c>
      <c r="S596" s="82" t="e">
        <f>SUMIF(#REF!,funkcijska!$E596,#REF!)</f>
        <v>#REF!</v>
      </c>
      <c r="T596" s="82" t="e">
        <f>SUMIF(#REF!,funkcijska!#REF!,#REF!)</f>
        <v>#REF!</v>
      </c>
      <c r="U596" s="82" t="e">
        <f>SUMIF(#REF!,funkcijska!$E596,#REF!)</f>
        <v>#REF!</v>
      </c>
      <c r="V596" s="357" t="e">
        <f>SUMIF(#REF!,funkcijska!$E596,#REF!)</f>
        <v>#REF!</v>
      </c>
      <c r="W596" s="357" t="e">
        <f>SUMIF(#REF!,funkcijska!$E596,#REF!)</f>
        <v>#REF!</v>
      </c>
      <c r="X596" s="357" t="e">
        <f>SUMIF(#REF!,funkcijska!$E596,#REF!)</f>
        <v>#REF!</v>
      </c>
      <c r="Y596" s="60"/>
      <c r="Z596" s="60"/>
      <c r="AA596" s="60"/>
      <c r="AB596" s="60"/>
      <c r="AC596" s="60"/>
      <c r="AD596" s="138"/>
      <c r="AE596" s="138"/>
      <c r="AF596" s="138"/>
      <c r="AG596" s="138"/>
      <c r="AH596" s="138"/>
      <c r="AI596" s="138"/>
      <c r="AJ596" s="138"/>
      <c r="AK596" s="138"/>
      <c r="AL596" s="138"/>
    </row>
    <row r="597" spans="1:38" ht="54.75" hidden="1" customHeight="1" x14ac:dyDescent="0.25">
      <c r="A597" s="80"/>
      <c r="B597" s="80"/>
      <c r="C597" s="80"/>
      <c r="D597" s="80" t="str">
        <f>LEFT(E598,3)</f>
        <v>516</v>
      </c>
      <c r="E597" s="80"/>
      <c r="F597" s="81" t="s">
        <v>1034</v>
      </c>
      <c r="G597" s="127" t="e">
        <f>G598</f>
        <v>#REF!</v>
      </c>
      <c r="H597" s="127"/>
      <c r="I597" s="127" t="e">
        <f>I598</f>
        <v>#REF!</v>
      </c>
      <c r="J597" s="127" t="e">
        <f>J598</f>
        <v>#REF!</v>
      </c>
      <c r="K597" s="127" t="e">
        <f>K598</f>
        <v>#REF!</v>
      </c>
      <c r="L597" s="127" t="e">
        <f t="shared" si="292"/>
        <v>#REF!</v>
      </c>
      <c r="M597" s="127" t="e">
        <f t="shared" si="293"/>
        <v>#REF!</v>
      </c>
      <c r="N597" s="127" t="e">
        <f>N598</f>
        <v>#REF!</v>
      </c>
      <c r="O597" s="127" t="e">
        <f>O598</f>
        <v>#REF!</v>
      </c>
      <c r="P597" s="127" t="e">
        <f>P598</f>
        <v>#REF!</v>
      </c>
      <c r="Q597" s="389" t="e">
        <f t="shared" si="294"/>
        <v>#REF!</v>
      </c>
      <c r="R597" s="127" t="e">
        <f t="shared" ref="R597:X597" si="298">R598</f>
        <v>#REF!</v>
      </c>
      <c r="S597" s="127" t="e">
        <f t="shared" si="298"/>
        <v>#REF!</v>
      </c>
      <c r="T597" s="127" t="e">
        <f t="shared" si="298"/>
        <v>#REF!</v>
      </c>
      <c r="U597" s="366">
        <f t="shared" si="298"/>
        <v>0</v>
      </c>
      <c r="V597" s="366">
        <f t="shared" si="298"/>
        <v>0</v>
      </c>
      <c r="W597" s="366">
        <f t="shared" si="298"/>
        <v>0</v>
      </c>
      <c r="X597" s="366">
        <f t="shared" si="298"/>
        <v>0</v>
      </c>
      <c r="AD597" s="60"/>
      <c r="AE597" s="60"/>
      <c r="AF597" s="60"/>
      <c r="AG597" s="60"/>
      <c r="AH597" s="60"/>
      <c r="AI597" s="60"/>
      <c r="AJ597" s="60"/>
      <c r="AK597" s="60"/>
      <c r="AL597" s="60"/>
    </row>
    <row r="598" spans="1:38" s="139" customFormat="1" ht="52.5" hidden="1" customHeight="1" x14ac:dyDescent="0.25">
      <c r="A598" s="80"/>
      <c r="B598" s="80"/>
      <c r="C598" s="80"/>
      <c r="D598" s="80"/>
      <c r="E598" s="80">
        <v>5161</v>
      </c>
      <c r="F598" s="81" t="s">
        <v>1035</v>
      </c>
      <c r="G598" s="82" t="e">
        <f>SUMIF(#REF!,funkcijska!E598,#REF!)</f>
        <v>#REF!</v>
      </c>
      <c r="H598" s="82" t="e">
        <f>SUMIF(#REF!,funkcijska!$E598,#REF!)</f>
        <v>#REF!</v>
      </c>
      <c r="I598" s="82" t="e">
        <f>SUMIF(#REF!,funkcijska!$E598,#REF!)</f>
        <v>#REF!</v>
      </c>
      <c r="J598" s="82" t="e">
        <f>SUMIF(#REF!,funkcijska!$E598,#REF!)</f>
        <v>#REF!</v>
      </c>
      <c r="K598" s="82" t="e">
        <f>SUMIF(#REF!,funkcijska!$E598,#REF!)</f>
        <v>#REF!</v>
      </c>
      <c r="L598" s="82" t="e">
        <f t="shared" si="292"/>
        <v>#REF!</v>
      </c>
      <c r="M598" s="82" t="e">
        <f t="shared" si="293"/>
        <v>#REF!</v>
      </c>
      <c r="N598" s="82" t="e">
        <f>SUMIF(#REF!,funkcijska!$E598,#REF!)</f>
        <v>#REF!</v>
      </c>
      <c r="O598" s="82" t="e">
        <f>SUMIF(#REF!,funkcijska!$E598,#REF!)</f>
        <v>#REF!</v>
      </c>
      <c r="P598" s="82" t="e">
        <f>SUMIF(#REF!,funkcijska!$E598,#REF!)</f>
        <v>#REF!</v>
      </c>
      <c r="Q598" s="389" t="e">
        <f t="shared" si="294"/>
        <v>#REF!</v>
      </c>
      <c r="R598" s="82" t="e">
        <f>SUMIF(#REF!,funkcijska!$E598,#REF!)</f>
        <v>#REF!</v>
      </c>
      <c r="S598" s="82" t="e">
        <f>SUMIF(#REF!,funkcijska!$E598,#REF!)</f>
        <v>#REF!</v>
      </c>
      <c r="T598" s="82" t="e">
        <f>SUMIF(#REF!,funkcijska!#REF!,#REF!)</f>
        <v>#REF!</v>
      </c>
      <c r="U598" s="357"/>
      <c r="V598" s="357"/>
      <c r="W598" s="357"/>
      <c r="X598" s="357"/>
      <c r="Y598" s="60"/>
      <c r="Z598" s="60"/>
      <c r="AA598" s="60"/>
      <c r="AB598" s="60"/>
      <c r="AC598" s="60"/>
      <c r="AD598" s="138"/>
      <c r="AE598" s="138"/>
      <c r="AF598" s="138"/>
      <c r="AG598" s="138"/>
      <c r="AH598" s="138"/>
      <c r="AI598" s="138"/>
      <c r="AJ598" s="138"/>
      <c r="AK598" s="138"/>
      <c r="AL598" s="138"/>
    </row>
    <row r="599" spans="1:38" s="139" customFormat="1" hidden="1" x14ac:dyDescent="0.25">
      <c r="A599" s="80"/>
      <c r="B599" s="80"/>
      <c r="C599" s="125" t="s">
        <v>1036</v>
      </c>
      <c r="D599" s="80"/>
      <c r="E599" s="80"/>
      <c r="F599" s="126" t="s">
        <v>429</v>
      </c>
      <c r="G599" s="83" t="e">
        <f t="shared" ref="G599:K600" si="299">G600</f>
        <v>#REF!</v>
      </c>
      <c r="H599" s="102" t="e">
        <f t="shared" si="299"/>
        <v>#REF!</v>
      </c>
      <c r="I599" s="83" t="e">
        <f t="shared" si="299"/>
        <v>#REF!</v>
      </c>
      <c r="J599" s="83" t="e">
        <f t="shared" si="299"/>
        <v>#REF!</v>
      </c>
      <c r="K599" s="83" t="e">
        <f t="shared" si="299"/>
        <v>#REF!</v>
      </c>
      <c r="L599" s="83" t="e">
        <f t="shared" si="292"/>
        <v>#REF!</v>
      </c>
      <c r="M599" s="83" t="e">
        <f t="shared" si="293"/>
        <v>#REF!</v>
      </c>
      <c r="N599" s="83" t="e">
        <f t="shared" ref="N599:P600" si="300">N600</f>
        <v>#REF!</v>
      </c>
      <c r="O599" s="83" t="e">
        <f t="shared" si="300"/>
        <v>#REF!</v>
      </c>
      <c r="P599" s="83" t="e">
        <f t="shared" si="300"/>
        <v>#REF!</v>
      </c>
      <c r="Q599" s="389" t="e">
        <f t="shared" si="294"/>
        <v>#REF!</v>
      </c>
      <c r="R599" s="83" t="e">
        <f t="shared" ref="R599:X600" si="301">R600</f>
        <v>#REF!</v>
      </c>
      <c r="S599" s="83" t="e">
        <f t="shared" si="301"/>
        <v>#REF!</v>
      </c>
      <c r="T599" s="83" t="e">
        <f t="shared" si="301"/>
        <v>#REF!</v>
      </c>
      <c r="U599" s="363">
        <f t="shared" si="301"/>
        <v>0</v>
      </c>
      <c r="V599" s="363">
        <f t="shared" si="301"/>
        <v>0</v>
      </c>
      <c r="W599" s="363">
        <f t="shared" si="301"/>
        <v>0</v>
      </c>
      <c r="X599" s="363">
        <f t="shared" si="301"/>
        <v>0</v>
      </c>
      <c r="Y599" s="60"/>
      <c r="Z599" s="60"/>
      <c r="AA599" s="60"/>
      <c r="AB599" s="60"/>
      <c r="AC599" s="60"/>
      <c r="AD599" s="138"/>
      <c r="AE599" s="138"/>
      <c r="AF599" s="138"/>
      <c r="AG599" s="138"/>
      <c r="AH599" s="138"/>
      <c r="AI599" s="138"/>
      <c r="AJ599" s="138"/>
      <c r="AK599" s="138"/>
      <c r="AL599" s="138"/>
    </row>
    <row r="600" spans="1:38" s="139" customFormat="1" ht="36" hidden="1" x14ac:dyDescent="0.25">
      <c r="A600" s="80"/>
      <c r="B600" s="80"/>
      <c r="C600" s="80"/>
      <c r="D600" s="80" t="s">
        <v>1037</v>
      </c>
      <c r="E600" s="80"/>
      <c r="F600" s="140" t="s">
        <v>430</v>
      </c>
      <c r="G600" s="83" t="e">
        <f t="shared" si="299"/>
        <v>#REF!</v>
      </c>
      <c r="H600" s="102" t="e">
        <f t="shared" si="299"/>
        <v>#REF!</v>
      </c>
      <c r="I600" s="83" t="e">
        <f t="shared" si="299"/>
        <v>#REF!</v>
      </c>
      <c r="J600" s="83" t="e">
        <f t="shared" si="299"/>
        <v>#REF!</v>
      </c>
      <c r="K600" s="83" t="e">
        <f t="shared" si="299"/>
        <v>#REF!</v>
      </c>
      <c r="L600" s="83" t="e">
        <f t="shared" si="292"/>
        <v>#REF!</v>
      </c>
      <c r="M600" s="83" t="e">
        <f t="shared" si="293"/>
        <v>#REF!</v>
      </c>
      <c r="N600" s="83" t="e">
        <f t="shared" si="300"/>
        <v>#REF!</v>
      </c>
      <c r="O600" s="83" t="e">
        <f t="shared" si="300"/>
        <v>#REF!</v>
      </c>
      <c r="P600" s="83" t="e">
        <f t="shared" si="300"/>
        <v>#REF!</v>
      </c>
      <c r="Q600" s="389" t="e">
        <f t="shared" si="294"/>
        <v>#REF!</v>
      </c>
      <c r="R600" s="83" t="e">
        <f t="shared" si="301"/>
        <v>#REF!</v>
      </c>
      <c r="S600" s="83" t="e">
        <f t="shared" si="301"/>
        <v>#REF!</v>
      </c>
      <c r="T600" s="83" t="e">
        <f t="shared" si="301"/>
        <v>#REF!</v>
      </c>
      <c r="U600" s="363">
        <f t="shared" si="301"/>
        <v>0</v>
      </c>
      <c r="V600" s="363">
        <f t="shared" si="301"/>
        <v>0</v>
      </c>
      <c r="W600" s="363">
        <f t="shared" si="301"/>
        <v>0</v>
      </c>
      <c r="X600" s="363">
        <f t="shared" si="301"/>
        <v>0</v>
      </c>
      <c r="Y600" s="60"/>
      <c r="Z600" s="60"/>
      <c r="AA600" s="60"/>
      <c r="AB600" s="60"/>
      <c r="AC600" s="60"/>
      <c r="AD600" s="138"/>
      <c r="AE600" s="138"/>
      <c r="AF600" s="138"/>
      <c r="AG600" s="138"/>
      <c r="AH600" s="138"/>
      <c r="AI600" s="138"/>
      <c r="AJ600" s="138"/>
      <c r="AK600" s="138"/>
      <c r="AL600" s="138"/>
    </row>
    <row r="601" spans="1:38" s="139" customFormat="1" ht="36" hidden="1" x14ac:dyDescent="0.25">
      <c r="A601" s="80"/>
      <c r="B601" s="80"/>
      <c r="C601" s="80"/>
      <c r="D601" s="80"/>
      <c r="E601" s="80">
        <v>5321</v>
      </c>
      <c r="F601" s="140" t="s">
        <v>745</v>
      </c>
      <c r="G601" s="82" t="e">
        <f>SUMIF(#REF!,funkcijska!E601,#REF!)</f>
        <v>#REF!</v>
      </c>
      <c r="H601" s="82" t="e">
        <f>SUMIF(#REF!,funkcijska!$E601,#REF!)</f>
        <v>#REF!</v>
      </c>
      <c r="I601" s="82" t="e">
        <f>SUMIF(#REF!,funkcijska!$E601,#REF!)</f>
        <v>#REF!</v>
      </c>
      <c r="J601" s="82" t="e">
        <f>SUMIF(#REF!,funkcijska!$E601,#REF!)</f>
        <v>#REF!</v>
      </c>
      <c r="K601" s="82" t="e">
        <f>SUMIF(#REF!,funkcijska!$E601,#REF!)</f>
        <v>#REF!</v>
      </c>
      <c r="L601" s="82" t="e">
        <f t="shared" si="292"/>
        <v>#REF!</v>
      </c>
      <c r="M601" s="82" t="e">
        <f t="shared" si="293"/>
        <v>#REF!</v>
      </c>
      <c r="N601" s="82" t="e">
        <f>SUMIF(#REF!,funkcijska!$E601,#REF!)</f>
        <v>#REF!</v>
      </c>
      <c r="O601" s="82" t="e">
        <f>SUMIF(#REF!,funkcijska!$E601,#REF!)</f>
        <v>#REF!</v>
      </c>
      <c r="P601" s="82" t="e">
        <f>SUMIF(#REF!,funkcijska!$E601,#REF!)</f>
        <v>#REF!</v>
      </c>
      <c r="Q601" s="389" t="e">
        <f t="shared" si="294"/>
        <v>#REF!</v>
      </c>
      <c r="R601" s="82" t="e">
        <f>SUMIF(#REF!,funkcijska!$E601,#REF!)</f>
        <v>#REF!</v>
      </c>
      <c r="S601" s="82" t="e">
        <f>SUMIF(#REF!,funkcijska!$E601,#REF!)</f>
        <v>#REF!</v>
      </c>
      <c r="T601" s="82" t="e">
        <f>SUMIF(#REF!,funkcijska!#REF!,#REF!)</f>
        <v>#REF!</v>
      </c>
      <c r="U601" s="357"/>
      <c r="V601" s="357"/>
      <c r="W601" s="357"/>
      <c r="X601" s="357"/>
      <c r="Y601" s="60"/>
      <c r="Z601" s="60"/>
      <c r="AA601" s="60"/>
      <c r="AB601" s="60"/>
      <c r="AC601" s="60"/>
      <c r="AD601" s="138"/>
      <c r="AE601" s="138"/>
      <c r="AF601" s="138"/>
      <c r="AG601" s="138"/>
      <c r="AH601" s="138"/>
      <c r="AI601" s="138"/>
      <c r="AJ601" s="138"/>
      <c r="AK601" s="138"/>
      <c r="AL601" s="138"/>
    </row>
    <row r="602" spans="1:38" s="373" customFormat="1" ht="35.25" customHeight="1" x14ac:dyDescent="0.25">
      <c r="A602" s="119"/>
      <c r="B602" s="116"/>
      <c r="C602" s="116" t="str">
        <f>LEFT(E604,2)</f>
        <v>54</v>
      </c>
      <c r="D602" s="116"/>
      <c r="E602" s="116"/>
      <c r="F602" s="117" t="s">
        <v>416</v>
      </c>
      <c r="G602" s="312" t="e">
        <f>G603</f>
        <v>#REF!</v>
      </c>
      <c r="H602" s="312" t="e">
        <f>H603</f>
        <v>#REF!</v>
      </c>
      <c r="I602" s="312" t="e">
        <f>I603</f>
        <v>#REF!</v>
      </c>
      <c r="J602" s="312" t="e">
        <f>J603</f>
        <v>#REF!</v>
      </c>
      <c r="K602" s="312" t="e">
        <f>K603</f>
        <v>#REF!</v>
      </c>
      <c r="L602" s="312" t="e">
        <f t="shared" si="292"/>
        <v>#REF!</v>
      </c>
      <c r="M602" s="312" t="e">
        <f t="shared" si="293"/>
        <v>#REF!</v>
      </c>
      <c r="N602" s="312" t="e">
        <f>N603</f>
        <v>#REF!</v>
      </c>
      <c r="O602" s="312" t="e">
        <f>O603</f>
        <v>#REF!</v>
      </c>
      <c r="P602" s="312" t="e">
        <f>P603</f>
        <v>#REF!</v>
      </c>
      <c r="Q602" s="400" t="e">
        <f t="shared" si="294"/>
        <v>#REF!</v>
      </c>
      <c r="R602" s="137" t="e">
        <f t="shared" ref="R602:X602" si="302">R603</f>
        <v>#REF!</v>
      </c>
      <c r="S602" s="137" t="e">
        <f t="shared" si="302"/>
        <v>#REF!</v>
      </c>
      <c r="T602" s="137" t="e">
        <f t="shared" si="302"/>
        <v>#REF!</v>
      </c>
      <c r="U602" s="356" t="e">
        <f t="shared" si="302"/>
        <v>#REF!</v>
      </c>
      <c r="V602" s="356" t="e">
        <f t="shared" si="302"/>
        <v>#REF!</v>
      </c>
      <c r="W602" s="356" t="e">
        <f t="shared" si="302"/>
        <v>#REF!</v>
      </c>
      <c r="X602" s="356" t="e">
        <f t="shared" si="302"/>
        <v>#REF!</v>
      </c>
      <c r="Y602" s="372"/>
      <c r="Z602" s="372"/>
      <c r="AA602" s="372"/>
      <c r="AB602" s="372"/>
      <c r="AC602" s="372"/>
      <c r="AD602" s="372"/>
      <c r="AE602" s="372"/>
      <c r="AF602" s="372"/>
      <c r="AG602" s="372"/>
      <c r="AH602" s="372"/>
      <c r="AI602" s="372"/>
      <c r="AJ602" s="372"/>
      <c r="AK602" s="372"/>
      <c r="AL602" s="372"/>
    </row>
    <row r="603" spans="1:38" ht="59.25" customHeight="1" x14ac:dyDescent="0.25">
      <c r="A603" s="80"/>
      <c r="B603" s="80"/>
      <c r="C603" s="80"/>
      <c r="D603" s="80" t="str">
        <f>LEFT(E604,3)</f>
        <v>542</v>
      </c>
      <c r="E603" s="80"/>
      <c r="F603" s="81" t="s">
        <v>633</v>
      </c>
      <c r="G603" s="82" t="e">
        <f>G604+G605</f>
        <v>#REF!</v>
      </c>
      <c r="H603" s="82" t="e">
        <f>H604+H605</f>
        <v>#REF!</v>
      </c>
      <c r="I603" s="82" t="e">
        <f>I604+I605</f>
        <v>#REF!</v>
      </c>
      <c r="J603" s="82" t="e">
        <f>J604+J605</f>
        <v>#REF!</v>
      </c>
      <c r="K603" s="82" t="e">
        <f>K604+K605</f>
        <v>#REF!</v>
      </c>
      <c r="L603" s="82" t="e">
        <f t="shared" si="292"/>
        <v>#REF!</v>
      </c>
      <c r="M603" s="82" t="e">
        <f t="shared" si="293"/>
        <v>#REF!</v>
      </c>
      <c r="N603" s="82" t="e">
        <f>N604+N605</f>
        <v>#REF!</v>
      </c>
      <c r="O603" s="82" t="e">
        <f>O604+O605</f>
        <v>#REF!</v>
      </c>
      <c r="P603" s="82" t="e">
        <f>P604+P605</f>
        <v>#REF!</v>
      </c>
      <c r="Q603" s="389" t="e">
        <f t="shared" si="294"/>
        <v>#REF!</v>
      </c>
      <c r="R603" s="82" t="e">
        <f t="shared" ref="R603:X603" si="303">R604+R605</f>
        <v>#REF!</v>
      </c>
      <c r="S603" s="82" t="e">
        <f t="shared" si="303"/>
        <v>#REF!</v>
      </c>
      <c r="T603" s="82" t="e">
        <f t="shared" si="303"/>
        <v>#REF!</v>
      </c>
      <c r="U603" s="357" t="e">
        <f t="shared" si="303"/>
        <v>#REF!</v>
      </c>
      <c r="V603" s="357" t="e">
        <f t="shared" si="303"/>
        <v>#REF!</v>
      </c>
      <c r="W603" s="357" t="e">
        <f t="shared" si="303"/>
        <v>#REF!</v>
      </c>
      <c r="X603" s="357" t="e">
        <f t="shared" si="303"/>
        <v>#REF!</v>
      </c>
      <c r="AD603" s="60"/>
      <c r="AE603" s="60"/>
      <c r="AF603" s="60"/>
      <c r="AG603" s="60"/>
      <c r="AH603" s="60"/>
      <c r="AI603" s="60"/>
      <c r="AJ603" s="60"/>
      <c r="AK603" s="60"/>
      <c r="AL603" s="60"/>
    </row>
    <row r="604" spans="1:38" s="139" customFormat="1" ht="34.5" hidden="1" customHeight="1" x14ac:dyDescent="0.25">
      <c r="A604" s="80"/>
      <c r="B604" s="80"/>
      <c r="C604" s="80"/>
      <c r="D604" s="80"/>
      <c r="E604" s="80">
        <v>5421</v>
      </c>
      <c r="F604" s="81" t="s">
        <v>634</v>
      </c>
      <c r="G604" s="82" t="e">
        <f>SUMIF(#REF!,funkcijska!E604,#REF!)</f>
        <v>#REF!</v>
      </c>
      <c r="H604" s="82" t="e">
        <f>SUMIF(#REF!,funkcijska!$E604,#REF!)</f>
        <v>#REF!</v>
      </c>
      <c r="I604" s="82" t="e">
        <f>SUMIF(#REF!,funkcijska!$E604,#REF!)</f>
        <v>#REF!</v>
      </c>
      <c r="J604" s="82" t="e">
        <f>SUMIF(#REF!,funkcijska!$E604,#REF!)</f>
        <v>#REF!</v>
      </c>
      <c r="K604" s="82" t="e">
        <f>SUMIF(#REF!,funkcijska!$E604,#REF!)</f>
        <v>#REF!</v>
      </c>
      <c r="L604" s="82" t="e">
        <f t="shared" si="292"/>
        <v>#REF!</v>
      </c>
      <c r="M604" s="82" t="e">
        <f t="shared" si="293"/>
        <v>#REF!</v>
      </c>
      <c r="N604" s="82" t="e">
        <f>SUMIF(#REF!,funkcijska!$E604,#REF!)</f>
        <v>#REF!</v>
      </c>
      <c r="O604" s="82" t="e">
        <f>SUMIF(#REF!,funkcijska!$E604,#REF!)</f>
        <v>#REF!</v>
      </c>
      <c r="P604" s="82" t="e">
        <f>SUMIF(#REF!,funkcijska!$E604,#REF!)</f>
        <v>#REF!</v>
      </c>
      <c r="Q604" s="389" t="e">
        <f t="shared" si="294"/>
        <v>#REF!</v>
      </c>
      <c r="R604" s="82" t="e">
        <f>SUMIF(#REF!,funkcijska!$E604,#REF!)</f>
        <v>#REF!</v>
      </c>
      <c r="S604" s="82" t="e">
        <f>SUMIF(#REF!,funkcijska!$E604,#REF!)</f>
        <v>#REF!</v>
      </c>
      <c r="T604" s="82" t="e">
        <f>SUMIF(#REF!,funkcijska!#REF!,#REF!)</f>
        <v>#REF!</v>
      </c>
      <c r="U604" s="357" t="e">
        <f>SUMIF(#REF!,funkcijska!$E604,#REF!)</f>
        <v>#REF!</v>
      </c>
      <c r="V604" s="361"/>
      <c r="W604" s="361"/>
      <c r="X604" s="361"/>
      <c r="Y604" s="60"/>
      <c r="Z604" s="60"/>
      <c r="AA604" s="60"/>
      <c r="AB604" s="60"/>
      <c r="AC604" s="60"/>
      <c r="AD604" s="138"/>
      <c r="AE604" s="138"/>
      <c r="AF604" s="138"/>
      <c r="AG604" s="138"/>
      <c r="AH604" s="138"/>
      <c r="AI604" s="138"/>
      <c r="AJ604" s="138"/>
      <c r="AK604" s="138"/>
      <c r="AL604" s="138"/>
    </row>
    <row r="605" spans="1:38" s="139" customFormat="1" ht="36.75" customHeight="1" x14ac:dyDescent="0.25">
      <c r="A605" s="80"/>
      <c r="B605" s="80"/>
      <c r="C605" s="80"/>
      <c r="D605" s="80"/>
      <c r="E605" s="80">
        <v>5422</v>
      </c>
      <c r="F605" s="81" t="s">
        <v>634</v>
      </c>
      <c r="G605" s="82" t="e">
        <f>SUMIF(#REF!,funkcijska!E605,#REF!)</f>
        <v>#REF!</v>
      </c>
      <c r="H605" s="82" t="e">
        <f>SUMIF(#REF!,funkcijska!$E605,#REF!)</f>
        <v>#REF!</v>
      </c>
      <c r="I605" s="82" t="e">
        <f>SUMIF(#REF!,funkcijska!$E605,#REF!)</f>
        <v>#REF!</v>
      </c>
      <c r="J605" s="82" t="e">
        <f>SUMIF(#REF!,funkcijska!$E605,#REF!)</f>
        <v>#REF!</v>
      </c>
      <c r="K605" s="82" t="e">
        <f>SUMIF(#REF!,funkcijska!$E605,#REF!)</f>
        <v>#REF!</v>
      </c>
      <c r="L605" s="82" t="e">
        <f t="shared" si="292"/>
        <v>#REF!</v>
      </c>
      <c r="M605" s="82" t="e">
        <f t="shared" si="293"/>
        <v>#REF!</v>
      </c>
      <c r="N605" s="82" t="e">
        <f>SUMIF(#REF!,funkcijska!$E605,#REF!)</f>
        <v>#REF!</v>
      </c>
      <c r="O605" s="82" t="e">
        <f>SUMIF(#REF!,funkcijska!$E605,#REF!)</f>
        <v>#REF!</v>
      </c>
      <c r="P605" s="82" t="e">
        <f>SUMIF(#REF!,funkcijska!$E605,#REF!)</f>
        <v>#REF!</v>
      </c>
      <c r="Q605" s="389" t="e">
        <f t="shared" si="294"/>
        <v>#REF!</v>
      </c>
      <c r="R605" s="82" t="e">
        <f>SUMIF(#REF!,funkcijska!$E605,#REF!)</f>
        <v>#REF!</v>
      </c>
      <c r="S605" s="82" t="e">
        <f>SUMIF(#REF!,funkcijska!$E605,#REF!)</f>
        <v>#REF!</v>
      </c>
      <c r="T605" s="82" t="e">
        <f>SUMIF(#REF!,funkcijska!#REF!,#REF!)</f>
        <v>#REF!</v>
      </c>
      <c r="U605" s="82" t="e">
        <f>SUMIF(#REF!,funkcijska!$E605,#REF!)</f>
        <v>#REF!</v>
      </c>
      <c r="V605" s="357" t="e">
        <f>SUMIF(#REF!,funkcijska!$E605,#REF!)</f>
        <v>#REF!</v>
      </c>
      <c r="W605" s="357" t="e">
        <f>SUMIF(#REF!,funkcijska!$E605,#REF!)</f>
        <v>#REF!</v>
      </c>
      <c r="X605" s="357" t="e">
        <f>SUMIF(#REF!,funkcijska!$E605,#REF!)</f>
        <v>#REF!</v>
      </c>
      <c r="Y605" s="60"/>
      <c r="Z605" s="60"/>
      <c r="AA605" s="60"/>
      <c r="AB605" s="60"/>
      <c r="AC605" s="60"/>
      <c r="AD605" s="138"/>
      <c r="AE605" s="138"/>
      <c r="AF605" s="138"/>
      <c r="AG605" s="138"/>
      <c r="AH605" s="138"/>
      <c r="AI605" s="138"/>
      <c r="AJ605" s="138"/>
      <c r="AK605" s="138"/>
      <c r="AL605" s="138"/>
    </row>
    <row r="606" spans="1:38" x14ac:dyDescent="0.25">
      <c r="A606" s="123"/>
      <c r="B606" s="123"/>
      <c r="C606" s="123"/>
      <c r="D606" s="123"/>
      <c r="E606" s="123"/>
    </row>
    <row r="607" spans="1:38" x14ac:dyDescent="0.25">
      <c r="A607" s="123"/>
      <c r="B607" s="123"/>
      <c r="C607" s="123"/>
      <c r="D607" s="123"/>
      <c r="E607" s="123"/>
    </row>
    <row r="608" spans="1:38" ht="36" x14ac:dyDescent="0.25">
      <c r="A608" s="123"/>
      <c r="B608" s="569"/>
      <c r="C608" s="569"/>
      <c r="D608" s="569"/>
      <c r="E608" s="569"/>
      <c r="F608" s="568" t="s">
        <v>777</v>
      </c>
      <c r="G608" s="549"/>
      <c r="H608" s="549"/>
      <c r="I608" s="549"/>
      <c r="J608" s="549"/>
      <c r="K608" s="549"/>
      <c r="L608" s="549"/>
      <c r="M608" s="549"/>
      <c r="N608" s="549"/>
      <c r="O608" s="550"/>
      <c r="P608" s="550"/>
      <c r="Q608" s="550"/>
      <c r="R608" s="550"/>
      <c r="S608" s="550"/>
      <c r="T608" s="550"/>
      <c r="U608" s="550"/>
      <c r="V608" s="551" t="e">
        <f>V609</f>
        <v>#REF!</v>
      </c>
      <c r="W608" s="551" t="e">
        <f>W609</f>
        <v>#REF!</v>
      </c>
      <c r="X608" s="551" t="e">
        <f>X609</f>
        <v>#REF!</v>
      </c>
    </row>
    <row r="609" spans="1:38" x14ac:dyDescent="0.25">
      <c r="A609" s="74"/>
      <c r="B609" s="105" t="s">
        <v>769</v>
      </c>
      <c r="C609" s="105"/>
      <c r="D609" s="105"/>
      <c r="E609" s="105"/>
      <c r="F609" s="72" t="s">
        <v>524</v>
      </c>
      <c r="G609" s="313" t="e">
        <f>#REF!+G610+#REF!+#REF!+G618+#REF!+G622</f>
        <v>#REF!</v>
      </c>
      <c r="H609" s="73" t="e">
        <f>#REF!+H610+#REF!+#REF!+H618+#REF!+H622</f>
        <v>#REF!</v>
      </c>
      <c r="I609" s="313" t="e">
        <f>#REF!+I610+#REF!+#REF!+I618+#REF!+I622</f>
        <v>#REF!</v>
      </c>
      <c r="J609" s="313" t="e">
        <f>#REF!+J610+#REF!+#REF!+J618+#REF!+J622</f>
        <v>#REF!</v>
      </c>
      <c r="K609" s="313" t="e">
        <f>#REF!+K610+#REF!+#REF!+K618+#REF!+K622</f>
        <v>#REF!</v>
      </c>
      <c r="L609" s="313" t="e">
        <f>ROUND(K609/J609*100,2)</f>
        <v>#REF!</v>
      </c>
      <c r="M609" s="313" t="e">
        <f>N609-J609</f>
        <v>#REF!</v>
      </c>
      <c r="N609" s="313" t="e">
        <f>#REF!+N610+#REF!+#REF!+N618+#REF!+N622</f>
        <v>#REF!</v>
      </c>
      <c r="O609" s="73" t="e">
        <f>#REF!+O610+#REF!+#REF!+O618+#REF!+O622</f>
        <v>#REF!</v>
      </c>
      <c r="P609" s="73" t="e">
        <f>#REF!+P610+#REF!+#REF!+P618+#REF!+P622</f>
        <v>#REF!</v>
      </c>
      <c r="Q609" s="384" t="e">
        <f>#REF!+Q610+#REF!+#REF!+Q618+#REF!+Q622</f>
        <v>#REF!</v>
      </c>
      <c r="R609" s="76" t="e">
        <f>#REF!+R610+#REF!+#REF!+R618+#REF!+R622</f>
        <v>#REF!</v>
      </c>
      <c r="S609" s="76" t="e">
        <f>#REF!+S610+#REF!+#REF!+S618+#REF!+S622</f>
        <v>#REF!</v>
      </c>
      <c r="T609" s="76" t="e">
        <f>#REF!+T610+#REF!+#REF!+T618+#REF!+T622</f>
        <v>#REF!</v>
      </c>
      <c r="U609" s="355" t="e">
        <f>#REF!+U610+#REF!+#REF!+U618+#REF!+U622</f>
        <v>#REF!</v>
      </c>
      <c r="V609" s="355" t="e">
        <f>V610+V618+V622</f>
        <v>#REF!</v>
      </c>
      <c r="W609" s="355" t="e">
        <f>W610+W618+W622</f>
        <v>#REF!</v>
      </c>
      <c r="X609" s="355" t="e">
        <f>X610+X618+X622</f>
        <v>#REF!</v>
      </c>
      <c r="AD609" s="60"/>
      <c r="AE609" s="60"/>
      <c r="AF609" s="60"/>
      <c r="AG609" s="60"/>
      <c r="AH609" s="60"/>
      <c r="AI609" s="60"/>
      <c r="AJ609" s="60"/>
      <c r="AK609" s="60"/>
      <c r="AL609" s="60"/>
    </row>
    <row r="610" spans="1:38" ht="18.75" customHeight="1" x14ac:dyDescent="0.25">
      <c r="A610" s="125"/>
      <c r="B610" s="74"/>
      <c r="C610" s="74" t="s">
        <v>778</v>
      </c>
      <c r="D610" s="74"/>
      <c r="E610" s="74"/>
      <c r="F610" s="75" t="s">
        <v>525</v>
      </c>
      <c r="G610" s="310" t="e">
        <f>#REF!+G611+#REF!+#REF!</f>
        <v>#REF!</v>
      </c>
      <c r="H610" s="118" t="e">
        <f>#REF!+H611+#REF!+#REF!</f>
        <v>#REF!</v>
      </c>
      <c r="I610" s="310" t="e">
        <f>#REF!+I611+#REF!+#REF!</f>
        <v>#REF!</v>
      </c>
      <c r="J610" s="310" t="e">
        <f>#REF!+J611+#REF!+#REF!+#REF!</f>
        <v>#REF!</v>
      </c>
      <c r="K610" s="310" t="e">
        <f>#REF!+K611+#REF!+#REF!+#REF!</f>
        <v>#REF!</v>
      </c>
      <c r="L610" s="310" t="e">
        <f>ROUND(K610/J610*100,2)</f>
        <v>#REF!</v>
      </c>
      <c r="M610" s="310" t="e">
        <f>N610-J610</f>
        <v>#REF!</v>
      </c>
      <c r="N610" s="310" t="e">
        <f>#REF!+N611+#REF!+#REF!+#REF!</f>
        <v>#REF!</v>
      </c>
      <c r="O610" s="310" t="e">
        <f>#REF!+O611+#REF!+#REF!+#REF!</f>
        <v>#REF!</v>
      </c>
      <c r="P610" s="310" t="e">
        <f>#REF!+P611+#REF!+#REF!+#REF!</f>
        <v>#REF!</v>
      </c>
      <c r="Q610" s="391" t="e">
        <f>#REF!+Q611+#REF!+#REF!+#REF!</f>
        <v>#REF!</v>
      </c>
      <c r="R610" s="130" t="e">
        <f>#REF!+R611+#REF!+#REF!+#REF!</f>
        <v>#REF!</v>
      </c>
      <c r="S610" s="130" t="e">
        <f>#REF!+S611+#REF!+#REF!+#REF!</f>
        <v>#REF!</v>
      </c>
      <c r="T610" s="130" t="e">
        <f>#REF!+T611+#REF!+#REF!+#REF!</f>
        <v>#REF!</v>
      </c>
      <c r="U610" s="364" t="e">
        <f>#REF!+U611+#REF!+#REF!+#REF!</f>
        <v>#REF!</v>
      </c>
      <c r="V610" s="364" t="e">
        <f>V611</f>
        <v>#REF!</v>
      </c>
      <c r="W610" s="364" t="e">
        <f>W611</f>
        <v>#REF!</v>
      </c>
      <c r="X610" s="364" t="e">
        <f>X611</f>
        <v>#REF!</v>
      </c>
      <c r="AD610" s="60"/>
      <c r="AE610" s="60"/>
      <c r="AF610" s="60"/>
      <c r="AG610" s="60"/>
      <c r="AH610" s="60"/>
      <c r="AI610" s="60"/>
      <c r="AJ610" s="60"/>
      <c r="AK610" s="60"/>
      <c r="AL610" s="60"/>
    </row>
    <row r="611" spans="1:38" s="373" customFormat="1" ht="22.5" customHeight="1" x14ac:dyDescent="0.25">
      <c r="A611" s="119"/>
      <c r="B611" s="119"/>
      <c r="C611" s="119"/>
      <c r="D611" s="119" t="str">
        <f>LEFT(E612,3)</f>
        <v>322</v>
      </c>
      <c r="E611" s="119"/>
      <c r="F611" s="368" t="s">
        <v>547</v>
      </c>
      <c r="G611" s="369" t="e">
        <f>SUM(G612:G616)</f>
        <v>#REF!</v>
      </c>
      <c r="H611" s="370" t="e">
        <f>SUM(H612:H616)</f>
        <v>#REF!</v>
      </c>
      <c r="I611" s="369" t="e">
        <f t="shared" ref="I611:X611" si="304">SUM(I612:I617)</f>
        <v>#REF!</v>
      </c>
      <c r="J611" s="369" t="e">
        <f t="shared" si="304"/>
        <v>#REF!</v>
      </c>
      <c r="K611" s="369" t="e">
        <f t="shared" si="304"/>
        <v>#REF!</v>
      </c>
      <c r="L611" s="369" t="e">
        <f t="shared" si="304"/>
        <v>#REF!</v>
      </c>
      <c r="M611" s="369" t="e">
        <f t="shared" si="304"/>
        <v>#REF!</v>
      </c>
      <c r="N611" s="369" t="e">
        <f t="shared" si="304"/>
        <v>#REF!</v>
      </c>
      <c r="O611" s="369" t="e">
        <f t="shared" si="304"/>
        <v>#REF!</v>
      </c>
      <c r="P611" s="369" t="e">
        <f t="shared" si="304"/>
        <v>#REF!</v>
      </c>
      <c r="Q611" s="392" t="e">
        <f t="shared" si="304"/>
        <v>#REF!</v>
      </c>
      <c r="R611" s="369" t="e">
        <f t="shared" si="304"/>
        <v>#REF!</v>
      </c>
      <c r="S611" s="369" t="e">
        <f t="shared" si="304"/>
        <v>#REF!</v>
      </c>
      <c r="T611" s="369" t="e">
        <f t="shared" si="304"/>
        <v>#REF!</v>
      </c>
      <c r="U611" s="371" t="e">
        <f t="shared" si="304"/>
        <v>#REF!</v>
      </c>
      <c r="V611" s="371" t="e">
        <f t="shared" si="304"/>
        <v>#REF!</v>
      </c>
      <c r="W611" s="371" t="e">
        <f t="shared" si="304"/>
        <v>#REF!</v>
      </c>
      <c r="X611" s="371" t="e">
        <f t="shared" si="304"/>
        <v>#REF!</v>
      </c>
      <c r="Y611" s="372"/>
      <c r="Z611" s="372"/>
      <c r="AA611" s="372"/>
      <c r="AB611" s="372"/>
      <c r="AC611" s="372"/>
      <c r="AD611" s="372"/>
      <c r="AE611" s="372"/>
      <c r="AF611" s="372"/>
      <c r="AG611" s="372"/>
      <c r="AH611" s="372"/>
      <c r="AI611" s="372"/>
      <c r="AJ611" s="372"/>
      <c r="AK611" s="372"/>
      <c r="AL611" s="372"/>
    </row>
    <row r="612" spans="1:38" ht="20.25" customHeight="1" x14ac:dyDescent="0.25">
      <c r="A612" s="80"/>
      <c r="B612" s="80"/>
      <c r="C612" s="80"/>
      <c r="D612" s="80"/>
      <c r="E612" s="80">
        <v>3221</v>
      </c>
      <c r="F612" s="81" t="s">
        <v>548</v>
      </c>
      <c r="G612" s="82" t="e">
        <f>SUMIF(#REF!,funkcijska!$E612,#REF!)</f>
        <v>#REF!</v>
      </c>
      <c r="H612" s="82" t="e">
        <f>SUMIF(#REF!,funkcijska!$E612,#REF!)</f>
        <v>#REF!</v>
      </c>
      <c r="I612" s="82" t="e">
        <f>SUMIF(#REF!,funkcijska!$E612,#REF!)</f>
        <v>#REF!</v>
      </c>
      <c r="J612" s="82" t="e">
        <f>SUMIF(#REF!,funkcijska!$E612,#REF!)</f>
        <v>#REF!</v>
      </c>
      <c r="K612" s="82" t="e">
        <f>SUMIF(#REF!,funkcijska!$E612,#REF!)</f>
        <v>#REF!</v>
      </c>
      <c r="L612" s="82" t="e">
        <f t="shared" ref="L612:L617" si="305">ROUND(K612/J612*100,2)</f>
        <v>#REF!</v>
      </c>
      <c r="M612" s="82" t="e">
        <f t="shared" ref="M612:M617" si="306">N612-J612</f>
        <v>#REF!</v>
      </c>
      <c r="N612" s="82" t="e">
        <f>SUMIF(#REF!,funkcijska!$E612,#REF!)</f>
        <v>#REF!</v>
      </c>
      <c r="O612" s="82" t="e">
        <f>SUMIF(#REF!,funkcijska!$E612,#REF!)</f>
        <v>#REF!</v>
      </c>
      <c r="P612" s="82" t="e">
        <f>SUMIF(#REF!,funkcijska!$E612,#REF!)</f>
        <v>#REF!</v>
      </c>
      <c r="Q612" s="386" t="e">
        <f>SUMIF(#REF!,funkcijska!$E612,#REF!)</f>
        <v>#REF!</v>
      </c>
      <c r="R612" s="82" t="e">
        <f>SUMIF(#REF!,funkcijska!$E612,#REF!)</f>
        <v>#REF!</v>
      </c>
      <c r="S612" s="82" t="e">
        <f>SUMIF(#REF!,funkcijska!$E612,#REF!)</f>
        <v>#REF!</v>
      </c>
      <c r="T612" s="82" t="e">
        <f>SUMIF(#REF!,funkcijska!$E$28,#REF!)</f>
        <v>#REF!</v>
      </c>
      <c r="U612" s="357" t="e">
        <f>SUMIF(#REF!,funkcijska!$E612,#REF!)</f>
        <v>#REF!</v>
      </c>
      <c r="V612" s="357" t="e">
        <f>SUMIF(#REF!,funkcijska!$E612,#REF!)</f>
        <v>#REF!</v>
      </c>
      <c r="W612" s="357" t="e">
        <f>SUMIF(#REF!,funkcijska!$E612,#REF!)</f>
        <v>#REF!</v>
      </c>
      <c r="X612" s="357" t="e">
        <f>SUMIF(#REF!,funkcijska!$E612,#REF!)</f>
        <v>#REF!</v>
      </c>
      <c r="AD612" s="60"/>
      <c r="AE612" s="60"/>
      <c r="AF612" s="60"/>
      <c r="AG612" s="60"/>
      <c r="AH612" s="60"/>
      <c r="AI612" s="60"/>
      <c r="AJ612" s="60"/>
      <c r="AK612" s="60"/>
      <c r="AL612" s="60"/>
    </row>
    <row r="613" spans="1:38" ht="16.5" customHeight="1" x14ac:dyDescent="0.25">
      <c r="A613" s="80"/>
      <c r="B613" s="80"/>
      <c r="C613" s="80"/>
      <c r="D613" s="80"/>
      <c r="E613" s="80">
        <v>3222</v>
      </c>
      <c r="F613" s="81" t="s">
        <v>474</v>
      </c>
      <c r="G613" s="82" t="e">
        <f>SUMIF(#REF!,funkcijska!$E613,#REF!)</f>
        <v>#REF!</v>
      </c>
      <c r="H613" s="82" t="e">
        <f>SUMIF(#REF!,funkcijska!$E613,#REF!)</f>
        <v>#REF!</v>
      </c>
      <c r="I613" s="82" t="e">
        <f>SUMIF(#REF!,funkcijska!$E613,#REF!)</f>
        <v>#REF!</v>
      </c>
      <c r="J613" s="82" t="e">
        <f>SUMIF(#REF!,funkcijska!$E613,#REF!)</f>
        <v>#REF!</v>
      </c>
      <c r="K613" s="82" t="e">
        <f>SUMIF(#REF!,funkcijska!$E613,#REF!)</f>
        <v>#REF!</v>
      </c>
      <c r="L613" s="82" t="e">
        <f t="shared" si="305"/>
        <v>#REF!</v>
      </c>
      <c r="M613" s="82" t="e">
        <f t="shared" si="306"/>
        <v>#REF!</v>
      </c>
      <c r="N613" s="82" t="e">
        <f>SUMIF(#REF!,funkcijska!$E613,#REF!)</f>
        <v>#REF!</v>
      </c>
      <c r="O613" s="82" t="e">
        <f>SUMIF(#REF!,funkcijska!$E613,#REF!)</f>
        <v>#REF!</v>
      </c>
      <c r="P613" s="82" t="e">
        <f>SUMIF(#REF!,funkcijska!$E613,#REF!)</f>
        <v>#REF!</v>
      </c>
      <c r="Q613" s="386" t="e">
        <f>SUMIF(#REF!,funkcijska!$E613,#REF!)</f>
        <v>#REF!</v>
      </c>
      <c r="R613" s="82" t="e">
        <f>SUMIF(#REF!,funkcijska!$E613,#REF!)</f>
        <v>#REF!</v>
      </c>
      <c r="S613" s="82" t="e">
        <f>SUMIF(#REF!,funkcijska!$E613,#REF!)</f>
        <v>#REF!</v>
      </c>
      <c r="T613" s="82" t="e">
        <f>SUMIF(#REF!,funkcijska!$E$29,#REF!)</f>
        <v>#REF!</v>
      </c>
      <c r="U613" s="357" t="e">
        <f>SUMIF(#REF!,funkcijska!$E613,#REF!)</f>
        <v>#REF!</v>
      </c>
      <c r="V613" s="357" t="e">
        <f>SUMIF(#REF!,funkcijska!$E613,#REF!)</f>
        <v>#REF!</v>
      </c>
      <c r="W613" s="357" t="e">
        <f>SUMIF(#REF!,funkcijska!$E613,#REF!)</f>
        <v>#REF!</v>
      </c>
      <c r="X613" s="357" t="e">
        <f>SUMIF(#REF!,funkcijska!$E613,#REF!)</f>
        <v>#REF!</v>
      </c>
      <c r="AD613" s="60"/>
      <c r="AE613" s="60"/>
      <c r="AF613" s="60"/>
      <c r="AG613" s="60"/>
      <c r="AH613" s="60"/>
      <c r="AI613" s="60"/>
      <c r="AJ613" s="60"/>
      <c r="AK613" s="60"/>
      <c r="AL613" s="60"/>
    </row>
    <row r="614" spans="1:38" ht="16.5" customHeight="1" x14ac:dyDescent="0.25">
      <c r="A614" s="80"/>
      <c r="B614" s="80"/>
      <c r="C614" s="80"/>
      <c r="D614" s="80"/>
      <c r="E614" s="80">
        <v>3223</v>
      </c>
      <c r="F614" s="81" t="s">
        <v>204</v>
      </c>
      <c r="G614" s="82" t="e">
        <f>SUMIF(#REF!,funkcijska!$E614,#REF!)</f>
        <v>#REF!</v>
      </c>
      <c r="H614" s="82" t="e">
        <f>SUMIF(#REF!,funkcijska!$E614,#REF!)</f>
        <v>#REF!</v>
      </c>
      <c r="I614" s="82" t="e">
        <f>SUMIF(#REF!,funkcijska!$E614,#REF!)</f>
        <v>#REF!</v>
      </c>
      <c r="J614" s="82" t="e">
        <f>SUMIF(#REF!,funkcijska!$E614,#REF!)</f>
        <v>#REF!</v>
      </c>
      <c r="K614" s="82" t="e">
        <f>SUMIF(#REF!,funkcijska!$E614,#REF!)</f>
        <v>#REF!</v>
      </c>
      <c r="L614" s="82" t="e">
        <f t="shared" si="305"/>
        <v>#REF!</v>
      </c>
      <c r="M614" s="82" t="e">
        <f t="shared" si="306"/>
        <v>#REF!</v>
      </c>
      <c r="N614" s="82" t="e">
        <f>SUMIF(#REF!,funkcijska!$E614,#REF!)</f>
        <v>#REF!</v>
      </c>
      <c r="O614" s="82" t="e">
        <f>SUMIF(#REF!,funkcijska!$E614,#REF!)</f>
        <v>#REF!</v>
      </c>
      <c r="P614" s="82" t="e">
        <f>SUMIF(#REF!,funkcijska!$E614,#REF!)</f>
        <v>#REF!</v>
      </c>
      <c r="Q614" s="386" t="e">
        <f>SUMIF(#REF!,funkcijska!$E614,#REF!)</f>
        <v>#REF!</v>
      </c>
      <c r="R614" s="82" t="e">
        <f>SUMIF(#REF!,funkcijska!$E614,#REF!)</f>
        <v>#REF!</v>
      </c>
      <c r="S614" s="82" t="e">
        <f>SUMIF(#REF!,funkcijska!$E614,#REF!)</f>
        <v>#REF!</v>
      </c>
      <c r="T614" s="82" t="e">
        <f>SUMIF(#REF!,funkcijska!$E$30,#REF!)</f>
        <v>#REF!</v>
      </c>
      <c r="U614" s="357" t="e">
        <f>SUMIF(#REF!,funkcijska!$E614,#REF!)</f>
        <v>#REF!</v>
      </c>
      <c r="V614" s="357" t="e">
        <f>SUMIF(#REF!,funkcijska!$E614,#REF!)</f>
        <v>#REF!</v>
      </c>
      <c r="W614" s="357" t="e">
        <f>SUMIF(#REF!,funkcijska!$E614,#REF!)</f>
        <v>#REF!</v>
      </c>
      <c r="X614" s="357" t="e">
        <f>SUMIF(#REF!,funkcijska!$E614,#REF!)</f>
        <v>#REF!</v>
      </c>
      <c r="AD614" s="60"/>
      <c r="AE614" s="60"/>
      <c r="AF614" s="60"/>
      <c r="AG614" s="60"/>
      <c r="AH614" s="60"/>
      <c r="AI614" s="60"/>
      <c r="AJ614" s="60"/>
      <c r="AK614" s="60"/>
      <c r="AL614" s="60"/>
    </row>
    <row r="615" spans="1:38" ht="36.75" customHeight="1" x14ac:dyDescent="0.25">
      <c r="A615" s="80"/>
      <c r="B615" s="80"/>
      <c r="C615" s="80"/>
      <c r="D615" s="80"/>
      <c r="E615" s="80">
        <v>3224</v>
      </c>
      <c r="F615" s="81" t="s">
        <v>853</v>
      </c>
      <c r="G615" s="82" t="e">
        <f>SUMIF(#REF!,funkcijska!$E615,#REF!)</f>
        <v>#REF!</v>
      </c>
      <c r="H615" s="82" t="e">
        <f>SUMIF(#REF!,funkcijska!$E615,#REF!)</f>
        <v>#REF!</v>
      </c>
      <c r="I615" s="82" t="e">
        <f>SUMIF(#REF!,funkcijska!$E615,#REF!)</f>
        <v>#REF!</v>
      </c>
      <c r="J615" s="82" t="e">
        <f>SUMIF(#REF!,funkcijska!$E615,#REF!)</f>
        <v>#REF!</v>
      </c>
      <c r="K615" s="82" t="e">
        <f>SUMIF(#REF!,funkcijska!$E615,#REF!)</f>
        <v>#REF!</v>
      </c>
      <c r="L615" s="82" t="e">
        <f t="shared" si="305"/>
        <v>#REF!</v>
      </c>
      <c r="M615" s="82" t="e">
        <f t="shared" si="306"/>
        <v>#REF!</v>
      </c>
      <c r="N615" s="82" t="e">
        <f>SUMIF(#REF!,funkcijska!$E615,#REF!)</f>
        <v>#REF!</v>
      </c>
      <c r="O615" s="82" t="e">
        <f>SUMIF(#REF!,funkcijska!$E615,#REF!)</f>
        <v>#REF!</v>
      </c>
      <c r="P615" s="82" t="e">
        <f>SUMIF(#REF!,funkcijska!$E615,#REF!)</f>
        <v>#REF!</v>
      </c>
      <c r="Q615" s="386" t="e">
        <f>SUMIF(#REF!,funkcijska!$E615,#REF!)</f>
        <v>#REF!</v>
      </c>
      <c r="R615" s="82" t="e">
        <f>SUMIF(#REF!,funkcijska!$E615,#REF!)</f>
        <v>#REF!</v>
      </c>
      <c r="S615" s="82" t="e">
        <f>SUMIF(#REF!,funkcijska!$E615,#REF!)</f>
        <v>#REF!</v>
      </c>
      <c r="T615" s="82" t="e">
        <f>SUMIF(#REF!,funkcijska!$E$31,#REF!)</f>
        <v>#REF!</v>
      </c>
      <c r="U615" s="357" t="e">
        <f>SUMIF(#REF!,funkcijska!$E615,#REF!)</f>
        <v>#REF!</v>
      </c>
      <c r="V615" s="357" t="e">
        <f>SUMIF(#REF!,funkcijska!$E615,#REF!)</f>
        <v>#REF!</v>
      </c>
      <c r="W615" s="357" t="e">
        <f>SUMIF(#REF!,funkcijska!$E615,#REF!)</f>
        <v>#REF!</v>
      </c>
      <c r="X615" s="357" t="e">
        <f>SUMIF(#REF!,funkcijska!$E615,#REF!)</f>
        <v>#REF!</v>
      </c>
      <c r="AD615" s="60"/>
      <c r="AE615" s="60"/>
      <c r="AF615" s="60"/>
      <c r="AG615" s="60"/>
      <c r="AH615" s="60"/>
      <c r="AI615" s="60"/>
      <c r="AJ615" s="60"/>
      <c r="AK615" s="60"/>
      <c r="AL615" s="60"/>
    </row>
    <row r="616" spans="1:38" ht="16.5" customHeight="1" x14ac:dyDescent="0.25">
      <c r="A616" s="80"/>
      <c r="B616" s="80"/>
      <c r="C616" s="80"/>
      <c r="D616" s="80"/>
      <c r="E616" s="80">
        <v>3225</v>
      </c>
      <c r="F616" s="81" t="s">
        <v>205</v>
      </c>
      <c r="G616" s="82" t="e">
        <f>SUMIF(#REF!,funkcijska!$E616,#REF!)</f>
        <v>#REF!</v>
      </c>
      <c r="H616" s="82" t="e">
        <f>SUMIF(#REF!,funkcijska!$E616,#REF!)</f>
        <v>#REF!</v>
      </c>
      <c r="I616" s="82" t="e">
        <f>SUMIF(#REF!,funkcijska!$E616,#REF!)</f>
        <v>#REF!</v>
      </c>
      <c r="J616" s="82" t="e">
        <f>SUMIF(#REF!,funkcijska!$E616,#REF!)</f>
        <v>#REF!</v>
      </c>
      <c r="K616" s="82" t="e">
        <f>SUMIF(#REF!,funkcijska!$E616,#REF!)</f>
        <v>#REF!</v>
      </c>
      <c r="L616" s="82" t="e">
        <f t="shared" si="305"/>
        <v>#REF!</v>
      </c>
      <c r="M616" s="82" t="e">
        <f t="shared" si="306"/>
        <v>#REF!</v>
      </c>
      <c r="N616" s="82" t="e">
        <f>SUMIF(#REF!,funkcijska!$E616,#REF!)</f>
        <v>#REF!</v>
      </c>
      <c r="O616" s="82" t="e">
        <f>SUMIF(#REF!,funkcijska!$E616,#REF!)</f>
        <v>#REF!</v>
      </c>
      <c r="P616" s="82" t="e">
        <f>SUMIF(#REF!,funkcijska!$E616,#REF!)</f>
        <v>#REF!</v>
      </c>
      <c r="Q616" s="386" t="e">
        <f>SUMIF(#REF!,funkcijska!$E616,#REF!)</f>
        <v>#REF!</v>
      </c>
      <c r="R616" s="82" t="e">
        <f>SUMIF(#REF!,funkcijska!$E616,#REF!)</f>
        <v>#REF!</v>
      </c>
      <c r="S616" s="82" t="e">
        <f>SUMIF(#REF!,funkcijska!$E616,#REF!)</f>
        <v>#REF!</v>
      </c>
      <c r="T616" s="82" t="e">
        <f>SUMIF(#REF!,funkcijska!$E$32,#REF!)</f>
        <v>#REF!</v>
      </c>
      <c r="U616" s="357" t="e">
        <f>SUMIF(#REF!,funkcijska!$E616,#REF!)</f>
        <v>#REF!</v>
      </c>
      <c r="V616" s="357" t="e">
        <f>SUMIF(#REF!,funkcijska!$E616,#REF!)</f>
        <v>#REF!</v>
      </c>
      <c r="W616" s="357" t="e">
        <f>SUMIF(#REF!,funkcijska!$E616,#REF!)</f>
        <v>#REF!</v>
      </c>
      <c r="X616" s="357" t="e">
        <f>SUMIF(#REF!,funkcijska!$E616,#REF!)</f>
        <v>#REF!</v>
      </c>
      <c r="AD616" s="60"/>
      <c r="AE616" s="60"/>
      <c r="AF616" s="60"/>
      <c r="AG616" s="60"/>
      <c r="AH616" s="60"/>
      <c r="AI616" s="60"/>
      <c r="AJ616" s="60"/>
      <c r="AK616" s="60"/>
      <c r="AL616" s="60"/>
    </row>
    <row r="617" spans="1:38" ht="16.5" customHeight="1" x14ac:dyDescent="0.25">
      <c r="A617" s="80"/>
      <c r="B617" s="80"/>
      <c r="C617" s="80"/>
      <c r="D617" s="80"/>
      <c r="E617" s="131">
        <v>3227</v>
      </c>
      <c r="F617" s="132" t="s">
        <v>646</v>
      </c>
      <c r="G617" s="82" t="e">
        <f>SUMIF(#REF!,funkcijska!$E617,#REF!)</f>
        <v>#REF!</v>
      </c>
      <c r="H617" s="82" t="e">
        <f>SUMIF(#REF!,funkcijska!$E617,#REF!)</f>
        <v>#REF!</v>
      </c>
      <c r="I617" s="82" t="e">
        <f>SUMIF(#REF!,funkcijska!$E617,#REF!)</f>
        <v>#REF!</v>
      </c>
      <c r="J617" s="82" t="e">
        <f>SUMIF(#REF!,funkcijska!$E617,#REF!)</f>
        <v>#REF!</v>
      </c>
      <c r="K617" s="82" t="e">
        <f>SUMIF(#REF!,funkcijska!$E617,#REF!)</f>
        <v>#REF!</v>
      </c>
      <c r="L617" s="82" t="e">
        <f t="shared" si="305"/>
        <v>#REF!</v>
      </c>
      <c r="M617" s="82" t="e">
        <f t="shared" si="306"/>
        <v>#REF!</v>
      </c>
      <c r="N617" s="82" t="e">
        <f>SUMIF(#REF!,funkcijska!$E617,#REF!)</f>
        <v>#REF!</v>
      </c>
      <c r="O617" s="82" t="e">
        <f>SUMIF(#REF!,funkcijska!$E617,#REF!)</f>
        <v>#REF!</v>
      </c>
      <c r="P617" s="82" t="e">
        <f>SUMIF(#REF!,funkcijska!$E617,#REF!)</f>
        <v>#REF!</v>
      </c>
      <c r="Q617" s="386" t="e">
        <f>SUMIF(#REF!,funkcijska!$E617,#REF!)</f>
        <v>#REF!</v>
      </c>
      <c r="R617" s="82" t="e">
        <f>SUMIF(#REF!,funkcijska!$E617,#REF!)</f>
        <v>#REF!</v>
      </c>
      <c r="S617" s="82" t="e">
        <f>SUMIF(#REF!,funkcijska!$E617,#REF!)</f>
        <v>#REF!</v>
      </c>
      <c r="T617" s="82" t="e">
        <f>SUMIF(#REF!,funkcijska!$E$33,#REF!)</f>
        <v>#REF!</v>
      </c>
      <c r="U617" s="357" t="e">
        <f>SUMIF(#REF!,funkcijska!$E617,#REF!)</f>
        <v>#REF!</v>
      </c>
      <c r="V617" s="357" t="e">
        <f>SUMIF(#REF!,funkcijska!$E617,#REF!)</f>
        <v>#REF!</v>
      </c>
      <c r="W617" s="357" t="e">
        <f>SUMIF(#REF!,funkcijska!$E617,#REF!)</f>
        <v>#REF!</v>
      </c>
      <c r="X617" s="357" t="e">
        <f>SUMIF(#REF!,funkcijska!$E617,#REF!)</f>
        <v>#REF!</v>
      </c>
      <c r="AD617" s="60"/>
      <c r="AE617" s="60"/>
      <c r="AF617" s="60"/>
      <c r="AG617" s="60"/>
      <c r="AH617" s="60"/>
      <c r="AI617" s="60"/>
      <c r="AJ617" s="60"/>
      <c r="AK617" s="60"/>
      <c r="AL617" s="60"/>
    </row>
    <row r="618" spans="1:38" ht="38.25" customHeight="1" x14ac:dyDescent="0.25">
      <c r="A618" s="125"/>
      <c r="B618" s="74"/>
      <c r="C618" s="74" t="str">
        <f>LEFT(E620,2)</f>
        <v>36</v>
      </c>
      <c r="D618" s="74"/>
      <c r="E618" s="74"/>
      <c r="F618" s="75" t="s">
        <v>751</v>
      </c>
      <c r="G618" s="77" t="e">
        <f>G619</f>
        <v>#REF!</v>
      </c>
      <c r="H618" s="118" t="e">
        <f>H619</f>
        <v>#REF!</v>
      </c>
      <c r="I618" s="77" t="e">
        <f>I619</f>
        <v>#REF!</v>
      </c>
      <c r="J618" s="77" t="e">
        <f>J619</f>
        <v>#REF!</v>
      </c>
      <c r="K618" s="77" t="e">
        <f>K619</f>
        <v>#REF!</v>
      </c>
      <c r="L618" s="77" t="e">
        <f>ROUND(K618/J618*100,2)</f>
        <v>#REF!</v>
      </c>
      <c r="M618" s="77" t="e">
        <f>N618-J618</f>
        <v>#REF!</v>
      </c>
      <c r="N618" s="77" t="e">
        <f t="shared" ref="N618:X618" si="307">N619</f>
        <v>#REF!</v>
      </c>
      <c r="O618" s="76" t="e">
        <f t="shared" si="307"/>
        <v>#REF!</v>
      </c>
      <c r="P618" s="76" t="e">
        <f t="shared" si="307"/>
        <v>#REF!</v>
      </c>
      <c r="Q618" s="385" t="e">
        <f t="shared" si="307"/>
        <v>#REF!</v>
      </c>
      <c r="R618" s="135" t="e">
        <f t="shared" si="307"/>
        <v>#REF!</v>
      </c>
      <c r="S618" s="135" t="e">
        <f t="shared" si="307"/>
        <v>#REF!</v>
      </c>
      <c r="T618" s="135" t="e">
        <f t="shared" si="307"/>
        <v>#REF!</v>
      </c>
      <c r="U618" s="356" t="e">
        <f t="shared" si="307"/>
        <v>#REF!</v>
      </c>
      <c r="V618" s="356" t="e">
        <f t="shared" si="307"/>
        <v>#REF!</v>
      </c>
      <c r="W618" s="356" t="e">
        <f t="shared" si="307"/>
        <v>#REF!</v>
      </c>
      <c r="X618" s="356" t="e">
        <f t="shared" si="307"/>
        <v>#REF!</v>
      </c>
      <c r="AD618" s="60"/>
      <c r="AE618" s="60"/>
      <c r="AF618" s="60"/>
      <c r="AG618" s="60"/>
      <c r="AH618" s="60"/>
      <c r="AI618" s="60"/>
      <c r="AJ618" s="60"/>
      <c r="AK618" s="60"/>
      <c r="AL618" s="60"/>
    </row>
    <row r="619" spans="1:38" s="373" customFormat="1" ht="21" customHeight="1" x14ac:dyDescent="0.25">
      <c r="A619" s="119"/>
      <c r="B619" s="119"/>
      <c r="C619" s="119"/>
      <c r="D619" s="119" t="str">
        <f>LEFT(E620,3)</f>
        <v>363</v>
      </c>
      <c r="E619" s="119"/>
      <c r="F619" s="368" t="s">
        <v>536</v>
      </c>
      <c r="G619" s="369" t="e">
        <f t="shared" ref="G619:X619" si="308">SUM(G620:G621)</f>
        <v>#REF!</v>
      </c>
      <c r="H619" s="370" t="e">
        <f t="shared" si="308"/>
        <v>#REF!</v>
      </c>
      <c r="I619" s="369" t="e">
        <f t="shared" si="308"/>
        <v>#REF!</v>
      </c>
      <c r="J619" s="369" t="e">
        <f t="shared" si="308"/>
        <v>#REF!</v>
      </c>
      <c r="K619" s="369" t="e">
        <f t="shared" si="308"/>
        <v>#REF!</v>
      </c>
      <c r="L619" s="369" t="e">
        <f t="shared" si="308"/>
        <v>#REF!</v>
      </c>
      <c r="M619" s="369" t="e">
        <f t="shared" si="308"/>
        <v>#REF!</v>
      </c>
      <c r="N619" s="369" t="e">
        <f t="shared" si="308"/>
        <v>#REF!</v>
      </c>
      <c r="O619" s="369" t="e">
        <f t="shared" si="308"/>
        <v>#REF!</v>
      </c>
      <c r="P619" s="369" t="e">
        <f t="shared" si="308"/>
        <v>#REF!</v>
      </c>
      <c r="Q619" s="392" t="e">
        <f t="shared" si="308"/>
        <v>#REF!</v>
      </c>
      <c r="R619" s="369" t="e">
        <f t="shared" si="308"/>
        <v>#REF!</v>
      </c>
      <c r="S619" s="369" t="e">
        <f t="shared" si="308"/>
        <v>#REF!</v>
      </c>
      <c r="T619" s="369" t="e">
        <f t="shared" si="308"/>
        <v>#REF!</v>
      </c>
      <c r="U619" s="357" t="e">
        <f t="shared" si="308"/>
        <v>#REF!</v>
      </c>
      <c r="V619" s="357" t="e">
        <f t="shared" si="308"/>
        <v>#REF!</v>
      </c>
      <c r="W619" s="357" t="e">
        <f t="shared" si="308"/>
        <v>#REF!</v>
      </c>
      <c r="X619" s="357" t="e">
        <f t="shared" si="308"/>
        <v>#REF!</v>
      </c>
      <c r="Y619" s="372"/>
      <c r="Z619" s="372"/>
      <c r="AA619" s="372"/>
      <c r="AB619" s="372"/>
      <c r="AC619" s="372"/>
      <c r="AD619" s="372"/>
      <c r="AE619" s="372"/>
      <c r="AF619" s="372"/>
      <c r="AG619" s="372"/>
      <c r="AH619" s="372"/>
      <c r="AI619" s="372"/>
      <c r="AJ619" s="372"/>
      <c r="AK619" s="372"/>
      <c r="AL619" s="372"/>
    </row>
    <row r="620" spans="1:38" ht="20.25" customHeight="1" x14ac:dyDescent="0.25">
      <c r="A620" s="80"/>
      <c r="B620" s="80"/>
      <c r="C620" s="80"/>
      <c r="D620" s="80"/>
      <c r="E620" s="80">
        <v>3631</v>
      </c>
      <c r="F620" s="81" t="s">
        <v>331</v>
      </c>
      <c r="G620" s="82" t="e">
        <f>SUMIF(#REF!,funkcijska!$E620,#REF!)</f>
        <v>#REF!</v>
      </c>
      <c r="H620" s="82" t="e">
        <f>SUMIF(#REF!,funkcijska!$E620,#REF!)</f>
        <v>#REF!</v>
      </c>
      <c r="I620" s="82" t="e">
        <f>SUMIF(#REF!,funkcijska!$E620,#REF!)</f>
        <v>#REF!</v>
      </c>
      <c r="J620" s="82" t="e">
        <f>SUMIF(#REF!,funkcijska!$E620,#REF!)</f>
        <v>#REF!</v>
      </c>
      <c r="K620" s="82" t="e">
        <f>SUMIF(#REF!,funkcijska!$E620,#REF!)</f>
        <v>#REF!</v>
      </c>
      <c r="L620" s="82" t="e">
        <f>ROUND(K620/J620*100,2)</f>
        <v>#REF!</v>
      </c>
      <c r="M620" s="82" t="e">
        <f>N620-J620</f>
        <v>#REF!</v>
      </c>
      <c r="N620" s="82" t="e">
        <f>SUMIF(#REF!,funkcijska!$E620,#REF!)</f>
        <v>#REF!</v>
      </c>
      <c r="O620" s="82" t="e">
        <f>SUMIF(#REF!,funkcijska!$E620,#REF!)</f>
        <v>#REF!</v>
      </c>
      <c r="P620" s="82" t="e">
        <f>SUMIF(#REF!,funkcijska!$E620,#REF!)</f>
        <v>#REF!</v>
      </c>
      <c r="Q620" s="386" t="e">
        <f>SUMIF(#REF!,funkcijska!$E620,#REF!)</f>
        <v>#REF!</v>
      </c>
      <c r="R620" s="82" t="e">
        <f>SUMIF(#REF!,funkcijska!$E620,#REF!)</f>
        <v>#REF!</v>
      </c>
      <c r="S620" s="82" t="e">
        <f>SUMIF(#REF!,funkcijska!$E620,#REF!)</f>
        <v>#REF!</v>
      </c>
      <c r="T620" s="82" t="e">
        <f>SUMIF(#REF!,funkcijska!$E$69,#REF!)</f>
        <v>#REF!</v>
      </c>
      <c r="U620" s="357" t="e">
        <f>SUMIF(#REF!,funkcijska!$E620,#REF!)</f>
        <v>#REF!</v>
      </c>
      <c r="V620" s="357" t="e">
        <f>SUMIF(#REF!,funkcijska!$E620,#REF!)</f>
        <v>#REF!</v>
      </c>
      <c r="W620" s="357" t="e">
        <f>SUMIF(#REF!,funkcijska!$E620,#REF!)</f>
        <v>#REF!</v>
      </c>
      <c r="X620" s="357" t="e">
        <f>SUMIF(#REF!,funkcijska!$E620,#REF!)</f>
        <v>#REF!</v>
      </c>
      <c r="AD620" s="60"/>
      <c r="AE620" s="60"/>
      <c r="AF620" s="60"/>
      <c r="AG620" s="60"/>
      <c r="AH620" s="60"/>
      <c r="AI620" s="60"/>
      <c r="AJ620" s="60"/>
      <c r="AK620" s="60"/>
      <c r="AL620" s="60"/>
    </row>
    <row r="621" spans="1:38" ht="23.25" customHeight="1" x14ac:dyDescent="0.25">
      <c r="A621" s="80"/>
      <c r="B621" s="80"/>
      <c r="C621" s="80"/>
      <c r="D621" s="80"/>
      <c r="E621" s="80">
        <v>3632</v>
      </c>
      <c r="F621" s="81" t="s">
        <v>227</v>
      </c>
      <c r="G621" s="82" t="e">
        <f>SUMIF(#REF!,funkcijska!$E621,#REF!)</f>
        <v>#REF!</v>
      </c>
      <c r="H621" s="82" t="e">
        <f>SUMIF(#REF!,funkcijska!$E621,#REF!)</f>
        <v>#REF!</v>
      </c>
      <c r="I621" s="82" t="e">
        <f>SUMIF(#REF!,funkcijska!$E621,#REF!)</f>
        <v>#REF!</v>
      </c>
      <c r="J621" s="82" t="e">
        <f>SUMIF(#REF!,funkcijska!$E621,#REF!)</f>
        <v>#REF!</v>
      </c>
      <c r="K621" s="82" t="e">
        <f>SUMIF(#REF!,funkcijska!$E621,#REF!)</f>
        <v>#REF!</v>
      </c>
      <c r="L621" s="82" t="e">
        <f>ROUND(K621/J621*100,2)</f>
        <v>#REF!</v>
      </c>
      <c r="M621" s="82" t="e">
        <f>N621-J621</f>
        <v>#REF!</v>
      </c>
      <c r="N621" s="82" t="e">
        <f>SUMIF(#REF!,funkcijska!$E621,#REF!)</f>
        <v>#REF!</v>
      </c>
      <c r="O621" s="82" t="e">
        <f>SUMIF(#REF!,funkcijska!$E621,#REF!)</f>
        <v>#REF!</v>
      </c>
      <c r="P621" s="82" t="e">
        <f>SUMIF(#REF!,funkcijska!$E621,#REF!)</f>
        <v>#REF!</v>
      </c>
      <c r="Q621" s="386" t="e">
        <f>SUMIF(#REF!,funkcijska!$E621,#REF!)</f>
        <v>#REF!</v>
      </c>
      <c r="R621" s="82" t="e">
        <f>SUMIF(#REF!,funkcijska!$E621,#REF!)</f>
        <v>#REF!</v>
      </c>
      <c r="S621" s="82" t="e">
        <f>SUMIF(#REF!,funkcijska!$E621,#REF!)</f>
        <v>#REF!</v>
      </c>
      <c r="T621" s="82" t="e">
        <f>SUMIF(#REF!,funkcijska!$E621,#REF!)</f>
        <v>#REF!</v>
      </c>
      <c r="U621" s="82" t="e">
        <f>SUMIF(#REF!,funkcijska!$E621,#REF!)</f>
        <v>#REF!</v>
      </c>
      <c r="V621" s="357" t="e">
        <f>SUMIF(#REF!,funkcijska!$E621,#REF!)</f>
        <v>#REF!</v>
      </c>
      <c r="W621" s="357" t="e">
        <f>SUMIF(#REF!,funkcijska!$E621,#REF!)</f>
        <v>#REF!</v>
      </c>
      <c r="X621" s="357" t="e">
        <f>SUMIF(#REF!,funkcijska!$E621,#REF!)</f>
        <v>#REF!</v>
      </c>
      <c r="AD621" s="60"/>
      <c r="AE621" s="60"/>
      <c r="AF621" s="60"/>
      <c r="AG621" s="60"/>
      <c r="AH621" s="60"/>
      <c r="AI621" s="60"/>
      <c r="AJ621" s="60"/>
      <c r="AK621" s="60"/>
      <c r="AL621" s="60"/>
    </row>
    <row r="622" spans="1:38" ht="20.25" customHeight="1" x14ac:dyDescent="0.25">
      <c r="A622" s="125"/>
      <c r="B622" s="74"/>
      <c r="C622" s="74" t="str">
        <f>LEFT(E624,2)</f>
        <v>38</v>
      </c>
      <c r="D622" s="74"/>
      <c r="E622" s="74"/>
      <c r="F622" s="75" t="s">
        <v>539</v>
      </c>
      <c r="G622" s="311" t="e">
        <f>G623+G625+G628</f>
        <v>#REF!</v>
      </c>
      <c r="H622" s="118" t="e">
        <f>H623+H625+H628</f>
        <v>#REF!</v>
      </c>
      <c r="I622" s="311" t="e">
        <f>I623+I625+I628</f>
        <v>#REF!</v>
      </c>
      <c r="J622" s="311" t="e">
        <f>J623+J625+J628</f>
        <v>#REF!</v>
      </c>
      <c r="K622" s="311" t="e">
        <f>K623+K625+K628</f>
        <v>#REF!</v>
      </c>
      <c r="L622" s="311" t="e">
        <f t="shared" ref="L622:L629" si="309">ROUND(K622/J622*100,2)</f>
        <v>#REF!</v>
      </c>
      <c r="M622" s="311" t="e">
        <f t="shared" ref="M622:M629" si="310">N622-J622</f>
        <v>#REF!</v>
      </c>
      <c r="N622" s="311" t="e">
        <f t="shared" ref="N622:X622" si="311">N623+N625+N628</f>
        <v>#REF!</v>
      </c>
      <c r="O622" s="312" t="e">
        <f t="shared" si="311"/>
        <v>#REF!</v>
      </c>
      <c r="P622" s="312" t="e">
        <f t="shared" si="311"/>
        <v>#REF!</v>
      </c>
      <c r="Q622" s="385" t="e">
        <f t="shared" si="311"/>
        <v>#REF!</v>
      </c>
      <c r="R622" s="137" t="e">
        <f t="shared" si="311"/>
        <v>#REF!</v>
      </c>
      <c r="S622" s="137" t="e">
        <f t="shared" si="311"/>
        <v>#REF!</v>
      </c>
      <c r="T622" s="137" t="e">
        <f t="shared" si="311"/>
        <v>#REF!</v>
      </c>
      <c r="U622" s="356" t="e">
        <f t="shared" si="311"/>
        <v>#REF!</v>
      </c>
      <c r="V622" s="356" t="e">
        <f t="shared" si="311"/>
        <v>#REF!</v>
      </c>
      <c r="W622" s="356" t="e">
        <f t="shared" si="311"/>
        <v>#REF!</v>
      </c>
      <c r="X622" s="356" t="e">
        <f t="shared" si="311"/>
        <v>#REF!</v>
      </c>
      <c r="AD622" s="60"/>
      <c r="AE622" s="60"/>
      <c r="AF622" s="60"/>
      <c r="AG622" s="60"/>
      <c r="AH622" s="60"/>
      <c r="AI622" s="60"/>
      <c r="AJ622" s="60"/>
      <c r="AK622" s="60"/>
      <c r="AL622" s="60"/>
    </row>
    <row r="623" spans="1:38" s="373" customFormat="1" ht="17.25" customHeight="1" x14ac:dyDescent="0.25">
      <c r="A623" s="119"/>
      <c r="B623" s="119"/>
      <c r="C623" s="119"/>
      <c r="D623" s="119" t="str">
        <f>LEFT(E624,3)</f>
        <v>381</v>
      </c>
      <c r="E623" s="119"/>
      <c r="F623" s="368" t="s">
        <v>540</v>
      </c>
      <c r="G623" s="369" t="e">
        <f>G624</f>
        <v>#REF!</v>
      </c>
      <c r="H623" s="370" t="e">
        <f>H624</f>
        <v>#REF!</v>
      </c>
      <c r="I623" s="369" t="e">
        <f>I624</f>
        <v>#REF!</v>
      </c>
      <c r="J623" s="369" t="e">
        <f>J624</f>
        <v>#REF!</v>
      </c>
      <c r="K623" s="369" t="e">
        <f>K624</f>
        <v>#REF!</v>
      </c>
      <c r="L623" s="369" t="e">
        <f t="shared" si="309"/>
        <v>#REF!</v>
      </c>
      <c r="M623" s="369" t="e">
        <f t="shared" si="310"/>
        <v>#REF!</v>
      </c>
      <c r="N623" s="369" t="e">
        <f t="shared" ref="N623:X623" si="312">N624</f>
        <v>#REF!</v>
      </c>
      <c r="O623" s="137" t="e">
        <f t="shared" si="312"/>
        <v>#REF!</v>
      </c>
      <c r="P623" s="137" t="e">
        <f t="shared" si="312"/>
        <v>#REF!</v>
      </c>
      <c r="Q623" s="393" t="e">
        <f t="shared" si="312"/>
        <v>#REF!</v>
      </c>
      <c r="R623" s="137" t="e">
        <f t="shared" si="312"/>
        <v>#REF!</v>
      </c>
      <c r="S623" s="137" t="e">
        <f t="shared" si="312"/>
        <v>#REF!</v>
      </c>
      <c r="T623" s="137" t="e">
        <f t="shared" si="312"/>
        <v>#REF!</v>
      </c>
      <c r="U623" s="371" t="e">
        <f t="shared" si="312"/>
        <v>#REF!</v>
      </c>
      <c r="V623" s="371" t="e">
        <f t="shared" si="312"/>
        <v>#REF!</v>
      </c>
      <c r="W623" s="371" t="e">
        <f t="shared" si="312"/>
        <v>#REF!</v>
      </c>
      <c r="X623" s="371" t="e">
        <f t="shared" si="312"/>
        <v>#REF!</v>
      </c>
      <c r="Y623" s="372"/>
      <c r="Z623" s="372"/>
      <c r="AA623" s="372"/>
      <c r="AB623" s="372"/>
      <c r="AC623" s="372"/>
      <c r="AD623" s="372"/>
      <c r="AE623" s="372"/>
      <c r="AF623" s="372"/>
      <c r="AG623" s="372"/>
      <c r="AH623" s="372"/>
      <c r="AI623" s="372"/>
      <c r="AJ623" s="372"/>
      <c r="AK623" s="372"/>
      <c r="AL623" s="372"/>
    </row>
    <row r="624" spans="1:38" ht="20.25" customHeight="1" x14ac:dyDescent="0.25">
      <c r="A624" s="80"/>
      <c r="B624" s="80"/>
      <c r="C624" s="80"/>
      <c r="D624" s="80"/>
      <c r="E624" s="80">
        <v>3811</v>
      </c>
      <c r="F624" s="81" t="s">
        <v>623</v>
      </c>
      <c r="G624" s="82" t="e">
        <f>SUMIF(#REF!,funkcijska!$E624,#REF!)</f>
        <v>#REF!</v>
      </c>
      <c r="H624" s="82" t="e">
        <f>SUMIF(#REF!,funkcijska!$E624,#REF!)</f>
        <v>#REF!</v>
      </c>
      <c r="I624" s="82" t="e">
        <f>SUMIF(#REF!,funkcijska!$E624,#REF!)</f>
        <v>#REF!</v>
      </c>
      <c r="J624" s="82" t="e">
        <f>SUMIF(#REF!,funkcijska!$E624,#REF!)</f>
        <v>#REF!</v>
      </c>
      <c r="K624" s="82" t="e">
        <f>SUMIF(#REF!,funkcijska!$E624,#REF!)</f>
        <v>#REF!</v>
      </c>
      <c r="L624" s="82" t="e">
        <f t="shared" si="309"/>
        <v>#REF!</v>
      </c>
      <c r="M624" s="82" t="e">
        <f t="shared" si="310"/>
        <v>#REF!</v>
      </c>
      <c r="N624" s="82" t="e">
        <f>SUMIF(#REF!,funkcijska!$E624,#REF!)</f>
        <v>#REF!</v>
      </c>
      <c r="O624" s="82" t="e">
        <f>SUMIF(#REF!,funkcijska!$E624,#REF!)</f>
        <v>#REF!</v>
      </c>
      <c r="P624" s="82" t="e">
        <f>SUMIF(#REF!,funkcijska!$E624,#REF!)</f>
        <v>#REF!</v>
      </c>
      <c r="Q624" s="386" t="e">
        <f>SUMIF(#REF!,funkcijska!$E624,#REF!)</f>
        <v>#REF!</v>
      </c>
      <c r="R624" s="82" t="e">
        <f>SUMIF(#REF!,funkcijska!$E624,#REF!)</f>
        <v>#REF!</v>
      </c>
      <c r="S624" s="82" t="e">
        <f>SUMIF(#REF!,funkcijska!$E624,#REF!)</f>
        <v>#REF!</v>
      </c>
      <c r="T624" s="82" t="e">
        <f>SUMIF(#REF!,funkcijska!$E$77,#REF!)</f>
        <v>#REF!</v>
      </c>
      <c r="U624" s="357" t="e">
        <f>SUMIF(#REF!,funkcijska!$E624,#REF!)</f>
        <v>#REF!</v>
      </c>
      <c r="V624" s="357" t="e">
        <f>SUMIF(#REF!,funkcijska!$E624,#REF!)</f>
        <v>#REF!</v>
      </c>
      <c r="W624" s="357" t="e">
        <f>SUMIF(#REF!,funkcijska!$E624,#REF!)</f>
        <v>#REF!</v>
      </c>
      <c r="X624" s="357" t="e">
        <f>SUMIF(#REF!,funkcijska!$E624,#REF!)</f>
        <v>#REF!</v>
      </c>
      <c r="AD624" s="60"/>
      <c r="AE624" s="60"/>
      <c r="AF624" s="60"/>
      <c r="AG624" s="60"/>
      <c r="AH624" s="60"/>
      <c r="AI624" s="60"/>
      <c r="AJ624" s="60"/>
      <c r="AK624" s="60"/>
      <c r="AL624" s="60"/>
    </row>
    <row r="625" spans="1:38" s="373" customFormat="1" ht="21" customHeight="1" x14ac:dyDescent="0.25">
      <c r="A625" s="119"/>
      <c r="B625" s="119"/>
      <c r="C625" s="119"/>
      <c r="D625" s="119" t="str">
        <f>LEFT(E626,3)</f>
        <v>382</v>
      </c>
      <c r="E625" s="119"/>
      <c r="F625" s="368" t="s">
        <v>230</v>
      </c>
      <c r="G625" s="369" t="e">
        <f>G626</f>
        <v>#REF!</v>
      </c>
      <c r="H625" s="370" t="e">
        <f>H626</f>
        <v>#REF!</v>
      </c>
      <c r="I625" s="369" t="e">
        <f>I626</f>
        <v>#REF!</v>
      </c>
      <c r="J625" s="369" t="e">
        <f>J626</f>
        <v>#REF!</v>
      </c>
      <c r="K625" s="369" t="e">
        <f>K626</f>
        <v>#REF!</v>
      </c>
      <c r="L625" s="369" t="e">
        <f t="shared" si="309"/>
        <v>#REF!</v>
      </c>
      <c r="M625" s="369" t="e">
        <f t="shared" si="310"/>
        <v>#REF!</v>
      </c>
      <c r="N625" s="369" t="e">
        <f t="shared" ref="N625:U625" si="313">N626</f>
        <v>#REF!</v>
      </c>
      <c r="O625" s="137" t="e">
        <f t="shared" si="313"/>
        <v>#REF!</v>
      </c>
      <c r="P625" s="137" t="e">
        <f t="shared" si="313"/>
        <v>#REF!</v>
      </c>
      <c r="Q625" s="393" t="e">
        <f t="shared" si="313"/>
        <v>#REF!</v>
      </c>
      <c r="R625" s="137" t="e">
        <f t="shared" si="313"/>
        <v>#REF!</v>
      </c>
      <c r="S625" s="137" t="e">
        <f t="shared" si="313"/>
        <v>#REF!</v>
      </c>
      <c r="T625" s="137" t="e">
        <f t="shared" si="313"/>
        <v>#REF!</v>
      </c>
      <c r="U625" s="371" t="e">
        <f t="shared" si="313"/>
        <v>#REF!</v>
      </c>
      <c r="V625" s="371" t="e">
        <f>V626+V627</f>
        <v>#REF!</v>
      </c>
      <c r="W625" s="371" t="e">
        <f>W626+W627</f>
        <v>#REF!</v>
      </c>
      <c r="X625" s="371" t="e">
        <f>X626+X627</f>
        <v>#REF!</v>
      </c>
      <c r="Y625" s="372"/>
      <c r="Z625" s="372"/>
      <c r="AA625" s="372"/>
      <c r="AB625" s="372"/>
      <c r="AC625" s="372"/>
      <c r="AD625" s="372"/>
      <c r="AE625" s="372"/>
      <c r="AF625" s="372"/>
      <c r="AG625" s="372"/>
      <c r="AH625" s="372"/>
      <c r="AI625" s="372"/>
      <c r="AJ625" s="372"/>
      <c r="AK625" s="372"/>
      <c r="AL625" s="372"/>
    </row>
    <row r="626" spans="1:38" ht="23.25" customHeight="1" x14ac:dyDescent="0.25">
      <c r="A626" s="80"/>
      <c r="B626" s="80"/>
      <c r="C626" s="80"/>
      <c r="D626" s="80"/>
      <c r="E626" s="80">
        <v>3821</v>
      </c>
      <c r="F626" s="81" t="s">
        <v>1020</v>
      </c>
      <c r="G626" s="82" t="e">
        <f>SUMIF(#REF!,funkcijska!$E626,#REF!)</f>
        <v>#REF!</v>
      </c>
      <c r="H626" s="82" t="e">
        <f>SUMIF(#REF!,funkcijska!$E626,#REF!)</f>
        <v>#REF!</v>
      </c>
      <c r="I626" s="82" t="e">
        <f>SUMIF(#REF!,funkcijska!$E626,#REF!)</f>
        <v>#REF!</v>
      </c>
      <c r="J626" s="82" t="e">
        <f>SUMIF(#REF!,funkcijska!$E626,#REF!)</f>
        <v>#REF!</v>
      </c>
      <c r="K626" s="82" t="e">
        <f>SUMIF(#REF!,funkcijska!$E626,#REF!)</f>
        <v>#REF!</v>
      </c>
      <c r="L626" s="82" t="e">
        <f t="shared" si="309"/>
        <v>#REF!</v>
      </c>
      <c r="M626" s="82" t="e">
        <f t="shared" si="310"/>
        <v>#REF!</v>
      </c>
      <c r="N626" s="82" t="e">
        <f>SUMIF(#REF!,funkcijska!$E626,#REF!)</f>
        <v>#REF!</v>
      </c>
      <c r="O626" s="82" t="e">
        <f>SUMIF(#REF!,funkcijska!$E626,#REF!)</f>
        <v>#REF!</v>
      </c>
      <c r="P626" s="82" t="e">
        <f>SUMIF(#REF!,funkcijska!$E626,#REF!)</f>
        <v>#REF!</v>
      </c>
      <c r="Q626" s="386" t="e">
        <f>SUMIF(#REF!,funkcijska!$E626,#REF!)</f>
        <v>#REF!</v>
      </c>
      <c r="R626" s="82" t="e">
        <f>SUMIF(#REF!,funkcijska!$E626,#REF!)</f>
        <v>#REF!</v>
      </c>
      <c r="S626" s="82" t="e">
        <f>SUMIF(#REF!,funkcijska!$E626,#REF!)</f>
        <v>#REF!</v>
      </c>
      <c r="T626" s="82" t="e">
        <f>SUMIF(#REF!,funkcijska!$E$79,#REF!)</f>
        <v>#REF!</v>
      </c>
      <c r="U626" s="357" t="e">
        <f>SUMIF(#REF!,funkcijska!$E626,#REF!)</f>
        <v>#REF!</v>
      </c>
      <c r="V626" s="357" t="e">
        <f>SUMIF(#REF!,funkcijska!$E626,#REF!)</f>
        <v>#REF!</v>
      </c>
      <c r="W626" s="357" t="e">
        <f>SUMIF(#REF!,funkcijska!$E626,#REF!)</f>
        <v>#REF!</v>
      </c>
      <c r="X626" s="357" t="e">
        <f>SUMIF(#REF!,funkcijska!$E626,#REF!)</f>
        <v>#REF!</v>
      </c>
      <c r="AD626" s="60"/>
      <c r="AE626" s="60"/>
      <c r="AF626" s="60"/>
      <c r="AG626" s="60"/>
      <c r="AH626" s="60"/>
      <c r="AI626" s="60"/>
      <c r="AJ626" s="60"/>
      <c r="AK626" s="60"/>
      <c r="AL626" s="60"/>
    </row>
    <row r="627" spans="1:38" ht="23.25" customHeight="1" x14ac:dyDescent="0.25">
      <c r="A627" s="80"/>
      <c r="B627" s="80"/>
      <c r="C627" s="80"/>
      <c r="D627" s="80"/>
      <c r="E627" s="80">
        <v>3822</v>
      </c>
      <c r="F627" s="81" t="s">
        <v>734</v>
      </c>
      <c r="G627" s="82" t="e">
        <f>SUMIF(#REF!,funkcijska!$E627,#REF!)</f>
        <v>#REF!</v>
      </c>
      <c r="H627" s="82" t="e">
        <f>SUMIF(#REF!,funkcijska!$E627,#REF!)</f>
        <v>#REF!</v>
      </c>
      <c r="I627" s="82" t="e">
        <f>SUMIF(#REF!,funkcijska!$E627,#REF!)</f>
        <v>#REF!</v>
      </c>
      <c r="J627" s="82" t="e">
        <f>SUMIF(#REF!,funkcijska!$E627,#REF!)</f>
        <v>#REF!</v>
      </c>
      <c r="K627" s="82" t="e">
        <f>SUMIF(#REF!,funkcijska!$E627,#REF!)</f>
        <v>#REF!</v>
      </c>
      <c r="L627" s="82" t="e">
        <f t="shared" si="309"/>
        <v>#REF!</v>
      </c>
      <c r="M627" s="82" t="e">
        <f t="shared" si="310"/>
        <v>#REF!</v>
      </c>
      <c r="N627" s="82" t="e">
        <f>SUMIF(#REF!,funkcijska!$E627,#REF!)</f>
        <v>#REF!</v>
      </c>
      <c r="O627" s="82" t="e">
        <f>SUMIF(#REF!,funkcijska!$E627,#REF!)</f>
        <v>#REF!</v>
      </c>
      <c r="P627" s="82" t="e">
        <f>SUMIF(#REF!,funkcijska!$E627,#REF!)</f>
        <v>#REF!</v>
      </c>
      <c r="Q627" s="386" t="e">
        <f>SUMIF(#REF!,funkcijska!$E627,#REF!)</f>
        <v>#REF!</v>
      </c>
      <c r="R627" s="82" t="e">
        <f>SUMIF(#REF!,funkcijska!$E627,#REF!)</f>
        <v>#REF!</v>
      </c>
      <c r="S627" s="82" t="e">
        <f>SUMIF(#REF!,funkcijska!$E627,#REF!)</f>
        <v>#REF!</v>
      </c>
      <c r="T627" s="82" t="e">
        <f>SUMIF(#REF!,funkcijska!$E$79,#REF!)</f>
        <v>#REF!</v>
      </c>
      <c r="U627" s="357" t="e">
        <f>SUMIF(#REF!,funkcijska!$E627,#REF!)</f>
        <v>#REF!</v>
      </c>
      <c r="V627" s="357" t="e">
        <f>SUMIF(#REF!,funkcijska!$E627,#REF!)</f>
        <v>#REF!</v>
      </c>
      <c r="W627" s="357" t="e">
        <f>SUMIF(#REF!,funkcijska!$E627,#REF!)</f>
        <v>#REF!</v>
      </c>
      <c r="X627" s="357" t="e">
        <f>SUMIF(#REF!,funkcijska!$E627,#REF!)</f>
        <v>#REF!</v>
      </c>
      <c r="AD627" s="60"/>
      <c r="AE627" s="60"/>
      <c r="AF627" s="60"/>
      <c r="AG627" s="60"/>
      <c r="AH627" s="60"/>
      <c r="AI627" s="60"/>
      <c r="AJ627" s="60"/>
      <c r="AK627" s="60"/>
      <c r="AL627" s="60"/>
    </row>
    <row r="628" spans="1:38" s="373" customFormat="1" ht="21" customHeight="1" x14ac:dyDescent="0.25">
      <c r="A628" s="119"/>
      <c r="B628" s="119"/>
      <c r="C628" s="119"/>
      <c r="D628" s="119" t="str">
        <f>LEFT(E629,3)</f>
        <v>385</v>
      </c>
      <c r="E628" s="119"/>
      <c r="F628" s="368" t="s">
        <v>545</v>
      </c>
      <c r="G628" s="369" t="e">
        <f>G629</f>
        <v>#REF!</v>
      </c>
      <c r="H628" s="370" t="e">
        <f>H629</f>
        <v>#REF!</v>
      </c>
      <c r="I628" s="369" t="e">
        <f>I629</f>
        <v>#REF!</v>
      </c>
      <c r="J628" s="369" t="e">
        <f>J629</f>
        <v>#REF!</v>
      </c>
      <c r="K628" s="369" t="e">
        <f>K629</f>
        <v>#REF!</v>
      </c>
      <c r="L628" s="369" t="e">
        <f t="shared" si="309"/>
        <v>#REF!</v>
      </c>
      <c r="M628" s="369" t="e">
        <f t="shared" si="310"/>
        <v>#REF!</v>
      </c>
      <c r="N628" s="369" t="e">
        <f t="shared" ref="N628:X628" si="314">N629</f>
        <v>#REF!</v>
      </c>
      <c r="O628" s="137" t="e">
        <f t="shared" si="314"/>
        <v>#REF!</v>
      </c>
      <c r="P628" s="137" t="e">
        <f t="shared" si="314"/>
        <v>#REF!</v>
      </c>
      <c r="Q628" s="393" t="e">
        <f t="shared" si="314"/>
        <v>#REF!</v>
      </c>
      <c r="R628" s="137" t="e">
        <f t="shared" si="314"/>
        <v>#REF!</v>
      </c>
      <c r="S628" s="137" t="e">
        <f t="shared" si="314"/>
        <v>#REF!</v>
      </c>
      <c r="T628" s="137" t="e">
        <f t="shared" si="314"/>
        <v>#REF!</v>
      </c>
      <c r="U628" s="371" t="e">
        <f t="shared" si="314"/>
        <v>#REF!</v>
      </c>
      <c r="V628" s="371" t="e">
        <f t="shared" si="314"/>
        <v>#REF!</v>
      </c>
      <c r="W628" s="371" t="e">
        <f t="shared" si="314"/>
        <v>#REF!</v>
      </c>
      <c r="X628" s="371" t="e">
        <f t="shared" si="314"/>
        <v>#REF!</v>
      </c>
      <c r="Y628" s="372"/>
      <c r="Z628" s="372"/>
      <c r="AA628" s="372"/>
      <c r="AB628" s="372"/>
      <c r="AC628" s="372"/>
      <c r="AD628" s="372"/>
      <c r="AE628" s="372"/>
      <c r="AF628" s="372"/>
      <c r="AG628" s="372"/>
      <c r="AH628" s="372"/>
      <c r="AI628" s="372"/>
      <c r="AJ628" s="372"/>
      <c r="AK628" s="372"/>
      <c r="AL628" s="372"/>
    </row>
    <row r="629" spans="1:38" ht="21.75" customHeight="1" x14ac:dyDescent="0.25">
      <c r="A629" s="80"/>
      <c r="B629" s="80"/>
      <c r="C629" s="80"/>
      <c r="D629" s="80"/>
      <c r="E629" s="80">
        <v>3851</v>
      </c>
      <c r="F629" s="81" t="s">
        <v>546</v>
      </c>
      <c r="G629" s="82" t="e">
        <f>SUMIF(#REF!,funkcijska!$E629,#REF!)</f>
        <v>#REF!</v>
      </c>
      <c r="H629" s="82" t="e">
        <f>SUMIF(#REF!,funkcijska!$E629,#REF!)</f>
        <v>#REF!</v>
      </c>
      <c r="I629" s="82" t="e">
        <f>SUMIF(#REF!,funkcijska!$E629,#REF!)</f>
        <v>#REF!</v>
      </c>
      <c r="J629" s="82" t="e">
        <f>SUMIF(#REF!,funkcijska!$E629,#REF!)</f>
        <v>#REF!</v>
      </c>
      <c r="K629" s="82" t="e">
        <f>SUMIF(#REF!,funkcijska!$E629,#REF!)</f>
        <v>#REF!</v>
      </c>
      <c r="L629" s="82" t="e">
        <f t="shared" si="309"/>
        <v>#REF!</v>
      </c>
      <c r="M629" s="82" t="e">
        <f t="shared" si="310"/>
        <v>#REF!</v>
      </c>
      <c r="N629" s="82" t="e">
        <f>SUMIF(#REF!,funkcijska!$E629,#REF!)</f>
        <v>#REF!</v>
      </c>
      <c r="O629" s="82" t="e">
        <f>SUMIF(#REF!,funkcijska!$E629,#REF!)</f>
        <v>#REF!</v>
      </c>
      <c r="P629" s="82" t="e">
        <f>SUMIF(#REF!,funkcijska!$E629,#REF!)</f>
        <v>#REF!</v>
      </c>
      <c r="Q629" s="386" t="e">
        <f>SUMIF(#REF!,funkcijska!$E629,#REF!)</f>
        <v>#REF!</v>
      </c>
      <c r="R629" s="82" t="e">
        <f>SUMIF(#REF!,funkcijska!$E629,#REF!)</f>
        <v>#REF!</v>
      </c>
      <c r="S629" s="82" t="e">
        <f>SUMIF(#REF!,funkcijska!$E629,#REF!)</f>
        <v>#REF!</v>
      </c>
      <c r="T629" s="82" t="e">
        <f>SUMIF(#REF!,funkcijska!$E$82,#REF!)</f>
        <v>#REF!</v>
      </c>
      <c r="U629" s="357" t="e">
        <f>SUMIF(#REF!,funkcijska!$E629,#REF!)</f>
        <v>#REF!</v>
      </c>
      <c r="V629" s="357" t="e">
        <f>SUMIF(#REF!,funkcijska!$E629,#REF!)</f>
        <v>#REF!</v>
      </c>
      <c r="W629" s="357" t="e">
        <f>SUMIF(#REF!,funkcijska!$E629,#REF!)</f>
        <v>#REF!</v>
      </c>
      <c r="X629" s="357" t="e">
        <f>SUMIF(#REF!,funkcijska!$E629,#REF!)</f>
        <v>#REF!</v>
      </c>
      <c r="AD629" s="60"/>
      <c r="AE629" s="60"/>
      <c r="AF629" s="60"/>
      <c r="AG629" s="60"/>
      <c r="AH629" s="60"/>
      <c r="AI629" s="60"/>
      <c r="AJ629" s="60"/>
      <c r="AK629" s="60"/>
      <c r="AL629" s="60"/>
    </row>
    <row r="630" spans="1:38" ht="21.75" customHeight="1" x14ac:dyDescent="0.25">
      <c r="A630" s="108"/>
      <c r="B630" s="108"/>
      <c r="C630" s="108"/>
      <c r="D630" s="108"/>
      <c r="E630" s="108"/>
      <c r="F630" s="109"/>
      <c r="G630" s="110"/>
      <c r="H630" s="110"/>
      <c r="I630" s="110"/>
      <c r="J630" s="110"/>
      <c r="K630" s="110"/>
      <c r="L630" s="110"/>
      <c r="M630" s="110"/>
      <c r="N630" s="110"/>
      <c r="O630" s="110"/>
      <c r="P630" s="110"/>
      <c r="Q630" s="387"/>
      <c r="R630" s="110"/>
      <c r="S630" s="110"/>
      <c r="T630" s="110"/>
      <c r="U630" s="361"/>
      <c r="V630" s="361"/>
      <c r="W630" s="361"/>
      <c r="X630" s="361"/>
      <c r="AD630" s="60"/>
      <c r="AE630" s="60"/>
      <c r="AF630" s="60"/>
      <c r="AG630" s="60"/>
      <c r="AH630" s="60"/>
      <c r="AI630" s="60"/>
      <c r="AJ630" s="60"/>
      <c r="AK630" s="60"/>
      <c r="AL630" s="60"/>
    </row>
    <row r="631" spans="1:38" ht="3" hidden="1" customHeight="1" x14ac:dyDescent="0.25">
      <c r="A631" s="123"/>
      <c r="B631" s="123"/>
      <c r="C631" s="123"/>
      <c r="D631" s="123"/>
      <c r="E631" s="123"/>
    </row>
    <row r="632" spans="1:38" ht="37.5" customHeight="1" x14ac:dyDescent="0.25">
      <c r="A632" s="123"/>
      <c r="B632" s="569"/>
      <c r="C632" s="569"/>
      <c r="D632" s="569"/>
      <c r="E632" s="569"/>
      <c r="F632" s="568" t="s">
        <v>779</v>
      </c>
      <c r="G632" s="552"/>
      <c r="H632" s="552"/>
      <c r="I632" s="552"/>
      <c r="J632" s="552"/>
      <c r="K632" s="552"/>
      <c r="L632" s="552"/>
      <c r="M632" s="552"/>
      <c r="N632" s="552"/>
      <c r="O632" s="553"/>
      <c r="P632" s="553"/>
      <c r="Q632" s="553"/>
      <c r="R632" s="553"/>
      <c r="S632" s="553"/>
      <c r="T632" s="553"/>
      <c r="U632" s="553"/>
      <c r="V632" s="551" t="e">
        <f>V633+V708</f>
        <v>#REF!</v>
      </c>
      <c r="W632" s="551" t="e">
        <f>W633+W708</f>
        <v>#REF!</v>
      </c>
      <c r="X632" s="551" t="e">
        <f>X633+X708</f>
        <v>#REF!</v>
      </c>
    </row>
    <row r="633" spans="1:38" x14ac:dyDescent="0.25">
      <c r="A633" s="74"/>
      <c r="B633" s="105" t="str">
        <f>LEFT(E636,1)</f>
        <v>3</v>
      </c>
      <c r="C633" s="105"/>
      <c r="D633" s="105"/>
      <c r="E633" s="105"/>
      <c r="F633" s="72" t="s">
        <v>524</v>
      </c>
      <c r="G633" s="313" t="e">
        <f>G634+G645+G677+G684+G691+G695+G699</f>
        <v>#REF!</v>
      </c>
      <c r="H633" s="73" t="e">
        <f>H634+H645+H677+H684+H691+H695+H699</f>
        <v>#REF!</v>
      </c>
      <c r="I633" s="313" t="e">
        <f>I634+I645+I677+I684+I691+I695+I699</f>
        <v>#REF!</v>
      </c>
      <c r="J633" s="313" t="e">
        <f>J634+J645+J677+J684+J691+J695+J699</f>
        <v>#REF!</v>
      </c>
      <c r="K633" s="313" t="e">
        <f>K634+K645+K677+K684+K691+K695+K699</f>
        <v>#REF!</v>
      </c>
      <c r="L633" s="313" t="e">
        <f>ROUND(K633/J633*100,2)</f>
        <v>#REF!</v>
      </c>
      <c r="M633" s="313" t="e">
        <f>N633-J633</f>
        <v>#REF!</v>
      </c>
      <c r="N633" s="313" t="e">
        <f t="shared" ref="N633:X633" si="315">N634+N645+N677+N684+N691+N695+N699</f>
        <v>#REF!</v>
      </c>
      <c r="O633" s="73" t="e">
        <f t="shared" si="315"/>
        <v>#REF!</v>
      </c>
      <c r="P633" s="73" t="e">
        <f t="shared" si="315"/>
        <v>#REF!</v>
      </c>
      <c r="Q633" s="384" t="e">
        <f t="shared" si="315"/>
        <v>#REF!</v>
      </c>
      <c r="R633" s="76" t="e">
        <f t="shared" si="315"/>
        <v>#REF!</v>
      </c>
      <c r="S633" s="76" t="e">
        <f t="shared" si="315"/>
        <v>#REF!</v>
      </c>
      <c r="T633" s="76" t="e">
        <f t="shared" si="315"/>
        <v>#REF!</v>
      </c>
      <c r="U633" s="355" t="e">
        <f t="shared" si="315"/>
        <v>#REF!</v>
      </c>
      <c r="V633" s="355" t="e">
        <f t="shared" si="315"/>
        <v>#REF!</v>
      </c>
      <c r="W633" s="355" t="e">
        <f t="shared" si="315"/>
        <v>#REF!</v>
      </c>
      <c r="X633" s="355" t="e">
        <f t="shared" si="315"/>
        <v>#REF!</v>
      </c>
      <c r="AD633" s="60"/>
      <c r="AE633" s="60"/>
      <c r="AF633" s="60"/>
      <c r="AG633" s="60"/>
      <c r="AH633" s="60"/>
      <c r="AI633" s="60"/>
      <c r="AJ633" s="60"/>
      <c r="AK633" s="60"/>
      <c r="AL633" s="60"/>
    </row>
    <row r="634" spans="1:38" ht="16.5" customHeight="1" x14ac:dyDescent="0.25">
      <c r="A634" s="125"/>
      <c r="B634" s="74"/>
      <c r="C634" s="74" t="str">
        <f>LEFT(E636,2)</f>
        <v>31</v>
      </c>
      <c r="D634" s="74"/>
      <c r="E634" s="74"/>
      <c r="F634" s="75" t="s">
        <v>197</v>
      </c>
      <c r="G634" s="77" t="e">
        <f>G635+G640+G642</f>
        <v>#REF!</v>
      </c>
      <c r="H634" s="76" t="e">
        <f>H635+H640+H642</f>
        <v>#REF!</v>
      </c>
      <c r="I634" s="77" t="e">
        <f>I635+I640+I642</f>
        <v>#REF!</v>
      </c>
      <c r="J634" s="77" t="e">
        <f>J635+J640+J642</f>
        <v>#REF!</v>
      </c>
      <c r="K634" s="77" t="e">
        <f>K635+K640+K642</f>
        <v>#REF!</v>
      </c>
      <c r="L634" s="77" t="e">
        <f>ROUND(K634/J634*100,2)</f>
        <v>#REF!</v>
      </c>
      <c r="M634" s="77" t="e">
        <f>N634-J634</f>
        <v>#REF!</v>
      </c>
      <c r="N634" s="77" t="e">
        <f t="shared" ref="N634:X634" si="316">N635+N640+N642</f>
        <v>#REF!</v>
      </c>
      <c r="O634" s="76" t="e">
        <f t="shared" si="316"/>
        <v>#REF!</v>
      </c>
      <c r="P634" s="76" t="e">
        <f t="shared" si="316"/>
        <v>#REF!</v>
      </c>
      <c r="Q634" s="385" t="e">
        <f t="shared" si="316"/>
        <v>#REF!</v>
      </c>
      <c r="R634" s="127" t="e">
        <f t="shared" si="316"/>
        <v>#REF!</v>
      </c>
      <c r="S634" s="127" t="e">
        <f t="shared" si="316"/>
        <v>#REF!</v>
      </c>
      <c r="T634" s="127" t="e">
        <f t="shared" si="316"/>
        <v>#REF!</v>
      </c>
      <c r="U634" s="356" t="e">
        <f t="shared" si="316"/>
        <v>#REF!</v>
      </c>
      <c r="V634" s="356" t="e">
        <f t="shared" si="316"/>
        <v>#REF!</v>
      </c>
      <c r="W634" s="356" t="e">
        <f t="shared" si="316"/>
        <v>#REF!</v>
      </c>
      <c r="X634" s="356" t="e">
        <f t="shared" si="316"/>
        <v>#REF!</v>
      </c>
      <c r="AD634" s="128"/>
      <c r="AE634" s="60"/>
      <c r="AF634" s="60"/>
      <c r="AG634" s="60"/>
      <c r="AH634" s="60"/>
      <c r="AI634" s="60"/>
      <c r="AJ634" s="60"/>
      <c r="AK634" s="60"/>
      <c r="AL634" s="60"/>
    </row>
    <row r="635" spans="1:38" ht="18" customHeight="1" x14ac:dyDescent="0.25">
      <c r="A635" s="80"/>
      <c r="B635" s="80"/>
      <c r="C635" s="80"/>
      <c r="D635" s="80" t="str">
        <f>LEFT(E636,3)</f>
        <v>311</v>
      </c>
      <c r="E635" s="80"/>
      <c r="F635" s="81" t="s">
        <v>198</v>
      </c>
      <c r="G635" s="129" t="e">
        <f t="shared" ref="G635:X635" si="317">SUM(G636:G639)</f>
        <v>#REF!</v>
      </c>
      <c r="H635" s="102" t="e">
        <f t="shared" si="317"/>
        <v>#REF!</v>
      </c>
      <c r="I635" s="129" t="e">
        <f t="shared" si="317"/>
        <v>#REF!</v>
      </c>
      <c r="J635" s="129" t="e">
        <f t="shared" si="317"/>
        <v>#REF!</v>
      </c>
      <c r="K635" s="129" t="e">
        <f t="shared" si="317"/>
        <v>#REF!</v>
      </c>
      <c r="L635" s="129" t="e">
        <f t="shared" si="317"/>
        <v>#REF!</v>
      </c>
      <c r="M635" s="129" t="e">
        <f t="shared" si="317"/>
        <v>#REF!</v>
      </c>
      <c r="N635" s="129" t="e">
        <f t="shared" si="317"/>
        <v>#REF!</v>
      </c>
      <c r="O635" s="129" t="e">
        <f t="shared" si="317"/>
        <v>#REF!</v>
      </c>
      <c r="P635" s="129" t="e">
        <f t="shared" si="317"/>
        <v>#REF!</v>
      </c>
      <c r="Q635" s="389" t="e">
        <f t="shared" si="317"/>
        <v>#REF!</v>
      </c>
      <c r="R635" s="129" t="e">
        <f t="shared" si="317"/>
        <v>#REF!</v>
      </c>
      <c r="S635" s="129" t="e">
        <f t="shared" si="317"/>
        <v>#REF!</v>
      </c>
      <c r="T635" s="129" t="e">
        <f t="shared" si="317"/>
        <v>#REF!</v>
      </c>
      <c r="U635" s="363" t="e">
        <f t="shared" si="317"/>
        <v>#REF!</v>
      </c>
      <c r="V635" s="363" t="e">
        <f t="shared" si="317"/>
        <v>#REF!</v>
      </c>
      <c r="W635" s="363" t="e">
        <f t="shared" si="317"/>
        <v>#REF!</v>
      </c>
      <c r="X635" s="363" t="e">
        <f t="shared" si="317"/>
        <v>#REF!</v>
      </c>
      <c r="AD635" s="60"/>
      <c r="AE635" s="60"/>
      <c r="AF635" s="60"/>
      <c r="AG635" s="60"/>
      <c r="AH635" s="60"/>
      <c r="AI635" s="60"/>
      <c r="AJ635" s="60"/>
      <c r="AK635" s="60"/>
      <c r="AL635" s="60"/>
    </row>
    <row r="636" spans="1:38" ht="18" customHeight="1" x14ac:dyDescent="0.25">
      <c r="A636" s="80"/>
      <c r="B636" s="80"/>
      <c r="C636" s="80"/>
      <c r="D636" s="80"/>
      <c r="E636" s="80">
        <v>3111</v>
      </c>
      <c r="F636" s="81" t="s">
        <v>199</v>
      </c>
      <c r="G636" s="82" t="e">
        <f>SUMIF(#REF!,funkcijska!$E636,#REF!)</f>
        <v>#REF!</v>
      </c>
      <c r="H636" s="82" t="e">
        <f>SUMIF(#REF!,funkcijska!$E636,#REF!)</f>
        <v>#REF!</v>
      </c>
      <c r="I636" s="82" t="e">
        <f>SUMIF(#REF!,funkcijska!$E636,#REF!)</f>
        <v>#REF!</v>
      </c>
      <c r="J636" s="82" t="e">
        <f>SUMIF(#REF!,funkcijska!$E636,#REF!)</f>
        <v>#REF!</v>
      </c>
      <c r="K636" s="82" t="e">
        <f>SUMIF(#REF!,funkcijska!$E636,#REF!)</f>
        <v>#REF!</v>
      </c>
      <c r="L636" s="82" t="e">
        <f t="shared" ref="L636:L641" si="318">ROUND(K636/J636*100,2)</f>
        <v>#REF!</v>
      </c>
      <c r="M636" s="82" t="e">
        <f t="shared" ref="M636:M641" si="319">N636-J636</f>
        <v>#REF!</v>
      </c>
      <c r="N636" s="82" t="e">
        <f>SUMIF(#REF!,funkcijska!$E636,#REF!)</f>
        <v>#REF!</v>
      </c>
      <c r="O636" s="82" t="e">
        <f>SUMIF(#REF!,funkcijska!$E636,#REF!)</f>
        <v>#REF!</v>
      </c>
      <c r="P636" s="82" t="e">
        <f>SUMIF(#REF!,funkcijska!$E636,#REF!)</f>
        <v>#REF!</v>
      </c>
      <c r="Q636" s="386" t="e">
        <f>SUMIF(#REF!,funkcijska!$E636,#REF!)</f>
        <v>#REF!</v>
      </c>
      <c r="R636" s="82" t="e">
        <f>SUMIF(#REF!,funkcijska!$E636,#REF!)</f>
        <v>#REF!</v>
      </c>
      <c r="S636" s="82" t="e">
        <f>SUMIF(#REF!,funkcijska!$E636,#REF!)</f>
        <v>#REF!</v>
      </c>
      <c r="T636" s="82" t="e">
        <f>SUMIF(#REF!,funkcijska!$E$12,#REF!)</f>
        <v>#REF!</v>
      </c>
      <c r="U636" s="357" t="e">
        <f>SUMIF(#REF!,funkcijska!$E636,#REF!)</f>
        <v>#REF!</v>
      </c>
      <c r="V636" s="357" t="e">
        <f>SUMIF(#REF!,funkcijska!$E636,#REF!)</f>
        <v>#REF!</v>
      </c>
      <c r="W636" s="357" t="e">
        <f>SUMIF(#REF!,funkcijska!$E636,#REF!)</f>
        <v>#REF!</v>
      </c>
      <c r="X636" s="357" t="e">
        <f>SUMIF(#REF!,funkcijska!$E636,#REF!)</f>
        <v>#REF!</v>
      </c>
      <c r="AD636" s="60"/>
      <c r="AE636" s="60"/>
      <c r="AF636" s="60"/>
      <c r="AG636" s="60"/>
      <c r="AH636" s="60"/>
      <c r="AI636" s="60"/>
      <c r="AJ636" s="60"/>
      <c r="AK636" s="60"/>
      <c r="AL636" s="60"/>
    </row>
    <row r="637" spans="1:38" x14ac:dyDescent="0.25">
      <c r="A637" s="80"/>
      <c r="B637" s="80"/>
      <c r="C637" s="80"/>
      <c r="D637" s="80"/>
      <c r="E637" s="80">
        <v>3112</v>
      </c>
      <c r="F637" s="81" t="s">
        <v>219</v>
      </c>
      <c r="G637" s="82" t="e">
        <f>SUMIF(#REF!,funkcijska!$E637,#REF!)</f>
        <v>#REF!</v>
      </c>
      <c r="H637" s="82" t="e">
        <f>SUMIF(#REF!,funkcijska!$E637,#REF!)</f>
        <v>#REF!</v>
      </c>
      <c r="I637" s="82" t="e">
        <f>SUMIF(#REF!,funkcijska!$E637,#REF!)</f>
        <v>#REF!</v>
      </c>
      <c r="J637" s="82" t="e">
        <f>SUMIF(#REF!,funkcijska!$E637,#REF!)</f>
        <v>#REF!</v>
      </c>
      <c r="K637" s="82" t="e">
        <f>SUMIF(#REF!,funkcijska!$E637,#REF!)</f>
        <v>#REF!</v>
      </c>
      <c r="L637" s="82" t="e">
        <f t="shared" si="318"/>
        <v>#REF!</v>
      </c>
      <c r="M637" s="82" t="e">
        <f t="shared" si="319"/>
        <v>#REF!</v>
      </c>
      <c r="N637" s="82" t="e">
        <f>SUMIF(#REF!,funkcijska!$E637,#REF!)</f>
        <v>#REF!</v>
      </c>
      <c r="O637" s="82" t="e">
        <f>SUMIF(#REF!,funkcijska!$E637,#REF!)</f>
        <v>#REF!</v>
      </c>
      <c r="P637" s="82" t="e">
        <f>SUMIF(#REF!,funkcijska!$E637,#REF!)</f>
        <v>#REF!</v>
      </c>
      <c r="Q637" s="386" t="e">
        <f>SUMIF(#REF!,funkcijska!$E637,#REF!)</f>
        <v>#REF!</v>
      </c>
      <c r="R637" s="82" t="e">
        <f>SUMIF(#REF!,funkcijska!$E637,#REF!)</f>
        <v>#REF!</v>
      </c>
      <c r="S637" s="82" t="e">
        <f>SUMIF(#REF!,funkcijska!$E637,#REF!)</f>
        <v>#REF!</v>
      </c>
      <c r="T637" s="82" t="e">
        <f>SUMIF(#REF!,funkcijska!$E$13,#REF!)</f>
        <v>#REF!</v>
      </c>
      <c r="U637" s="357" t="e">
        <f>SUMIF(#REF!,funkcijska!$E637,#REF!)</f>
        <v>#REF!</v>
      </c>
      <c r="V637" s="357" t="e">
        <f>SUMIF(#REF!,funkcijska!$E637,#REF!)</f>
        <v>#REF!</v>
      </c>
      <c r="W637" s="357" t="e">
        <f>SUMIF(#REF!,funkcijska!$E637,#REF!)</f>
        <v>#REF!</v>
      </c>
      <c r="X637" s="357" t="e">
        <f>SUMIF(#REF!,funkcijska!$E637,#REF!)</f>
        <v>#REF!</v>
      </c>
      <c r="AD637" s="60"/>
      <c r="AE637" s="60"/>
      <c r="AF637" s="60"/>
      <c r="AG637" s="60"/>
      <c r="AH637" s="60"/>
      <c r="AI637" s="60"/>
      <c r="AJ637" s="60"/>
      <c r="AK637" s="60"/>
      <c r="AL637" s="60"/>
    </row>
    <row r="638" spans="1:38" x14ac:dyDescent="0.25">
      <c r="A638" s="80"/>
      <c r="B638" s="80"/>
      <c r="C638" s="80"/>
      <c r="D638" s="80"/>
      <c r="E638" s="80">
        <v>3113</v>
      </c>
      <c r="F638" s="81" t="s">
        <v>476</v>
      </c>
      <c r="G638" s="82" t="e">
        <f>SUMIF(#REF!,funkcijska!$E638,#REF!)</f>
        <v>#REF!</v>
      </c>
      <c r="H638" s="82" t="e">
        <f>SUMIF(#REF!,funkcijska!$E638,#REF!)</f>
        <v>#REF!</v>
      </c>
      <c r="I638" s="82" t="e">
        <f>SUMIF(#REF!,funkcijska!$E638,#REF!)</f>
        <v>#REF!</v>
      </c>
      <c r="J638" s="82" t="e">
        <f>SUMIF(#REF!,funkcijska!$E638,#REF!)</f>
        <v>#REF!</v>
      </c>
      <c r="K638" s="82" t="e">
        <f>SUMIF(#REF!,funkcijska!$E638,#REF!)</f>
        <v>#REF!</v>
      </c>
      <c r="L638" s="82" t="e">
        <f t="shared" si="318"/>
        <v>#REF!</v>
      </c>
      <c r="M638" s="82" t="e">
        <f t="shared" si="319"/>
        <v>#REF!</v>
      </c>
      <c r="N638" s="82" t="e">
        <f>SUMIF(#REF!,funkcijska!$E638,#REF!)</f>
        <v>#REF!</v>
      </c>
      <c r="O638" s="82" t="e">
        <f>SUMIF(#REF!,funkcijska!$E638,#REF!)</f>
        <v>#REF!</v>
      </c>
      <c r="P638" s="82" t="e">
        <f>SUMIF(#REF!,funkcijska!$E638,#REF!)</f>
        <v>#REF!</v>
      </c>
      <c r="Q638" s="386" t="e">
        <f>SUMIF(#REF!,funkcijska!$E638,#REF!)</f>
        <v>#REF!</v>
      </c>
      <c r="R638" s="82" t="e">
        <f>SUMIF(#REF!,funkcijska!$E638,#REF!)</f>
        <v>#REF!</v>
      </c>
      <c r="S638" s="82" t="e">
        <f>SUMIF(#REF!,funkcijska!$E638,#REF!)</f>
        <v>#REF!</v>
      </c>
      <c r="T638" s="82" t="e">
        <f>SUMIF(#REF!,funkcijska!$E$14,#REF!)</f>
        <v>#REF!</v>
      </c>
      <c r="U638" s="357" t="e">
        <f>SUMIF(#REF!,funkcijska!$E638,#REF!)</f>
        <v>#REF!</v>
      </c>
      <c r="V638" s="357" t="e">
        <f>SUMIF(#REF!,funkcijska!$E638,#REF!)</f>
        <v>#REF!</v>
      </c>
      <c r="W638" s="357" t="e">
        <f>SUMIF(#REF!,funkcijska!$E638,#REF!)</f>
        <v>#REF!</v>
      </c>
      <c r="X638" s="357" t="e">
        <f>SUMIF(#REF!,funkcijska!$E638,#REF!)</f>
        <v>#REF!</v>
      </c>
      <c r="AD638" s="60"/>
      <c r="AE638" s="60"/>
      <c r="AF638" s="60"/>
      <c r="AG638" s="60"/>
      <c r="AH638" s="60"/>
      <c r="AI638" s="60"/>
      <c r="AJ638" s="60"/>
      <c r="AK638" s="60"/>
      <c r="AL638" s="60"/>
    </row>
    <row r="639" spans="1:38" x14ac:dyDescent="0.25">
      <c r="A639" s="80"/>
      <c r="B639" s="80"/>
      <c r="C639" s="80"/>
      <c r="D639" s="80"/>
      <c r="E639" s="80">
        <v>3114</v>
      </c>
      <c r="F639" s="81" t="s">
        <v>643</v>
      </c>
      <c r="G639" s="82" t="e">
        <f>SUMIF(#REF!,funkcijska!$E639,#REF!)</f>
        <v>#REF!</v>
      </c>
      <c r="H639" s="82" t="e">
        <f>SUMIF(#REF!,funkcijska!$E639,#REF!)</f>
        <v>#REF!</v>
      </c>
      <c r="I639" s="82" t="e">
        <f>SUMIF(#REF!,funkcijska!$E639,#REF!)</f>
        <v>#REF!</v>
      </c>
      <c r="J639" s="82" t="e">
        <f>SUMIF(#REF!,funkcijska!$E639,#REF!)</f>
        <v>#REF!</v>
      </c>
      <c r="K639" s="82" t="e">
        <f>SUMIF(#REF!,funkcijska!$E639,#REF!)</f>
        <v>#REF!</v>
      </c>
      <c r="L639" s="82" t="e">
        <f t="shared" si="318"/>
        <v>#REF!</v>
      </c>
      <c r="M639" s="82" t="e">
        <f t="shared" si="319"/>
        <v>#REF!</v>
      </c>
      <c r="N639" s="82" t="e">
        <f>SUMIF(#REF!,funkcijska!$E639,#REF!)</f>
        <v>#REF!</v>
      </c>
      <c r="O639" s="82" t="e">
        <f>SUMIF(#REF!,funkcijska!$E639,#REF!)</f>
        <v>#REF!</v>
      </c>
      <c r="P639" s="82" t="e">
        <f>SUMIF(#REF!,funkcijska!$E639,#REF!)</f>
        <v>#REF!</v>
      </c>
      <c r="Q639" s="386" t="e">
        <f>SUMIF(#REF!,funkcijska!$E639,#REF!)</f>
        <v>#REF!</v>
      </c>
      <c r="R639" s="82" t="e">
        <f>SUMIF(#REF!,funkcijska!$E639,#REF!)</f>
        <v>#REF!</v>
      </c>
      <c r="S639" s="82" t="e">
        <f>SUMIF(#REF!,funkcijska!$E639,#REF!)</f>
        <v>#REF!</v>
      </c>
      <c r="T639" s="82" t="e">
        <f>SUMIF(#REF!,funkcijska!$E$15,#REF!)</f>
        <v>#REF!</v>
      </c>
      <c r="U639" s="357" t="e">
        <f>SUMIF(#REF!,funkcijska!$E639,#REF!)</f>
        <v>#REF!</v>
      </c>
      <c r="V639" s="357" t="e">
        <f>SUMIF(#REF!,funkcijska!$E639,#REF!)</f>
        <v>#REF!</v>
      </c>
      <c r="W639" s="357" t="e">
        <f>SUMIF(#REF!,funkcijska!$E639,#REF!)</f>
        <v>#REF!</v>
      </c>
      <c r="X639" s="357" t="e">
        <f>SUMIF(#REF!,funkcijska!$E639,#REF!)</f>
        <v>#REF!</v>
      </c>
      <c r="AD639" s="60"/>
      <c r="AE639" s="60"/>
      <c r="AF639" s="60"/>
      <c r="AG639" s="60"/>
      <c r="AH639" s="60"/>
      <c r="AI639" s="60"/>
      <c r="AJ639" s="60"/>
      <c r="AK639" s="60"/>
      <c r="AL639" s="60"/>
    </row>
    <row r="640" spans="1:38" ht="17.25" customHeight="1" x14ac:dyDescent="0.25">
      <c r="A640" s="80"/>
      <c r="B640" s="80"/>
      <c r="C640" s="80"/>
      <c r="D640" s="80" t="str">
        <f>LEFT(E641,3)</f>
        <v>312</v>
      </c>
      <c r="E640" s="80"/>
      <c r="F640" s="81" t="s">
        <v>200</v>
      </c>
      <c r="G640" s="84" t="e">
        <f>G641</f>
        <v>#REF!</v>
      </c>
      <c r="H640" s="82" t="e">
        <f>SUMIF(#REF!,funkcijska!$E640,#REF!)</f>
        <v>#REF!</v>
      </c>
      <c r="I640" s="84" t="e">
        <f>I641</f>
        <v>#REF!</v>
      </c>
      <c r="J640" s="84" t="e">
        <f>J641</f>
        <v>#REF!</v>
      </c>
      <c r="K640" s="84" t="e">
        <f>K641</f>
        <v>#REF!</v>
      </c>
      <c r="L640" s="84" t="e">
        <f t="shared" si="318"/>
        <v>#REF!</v>
      </c>
      <c r="M640" s="84" t="e">
        <f t="shared" si="319"/>
        <v>#REF!</v>
      </c>
      <c r="N640" s="84" t="e">
        <f t="shared" ref="N640:X640" si="320">N641</f>
        <v>#REF!</v>
      </c>
      <c r="O640" s="84" t="e">
        <f t="shared" si="320"/>
        <v>#REF!</v>
      </c>
      <c r="P640" s="84" t="e">
        <f t="shared" si="320"/>
        <v>#REF!</v>
      </c>
      <c r="Q640" s="390" t="e">
        <f t="shared" si="320"/>
        <v>#REF!</v>
      </c>
      <c r="R640" s="84" t="e">
        <f t="shared" si="320"/>
        <v>#REF!</v>
      </c>
      <c r="S640" s="84" t="e">
        <f t="shared" si="320"/>
        <v>#REF!</v>
      </c>
      <c r="T640" s="84" t="e">
        <f t="shared" si="320"/>
        <v>#REF!</v>
      </c>
      <c r="U640" s="357" t="e">
        <f t="shared" si="320"/>
        <v>#REF!</v>
      </c>
      <c r="V640" s="357" t="e">
        <f t="shared" si="320"/>
        <v>#REF!</v>
      </c>
      <c r="W640" s="357" t="e">
        <f t="shared" si="320"/>
        <v>#REF!</v>
      </c>
      <c r="X640" s="357" t="e">
        <f t="shared" si="320"/>
        <v>#REF!</v>
      </c>
      <c r="AD640" s="60"/>
      <c r="AE640" s="60"/>
      <c r="AF640" s="60"/>
      <c r="AG640" s="60"/>
      <c r="AH640" s="60"/>
      <c r="AI640" s="60"/>
      <c r="AJ640" s="60"/>
      <c r="AK640" s="60"/>
      <c r="AL640" s="60"/>
    </row>
    <row r="641" spans="1:38" x14ac:dyDescent="0.25">
      <c r="A641" s="80"/>
      <c r="B641" s="80"/>
      <c r="C641" s="80"/>
      <c r="D641" s="80"/>
      <c r="E641" s="80">
        <v>3121</v>
      </c>
      <c r="F641" s="81" t="s">
        <v>200</v>
      </c>
      <c r="G641" s="82" t="e">
        <f>SUMIF(#REF!,funkcijska!$E641,#REF!)</f>
        <v>#REF!</v>
      </c>
      <c r="H641" s="82" t="e">
        <f>SUMIF(#REF!,funkcijska!$E641,#REF!)</f>
        <v>#REF!</v>
      </c>
      <c r="I641" s="82" t="e">
        <f>SUMIF(#REF!,funkcijska!$E641,#REF!)</f>
        <v>#REF!</v>
      </c>
      <c r="J641" s="82" t="e">
        <f>SUMIF(#REF!,funkcijska!$E641,#REF!)</f>
        <v>#REF!</v>
      </c>
      <c r="K641" s="82" t="e">
        <f>SUMIF(#REF!,funkcijska!$E641,#REF!)</f>
        <v>#REF!</v>
      </c>
      <c r="L641" s="82" t="e">
        <f t="shared" si="318"/>
        <v>#REF!</v>
      </c>
      <c r="M641" s="82" t="e">
        <f t="shared" si="319"/>
        <v>#REF!</v>
      </c>
      <c r="N641" s="82" t="e">
        <f>SUMIF(#REF!,funkcijska!$E641,#REF!)</f>
        <v>#REF!</v>
      </c>
      <c r="O641" s="82" t="e">
        <f>SUMIF(#REF!,funkcijska!$E641,#REF!)</f>
        <v>#REF!</v>
      </c>
      <c r="P641" s="82" t="e">
        <f>SUMIF(#REF!,funkcijska!$E641,#REF!)</f>
        <v>#REF!</v>
      </c>
      <c r="Q641" s="386" t="e">
        <f>SUMIF(#REF!,funkcijska!$E641,#REF!)</f>
        <v>#REF!</v>
      </c>
      <c r="R641" s="82" t="e">
        <f>SUMIF(#REF!,funkcijska!$E641,#REF!)</f>
        <v>#REF!</v>
      </c>
      <c r="S641" s="82" t="e">
        <f>SUMIF(#REF!,funkcijska!$E641,#REF!)</f>
        <v>#REF!</v>
      </c>
      <c r="T641" s="82" t="e">
        <f>SUMIF(#REF!,funkcijska!$E$17,#REF!)</f>
        <v>#REF!</v>
      </c>
      <c r="U641" s="357" t="e">
        <f>SUMIF(#REF!,funkcijska!$E641,#REF!)</f>
        <v>#REF!</v>
      </c>
      <c r="V641" s="357" t="e">
        <f>SUMIF(#REF!,funkcijska!$E641,#REF!)</f>
        <v>#REF!</v>
      </c>
      <c r="W641" s="357" t="e">
        <f>SUMIF(#REF!,funkcijska!$E641,#REF!)</f>
        <v>#REF!</v>
      </c>
      <c r="X641" s="357" t="e">
        <f>SUMIF(#REF!,funkcijska!$E641,#REF!)</f>
        <v>#REF!</v>
      </c>
      <c r="AD641" s="60"/>
      <c r="AE641" s="60"/>
      <c r="AF641" s="60"/>
      <c r="AG641" s="60"/>
      <c r="AH641" s="60"/>
      <c r="AI641" s="60"/>
      <c r="AJ641" s="60"/>
      <c r="AK641" s="60"/>
      <c r="AL641" s="60"/>
    </row>
    <row r="642" spans="1:38" ht="17.25" customHeight="1" x14ac:dyDescent="0.25">
      <c r="A642" s="80"/>
      <c r="B642" s="80"/>
      <c r="C642" s="80"/>
      <c r="D642" s="80" t="str">
        <f>LEFT(E643,3)</f>
        <v>313</v>
      </c>
      <c r="E642" s="80"/>
      <c r="F642" s="81" t="s">
        <v>201</v>
      </c>
      <c r="G642" s="84" t="e">
        <f>SUM(G643:G644)</f>
        <v>#REF!</v>
      </c>
      <c r="H642" s="82" t="e">
        <f>SUMIF(#REF!,funkcijska!$E642,#REF!)</f>
        <v>#REF!</v>
      </c>
      <c r="I642" s="84" t="e">
        <f t="shared" ref="I642:X642" si="321">SUM(I643:I644)</f>
        <v>#REF!</v>
      </c>
      <c r="J642" s="84" t="e">
        <f t="shared" si="321"/>
        <v>#REF!</v>
      </c>
      <c r="K642" s="84" t="e">
        <f t="shared" si="321"/>
        <v>#REF!</v>
      </c>
      <c r="L642" s="84" t="e">
        <f t="shared" si="321"/>
        <v>#REF!</v>
      </c>
      <c r="M642" s="84" t="e">
        <f t="shared" si="321"/>
        <v>#REF!</v>
      </c>
      <c r="N642" s="84" t="e">
        <f t="shared" si="321"/>
        <v>#REF!</v>
      </c>
      <c r="O642" s="84" t="e">
        <f t="shared" si="321"/>
        <v>#REF!</v>
      </c>
      <c r="P642" s="84" t="e">
        <f t="shared" si="321"/>
        <v>#REF!</v>
      </c>
      <c r="Q642" s="390" t="e">
        <f t="shared" si="321"/>
        <v>#REF!</v>
      </c>
      <c r="R642" s="84" t="e">
        <f t="shared" si="321"/>
        <v>#REF!</v>
      </c>
      <c r="S642" s="84" t="e">
        <f t="shared" si="321"/>
        <v>#REF!</v>
      </c>
      <c r="T642" s="84" t="e">
        <f t="shared" si="321"/>
        <v>#REF!</v>
      </c>
      <c r="U642" s="357" t="e">
        <f t="shared" si="321"/>
        <v>#REF!</v>
      </c>
      <c r="V642" s="357" t="e">
        <f t="shared" si="321"/>
        <v>#REF!</v>
      </c>
      <c r="W642" s="357" t="e">
        <f t="shared" si="321"/>
        <v>#REF!</v>
      </c>
      <c r="X642" s="357" t="e">
        <f t="shared" si="321"/>
        <v>#REF!</v>
      </c>
      <c r="AD642" s="60"/>
      <c r="AE642" s="60"/>
      <c r="AF642" s="60"/>
      <c r="AG642" s="60"/>
      <c r="AH642" s="60"/>
      <c r="AI642" s="60"/>
      <c r="AJ642" s="60"/>
      <c r="AK642" s="60"/>
      <c r="AL642" s="60"/>
    </row>
    <row r="643" spans="1:38" x14ac:dyDescent="0.25">
      <c r="A643" s="80"/>
      <c r="B643" s="80"/>
      <c r="C643" s="80"/>
      <c r="D643" s="80"/>
      <c r="E643" s="80">
        <v>3132</v>
      </c>
      <c r="F643" s="81" t="s">
        <v>202</v>
      </c>
      <c r="G643" s="82" t="e">
        <f>SUMIF(#REF!,funkcijska!$E643,#REF!)</f>
        <v>#REF!</v>
      </c>
      <c r="H643" s="82" t="e">
        <f>SUMIF(#REF!,funkcijska!$E643,#REF!)</f>
        <v>#REF!</v>
      </c>
      <c r="I643" s="82" t="e">
        <f>SUMIF(#REF!,funkcijska!$E643,#REF!)</f>
        <v>#REF!</v>
      </c>
      <c r="J643" s="82" t="e">
        <f>SUMIF(#REF!,funkcijska!$E643,#REF!)</f>
        <v>#REF!</v>
      </c>
      <c r="K643" s="82" t="e">
        <f>SUMIF(#REF!,funkcijska!$E643,#REF!)</f>
        <v>#REF!</v>
      </c>
      <c r="L643" s="82" t="e">
        <f>ROUND(K643/J643*100,2)</f>
        <v>#REF!</v>
      </c>
      <c r="M643" s="82" t="e">
        <f>N643-J643</f>
        <v>#REF!</v>
      </c>
      <c r="N643" s="82" t="e">
        <f>SUMIF(#REF!,funkcijska!$E643,#REF!)</f>
        <v>#REF!</v>
      </c>
      <c r="O643" s="82" t="e">
        <f>SUMIF(#REF!,funkcijska!$E643,#REF!)</f>
        <v>#REF!</v>
      </c>
      <c r="P643" s="82" t="e">
        <f>SUMIF(#REF!,funkcijska!$E643,#REF!)</f>
        <v>#REF!</v>
      </c>
      <c r="Q643" s="386" t="e">
        <f>SUMIF(#REF!,funkcijska!$E643,#REF!)</f>
        <v>#REF!</v>
      </c>
      <c r="R643" s="82" t="e">
        <f>SUMIF(#REF!,funkcijska!$E643,#REF!)</f>
        <v>#REF!</v>
      </c>
      <c r="S643" s="82" t="e">
        <f>SUMIF(#REF!,funkcijska!$E643,#REF!)</f>
        <v>#REF!</v>
      </c>
      <c r="T643" s="82" t="e">
        <f>SUMIF(#REF!,funkcijska!$E$19,#REF!)</f>
        <v>#REF!</v>
      </c>
      <c r="U643" s="357" t="e">
        <f>SUMIF(#REF!,funkcijska!$E643,#REF!)</f>
        <v>#REF!</v>
      </c>
      <c r="V643" s="357" t="e">
        <f>SUMIF(#REF!,funkcijska!$E643,#REF!)</f>
        <v>#REF!</v>
      </c>
      <c r="W643" s="357" t="e">
        <f>SUMIF(#REF!,funkcijska!$E643,#REF!)</f>
        <v>#REF!</v>
      </c>
      <c r="X643" s="357" t="e">
        <f>SUMIF(#REF!,funkcijska!$E643,#REF!)</f>
        <v>#REF!</v>
      </c>
      <c r="AD643" s="60"/>
      <c r="AE643" s="60"/>
      <c r="AF643" s="60"/>
      <c r="AG643" s="60"/>
      <c r="AH643" s="60"/>
      <c r="AI643" s="60"/>
      <c r="AJ643" s="60"/>
      <c r="AK643" s="60"/>
      <c r="AL643" s="60"/>
    </row>
    <row r="644" spans="1:38" ht="36" x14ac:dyDescent="0.25">
      <c r="A644" s="80"/>
      <c r="B644" s="80"/>
      <c r="C644" s="80"/>
      <c r="D644" s="80"/>
      <c r="E644" s="80">
        <v>3133</v>
      </c>
      <c r="F644" s="81" t="s">
        <v>203</v>
      </c>
      <c r="G644" s="82" t="e">
        <f>SUMIF(#REF!,funkcijska!$E644,#REF!)</f>
        <v>#REF!</v>
      </c>
      <c r="H644" s="82" t="e">
        <f>SUMIF(#REF!,funkcijska!$E644,#REF!)</f>
        <v>#REF!</v>
      </c>
      <c r="I644" s="82" t="e">
        <f>SUMIF(#REF!,funkcijska!$E644,#REF!)</f>
        <v>#REF!</v>
      </c>
      <c r="J644" s="82" t="e">
        <f>SUMIF(#REF!,funkcijska!$E644,#REF!)</f>
        <v>#REF!</v>
      </c>
      <c r="K644" s="82" t="e">
        <f>SUMIF(#REF!,funkcijska!$E644,#REF!)</f>
        <v>#REF!</v>
      </c>
      <c r="L644" s="82" t="e">
        <f>ROUND(K644/J644*100,2)</f>
        <v>#REF!</v>
      </c>
      <c r="M644" s="82" t="e">
        <f>N644-J644</f>
        <v>#REF!</v>
      </c>
      <c r="N644" s="82" t="e">
        <f>SUMIF(#REF!,funkcijska!$E644,#REF!)</f>
        <v>#REF!</v>
      </c>
      <c r="O644" s="82" t="e">
        <f>SUMIF(#REF!,funkcijska!$E644,#REF!)</f>
        <v>#REF!</v>
      </c>
      <c r="P644" s="82" t="e">
        <f>SUMIF(#REF!,funkcijska!$E644,#REF!)</f>
        <v>#REF!</v>
      </c>
      <c r="Q644" s="386" t="e">
        <f>SUMIF(#REF!,funkcijska!$E644,#REF!)</f>
        <v>#REF!</v>
      </c>
      <c r="R644" s="82" t="e">
        <f>SUMIF(#REF!,funkcijska!$E644,#REF!)</f>
        <v>#REF!</v>
      </c>
      <c r="S644" s="82" t="e">
        <f>SUMIF(#REF!,funkcijska!$E644,#REF!)</f>
        <v>#REF!</v>
      </c>
      <c r="T644" s="82" t="e">
        <f>SUMIF(#REF!,funkcijska!$E$20,#REF!)</f>
        <v>#REF!</v>
      </c>
      <c r="U644" s="357" t="e">
        <f>SUMIF(#REF!,funkcijska!$E644,#REF!)</f>
        <v>#REF!</v>
      </c>
      <c r="V644" s="357" t="e">
        <f>SUMIF(#REF!,funkcijska!$E644,#REF!)</f>
        <v>#REF!</v>
      </c>
      <c r="W644" s="357" t="e">
        <f>SUMIF(#REF!,funkcijska!$E644,#REF!)</f>
        <v>#REF!</v>
      </c>
      <c r="X644" s="357" t="e">
        <f>SUMIF(#REF!,funkcijska!$E644,#REF!)</f>
        <v>#REF!</v>
      </c>
      <c r="AD644" s="60"/>
      <c r="AE644" s="60"/>
      <c r="AF644" s="60"/>
      <c r="AG644" s="60"/>
      <c r="AH644" s="60"/>
      <c r="AI644" s="60"/>
      <c r="AJ644" s="60"/>
      <c r="AK644" s="60"/>
      <c r="AL644" s="60"/>
    </row>
    <row r="645" spans="1:38" ht="18.75" customHeight="1" x14ac:dyDescent="0.25">
      <c r="A645" s="125"/>
      <c r="B645" s="74"/>
      <c r="C645" s="74" t="str">
        <f>LEFT(E647,2)</f>
        <v>32</v>
      </c>
      <c r="D645" s="74"/>
      <c r="E645" s="74"/>
      <c r="F645" s="75" t="s">
        <v>525</v>
      </c>
      <c r="G645" s="310" t="e">
        <f>G646+G651+G658+G670</f>
        <v>#REF!</v>
      </c>
      <c r="H645" s="118" t="e">
        <f>H646+H651+H658+H670</f>
        <v>#REF!</v>
      </c>
      <c r="I645" s="310" t="e">
        <f>I646+I651+I658+I670</f>
        <v>#REF!</v>
      </c>
      <c r="J645" s="310" t="e">
        <f>J646+J651+J658+J668+J670</f>
        <v>#REF!</v>
      </c>
      <c r="K645" s="310" t="e">
        <f>K646+K651+K658+K668+K670</f>
        <v>#REF!</v>
      </c>
      <c r="L645" s="310" t="e">
        <f>ROUND(K645/J645*100,2)</f>
        <v>#REF!</v>
      </c>
      <c r="M645" s="310" t="e">
        <f>N645-J645</f>
        <v>#REF!</v>
      </c>
      <c r="N645" s="310" t="e">
        <f t="shared" ref="N645:X645" si="322">N646+N651+N658+N668+N670</f>
        <v>#REF!</v>
      </c>
      <c r="O645" s="310" t="e">
        <f t="shared" si="322"/>
        <v>#REF!</v>
      </c>
      <c r="P645" s="310" t="e">
        <f t="shared" si="322"/>
        <v>#REF!</v>
      </c>
      <c r="Q645" s="391" t="e">
        <f t="shared" si="322"/>
        <v>#REF!</v>
      </c>
      <c r="R645" s="130" t="e">
        <f t="shared" si="322"/>
        <v>#REF!</v>
      </c>
      <c r="S645" s="130" t="e">
        <f t="shared" si="322"/>
        <v>#REF!</v>
      </c>
      <c r="T645" s="130" t="e">
        <f t="shared" si="322"/>
        <v>#REF!</v>
      </c>
      <c r="U645" s="364" t="e">
        <f t="shared" si="322"/>
        <v>#REF!</v>
      </c>
      <c r="V645" s="364" t="e">
        <f t="shared" si="322"/>
        <v>#REF!</v>
      </c>
      <c r="W645" s="364" t="e">
        <f t="shared" si="322"/>
        <v>#REF!</v>
      </c>
      <c r="X645" s="364" t="e">
        <f t="shared" si="322"/>
        <v>#REF!</v>
      </c>
      <c r="AD645" s="60"/>
      <c r="AE645" s="60"/>
      <c r="AF645" s="60"/>
      <c r="AG645" s="60"/>
      <c r="AH645" s="60"/>
      <c r="AI645" s="60"/>
      <c r="AJ645" s="60"/>
      <c r="AK645" s="60"/>
      <c r="AL645" s="60"/>
    </row>
    <row r="646" spans="1:38" s="373" customFormat="1" ht="16.5" customHeight="1" x14ac:dyDescent="0.25">
      <c r="A646" s="119"/>
      <c r="B646" s="119"/>
      <c r="C646" s="119"/>
      <c r="D646" s="119" t="str">
        <f>LEFT(E647,3)</f>
        <v>321</v>
      </c>
      <c r="E646" s="119"/>
      <c r="F646" s="368" t="s">
        <v>564</v>
      </c>
      <c r="G646" s="369" t="e">
        <f>SUM(G647:G649)</f>
        <v>#REF!</v>
      </c>
      <c r="H646" s="370" t="e">
        <f>SUM(H647:H649)</f>
        <v>#REF!</v>
      </c>
      <c r="I646" s="369" t="e">
        <f t="shared" ref="I646:X646" si="323">SUM(I647:I650)</f>
        <v>#REF!</v>
      </c>
      <c r="J646" s="369" t="e">
        <f t="shared" si="323"/>
        <v>#REF!</v>
      </c>
      <c r="K646" s="369" t="e">
        <f t="shared" si="323"/>
        <v>#REF!</v>
      </c>
      <c r="L646" s="369" t="e">
        <f t="shared" si="323"/>
        <v>#REF!</v>
      </c>
      <c r="M646" s="369" t="e">
        <f t="shared" si="323"/>
        <v>#REF!</v>
      </c>
      <c r="N646" s="369" t="e">
        <f t="shared" si="323"/>
        <v>#REF!</v>
      </c>
      <c r="O646" s="369" t="e">
        <f t="shared" si="323"/>
        <v>#REF!</v>
      </c>
      <c r="P646" s="369" t="e">
        <f t="shared" si="323"/>
        <v>#REF!</v>
      </c>
      <c r="Q646" s="392" t="e">
        <f t="shared" si="323"/>
        <v>#REF!</v>
      </c>
      <c r="R646" s="369" t="e">
        <f t="shared" si="323"/>
        <v>#REF!</v>
      </c>
      <c r="S646" s="369" t="e">
        <f t="shared" si="323"/>
        <v>#REF!</v>
      </c>
      <c r="T646" s="369" t="e">
        <f t="shared" si="323"/>
        <v>#REF!</v>
      </c>
      <c r="U646" s="374" t="e">
        <f t="shared" si="323"/>
        <v>#REF!</v>
      </c>
      <c r="V646" s="374" t="e">
        <f t="shared" si="323"/>
        <v>#REF!</v>
      </c>
      <c r="W646" s="374" t="e">
        <f t="shared" si="323"/>
        <v>#REF!</v>
      </c>
      <c r="X646" s="374" t="e">
        <f t="shared" si="323"/>
        <v>#REF!</v>
      </c>
      <c r="Y646" s="372"/>
      <c r="Z646" s="372"/>
      <c r="AA646" s="372"/>
      <c r="AB646" s="372"/>
      <c r="AC646" s="372"/>
      <c r="AD646" s="372"/>
      <c r="AE646" s="372"/>
      <c r="AF646" s="372"/>
      <c r="AG646" s="372"/>
      <c r="AH646" s="372"/>
      <c r="AI646" s="372"/>
      <c r="AJ646" s="372"/>
      <c r="AK646" s="372"/>
      <c r="AL646" s="372"/>
    </row>
    <row r="647" spans="1:38" x14ac:dyDescent="0.25">
      <c r="A647" s="80"/>
      <c r="B647" s="80"/>
      <c r="C647" s="80"/>
      <c r="D647" s="80"/>
      <c r="E647" s="80">
        <v>3211</v>
      </c>
      <c r="F647" s="81" t="s">
        <v>565</v>
      </c>
      <c r="G647" s="82" t="e">
        <f>SUMIF(#REF!,funkcijska!$E647,#REF!)</f>
        <v>#REF!</v>
      </c>
      <c r="H647" s="82" t="e">
        <f>SUMIF(#REF!,funkcijska!$E647,#REF!)</f>
        <v>#REF!</v>
      </c>
      <c r="I647" s="82" t="e">
        <f>SUMIF(#REF!,funkcijska!$E647,#REF!)</f>
        <v>#REF!</v>
      </c>
      <c r="J647" s="82" t="e">
        <f>SUMIF(#REF!,funkcijska!$E647,#REF!)</f>
        <v>#REF!</v>
      </c>
      <c r="K647" s="82" t="e">
        <f>SUMIF(#REF!,funkcijska!$E647,#REF!)</f>
        <v>#REF!</v>
      </c>
      <c r="L647" s="82" t="e">
        <f>ROUND(K647/J647*100,2)</f>
        <v>#REF!</v>
      </c>
      <c r="M647" s="82" t="e">
        <f>N647-J647</f>
        <v>#REF!</v>
      </c>
      <c r="N647" s="82" t="e">
        <f>SUMIF(#REF!,funkcijska!$E647,#REF!)</f>
        <v>#REF!</v>
      </c>
      <c r="O647" s="82" t="e">
        <f>SUMIF(#REF!,funkcijska!$E647,#REF!)</f>
        <v>#REF!</v>
      </c>
      <c r="P647" s="82" t="e">
        <f>SUMIF(#REF!,funkcijska!$E647,#REF!)</f>
        <v>#REF!</v>
      </c>
      <c r="Q647" s="386" t="e">
        <f>SUMIF(#REF!,funkcijska!$E647,#REF!)</f>
        <v>#REF!</v>
      </c>
      <c r="R647" s="82" t="e">
        <f>SUMIF(#REF!,funkcijska!$E647,#REF!)</f>
        <v>#REF!</v>
      </c>
      <c r="S647" s="82" t="e">
        <f>SUMIF(#REF!,funkcijska!$E647,#REF!)</f>
        <v>#REF!</v>
      </c>
      <c r="T647" s="82" t="e">
        <f>SUMIF(#REF!,funkcijska!$E$23,#REF!)</f>
        <v>#REF!</v>
      </c>
      <c r="U647" s="357" t="e">
        <f>SUMIF(#REF!,funkcijska!$E647,#REF!)</f>
        <v>#REF!</v>
      </c>
      <c r="V647" s="357" t="e">
        <f>SUMIF(#REF!,funkcijska!$E647,#REF!)</f>
        <v>#REF!</v>
      </c>
      <c r="W647" s="357" t="e">
        <f>SUMIF(#REF!,funkcijska!$E647,#REF!)</f>
        <v>#REF!</v>
      </c>
      <c r="X647" s="357" t="e">
        <f>SUMIF(#REF!,funkcijska!$E647,#REF!)</f>
        <v>#REF!</v>
      </c>
      <c r="AD647" s="60"/>
      <c r="AE647" s="60"/>
      <c r="AF647" s="60"/>
      <c r="AG647" s="60"/>
      <c r="AH647" s="60"/>
      <c r="AI647" s="60"/>
      <c r="AJ647" s="60"/>
      <c r="AK647" s="60"/>
      <c r="AL647" s="60"/>
    </row>
    <row r="648" spans="1:38" ht="39" customHeight="1" x14ac:dyDescent="0.25">
      <c r="A648" s="80"/>
      <c r="B648" s="80"/>
      <c r="C648" s="80"/>
      <c r="D648" s="80"/>
      <c r="E648" s="80">
        <v>3212</v>
      </c>
      <c r="F648" s="81" t="s">
        <v>220</v>
      </c>
      <c r="G648" s="82" t="e">
        <f>SUMIF(#REF!,funkcijska!$E648,#REF!)</f>
        <v>#REF!</v>
      </c>
      <c r="H648" s="82" t="e">
        <f>SUMIF(#REF!,funkcijska!$E648,#REF!)</f>
        <v>#REF!</v>
      </c>
      <c r="I648" s="82" t="e">
        <f>SUMIF(#REF!,funkcijska!$E648,#REF!)</f>
        <v>#REF!</v>
      </c>
      <c r="J648" s="82" t="e">
        <f>SUMIF(#REF!,funkcijska!$E648,#REF!)</f>
        <v>#REF!</v>
      </c>
      <c r="K648" s="82" t="e">
        <f>SUMIF(#REF!,funkcijska!$E648,#REF!)</f>
        <v>#REF!</v>
      </c>
      <c r="L648" s="82" t="e">
        <f>ROUND(K648/J648*100,2)</f>
        <v>#REF!</v>
      </c>
      <c r="M648" s="82" t="e">
        <f>N648-J648</f>
        <v>#REF!</v>
      </c>
      <c r="N648" s="82" t="e">
        <f>SUMIF(#REF!,funkcijska!$E648,#REF!)</f>
        <v>#REF!</v>
      </c>
      <c r="O648" s="82" t="e">
        <f>SUMIF(#REF!,funkcijska!$E648,#REF!)</f>
        <v>#REF!</v>
      </c>
      <c r="P648" s="82" t="e">
        <f>SUMIF(#REF!,funkcijska!$E648,#REF!)</f>
        <v>#REF!</v>
      </c>
      <c r="Q648" s="386" t="e">
        <f>SUMIF(#REF!,funkcijska!$E648,#REF!)</f>
        <v>#REF!</v>
      </c>
      <c r="R648" s="82" t="e">
        <f>SUMIF(#REF!,funkcijska!$E648,#REF!)</f>
        <v>#REF!</v>
      </c>
      <c r="S648" s="82" t="e">
        <f>SUMIF(#REF!,funkcijska!$E648,#REF!)</f>
        <v>#REF!</v>
      </c>
      <c r="T648" s="82" t="e">
        <f>SUMIF(#REF!,funkcijska!$E$24,#REF!)</f>
        <v>#REF!</v>
      </c>
      <c r="U648" s="357" t="e">
        <f>SUMIF(#REF!,funkcijska!$E648,#REF!)</f>
        <v>#REF!</v>
      </c>
      <c r="V648" s="357" t="e">
        <f>SUMIF(#REF!,funkcijska!$E648,#REF!)</f>
        <v>#REF!</v>
      </c>
      <c r="W648" s="357" t="e">
        <f>SUMIF(#REF!,funkcijska!$E648,#REF!)</f>
        <v>#REF!</v>
      </c>
      <c r="X648" s="357" t="e">
        <f>SUMIF(#REF!,funkcijska!$E648,#REF!)</f>
        <v>#REF!</v>
      </c>
      <c r="AD648" s="60"/>
      <c r="AE648" s="60"/>
      <c r="AF648" s="60"/>
      <c r="AG648" s="60"/>
      <c r="AH648" s="60"/>
      <c r="AI648" s="60"/>
      <c r="AJ648" s="60"/>
      <c r="AK648" s="60"/>
      <c r="AL648" s="60"/>
    </row>
    <row r="649" spans="1:38" ht="22.5" customHeight="1" x14ac:dyDescent="0.25">
      <c r="A649" s="80"/>
      <c r="B649" s="80"/>
      <c r="C649" s="80"/>
      <c r="D649" s="80"/>
      <c r="E649" s="80">
        <v>3213</v>
      </c>
      <c r="F649" s="81" t="s">
        <v>221</v>
      </c>
      <c r="G649" s="82" t="e">
        <f>SUMIF(#REF!,funkcijska!$E649,#REF!)</f>
        <v>#REF!</v>
      </c>
      <c r="H649" s="82" t="e">
        <f>SUMIF(#REF!,funkcijska!$E649,#REF!)</f>
        <v>#REF!</v>
      </c>
      <c r="I649" s="82" t="e">
        <f>SUMIF(#REF!,funkcijska!$E649,#REF!)</f>
        <v>#REF!</v>
      </c>
      <c r="J649" s="82" t="e">
        <f>SUMIF(#REF!,funkcijska!$E649,#REF!)</f>
        <v>#REF!</v>
      </c>
      <c r="K649" s="82" t="e">
        <f>SUMIF(#REF!,funkcijska!$E649,#REF!)</f>
        <v>#REF!</v>
      </c>
      <c r="L649" s="82" t="e">
        <f>ROUND(K649/J649*100,2)</f>
        <v>#REF!</v>
      </c>
      <c r="M649" s="82" t="e">
        <f>N649-J649</f>
        <v>#REF!</v>
      </c>
      <c r="N649" s="82" t="e">
        <f>SUMIF(#REF!,funkcijska!$E649,#REF!)</f>
        <v>#REF!</v>
      </c>
      <c r="O649" s="82" t="e">
        <f>SUMIF(#REF!,funkcijska!$E649,#REF!)</f>
        <v>#REF!</v>
      </c>
      <c r="P649" s="82" t="e">
        <f>SUMIF(#REF!,funkcijska!$E649,#REF!)</f>
        <v>#REF!</v>
      </c>
      <c r="Q649" s="386" t="e">
        <f>SUMIF(#REF!,funkcijska!$E649,#REF!)</f>
        <v>#REF!</v>
      </c>
      <c r="R649" s="82" t="e">
        <f>SUMIF(#REF!,funkcijska!$E649,#REF!)</f>
        <v>#REF!</v>
      </c>
      <c r="S649" s="82" t="e">
        <f>SUMIF(#REF!,funkcijska!$E649,#REF!)</f>
        <v>#REF!</v>
      </c>
      <c r="T649" s="82" t="e">
        <f>SUMIF(#REF!,funkcijska!$E$25,#REF!)</f>
        <v>#REF!</v>
      </c>
      <c r="U649" s="357" t="e">
        <f>SUMIF(#REF!,funkcijska!$E649,#REF!)</f>
        <v>#REF!</v>
      </c>
      <c r="V649" s="357" t="e">
        <f>SUMIF(#REF!,funkcijska!$E649,#REF!)</f>
        <v>#REF!</v>
      </c>
      <c r="W649" s="357" t="e">
        <f>SUMIF(#REF!,funkcijska!$E649,#REF!)</f>
        <v>#REF!</v>
      </c>
      <c r="X649" s="357" t="e">
        <f>SUMIF(#REF!,funkcijska!$E649,#REF!)</f>
        <v>#REF!</v>
      </c>
      <c r="AD649" s="60"/>
      <c r="AE649" s="60"/>
      <c r="AF649" s="60"/>
      <c r="AG649" s="60"/>
      <c r="AH649" s="60"/>
      <c r="AI649" s="60"/>
      <c r="AJ649" s="60"/>
      <c r="AK649" s="60"/>
      <c r="AL649" s="60"/>
    </row>
    <row r="650" spans="1:38" ht="22.5" customHeight="1" x14ac:dyDescent="0.25">
      <c r="A650" s="80"/>
      <c r="B650" s="80"/>
      <c r="C650" s="80"/>
      <c r="D650" s="80"/>
      <c r="E650" s="80">
        <v>3214</v>
      </c>
      <c r="F650" s="81" t="s">
        <v>852</v>
      </c>
      <c r="G650" s="82" t="e">
        <f>SUMIF(#REF!,funkcijska!$E650,#REF!)</f>
        <v>#REF!</v>
      </c>
      <c r="H650" s="82" t="e">
        <f>SUMIF(#REF!,funkcijska!$E650,#REF!)</f>
        <v>#REF!</v>
      </c>
      <c r="I650" s="82" t="e">
        <f>SUMIF(#REF!,funkcijska!$E650,#REF!)</f>
        <v>#REF!</v>
      </c>
      <c r="J650" s="82" t="e">
        <f>SUMIF(#REF!,funkcijska!$E650,#REF!)</f>
        <v>#REF!</v>
      </c>
      <c r="K650" s="82" t="e">
        <f>SUMIF(#REF!,funkcijska!$E650,#REF!)</f>
        <v>#REF!</v>
      </c>
      <c r="L650" s="82" t="e">
        <f>ROUND(K650/J650*100,2)</f>
        <v>#REF!</v>
      </c>
      <c r="M650" s="82" t="e">
        <f>N650-J650</f>
        <v>#REF!</v>
      </c>
      <c r="N650" s="82" t="e">
        <f>SUMIF(#REF!,funkcijska!$E650,#REF!)</f>
        <v>#REF!</v>
      </c>
      <c r="O650" s="82" t="e">
        <f>SUMIF(#REF!,funkcijska!$E650,#REF!)</f>
        <v>#REF!</v>
      </c>
      <c r="P650" s="82" t="e">
        <f>SUMIF(#REF!,funkcijska!$E650,#REF!)</f>
        <v>#REF!</v>
      </c>
      <c r="Q650" s="386" t="e">
        <f>SUMIF(#REF!,funkcijska!$E650,#REF!)</f>
        <v>#REF!</v>
      </c>
      <c r="R650" s="82" t="e">
        <f>SUMIF(#REF!,funkcijska!$E650,#REF!)</f>
        <v>#REF!</v>
      </c>
      <c r="S650" s="82" t="e">
        <f>SUMIF(#REF!,funkcijska!$E650,#REF!)</f>
        <v>#REF!</v>
      </c>
      <c r="T650" s="82" t="e">
        <f>SUMIF(#REF!,funkcijska!$E$26,#REF!)</f>
        <v>#REF!</v>
      </c>
      <c r="U650" s="357" t="e">
        <f>SUMIF(#REF!,funkcijska!$E650,#REF!)</f>
        <v>#REF!</v>
      </c>
      <c r="V650" s="357" t="e">
        <f>SUMIF(#REF!,funkcijska!$E650,#REF!)</f>
        <v>#REF!</v>
      </c>
      <c r="W650" s="357" t="e">
        <f>SUMIF(#REF!,funkcijska!$E650,#REF!)</f>
        <v>#REF!</v>
      </c>
      <c r="X650" s="357" t="e">
        <f>SUMIF(#REF!,funkcijska!$E650,#REF!)</f>
        <v>#REF!</v>
      </c>
      <c r="AD650" s="60"/>
      <c r="AE650" s="60"/>
      <c r="AF650" s="60"/>
      <c r="AG650" s="60"/>
      <c r="AH650" s="60"/>
      <c r="AI650" s="60"/>
      <c r="AJ650" s="60"/>
      <c r="AK650" s="60"/>
      <c r="AL650" s="60"/>
    </row>
    <row r="651" spans="1:38" s="373" customFormat="1" ht="22.5" customHeight="1" x14ac:dyDescent="0.25">
      <c r="A651" s="119"/>
      <c r="B651" s="119"/>
      <c r="C651" s="119"/>
      <c r="D651" s="119" t="str">
        <f>LEFT(E652,3)</f>
        <v>322</v>
      </c>
      <c r="E651" s="119"/>
      <c r="F651" s="368" t="s">
        <v>547</v>
      </c>
      <c r="G651" s="369" t="e">
        <f>SUM(G652:G656)</f>
        <v>#REF!</v>
      </c>
      <c r="H651" s="370" t="e">
        <f>SUM(H652:H656)</f>
        <v>#REF!</v>
      </c>
      <c r="I651" s="369" t="e">
        <f t="shared" ref="I651:X651" si="324">SUM(I652:I657)</f>
        <v>#REF!</v>
      </c>
      <c r="J651" s="369" t="e">
        <f t="shared" si="324"/>
        <v>#REF!</v>
      </c>
      <c r="K651" s="369" t="e">
        <f t="shared" si="324"/>
        <v>#REF!</v>
      </c>
      <c r="L651" s="369" t="e">
        <f t="shared" si="324"/>
        <v>#REF!</v>
      </c>
      <c r="M651" s="369" t="e">
        <f t="shared" si="324"/>
        <v>#REF!</v>
      </c>
      <c r="N651" s="369" t="e">
        <f t="shared" si="324"/>
        <v>#REF!</v>
      </c>
      <c r="O651" s="369" t="e">
        <f t="shared" si="324"/>
        <v>#REF!</v>
      </c>
      <c r="P651" s="369" t="e">
        <f t="shared" si="324"/>
        <v>#REF!</v>
      </c>
      <c r="Q651" s="392" t="e">
        <f t="shared" si="324"/>
        <v>#REF!</v>
      </c>
      <c r="R651" s="369" t="e">
        <f t="shared" si="324"/>
        <v>#REF!</v>
      </c>
      <c r="S651" s="369" t="e">
        <f t="shared" si="324"/>
        <v>#REF!</v>
      </c>
      <c r="T651" s="369" t="e">
        <f t="shared" si="324"/>
        <v>#REF!</v>
      </c>
      <c r="U651" s="371" t="e">
        <f t="shared" si="324"/>
        <v>#REF!</v>
      </c>
      <c r="V651" s="371" t="e">
        <f t="shared" si="324"/>
        <v>#REF!</v>
      </c>
      <c r="W651" s="371" t="e">
        <f t="shared" si="324"/>
        <v>#REF!</v>
      </c>
      <c r="X651" s="371" t="e">
        <f t="shared" si="324"/>
        <v>#REF!</v>
      </c>
      <c r="Y651" s="372"/>
      <c r="Z651" s="372"/>
      <c r="AA651" s="372"/>
      <c r="AB651" s="372"/>
      <c r="AC651" s="372"/>
      <c r="AD651" s="372"/>
      <c r="AE651" s="372"/>
      <c r="AF651" s="372"/>
      <c r="AG651" s="372"/>
      <c r="AH651" s="372"/>
      <c r="AI651" s="372"/>
      <c r="AJ651" s="372"/>
      <c r="AK651" s="372"/>
      <c r="AL651" s="372"/>
    </row>
    <row r="652" spans="1:38" ht="20.25" customHeight="1" x14ac:dyDescent="0.25">
      <c r="A652" s="80"/>
      <c r="B652" s="80"/>
      <c r="C652" s="80"/>
      <c r="D652" s="80"/>
      <c r="E652" s="80">
        <v>3221</v>
      </c>
      <c r="F652" s="81" t="s">
        <v>548</v>
      </c>
      <c r="G652" s="82" t="e">
        <f>SUMIF(#REF!,funkcijska!$E652,#REF!)</f>
        <v>#REF!</v>
      </c>
      <c r="H652" s="82" t="e">
        <f>SUMIF(#REF!,funkcijska!$E652,#REF!)</f>
        <v>#REF!</v>
      </c>
      <c r="I652" s="82" t="e">
        <f>SUMIF(#REF!,funkcijska!$E652,#REF!)</f>
        <v>#REF!</v>
      </c>
      <c r="J652" s="82" t="e">
        <f>SUMIF(#REF!,funkcijska!$E652,#REF!)</f>
        <v>#REF!</v>
      </c>
      <c r="K652" s="82" t="e">
        <f>SUMIF(#REF!,funkcijska!$E652,#REF!)</f>
        <v>#REF!</v>
      </c>
      <c r="L652" s="82" t="e">
        <f t="shared" ref="L652:L657" si="325">ROUND(K652/J652*100,2)</f>
        <v>#REF!</v>
      </c>
      <c r="M652" s="82" t="e">
        <f t="shared" ref="M652:M657" si="326">N652-J652</f>
        <v>#REF!</v>
      </c>
      <c r="N652" s="82" t="e">
        <f>SUMIF(#REF!,funkcijska!$E652,#REF!)</f>
        <v>#REF!</v>
      </c>
      <c r="O652" s="82" t="e">
        <f>SUMIF(#REF!,funkcijska!$E652,#REF!)</f>
        <v>#REF!</v>
      </c>
      <c r="P652" s="82" t="e">
        <f>SUMIF(#REF!,funkcijska!$E652,#REF!)</f>
        <v>#REF!</v>
      </c>
      <c r="Q652" s="386" t="e">
        <f>SUMIF(#REF!,funkcijska!$E652,#REF!)</f>
        <v>#REF!</v>
      </c>
      <c r="R652" s="82" t="e">
        <f>SUMIF(#REF!,funkcijska!$E652,#REF!)</f>
        <v>#REF!</v>
      </c>
      <c r="S652" s="82" t="e">
        <f>SUMIF(#REF!,funkcijska!$E652,#REF!)</f>
        <v>#REF!</v>
      </c>
      <c r="T652" s="82" t="e">
        <f>SUMIF(#REF!,funkcijska!$E$28,#REF!)</f>
        <v>#REF!</v>
      </c>
      <c r="U652" s="357" t="e">
        <f>SUMIF(#REF!,funkcijska!$E652,#REF!)</f>
        <v>#REF!</v>
      </c>
      <c r="V652" s="357" t="e">
        <f>SUMIF(#REF!,funkcijska!$E652,#REF!)</f>
        <v>#REF!</v>
      </c>
      <c r="W652" s="357" t="e">
        <f>SUMIF(#REF!,funkcijska!$E652,#REF!)</f>
        <v>#REF!</v>
      </c>
      <c r="X652" s="357" t="e">
        <f>SUMIF(#REF!,funkcijska!$E652,#REF!)</f>
        <v>#REF!</v>
      </c>
      <c r="AD652" s="60"/>
      <c r="AE652" s="60"/>
      <c r="AF652" s="60"/>
      <c r="AG652" s="60"/>
      <c r="AH652" s="60"/>
      <c r="AI652" s="60"/>
      <c r="AJ652" s="60"/>
      <c r="AK652" s="60"/>
      <c r="AL652" s="60"/>
    </row>
    <row r="653" spans="1:38" ht="16.5" customHeight="1" x14ac:dyDescent="0.25">
      <c r="A653" s="80"/>
      <c r="B653" s="80"/>
      <c r="C653" s="80"/>
      <c r="D653" s="80"/>
      <c r="E653" s="80">
        <v>3222</v>
      </c>
      <c r="F653" s="81" t="s">
        <v>474</v>
      </c>
      <c r="G653" s="82" t="e">
        <f>SUMIF(#REF!,funkcijska!$E653,#REF!)</f>
        <v>#REF!</v>
      </c>
      <c r="H653" s="82" t="e">
        <f>SUMIF(#REF!,funkcijska!$E653,#REF!)</f>
        <v>#REF!</v>
      </c>
      <c r="I653" s="82" t="e">
        <f>SUMIF(#REF!,funkcijska!$E653,#REF!)</f>
        <v>#REF!</v>
      </c>
      <c r="J653" s="82" t="e">
        <f>SUMIF(#REF!,funkcijska!$E653,#REF!)</f>
        <v>#REF!</v>
      </c>
      <c r="K653" s="82" t="e">
        <f>SUMIF(#REF!,funkcijska!$E653,#REF!)</f>
        <v>#REF!</v>
      </c>
      <c r="L653" s="82" t="e">
        <f t="shared" si="325"/>
        <v>#REF!</v>
      </c>
      <c r="M653" s="82" t="e">
        <f t="shared" si="326"/>
        <v>#REF!</v>
      </c>
      <c r="N653" s="82" t="e">
        <f>SUMIF(#REF!,funkcijska!$E653,#REF!)</f>
        <v>#REF!</v>
      </c>
      <c r="O653" s="82" t="e">
        <f>SUMIF(#REF!,funkcijska!$E653,#REF!)</f>
        <v>#REF!</v>
      </c>
      <c r="P653" s="82" t="e">
        <f>SUMIF(#REF!,funkcijska!$E653,#REF!)</f>
        <v>#REF!</v>
      </c>
      <c r="Q653" s="386" t="e">
        <f>SUMIF(#REF!,funkcijska!$E653,#REF!)</f>
        <v>#REF!</v>
      </c>
      <c r="R653" s="82" t="e">
        <f>SUMIF(#REF!,funkcijska!$E653,#REF!)</f>
        <v>#REF!</v>
      </c>
      <c r="S653" s="82" t="e">
        <f>SUMIF(#REF!,funkcijska!$E653,#REF!)</f>
        <v>#REF!</v>
      </c>
      <c r="T653" s="82" t="e">
        <f>SUMIF(#REF!,funkcijska!$E$29,#REF!)</f>
        <v>#REF!</v>
      </c>
      <c r="U653" s="357" t="e">
        <f>SUMIF(#REF!,funkcijska!$E653,#REF!)</f>
        <v>#REF!</v>
      </c>
      <c r="V653" s="357" t="e">
        <f>SUMIF(#REF!,funkcijska!$E653,#REF!)</f>
        <v>#REF!</v>
      </c>
      <c r="W653" s="357" t="e">
        <f>SUMIF(#REF!,funkcijska!$E653,#REF!)</f>
        <v>#REF!</v>
      </c>
      <c r="X653" s="357" t="e">
        <f>SUMIF(#REF!,funkcijska!$E653,#REF!)</f>
        <v>#REF!</v>
      </c>
      <c r="AD653" s="60"/>
      <c r="AE653" s="60"/>
      <c r="AF653" s="60"/>
      <c r="AG653" s="60"/>
      <c r="AH653" s="60"/>
      <c r="AI653" s="60"/>
      <c r="AJ653" s="60"/>
      <c r="AK653" s="60"/>
      <c r="AL653" s="60"/>
    </row>
    <row r="654" spans="1:38" ht="16.5" customHeight="1" x14ac:dyDescent="0.25">
      <c r="A654" s="80"/>
      <c r="B654" s="80"/>
      <c r="C654" s="80"/>
      <c r="D654" s="80"/>
      <c r="E654" s="80">
        <v>3223</v>
      </c>
      <c r="F654" s="81" t="s">
        <v>204</v>
      </c>
      <c r="G654" s="82" t="e">
        <f>SUMIF(#REF!,funkcijska!$E654,#REF!)</f>
        <v>#REF!</v>
      </c>
      <c r="H654" s="82" t="e">
        <f>SUMIF(#REF!,funkcijska!$E654,#REF!)</f>
        <v>#REF!</v>
      </c>
      <c r="I654" s="82" t="e">
        <f>SUMIF(#REF!,funkcijska!$E654,#REF!)</f>
        <v>#REF!</v>
      </c>
      <c r="J654" s="82" t="e">
        <f>SUMIF(#REF!,funkcijska!$E654,#REF!)</f>
        <v>#REF!</v>
      </c>
      <c r="K654" s="82" t="e">
        <f>SUMIF(#REF!,funkcijska!$E654,#REF!)</f>
        <v>#REF!</v>
      </c>
      <c r="L654" s="82" t="e">
        <f t="shared" si="325"/>
        <v>#REF!</v>
      </c>
      <c r="M654" s="82" t="e">
        <f t="shared" si="326"/>
        <v>#REF!</v>
      </c>
      <c r="N654" s="82" t="e">
        <f>SUMIF(#REF!,funkcijska!$E654,#REF!)</f>
        <v>#REF!</v>
      </c>
      <c r="O654" s="82" t="e">
        <f>SUMIF(#REF!,funkcijska!$E654,#REF!)</f>
        <v>#REF!</v>
      </c>
      <c r="P654" s="82" t="e">
        <f>SUMIF(#REF!,funkcijska!$E654,#REF!)</f>
        <v>#REF!</v>
      </c>
      <c r="Q654" s="386" t="e">
        <f>SUMIF(#REF!,funkcijska!$E654,#REF!)</f>
        <v>#REF!</v>
      </c>
      <c r="R654" s="82" t="e">
        <f>SUMIF(#REF!,funkcijska!$E654,#REF!)</f>
        <v>#REF!</v>
      </c>
      <c r="S654" s="82" t="e">
        <f>SUMIF(#REF!,funkcijska!$E654,#REF!)</f>
        <v>#REF!</v>
      </c>
      <c r="T654" s="82" t="e">
        <f>SUMIF(#REF!,funkcijska!$E$30,#REF!)</f>
        <v>#REF!</v>
      </c>
      <c r="U654" s="357" t="e">
        <f>SUMIF(#REF!,funkcijska!$E654,#REF!)</f>
        <v>#REF!</v>
      </c>
      <c r="V654" s="357" t="e">
        <f>SUMIF(#REF!,funkcijska!$E654,#REF!)</f>
        <v>#REF!</v>
      </c>
      <c r="W654" s="357" t="e">
        <f>SUMIF(#REF!,funkcijska!$E654,#REF!)</f>
        <v>#REF!</v>
      </c>
      <c r="X654" s="357" t="e">
        <f>SUMIF(#REF!,funkcijska!$E654,#REF!)</f>
        <v>#REF!</v>
      </c>
      <c r="AD654" s="60"/>
      <c r="AE654" s="60"/>
      <c r="AF654" s="60"/>
      <c r="AG654" s="60"/>
      <c r="AH654" s="60"/>
      <c r="AI654" s="60"/>
      <c r="AJ654" s="60"/>
      <c r="AK654" s="60"/>
      <c r="AL654" s="60"/>
    </row>
    <row r="655" spans="1:38" ht="36.75" customHeight="1" x14ac:dyDescent="0.25">
      <c r="A655" s="80"/>
      <c r="B655" s="80"/>
      <c r="C655" s="80"/>
      <c r="D655" s="80"/>
      <c r="E655" s="80">
        <v>3224</v>
      </c>
      <c r="F655" s="81" t="s">
        <v>853</v>
      </c>
      <c r="G655" s="82" t="e">
        <f>SUMIF(#REF!,funkcijska!$E655,#REF!)</f>
        <v>#REF!</v>
      </c>
      <c r="H655" s="82" t="e">
        <f>SUMIF(#REF!,funkcijska!$E655,#REF!)</f>
        <v>#REF!</v>
      </c>
      <c r="I655" s="82" t="e">
        <f>SUMIF(#REF!,funkcijska!$E655,#REF!)</f>
        <v>#REF!</v>
      </c>
      <c r="J655" s="82" t="e">
        <f>SUMIF(#REF!,funkcijska!$E655,#REF!)</f>
        <v>#REF!</v>
      </c>
      <c r="K655" s="82" t="e">
        <f>SUMIF(#REF!,funkcijska!$E655,#REF!)</f>
        <v>#REF!</v>
      </c>
      <c r="L655" s="82" t="e">
        <f t="shared" si="325"/>
        <v>#REF!</v>
      </c>
      <c r="M655" s="82" t="e">
        <f t="shared" si="326"/>
        <v>#REF!</v>
      </c>
      <c r="N655" s="82" t="e">
        <f>SUMIF(#REF!,funkcijska!$E655,#REF!)</f>
        <v>#REF!</v>
      </c>
      <c r="O655" s="82" t="e">
        <f>SUMIF(#REF!,funkcijska!$E655,#REF!)</f>
        <v>#REF!</v>
      </c>
      <c r="P655" s="82" t="e">
        <f>SUMIF(#REF!,funkcijska!$E655,#REF!)</f>
        <v>#REF!</v>
      </c>
      <c r="Q655" s="386" t="e">
        <f>SUMIF(#REF!,funkcijska!$E655,#REF!)</f>
        <v>#REF!</v>
      </c>
      <c r="R655" s="82" t="e">
        <f>SUMIF(#REF!,funkcijska!$E655,#REF!)</f>
        <v>#REF!</v>
      </c>
      <c r="S655" s="82" t="e">
        <f>SUMIF(#REF!,funkcijska!$E655,#REF!)</f>
        <v>#REF!</v>
      </c>
      <c r="T655" s="82" t="e">
        <f>SUMIF(#REF!,funkcijska!$E$31,#REF!)</f>
        <v>#REF!</v>
      </c>
      <c r="U655" s="357" t="e">
        <f>SUMIF(#REF!,funkcijska!$E655,#REF!)</f>
        <v>#REF!</v>
      </c>
      <c r="V655" s="357" t="e">
        <f>SUMIF(#REF!,funkcijska!$E655,#REF!)</f>
        <v>#REF!</v>
      </c>
      <c r="W655" s="357" t="e">
        <f>SUMIF(#REF!,funkcijska!$E655,#REF!)</f>
        <v>#REF!</v>
      </c>
      <c r="X655" s="357" t="e">
        <f>SUMIF(#REF!,funkcijska!$E655,#REF!)</f>
        <v>#REF!</v>
      </c>
      <c r="AD655" s="60"/>
      <c r="AE655" s="60"/>
      <c r="AF655" s="60"/>
      <c r="AG655" s="60"/>
      <c r="AH655" s="60"/>
      <c r="AI655" s="60"/>
      <c r="AJ655" s="60"/>
      <c r="AK655" s="60"/>
      <c r="AL655" s="60"/>
    </row>
    <row r="656" spans="1:38" ht="16.5" customHeight="1" x14ac:dyDescent="0.25">
      <c r="A656" s="80"/>
      <c r="B656" s="80"/>
      <c r="C656" s="80"/>
      <c r="D656" s="80"/>
      <c r="E656" s="80">
        <v>3225</v>
      </c>
      <c r="F656" s="81" t="s">
        <v>205</v>
      </c>
      <c r="G656" s="82" t="e">
        <f>SUMIF(#REF!,funkcijska!$E656,#REF!)</f>
        <v>#REF!</v>
      </c>
      <c r="H656" s="82" t="e">
        <f>SUMIF(#REF!,funkcijska!$E656,#REF!)</f>
        <v>#REF!</v>
      </c>
      <c r="I656" s="82" t="e">
        <f>SUMIF(#REF!,funkcijska!$E656,#REF!)</f>
        <v>#REF!</v>
      </c>
      <c r="J656" s="82" t="e">
        <f>SUMIF(#REF!,funkcijska!$E656,#REF!)</f>
        <v>#REF!</v>
      </c>
      <c r="K656" s="82" t="e">
        <f>SUMIF(#REF!,funkcijska!$E656,#REF!)</f>
        <v>#REF!</v>
      </c>
      <c r="L656" s="82" t="e">
        <f t="shared" si="325"/>
        <v>#REF!</v>
      </c>
      <c r="M656" s="82" t="e">
        <f t="shared" si="326"/>
        <v>#REF!</v>
      </c>
      <c r="N656" s="82" t="e">
        <f>SUMIF(#REF!,funkcijska!$E656,#REF!)</f>
        <v>#REF!</v>
      </c>
      <c r="O656" s="82" t="e">
        <f>SUMIF(#REF!,funkcijska!$E656,#REF!)</f>
        <v>#REF!</v>
      </c>
      <c r="P656" s="82" t="e">
        <f>SUMIF(#REF!,funkcijska!$E656,#REF!)</f>
        <v>#REF!</v>
      </c>
      <c r="Q656" s="386" t="e">
        <f>SUMIF(#REF!,funkcijska!$E656,#REF!)</f>
        <v>#REF!</v>
      </c>
      <c r="R656" s="82" t="e">
        <f>SUMIF(#REF!,funkcijska!$E656,#REF!)</f>
        <v>#REF!</v>
      </c>
      <c r="S656" s="82" t="e">
        <f>SUMIF(#REF!,funkcijska!$E656,#REF!)</f>
        <v>#REF!</v>
      </c>
      <c r="T656" s="82" t="e">
        <f>SUMIF(#REF!,funkcijska!$E$32,#REF!)</f>
        <v>#REF!</v>
      </c>
      <c r="U656" s="357" t="e">
        <f>SUMIF(#REF!,funkcijska!$E656,#REF!)</f>
        <v>#REF!</v>
      </c>
      <c r="V656" s="357" t="e">
        <f>SUMIF(#REF!,funkcijska!$E656,#REF!)</f>
        <v>#REF!</v>
      </c>
      <c r="W656" s="357" t="e">
        <f>SUMIF(#REF!,funkcijska!$E656,#REF!)</f>
        <v>#REF!</v>
      </c>
      <c r="X656" s="357" t="e">
        <f>SUMIF(#REF!,funkcijska!$E656,#REF!)</f>
        <v>#REF!</v>
      </c>
      <c r="AD656" s="60"/>
      <c r="AE656" s="60"/>
      <c r="AF656" s="60"/>
      <c r="AG656" s="60"/>
      <c r="AH656" s="60"/>
      <c r="AI656" s="60"/>
      <c r="AJ656" s="60"/>
      <c r="AK656" s="60"/>
      <c r="AL656" s="60"/>
    </row>
    <row r="657" spans="1:38" ht="16.5" customHeight="1" x14ac:dyDescent="0.25">
      <c r="A657" s="80"/>
      <c r="B657" s="80"/>
      <c r="C657" s="80"/>
      <c r="D657" s="80"/>
      <c r="E657" s="131">
        <v>3227</v>
      </c>
      <c r="F657" s="132" t="s">
        <v>646</v>
      </c>
      <c r="G657" s="82" t="e">
        <f>SUMIF(#REF!,funkcijska!$E657,#REF!)</f>
        <v>#REF!</v>
      </c>
      <c r="H657" s="82" t="e">
        <f>SUMIF(#REF!,funkcijska!$E657,#REF!)</f>
        <v>#REF!</v>
      </c>
      <c r="I657" s="82" t="e">
        <f>SUMIF(#REF!,funkcijska!$E657,#REF!)</f>
        <v>#REF!</v>
      </c>
      <c r="J657" s="82" t="e">
        <f>SUMIF(#REF!,funkcijska!$E657,#REF!)</f>
        <v>#REF!</v>
      </c>
      <c r="K657" s="82" t="e">
        <f>SUMIF(#REF!,funkcijska!$E657,#REF!)</f>
        <v>#REF!</v>
      </c>
      <c r="L657" s="82" t="e">
        <f t="shared" si="325"/>
        <v>#REF!</v>
      </c>
      <c r="M657" s="82" t="e">
        <f t="shared" si="326"/>
        <v>#REF!</v>
      </c>
      <c r="N657" s="82" t="e">
        <f>SUMIF(#REF!,funkcijska!$E657,#REF!)</f>
        <v>#REF!</v>
      </c>
      <c r="O657" s="82" t="e">
        <f>SUMIF(#REF!,funkcijska!$E657,#REF!)</f>
        <v>#REF!</v>
      </c>
      <c r="P657" s="82" t="e">
        <f>SUMIF(#REF!,funkcijska!$E657,#REF!)</f>
        <v>#REF!</v>
      </c>
      <c r="Q657" s="386" t="e">
        <f>SUMIF(#REF!,funkcijska!$E657,#REF!)</f>
        <v>#REF!</v>
      </c>
      <c r="R657" s="82" t="e">
        <f>SUMIF(#REF!,funkcijska!$E657,#REF!)</f>
        <v>#REF!</v>
      </c>
      <c r="S657" s="82" t="e">
        <f>SUMIF(#REF!,funkcijska!$E657,#REF!)</f>
        <v>#REF!</v>
      </c>
      <c r="T657" s="82" t="e">
        <f>SUMIF(#REF!,funkcijska!$E$33,#REF!)</f>
        <v>#REF!</v>
      </c>
      <c r="U657" s="357" t="e">
        <f>SUMIF(#REF!,funkcijska!$E657,#REF!)</f>
        <v>#REF!</v>
      </c>
      <c r="V657" s="357" t="e">
        <f>SUMIF(#REF!,funkcijska!$E657,#REF!)</f>
        <v>#REF!</v>
      </c>
      <c r="W657" s="357" t="e">
        <f>SUMIF(#REF!,funkcijska!$E657,#REF!)</f>
        <v>#REF!</v>
      </c>
      <c r="X657" s="357" t="e">
        <f>SUMIF(#REF!,funkcijska!$E657,#REF!)</f>
        <v>#REF!</v>
      </c>
      <c r="AD657" s="60"/>
      <c r="AE657" s="60"/>
      <c r="AF657" s="60"/>
      <c r="AG657" s="60"/>
      <c r="AH657" s="60"/>
      <c r="AI657" s="60"/>
      <c r="AJ657" s="60"/>
      <c r="AK657" s="60"/>
      <c r="AL657" s="60"/>
    </row>
    <row r="658" spans="1:38" s="373" customFormat="1" ht="20.25" customHeight="1" x14ac:dyDescent="0.25">
      <c r="A658" s="119"/>
      <c r="B658" s="119"/>
      <c r="C658" s="119"/>
      <c r="D658" s="119" t="str">
        <f>LEFT(E659,3)</f>
        <v>323</v>
      </c>
      <c r="E658" s="119"/>
      <c r="F658" s="368" t="s">
        <v>526</v>
      </c>
      <c r="G658" s="369" t="e">
        <f t="shared" ref="G658:X658" si="327">SUM(G659:G667)</f>
        <v>#REF!</v>
      </c>
      <c r="H658" s="370" t="e">
        <f t="shared" si="327"/>
        <v>#REF!</v>
      </c>
      <c r="I658" s="369" t="e">
        <f t="shared" si="327"/>
        <v>#REF!</v>
      </c>
      <c r="J658" s="369" t="e">
        <f t="shared" si="327"/>
        <v>#REF!</v>
      </c>
      <c r="K658" s="369" t="e">
        <f t="shared" si="327"/>
        <v>#REF!</v>
      </c>
      <c r="L658" s="369" t="e">
        <f t="shared" si="327"/>
        <v>#REF!</v>
      </c>
      <c r="M658" s="369" t="e">
        <f t="shared" si="327"/>
        <v>#REF!</v>
      </c>
      <c r="N658" s="369" t="e">
        <f t="shared" si="327"/>
        <v>#REF!</v>
      </c>
      <c r="O658" s="369" t="e">
        <f t="shared" si="327"/>
        <v>#REF!</v>
      </c>
      <c r="P658" s="369" t="e">
        <f t="shared" si="327"/>
        <v>#REF!</v>
      </c>
      <c r="Q658" s="392" t="e">
        <f t="shared" si="327"/>
        <v>#REF!</v>
      </c>
      <c r="R658" s="369" t="e">
        <f t="shared" si="327"/>
        <v>#REF!</v>
      </c>
      <c r="S658" s="369" t="e">
        <f t="shared" si="327"/>
        <v>#REF!</v>
      </c>
      <c r="T658" s="369" t="e">
        <f t="shared" si="327"/>
        <v>#REF!</v>
      </c>
      <c r="U658" s="371" t="e">
        <f t="shared" si="327"/>
        <v>#REF!</v>
      </c>
      <c r="V658" s="371" t="e">
        <f t="shared" si="327"/>
        <v>#REF!</v>
      </c>
      <c r="W658" s="371" t="e">
        <f t="shared" si="327"/>
        <v>#REF!</v>
      </c>
      <c r="X658" s="371" t="e">
        <f t="shared" si="327"/>
        <v>#REF!</v>
      </c>
      <c r="Y658" s="372"/>
      <c r="Z658" s="372"/>
      <c r="AA658" s="372"/>
      <c r="AB658" s="372"/>
      <c r="AC658" s="372"/>
      <c r="AD658" s="372"/>
      <c r="AE658" s="372"/>
      <c r="AF658" s="372"/>
      <c r="AG658" s="372"/>
      <c r="AH658" s="372"/>
      <c r="AI658" s="372"/>
      <c r="AJ658" s="372"/>
      <c r="AK658" s="372"/>
      <c r="AL658" s="372"/>
    </row>
    <row r="659" spans="1:38" ht="18" customHeight="1" x14ac:dyDescent="0.25">
      <c r="A659" s="80"/>
      <c r="B659" s="80"/>
      <c r="C659" s="80"/>
      <c r="D659" s="80"/>
      <c r="E659" s="80">
        <v>3231</v>
      </c>
      <c r="F659" s="81" t="s">
        <v>206</v>
      </c>
      <c r="G659" s="82" t="e">
        <f>SUMIF(#REF!,funkcijska!$E659,#REF!)</f>
        <v>#REF!</v>
      </c>
      <c r="H659" s="82" t="e">
        <f>SUMIF(#REF!,funkcijska!$E659,#REF!)</f>
        <v>#REF!</v>
      </c>
      <c r="I659" s="82" t="e">
        <f>SUMIF(#REF!,funkcijska!$E659,#REF!)</f>
        <v>#REF!</v>
      </c>
      <c r="J659" s="82" t="e">
        <f>SUMIF(#REF!,funkcijska!$E659,#REF!)</f>
        <v>#REF!</v>
      </c>
      <c r="K659" s="82" t="e">
        <f>SUMIF(#REF!,funkcijska!$E659,#REF!)</f>
        <v>#REF!</v>
      </c>
      <c r="L659" s="82" t="e">
        <f t="shared" ref="L659:L669" si="328">ROUND(K659/J659*100,2)</f>
        <v>#REF!</v>
      </c>
      <c r="M659" s="82" t="e">
        <f t="shared" ref="M659:M669" si="329">N659-J659</f>
        <v>#REF!</v>
      </c>
      <c r="N659" s="102" t="e">
        <f>SUMIF(#REF!,funkcijska!$E659,#REF!)</f>
        <v>#REF!</v>
      </c>
      <c r="O659" s="82" t="e">
        <f>SUMIF(#REF!,funkcijska!$E659,#REF!)</f>
        <v>#REF!</v>
      </c>
      <c r="P659" s="82" t="e">
        <f>SUMIF(#REF!,funkcijska!$E659,#REF!)</f>
        <v>#REF!</v>
      </c>
      <c r="Q659" s="386" t="e">
        <f>SUMIF(#REF!,funkcijska!$E659,#REF!)</f>
        <v>#REF!</v>
      </c>
      <c r="R659" s="82" t="e">
        <f>SUMIF(#REF!,funkcijska!$E659,#REF!)</f>
        <v>#REF!</v>
      </c>
      <c r="S659" s="82" t="e">
        <f>SUMIF(#REF!,funkcijska!$E659,#REF!)</f>
        <v>#REF!</v>
      </c>
      <c r="T659" s="82" t="e">
        <f>SUMIF(#REF!,funkcijska!$E$35,#REF!)</f>
        <v>#REF!</v>
      </c>
      <c r="U659" s="357" t="e">
        <f>SUMIF(#REF!,funkcijska!$E659,#REF!)</f>
        <v>#REF!</v>
      </c>
      <c r="V659" s="357" t="e">
        <f>SUMIF(#REF!,funkcijska!$E659,#REF!)</f>
        <v>#REF!</v>
      </c>
      <c r="W659" s="357" t="e">
        <f>SUMIF(#REF!,funkcijska!$E659,#REF!)</f>
        <v>#REF!</v>
      </c>
      <c r="X659" s="357" t="e">
        <f>SUMIF(#REF!,funkcijska!$E659,#REF!)</f>
        <v>#REF!</v>
      </c>
      <c r="AD659" s="60"/>
      <c r="AE659" s="60"/>
      <c r="AF659" s="60"/>
      <c r="AG659" s="60"/>
      <c r="AH659" s="60"/>
      <c r="AI659" s="60"/>
      <c r="AJ659" s="60"/>
      <c r="AK659" s="60"/>
      <c r="AL659" s="60"/>
    </row>
    <row r="660" spans="1:38" ht="18" customHeight="1" x14ac:dyDescent="0.25">
      <c r="A660" s="80"/>
      <c r="B660" s="80"/>
      <c r="C660" s="80"/>
      <c r="D660" s="80"/>
      <c r="E660" s="80">
        <v>3232</v>
      </c>
      <c r="F660" s="81" t="s">
        <v>207</v>
      </c>
      <c r="G660" s="82" t="e">
        <f>SUMIF(#REF!,funkcijska!$E660,#REF!)</f>
        <v>#REF!</v>
      </c>
      <c r="H660" s="82" t="e">
        <f>SUMIF(#REF!,funkcijska!$E660,#REF!)</f>
        <v>#REF!</v>
      </c>
      <c r="I660" s="82" t="e">
        <f>SUMIF(#REF!,funkcijska!$E660,#REF!)</f>
        <v>#REF!</v>
      </c>
      <c r="J660" s="82" t="e">
        <f>SUMIF(#REF!,funkcijska!$E660,#REF!)</f>
        <v>#REF!</v>
      </c>
      <c r="K660" s="82" t="e">
        <f>SUMIF(#REF!,funkcijska!$E660,#REF!)</f>
        <v>#REF!</v>
      </c>
      <c r="L660" s="82" t="e">
        <f t="shared" si="328"/>
        <v>#REF!</v>
      </c>
      <c r="M660" s="82" t="e">
        <f t="shared" si="329"/>
        <v>#REF!</v>
      </c>
      <c r="N660" s="82" t="e">
        <f>SUMIF(#REF!,funkcijska!$E660,#REF!)</f>
        <v>#REF!</v>
      </c>
      <c r="O660" s="82" t="e">
        <f>SUMIF(#REF!,funkcijska!$E660,#REF!)</f>
        <v>#REF!</v>
      </c>
      <c r="P660" s="82" t="e">
        <f>SUMIF(#REF!,funkcijska!$E660,#REF!)</f>
        <v>#REF!</v>
      </c>
      <c r="Q660" s="386" t="e">
        <f>SUMIF(#REF!,funkcijska!$E660,#REF!)</f>
        <v>#REF!</v>
      </c>
      <c r="R660" s="82" t="e">
        <f>SUMIF(#REF!,funkcijska!$E660,#REF!)</f>
        <v>#REF!</v>
      </c>
      <c r="S660" s="82" t="e">
        <f>SUMIF(#REF!,funkcijska!$E660,#REF!)</f>
        <v>#REF!</v>
      </c>
      <c r="T660" s="82" t="e">
        <f>SUMIF(#REF!,funkcijska!$E$36,#REF!)</f>
        <v>#REF!</v>
      </c>
      <c r="U660" s="357" t="e">
        <f>SUMIF(#REF!,funkcijska!$E660,#REF!)</f>
        <v>#REF!</v>
      </c>
      <c r="V660" s="357" t="e">
        <f>SUMIF(#REF!,funkcijska!$E660,#REF!)</f>
        <v>#REF!</v>
      </c>
      <c r="W660" s="357" t="e">
        <f>SUMIF(#REF!,funkcijska!$E660,#REF!)</f>
        <v>#REF!</v>
      </c>
      <c r="X660" s="357" t="e">
        <f>SUMIF(#REF!,funkcijska!$E660,#REF!)</f>
        <v>#REF!</v>
      </c>
      <c r="AD660" s="60"/>
      <c r="AE660" s="60"/>
      <c r="AF660" s="60"/>
      <c r="AG660" s="60"/>
      <c r="AH660" s="60"/>
      <c r="AI660" s="60"/>
      <c r="AJ660" s="60"/>
      <c r="AK660" s="60"/>
      <c r="AL660" s="60"/>
    </row>
    <row r="661" spans="1:38" ht="19.5" customHeight="1" x14ac:dyDescent="0.25">
      <c r="A661" s="80"/>
      <c r="B661" s="80"/>
      <c r="C661" s="80"/>
      <c r="D661" s="80"/>
      <c r="E661" s="80">
        <v>3233</v>
      </c>
      <c r="F661" s="81" t="s">
        <v>528</v>
      </c>
      <c r="G661" s="82" t="e">
        <f>SUMIF(#REF!,funkcijska!$E661,#REF!)</f>
        <v>#REF!</v>
      </c>
      <c r="H661" s="82" t="e">
        <f>SUMIF(#REF!,funkcijska!$E661,#REF!)</f>
        <v>#REF!</v>
      </c>
      <c r="I661" s="82" t="e">
        <f>SUMIF(#REF!,funkcijska!$E661,#REF!)</f>
        <v>#REF!</v>
      </c>
      <c r="J661" s="82" t="e">
        <f>SUMIF(#REF!,funkcijska!$E661,#REF!)</f>
        <v>#REF!</v>
      </c>
      <c r="K661" s="82" t="e">
        <f>SUMIF(#REF!,funkcijska!$E661,#REF!)</f>
        <v>#REF!</v>
      </c>
      <c r="L661" s="82" t="e">
        <f t="shared" si="328"/>
        <v>#REF!</v>
      </c>
      <c r="M661" s="82" t="e">
        <f t="shared" si="329"/>
        <v>#REF!</v>
      </c>
      <c r="N661" s="102" t="e">
        <f>SUMIF(#REF!,funkcijska!$E661,#REF!)</f>
        <v>#REF!</v>
      </c>
      <c r="O661" s="82" t="e">
        <f>SUMIF(#REF!,funkcijska!$E661,#REF!)</f>
        <v>#REF!</v>
      </c>
      <c r="P661" s="82" t="e">
        <f>SUMIF(#REF!,funkcijska!$E661,#REF!)</f>
        <v>#REF!</v>
      </c>
      <c r="Q661" s="386" t="e">
        <f>SUMIF(#REF!,funkcijska!$E661,#REF!)</f>
        <v>#REF!</v>
      </c>
      <c r="R661" s="82" t="e">
        <f>SUMIF(#REF!,funkcijska!$E661,#REF!)</f>
        <v>#REF!</v>
      </c>
      <c r="S661" s="82" t="e">
        <f>SUMIF(#REF!,funkcijska!$E661,#REF!)</f>
        <v>#REF!</v>
      </c>
      <c r="T661" s="82" t="e">
        <f>SUMIF(#REF!,funkcijska!$E$37,#REF!)</f>
        <v>#REF!</v>
      </c>
      <c r="U661" s="357" t="e">
        <f>SUMIF(#REF!,funkcijska!$E661,#REF!)</f>
        <v>#REF!</v>
      </c>
      <c r="V661" s="357" t="e">
        <f>SUMIF(#REF!,funkcijska!$E661,#REF!)</f>
        <v>#REF!</v>
      </c>
      <c r="W661" s="357" t="e">
        <f>SUMIF(#REF!,funkcijska!$E661,#REF!)</f>
        <v>#REF!</v>
      </c>
      <c r="X661" s="357" t="e">
        <f>SUMIF(#REF!,funkcijska!$E661,#REF!)</f>
        <v>#REF!</v>
      </c>
      <c r="AD661" s="60"/>
      <c r="AE661" s="60"/>
      <c r="AF661" s="60"/>
      <c r="AG661" s="60"/>
      <c r="AH661" s="60"/>
      <c r="AI661" s="60"/>
      <c r="AJ661" s="60"/>
      <c r="AK661" s="60"/>
      <c r="AL661" s="60"/>
    </row>
    <row r="662" spans="1:38" ht="18.75" customHeight="1" x14ac:dyDescent="0.25">
      <c r="A662" s="80"/>
      <c r="B662" s="80"/>
      <c r="C662" s="80"/>
      <c r="D662" s="80"/>
      <c r="E662" s="80">
        <v>3234</v>
      </c>
      <c r="F662" s="81" t="s">
        <v>238</v>
      </c>
      <c r="G662" s="82" t="e">
        <f>SUMIF(#REF!,funkcijska!$E662,#REF!)</f>
        <v>#REF!</v>
      </c>
      <c r="H662" s="82" t="e">
        <f>SUMIF(#REF!,funkcijska!$E662,#REF!)</f>
        <v>#REF!</v>
      </c>
      <c r="I662" s="82" t="e">
        <f>SUMIF(#REF!,funkcijska!$E662,#REF!)</f>
        <v>#REF!</v>
      </c>
      <c r="J662" s="82" t="e">
        <f>SUMIF(#REF!,funkcijska!$E662,#REF!)</f>
        <v>#REF!</v>
      </c>
      <c r="K662" s="82" t="e">
        <f>SUMIF(#REF!,funkcijska!$E662,#REF!)</f>
        <v>#REF!</v>
      </c>
      <c r="L662" s="82" t="e">
        <f t="shared" si="328"/>
        <v>#REF!</v>
      </c>
      <c r="M662" s="82" t="e">
        <f t="shared" si="329"/>
        <v>#REF!</v>
      </c>
      <c r="N662" s="102" t="e">
        <f>SUMIF(#REF!,funkcijska!$E662,#REF!)</f>
        <v>#REF!</v>
      </c>
      <c r="O662" s="82" t="e">
        <f>SUMIF(#REF!,funkcijska!$E662,#REF!)</f>
        <v>#REF!</v>
      </c>
      <c r="P662" s="82" t="e">
        <f>SUMIF(#REF!,funkcijska!$E662,#REF!)</f>
        <v>#REF!</v>
      </c>
      <c r="Q662" s="386" t="e">
        <f>SUMIF(#REF!,funkcijska!$E662,#REF!)</f>
        <v>#REF!</v>
      </c>
      <c r="R662" s="82" t="e">
        <f>SUMIF(#REF!,funkcijska!$E662,#REF!)</f>
        <v>#REF!</v>
      </c>
      <c r="S662" s="82" t="e">
        <f>SUMIF(#REF!,funkcijska!$E662,#REF!)</f>
        <v>#REF!</v>
      </c>
      <c r="T662" s="82" t="e">
        <f>SUMIF(#REF!,funkcijska!$E$38,#REF!)</f>
        <v>#REF!</v>
      </c>
      <c r="U662" s="357" t="e">
        <f>SUMIF(#REF!,funkcijska!$E662,#REF!)</f>
        <v>#REF!</v>
      </c>
      <c r="V662" s="357" t="e">
        <f>SUMIF(#REF!,funkcijska!$E662,#REF!)</f>
        <v>#REF!</v>
      </c>
      <c r="W662" s="357" t="e">
        <f>SUMIF(#REF!,funkcijska!$E662,#REF!)</f>
        <v>#REF!</v>
      </c>
      <c r="X662" s="357" t="e">
        <f>SUMIF(#REF!,funkcijska!$E662,#REF!)</f>
        <v>#REF!</v>
      </c>
      <c r="AD662" s="60"/>
      <c r="AE662" s="60"/>
      <c r="AF662" s="60"/>
      <c r="AG662" s="60"/>
      <c r="AH662" s="60"/>
      <c r="AI662" s="60"/>
      <c r="AJ662" s="60"/>
      <c r="AK662" s="60"/>
      <c r="AL662" s="60"/>
    </row>
    <row r="663" spans="1:38" ht="21" customHeight="1" x14ac:dyDescent="0.25">
      <c r="A663" s="80"/>
      <c r="B663" s="80"/>
      <c r="C663" s="80"/>
      <c r="D663" s="80"/>
      <c r="E663" s="80">
        <v>3235</v>
      </c>
      <c r="F663" s="81" t="s">
        <v>640</v>
      </c>
      <c r="G663" s="82" t="e">
        <f>SUMIF(#REF!,funkcijska!$E663,#REF!)</f>
        <v>#REF!</v>
      </c>
      <c r="H663" s="82" t="e">
        <f>SUMIF(#REF!,funkcijska!$E663,#REF!)</f>
        <v>#REF!</v>
      </c>
      <c r="I663" s="82" t="e">
        <f>SUMIF(#REF!,funkcijska!$E663,#REF!)</f>
        <v>#REF!</v>
      </c>
      <c r="J663" s="82" t="e">
        <f>SUMIF(#REF!,funkcijska!$E663,#REF!)</f>
        <v>#REF!</v>
      </c>
      <c r="K663" s="82" t="e">
        <f>SUMIF(#REF!,funkcijska!$E663,#REF!)</f>
        <v>#REF!</v>
      </c>
      <c r="L663" s="82" t="e">
        <f t="shared" si="328"/>
        <v>#REF!</v>
      </c>
      <c r="M663" s="82" t="e">
        <f t="shared" si="329"/>
        <v>#REF!</v>
      </c>
      <c r="N663" s="102" t="e">
        <f>SUMIF(#REF!,funkcijska!$E663,#REF!)</f>
        <v>#REF!</v>
      </c>
      <c r="O663" s="82" t="e">
        <f>SUMIF(#REF!,funkcijska!$E663,#REF!)</f>
        <v>#REF!</v>
      </c>
      <c r="P663" s="82" t="e">
        <f>SUMIF(#REF!,funkcijska!$E663,#REF!)</f>
        <v>#REF!</v>
      </c>
      <c r="Q663" s="386" t="e">
        <f>SUMIF(#REF!,funkcijska!$E663,#REF!)</f>
        <v>#REF!</v>
      </c>
      <c r="R663" s="82" t="e">
        <f>SUMIF(#REF!,funkcijska!$E663,#REF!)</f>
        <v>#REF!</v>
      </c>
      <c r="S663" s="82" t="e">
        <f>SUMIF(#REF!,funkcijska!$E663,#REF!)</f>
        <v>#REF!</v>
      </c>
      <c r="T663" s="82" t="e">
        <f>SUMIF(#REF!,funkcijska!$E$39,#REF!)</f>
        <v>#REF!</v>
      </c>
      <c r="U663" s="357" t="e">
        <f>SUMIF(#REF!,funkcijska!$E663,#REF!)</f>
        <v>#REF!</v>
      </c>
      <c r="V663" s="357" t="e">
        <f>SUMIF(#REF!,funkcijska!$E663,#REF!)</f>
        <v>#REF!</v>
      </c>
      <c r="W663" s="357" t="e">
        <f>SUMIF(#REF!,funkcijska!$E663,#REF!)</f>
        <v>#REF!</v>
      </c>
      <c r="X663" s="357" t="e">
        <f>SUMIF(#REF!,funkcijska!$E663,#REF!)</f>
        <v>#REF!</v>
      </c>
      <c r="AD663" s="60"/>
      <c r="AE663" s="60"/>
      <c r="AF663" s="60"/>
      <c r="AG663" s="60"/>
      <c r="AH663" s="60"/>
      <c r="AI663" s="60"/>
      <c r="AJ663" s="60"/>
      <c r="AK663" s="60"/>
      <c r="AL663" s="60"/>
    </row>
    <row r="664" spans="1:38" ht="20.25" customHeight="1" x14ac:dyDescent="0.25">
      <c r="A664" s="80"/>
      <c r="B664" s="80"/>
      <c r="C664" s="80"/>
      <c r="D664" s="80"/>
      <c r="E664" s="80">
        <v>3236</v>
      </c>
      <c r="F664" s="81" t="s">
        <v>843</v>
      </c>
      <c r="G664" s="82" t="e">
        <f>SUMIF(#REF!,funkcijska!$E664,#REF!)</f>
        <v>#REF!</v>
      </c>
      <c r="H664" s="82" t="e">
        <f>SUMIF(#REF!,funkcijska!$E664,#REF!)</f>
        <v>#REF!</v>
      </c>
      <c r="I664" s="82" t="e">
        <f>SUMIF(#REF!,funkcijska!$E664,#REF!)</f>
        <v>#REF!</v>
      </c>
      <c r="J664" s="82" t="e">
        <f>SUMIF(#REF!,funkcijska!$E664,#REF!)</f>
        <v>#REF!</v>
      </c>
      <c r="K664" s="82" t="e">
        <f>SUMIF(#REF!,funkcijska!$E664,#REF!)</f>
        <v>#REF!</v>
      </c>
      <c r="L664" s="82" t="e">
        <f t="shared" si="328"/>
        <v>#REF!</v>
      </c>
      <c r="M664" s="82" t="e">
        <f t="shared" si="329"/>
        <v>#REF!</v>
      </c>
      <c r="N664" s="102" t="e">
        <f>SUMIF(#REF!,funkcijska!$E664,#REF!)</f>
        <v>#REF!</v>
      </c>
      <c r="O664" s="82" t="e">
        <f>SUMIF(#REF!,funkcijska!$E664,#REF!)</f>
        <v>#REF!</v>
      </c>
      <c r="P664" s="82" t="e">
        <f>SUMIF(#REF!,funkcijska!$E664,#REF!)</f>
        <v>#REF!</v>
      </c>
      <c r="Q664" s="386" t="e">
        <f>SUMIF(#REF!,funkcijska!$E664,#REF!)</f>
        <v>#REF!</v>
      </c>
      <c r="R664" s="82" t="e">
        <f>SUMIF(#REF!,funkcijska!$E664,#REF!)</f>
        <v>#REF!</v>
      </c>
      <c r="S664" s="82" t="e">
        <f>SUMIF(#REF!,funkcijska!$E664,#REF!)</f>
        <v>#REF!</v>
      </c>
      <c r="T664" s="82" t="e">
        <f>SUMIF(#REF!,funkcijska!$E$40,#REF!)</f>
        <v>#REF!</v>
      </c>
      <c r="U664" s="357" t="e">
        <f>SUMIF(#REF!,funkcijska!$E664,#REF!)</f>
        <v>#REF!</v>
      </c>
      <c r="V664" s="357" t="e">
        <f>SUMIF(#REF!,funkcijska!$E664,#REF!)</f>
        <v>#REF!</v>
      </c>
      <c r="W664" s="357" t="e">
        <f>SUMIF(#REF!,funkcijska!$E664,#REF!)</f>
        <v>#REF!</v>
      </c>
      <c r="X664" s="357" t="e">
        <f>SUMIF(#REF!,funkcijska!$E664,#REF!)</f>
        <v>#REF!</v>
      </c>
      <c r="AD664" s="60"/>
      <c r="AE664" s="60"/>
      <c r="AF664" s="60"/>
      <c r="AG664" s="60"/>
      <c r="AH664" s="60"/>
      <c r="AI664" s="60"/>
      <c r="AJ664" s="60"/>
      <c r="AK664" s="60"/>
      <c r="AL664" s="60"/>
    </row>
    <row r="665" spans="1:38" ht="20.25" customHeight="1" x14ac:dyDescent="0.25">
      <c r="A665" s="80"/>
      <c r="B665" s="80"/>
      <c r="C665" s="80"/>
      <c r="D665" s="80"/>
      <c r="E665" s="80">
        <v>3237</v>
      </c>
      <c r="F665" s="81" t="s">
        <v>566</v>
      </c>
      <c r="G665" s="82" t="e">
        <f>SUMIF(#REF!,funkcijska!$E665,#REF!)</f>
        <v>#REF!</v>
      </c>
      <c r="H665" s="82" t="e">
        <f>SUMIF(#REF!,funkcijska!$E665,#REF!)</f>
        <v>#REF!</v>
      </c>
      <c r="I665" s="82" t="e">
        <f>SUMIF(#REF!,funkcijska!$E665,#REF!)</f>
        <v>#REF!</v>
      </c>
      <c r="J665" s="82" t="e">
        <f>SUMIF(#REF!,funkcijska!$E665,#REF!)</f>
        <v>#REF!</v>
      </c>
      <c r="K665" s="82" t="e">
        <f>SUMIF(#REF!,funkcijska!$E665,#REF!)</f>
        <v>#REF!</v>
      </c>
      <c r="L665" s="82" t="e">
        <f t="shared" si="328"/>
        <v>#REF!</v>
      </c>
      <c r="M665" s="82" t="e">
        <f t="shared" si="329"/>
        <v>#REF!</v>
      </c>
      <c r="N665" s="102" t="e">
        <f>SUMIF(#REF!,funkcijska!$E665,#REF!)</f>
        <v>#REF!</v>
      </c>
      <c r="O665" s="82" t="e">
        <f>SUMIF(#REF!,funkcijska!$E665,#REF!)</f>
        <v>#REF!</v>
      </c>
      <c r="P665" s="82" t="e">
        <f>SUMIF(#REF!,funkcijska!$E665,#REF!)</f>
        <v>#REF!</v>
      </c>
      <c r="Q665" s="386" t="e">
        <f>SUMIF(#REF!,funkcijska!$E665,#REF!)</f>
        <v>#REF!</v>
      </c>
      <c r="R665" s="82" t="e">
        <f>SUMIF(#REF!,funkcijska!$E665,#REF!)</f>
        <v>#REF!</v>
      </c>
      <c r="S665" s="82" t="e">
        <f>SUMIF(#REF!,funkcijska!$E665,#REF!)</f>
        <v>#REF!</v>
      </c>
      <c r="T665" s="82" t="e">
        <f>SUMIF(#REF!,funkcijska!$E$41,#REF!)</f>
        <v>#REF!</v>
      </c>
      <c r="U665" s="357" t="e">
        <f>SUMIF(#REF!,funkcijska!$E665,#REF!)</f>
        <v>#REF!</v>
      </c>
      <c r="V665" s="357" t="e">
        <f>SUMIF(#REF!,funkcijska!$E665,#REF!)</f>
        <v>#REF!</v>
      </c>
      <c r="W665" s="357" t="e">
        <f>SUMIF(#REF!,funkcijska!$E665,#REF!)</f>
        <v>#REF!</v>
      </c>
      <c r="X665" s="357" t="e">
        <f>SUMIF(#REF!,funkcijska!$E665,#REF!)</f>
        <v>#REF!</v>
      </c>
      <c r="AD665" s="60"/>
      <c r="AE665" s="60"/>
      <c r="AF665" s="60"/>
      <c r="AG665" s="60"/>
      <c r="AH665" s="60"/>
      <c r="AI665" s="60"/>
      <c r="AJ665" s="60"/>
      <c r="AK665" s="60"/>
      <c r="AL665" s="60"/>
    </row>
    <row r="666" spans="1:38" ht="16.5" customHeight="1" x14ac:dyDescent="0.25">
      <c r="A666" s="80"/>
      <c r="B666" s="80"/>
      <c r="C666" s="80"/>
      <c r="D666" s="80"/>
      <c r="E666" s="80">
        <v>3238</v>
      </c>
      <c r="F666" s="81" t="s">
        <v>398</v>
      </c>
      <c r="G666" s="82" t="e">
        <f>SUMIF(#REF!,funkcijska!$E666,#REF!)</f>
        <v>#REF!</v>
      </c>
      <c r="H666" s="82" t="e">
        <f>SUMIF(#REF!,funkcijska!$E666,#REF!)</f>
        <v>#REF!</v>
      </c>
      <c r="I666" s="82" t="e">
        <f>SUMIF(#REF!,funkcijska!$E666,#REF!)</f>
        <v>#REF!</v>
      </c>
      <c r="J666" s="82" t="e">
        <f>SUMIF(#REF!,funkcijska!$E666,#REF!)</f>
        <v>#REF!</v>
      </c>
      <c r="K666" s="82" t="e">
        <f>SUMIF(#REF!,funkcijska!$E666,#REF!)</f>
        <v>#REF!</v>
      </c>
      <c r="L666" s="82" t="e">
        <f t="shared" si="328"/>
        <v>#REF!</v>
      </c>
      <c r="M666" s="82" t="e">
        <f t="shared" si="329"/>
        <v>#REF!</v>
      </c>
      <c r="N666" s="82" t="e">
        <f>SUMIF(#REF!,funkcijska!$E666,#REF!)</f>
        <v>#REF!</v>
      </c>
      <c r="O666" s="82" t="e">
        <f>SUMIF(#REF!,funkcijska!$E666,#REF!)</f>
        <v>#REF!</v>
      </c>
      <c r="P666" s="82" t="e">
        <f>SUMIF(#REF!,funkcijska!$E666,#REF!)</f>
        <v>#REF!</v>
      </c>
      <c r="Q666" s="386" t="e">
        <f>SUMIF(#REF!,funkcijska!$E666,#REF!)</f>
        <v>#REF!</v>
      </c>
      <c r="R666" s="82" t="e">
        <f>SUMIF(#REF!,funkcijska!$E666,#REF!)</f>
        <v>#REF!</v>
      </c>
      <c r="S666" s="82" t="e">
        <f>SUMIF(#REF!,funkcijska!$E666,#REF!)</f>
        <v>#REF!</v>
      </c>
      <c r="T666" s="82" t="e">
        <f>SUMIF(#REF!,funkcijska!$E$42,#REF!)</f>
        <v>#REF!</v>
      </c>
      <c r="U666" s="357" t="e">
        <f>SUMIF(#REF!,funkcijska!$E666,#REF!)</f>
        <v>#REF!</v>
      </c>
      <c r="V666" s="357" t="e">
        <f>SUMIF(#REF!,funkcijska!$E666,#REF!)</f>
        <v>#REF!</v>
      </c>
      <c r="W666" s="357" t="e">
        <f>SUMIF(#REF!,funkcijska!$E666,#REF!)</f>
        <v>#REF!</v>
      </c>
      <c r="X666" s="357" t="e">
        <f>SUMIF(#REF!,funkcijska!$E666,#REF!)</f>
        <v>#REF!</v>
      </c>
      <c r="AD666" s="60"/>
      <c r="AE666" s="60"/>
      <c r="AF666" s="60"/>
      <c r="AG666" s="60"/>
      <c r="AH666" s="60"/>
      <c r="AI666" s="60"/>
      <c r="AJ666" s="60"/>
      <c r="AK666" s="60"/>
      <c r="AL666" s="60"/>
    </row>
    <row r="667" spans="1:38" ht="18" customHeight="1" x14ac:dyDescent="0.25">
      <c r="A667" s="80"/>
      <c r="B667" s="80"/>
      <c r="C667" s="80"/>
      <c r="D667" s="80"/>
      <c r="E667" s="80">
        <v>3239</v>
      </c>
      <c r="F667" s="81" t="s">
        <v>1017</v>
      </c>
      <c r="G667" s="82" t="e">
        <f>SUMIF(#REF!,funkcijska!$E667,#REF!)</f>
        <v>#REF!</v>
      </c>
      <c r="H667" s="82" t="e">
        <f>SUMIF(#REF!,funkcijska!$E667,#REF!)</f>
        <v>#REF!</v>
      </c>
      <c r="I667" s="82" t="e">
        <f>SUMIF(#REF!,funkcijska!$E667,#REF!)</f>
        <v>#REF!</v>
      </c>
      <c r="J667" s="82" t="e">
        <f>SUMIF(#REF!,funkcijska!$E667,#REF!)</f>
        <v>#REF!</v>
      </c>
      <c r="K667" s="82" t="e">
        <f>SUMIF(#REF!,funkcijska!$E667,#REF!)</f>
        <v>#REF!</v>
      </c>
      <c r="L667" s="82" t="e">
        <f t="shared" si="328"/>
        <v>#REF!</v>
      </c>
      <c r="M667" s="82" t="e">
        <f t="shared" si="329"/>
        <v>#REF!</v>
      </c>
      <c r="N667" s="82" t="e">
        <f>SUMIF(#REF!,funkcijska!$E667,#REF!)</f>
        <v>#REF!</v>
      </c>
      <c r="O667" s="82" t="e">
        <f>SUMIF(#REF!,funkcijska!$E667,#REF!)</f>
        <v>#REF!</v>
      </c>
      <c r="P667" s="82" t="e">
        <f>SUMIF(#REF!,funkcijska!$E667,#REF!)</f>
        <v>#REF!</v>
      </c>
      <c r="Q667" s="386" t="e">
        <f>SUMIF(#REF!,funkcijska!$E667,#REF!)</f>
        <v>#REF!</v>
      </c>
      <c r="R667" s="82" t="e">
        <f>SUMIF(#REF!,funkcijska!$E667,#REF!)</f>
        <v>#REF!</v>
      </c>
      <c r="S667" s="82" t="e">
        <f>SUMIF(#REF!,funkcijska!$E667,#REF!)</f>
        <v>#REF!</v>
      </c>
      <c r="T667" s="82" t="e">
        <f>SUMIF(#REF!,funkcijska!$E$43,#REF!)</f>
        <v>#REF!</v>
      </c>
      <c r="U667" s="357" t="e">
        <f>SUMIF(#REF!,funkcijska!$E667,#REF!)</f>
        <v>#REF!</v>
      </c>
      <c r="V667" s="357" t="e">
        <f>SUMIF(#REF!,funkcijska!$E667,#REF!)</f>
        <v>#REF!</v>
      </c>
      <c r="W667" s="357" t="e">
        <f>SUMIF(#REF!,funkcijska!$E667,#REF!)</f>
        <v>#REF!</v>
      </c>
      <c r="X667" s="357" t="e">
        <f>SUMIF(#REF!,funkcijska!$E667,#REF!)</f>
        <v>#REF!</v>
      </c>
      <c r="AD667" s="60"/>
      <c r="AE667" s="60"/>
      <c r="AF667" s="60"/>
      <c r="AG667" s="60"/>
      <c r="AH667" s="60"/>
      <c r="AI667" s="60"/>
      <c r="AJ667" s="60"/>
      <c r="AK667" s="60"/>
      <c r="AL667" s="60"/>
    </row>
    <row r="668" spans="1:38" s="376" customFormat="1" ht="18.75" customHeight="1" x14ac:dyDescent="0.25">
      <c r="A668" s="119"/>
      <c r="B668" s="119"/>
      <c r="C668" s="119"/>
      <c r="D668" s="119">
        <v>324</v>
      </c>
      <c r="E668" s="119"/>
      <c r="F668" s="368" t="s">
        <v>530</v>
      </c>
      <c r="G668" s="137" t="e">
        <f>G669</f>
        <v>#REF!</v>
      </c>
      <c r="H668" s="137" t="e">
        <f>H669</f>
        <v>#REF!</v>
      </c>
      <c r="I668" s="137" t="e">
        <f>I669</f>
        <v>#REF!</v>
      </c>
      <c r="J668" s="137" t="e">
        <f>J669</f>
        <v>#REF!</v>
      </c>
      <c r="K668" s="137" t="e">
        <f>K669</f>
        <v>#REF!</v>
      </c>
      <c r="L668" s="137" t="e">
        <f t="shared" si="328"/>
        <v>#REF!</v>
      </c>
      <c r="M668" s="137" t="e">
        <f t="shared" si="329"/>
        <v>#REF!</v>
      </c>
      <c r="N668" s="137" t="e">
        <f t="shared" ref="N668:X668" si="330">N669</f>
        <v>#REF!</v>
      </c>
      <c r="O668" s="137" t="e">
        <f t="shared" si="330"/>
        <v>#REF!</v>
      </c>
      <c r="P668" s="137" t="e">
        <f t="shared" si="330"/>
        <v>#REF!</v>
      </c>
      <c r="Q668" s="393" t="e">
        <f t="shared" si="330"/>
        <v>#REF!</v>
      </c>
      <c r="R668" s="137" t="e">
        <f t="shared" si="330"/>
        <v>#REF!</v>
      </c>
      <c r="S668" s="137" t="e">
        <f t="shared" si="330"/>
        <v>#REF!</v>
      </c>
      <c r="T668" s="137" t="e">
        <f t="shared" si="330"/>
        <v>#REF!</v>
      </c>
      <c r="U668" s="371" t="e">
        <f t="shared" si="330"/>
        <v>#REF!</v>
      </c>
      <c r="V668" s="371" t="e">
        <f t="shared" si="330"/>
        <v>#REF!</v>
      </c>
      <c r="W668" s="371" t="e">
        <f t="shared" si="330"/>
        <v>#REF!</v>
      </c>
      <c r="X668" s="371" t="e">
        <f t="shared" si="330"/>
        <v>#REF!</v>
      </c>
      <c r="Y668" s="372"/>
      <c r="Z668" s="372"/>
      <c r="AA668" s="372"/>
      <c r="AB668" s="372"/>
      <c r="AC668" s="372"/>
      <c r="AD668" s="375"/>
      <c r="AE668" s="375"/>
      <c r="AF668" s="375"/>
      <c r="AG668" s="375"/>
      <c r="AH668" s="375"/>
      <c r="AI668" s="375"/>
      <c r="AJ668" s="375"/>
      <c r="AK668" s="375"/>
      <c r="AL668" s="375"/>
    </row>
    <row r="669" spans="1:38" ht="16.5" customHeight="1" x14ac:dyDescent="0.25">
      <c r="A669" s="133"/>
      <c r="B669" s="133"/>
      <c r="C669" s="133"/>
      <c r="D669" s="133"/>
      <c r="E669" s="133">
        <v>3241</v>
      </c>
      <c r="F669" s="134" t="s">
        <v>530</v>
      </c>
      <c r="G669" s="82" t="e">
        <f>SUMIF(#REF!,funkcijska!$E669,#REF!)</f>
        <v>#REF!</v>
      </c>
      <c r="H669" s="82" t="e">
        <f>SUMIF(#REF!,funkcijska!$E669,#REF!)</f>
        <v>#REF!</v>
      </c>
      <c r="I669" s="82" t="e">
        <f>SUMIF(#REF!,funkcijska!$E669,#REF!)</f>
        <v>#REF!</v>
      </c>
      <c r="J669" s="82" t="e">
        <f>SUMIF(#REF!,funkcijska!$E669,#REF!)</f>
        <v>#REF!</v>
      </c>
      <c r="K669" s="82" t="e">
        <f>SUMIF(#REF!,funkcijska!$E669,#REF!)</f>
        <v>#REF!</v>
      </c>
      <c r="L669" s="82" t="e">
        <f t="shared" si="328"/>
        <v>#REF!</v>
      </c>
      <c r="M669" s="82" t="e">
        <f t="shared" si="329"/>
        <v>#REF!</v>
      </c>
      <c r="N669" s="82" t="e">
        <f>SUMIF(#REF!,funkcijska!$E669,#REF!)</f>
        <v>#REF!</v>
      </c>
      <c r="O669" s="82" t="e">
        <f>SUMIF(#REF!,funkcijska!$E669,#REF!)</f>
        <v>#REF!</v>
      </c>
      <c r="P669" s="82" t="e">
        <f>SUMIF(#REF!,funkcijska!$E669,#REF!)</f>
        <v>#REF!</v>
      </c>
      <c r="Q669" s="386" t="e">
        <f>SUMIF(#REF!,funkcijska!$E669,#REF!)</f>
        <v>#REF!</v>
      </c>
      <c r="R669" s="82" t="e">
        <f>SUMIF(#REF!,funkcijska!$E669,#REF!)</f>
        <v>#REF!</v>
      </c>
      <c r="S669" s="82" t="e">
        <f>SUMIF(#REF!,funkcijska!$E669,#REF!)</f>
        <v>#REF!</v>
      </c>
      <c r="T669" s="82" t="e">
        <f>SUMIF(#REF!,funkcijska!$E$45,#REF!)</f>
        <v>#REF!</v>
      </c>
      <c r="U669" s="357" t="e">
        <f>SUMIF(#REF!,funkcijska!$E669,#REF!)</f>
        <v>#REF!</v>
      </c>
      <c r="V669" s="357" t="e">
        <f>SUMIF(#REF!,funkcijska!$E669,#REF!)</f>
        <v>#REF!</v>
      </c>
      <c r="W669" s="357" t="e">
        <f>SUMIF(#REF!,funkcijska!$E669,#REF!)</f>
        <v>#REF!</v>
      </c>
      <c r="X669" s="357" t="e">
        <f>SUMIF(#REF!,funkcijska!$E669,#REF!)</f>
        <v>#REF!</v>
      </c>
      <c r="AD669" s="300"/>
      <c r="AE669" s="300"/>
      <c r="AF669" s="300"/>
      <c r="AG669" s="300"/>
      <c r="AH669" s="300"/>
      <c r="AI669" s="300"/>
      <c r="AJ669" s="300"/>
      <c r="AK669" s="60"/>
      <c r="AL669" s="60"/>
    </row>
    <row r="670" spans="1:38" s="376" customFormat="1" ht="16.5" customHeight="1" x14ac:dyDescent="0.25">
      <c r="A670" s="119"/>
      <c r="B670" s="119"/>
      <c r="C670" s="119"/>
      <c r="D670" s="119" t="str">
        <f>LEFT(E671,3)</f>
        <v>329</v>
      </c>
      <c r="E670" s="119"/>
      <c r="F670" s="368" t="s">
        <v>531</v>
      </c>
      <c r="G670" s="369" t="e">
        <f t="shared" ref="G670:X670" si="331">SUM(G671:G676)</f>
        <v>#REF!</v>
      </c>
      <c r="H670" s="370" t="e">
        <f t="shared" si="331"/>
        <v>#REF!</v>
      </c>
      <c r="I670" s="369" t="e">
        <f t="shared" si="331"/>
        <v>#REF!</v>
      </c>
      <c r="J670" s="369" t="e">
        <f t="shared" si="331"/>
        <v>#REF!</v>
      </c>
      <c r="K670" s="369" t="e">
        <f t="shared" si="331"/>
        <v>#REF!</v>
      </c>
      <c r="L670" s="369" t="e">
        <f t="shared" si="331"/>
        <v>#REF!</v>
      </c>
      <c r="M670" s="369" t="e">
        <f t="shared" si="331"/>
        <v>#REF!</v>
      </c>
      <c r="N670" s="369" t="e">
        <f t="shared" si="331"/>
        <v>#REF!</v>
      </c>
      <c r="O670" s="369" t="e">
        <f t="shared" si="331"/>
        <v>#REF!</v>
      </c>
      <c r="P670" s="369" t="e">
        <f t="shared" si="331"/>
        <v>#REF!</v>
      </c>
      <c r="Q670" s="392" t="e">
        <f t="shared" si="331"/>
        <v>#REF!</v>
      </c>
      <c r="R670" s="369" t="e">
        <f t="shared" si="331"/>
        <v>#REF!</v>
      </c>
      <c r="S670" s="369" t="e">
        <f t="shared" si="331"/>
        <v>#REF!</v>
      </c>
      <c r="T670" s="369" t="e">
        <f t="shared" si="331"/>
        <v>#REF!</v>
      </c>
      <c r="U670" s="371" t="e">
        <f t="shared" si="331"/>
        <v>#REF!</v>
      </c>
      <c r="V670" s="371" t="e">
        <f t="shared" si="331"/>
        <v>#REF!</v>
      </c>
      <c r="W670" s="371" t="e">
        <f t="shared" si="331"/>
        <v>#REF!</v>
      </c>
      <c r="X670" s="371" t="e">
        <f t="shared" si="331"/>
        <v>#REF!</v>
      </c>
      <c r="Y670" s="372"/>
      <c r="Z670" s="372"/>
      <c r="AA670" s="372"/>
      <c r="AB670" s="372"/>
      <c r="AC670" s="372"/>
      <c r="AD670" s="377"/>
      <c r="AE670" s="377"/>
      <c r="AF670" s="377"/>
      <c r="AG670" s="377"/>
      <c r="AH670" s="377"/>
      <c r="AI670" s="377"/>
      <c r="AJ670" s="377"/>
      <c r="AK670" s="375"/>
      <c r="AL670" s="375"/>
    </row>
    <row r="671" spans="1:38" ht="33.75" customHeight="1" x14ac:dyDescent="0.25">
      <c r="A671" s="133"/>
      <c r="B671" s="133"/>
      <c r="C671" s="133"/>
      <c r="D671" s="133"/>
      <c r="E671" s="133">
        <v>3291</v>
      </c>
      <c r="F671" s="134" t="s">
        <v>532</v>
      </c>
      <c r="G671" s="82" t="e">
        <f>SUMIF(#REF!,funkcijska!$E671,#REF!)</f>
        <v>#REF!</v>
      </c>
      <c r="H671" s="82" t="e">
        <f>SUMIF(#REF!,funkcijska!$E671,#REF!)</f>
        <v>#REF!</v>
      </c>
      <c r="I671" s="82" t="e">
        <f>SUMIF(#REF!,funkcijska!$E671,#REF!)</f>
        <v>#REF!</v>
      </c>
      <c r="J671" s="82" t="e">
        <f>SUMIF(#REF!,funkcijska!$E671,#REF!)</f>
        <v>#REF!</v>
      </c>
      <c r="K671" s="82" t="e">
        <f>SUMIF(#REF!,funkcijska!$E671,#REF!)</f>
        <v>#REF!</v>
      </c>
      <c r="L671" s="82" t="e">
        <f t="shared" ref="L671:L679" si="332">ROUND(K671/J671*100,2)</f>
        <v>#REF!</v>
      </c>
      <c r="M671" s="82" t="e">
        <f t="shared" ref="M671:M679" si="333">N671-J671</f>
        <v>#REF!</v>
      </c>
      <c r="N671" s="82" t="e">
        <f>SUMIF(#REF!,funkcijska!$E671,#REF!)</f>
        <v>#REF!</v>
      </c>
      <c r="O671" s="82" t="e">
        <f>SUMIF(#REF!,funkcijska!$E671,#REF!)</f>
        <v>#REF!</v>
      </c>
      <c r="P671" s="82" t="e">
        <f>SUMIF(#REF!,funkcijska!$E671,#REF!)</f>
        <v>#REF!</v>
      </c>
      <c r="Q671" s="386" t="e">
        <f>SUMIF(#REF!,funkcijska!$E671,#REF!)</f>
        <v>#REF!</v>
      </c>
      <c r="R671" s="82" t="e">
        <f>SUMIF(#REF!,funkcijska!$E671,#REF!)</f>
        <v>#REF!</v>
      </c>
      <c r="S671" s="82" t="e">
        <f>SUMIF(#REF!,funkcijska!$E671,#REF!)</f>
        <v>#REF!</v>
      </c>
      <c r="T671" s="82" t="e">
        <f>SUMIF(#REF!,funkcijska!$E$47,#REF!)</f>
        <v>#REF!</v>
      </c>
      <c r="U671" s="357" t="e">
        <f>SUMIF(#REF!,funkcijska!$E671,#REF!)</f>
        <v>#REF!</v>
      </c>
      <c r="V671" s="357" t="e">
        <f>SUMIF(#REF!,funkcijska!$E671,#REF!)</f>
        <v>#REF!</v>
      </c>
      <c r="W671" s="357" t="e">
        <f>SUMIF(#REF!,funkcijska!$E671,#REF!)</f>
        <v>#REF!</v>
      </c>
      <c r="X671" s="357" t="e">
        <f>SUMIF(#REF!,funkcijska!$E671,#REF!)</f>
        <v>#REF!</v>
      </c>
      <c r="AD671" s="300"/>
      <c r="AE671" s="300"/>
      <c r="AF671" s="300"/>
      <c r="AG671" s="300"/>
      <c r="AH671" s="300"/>
      <c r="AI671" s="300"/>
      <c r="AJ671" s="300"/>
      <c r="AK671" s="60"/>
      <c r="AL671" s="60"/>
    </row>
    <row r="672" spans="1:38" ht="18.75" customHeight="1" x14ac:dyDescent="0.25">
      <c r="A672" s="80"/>
      <c r="B672" s="80"/>
      <c r="C672" s="80"/>
      <c r="D672" s="80"/>
      <c r="E672" s="80">
        <v>3292</v>
      </c>
      <c r="F672" s="81" t="s">
        <v>399</v>
      </c>
      <c r="G672" s="82" t="e">
        <f>SUMIF(#REF!,funkcijska!$E672,#REF!)</f>
        <v>#REF!</v>
      </c>
      <c r="H672" s="82" t="e">
        <f>SUMIF(#REF!,funkcijska!$E672,#REF!)</f>
        <v>#REF!</v>
      </c>
      <c r="I672" s="82" t="e">
        <f>SUMIF(#REF!,funkcijska!$E672,#REF!)</f>
        <v>#REF!</v>
      </c>
      <c r="J672" s="82" t="e">
        <f>SUMIF(#REF!,funkcijska!$E672,#REF!)</f>
        <v>#REF!</v>
      </c>
      <c r="K672" s="82" t="e">
        <f>SUMIF(#REF!,funkcijska!$E672,#REF!)</f>
        <v>#REF!</v>
      </c>
      <c r="L672" s="82" t="e">
        <f t="shared" si="332"/>
        <v>#REF!</v>
      </c>
      <c r="M672" s="82" t="e">
        <f t="shared" si="333"/>
        <v>#REF!</v>
      </c>
      <c r="N672" s="82" t="e">
        <f>SUMIF(#REF!,funkcijska!$E672,#REF!)</f>
        <v>#REF!</v>
      </c>
      <c r="O672" s="82" t="e">
        <f>SUMIF(#REF!,funkcijska!$E672,#REF!)</f>
        <v>#REF!</v>
      </c>
      <c r="P672" s="82" t="e">
        <f>SUMIF(#REF!,funkcijska!$E672,#REF!)</f>
        <v>#REF!</v>
      </c>
      <c r="Q672" s="386" t="e">
        <f>SUMIF(#REF!,funkcijska!$E672,#REF!)</f>
        <v>#REF!</v>
      </c>
      <c r="R672" s="82" t="e">
        <f>SUMIF(#REF!,funkcijska!$E672,#REF!)</f>
        <v>#REF!</v>
      </c>
      <c r="S672" s="82" t="e">
        <f>SUMIF(#REF!,funkcijska!$E672,#REF!)</f>
        <v>#REF!</v>
      </c>
      <c r="T672" s="82" t="e">
        <f>SUMIF(#REF!,funkcijska!$E$48,#REF!)</f>
        <v>#REF!</v>
      </c>
      <c r="U672" s="357" t="e">
        <f>SUMIF(#REF!,funkcijska!$E672,#REF!)</f>
        <v>#REF!</v>
      </c>
      <c r="V672" s="357" t="e">
        <f>SUMIF(#REF!,funkcijska!$E672,#REF!)</f>
        <v>#REF!</v>
      </c>
      <c r="W672" s="357" t="e">
        <f>SUMIF(#REF!,funkcijska!$E672,#REF!)</f>
        <v>#REF!</v>
      </c>
      <c r="X672" s="357" t="e">
        <f>SUMIF(#REF!,funkcijska!$E672,#REF!)</f>
        <v>#REF!</v>
      </c>
      <c r="AD672" s="60"/>
      <c r="AE672" s="60"/>
      <c r="AF672" s="60"/>
      <c r="AG672" s="60"/>
      <c r="AH672" s="60"/>
      <c r="AI672" s="60"/>
      <c r="AJ672" s="60"/>
      <c r="AK672" s="60"/>
      <c r="AL672" s="60"/>
    </row>
    <row r="673" spans="1:38" ht="20.25" customHeight="1" x14ac:dyDescent="0.25">
      <c r="A673" s="80"/>
      <c r="B673" s="80"/>
      <c r="C673" s="80"/>
      <c r="D673" s="80"/>
      <c r="E673" s="80">
        <v>3293</v>
      </c>
      <c r="F673" s="81" t="s">
        <v>533</v>
      </c>
      <c r="G673" s="82" t="e">
        <f>SUMIF(#REF!,funkcijska!$E673,#REF!)</f>
        <v>#REF!</v>
      </c>
      <c r="H673" s="82" t="e">
        <f>SUMIF(#REF!,funkcijska!$E673,#REF!)</f>
        <v>#REF!</v>
      </c>
      <c r="I673" s="82" t="e">
        <f>SUMIF(#REF!,funkcijska!$E673,#REF!)</f>
        <v>#REF!</v>
      </c>
      <c r="J673" s="82" t="e">
        <f>SUMIF(#REF!,funkcijska!$E673,#REF!)</f>
        <v>#REF!</v>
      </c>
      <c r="K673" s="82" t="e">
        <f>SUMIF(#REF!,funkcijska!$E673,#REF!)</f>
        <v>#REF!</v>
      </c>
      <c r="L673" s="82" t="e">
        <f t="shared" si="332"/>
        <v>#REF!</v>
      </c>
      <c r="M673" s="82" t="e">
        <f t="shared" si="333"/>
        <v>#REF!</v>
      </c>
      <c r="N673" s="82" t="e">
        <f>SUMIF(#REF!,funkcijska!$E673,#REF!)</f>
        <v>#REF!</v>
      </c>
      <c r="O673" s="82" t="e">
        <f>SUMIF(#REF!,funkcijska!$E673,#REF!)</f>
        <v>#REF!</v>
      </c>
      <c r="P673" s="82" t="e">
        <f>SUMIF(#REF!,funkcijska!$E673,#REF!)</f>
        <v>#REF!</v>
      </c>
      <c r="Q673" s="386" t="e">
        <f>SUMIF(#REF!,funkcijska!$E673,#REF!)</f>
        <v>#REF!</v>
      </c>
      <c r="R673" s="82" t="e">
        <f>SUMIF(#REF!,funkcijska!$E673,#REF!)</f>
        <v>#REF!</v>
      </c>
      <c r="S673" s="82" t="e">
        <f>SUMIF(#REF!,funkcijska!$E673,#REF!)</f>
        <v>#REF!</v>
      </c>
      <c r="T673" s="82" t="e">
        <f>SUMIF(#REF!,funkcijska!$E$49,#REF!)</f>
        <v>#REF!</v>
      </c>
      <c r="U673" s="357" t="e">
        <f>SUMIF(#REF!,funkcijska!$E673,#REF!)</f>
        <v>#REF!</v>
      </c>
      <c r="V673" s="357" t="e">
        <f>SUMIF(#REF!,funkcijska!$E673,#REF!)</f>
        <v>#REF!</v>
      </c>
      <c r="W673" s="357" t="e">
        <f>SUMIF(#REF!,funkcijska!$E673,#REF!)</f>
        <v>#REF!</v>
      </c>
      <c r="X673" s="357" t="e">
        <f>SUMIF(#REF!,funkcijska!$E673,#REF!)</f>
        <v>#REF!</v>
      </c>
      <c r="AD673" s="60"/>
      <c r="AE673" s="60"/>
      <c r="AF673" s="60"/>
      <c r="AG673" s="60"/>
      <c r="AH673" s="60"/>
      <c r="AI673" s="60"/>
      <c r="AJ673" s="60"/>
      <c r="AK673" s="60"/>
      <c r="AL673" s="60"/>
    </row>
    <row r="674" spans="1:38" ht="17.25" customHeight="1" x14ac:dyDescent="0.25">
      <c r="A674" s="80"/>
      <c r="B674" s="80"/>
      <c r="C674" s="80"/>
      <c r="D674" s="80"/>
      <c r="E674" s="80">
        <v>3294</v>
      </c>
      <c r="F674" s="81" t="s">
        <v>567</v>
      </c>
      <c r="G674" s="82" t="e">
        <f>SUMIF(#REF!,funkcijska!$E674,#REF!)</f>
        <v>#REF!</v>
      </c>
      <c r="H674" s="82" t="e">
        <f>SUMIF(#REF!,funkcijska!$E674,#REF!)</f>
        <v>#REF!</v>
      </c>
      <c r="I674" s="82" t="e">
        <f>SUMIF(#REF!,funkcijska!$E674,#REF!)</f>
        <v>#REF!</v>
      </c>
      <c r="J674" s="82" t="e">
        <f>SUMIF(#REF!,funkcijska!$E674,#REF!)</f>
        <v>#REF!</v>
      </c>
      <c r="K674" s="82" t="e">
        <f>SUMIF(#REF!,funkcijska!$E674,#REF!)</f>
        <v>#REF!</v>
      </c>
      <c r="L674" s="82" t="e">
        <f t="shared" si="332"/>
        <v>#REF!</v>
      </c>
      <c r="M674" s="82" t="e">
        <f t="shared" si="333"/>
        <v>#REF!</v>
      </c>
      <c r="N674" s="82" t="e">
        <f>SUMIF(#REF!,funkcijska!$E674,#REF!)</f>
        <v>#REF!</v>
      </c>
      <c r="O674" s="82" t="e">
        <f>SUMIF(#REF!,funkcijska!$E674,#REF!)</f>
        <v>#REF!</v>
      </c>
      <c r="P674" s="82" t="e">
        <f>SUMIF(#REF!,funkcijska!$E674,#REF!)</f>
        <v>#REF!</v>
      </c>
      <c r="Q674" s="386" t="e">
        <f>SUMIF(#REF!,funkcijska!$E674,#REF!)</f>
        <v>#REF!</v>
      </c>
      <c r="R674" s="82" t="e">
        <f>SUMIF(#REF!,funkcijska!$E674,#REF!)</f>
        <v>#REF!</v>
      </c>
      <c r="S674" s="82" t="e">
        <f>SUMIF(#REF!,funkcijska!$E674,#REF!)</f>
        <v>#REF!</v>
      </c>
      <c r="T674" s="82" t="e">
        <f>SUMIF(#REF!,funkcijska!$E$50,#REF!)</f>
        <v>#REF!</v>
      </c>
      <c r="U674" s="357" t="e">
        <f>SUMIF(#REF!,funkcijska!$E674,#REF!)</f>
        <v>#REF!</v>
      </c>
      <c r="V674" s="357" t="e">
        <f>SUMIF(#REF!,funkcijska!$E674,#REF!)</f>
        <v>#REF!</v>
      </c>
      <c r="W674" s="357" t="e">
        <f>SUMIF(#REF!,funkcijska!$E674,#REF!)</f>
        <v>#REF!</v>
      </c>
      <c r="X674" s="357" t="e">
        <f>SUMIF(#REF!,funkcijska!$E674,#REF!)</f>
        <v>#REF!</v>
      </c>
      <c r="AD674" s="60"/>
      <c r="AE674" s="60"/>
      <c r="AF674" s="60"/>
      <c r="AG674" s="60"/>
      <c r="AH674" s="60"/>
      <c r="AI674" s="60"/>
      <c r="AJ674" s="60"/>
      <c r="AK674" s="60"/>
      <c r="AL674" s="60"/>
    </row>
    <row r="675" spans="1:38" ht="15.75" customHeight="1" x14ac:dyDescent="0.25">
      <c r="A675" s="80"/>
      <c r="B675" s="80"/>
      <c r="C675" s="80"/>
      <c r="D675" s="80"/>
      <c r="E675" s="80">
        <v>3295</v>
      </c>
      <c r="F675" s="81" t="s">
        <v>400</v>
      </c>
      <c r="G675" s="82" t="e">
        <f>SUMIF(#REF!,funkcijska!$E675,#REF!)</f>
        <v>#REF!</v>
      </c>
      <c r="H675" s="82" t="e">
        <f>SUMIF(#REF!,funkcijska!$E675,#REF!)</f>
        <v>#REF!</v>
      </c>
      <c r="I675" s="82" t="e">
        <f>SUMIF(#REF!,funkcijska!$E675,#REF!)</f>
        <v>#REF!</v>
      </c>
      <c r="J675" s="82" t="e">
        <f>SUMIF(#REF!,funkcijska!$E675,#REF!)</f>
        <v>#REF!</v>
      </c>
      <c r="K675" s="82" t="e">
        <f>SUMIF(#REF!,funkcijska!$E675,#REF!)</f>
        <v>#REF!</v>
      </c>
      <c r="L675" s="82" t="e">
        <f t="shared" si="332"/>
        <v>#REF!</v>
      </c>
      <c r="M675" s="82" t="e">
        <f t="shared" si="333"/>
        <v>#REF!</v>
      </c>
      <c r="N675" s="82" t="e">
        <f>SUMIF(#REF!,funkcijska!$E675,#REF!)</f>
        <v>#REF!</v>
      </c>
      <c r="O675" s="82" t="e">
        <f>SUMIF(#REF!,funkcijska!$E675,#REF!)</f>
        <v>#REF!</v>
      </c>
      <c r="P675" s="82" t="e">
        <f>SUMIF(#REF!,funkcijska!$E675,#REF!)</f>
        <v>#REF!</v>
      </c>
      <c r="Q675" s="386" t="e">
        <f>SUMIF(#REF!,funkcijska!$E675,#REF!)</f>
        <v>#REF!</v>
      </c>
      <c r="R675" s="82" t="e">
        <f>SUMIF(#REF!,funkcijska!$E675,#REF!)</f>
        <v>#REF!</v>
      </c>
      <c r="S675" s="82" t="e">
        <f>SUMIF(#REF!,funkcijska!$E675,#REF!)</f>
        <v>#REF!</v>
      </c>
      <c r="T675" s="82" t="e">
        <f>SUMIF(#REF!,funkcijska!$E$51,#REF!)</f>
        <v>#REF!</v>
      </c>
      <c r="U675" s="357" t="e">
        <f>SUMIF(#REF!,funkcijska!$E675,#REF!)</f>
        <v>#REF!</v>
      </c>
      <c r="V675" s="357" t="e">
        <f>SUMIF(#REF!,funkcijska!$E675,#REF!)</f>
        <v>#REF!</v>
      </c>
      <c r="W675" s="357" t="e">
        <f>SUMIF(#REF!,funkcijska!$E675,#REF!)</f>
        <v>#REF!</v>
      </c>
      <c r="X675" s="357" t="e">
        <f>SUMIF(#REF!,funkcijska!$E675,#REF!)</f>
        <v>#REF!</v>
      </c>
      <c r="AD675" s="60"/>
      <c r="AE675" s="60"/>
      <c r="AF675" s="60"/>
      <c r="AG675" s="60"/>
      <c r="AH675" s="60"/>
      <c r="AI675" s="60"/>
      <c r="AJ675" s="60"/>
      <c r="AK675" s="60"/>
      <c r="AL675" s="60"/>
    </row>
    <row r="676" spans="1:38" ht="15.75" customHeight="1" x14ac:dyDescent="0.25">
      <c r="A676" s="80"/>
      <c r="B676" s="80"/>
      <c r="C676" s="80"/>
      <c r="D676" s="80"/>
      <c r="E676" s="80">
        <v>3299</v>
      </c>
      <c r="F676" s="81" t="s">
        <v>531</v>
      </c>
      <c r="G676" s="82" t="e">
        <f>SUMIF(#REF!,funkcijska!$E676,#REF!)</f>
        <v>#REF!</v>
      </c>
      <c r="H676" s="82" t="e">
        <f>SUMIF(#REF!,funkcijska!$E676,#REF!)</f>
        <v>#REF!</v>
      </c>
      <c r="I676" s="82" t="e">
        <f>SUMIF(#REF!,funkcijska!$E676,#REF!)</f>
        <v>#REF!</v>
      </c>
      <c r="J676" s="82" t="e">
        <f>SUMIF(#REF!,funkcijska!$E676,#REF!)</f>
        <v>#REF!</v>
      </c>
      <c r="K676" s="82" t="e">
        <f>SUMIF(#REF!,funkcijska!$E676,#REF!)</f>
        <v>#REF!</v>
      </c>
      <c r="L676" s="82" t="e">
        <f t="shared" si="332"/>
        <v>#REF!</v>
      </c>
      <c r="M676" s="82" t="e">
        <f t="shared" si="333"/>
        <v>#REF!</v>
      </c>
      <c r="N676" s="82" t="e">
        <f>SUMIF(#REF!,funkcijska!$E676,#REF!)</f>
        <v>#REF!</v>
      </c>
      <c r="O676" s="82" t="e">
        <f>SUMIF(#REF!,funkcijska!$E676,#REF!)</f>
        <v>#REF!</v>
      </c>
      <c r="P676" s="82" t="e">
        <f>SUMIF(#REF!,funkcijska!$E676,#REF!)</f>
        <v>#REF!</v>
      </c>
      <c r="Q676" s="386" t="e">
        <f>SUMIF(#REF!,funkcijska!$E676,#REF!)</f>
        <v>#REF!</v>
      </c>
      <c r="R676" s="82" t="e">
        <f>SUMIF(#REF!,funkcijska!$E676,#REF!)</f>
        <v>#REF!</v>
      </c>
      <c r="S676" s="82" t="e">
        <f>SUMIF(#REF!,funkcijska!$E676,#REF!)</f>
        <v>#REF!</v>
      </c>
      <c r="T676" s="82" t="e">
        <f>SUMIF(#REF!,funkcijska!$E$52,#REF!)</f>
        <v>#REF!</v>
      </c>
      <c r="U676" s="357" t="e">
        <f>SUMIF(#REF!,funkcijska!$E676,#REF!)</f>
        <v>#REF!</v>
      </c>
      <c r="V676" s="357" t="e">
        <f>SUMIF(#REF!,funkcijska!$E676,#REF!)</f>
        <v>#REF!</v>
      </c>
      <c r="W676" s="357" t="e">
        <f>SUMIF(#REF!,funkcijska!$E676,#REF!)</f>
        <v>#REF!</v>
      </c>
      <c r="X676" s="357" t="e">
        <f>SUMIF(#REF!,funkcijska!$E676,#REF!)</f>
        <v>#REF!</v>
      </c>
      <c r="AD676" s="60"/>
      <c r="AE676" s="60"/>
      <c r="AF676" s="60"/>
      <c r="AG676" s="60"/>
      <c r="AH676" s="60"/>
      <c r="AI676" s="60"/>
      <c r="AJ676" s="60"/>
      <c r="AK676" s="60"/>
      <c r="AL676" s="60"/>
    </row>
    <row r="677" spans="1:38" ht="19.5" customHeight="1" x14ac:dyDescent="0.25">
      <c r="A677" s="125"/>
      <c r="B677" s="74"/>
      <c r="C677" s="74" t="str">
        <f>LEFT(E679,2)</f>
        <v>34</v>
      </c>
      <c r="D677" s="74"/>
      <c r="E677" s="74"/>
      <c r="F677" s="75" t="s">
        <v>208</v>
      </c>
      <c r="G677" s="77" t="e">
        <f>G678+G680</f>
        <v>#REF!</v>
      </c>
      <c r="H677" s="118" t="e">
        <f>H678+H680</f>
        <v>#REF!</v>
      </c>
      <c r="I677" s="77" t="e">
        <f>I678+I680</f>
        <v>#REF!</v>
      </c>
      <c r="J677" s="77" t="e">
        <f>J678+J680</f>
        <v>#REF!</v>
      </c>
      <c r="K677" s="77" t="e">
        <f>K678+K680</f>
        <v>#REF!</v>
      </c>
      <c r="L677" s="77" t="e">
        <f t="shared" si="332"/>
        <v>#REF!</v>
      </c>
      <c r="M677" s="77" t="e">
        <f t="shared" si="333"/>
        <v>#REF!</v>
      </c>
      <c r="N677" s="77" t="e">
        <f t="shared" ref="N677:X677" si="334">N678+N680</f>
        <v>#REF!</v>
      </c>
      <c r="O677" s="76" t="e">
        <f t="shared" si="334"/>
        <v>#REF!</v>
      </c>
      <c r="P677" s="76" t="e">
        <f t="shared" si="334"/>
        <v>#REF!</v>
      </c>
      <c r="Q677" s="385" t="e">
        <f t="shared" si="334"/>
        <v>#REF!</v>
      </c>
      <c r="R677" s="135" t="e">
        <f t="shared" si="334"/>
        <v>#REF!</v>
      </c>
      <c r="S677" s="135" t="e">
        <f t="shared" si="334"/>
        <v>#REF!</v>
      </c>
      <c r="T677" s="135" t="e">
        <f t="shared" si="334"/>
        <v>#REF!</v>
      </c>
      <c r="U677" s="356" t="e">
        <f t="shared" si="334"/>
        <v>#REF!</v>
      </c>
      <c r="V677" s="356" t="e">
        <f t="shared" si="334"/>
        <v>#REF!</v>
      </c>
      <c r="W677" s="356" t="e">
        <f t="shared" si="334"/>
        <v>#REF!</v>
      </c>
      <c r="X677" s="356" t="e">
        <f t="shared" si="334"/>
        <v>#REF!</v>
      </c>
      <c r="AD677" s="60"/>
      <c r="AE677" s="60"/>
      <c r="AF677" s="60"/>
      <c r="AG677" s="60"/>
      <c r="AH677" s="60"/>
      <c r="AI677" s="60"/>
      <c r="AJ677" s="60"/>
      <c r="AK677" s="60"/>
      <c r="AL677" s="60"/>
    </row>
    <row r="678" spans="1:38" s="373" customFormat="1" ht="22.5" customHeight="1" x14ac:dyDescent="0.25">
      <c r="A678" s="119"/>
      <c r="B678" s="119"/>
      <c r="C678" s="119"/>
      <c r="D678" s="119" t="str">
        <f>LEFT(E679,3)</f>
        <v>342</v>
      </c>
      <c r="E678" s="119"/>
      <c r="F678" s="368" t="s">
        <v>631</v>
      </c>
      <c r="G678" s="369" t="e">
        <f>G679</f>
        <v>#REF!</v>
      </c>
      <c r="H678" s="370" t="e">
        <f>H679</f>
        <v>#REF!</v>
      </c>
      <c r="I678" s="369" t="e">
        <f>I679</f>
        <v>#REF!</v>
      </c>
      <c r="J678" s="369" t="e">
        <f>J679</f>
        <v>#REF!</v>
      </c>
      <c r="K678" s="369" t="e">
        <f>K679</f>
        <v>#REF!</v>
      </c>
      <c r="L678" s="369" t="e">
        <f t="shared" si="332"/>
        <v>#REF!</v>
      </c>
      <c r="M678" s="369" t="e">
        <f t="shared" si="333"/>
        <v>#REF!</v>
      </c>
      <c r="N678" s="369" t="e">
        <f t="shared" ref="N678:X678" si="335">N679</f>
        <v>#REF!</v>
      </c>
      <c r="O678" s="137" t="e">
        <f t="shared" si="335"/>
        <v>#REF!</v>
      </c>
      <c r="P678" s="137" t="e">
        <f t="shared" si="335"/>
        <v>#REF!</v>
      </c>
      <c r="Q678" s="393" t="e">
        <f t="shared" si="335"/>
        <v>#REF!</v>
      </c>
      <c r="R678" s="137" t="e">
        <f t="shared" si="335"/>
        <v>#REF!</v>
      </c>
      <c r="S678" s="137" t="e">
        <f t="shared" si="335"/>
        <v>#REF!</v>
      </c>
      <c r="T678" s="137" t="e">
        <f t="shared" si="335"/>
        <v>#REF!</v>
      </c>
      <c r="U678" s="371" t="e">
        <f t="shared" si="335"/>
        <v>#REF!</v>
      </c>
      <c r="V678" s="371" t="e">
        <f t="shared" si="335"/>
        <v>#REF!</v>
      </c>
      <c r="W678" s="371" t="e">
        <f t="shared" si="335"/>
        <v>#REF!</v>
      </c>
      <c r="X678" s="371" t="e">
        <f t="shared" si="335"/>
        <v>#REF!</v>
      </c>
      <c r="Y678" s="372"/>
      <c r="Z678" s="372"/>
      <c r="AA678" s="372"/>
      <c r="AB678" s="372"/>
      <c r="AC678" s="372"/>
      <c r="AD678" s="372"/>
      <c r="AE678" s="372"/>
      <c r="AF678" s="372"/>
      <c r="AG678" s="372"/>
      <c r="AH678" s="372"/>
      <c r="AI678" s="372"/>
      <c r="AJ678" s="372"/>
      <c r="AK678" s="372"/>
      <c r="AL678" s="372"/>
    </row>
    <row r="679" spans="1:38" ht="38.25" customHeight="1" x14ac:dyDescent="0.25">
      <c r="A679" s="80"/>
      <c r="B679" s="80"/>
      <c r="C679" s="80"/>
      <c r="D679" s="80"/>
      <c r="E679" s="80">
        <v>3422</v>
      </c>
      <c r="F679" s="81" t="s">
        <v>358</v>
      </c>
      <c r="G679" s="82" t="e">
        <f>SUMIF(#REF!,funkcijska!$E679,#REF!)</f>
        <v>#REF!</v>
      </c>
      <c r="H679" s="82" t="e">
        <f>SUMIF(#REF!,funkcijska!$E679,#REF!)</f>
        <v>#REF!</v>
      </c>
      <c r="I679" s="82" t="e">
        <f>SUMIF(#REF!,funkcijska!$E679,#REF!)</f>
        <v>#REF!</v>
      </c>
      <c r="J679" s="82" t="e">
        <f>SUMIF(#REF!,funkcijska!$E679,#REF!)</f>
        <v>#REF!</v>
      </c>
      <c r="K679" s="82" t="e">
        <f>SUMIF(#REF!,funkcijska!$E679,#REF!)</f>
        <v>#REF!</v>
      </c>
      <c r="L679" s="82" t="e">
        <f t="shared" si="332"/>
        <v>#REF!</v>
      </c>
      <c r="M679" s="82" t="e">
        <f t="shared" si="333"/>
        <v>#REF!</v>
      </c>
      <c r="N679" s="82" t="e">
        <f>SUMIF(#REF!,funkcijska!$E679,#REF!)</f>
        <v>#REF!</v>
      </c>
      <c r="O679" s="82" t="e">
        <f>SUMIF(#REF!,funkcijska!$E679,#REF!)</f>
        <v>#REF!</v>
      </c>
      <c r="P679" s="82" t="e">
        <f>SUMIF(#REF!,funkcijska!$E679,#REF!)</f>
        <v>#REF!</v>
      </c>
      <c r="Q679" s="386" t="e">
        <f>SUMIF(#REF!,funkcijska!$E679,#REF!)</f>
        <v>#REF!</v>
      </c>
      <c r="R679" s="82" t="e">
        <f>SUMIF(#REF!,funkcijska!$E679,#REF!)</f>
        <v>#REF!</v>
      </c>
      <c r="S679" s="82" t="e">
        <f>SUMIF(#REF!,funkcijska!$E679,#REF!)</f>
        <v>#REF!</v>
      </c>
      <c r="T679" s="82" t="e">
        <f>SUMIF(#REF!,funkcijska!$E$55,#REF!)</f>
        <v>#REF!</v>
      </c>
      <c r="U679" s="357" t="e">
        <f>SUMIF(#REF!,funkcijska!$E679,#REF!)</f>
        <v>#REF!</v>
      </c>
      <c r="V679" s="357" t="e">
        <f>SUMIF(#REF!,funkcijska!$E679,#REF!)</f>
        <v>#REF!</v>
      </c>
      <c r="W679" s="357" t="e">
        <f>SUMIF(#REF!,funkcijska!$E679,#REF!)</f>
        <v>#REF!</v>
      </c>
      <c r="X679" s="357" t="e">
        <f>SUMIF(#REF!,funkcijska!$E679,#REF!)</f>
        <v>#REF!</v>
      </c>
      <c r="AD679" s="60"/>
      <c r="AE679" s="60"/>
      <c r="AF679" s="60"/>
      <c r="AG679" s="60"/>
      <c r="AH679" s="60"/>
      <c r="AI679" s="60"/>
      <c r="AJ679" s="60"/>
      <c r="AK679" s="60"/>
      <c r="AL679" s="60"/>
    </row>
    <row r="680" spans="1:38" s="373" customFormat="1" ht="17.25" customHeight="1" x14ac:dyDescent="0.25">
      <c r="A680" s="119"/>
      <c r="B680" s="119"/>
      <c r="C680" s="119"/>
      <c r="D680" s="119" t="str">
        <f>LEFT(E681,3)</f>
        <v>343</v>
      </c>
      <c r="E680" s="119"/>
      <c r="F680" s="368" t="s">
        <v>209</v>
      </c>
      <c r="G680" s="369" t="e">
        <f t="shared" ref="G680:X680" si="336">SUM(G681:G683)</f>
        <v>#REF!</v>
      </c>
      <c r="H680" s="370" t="e">
        <f t="shared" si="336"/>
        <v>#REF!</v>
      </c>
      <c r="I680" s="369" t="e">
        <f t="shared" si="336"/>
        <v>#REF!</v>
      </c>
      <c r="J680" s="369" t="e">
        <f t="shared" si="336"/>
        <v>#REF!</v>
      </c>
      <c r="K680" s="369" t="e">
        <f t="shared" si="336"/>
        <v>#REF!</v>
      </c>
      <c r="L680" s="369" t="e">
        <f t="shared" si="336"/>
        <v>#REF!</v>
      </c>
      <c r="M680" s="369" t="e">
        <f t="shared" si="336"/>
        <v>#REF!</v>
      </c>
      <c r="N680" s="369" t="e">
        <f t="shared" si="336"/>
        <v>#REF!</v>
      </c>
      <c r="O680" s="369" t="e">
        <f t="shared" si="336"/>
        <v>#REF!</v>
      </c>
      <c r="P680" s="369" t="e">
        <f t="shared" si="336"/>
        <v>#REF!</v>
      </c>
      <c r="Q680" s="392" t="e">
        <f t="shared" si="336"/>
        <v>#REF!</v>
      </c>
      <c r="R680" s="369" t="e">
        <f t="shared" si="336"/>
        <v>#REF!</v>
      </c>
      <c r="S680" s="369" t="e">
        <f t="shared" si="336"/>
        <v>#REF!</v>
      </c>
      <c r="T680" s="369" t="e">
        <f t="shared" si="336"/>
        <v>#REF!</v>
      </c>
      <c r="U680" s="371" t="e">
        <f t="shared" si="336"/>
        <v>#REF!</v>
      </c>
      <c r="V680" s="371" t="e">
        <f t="shared" si="336"/>
        <v>#REF!</v>
      </c>
      <c r="W680" s="371" t="e">
        <f t="shared" si="336"/>
        <v>#REF!</v>
      </c>
      <c r="X680" s="371" t="e">
        <f t="shared" si="336"/>
        <v>#REF!</v>
      </c>
      <c r="Y680" s="372"/>
      <c r="Z680" s="372"/>
      <c r="AA680" s="372"/>
      <c r="AB680" s="372"/>
      <c r="AC680" s="372"/>
      <c r="AD680" s="372"/>
      <c r="AE680" s="372"/>
      <c r="AF680" s="372"/>
      <c r="AG680" s="372"/>
      <c r="AH680" s="372"/>
      <c r="AI680" s="372"/>
      <c r="AJ680" s="372"/>
      <c r="AK680" s="372"/>
      <c r="AL680" s="372"/>
    </row>
    <row r="681" spans="1:38" ht="18.75" customHeight="1" x14ac:dyDescent="0.25">
      <c r="A681" s="80"/>
      <c r="B681" s="80"/>
      <c r="C681" s="80"/>
      <c r="D681" s="80"/>
      <c r="E681" s="80">
        <v>3431</v>
      </c>
      <c r="F681" s="81" t="s">
        <v>211</v>
      </c>
      <c r="G681" s="82" t="e">
        <f>SUMIF(#REF!,funkcijska!$E681,#REF!)</f>
        <v>#REF!</v>
      </c>
      <c r="H681" s="82" t="e">
        <f>SUMIF(#REF!,funkcijska!$E681,#REF!)</f>
        <v>#REF!</v>
      </c>
      <c r="I681" s="82" t="e">
        <f>SUMIF(#REF!,funkcijska!$E681,#REF!)</f>
        <v>#REF!</v>
      </c>
      <c r="J681" s="82" t="e">
        <f>SUMIF(#REF!,funkcijska!$E681,#REF!)</f>
        <v>#REF!</v>
      </c>
      <c r="K681" s="82" t="e">
        <f>SUMIF(#REF!,funkcijska!$E681,#REF!)</f>
        <v>#REF!</v>
      </c>
      <c r="L681" s="82" t="e">
        <f>ROUND(K681/J681*100,2)</f>
        <v>#REF!</v>
      </c>
      <c r="M681" s="82" t="e">
        <f>N681-J681</f>
        <v>#REF!</v>
      </c>
      <c r="N681" s="82" t="e">
        <f>SUMIF(#REF!,funkcijska!$E681,#REF!)</f>
        <v>#REF!</v>
      </c>
      <c r="O681" s="82" t="e">
        <f>SUMIF(#REF!,funkcijska!$E681,#REF!)</f>
        <v>#REF!</v>
      </c>
      <c r="P681" s="82" t="e">
        <f>SUMIF(#REF!,funkcijska!$E681,#REF!)</f>
        <v>#REF!</v>
      </c>
      <c r="Q681" s="386" t="e">
        <f>SUMIF(#REF!,funkcijska!$E681,#REF!)</f>
        <v>#REF!</v>
      </c>
      <c r="R681" s="82" t="e">
        <f>SUMIF(#REF!,funkcijska!$E681,#REF!)</f>
        <v>#REF!</v>
      </c>
      <c r="S681" s="82" t="e">
        <f>SUMIF(#REF!,funkcijska!$E681,#REF!)</f>
        <v>#REF!</v>
      </c>
      <c r="T681" s="82" t="e">
        <f>SUMIF(#REF!,funkcijska!$E$57,#REF!)</f>
        <v>#REF!</v>
      </c>
      <c r="U681" s="357" t="e">
        <f>SUMIF(#REF!,funkcijska!$E681,#REF!)</f>
        <v>#REF!</v>
      </c>
      <c r="V681" s="357" t="e">
        <f>SUMIF(#REF!,funkcijska!$E681,#REF!)</f>
        <v>#REF!</v>
      </c>
      <c r="W681" s="357" t="e">
        <f>SUMIF(#REF!,funkcijska!$E681,#REF!)</f>
        <v>#REF!</v>
      </c>
      <c r="X681" s="357" t="e">
        <f>SUMIF(#REF!,funkcijska!$E681,#REF!)</f>
        <v>#REF!</v>
      </c>
      <c r="AD681" s="60"/>
      <c r="AE681" s="60"/>
      <c r="AF681" s="60"/>
      <c r="AG681" s="60"/>
      <c r="AH681" s="60"/>
      <c r="AI681" s="60"/>
      <c r="AJ681" s="60"/>
      <c r="AK681" s="60"/>
      <c r="AL681" s="60"/>
    </row>
    <row r="682" spans="1:38" ht="18.75" customHeight="1" x14ac:dyDescent="0.25">
      <c r="A682" s="80"/>
      <c r="B682" s="80"/>
      <c r="C682" s="80"/>
      <c r="D682" s="80"/>
      <c r="E682" s="80">
        <v>3433</v>
      </c>
      <c r="F682" s="81" t="s">
        <v>402</v>
      </c>
      <c r="G682" s="82" t="e">
        <f>SUMIF(#REF!,funkcijska!$E682,#REF!)</f>
        <v>#REF!</v>
      </c>
      <c r="H682" s="82" t="e">
        <f>SUMIF(#REF!,funkcijska!$E682,#REF!)</f>
        <v>#REF!</v>
      </c>
      <c r="I682" s="82" t="e">
        <f>SUMIF(#REF!,funkcijska!$E682,#REF!)</f>
        <v>#REF!</v>
      </c>
      <c r="J682" s="82" t="e">
        <f>SUMIF(#REF!,funkcijska!$E682,#REF!)</f>
        <v>#REF!</v>
      </c>
      <c r="K682" s="82" t="e">
        <f>SUMIF(#REF!,funkcijska!$E682,#REF!)</f>
        <v>#REF!</v>
      </c>
      <c r="L682" s="82" t="e">
        <f>ROUND(K682/J682*100,2)</f>
        <v>#REF!</v>
      </c>
      <c r="M682" s="82" t="e">
        <f>N682-J682</f>
        <v>#REF!</v>
      </c>
      <c r="N682" s="82" t="e">
        <f>SUMIF(#REF!,funkcijska!$E682,#REF!)</f>
        <v>#REF!</v>
      </c>
      <c r="O682" s="82" t="e">
        <f>SUMIF(#REF!,funkcijska!$E682,#REF!)</f>
        <v>#REF!</v>
      </c>
      <c r="P682" s="82" t="e">
        <f>SUMIF(#REF!,funkcijska!$E682,#REF!)</f>
        <v>#REF!</v>
      </c>
      <c r="Q682" s="386" t="e">
        <f>SUMIF(#REF!,funkcijska!$E682,#REF!)</f>
        <v>#REF!</v>
      </c>
      <c r="R682" s="82" t="e">
        <f>SUMIF(#REF!,funkcijska!$E682,#REF!)</f>
        <v>#REF!</v>
      </c>
      <c r="S682" s="82" t="e">
        <f>SUMIF(#REF!,funkcijska!$E682,#REF!)</f>
        <v>#REF!</v>
      </c>
      <c r="T682" s="82" t="e">
        <f>SUMIF(#REF!,funkcijska!$E$58,#REF!)</f>
        <v>#REF!</v>
      </c>
      <c r="U682" s="357" t="e">
        <f>SUMIF(#REF!,funkcijska!$E682,#REF!)</f>
        <v>#REF!</v>
      </c>
      <c r="V682" s="357" t="e">
        <f>SUMIF(#REF!,funkcijska!$E682,#REF!)</f>
        <v>#REF!</v>
      </c>
      <c r="W682" s="357" t="e">
        <f>SUMIF(#REF!,funkcijska!$E682,#REF!)</f>
        <v>#REF!</v>
      </c>
      <c r="X682" s="357" t="e">
        <f>SUMIF(#REF!,funkcijska!$E682,#REF!)</f>
        <v>#REF!</v>
      </c>
      <c r="AD682" s="60"/>
      <c r="AE682" s="60"/>
      <c r="AF682" s="60"/>
      <c r="AG682" s="60"/>
      <c r="AH682" s="60"/>
      <c r="AI682" s="60"/>
      <c r="AJ682" s="60"/>
      <c r="AK682" s="60"/>
      <c r="AL682" s="60"/>
    </row>
    <row r="683" spans="1:38" ht="24" customHeight="1" x14ac:dyDescent="0.25">
      <c r="A683" s="80"/>
      <c r="B683" s="80"/>
      <c r="C683" s="80"/>
      <c r="D683" s="80"/>
      <c r="E683" s="80">
        <v>3434</v>
      </c>
      <c r="F683" s="81" t="s">
        <v>403</v>
      </c>
      <c r="G683" s="82" t="e">
        <f>SUMIF(#REF!,funkcijska!$E683,#REF!)</f>
        <v>#REF!</v>
      </c>
      <c r="H683" s="82" t="e">
        <f>SUMIF(#REF!,funkcijska!$E683,#REF!)</f>
        <v>#REF!</v>
      </c>
      <c r="I683" s="82" t="e">
        <f>SUMIF(#REF!,funkcijska!$E683,#REF!)</f>
        <v>#REF!</v>
      </c>
      <c r="J683" s="82" t="e">
        <f>SUMIF(#REF!,funkcijska!$E683,#REF!)</f>
        <v>#REF!</v>
      </c>
      <c r="K683" s="82" t="e">
        <f>SUMIF(#REF!,funkcijska!$E683,#REF!)</f>
        <v>#REF!</v>
      </c>
      <c r="L683" s="82" t="e">
        <f>ROUND(K683/J683*100,2)</f>
        <v>#REF!</v>
      </c>
      <c r="M683" s="82" t="e">
        <f>N683-J683</f>
        <v>#REF!</v>
      </c>
      <c r="N683" s="82" t="e">
        <f>SUMIF(#REF!,funkcijska!$E683,#REF!)</f>
        <v>#REF!</v>
      </c>
      <c r="O683" s="82" t="e">
        <f>SUMIF(#REF!,funkcijska!$E683,#REF!)</f>
        <v>#REF!</v>
      </c>
      <c r="P683" s="82" t="e">
        <f>SUMIF(#REF!,funkcijska!$E683,#REF!)</f>
        <v>#REF!</v>
      </c>
      <c r="Q683" s="386" t="e">
        <f>SUMIF(#REF!,funkcijska!$E683,#REF!)</f>
        <v>#REF!</v>
      </c>
      <c r="R683" s="82" t="e">
        <f>SUMIF(#REF!,funkcijska!$E683,#REF!)</f>
        <v>#REF!</v>
      </c>
      <c r="S683" s="82" t="e">
        <f>SUMIF(#REF!,funkcijska!$E683,#REF!)</f>
        <v>#REF!</v>
      </c>
      <c r="T683" s="82" t="e">
        <f>SUMIF(#REF!,funkcijska!$E$59,#REF!)</f>
        <v>#REF!</v>
      </c>
      <c r="U683" s="357" t="e">
        <f>SUMIF(#REF!,funkcijska!$E683,#REF!)</f>
        <v>#REF!</v>
      </c>
      <c r="V683" s="357" t="e">
        <f>SUMIF(#REF!,funkcijska!$E683,#REF!)</f>
        <v>#REF!</v>
      </c>
      <c r="W683" s="357" t="e">
        <f>SUMIF(#REF!,funkcijska!$E683,#REF!)</f>
        <v>#REF!</v>
      </c>
      <c r="X683" s="357" t="e">
        <f>SUMIF(#REF!,funkcijska!$E683,#REF!)</f>
        <v>#REF!</v>
      </c>
      <c r="AD683" s="60"/>
      <c r="AE683" s="60"/>
      <c r="AF683" s="60"/>
      <c r="AG683" s="60"/>
      <c r="AH683" s="60"/>
      <c r="AI683" s="60"/>
      <c r="AJ683" s="60"/>
      <c r="AK683" s="60"/>
      <c r="AL683" s="60"/>
    </row>
    <row r="684" spans="1:38" ht="18" customHeight="1" x14ac:dyDescent="0.25">
      <c r="A684" s="125"/>
      <c r="B684" s="74"/>
      <c r="C684" s="74" t="str">
        <f>LEFT(E690,2)</f>
        <v>35</v>
      </c>
      <c r="D684" s="74"/>
      <c r="E684" s="74"/>
      <c r="F684" s="75" t="s">
        <v>747</v>
      </c>
      <c r="G684" s="77" t="e">
        <f>G685+G688</f>
        <v>#REF!</v>
      </c>
      <c r="H684" s="118" t="e">
        <f>H685+H688</f>
        <v>#REF!</v>
      </c>
      <c r="I684" s="77" t="e">
        <f>I685+I688</f>
        <v>#REF!</v>
      </c>
      <c r="J684" s="77" t="e">
        <f>J685+J688</f>
        <v>#REF!</v>
      </c>
      <c r="K684" s="77" t="e">
        <f>K685+K688</f>
        <v>#REF!</v>
      </c>
      <c r="L684" s="77" t="e">
        <f>ROUND(K684/J684*100,2)</f>
        <v>#REF!</v>
      </c>
      <c r="M684" s="77" t="e">
        <f>N684-J684</f>
        <v>#REF!</v>
      </c>
      <c r="N684" s="77" t="e">
        <f t="shared" ref="N684:X684" si="337">N685+N688</f>
        <v>#REF!</v>
      </c>
      <c r="O684" s="76" t="e">
        <f t="shared" si="337"/>
        <v>#REF!</v>
      </c>
      <c r="P684" s="76" t="e">
        <f t="shared" si="337"/>
        <v>#REF!</v>
      </c>
      <c r="Q684" s="385" t="e">
        <f t="shared" si="337"/>
        <v>#REF!</v>
      </c>
      <c r="R684" s="135" t="e">
        <f t="shared" si="337"/>
        <v>#REF!</v>
      </c>
      <c r="S684" s="135" t="e">
        <f t="shared" si="337"/>
        <v>#REF!</v>
      </c>
      <c r="T684" s="135" t="e">
        <f t="shared" si="337"/>
        <v>#REF!</v>
      </c>
      <c r="U684" s="356" t="e">
        <f t="shared" si="337"/>
        <v>#REF!</v>
      </c>
      <c r="V684" s="356" t="e">
        <f t="shared" si="337"/>
        <v>#REF!</v>
      </c>
      <c r="W684" s="356" t="e">
        <f t="shared" si="337"/>
        <v>#REF!</v>
      </c>
      <c r="X684" s="356" t="e">
        <f t="shared" si="337"/>
        <v>#REF!</v>
      </c>
      <c r="AD684" s="60"/>
      <c r="AE684" s="60"/>
      <c r="AF684" s="60"/>
      <c r="AG684" s="60"/>
      <c r="AH684" s="60"/>
      <c r="AI684" s="60"/>
      <c r="AJ684" s="60"/>
      <c r="AK684" s="60"/>
      <c r="AL684" s="60"/>
    </row>
    <row r="685" spans="1:38" s="373" customFormat="1" ht="20.25" customHeight="1" x14ac:dyDescent="0.25">
      <c r="A685" s="119"/>
      <c r="B685" s="119"/>
      <c r="C685" s="119"/>
      <c r="D685" s="119" t="s">
        <v>1018</v>
      </c>
      <c r="E685" s="119"/>
      <c r="F685" s="368" t="s">
        <v>752</v>
      </c>
      <c r="G685" s="369" t="e">
        <f>G686</f>
        <v>#REF!</v>
      </c>
      <c r="H685" s="370" t="e">
        <f>H686</f>
        <v>#REF!</v>
      </c>
      <c r="I685" s="369" t="e">
        <f t="shared" ref="I685:X685" si="338">I686+I687</f>
        <v>#REF!</v>
      </c>
      <c r="J685" s="369" t="e">
        <f t="shared" si="338"/>
        <v>#REF!</v>
      </c>
      <c r="K685" s="369" t="e">
        <f t="shared" si="338"/>
        <v>#REF!</v>
      </c>
      <c r="L685" s="369" t="e">
        <f t="shared" si="338"/>
        <v>#REF!</v>
      </c>
      <c r="M685" s="369" t="e">
        <f t="shared" si="338"/>
        <v>#REF!</v>
      </c>
      <c r="N685" s="369" t="e">
        <f t="shared" si="338"/>
        <v>#REF!</v>
      </c>
      <c r="O685" s="369" t="e">
        <f t="shared" si="338"/>
        <v>#REF!</v>
      </c>
      <c r="P685" s="369" t="e">
        <f t="shared" si="338"/>
        <v>#REF!</v>
      </c>
      <c r="Q685" s="392" t="e">
        <f t="shared" si="338"/>
        <v>#REF!</v>
      </c>
      <c r="R685" s="369" t="e">
        <f t="shared" si="338"/>
        <v>#REF!</v>
      </c>
      <c r="S685" s="369" t="e">
        <f t="shared" si="338"/>
        <v>#REF!</v>
      </c>
      <c r="T685" s="369" t="e">
        <f t="shared" si="338"/>
        <v>#REF!</v>
      </c>
      <c r="U685" s="371" t="e">
        <f t="shared" si="338"/>
        <v>#REF!</v>
      </c>
      <c r="V685" s="371" t="e">
        <f t="shared" si="338"/>
        <v>#REF!</v>
      </c>
      <c r="W685" s="371" t="e">
        <f t="shared" si="338"/>
        <v>#REF!</v>
      </c>
      <c r="X685" s="371" t="e">
        <f t="shared" si="338"/>
        <v>#REF!</v>
      </c>
      <c r="Y685" s="372"/>
      <c r="Z685" s="372"/>
      <c r="AA685" s="372"/>
      <c r="AB685" s="372"/>
      <c r="AC685" s="372"/>
      <c r="AD685" s="372"/>
      <c r="AE685" s="372"/>
      <c r="AF685" s="372"/>
      <c r="AG685" s="372"/>
      <c r="AH685" s="372"/>
      <c r="AI685" s="372"/>
      <c r="AJ685" s="372"/>
      <c r="AK685" s="372"/>
      <c r="AL685" s="372"/>
    </row>
    <row r="686" spans="1:38" ht="54.75" customHeight="1" x14ac:dyDescent="0.25">
      <c r="A686" s="80"/>
      <c r="B686" s="80"/>
      <c r="C686" s="80"/>
      <c r="D686" s="80"/>
      <c r="E686" s="80">
        <v>3511</v>
      </c>
      <c r="F686" s="81" t="s">
        <v>323</v>
      </c>
      <c r="G686" s="82" t="e">
        <f>SUMIF(#REF!,funkcijska!$E686,#REF!)</f>
        <v>#REF!</v>
      </c>
      <c r="H686" s="82" t="e">
        <f>SUMIF(#REF!,funkcijska!$E686,#REF!)</f>
        <v>#REF!</v>
      </c>
      <c r="I686" s="82" t="e">
        <f>SUMIF(#REF!,funkcijska!$E686,#REF!)</f>
        <v>#REF!</v>
      </c>
      <c r="J686" s="82" t="e">
        <f>SUMIF(#REF!,funkcijska!$E686,#REF!)</f>
        <v>#REF!</v>
      </c>
      <c r="K686" s="82" t="e">
        <f>SUMIF(#REF!,funkcijska!$E686,#REF!)</f>
        <v>#REF!</v>
      </c>
      <c r="L686" s="82" t="e">
        <f>ROUND(K686/J686*100,2)</f>
        <v>#REF!</v>
      </c>
      <c r="M686" s="82" t="e">
        <f>N686-J686</f>
        <v>#REF!</v>
      </c>
      <c r="N686" s="82" t="e">
        <f>SUMIF(#REF!,funkcijska!$E686,#REF!)</f>
        <v>#REF!</v>
      </c>
      <c r="O686" s="82" t="e">
        <f>SUMIF(#REF!,funkcijska!$E686,#REF!)</f>
        <v>#REF!</v>
      </c>
      <c r="P686" s="82" t="e">
        <f>SUMIF(#REF!,funkcijska!$E686,#REF!)</f>
        <v>#REF!</v>
      </c>
      <c r="Q686" s="386" t="e">
        <f>SUMIF(#REF!,funkcijska!$E686,#REF!)</f>
        <v>#REF!</v>
      </c>
      <c r="R686" s="82" t="e">
        <f>SUMIF(#REF!,funkcijska!$E686,#REF!)</f>
        <v>#REF!</v>
      </c>
      <c r="S686" s="82" t="e">
        <f>SUMIF(#REF!,funkcijska!$E686,#REF!)</f>
        <v>#REF!</v>
      </c>
      <c r="T686" s="82" t="e">
        <f>SUMIF(#REF!,funkcijska!$E$62,#REF!)</f>
        <v>#REF!</v>
      </c>
      <c r="U686" s="357" t="e">
        <f>SUMIF(#REF!,funkcijska!$E686,#REF!)</f>
        <v>#REF!</v>
      </c>
      <c r="V686" s="357" t="e">
        <f>SUMIF(#REF!,funkcijska!$E686,#REF!)</f>
        <v>#REF!</v>
      </c>
      <c r="W686" s="357" t="e">
        <f>SUMIF(#REF!,funkcijska!$E686,#REF!)</f>
        <v>#REF!</v>
      </c>
      <c r="X686" s="357" t="e">
        <f>SUMIF(#REF!,funkcijska!$E686,#REF!)</f>
        <v>#REF!</v>
      </c>
      <c r="AD686" s="60"/>
      <c r="AE686" s="60"/>
      <c r="AF686" s="60"/>
      <c r="AG686" s="60"/>
      <c r="AH686" s="60"/>
      <c r="AI686" s="60"/>
      <c r="AJ686" s="60"/>
      <c r="AK686" s="60"/>
      <c r="AL686" s="60"/>
    </row>
    <row r="687" spans="1:38" ht="23.25" customHeight="1" x14ac:dyDescent="0.25">
      <c r="A687" s="80"/>
      <c r="B687" s="80"/>
      <c r="C687" s="80"/>
      <c r="D687" s="80"/>
      <c r="E687" s="136">
        <v>3512</v>
      </c>
      <c r="F687" s="81" t="s">
        <v>752</v>
      </c>
      <c r="G687" s="82" t="e">
        <f>SUMIF(#REF!,funkcijska!$E687,#REF!)</f>
        <v>#REF!</v>
      </c>
      <c r="H687" s="82" t="e">
        <f>SUMIF(#REF!,funkcijska!$E687,#REF!)</f>
        <v>#REF!</v>
      </c>
      <c r="I687" s="82" t="e">
        <f>SUMIF(#REF!,funkcijska!$E687,#REF!)</f>
        <v>#REF!</v>
      </c>
      <c r="J687" s="82" t="e">
        <f>SUMIF(#REF!,funkcijska!$E687,#REF!)</f>
        <v>#REF!</v>
      </c>
      <c r="K687" s="82" t="e">
        <f>SUMIF(#REF!,funkcijska!$E687,#REF!)</f>
        <v>#REF!</v>
      </c>
      <c r="L687" s="82" t="e">
        <f>ROUND(K687/J687*100,2)</f>
        <v>#REF!</v>
      </c>
      <c r="M687" s="82" t="e">
        <f>N687-J687</f>
        <v>#REF!</v>
      </c>
      <c r="N687" s="82" t="e">
        <f>SUMIF(#REF!,funkcijska!$E687,#REF!)</f>
        <v>#REF!</v>
      </c>
      <c r="O687" s="82" t="e">
        <f>SUMIF(#REF!,funkcijska!$E687,#REF!)</f>
        <v>#REF!</v>
      </c>
      <c r="P687" s="82" t="e">
        <f>SUMIF(#REF!,funkcijska!$E687,#REF!)</f>
        <v>#REF!</v>
      </c>
      <c r="Q687" s="386" t="e">
        <f>SUMIF(#REF!,funkcijska!$E687,#REF!)</f>
        <v>#REF!</v>
      </c>
      <c r="R687" s="82" t="e">
        <f>SUMIF(#REF!,funkcijska!$E687,#REF!)</f>
        <v>#REF!</v>
      </c>
      <c r="S687" s="82" t="e">
        <f>SUMIF(#REF!,funkcijska!$E687,#REF!)</f>
        <v>#REF!</v>
      </c>
      <c r="T687" s="82" t="e">
        <f>SUMIF(#REF!,funkcijska!$E$63,#REF!)</f>
        <v>#REF!</v>
      </c>
      <c r="U687" s="357" t="e">
        <f>SUMIF(#REF!,funkcijska!$E687,#REF!)</f>
        <v>#REF!</v>
      </c>
      <c r="V687" s="357" t="e">
        <f>SUMIF(#REF!,funkcijska!$E687,#REF!)</f>
        <v>#REF!</v>
      </c>
      <c r="W687" s="357" t="e">
        <f>SUMIF(#REF!,funkcijska!$E687,#REF!)</f>
        <v>#REF!</v>
      </c>
      <c r="X687" s="357" t="e">
        <f>SUMIF(#REF!,funkcijska!$E687,#REF!)</f>
        <v>#REF!</v>
      </c>
      <c r="AD687" s="60"/>
      <c r="AE687" s="60"/>
      <c r="AF687" s="60"/>
      <c r="AG687" s="60"/>
      <c r="AH687" s="60"/>
      <c r="AI687" s="60"/>
      <c r="AJ687" s="60"/>
      <c r="AK687" s="60"/>
      <c r="AL687" s="60"/>
    </row>
    <row r="688" spans="1:38" s="373" customFormat="1" ht="54.75" customHeight="1" x14ac:dyDescent="0.25">
      <c r="A688" s="119"/>
      <c r="B688" s="119"/>
      <c r="C688" s="119"/>
      <c r="D688" s="119" t="str">
        <f>LEFT(E690,3)</f>
        <v>352</v>
      </c>
      <c r="E688" s="119"/>
      <c r="F688" s="368" t="s">
        <v>748</v>
      </c>
      <c r="G688" s="137" t="e">
        <f t="shared" ref="G688:X688" si="339">G690+G689</f>
        <v>#REF!</v>
      </c>
      <c r="H688" s="137" t="e">
        <f t="shared" si="339"/>
        <v>#REF!</v>
      </c>
      <c r="I688" s="137" t="e">
        <f t="shared" si="339"/>
        <v>#REF!</v>
      </c>
      <c r="J688" s="137" t="e">
        <f t="shared" si="339"/>
        <v>#REF!</v>
      </c>
      <c r="K688" s="137" t="e">
        <f t="shared" si="339"/>
        <v>#REF!</v>
      </c>
      <c r="L688" s="137" t="e">
        <f t="shared" si="339"/>
        <v>#REF!</v>
      </c>
      <c r="M688" s="137" t="e">
        <f t="shared" si="339"/>
        <v>#REF!</v>
      </c>
      <c r="N688" s="137" t="e">
        <f t="shared" si="339"/>
        <v>#REF!</v>
      </c>
      <c r="O688" s="137" t="e">
        <f t="shared" si="339"/>
        <v>#REF!</v>
      </c>
      <c r="P688" s="137" t="e">
        <f t="shared" si="339"/>
        <v>#REF!</v>
      </c>
      <c r="Q688" s="393" t="e">
        <f t="shared" si="339"/>
        <v>#REF!</v>
      </c>
      <c r="R688" s="137" t="e">
        <f t="shared" si="339"/>
        <v>#REF!</v>
      </c>
      <c r="S688" s="137" t="e">
        <f t="shared" si="339"/>
        <v>#REF!</v>
      </c>
      <c r="T688" s="137" t="e">
        <f t="shared" si="339"/>
        <v>#REF!</v>
      </c>
      <c r="U688" s="371" t="e">
        <f t="shared" si="339"/>
        <v>#REF!</v>
      </c>
      <c r="V688" s="371" t="e">
        <f t="shared" si="339"/>
        <v>#REF!</v>
      </c>
      <c r="W688" s="371" t="e">
        <f t="shared" si="339"/>
        <v>#REF!</v>
      </c>
      <c r="X688" s="371" t="e">
        <f t="shared" si="339"/>
        <v>#REF!</v>
      </c>
      <c r="Y688" s="372"/>
      <c r="Z688" s="372"/>
      <c r="AA688" s="372"/>
      <c r="AB688" s="372"/>
      <c r="AC688" s="372"/>
      <c r="AD688" s="372"/>
      <c r="AE688" s="372"/>
      <c r="AF688" s="372"/>
      <c r="AG688" s="372"/>
      <c r="AH688" s="372"/>
      <c r="AI688" s="372"/>
      <c r="AJ688" s="372"/>
      <c r="AK688" s="372"/>
      <c r="AL688" s="372"/>
    </row>
    <row r="689" spans="1:38" ht="37.5" customHeight="1" x14ac:dyDescent="0.25">
      <c r="A689" s="80"/>
      <c r="B689" s="80"/>
      <c r="C689" s="80"/>
      <c r="D689" s="80"/>
      <c r="E689" s="80">
        <v>3522</v>
      </c>
      <c r="F689" s="81" t="s">
        <v>498</v>
      </c>
      <c r="G689" s="82" t="e">
        <f>SUMIF(#REF!,funkcijska!$E689,#REF!)</f>
        <v>#REF!</v>
      </c>
      <c r="H689" s="82" t="e">
        <f>SUMIF(#REF!,funkcijska!$E689,#REF!)</f>
        <v>#REF!</v>
      </c>
      <c r="I689" s="82" t="e">
        <f>SUMIF(#REF!,funkcijska!$E689,#REF!)</f>
        <v>#REF!</v>
      </c>
      <c r="J689" s="82" t="e">
        <f>SUMIF(#REF!,funkcijska!$E689,#REF!)</f>
        <v>#REF!</v>
      </c>
      <c r="K689" s="82" t="e">
        <f>SUMIF(#REF!,funkcijska!$E689,#REF!)</f>
        <v>#REF!</v>
      </c>
      <c r="L689" s="84"/>
      <c r="M689" s="82" t="e">
        <f>N689-J689</f>
        <v>#REF!</v>
      </c>
      <c r="N689" s="82" t="e">
        <f>SUMIF(#REF!,funkcijska!$E689,#REF!)</f>
        <v>#REF!</v>
      </c>
      <c r="O689" s="82" t="e">
        <f>SUMIF(#REF!,funkcijska!$E689,#REF!)</f>
        <v>#REF!</v>
      </c>
      <c r="P689" s="82" t="e">
        <f>SUMIF(#REF!,funkcijska!$E689,#REF!)</f>
        <v>#REF!</v>
      </c>
      <c r="Q689" s="386" t="e">
        <f>SUMIF(#REF!,funkcijska!$E689,#REF!)</f>
        <v>#REF!</v>
      </c>
      <c r="R689" s="82" t="e">
        <f>SUMIF(#REF!,funkcijska!$E689,#REF!)</f>
        <v>#REF!</v>
      </c>
      <c r="S689" s="82" t="e">
        <f>SUMIF(#REF!,funkcijska!$E689,#REF!)</f>
        <v>#REF!</v>
      </c>
      <c r="T689" s="82" t="e">
        <f>SUMIF(#REF!,funkcijska!$E$65,#REF!)</f>
        <v>#REF!</v>
      </c>
      <c r="U689" s="357" t="e">
        <f>SUMIF(#REF!,funkcijska!$E689,#REF!)</f>
        <v>#REF!</v>
      </c>
      <c r="V689" s="357" t="e">
        <f>SUMIF(#REF!,funkcijska!$E689,#REF!)</f>
        <v>#REF!</v>
      </c>
      <c r="W689" s="357" t="e">
        <f>SUMIF(#REF!,funkcijska!$E689,#REF!)</f>
        <v>#REF!</v>
      </c>
      <c r="X689" s="357" t="e">
        <f>SUMIF(#REF!,funkcijska!$E689,#REF!)</f>
        <v>#REF!</v>
      </c>
      <c r="AD689" s="60"/>
      <c r="AE689" s="60"/>
      <c r="AF689" s="60"/>
      <c r="AG689" s="60"/>
      <c r="AH689" s="60"/>
      <c r="AI689" s="60"/>
      <c r="AJ689" s="60"/>
      <c r="AK689" s="60"/>
      <c r="AL689" s="60"/>
    </row>
    <row r="690" spans="1:38" ht="26.25" customHeight="1" x14ac:dyDescent="0.25">
      <c r="A690" s="80"/>
      <c r="B690" s="80"/>
      <c r="C690" s="80"/>
      <c r="D690" s="80"/>
      <c r="E690" s="80">
        <v>3523</v>
      </c>
      <c r="F690" s="81" t="s">
        <v>324</v>
      </c>
      <c r="G690" s="82" t="e">
        <f>SUMIF(#REF!,funkcijska!$E690,#REF!)</f>
        <v>#REF!</v>
      </c>
      <c r="H690" s="82" t="e">
        <f>SUMIF(#REF!,funkcijska!$E690,#REF!)</f>
        <v>#REF!</v>
      </c>
      <c r="I690" s="82" t="e">
        <f>SUMIF(#REF!,funkcijska!$E690,#REF!)</f>
        <v>#REF!</v>
      </c>
      <c r="J690" s="82" t="e">
        <f>SUMIF(#REF!,funkcijska!$E690,#REF!)</f>
        <v>#REF!</v>
      </c>
      <c r="K690" s="82" t="e">
        <f>SUMIF(#REF!,funkcijska!$E690,#REF!)</f>
        <v>#REF!</v>
      </c>
      <c r="L690" s="82" t="e">
        <f>ROUND(K690/J690*100,2)</f>
        <v>#REF!</v>
      </c>
      <c r="M690" s="82" t="e">
        <f>N690-J690</f>
        <v>#REF!</v>
      </c>
      <c r="N690" s="82" t="e">
        <f>SUMIF(#REF!,funkcijska!$E690,#REF!)</f>
        <v>#REF!</v>
      </c>
      <c r="O690" s="82" t="e">
        <f>SUMIF(#REF!,funkcijska!$E690,#REF!)</f>
        <v>#REF!</v>
      </c>
      <c r="P690" s="82" t="e">
        <f>SUMIF(#REF!,funkcijska!$E690,#REF!)</f>
        <v>#REF!</v>
      </c>
      <c r="Q690" s="386" t="e">
        <f>SUMIF(#REF!,funkcijska!$E690,#REF!)</f>
        <v>#REF!</v>
      </c>
      <c r="R690" s="82" t="e">
        <f>SUMIF(#REF!,funkcijska!$E690,#REF!)</f>
        <v>#REF!</v>
      </c>
      <c r="S690" s="82" t="e">
        <f>SUMIF(#REF!,funkcijska!$E690,#REF!)</f>
        <v>#REF!</v>
      </c>
      <c r="T690" s="82" t="e">
        <f>SUMIF(#REF!,funkcijska!$E$66,#REF!)</f>
        <v>#REF!</v>
      </c>
      <c r="U690" s="357" t="e">
        <f>SUMIF(#REF!,funkcijska!$E690,#REF!)</f>
        <v>#REF!</v>
      </c>
      <c r="V690" s="357" t="e">
        <f>SUMIF(#REF!,funkcijska!$E690,#REF!)</f>
        <v>#REF!</v>
      </c>
      <c r="W690" s="357" t="e">
        <f>SUMIF(#REF!,funkcijska!$E690,#REF!)</f>
        <v>#REF!</v>
      </c>
      <c r="X690" s="357" t="e">
        <f>SUMIF(#REF!,funkcijska!$E690,#REF!)</f>
        <v>#REF!</v>
      </c>
      <c r="AD690" s="60"/>
      <c r="AE690" s="60"/>
      <c r="AF690" s="60"/>
      <c r="AG690" s="60"/>
      <c r="AH690" s="60"/>
      <c r="AI690" s="60"/>
      <c r="AJ690" s="60"/>
      <c r="AK690" s="60"/>
      <c r="AL690" s="60"/>
    </row>
    <row r="691" spans="1:38" ht="38.25" customHeight="1" x14ac:dyDescent="0.25">
      <c r="A691" s="125"/>
      <c r="B691" s="74"/>
      <c r="C691" s="74" t="str">
        <f>LEFT(E693,2)</f>
        <v>36</v>
      </c>
      <c r="D691" s="74"/>
      <c r="E691" s="74"/>
      <c r="F691" s="75" t="s">
        <v>751</v>
      </c>
      <c r="G691" s="77" t="e">
        <f>G692</f>
        <v>#REF!</v>
      </c>
      <c r="H691" s="118" t="e">
        <f>H692</f>
        <v>#REF!</v>
      </c>
      <c r="I691" s="77" t="e">
        <f>I692</f>
        <v>#REF!</v>
      </c>
      <c r="J691" s="77" t="e">
        <f>J692</f>
        <v>#REF!</v>
      </c>
      <c r="K691" s="77" t="e">
        <f>K692</f>
        <v>#REF!</v>
      </c>
      <c r="L691" s="77" t="e">
        <f>ROUND(K691/J691*100,2)</f>
        <v>#REF!</v>
      </c>
      <c r="M691" s="77" t="e">
        <f>N691-J691</f>
        <v>#REF!</v>
      </c>
      <c r="N691" s="77" t="e">
        <f t="shared" ref="N691:X691" si="340">N692</f>
        <v>#REF!</v>
      </c>
      <c r="O691" s="76" t="e">
        <f t="shared" si="340"/>
        <v>#REF!</v>
      </c>
      <c r="P691" s="76" t="e">
        <f t="shared" si="340"/>
        <v>#REF!</v>
      </c>
      <c r="Q691" s="385" t="e">
        <f t="shared" si="340"/>
        <v>#REF!</v>
      </c>
      <c r="R691" s="135" t="e">
        <f t="shared" si="340"/>
        <v>#REF!</v>
      </c>
      <c r="S691" s="135" t="e">
        <f t="shared" si="340"/>
        <v>#REF!</v>
      </c>
      <c r="T691" s="135" t="e">
        <f t="shared" si="340"/>
        <v>#REF!</v>
      </c>
      <c r="U691" s="356" t="e">
        <f t="shared" si="340"/>
        <v>#REF!</v>
      </c>
      <c r="V691" s="356" t="e">
        <f t="shared" si="340"/>
        <v>#REF!</v>
      </c>
      <c r="W691" s="356" t="e">
        <f t="shared" si="340"/>
        <v>#REF!</v>
      </c>
      <c r="X691" s="356" t="e">
        <f t="shared" si="340"/>
        <v>#REF!</v>
      </c>
      <c r="AD691" s="60"/>
      <c r="AE691" s="60"/>
      <c r="AF691" s="60"/>
      <c r="AG691" s="60"/>
      <c r="AH691" s="60"/>
      <c r="AI691" s="60"/>
      <c r="AJ691" s="60"/>
      <c r="AK691" s="60"/>
      <c r="AL691" s="60"/>
    </row>
    <row r="692" spans="1:38" s="373" customFormat="1" ht="21" customHeight="1" x14ac:dyDescent="0.25">
      <c r="A692" s="119"/>
      <c r="B692" s="119"/>
      <c r="C692" s="119"/>
      <c r="D692" s="119" t="str">
        <f>LEFT(E693,3)</f>
        <v>363</v>
      </c>
      <c r="E692" s="119"/>
      <c r="F692" s="368" t="s">
        <v>536</v>
      </c>
      <c r="G692" s="369" t="e">
        <f t="shared" ref="G692:X692" si="341">SUM(G693:G694)</f>
        <v>#REF!</v>
      </c>
      <c r="H692" s="370" t="e">
        <f t="shared" si="341"/>
        <v>#REF!</v>
      </c>
      <c r="I692" s="369" t="e">
        <f t="shared" si="341"/>
        <v>#REF!</v>
      </c>
      <c r="J692" s="369" t="e">
        <f t="shared" si="341"/>
        <v>#REF!</v>
      </c>
      <c r="K692" s="369" t="e">
        <f t="shared" si="341"/>
        <v>#REF!</v>
      </c>
      <c r="L692" s="369" t="e">
        <f t="shared" si="341"/>
        <v>#REF!</v>
      </c>
      <c r="M692" s="369" t="e">
        <f t="shared" si="341"/>
        <v>#REF!</v>
      </c>
      <c r="N692" s="369" t="e">
        <f t="shared" si="341"/>
        <v>#REF!</v>
      </c>
      <c r="O692" s="369" t="e">
        <f t="shared" si="341"/>
        <v>#REF!</v>
      </c>
      <c r="P692" s="369" t="e">
        <f t="shared" si="341"/>
        <v>#REF!</v>
      </c>
      <c r="Q692" s="392" t="e">
        <f t="shared" si="341"/>
        <v>#REF!</v>
      </c>
      <c r="R692" s="369" t="e">
        <f t="shared" si="341"/>
        <v>#REF!</v>
      </c>
      <c r="S692" s="369" t="e">
        <f t="shared" si="341"/>
        <v>#REF!</v>
      </c>
      <c r="T692" s="369" t="e">
        <f t="shared" si="341"/>
        <v>#REF!</v>
      </c>
      <c r="U692" s="357" t="e">
        <f t="shared" si="341"/>
        <v>#REF!</v>
      </c>
      <c r="V692" s="357" t="e">
        <f t="shared" si="341"/>
        <v>#REF!</v>
      </c>
      <c r="W692" s="357" t="e">
        <f t="shared" si="341"/>
        <v>#REF!</v>
      </c>
      <c r="X692" s="357" t="e">
        <f t="shared" si="341"/>
        <v>#REF!</v>
      </c>
      <c r="Y692" s="372"/>
      <c r="Z692" s="372"/>
      <c r="AA692" s="372"/>
      <c r="AB692" s="372"/>
      <c r="AC692" s="372"/>
      <c r="AD692" s="372"/>
      <c r="AE692" s="372"/>
      <c r="AF692" s="372"/>
      <c r="AG692" s="372"/>
      <c r="AH692" s="372"/>
      <c r="AI692" s="372"/>
      <c r="AJ692" s="372"/>
      <c r="AK692" s="372"/>
      <c r="AL692" s="372"/>
    </row>
    <row r="693" spans="1:38" ht="20.25" customHeight="1" x14ac:dyDescent="0.25">
      <c r="A693" s="80"/>
      <c r="B693" s="80"/>
      <c r="C693" s="80"/>
      <c r="D693" s="80"/>
      <c r="E693" s="80">
        <v>3631</v>
      </c>
      <c r="F693" s="81" t="s">
        <v>331</v>
      </c>
      <c r="G693" s="82" t="e">
        <f>SUMIF(#REF!,funkcijska!$E693,#REF!)</f>
        <v>#REF!</v>
      </c>
      <c r="H693" s="82" t="e">
        <f>SUMIF(#REF!,funkcijska!$E693,#REF!)</f>
        <v>#REF!</v>
      </c>
      <c r="I693" s="82" t="e">
        <f>SUMIF(#REF!,funkcijska!$E693,#REF!)</f>
        <v>#REF!</v>
      </c>
      <c r="J693" s="82" t="e">
        <f>SUMIF(#REF!,funkcijska!$E693,#REF!)</f>
        <v>#REF!</v>
      </c>
      <c r="K693" s="82" t="e">
        <f>SUMIF(#REF!,funkcijska!$E693,#REF!)</f>
        <v>#REF!</v>
      </c>
      <c r="L693" s="82" t="e">
        <f>ROUND(K693/J693*100,2)</f>
        <v>#REF!</v>
      </c>
      <c r="M693" s="82" t="e">
        <f>N693-J693</f>
        <v>#REF!</v>
      </c>
      <c r="N693" s="82" t="e">
        <f>SUMIF(#REF!,funkcijska!$E693,#REF!)</f>
        <v>#REF!</v>
      </c>
      <c r="O693" s="82" t="e">
        <f>SUMIF(#REF!,funkcijska!$E693,#REF!)</f>
        <v>#REF!</v>
      </c>
      <c r="P693" s="82" t="e">
        <f>SUMIF(#REF!,funkcijska!$E693,#REF!)</f>
        <v>#REF!</v>
      </c>
      <c r="Q693" s="386" t="e">
        <f>SUMIF(#REF!,funkcijska!$E693,#REF!)</f>
        <v>#REF!</v>
      </c>
      <c r="R693" s="82" t="e">
        <f>SUMIF(#REF!,funkcijska!$E693,#REF!)</f>
        <v>#REF!</v>
      </c>
      <c r="S693" s="82" t="e">
        <f>SUMIF(#REF!,funkcijska!$E693,#REF!)</f>
        <v>#REF!</v>
      </c>
      <c r="T693" s="82" t="e">
        <f>SUMIF(#REF!,funkcijska!$E$69,#REF!)</f>
        <v>#REF!</v>
      </c>
      <c r="U693" s="357" t="e">
        <f>SUMIF(#REF!,funkcijska!$E693,#REF!)</f>
        <v>#REF!</v>
      </c>
      <c r="V693" s="357" t="e">
        <f>SUMIF(#REF!,funkcijska!$E693,#REF!)</f>
        <v>#REF!</v>
      </c>
      <c r="W693" s="357" t="e">
        <f>SUMIF(#REF!,funkcijska!$E693,#REF!)</f>
        <v>#REF!</v>
      </c>
      <c r="X693" s="357" t="e">
        <f>SUMIF(#REF!,funkcijska!$E693,#REF!)</f>
        <v>#REF!</v>
      </c>
      <c r="AD693" s="60"/>
      <c r="AE693" s="60"/>
      <c r="AF693" s="60"/>
      <c r="AG693" s="60"/>
      <c r="AH693" s="60"/>
      <c r="AI693" s="60"/>
      <c r="AJ693" s="60"/>
      <c r="AK693" s="60"/>
      <c r="AL693" s="60"/>
    </row>
    <row r="694" spans="1:38" ht="23.25" customHeight="1" x14ac:dyDescent="0.25">
      <c r="A694" s="80"/>
      <c r="B694" s="80"/>
      <c r="C694" s="80"/>
      <c r="D694" s="80"/>
      <c r="E694" s="80">
        <v>3632</v>
      </c>
      <c r="F694" s="81" t="s">
        <v>227</v>
      </c>
      <c r="G694" s="82" t="e">
        <f>SUMIF(#REF!,funkcijska!$E694,#REF!)</f>
        <v>#REF!</v>
      </c>
      <c r="H694" s="82" t="e">
        <f>SUMIF(#REF!,funkcijska!$E694,#REF!)</f>
        <v>#REF!</v>
      </c>
      <c r="I694" s="82" t="e">
        <f>SUMIF(#REF!,funkcijska!$E694,#REF!)</f>
        <v>#REF!</v>
      </c>
      <c r="J694" s="82" t="e">
        <f>SUMIF(#REF!,funkcijska!$E694,#REF!)</f>
        <v>#REF!</v>
      </c>
      <c r="K694" s="82" t="e">
        <f>SUMIF(#REF!,funkcijska!$E694,#REF!)</f>
        <v>#REF!</v>
      </c>
      <c r="L694" s="82" t="e">
        <f>ROUND(K694/J694*100,2)</f>
        <v>#REF!</v>
      </c>
      <c r="M694" s="82" t="e">
        <f>N694-J694</f>
        <v>#REF!</v>
      </c>
      <c r="N694" s="82" t="e">
        <f>SUMIF(#REF!,funkcijska!$E694,#REF!)</f>
        <v>#REF!</v>
      </c>
      <c r="O694" s="82" t="e">
        <f>SUMIF(#REF!,funkcijska!$E694,#REF!)</f>
        <v>#REF!</v>
      </c>
      <c r="P694" s="82" t="e">
        <f>SUMIF(#REF!,funkcijska!$E694,#REF!)</f>
        <v>#REF!</v>
      </c>
      <c r="Q694" s="386" t="e">
        <f>SUMIF(#REF!,funkcijska!$E694,#REF!)</f>
        <v>#REF!</v>
      </c>
      <c r="R694" s="82" t="e">
        <f>SUMIF(#REF!,funkcijska!$E694,#REF!)</f>
        <v>#REF!</v>
      </c>
      <c r="S694" s="82" t="e">
        <f>SUMIF(#REF!,funkcijska!$E694,#REF!)</f>
        <v>#REF!</v>
      </c>
      <c r="T694" s="82" t="e">
        <f>SUMIF(#REF!,funkcijska!$E694,#REF!)</f>
        <v>#REF!</v>
      </c>
      <c r="U694" s="82" t="e">
        <f>SUMIF(#REF!,funkcijska!$E694,#REF!)</f>
        <v>#REF!</v>
      </c>
      <c r="V694" s="357" t="e">
        <f>SUMIF(#REF!,funkcijska!$E694,#REF!)</f>
        <v>#REF!</v>
      </c>
      <c r="W694" s="357" t="e">
        <f>SUMIF(#REF!,funkcijska!$E694,#REF!)</f>
        <v>#REF!</v>
      </c>
      <c r="X694" s="357" t="e">
        <f>SUMIF(#REF!,funkcijska!$E694,#REF!)</f>
        <v>#REF!</v>
      </c>
      <c r="AD694" s="60"/>
      <c r="AE694" s="60"/>
      <c r="AF694" s="60"/>
      <c r="AG694" s="60"/>
      <c r="AH694" s="60"/>
      <c r="AI694" s="60"/>
      <c r="AJ694" s="60"/>
      <c r="AK694" s="60"/>
      <c r="AL694" s="60"/>
    </row>
    <row r="695" spans="1:38" ht="36.75" customHeight="1" x14ac:dyDescent="0.25">
      <c r="A695" s="125"/>
      <c r="B695" s="74"/>
      <c r="C695" s="74" t="str">
        <f>LEFT(E697,2)</f>
        <v>37</v>
      </c>
      <c r="D695" s="74"/>
      <c r="E695" s="74"/>
      <c r="F695" s="75" t="s">
        <v>410</v>
      </c>
      <c r="G695" s="311" t="e">
        <f>G696</f>
        <v>#REF!</v>
      </c>
      <c r="H695" s="118" t="e">
        <f>H696</f>
        <v>#REF!</v>
      </c>
      <c r="I695" s="311" t="e">
        <f>I696</f>
        <v>#REF!</v>
      </c>
      <c r="J695" s="311" t="e">
        <f>J696</f>
        <v>#REF!</v>
      </c>
      <c r="K695" s="311" t="e">
        <f>K696</f>
        <v>#REF!</v>
      </c>
      <c r="L695" s="311" t="e">
        <f>ROUND(K695/J695*100,2)</f>
        <v>#REF!</v>
      </c>
      <c r="M695" s="311" t="e">
        <f>N695-J695</f>
        <v>#REF!</v>
      </c>
      <c r="N695" s="311" t="e">
        <f t="shared" ref="N695:X695" si="342">N696</f>
        <v>#REF!</v>
      </c>
      <c r="O695" s="312" t="e">
        <f t="shared" si="342"/>
        <v>#REF!</v>
      </c>
      <c r="P695" s="312" t="e">
        <f t="shared" si="342"/>
        <v>#REF!</v>
      </c>
      <c r="Q695" s="385" t="e">
        <f t="shared" si="342"/>
        <v>#REF!</v>
      </c>
      <c r="R695" s="137" t="e">
        <f t="shared" si="342"/>
        <v>#REF!</v>
      </c>
      <c r="S695" s="137" t="e">
        <f t="shared" si="342"/>
        <v>#REF!</v>
      </c>
      <c r="T695" s="137" t="e">
        <f t="shared" si="342"/>
        <v>#REF!</v>
      </c>
      <c r="U695" s="356" t="e">
        <f t="shared" si="342"/>
        <v>#REF!</v>
      </c>
      <c r="V695" s="356" t="e">
        <f t="shared" si="342"/>
        <v>#REF!</v>
      </c>
      <c r="W695" s="356" t="e">
        <f t="shared" si="342"/>
        <v>#REF!</v>
      </c>
      <c r="X695" s="356" t="e">
        <f t="shared" si="342"/>
        <v>#REF!</v>
      </c>
      <c r="AD695" s="60"/>
      <c r="AE695" s="60"/>
      <c r="AF695" s="60"/>
      <c r="AG695" s="60"/>
      <c r="AH695" s="60"/>
      <c r="AI695" s="60"/>
      <c r="AJ695" s="60"/>
      <c r="AK695" s="60"/>
      <c r="AL695" s="60"/>
    </row>
    <row r="696" spans="1:38" s="373" customFormat="1" ht="37.5" customHeight="1" x14ac:dyDescent="0.25">
      <c r="A696" s="119"/>
      <c r="B696" s="119"/>
      <c r="C696" s="119"/>
      <c r="D696" s="119" t="str">
        <f>LEFT(E697,3)</f>
        <v>372</v>
      </c>
      <c r="E696" s="119"/>
      <c r="F696" s="368" t="s">
        <v>411</v>
      </c>
      <c r="G696" s="369" t="e">
        <f t="shared" ref="G696:X696" si="343">SUM(G697:G698)</f>
        <v>#REF!</v>
      </c>
      <c r="H696" s="370" t="e">
        <f t="shared" si="343"/>
        <v>#REF!</v>
      </c>
      <c r="I696" s="369" t="e">
        <f t="shared" si="343"/>
        <v>#REF!</v>
      </c>
      <c r="J696" s="369" t="e">
        <f t="shared" si="343"/>
        <v>#REF!</v>
      </c>
      <c r="K696" s="369" t="e">
        <f t="shared" si="343"/>
        <v>#REF!</v>
      </c>
      <c r="L696" s="369" t="e">
        <f t="shared" si="343"/>
        <v>#REF!</v>
      </c>
      <c r="M696" s="369" t="e">
        <f t="shared" si="343"/>
        <v>#REF!</v>
      </c>
      <c r="N696" s="369" t="e">
        <f t="shared" si="343"/>
        <v>#REF!</v>
      </c>
      <c r="O696" s="369" t="e">
        <f t="shared" si="343"/>
        <v>#REF!</v>
      </c>
      <c r="P696" s="369" t="e">
        <f t="shared" si="343"/>
        <v>#REF!</v>
      </c>
      <c r="Q696" s="392" t="e">
        <f t="shared" si="343"/>
        <v>#REF!</v>
      </c>
      <c r="R696" s="369" t="e">
        <f t="shared" si="343"/>
        <v>#REF!</v>
      </c>
      <c r="S696" s="369" t="e">
        <f t="shared" si="343"/>
        <v>#REF!</v>
      </c>
      <c r="T696" s="369" t="e">
        <f t="shared" si="343"/>
        <v>#REF!</v>
      </c>
      <c r="U696" s="357" t="e">
        <f t="shared" si="343"/>
        <v>#REF!</v>
      </c>
      <c r="V696" s="357" t="e">
        <f t="shared" si="343"/>
        <v>#REF!</v>
      </c>
      <c r="W696" s="357" t="e">
        <f t="shared" si="343"/>
        <v>#REF!</v>
      </c>
      <c r="X696" s="357" t="e">
        <f t="shared" si="343"/>
        <v>#REF!</v>
      </c>
      <c r="Y696" s="372"/>
      <c r="Z696" s="372"/>
      <c r="AA696" s="372"/>
      <c r="AB696" s="372"/>
      <c r="AC696" s="372"/>
      <c r="AD696" s="372"/>
      <c r="AE696" s="372"/>
      <c r="AF696" s="372"/>
      <c r="AG696" s="372"/>
      <c r="AH696" s="372"/>
      <c r="AI696" s="372"/>
      <c r="AJ696" s="372"/>
      <c r="AK696" s="372"/>
      <c r="AL696" s="372"/>
    </row>
    <row r="697" spans="1:38" ht="21" customHeight="1" x14ac:dyDescent="0.25">
      <c r="A697" s="80"/>
      <c r="B697" s="80"/>
      <c r="C697" s="80"/>
      <c r="D697" s="80"/>
      <c r="E697" s="80">
        <v>3721</v>
      </c>
      <c r="F697" s="81" t="s">
        <v>412</v>
      </c>
      <c r="G697" s="82" t="e">
        <f>SUMIF(#REF!,funkcijska!$E697,#REF!)</f>
        <v>#REF!</v>
      </c>
      <c r="H697" s="82" t="e">
        <f>SUMIF(#REF!,funkcijska!$E697,#REF!)</f>
        <v>#REF!</v>
      </c>
      <c r="I697" s="82" t="e">
        <f>SUMIF(#REF!,funkcijska!$E697,#REF!)</f>
        <v>#REF!</v>
      </c>
      <c r="J697" s="82" t="e">
        <f>SUMIF(#REF!,funkcijska!$E697,#REF!)</f>
        <v>#REF!</v>
      </c>
      <c r="K697" s="82" t="e">
        <f>SUMIF(#REF!,funkcijska!$E697,#REF!)</f>
        <v>#REF!</v>
      </c>
      <c r="L697" s="82" t="e">
        <f t="shared" ref="L697:L706" si="344">ROUND(K697/J697*100,2)</f>
        <v>#REF!</v>
      </c>
      <c r="M697" s="82" t="e">
        <f t="shared" ref="M697:M706" si="345">N697-J697</f>
        <v>#REF!</v>
      </c>
      <c r="N697" s="82" t="e">
        <f>SUMIF(#REF!,funkcijska!$E697,#REF!)</f>
        <v>#REF!</v>
      </c>
      <c r="O697" s="82" t="e">
        <f>SUMIF(#REF!,funkcijska!$E697,#REF!)</f>
        <v>#REF!</v>
      </c>
      <c r="P697" s="82" t="e">
        <f>SUMIF(#REF!,funkcijska!$E697,#REF!)</f>
        <v>#REF!</v>
      </c>
      <c r="Q697" s="386" t="e">
        <f>SUMIF(#REF!,funkcijska!$E697,#REF!)</f>
        <v>#REF!</v>
      </c>
      <c r="R697" s="82" t="e">
        <f>SUMIF(#REF!,funkcijska!$E697,#REF!)</f>
        <v>#REF!</v>
      </c>
      <c r="S697" s="82" t="e">
        <f>SUMIF(#REF!,funkcijska!$E697,#REF!)</f>
        <v>#REF!</v>
      </c>
      <c r="T697" s="82" t="e">
        <f>SUMIF(#REF!,funkcijska!$E$73,#REF!)</f>
        <v>#REF!</v>
      </c>
      <c r="U697" s="357" t="e">
        <f>SUMIF(#REF!,funkcijska!$E697,#REF!)</f>
        <v>#REF!</v>
      </c>
      <c r="V697" s="357" t="e">
        <f>SUMIF(#REF!,funkcijska!$E697,#REF!)</f>
        <v>#REF!</v>
      </c>
      <c r="W697" s="357" t="e">
        <f>SUMIF(#REF!,funkcijska!$E697,#REF!)</f>
        <v>#REF!</v>
      </c>
      <c r="X697" s="357" t="e">
        <f>SUMIF(#REF!,funkcijska!$E697,#REF!)</f>
        <v>#REF!</v>
      </c>
      <c r="AD697" s="60"/>
      <c r="AE697" s="60"/>
      <c r="AF697" s="60"/>
      <c r="AG697" s="60"/>
      <c r="AH697" s="60"/>
      <c r="AI697" s="60"/>
      <c r="AJ697" s="60"/>
      <c r="AK697" s="60"/>
      <c r="AL697" s="60"/>
    </row>
    <row r="698" spans="1:38" ht="36.75" customHeight="1" x14ac:dyDescent="0.25">
      <c r="A698" s="80"/>
      <c r="B698" s="80"/>
      <c r="C698" s="80"/>
      <c r="D698" s="80"/>
      <c r="E698" s="80">
        <v>3722</v>
      </c>
      <c r="F698" s="81" t="s">
        <v>1019</v>
      </c>
      <c r="G698" s="82" t="e">
        <f>SUMIF(#REF!,funkcijska!$E698,#REF!)</f>
        <v>#REF!</v>
      </c>
      <c r="H698" s="82" t="e">
        <f>SUMIF(#REF!,funkcijska!$E698,#REF!)</f>
        <v>#REF!</v>
      </c>
      <c r="I698" s="82" t="e">
        <f>SUMIF(#REF!,funkcijska!$E698,#REF!)</f>
        <v>#REF!</v>
      </c>
      <c r="J698" s="82" t="e">
        <f>SUMIF(#REF!,funkcijska!$E698,#REF!)</f>
        <v>#REF!</v>
      </c>
      <c r="K698" s="82" t="e">
        <f>SUMIF(#REF!,funkcijska!$E698,#REF!)</f>
        <v>#REF!</v>
      </c>
      <c r="L698" s="82" t="e">
        <f t="shared" si="344"/>
        <v>#REF!</v>
      </c>
      <c r="M698" s="82" t="e">
        <f t="shared" si="345"/>
        <v>#REF!</v>
      </c>
      <c r="N698" s="82" t="e">
        <f>SUMIF(#REF!,funkcijska!$E698,#REF!)</f>
        <v>#REF!</v>
      </c>
      <c r="O698" s="82" t="e">
        <f>SUMIF(#REF!,funkcijska!$E698,#REF!)</f>
        <v>#REF!</v>
      </c>
      <c r="P698" s="82" t="e">
        <f>SUMIF(#REF!,funkcijska!$E698,#REF!)</f>
        <v>#REF!</v>
      </c>
      <c r="Q698" s="386" t="e">
        <f>SUMIF(#REF!,funkcijska!$E698,#REF!)</f>
        <v>#REF!</v>
      </c>
      <c r="R698" s="82" t="e">
        <f>SUMIF(#REF!,funkcijska!$E698,#REF!)</f>
        <v>#REF!</v>
      </c>
      <c r="S698" s="82" t="e">
        <f>SUMIF(#REF!,funkcijska!$E698,#REF!)</f>
        <v>#REF!</v>
      </c>
      <c r="T698" s="82" t="e">
        <f>SUMIF(#REF!,funkcijska!$E$74,#REF!)</f>
        <v>#REF!</v>
      </c>
      <c r="U698" s="357" t="e">
        <f>SUMIF(#REF!,funkcijska!$E698,#REF!)</f>
        <v>#REF!</v>
      </c>
      <c r="V698" s="357" t="e">
        <f>SUMIF(#REF!,funkcijska!$E698,#REF!)</f>
        <v>#REF!</v>
      </c>
      <c r="W698" s="357" t="e">
        <f>SUMIF(#REF!,funkcijska!$E698,#REF!)</f>
        <v>#REF!</v>
      </c>
      <c r="X698" s="357" t="e">
        <f>SUMIF(#REF!,funkcijska!$E698,#REF!)</f>
        <v>#REF!</v>
      </c>
      <c r="AD698" s="60"/>
      <c r="AE698" s="60"/>
      <c r="AF698" s="60"/>
      <c r="AG698" s="60"/>
      <c r="AH698" s="60"/>
      <c r="AI698" s="60"/>
      <c r="AJ698" s="60"/>
      <c r="AK698" s="60"/>
      <c r="AL698" s="60"/>
    </row>
    <row r="699" spans="1:38" ht="20.25" customHeight="1" x14ac:dyDescent="0.25">
      <c r="A699" s="125"/>
      <c r="B699" s="74"/>
      <c r="C699" s="74" t="str">
        <f>LEFT(E701,2)</f>
        <v>38</v>
      </c>
      <c r="D699" s="74"/>
      <c r="E699" s="74"/>
      <c r="F699" s="75" t="s">
        <v>539</v>
      </c>
      <c r="G699" s="311" t="e">
        <f>G700+G702+G705</f>
        <v>#REF!</v>
      </c>
      <c r="H699" s="118" t="e">
        <f>H700+H702+H705</f>
        <v>#REF!</v>
      </c>
      <c r="I699" s="311" t="e">
        <f>I700+I702+I705</f>
        <v>#REF!</v>
      </c>
      <c r="J699" s="311" t="e">
        <f>J700+J702+J705</f>
        <v>#REF!</v>
      </c>
      <c r="K699" s="311" t="e">
        <f>K700+K702+K705</f>
        <v>#REF!</v>
      </c>
      <c r="L699" s="311" t="e">
        <f t="shared" si="344"/>
        <v>#REF!</v>
      </c>
      <c r="M699" s="311" t="e">
        <f t="shared" si="345"/>
        <v>#REF!</v>
      </c>
      <c r="N699" s="311" t="e">
        <f t="shared" ref="N699:X699" si="346">N700+N702+N705</f>
        <v>#REF!</v>
      </c>
      <c r="O699" s="312" t="e">
        <f t="shared" si="346"/>
        <v>#REF!</v>
      </c>
      <c r="P699" s="312" t="e">
        <f t="shared" si="346"/>
        <v>#REF!</v>
      </c>
      <c r="Q699" s="385" t="e">
        <f t="shared" si="346"/>
        <v>#REF!</v>
      </c>
      <c r="R699" s="137" t="e">
        <f t="shared" si="346"/>
        <v>#REF!</v>
      </c>
      <c r="S699" s="137" t="e">
        <f t="shared" si="346"/>
        <v>#REF!</v>
      </c>
      <c r="T699" s="137" t="e">
        <f t="shared" si="346"/>
        <v>#REF!</v>
      </c>
      <c r="U699" s="356" t="e">
        <f t="shared" si="346"/>
        <v>#REF!</v>
      </c>
      <c r="V699" s="356" t="e">
        <f t="shared" si="346"/>
        <v>#REF!</v>
      </c>
      <c r="W699" s="356" t="e">
        <f t="shared" si="346"/>
        <v>#REF!</v>
      </c>
      <c r="X699" s="356" t="e">
        <f t="shared" si="346"/>
        <v>#REF!</v>
      </c>
      <c r="AD699" s="60"/>
      <c r="AE699" s="60"/>
      <c r="AF699" s="60"/>
      <c r="AG699" s="60"/>
      <c r="AH699" s="60"/>
      <c r="AI699" s="60"/>
      <c r="AJ699" s="60"/>
      <c r="AK699" s="60"/>
      <c r="AL699" s="60"/>
    </row>
    <row r="700" spans="1:38" s="373" customFormat="1" ht="17.25" customHeight="1" x14ac:dyDescent="0.25">
      <c r="A700" s="119"/>
      <c r="B700" s="119"/>
      <c r="C700" s="119"/>
      <c r="D700" s="119" t="str">
        <f>LEFT(E701,3)</f>
        <v>381</v>
      </c>
      <c r="E700" s="119"/>
      <c r="F700" s="368" t="s">
        <v>540</v>
      </c>
      <c r="G700" s="369" t="e">
        <f>G701</f>
        <v>#REF!</v>
      </c>
      <c r="H700" s="370" t="e">
        <f>H701</f>
        <v>#REF!</v>
      </c>
      <c r="I700" s="369" t="e">
        <f>I701</f>
        <v>#REF!</v>
      </c>
      <c r="J700" s="369" t="e">
        <f>J701</f>
        <v>#REF!</v>
      </c>
      <c r="K700" s="369" t="e">
        <f>K701</f>
        <v>#REF!</v>
      </c>
      <c r="L700" s="369" t="e">
        <f t="shared" si="344"/>
        <v>#REF!</v>
      </c>
      <c r="M700" s="369" t="e">
        <f t="shared" si="345"/>
        <v>#REF!</v>
      </c>
      <c r="N700" s="369" t="e">
        <f t="shared" ref="N700:X700" si="347">N701</f>
        <v>#REF!</v>
      </c>
      <c r="O700" s="137" t="e">
        <f t="shared" si="347"/>
        <v>#REF!</v>
      </c>
      <c r="P700" s="137" t="e">
        <f t="shared" si="347"/>
        <v>#REF!</v>
      </c>
      <c r="Q700" s="393" t="e">
        <f t="shared" si="347"/>
        <v>#REF!</v>
      </c>
      <c r="R700" s="137" t="e">
        <f t="shared" si="347"/>
        <v>#REF!</v>
      </c>
      <c r="S700" s="137" t="e">
        <f t="shared" si="347"/>
        <v>#REF!</v>
      </c>
      <c r="T700" s="137" t="e">
        <f t="shared" si="347"/>
        <v>#REF!</v>
      </c>
      <c r="U700" s="371" t="e">
        <f t="shared" si="347"/>
        <v>#REF!</v>
      </c>
      <c r="V700" s="371" t="e">
        <f t="shared" si="347"/>
        <v>#REF!</v>
      </c>
      <c r="W700" s="371" t="e">
        <f t="shared" si="347"/>
        <v>#REF!</v>
      </c>
      <c r="X700" s="371" t="e">
        <f t="shared" si="347"/>
        <v>#REF!</v>
      </c>
      <c r="Y700" s="372"/>
      <c r="Z700" s="372"/>
      <c r="AA700" s="372"/>
      <c r="AB700" s="372"/>
      <c r="AC700" s="372"/>
      <c r="AD700" s="372"/>
      <c r="AE700" s="372"/>
      <c r="AF700" s="372"/>
      <c r="AG700" s="372"/>
      <c r="AH700" s="372"/>
      <c r="AI700" s="372"/>
      <c r="AJ700" s="372"/>
      <c r="AK700" s="372"/>
      <c r="AL700" s="372"/>
    </row>
    <row r="701" spans="1:38" ht="20.25" customHeight="1" x14ac:dyDescent="0.25">
      <c r="A701" s="80"/>
      <c r="B701" s="80"/>
      <c r="C701" s="80"/>
      <c r="D701" s="80"/>
      <c r="E701" s="80">
        <v>3811</v>
      </c>
      <c r="F701" s="81" t="s">
        <v>623</v>
      </c>
      <c r="G701" s="82" t="e">
        <f>SUMIF(#REF!,funkcijska!$E701,#REF!)</f>
        <v>#REF!</v>
      </c>
      <c r="H701" s="82" t="e">
        <f>SUMIF(#REF!,funkcijska!$E701,#REF!)</f>
        <v>#REF!</v>
      </c>
      <c r="I701" s="82" t="e">
        <f>SUMIF(#REF!,funkcijska!$E701,#REF!)</f>
        <v>#REF!</v>
      </c>
      <c r="J701" s="82" t="e">
        <f>SUMIF(#REF!,funkcijska!$E701,#REF!)</f>
        <v>#REF!</v>
      </c>
      <c r="K701" s="82" t="e">
        <f>SUMIF(#REF!,funkcijska!$E701,#REF!)</f>
        <v>#REF!</v>
      </c>
      <c r="L701" s="82" t="e">
        <f t="shared" si="344"/>
        <v>#REF!</v>
      </c>
      <c r="M701" s="82" t="e">
        <f t="shared" si="345"/>
        <v>#REF!</v>
      </c>
      <c r="N701" s="82" t="e">
        <f>SUMIF(#REF!,funkcijska!$E701,#REF!)</f>
        <v>#REF!</v>
      </c>
      <c r="O701" s="82" t="e">
        <f>SUMIF(#REF!,funkcijska!$E701,#REF!)</f>
        <v>#REF!</v>
      </c>
      <c r="P701" s="82" t="e">
        <f>SUMIF(#REF!,funkcijska!$E701,#REF!)</f>
        <v>#REF!</v>
      </c>
      <c r="Q701" s="386" t="e">
        <f>SUMIF(#REF!,funkcijska!$E701,#REF!)</f>
        <v>#REF!</v>
      </c>
      <c r="R701" s="82" t="e">
        <f>SUMIF(#REF!,funkcijska!$E701,#REF!)</f>
        <v>#REF!</v>
      </c>
      <c r="S701" s="82" t="e">
        <f>SUMIF(#REF!,funkcijska!$E701,#REF!)</f>
        <v>#REF!</v>
      </c>
      <c r="T701" s="82" t="e">
        <f>SUMIF(#REF!,funkcijska!$E$77,#REF!)</f>
        <v>#REF!</v>
      </c>
      <c r="U701" s="357" t="e">
        <f>SUMIF(#REF!,funkcijska!$E701,#REF!)</f>
        <v>#REF!</v>
      </c>
      <c r="V701" s="357" t="e">
        <f>SUMIF(#REF!,funkcijska!$E701,#REF!)</f>
        <v>#REF!</v>
      </c>
      <c r="W701" s="357" t="e">
        <f>SUMIF(#REF!,funkcijska!$E701,#REF!)</f>
        <v>#REF!</v>
      </c>
      <c r="X701" s="357" t="e">
        <f>SUMIF(#REF!,funkcijska!$E701,#REF!)</f>
        <v>#REF!</v>
      </c>
      <c r="AD701" s="60"/>
      <c r="AE701" s="60"/>
      <c r="AF701" s="60"/>
      <c r="AG701" s="60"/>
      <c r="AH701" s="60"/>
      <c r="AI701" s="60"/>
      <c r="AJ701" s="60"/>
      <c r="AK701" s="60"/>
      <c r="AL701" s="60"/>
    </row>
    <row r="702" spans="1:38" s="373" customFormat="1" ht="21" customHeight="1" x14ac:dyDescent="0.25">
      <c r="A702" s="119"/>
      <c r="B702" s="119"/>
      <c r="C702" s="119"/>
      <c r="D702" s="119" t="str">
        <f>LEFT(E703,3)</f>
        <v>382</v>
      </c>
      <c r="E702" s="119"/>
      <c r="F702" s="368" t="s">
        <v>230</v>
      </c>
      <c r="G702" s="369" t="e">
        <f>G703</f>
        <v>#REF!</v>
      </c>
      <c r="H702" s="370" t="e">
        <f>H703</f>
        <v>#REF!</v>
      </c>
      <c r="I702" s="369" t="e">
        <f>I703</f>
        <v>#REF!</v>
      </c>
      <c r="J702" s="369" t="e">
        <f>J703</f>
        <v>#REF!</v>
      </c>
      <c r="K702" s="369" t="e">
        <f>K703</f>
        <v>#REF!</v>
      </c>
      <c r="L702" s="369" t="e">
        <f t="shared" si="344"/>
        <v>#REF!</v>
      </c>
      <c r="M702" s="369" t="e">
        <f t="shared" si="345"/>
        <v>#REF!</v>
      </c>
      <c r="N702" s="369" t="e">
        <f t="shared" ref="N702:U702" si="348">N703</f>
        <v>#REF!</v>
      </c>
      <c r="O702" s="137" t="e">
        <f t="shared" si="348"/>
        <v>#REF!</v>
      </c>
      <c r="P702" s="137" t="e">
        <f t="shared" si="348"/>
        <v>#REF!</v>
      </c>
      <c r="Q702" s="393" t="e">
        <f t="shared" si="348"/>
        <v>#REF!</v>
      </c>
      <c r="R702" s="137" t="e">
        <f t="shared" si="348"/>
        <v>#REF!</v>
      </c>
      <c r="S702" s="137" t="e">
        <f t="shared" si="348"/>
        <v>#REF!</v>
      </c>
      <c r="T702" s="137" t="e">
        <f t="shared" si="348"/>
        <v>#REF!</v>
      </c>
      <c r="U702" s="371" t="e">
        <f t="shared" si="348"/>
        <v>#REF!</v>
      </c>
      <c r="V702" s="371" t="e">
        <f>V703+V704</f>
        <v>#REF!</v>
      </c>
      <c r="W702" s="371" t="e">
        <f>W703+W704</f>
        <v>#REF!</v>
      </c>
      <c r="X702" s="371" t="e">
        <f>X703+X704</f>
        <v>#REF!</v>
      </c>
      <c r="Y702" s="372"/>
      <c r="Z702" s="372"/>
      <c r="AA702" s="372"/>
      <c r="AB702" s="372"/>
      <c r="AC702" s="372"/>
      <c r="AD702" s="372"/>
      <c r="AE702" s="372"/>
      <c r="AF702" s="372"/>
      <c r="AG702" s="372"/>
      <c r="AH702" s="372"/>
      <c r="AI702" s="372"/>
      <c r="AJ702" s="372"/>
      <c r="AK702" s="372"/>
      <c r="AL702" s="372"/>
    </row>
    <row r="703" spans="1:38" ht="23.25" customHeight="1" x14ac:dyDescent="0.25">
      <c r="A703" s="80"/>
      <c r="B703" s="80"/>
      <c r="C703" s="80"/>
      <c r="D703" s="80"/>
      <c r="E703" s="80">
        <v>3821</v>
      </c>
      <c r="F703" s="81" t="s">
        <v>1020</v>
      </c>
      <c r="G703" s="82" t="e">
        <f>SUMIF(#REF!,funkcijska!$E703,#REF!)</f>
        <v>#REF!</v>
      </c>
      <c r="H703" s="82" t="e">
        <f>SUMIF(#REF!,funkcijska!$E703,#REF!)</f>
        <v>#REF!</v>
      </c>
      <c r="I703" s="82" t="e">
        <f>SUMIF(#REF!,funkcijska!$E703,#REF!)</f>
        <v>#REF!</v>
      </c>
      <c r="J703" s="82" t="e">
        <f>SUMIF(#REF!,funkcijska!$E703,#REF!)</f>
        <v>#REF!</v>
      </c>
      <c r="K703" s="82" t="e">
        <f>SUMIF(#REF!,funkcijska!$E703,#REF!)</f>
        <v>#REF!</v>
      </c>
      <c r="L703" s="82" t="e">
        <f t="shared" si="344"/>
        <v>#REF!</v>
      </c>
      <c r="M703" s="82" t="e">
        <f t="shared" si="345"/>
        <v>#REF!</v>
      </c>
      <c r="N703" s="82" t="e">
        <f>SUMIF(#REF!,funkcijska!$E703,#REF!)</f>
        <v>#REF!</v>
      </c>
      <c r="O703" s="82" t="e">
        <f>SUMIF(#REF!,funkcijska!$E703,#REF!)</f>
        <v>#REF!</v>
      </c>
      <c r="P703" s="82" t="e">
        <f>SUMIF(#REF!,funkcijska!$E703,#REF!)</f>
        <v>#REF!</v>
      </c>
      <c r="Q703" s="386" t="e">
        <f>SUMIF(#REF!,funkcijska!$E703,#REF!)</f>
        <v>#REF!</v>
      </c>
      <c r="R703" s="82" t="e">
        <f>SUMIF(#REF!,funkcijska!$E703,#REF!)</f>
        <v>#REF!</v>
      </c>
      <c r="S703" s="82" t="e">
        <f>SUMIF(#REF!,funkcijska!$E703,#REF!)</f>
        <v>#REF!</v>
      </c>
      <c r="T703" s="82" t="e">
        <f>SUMIF(#REF!,funkcijska!$E$79,#REF!)</f>
        <v>#REF!</v>
      </c>
      <c r="U703" s="357" t="e">
        <f>SUMIF(#REF!,funkcijska!$E703,#REF!)</f>
        <v>#REF!</v>
      </c>
      <c r="V703" s="357" t="e">
        <f>SUMIF(#REF!,funkcijska!$E703,#REF!)</f>
        <v>#REF!</v>
      </c>
      <c r="W703" s="357" t="e">
        <f>SUMIF(#REF!,funkcijska!$E703,#REF!)</f>
        <v>#REF!</v>
      </c>
      <c r="X703" s="357" t="e">
        <f>SUMIF(#REF!,funkcijska!$E703,#REF!)</f>
        <v>#REF!</v>
      </c>
      <c r="AD703" s="60"/>
      <c r="AE703" s="60"/>
      <c r="AF703" s="60"/>
      <c r="AG703" s="60"/>
      <c r="AH703" s="60"/>
      <c r="AI703" s="60"/>
      <c r="AJ703" s="60"/>
      <c r="AK703" s="60"/>
      <c r="AL703" s="60"/>
    </row>
    <row r="704" spans="1:38" ht="23.25" customHeight="1" x14ac:dyDescent="0.25">
      <c r="A704" s="80"/>
      <c r="B704" s="80"/>
      <c r="C704" s="80"/>
      <c r="D704" s="80"/>
      <c r="E704" s="80">
        <v>3822</v>
      </c>
      <c r="F704" s="81" t="s">
        <v>734</v>
      </c>
      <c r="G704" s="82" t="e">
        <f>SUMIF(#REF!,funkcijska!$E704,#REF!)</f>
        <v>#REF!</v>
      </c>
      <c r="H704" s="82" t="e">
        <f>SUMIF(#REF!,funkcijska!$E704,#REF!)</f>
        <v>#REF!</v>
      </c>
      <c r="I704" s="82" t="e">
        <f>SUMIF(#REF!,funkcijska!$E704,#REF!)</f>
        <v>#REF!</v>
      </c>
      <c r="J704" s="82" t="e">
        <f>SUMIF(#REF!,funkcijska!$E704,#REF!)</f>
        <v>#REF!</v>
      </c>
      <c r="K704" s="82" t="e">
        <f>SUMIF(#REF!,funkcijska!$E704,#REF!)</f>
        <v>#REF!</v>
      </c>
      <c r="L704" s="82" t="e">
        <f t="shared" si="344"/>
        <v>#REF!</v>
      </c>
      <c r="M704" s="82" t="e">
        <f t="shared" si="345"/>
        <v>#REF!</v>
      </c>
      <c r="N704" s="82" t="e">
        <f>SUMIF(#REF!,funkcijska!$E704,#REF!)</f>
        <v>#REF!</v>
      </c>
      <c r="O704" s="82" t="e">
        <f>SUMIF(#REF!,funkcijska!$E704,#REF!)</f>
        <v>#REF!</v>
      </c>
      <c r="P704" s="82" t="e">
        <f>SUMIF(#REF!,funkcijska!$E704,#REF!)</f>
        <v>#REF!</v>
      </c>
      <c r="Q704" s="386" t="e">
        <f>SUMIF(#REF!,funkcijska!$E704,#REF!)</f>
        <v>#REF!</v>
      </c>
      <c r="R704" s="82" t="e">
        <f>SUMIF(#REF!,funkcijska!$E704,#REF!)</f>
        <v>#REF!</v>
      </c>
      <c r="S704" s="82" t="e">
        <f>SUMIF(#REF!,funkcijska!$E704,#REF!)</f>
        <v>#REF!</v>
      </c>
      <c r="T704" s="82" t="e">
        <f>SUMIF(#REF!,funkcijska!$E$79,#REF!)</f>
        <v>#REF!</v>
      </c>
      <c r="U704" s="357" t="e">
        <f>SUMIF(#REF!,funkcijska!$E704,#REF!)</f>
        <v>#REF!</v>
      </c>
      <c r="V704" s="357" t="e">
        <f>SUMIF(#REF!,funkcijska!$E704,#REF!)</f>
        <v>#REF!</v>
      </c>
      <c r="W704" s="357" t="e">
        <f>SUMIF(#REF!,funkcijska!$E704,#REF!)</f>
        <v>#REF!</v>
      </c>
      <c r="X704" s="357" t="e">
        <f>SUMIF(#REF!,funkcijska!$E704,#REF!)</f>
        <v>#REF!</v>
      </c>
      <c r="AD704" s="60"/>
      <c r="AE704" s="60"/>
      <c r="AF704" s="60"/>
      <c r="AG704" s="60"/>
      <c r="AH704" s="60"/>
      <c r="AI704" s="60"/>
      <c r="AJ704" s="60"/>
      <c r="AK704" s="60"/>
      <c r="AL704" s="60"/>
    </row>
    <row r="705" spans="1:38" s="373" customFormat="1" ht="21" customHeight="1" x14ac:dyDescent="0.25">
      <c r="A705" s="119"/>
      <c r="B705" s="119"/>
      <c r="C705" s="119"/>
      <c r="D705" s="119" t="str">
        <f>LEFT(E706,3)</f>
        <v>385</v>
      </c>
      <c r="E705" s="119"/>
      <c r="F705" s="368" t="s">
        <v>545</v>
      </c>
      <c r="G705" s="369" t="e">
        <f>G706</f>
        <v>#REF!</v>
      </c>
      <c r="H705" s="370" t="e">
        <f>H706</f>
        <v>#REF!</v>
      </c>
      <c r="I705" s="369" t="e">
        <f>I706</f>
        <v>#REF!</v>
      </c>
      <c r="J705" s="369" t="e">
        <f>J706</f>
        <v>#REF!</v>
      </c>
      <c r="K705" s="369" t="e">
        <f>K706</f>
        <v>#REF!</v>
      </c>
      <c r="L705" s="369" t="e">
        <f t="shared" si="344"/>
        <v>#REF!</v>
      </c>
      <c r="M705" s="369" t="e">
        <f t="shared" si="345"/>
        <v>#REF!</v>
      </c>
      <c r="N705" s="369" t="e">
        <f t="shared" ref="N705:X705" si="349">N706</f>
        <v>#REF!</v>
      </c>
      <c r="O705" s="137" t="e">
        <f t="shared" si="349"/>
        <v>#REF!</v>
      </c>
      <c r="P705" s="137" t="e">
        <f t="shared" si="349"/>
        <v>#REF!</v>
      </c>
      <c r="Q705" s="393" t="e">
        <f t="shared" si="349"/>
        <v>#REF!</v>
      </c>
      <c r="R705" s="137" t="e">
        <f t="shared" si="349"/>
        <v>#REF!</v>
      </c>
      <c r="S705" s="137" t="e">
        <f t="shared" si="349"/>
        <v>#REF!</v>
      </c>
      <c r="T705" s="137" t="e">
        <f t="shared" si="349"/>
        <v>#REF!</v>
      </c>
      <c r="U705" s="371" t="e">
        <f t="shared" si="349"/>
        <v>#REF!</v>
      </c>
      <c r="V705" s="371" t="e">
        <f t="shared" si="349"/>
        <v>#REF!</v>
      </c>
      <c r="W705" s="371" t="e">
        <f t="shared" si="349"/>
        <v>#REF!</v>
      </c>
      <c r="X705" s="371" t="e">
        <f t="shared" si="349"/>
        <v>#REF!</v>
      </c>
      <c r="Y705" s="372"/>
      <c r="Z705" s="372"/>
      <c r="AA705" s="372"/>
      <c r="AB705" s="372"/>
      <c r="AC705" s="372"/>
      <c r="AD705" s="372"/>
      <c r="AE705" s="372"/>
      <c r="AF705" s="372"/>
      <c r="AG705" s="372"/>
      <c r="AH705" s="372"/>
      <c r="AI705" s="372"/>
      <c r="AJ705" s="372"/>
      <c r="AK705" s="372"/>
      <c r="AL705" s="372"/>
    </row>
    <row r="706" spans="1:38" ht="21.75" customHeight="1" x14ac:dyDescent="0.25">
      <c r="A706" s="80"/>
      <c r="B706" s="80"/>
      <c r="C706" s="80"/>
      <c r="D706" s="80"/>
      <c r="E706" s="80">
        <v>3851</v>
      </c>
      <c r="F706" s="81" t="s">
        <v>546</v>
      </c>
      <c r="G706" s="82" t="e">
        <f>SUMIF(#REF!,funkcijska!$E706,#REF!)</f>
        <v>#REF!</v>
      </c>
      <c r="H706" s="82" t="e">
        <f>SUMIF(#REF!,funkcijska!$E706,#REF!)</f>
        <v>#REF!</v>
      </c>
      <c r="I706" s="82" t="e">
        <f>SUMIF(#REF!,funkcijska!$E706,#REF!)</f>
        <v>#REF!</v>
      </c>
      <c r="J706" s="82" t="e">
        <f>SUMIF(#REF!,funkcijska!$E706,#REF!)</f>
        <v>#REF!</v>
      </c>
      <c r="K706" s="82" t="e">
        <f>SUMIF(#REF!,funkcijska!$E706,#REF!)</f>
        <v>#REF!</v>
      </c>
      <c r="L706" s="82" t="e">
        <f t="shared" si="344"/>
        <v>#REF!</v>
      </c>
      <c r="M706" s="82" t="e">
        <f t="shared" si="345"/>
        <v>#REF!</v>
      </c>
      <c r="N706" s="82" t="e">
        <f>SUMIF(#REF!,funkcijska!$E706,#REF!)</f>
        <v>#REF!</v>
      </c>
      <c r="O706" s="82" t="e">
        <f>SUMIF(#REF!,funkcijska!$E706,#REF!)</f>
        <v>#REF!</v>
      </c>
      <c r="P706" s="82" t="e">
        <f>SUMIF(#REF!,funkcijska!$E706,#REF!)</f>
        <v>#REF!</v>
      </c>
      <c r="Q706" s="386" t="e">
        <f>SUMIF(#REF!,funkcijska!$E706,#REF!)</f>
        <v>#REF!</v>
      </c>
      <c r="R706" s="82" t="e">
        <f>SUMIF(#REF!,funkcijska!$E706,#REF!)</f>
        <v>#REF!</v>
      </c>
      <c r="S706" s="82" t="e">
        <f>SUMIF(#REF!,funkcijska!$E706,#REF!)</f>
        <v>#REF!</v>
      </c>
      <c r="T706" s="82" t="e">
        <f>SUMIF(#REF!,funkcijska!$E$82,#REF!)</f>
        <v>#REF!</v>
      </c>
      <c r="U706" s="357" t="e">
        <f>SUMIF(#REF!,funkcijska!$E706,#REF!)</f>
        <v>#REF!</v>
      </c>
      <c r="V706" s="357" t="e">
        <f>SUMIF(#REF!,funkcijska!$E706,#REF!)</f>
        <v>#REF!</v>
      </c>
      <c r="W706" s="357" t="e">
        <f>SUMIF(#REF!,funkcijska!$E706,#REF!)</f>
        <v>#REF!</v>
      </c>
      <c r="X706" s="357" t="e">
        <f>SUMIF(#REF!,funkcijska!$E706,#REF!)</f>
        <v>#REF!</v>
      </c>
      <c r="AD706" s="60"/>
      <c r="AE706" s="60"/>
      <c r="AF706" s="60"/>
      <c r="AG706" s="60"/>
      <c r="AH706" s="60"/>
      <c r="AI706" s="60"/>
      <c r="AJ706" s="60"/>
      <c r="AK706" s="60"/>
      <c r="AL706" s="60"/>
    </row>
    <row r="707" spans="1:38" x14ac:dyDescent="0.25">
      <c r="A707" s="108"/>
      <c r="B707" s="108"/>
      <c r="C707" s="108"/>
      <c r="D707" s="108"/>
      <c r="E707" s="108"/>
      <c r="F707" s="104" t="s">
        <v>1021</v>
      </c>
      <c r="G707" s="110"/>
      <c r="H707" s="103"/>
      <c r="I707" s="110"/>
      <c r="J707" s="110"/>
      <c r="K707" s="110"/>
      <c r="L707" s="110"/>
      <c r="M707" s="110"/>
      <c r="N707" s="110"/>
      <c r="O707" s="110"/>
      <c r="P707" s="110"/>
      <c r="Q707" s="395"/>
      <c r="R707" s="110"/>
      <c r="S707" s="110"/>
      <c r="T707" s="110"/>
      <c r="U707" s="361"/>
      <c r="V707" s="361"/>
      <c r="W707" s="361"/>
      <c r="X707" s="361"/>
      <c r="AD707" s="60"/>
      <c r="AE707" s="60"/>
      <c r="AF707" s="60"/>
      <c r="AG707" s="60"/>
      <c r="AH707" s="60"/>
      <c r="AI707" s="60"/>
      <c r="AJ707" s="60"/>
      <c r="AK707" s="60"/>
      <c r="AL707" s="60"/>
    </row>
    <row r="708" spans="1:38" x14ac:dyDescent="0.25">
      <c r="A708" s="74"/>
      <c r="B708" s="105" t="str">
        <f>LEFT(E717,1)</f>
        <v>4</v>
      </c>
      <c r="C708" s="105"/>
      <c r="D708" s="105"/>
      <c r="E708" s="105"/>
      <c r="F708" s="72" t="s">
        <v>552</v>
      </c>
      <c r="G708" s="313" t="e">
        <f>G709+G715+G737</f>
        <v>#REF!</v>
      </c>
      <c r="H708" s="73" t="e">
        <f>H709+H715+H737</f>
        <v>#REF!</v>
      </c>
      <c r="I708" s="313" t="e">
        <f>I709+I715+I737</f>
        <v>#REF!</v>
      </c>
      <c r="J708" s="313" t="e">
        <f>J709+J715+J737</f>
        <v>#REF!</v>
      </c>
      <c r="K708" s="313" t="e">
        <f>K709+K715+K737</f>
        <v>#REF!</v>
      </c>
      <c r="L708" s="313" t="e">
        <f t="shared" ref="L708:L715" si="350">ROUND(K708/J708*100,2)</f>
        <v>#REF!</v>
      </c>
      <c r="M708" s="313" t="e">
        <f t="shared" ref="M708:M715" si="351">N708-J708</f>
        <v>#REF!</v>
      </c>
      <c r="N708" s="313" t="e">
        <f t="shared" ref="N708:X708" si="352">N709+N715+N737</f>
        <v>#REF!</v>
      </c>
      <c r="O708" s="73" t="e">
        <f t="shared" si="352"/>
        <v>#REF!</v>
      </c>
      <c r="P708" s="73" t="e">
        <f t="shared" si="352"/>
        <v>#REF!</v>
      </c>
      <c r="Q708" s="412" t="e">
        <f t="shared" si="352"/>
        <v>#REF!</v>
      </c>
      <c r="R708" s="76" t="e">
        <f t="shared" si="352"/>
        <v>#REF!</v>
      </c>
      <c r="S708" s="76" t="e">
        <f t="shared" si="352"/>
        <v>#REF!</v>
      </c>
      <c r="T708" s="76" t="e">
        <f t="shared" si="352"/>
        <v>#REF!</v>
      </c>
      <c r="U708" s="355" t="e">
        <f t="shared" si="352"/>
        <v>#REF!</v>
      </c>
      <c r="V708" s="355" t="e">
        <f t="shared" si="352"/>
        <v>#REF!</v>
      </c>
      <c r="W708" s="355" t="e">
        <f t="shared" si="352"/>
        <v>#REF!</v>
      </c>
      <c r="X708" s="355" t="e">
        <f t="shared" si="352"/>
        <v>#REF!</v>
      </c>
      <c r="AD708" s="60"/>
      <c r="AE708" s="60"/>
      <c r="AF708" s="60"/>
      <c r="AG708" s="60"/>
      <c r="AH708" s="60"/>
      <c r="AI708" s="60"/>
      <c r="AJ708" s="60"/>
      <c r="AK708" s="60"/>
      <c r="AL708" s="60"/>
    </row>
    <row r="709" spans="1:38" ht="36" x14ac:dyDescent="0.25">
      <c r="A709" s="125"/>
      <c r="B709" s="74"/>
      <c r="C709" s="74">
        <v>41</v>
      </c>
      <c r="D709" s="74"/>
      <c r="E709" s="74"/>
      <c r="F709" s="75" t="s">
        <v>753</v>
      </c>
      <c r="G709" s="77" t="e">
        <f>G712+G710</f>
        <v>#REF!</v>
      </c>
      <c r="H709" s="118" t="e">
        <f>H712+H710</f>
        <v>#REF!</v>
      </c>
      <c r="I709" s="77" t="e">
        <f>I712+I710</f>
        <v>#REF!</v>
      </c>
      <c r="J709" s="77" t="e">
        <f>J712+J710</f>
        <v>#REF!</v>
      </c>
      <c r="K709" s="77" t="e">
        <f>K712+K710</f>
        <v>#REF!</v>
      </c>
      <c r="L709" s="77" t="e">
        <f t="shared" si="350"/>
        <v>#REF!</v>
      </c>
      <c r="M709" s="77" t="e">
        <f t="shared" si="351"/>
        <v>#REF!</v>
      </c>
      <c r="N709" s="77" t="e">
        <f t="shared" ref="N709:X709" si="353">N712+N710</f>
        <v>#REF!</v>
      </c>
      <c r="O709" s="76" t="e">
        <f t="shared" si="353"/>
        <v>#REF!</v>
      </c>
      <c r="P709" s="76" t="e">
        <f t="shared" si="353"/>
        <v>#REF!</v>
      </c>
      <c r="Q709" s="385" t="e">
        <f t="shared" si="353"/>
        <v>#REF!</v>
      </c>
      <c r="R709" s="135" t="e">
        <f t="shared" si="353"/>
        <v>#REF!</v>
      </c>
      <c r="S709" s="135" t="e">
        <f t="shared" si="353"/>
        <v>#REF!</v>
      </c>
      <c r="T709" s="135" t="e">
        <f t="shared" si="353"/>
        <v>#REF!</v>
      </c>
      <c r="U709" s="356" t="e">
        <f t="shared" si="353"/>
        <v>#REF!</v>
      </c>
      <c r="V709" s="356" t="e">
        <f t="shared" si="353"/>
        <v>#REF!</v>
      </c>
      <c r="W709" s="356" t="e">
        <f t="shared" si="353"/>
        <v>#REF!</v>
      </c>
      <c r="X709" s="356" t="e">
        <f t="shared" si="353"/>
        <v>#REF!</v>
      </c>
      <c r="AD709" s="60"/>
      <c r="AE709" s="60"/>
      <c r="AF709" s="60"/>
      <c r="AG709" s="60"/>
      <c r="AH709" s="60"/>
      <c r="AI709" s="60"/>
      <c r="AJ709" s="60"/>
      <c r="AK709" s="60"/>
      <c r="AL709" s="60"/>
    </row>
    <row r="710" spans="1:38" s="373" customFormat="1" ht="17.25" customHeight="1" x14ac:dyDescent="0.25">
      <c r="A710" s="119"/>
      <c r="B710" s="119"/>
      <c r="C710" s="119"/>
      <c r="D710" s="119" t="s">
        <v>1022</v>
      </c>
      <c r="E710" s="119"/>
      <c r="F710" s="368" t="s">
        <v>471</v>
      </c>
      <c r="G710" s="369" t="e">
        <f>G711</f>
        <v>#REF!</v>
      </c>
      <c r="H710" s="370" t="e">
        <f>H711</f>
        <v>#REF!</v>
      </c>
      <c r="I710" s="369" t="e">
        <f>I711</f>
        <v>#REF!</v>
      </c>
      <c r="J710" s="369" t="e">
        <f>J711</f>
        <v>#REF!</v>
      </c>
      <c r="K710" s="369" t="e">
        <f>K711</f>
        <v>#REF!</v>
      </c>
      <c r="L710" s="369" t="e">
        <f t="shared" si="350"/>
        <v>#REF!</v>
      </c>
      <c r="M710" s="369" t="e">
        <f t="shared" si="351"/>
        <v>#REF!</v>
      </c>
      <c r="N710" s="369" t="e">
        <f t="shared" ref="N710:X710" si="354">N711</f>
        <v>#REF!</v>
      </c>
      <c r="O710" s="137" t="e">
        <f t="shared" si="354"/>
        <v>#REF!</v>
      </c>
      <c r="P710" s="137" t="e">
        <f t="shared" si="354"/>
        <v>#REF!</v>
      </c>
      <c r="Q710" s="393" t="e">
        <f t="shared" si="354"/>
        <v>#REF!</v>
      </c>
      <c r="R710" s="137" t="e">
        <f t="shared" si="354"/>
        <v>#REF!</v>
      </c>
      <c r="S710" s="137" t="e">
        <f t="shared" si="354"/>
        <v>#REF!</v>
      </c>
      <c r="T710" s="137" t="e">
        <f t="shared" si="354"/>
        <v>#REF!</v>
      </c>
      <c r="U710" s="371" t="e">
        <f t="shared" si="354"/>
        <v>#REF!</v>
      </c>
      <c r="V710" s="371" t="e">
        <f t="shared" si="354"/>
        <v>#REF!</v>
      </c>
      <c r="W710" s="371" t="e">
        <f t="shared" si="354"/>
        <v>#REF!</v>
      </c>
      <c r="X710" s="371" t="e">
        <f t="shared" si="354"/>
        <v>#REF!</v>
      </c>
      <c r="Y710" s="372"/>
      <c r="Z710" s="372"/>
      <c r="AA710" s="372"/>
      <c r="AB710" s="372"/>
      <c r="AC710" s="372"/>
      <c r="AD710" s="372"/>
      <c r="AE710" s="372"/>
      <c r="AF710" s="372"/>
      <c r="AG710" s="372"/>
      <c r="AH710" s="372"/>
      <c r="AI710" s="372"/>
      <c r="AJ710" s="372"/>
      <c r="AK710" s="372"/>
      <c r="AL710" s="372"/>
    </row>
    <row r="711" spans="1:38" ht="24.75" customHeight="1" x14ac:dyDescent="0.25">
      <c r="A711" s="80"/>
      <c r="B711" s="80"/>
      <c r="C711" s="80"/>
      <c r="D711" s="80"/>
      <c r="E711" s="80">
        <v>4111</v>
      </c>
      <c r="F711" s="81" t="s">
        <v>755</v>
      </c>
      <c r="G711" s="82" t="e">
        <f>SUMIF(#REF!,funkcijska!$E711,#REF!)</f>
        <v>#REF!</v>
      </c>
      <c r="H711" s="82" t="e">
        <f>SUMIF(#REF!,funkcijska!$E711,#REF!)</f>
        <v>#REF!</v>
      </c>
      <c r="I711" s="82" t="e">
        <f>SUMIF(#REF!,funkcijska!$E711,#REF!)</f>
        <v>#REF!</v>
      </c>
      <c r="J711" s="82" t="e">
        <f>SUMIF(#REF!,funkcijska!$E711,#REF!)</f>
        <v>#REF!</v>
      </c>
      <c r="K711" s="82" t="e">
        <f>SUMIF(#REF!,funkcijska!$E711,#REF!)</f>
        <v>#REF!</v>
      </c>
      <c r="L711" s="82" t="e">
        <f t="shared" si="350"/>
        <v>#REF!</v>
      </c>
      <c r="M711" s="82" t="e">
        <f t="shared" si="351"/>
        <v>#REF!</v>
      </c>
      <c r="N711" s="82" t="e">
        <f>SUMIF(#REF!,funkcijska!$E711,#REF!)</f>
        <v>#REF!</v>
      </c>
      <c r="O711" s="82" t="e">
        <f>SUMIF(#REF!,funkcijska!$E711,#REF!)</f>
        <v>#REF!</v>
      </c>
      <c r="P711" s="82" t="e">
        <f>SUMIF(#REF!,funkcijska!$E711,#REF!)</f>
        <v>#REF!</v>
      </c>
      <c r="Q711" s="386" t="e">
        <f>SUMIF(#REF!,funkcijska!$E711,#REF!)</f>
        <v>#REF!</v>
      </c>
      <c r="R711" s="82" t="e">
        <f>SUMIF(#REF!,funkcijska!$E711,#REF!)</f>
        <v>#REF!</v>
      </c>
      <c r="S711" s="82" t="e">
        <f>SUMIF(#REF!,funkcijska!$E711,#REF!)</f>
        <v>#REF!</v>
      </c>
      <c r="T711" s="82" t="e">
        <f>SUMIF(#REF!,funkcijska!$E$87,#REF!)</f>
        <v>#REF!</v>
      </c>
      <c r="U711" s="357" t="e">
        <f>SUMIF(#REF!,funkcijska!$E711,#REF!)</f>
        <v>#REF!</v>
      </c>
      <c r="V711" s="357" t="e">
        <f>SUMIF(#REF!,funkcijska!$E711,#REF!)</f>
        <v>#REF!</v>
      </c>
      <c r="W711" s="357" t="e">
        <f>SUMIF(#REF!,funkcijska!$E711,#REF!)</f>
        <v>#REF!</v>
      </c>
      <c r="X711" s="357" t="e">
        <f>SUMIF(#REF!,funkcijska!$E711,#REF!)</f>
        <v>#REF!</v>
      </c>
      <c r="AD711" s="60"/>
      <c r="AE711" s="60"/>
      <c r="AF711" s="60"/>
      <c r="AG711" s="60"/>
      <c r="AH711" s="60"/>
      <c r="AI711" s="60"/>
      <c r="AJ711" s="60"/>
      <c r="AK711" s="60"/>
      <c r="AL711" s="60"/>
    </row>
    <row r="712" spans="1:38" s="373" customFormat="1" ht="18.75" customHeight="1" x14ac:dyDescent="0.25">
      <c r="A712" s="119"/>
      <c r="B712" s="119"/>
      <c r="C712" s="119"/>
      <c r="D712" s="119">
        <v>412</v>
      </c>
      <c r="E712" s="119"/>
      <c r="F712" s="368" t="s">
        <v>553</v>
      </c>
      <c r="G712" s="137" t="e">
        <f>G713+G714</f>
        <v>#REF!</v>
      </c>
      <c r="H712" s="137" t="e">
        <f>H713+H714</f>
        <v>#REF!</v>
      </c>
      <c r="I712" s="137" t="e">
        <f>I713+I714</f>
        <v>#REF!</v>
      </c>
      <c r="J712" s="137" t="e">
        <f>J713+J714</f>
        <v>#REF!</v>
      </c>
      <c r="K712" s="137" t="e">
        <f>K713+K714</f>
        <v>#REF!</v>
      </c>
      <c r="L712" s="137" t="e">
        <f t="shared" si="350"/>
        <v>#REF!</v>
      </c>
      <c r="M712" s="137" t="e">
        <f t="shared" si="351"/>
        <v>#REF!</v>
      </c>
      <c r="N712" s="137" t="e">
        <f t="shared" ref="N712:X712" si="355">N713+N714</f>
        <v>#REF!</v>
      </c>
      <c r="O712" s="137" t="e">
        <f t="shared" si="355"/>
        <v>#REF!</v>
      </c>
      <c r="P712" s="137" t="e">
        <f t="shared" si="355"/>
        <v>#REF!</v>
      </c>
      <c r="Q712" s="393" t="e">
        <f t="shared" si="355"/>
        <v>#REF!</v>
      </c>
      <c r="R712" s="137" t="e">
        <f t="shared" si="355"/>
        <v>#REF!</v>
      </c>
      <c r="S712" s="137" t="e">
        <f t="shared" si="355"/>
        <v>#REF!</v>
      </c>
      <c r="T712" s="137" t="e">
        <f t="shared" si="355"/>
        <v>#REF!</v>
      </c>
      <c r="U712" s="371" t="e">
        <f t="shared" si="355"/>
        <v>#REF!</v>
      </c>
      <c r="V712" s="371" t="e">
        <f t="shared" si="355"/>
        <v>#REF!</v>
      </c>
      <c r="W712" s="371" t="e">
        <f t="shared" si="355"/>
        <v>#REF!</v>
      </c>
      <c r="X712" s="371" t="e">
        <f t="shared" si="355"/>
        <v>#REF!</v>
      </c>
      <c r="Y712" s="372"/>
      <c r="Z712" s="372"/>
      <c r="AA712" s="372"/>
      <c r="AB712" s="372"/>
      <c r="AC712" s="372"/>
      <c r="AD712" s="372"/>
      <c r="AE712" s="372"/>
      <c r="AF712" s="372"/>
      <c r="AG712" s="372"/>
      <c r="AH712" s="372"/>
      <c r="AI712" s="372"/>
      <c r="AJ712" s="372"/>
      <c r="AK712" s="372"/>
      <c r="AL712" s="372"/>
    </row>
    <row r="713" spans="1:38" ht="18" customHeight="1" x14ac:dyDescent="0.25">
      <c r="A713" s="80"/>
      <c r="B713" s="80"/>
      <c r="C713" s="80"/>
      <c r="D713" s="80"/>
      <c r="E713" s="80">
        <v>4123</v>
      </c>
      <c r="F713" s="81" t="s">
        <v>554</v>
      </c>
      <c r="G713" s="82" t="e">
        <f>SUMIF(#REF!,funkcijska!$E713,#REF!)</f>
        <v>#REF!</v>
      </c>
      <c r="H713" s="82" t="e">
        <f>SUMIF(#REF!,funkcijska!$E713,#REF!)</f>
        <v>#REF!</v>
      </c>
      <c r="I713" s="82" t="e">
        <f>SUMIF(#REF!,funkcijska!$E713,#REF!)</f>
        <v>#REF!</v>
      </c>
      <c r="J713" s="82" t="e">
        <f>SUMIF(#REF!,funkcijska!$E713,#REF!)</f>
        <v>#REF!</v>
      </c>
      <c r="K713" s="82" t="e">
        <f>SUMIF(#REF!,funkcijska!$E713,#REF!)</f>
        <v>#REF!</v>
      </c>
      <c r="L713" s="82" t="e">
        <f t="shared" si="350"/>
        <v>#REF!</v>
      </c>
      <c r="M713" s="82" t="e">
        <f t="shared" si="351"/>
        <v>#REF!</v>
      </c>
      <c r="N713" s="82" t="e">
        <f>SUMIF(#REF!,funkcijska!$E713,#REF!)</f>
        <v>#REF!</v>
      </c>
      <c r="O713" s="82" t="e">
        <f>SUMIF(#REF!,funkcijska!$E713,#REF!)</f>
        <v>#REF!</v>
      </c>
      <c r="P713" s="82" t="e">
        <f>SUMIF(#REF!,funkcijska!$E713,#REF!)</f>
        <v>#REF!</v>
      </c>
      <c r="Q713" s="386" t="e">
        <f>SUMIF(#REF!,funkcijska!$E713,#REF!)</f>
        <v>#REF!</v>
      </c>
      <c r="R713" s="82" t="e">
        <f>SUMIF(#REF!,funkcijska!$E713,#REF!)</f>
        <v>#REF!</v>
      </c>
      <c r="S713" s="82" t="e">
        <f>SUMIF(#REF!,funkcijska!$E713,#REF!)</f>
        <v>#REF!</v>
      </c>
      <c r="T713" s="82" t="e">
        <f>SUMIF(#REF!,funkcijska!$E$89,#REF!)</f>
        <v>#REF!</v>
      </c>
      <c r="U713" s="357" t="e">
        <f>SUMIF(#REF!,funkcijska!$E713,#REF!)</f>
        <v>#REF!</v>
      </c>
      <c r="V713" s="357" t="e">
        <f>SUMIF(#REF!,funkcijska!$E713,#REF!)</f>
        <v>#REF!</v>
      </c>
      <c r="W713" s="357" t="e">
        <f>SUMIF(#REF!,funkcijska!$E713,#REF!)</f>
        <v>#REF!</v>
      </c>
      <c r="X713" s="357" t="e">
        <f>SUMIF(#REF!,funkcijska!$E713,#REF!)</f>
        <v>#REF!</v>
      </c>
      <c r="AD713" s="60"/>
      <c r="AE713" s="60"/>
      <c r="AF713" s="60"/>
      <c r="AG713" s="60"/>
      <c r="AH713" s="60"/>
      <c r="AI713" s="60"/>
      <c r="AJ713" s="60"/>
      <c r="AK713" s="60"/>
      <c r="AL713" s="60"/>
    </row>
    <row r="714" spans="1:38" ht="18.75" hidden="1" customHeight="1" x14ac:dyDescent="0.25">
      <c r="A714" s="80"/>
      <c r="B714" s="80"/>
      <c r="C714" s="80"/>
      <c r="D714" s="80"/>
      <c r="E714" s="136" t="s">
        <v>1023</v>
      </c>
      <c r="F714" s="81" t="s">
        <v>1024</v>
      </c>
      <c r="G714" s="82" t="e">
        <f>SUMIF(#REF!,funkcijska!$E714,#REF!)</f>
        <v>#REF!</v>
      </c>
      <c r="H714" s="82" t="e">
        <f>SUMIF(#REF!,funkcijska!$E714,#REF!)</f>
        <v>#REF!</v>
      </c>
      <c r="I714" s="82" t="e">
        <f>SUMIF(#REF!,funkcijska!$E714,#REF!)</f>
        <v>#REF!</v>
      </c>
      <c r="J714" s="82" t="e">
        <f>SUMIF(#REF!,funkcijska!$E714,#REF!)</f>
        <v>#REF!</v>
      </c>
      <c r="K714" s="82" t="e">
        <f>SUMIF(#REF!,funkcijska!$E714,#REF!)</f>
        <v>#REF!</v>
      </c>
      <c r="L714" s="82" t="e">
        <f t="shared" si="350"/>
        <v>#REF!</v>
      </c>
      <c r="M714" s="82" t="e">
        <f t="shared" si="351"/>
        <v>#REF!</v>
      </c>
      <c r="N714" s="82" t="e">
        <f>SUMIF(#REF!,funkcijska!$E714,#REF!)</f>
        <v>#REF!</v>
      </c>
      <c r="O714" s="82" t="e">
        <f>SUMIF(#REF!,funkcijska!$E714,#REF!)</f>
        <v>#REF!</v>
      </c>
      <c r="P714" s="82" t="e">
        <f>SUMIF(#REF!,funkcijska!$E714,#REF!)</f>
        <v>#REF!</v>
      </c>
      <c r="Q714" s="389" t="e">
        <f>U714-O714</f>
        <v>#REF!</v>
      </c>
      <c r="R714" s="82" t="e">
        <f>SUMIF(#REF!,funkcijska!$E714,#REF!)</f>
        <v>#REF!</v>
      </c>
      <c r="S714" s="82" t="e">
        <f>SUMIF(#REF!,funkcijska!$E714,#REF!)</f>
        <v>#REF!</v>
      </c>
      <c r="T714" s="82" t="e">
        <f>SUMIF(#REF!,funkcijska!$E$90,#REF!)</f>
        <v>#REF!</v>
      </c>
      <c r="U714" s="357" t="e">
        <f>SUMIF(#REF!,funkcijska!$E714,#REF!)</f>
        <v>#REF!</v>
      </c>
      <c r="V714" s="357" t="e">
        <f>SUMIF(#REF!,funkcijska!$E714,#REF!)</f>
        <v>#REF!</v>
      </c>
      <c r="W714" s="357" t="e">
        <f>SUMIF(#REF!,funkcijska!$E714,#REF!)</f>
        <v>#REF!</v>
      </c>
      <c r="X714" s="357" t="e">
        <f>SUMIF(#REF!,funkcijska!$E714,#REF!)</f>
        <v>#REF!</v>
      </c>
      <c r="AD714" s="60"/>
      <c r="AE714" s="60"/>
      <c r="AF714" s="60"/>
      <c r="AG714" s="60"/>
      <c r="AH714" s="60"/>
      <c r="AI714" s="60"/>
      <c r="AJ714" s="60"/>
      <c r="AK714" s="60"/>
      <c r="AL714" s="60"/>
    </row>
    <row r="715" spans="1:38" ht="36.75" customHeight="1" x14ac:dyDescent="0.25">
      <c r="A715" s="125"/>
      <c r="B715" s="74"/>
      <c r="C715" s="74" t="str">
        <f>LEFT(E717,2)</f>
        <v>42</v>
      </c>
      <c r="D715" s="74"/>
      <c r="E715" s="74"/>
      <c r="F715" s="75" t="s">
        <v>212</v>
      </c>
      <c r="G715" s="77" t="e">
        <f>G716+G720+G728+G730+G734+G732</f>
        <v>#REF!</v>
      </c>
      <c r="H715" s="118" t="e">
        <f>H716+H720+H728+H730+H734+H732</f>
        <v>#REF!</v>
      </c>
      <c r="I715" s="77" t="e">
        <f>I716+I720+I728+I730+I734+I732</f>
        <v>#REF!</v>
      </c>
      <c r="J715" s="77" t="e">
        <f>J716+J720+J728+J730+J734+J732</f>
        <v>#REF!</v>
      </c>
      <c r="K715" s="77" t="e">
        <f>K716+K720+K728+K730+K734+K732</f>
        <v>#REF!</v>
      </c>
      <c r="L715" s="77" t="e">
        <f t="shared" si="350"/>
        <v>#REF!</v>
      </c>
      <c r="M715" s="77" t="e">
        <f t="shared" si="351"/>
        <v>#REF!</v>
      </c>
      <c r="N715" s="77" t="e">
        <f t="shared" ref="N715:X715" si="356">N716+N720+N728+N730+N734+N732</f>
        <v>#REF!</v>
      </c>
      <c r="O715" s="76" t="e">
        <f t="shared" si="356"/>
        <v>#REF!</v>
      </c>
      <c r="P715" s="76" t="e">
        <f t="shared" si="356"/>
        <v>#REF!</v>
      </c>
      <c r="Q715" s="385" t="e">
        <f t="shared" si="356"/>
        <v>#REF!</v>
      </c>
      <c r="R715" s="135" t="e">
        <f t="shared" si="356"/>
        <v>#REF!</v>
      </c>
      <c r="S715" s="135" t="e">
        <f t="shared" si="356"/>
        <v>#REF!</v>
      </c>
      <c r="T715" s="135" t="e">
        <f t="shared" si="356"/>
        <v>#REF!</v>
      </c>
      <c r="U715" s="356" t="e">
        <f t="shared" si="356"/>
        <v>#REF!</v>
      </c>
      <c r="V715" s="356" t="e">
        <f t="shared" si="356"/>
        <v>#REF!</v>
      </c>
      <c r="W715" s="356" t="e">
        <f t="shared" si="356"/>
        <v>#REF!</v>
      </c>
      <c r="X715" s="356" t="e">
        <f t="shared" si="356"/>
        <v>#REF!</v>
      </c>
      <c r="AD715" s="60"/>
      <c r="AE715" s="60"/>
      <c r="AF715" s="60"/>
      <c r="AG715" s="60"/>
      <c r="AH715" s="60"/>
      <c r="AI715" s="60"/>
      <c r="AJ715" s="60"/>
      <c r="AK715" s="60"/>
      <c r="AL715" s="60"/>
    </row>
    <row r="716" spans="1:38" s="373" customFormat="1" ht="17.25" customHeight="1" x14ac:dyDescent="0.25">
      <c r="A716" s="119"/>
      <c r="B716" s="119"/>
      <c r="C716" s="119"/>
      <c r="D716" s="119" t="str">
        <f>LEFT(E717,3)</f>
        <v>421</v>
      </c>
      <c r="E716" s="119"/>
      <c r="F716" s="368" t="s">
        <v>759</v>
      </c>
      <c r="G716" s="369" t="e">
        <f t="shared" ref="G716:X716" si="357">SUM(G717:G719)</f>
        <v>#REF!</v>
      </c>
      <c r="H716" s="370" t="e">
        <f t="shared" si="357"/>
        <v>#REF!</v>
      </c>
      <c r="I716" s="369" t="e">
        <f t="shared" si="357"/>
        <v>#REF!</v>
      </c>
      <c r="J716" s="369" t="e">
        <f t="shared" si="357"/>
        <v>#REF!</v>
      </c>
      <c r="K716" s="369" t="e">
        <f t="shared" si="357"/>
        <v>#REF!</v>
      </c>
      <c r="L716" s="369" t="e">
        <f t="shared" si="357"/>
        <v>#REF!</v>
      </c>
      <c r="M716" s="369" t="e">
        <f t="shared" si="357"/>
        <v>#REF!</v>
      </c>
      <c r="N716" s="369" t="e">
        <f t="shared" si="357"/>
        <v>#REF!</v>
      </c>
      <c r="O716" s="369" t="e">
        <f t="shared" si="357"/>
        <v>#REF!</v>
      </c>
      <c r="P716" s="369" t="e">
        <f t="shared" si="357"/>
        <v>#REF!</v>
      </c>
      <c r="Q716" s="392" t="e">
        <f t="shared" si="357"/>
        <v>#REF!</v>
      </c>
      <c r="R716" s="369" t="e">
        <f t="shared" si="357"/>
        <v>#REF!</v>
      </c>
      <c r="S716" s="369" t="e">
        <f t="shared" si="357"/>
        <v>#REF!</v>
      </c>
      <c r="T716" s="369" t="e">
        <f t="shared" si="357"/>
        <v>#REF!</v>
      </c>
      <c r="U716" s="374" t="e">
        <f t="shared" si="357"/>
        <v>#REF!</v>
      </c>
      <c r="V716" s="374" t="e">
        <f t="shared" si="357"/>
        <v>#REF!</v>
      </c>
      <c r="W716" s="374" t="e">
        <f t="shared" si="357"/>
        <v>#REF!</v>
      </c>
      <c r="X716" s="371" t="e">
        <f t="shared" si="357"/>
        <v>#REF!</v>
      </c>
      <c r="Y716" s="372"/>
      <c r="Z716" s="372"/>
      <c r="AA716" s="372"/>
      <c r="AB716" s="372"/>
      <c r="AC716" s="372"/>
      <c r="AD716" s="372"/>
      <c r="AE716" s="372"/>
      <c r="AF716" s="372"/>
      <c r="AG716" s="372"/>
      <c r="AH716" s="372"/>
      <c r="AI716" s="372"/>
      <c r="AJ716" s="372"/>
      <c r="AK716" s="372"/>
      <c r="AL716" s="372"/>
    </row>
    <row r="717" spans="1:38" ht="21" customHeight="1" x14ac:dyDescent="0.25">
      <c r="A717" s="80"/>
      <c r="B717" s="80"/>
      <c r="C717" s="80"/>
      <c r="D717" s="80"/>
      <c r="E717" s="80">
        <v>4212</v>
      </c>
      <c r="F717" s="81" t="s">
        <v>1025</v>
      </c>
      <c r="G717" s="82" t="e">
        <f>SUMIF(#REF!,funkcijska!$E717,#REF!)</f>
        <v>#REF!</v>
      </c>
      <c r="H717" s="82" t="e">
        <f>SUMIF(#REF!,funkcijska!$E717,#REF!)</f>
        <v>#REF!</v>
      </c>
      <c r="I717" s="82" t="e">
        <f>SUMIF(#REF!,funkcijska!$E717,#REF!)</f>
        <v>#REF!</v>
      </c>
      <c r="J717" s="82" t="e">
        <f>SUMIF(#REF!,funkcijska!$E717,#REF!)</f>
        <v>#REF!</v>
      </c>
      <c r="K717" s="82" t="e">
        <f>SUMIF(#REF!,funkcijska!$E717,#REF!)</f>
        <v>#REF!</v>
      </c>
      <c r="L717" s="82" t="e">
        <f>ROUND(K717/J717*100,2)</f>
        <v>#REF!</v>
      </c>
      <c r="M717" s="82" t="e">
        <f>N717-J717</f>
        <v>#REF!</v>
      </c>
      <c r="N717" s="82" t="e">
        <f>SUMIF(#REF!,funkcijska!$E717,#REF!)</f>
        <v>#REF!</v>
      </c>
      <c r="O717" s="82" t="e">
        <f>SUMIF(#REF!,funkcijska!$E717,#REF!)</f>
        <v>#REF!</v>
      </c>
      <c r="P717" s="82" t="e">
        <f>SUMIF(#REF!,funkcijska!$E717,#REF!)</f>
        <v>#REF!</v>
      </c>
      <c r="Q717" s="386" t="e">
        <f>SUMIF(#REF!,funkcijska!$E717,#REF!)</f>
        <v>#REF!</v>
      </c>
      <c r="R717" s="82" t="e">
        <f>SUMIF(#REF!,funkcijska!$E717,#REF!)</f>
        <v>#REF!</v>
      </c>
      <c r="S717" s="82" t="e">
        <f>SUMIF(#REF!,funkcijska!$E717,#REF!)</f>
        <v>#REF!</v>
      </c>
      <c r="T717" s="82" t="e">
        <f>SUMIF(#REF!,funkcijska!$E$93,#REF!)</f>
        <v>#REF!</v>
      </c>
      <c r="U717" s="357" t="e">
        <f>SUMIF(#REF!,funkcijska!$E717,#REF!)</f>
        <v>#REF!</v>
      </c>
      <c r="V717" s="357" t="e">
        <f>SUMIF(#REF!,funkcijska!$E717,#REF!)</f>
        <v>#REF!</v>
      </c>
      <c r="W717" s="357" t="e">
        <f>SUMIF(#REF!,funkcijska!$E717,#REF!)</f>
        <v>#REF!</v>
      </c>
      <c r="X717" s="357" t="e">
        <f>SUMIF(#REF!,funkcijska!$E717,#REF!)</f>
        <v>#REF!</v>
      </c>
      <c r="AD717" s="60"/>
      <c r="AE717" s="60"/>
      <c r="AF717" s="60"/>
      <c r="AG717" s="60"/>
      <c r="AH717" s="60"/>
      <c r="AI717" s="60"/>
      <c r="AJ717" s="60"/>
      <c r="AK717" s="60"/>
      <c r="AL717" s="60"/>
    </row>
    <row r="718" spans="1:38" ht="15" customHeight="1" x14ac:dyDescent="0.25">
      <c r="A718" s="80"/>
      <c r="B718" s="80"/>
      <c r="C718" s="80"/>
      <c r="D718" s="80"/>
      <c r="E718" s="80">
        <v>4213</v>
      </c>
      <c r="F718" s="81" t="s">
        <v>1026</v>
      </c>
      <c r="G718" s="82" t="e">
        <f>SUMIF(#REF!,funkcijska!$E718,#REF!)</f>
        <v>#REF!</v>
      </c>
      <c r="H718" s="82" t="e">
        <f>SUMIF(#REF!,funkcijska!$E718,#REF!)</f>
        <v>#REF!</v>
      </c>
      <c r="I718" s="82" t="e">
        <f>SUMIF(#REF!,funkcijska!$E718,#REF!)</f>
        <v>#REF!</v>
      </c>
      <c r="J718" s="82" t="e">
        <f>SUMIF(#REF!,funkcijska!$E718,#REF!)</f>
        <v>#REF!</v>
      </c>
      <c r="K718" s="82" t="e">
        <f>SUMIF(#REF!,funkcijska!$E718,#REF!)</f>
        <v>#REF!</v>
      </c>
      <c r="L718" s="82" t="e">
        <f>ROUND(K718/J718*100,2)</f>
        <v>#REF!</v>
      </c>
      <c r="M718" s="82" t="e">
        <f>N718-J718</f>
        <v>#REF!</v>
      </c>
      <c r="N718" s="82" t="e">
        <f>SUMIF(#REF!,funkcijska!$E718,#REF!)</f>
        <v>#REF!</v>
      </c>
      <c r="O718" s="82" t="e">
        <f>SUMIF(#REF!,funkcijska!$E718,#REF!)</f>
        <v>#REF!</v>
      </c>
      <c r="P718" s="82" t="e">
        <f>SUMIF(#REF!,funkcijska!$E718,#REF!)</f>
        <v>#REF!</v>
      </c>
      <c r="Q718" s="386" t="e">
        <f>SUMIF(#REF!,funkcijska!$E718,#REF!)</f>
        <v>#REF!</v>
      </c>
      <c r="R718" s="82" t="e">
        <f>SUMIF(#REF!,funkcijska!$E718,#REF!)</f>
        <v>#REF!</v>
      </c>
      <c r="S718" s="82" t="e">
        <f>SUMIF(#REF!,funkcijska!$E718,#REF!)</f>
        <v>#REF!</v>
      </c>
      <c r="T718" s="82" t="e">
        <f>SUMIF(#REF!,funkcijska!$E$94,#REF!)</f>
        <v>#REF!</v>
      </c>
      <c r="U718" s="357" t="e">
        <f>SUMIF(#REF!,funkcijska!$E718,#REF!)</f>
        <v>#REF!</v>
      </c>
      <c r="V718" s="357" t="e">
        <f>SUMIF(#REF!,funkcijska!$E718,#REF!)</f>
        <v>#REF!</v>
      </c>
      <c r="W718" s="357" t="e">
        <f>SUMIF(#REF!,funkcijska!$E718,#REF!)</f>
        <v>#REF!</v>
      </c>
      <c r="X718" s="357" t="e">
        <f>SUMIF(#REF!,funkcijska!$E718,#REF!)</f>
        <v>#REF!</v>
      </c>
      <c r="AD718" s="60"/>
      <c r="AE718" s="60"/>
      <c r="AF718" s="60"/>
      <c r="AG718" s="60"/>
      <c r="AH718" s="60"/>
      <c r="AI718" s="60"/>
      <c r="AJ718" s="60"/>
      <c r="AK718" s="60"/>
      <c r="AL718" s="60"/>
    </row>
    <row r="719" spans="1:38" ht="20.25" customHeight="1" x14ac:dyDescent="0.25">
      <c r="A719" s="80"/>
      <c r="B719" s="80"/>
      <c r="C719" s="80"/>
      <c r="D719" s="80"/>
      <c r="E719" s="80">
        <v>4214</v>
      </c>
      <c r="F719" s="132" t="s">
        <v>1027</v>
      </c>
      <c r="G719" s="82" t="e">
        <f>SUMIF(#REF!,funkcijska!$E719,#REF!)</f>
        <v>#REF!</v>
      </c>
      <c r="H719" s="82" t="e">
        <f>SUMIF(#REF!,funkcijska!$E719,#REF!)</f>
        <v>#REF!</v>
      </c>
      <c r="I719" s="82" t="e">
        <f>SUMIF(#REF!,funkcijska!$E719,#REF!)</f>
        <v>#REF!</v>
      </c>
      <c r="J719" s="82" t="e">
        <f>SUMIF(#REF!,funkcijska!$E719,#REF!)</f>
        <v>#REF!</v>
      </c>
      <c r="K719" s="82" t="e">
        <f>SUMIF(#REF!,funkcijska!$E719,#REF!)</f>
        <v>#REF!</v>
      </c>
      <c r="L719" s="82" t="e">
        <f>ROUND(K719/J719*100,2)</f>
        <v>#REF!</v>
      </c>
      <c r="M719" s="82" t="e">
        <f>N719-J719</f>
        <v>#REF!</v>
      </c>
      <c r="N719" s="82" t="e">
        <f>SUMIF(#REF!,funkcijska!$E719,#REF!)</f>
        <v>#REF!</v>
      </c>
      <c r="O719" s="82" t="e">
        <f>SUMIF(#REF!,funkcijska!$E719,#REF!)</f>
        <v>#REF!</v>
      </c>
      <c r="P719" s="82" t="e">
        <f>SUMIF(#REF!,funkcijska!$E719,#REF!)</f>
        <v>#REF!</v>
      </c>
      <c r="Q719" s="386" t="e">
        <f>SUMIF(#REF!,funkcijska!$E719,#REF!)</f>
        <v>#REF!</v>
      </c>
      <c r="R719" s="82" t="e">
        <f>SUMIF(#REF!,funkcijska!$E719,#REF!)</f>
        <v>#REF!</v>
      </c>
      <c r="S719" s="82" t="e">
        <f>SUMIF(#REF!,funkcijska!$E719,#REF!)</f>
        <v>#REF!</v>
      </c>
      <c r="T719" s="82" t="e">
        <f>SUMIF(#REF!,funkcijska!$E$95,#REF!)</f>
        <v>#REF!</v>
      </c>
      <c r="U719" s="357" t="e">
        <f>SUMIF(#REF!,funkcijska!$E719,#REF!)</f>
        <v>#REF!</v>
      </c>
      <c r="V719" s="357" t="e">
        <f>SUMIF(#REF!,funkcijska!$E719,#REF!)</f>
        <v>#REF!</v>
      </c>
      <c r="W719" s="357" t="e">
        <f>SUMIF(#REF!,funkcijska!$E719,#REF!)</f>
        <v>#REF!</v>
      </c>
      <c r="X719" s="357" t="e">
        <f>SUMIF(#REF!,funkcijska!$E719,#REF!)</f>
        <v>#REF!</v>
      </c>
      <c r="AD719" s="60"/>
      <c r="AE719" s="60"/>
      <c r="AF719" s="60"/>
      <c r="AG719" s="60"/>
      <c r="AH719" s="60"/>
      <c r="AI719" s="60"/>
      <c r="AJ719" s="60"/>
      <c r="AK719" s="60"/>
      <c r="AL719" s="60"/>
    </row>
    <row r="720" spans="1:38" s="373" customFormat="1" ht="17.25" customHeight="1" x14ac:dyDescent="0.25">
      <c r="A720" s="119"/>
      <c r="B720" s="119"/>
      <c r="C720" s="119"/>
      <c r="D720" s="119" t="str">
        <f>LEFT(E721,3)</f>
        <v>422</v>
      </c>
      <c r="E720" s="119"/>
      <c r="F720" s="368" t="s">
        <v>555</v>
      </c>
      <c r="G720" s="369" t="e">
        <f t="shared" ref="G720:X720" si="358">SUM(G721:G727)</f>
        <v>#REF!</v>
      </c>
      <c r="H720" s="370" t="e">
        <f t="shared" si="358"/>
        <v>#REF!</v>
      </c>
      <c r="I720" s="369" t="e">
        <f t="shared" si="358"/>
        <v>#REF!</v>
      </c>
      <c r="J720" s="369" t="e">
        <f t="shared" si="358"/>
        <v>#REF!</v>
      </c>
      <c r="K720" s="369" t="e">
        <f t="shared" si="358"/>
        <v>#REF!</v>
      </c>
      <c r="L720" s="369" t="e">
        <f t="shared" si="358"/>
        <v>#REF!</v>
      </c>
      <c r="M720" s="369" t="e">
        <f t="shared" si="358"/>
        <v>#REF!</v>
      </c>
      <c r="N720" s="369" t="e">
        <f t="shared" si="358"/>
        <v>#REF!</v>
      </c>
      <c r="O720" s="369" t="e">
        <f t="shared" si="358"/>
        <v>#REF!</v>
      </c>
      <c r="P720" s="369" t="e">
        <f t="shared" si="358"/>
        <v>#REF!</v>
      </c>
      <c r="Q720" s="392" t="e">
        <f t="shared" si="358"/>
        <v>#REF!</v>
      </c>
      <c r="R720" s="369" t="e">
        <f t="shared" si="358"/>
        <v>#REF!</v>
      </c>
      <c r="S720" s="369" t="e">
        <f t="shared" si="358"/>
        <v>#REF!</v>
      </c>
      <c r="T720" s="369" t="e">
        <f t="shared" si="358"/>
        <v>#REF!</v>
      </c>
      <c r="U720" s="371" t="e">
        <f t="shared" si="358"/>
        <v>#REF!</v>
      </c>
      <c r="V720" s="371" t="e">
        <f t="shared" si="358"/>
        <v>#REF!</v>
      </c>
      <c r="W720" s="371" t="e">
        <f t="shared" si="358"/>
        <v>#REF!</v>
      </c>
      <c r="X720" s="371" t="e">
        <f t="shared" si="358"/>
        <v>#REF!</v>
      </c>
      <c r="Y720" s="372"/>
      <c r="Z720" s="372"/>
      <c r="AA720" s="372"/>
      <c r="AB720" s="372"/>
      <c r="AC720" s="372"/>
      <c r="AD720" s="372"/>
      <c r="AE720" s="372"/>
      <c r="AF720" s="372"/>
      <c r="AG720" s="372"/>
      <c r="AH720" s="372"/>
      <c r="AI720" s="372"/>
      <c r="AJ720" s="372"/>
      <c r="AK720" s="372"/>
      <c r="AL720" s="372"/>
    </row>
    <row r="721" spans="1:38" ht="18.75" customHeight="1" x14ac:dyDescent="0.25">
      <c r="A721" s="80"/>
      <c r="B721" s="80"/>
      <c r="C721" s="80"/>
      <c r="D721" s="80"/>
      <c r="E721" s="80">
        <v>4221</v>
      </c>
      <c r="F721" s="81" t="s">
        <v>558</v>
      </c>
      <c r="G721" s="82" t="e">
        <f>SUMIF(#REF!,funkcijska!$E721,#REF!)</f>
        <v>#REF!</v>
      </c>
      <c r="H721" s="82" t="e">
        <f>SUMIF(#REF!,funkcijska!$E721,#REF!)</f>
        <v>#REF!</v>
      </c>
      <c r="I721" s="82" t="e">
        <f>SUMIF(#REF!,funkcijska!$E721,#REF!)</f>
        <v>#REF!</v>
      </c>
      <c r="J721" s="82" t="e">
        <f>SUMIF(#REF!,funkcijska!$E721,#REF!)</f>
        <v>#REF!</v>
      </c>
      <c r="K721" s="82" t="e">
        <f>SUMIF(#REF!,funkcijska!$E721,#REF!)</f>
        <v>#REF!</v>
      </c>
      <c r="L721" s="82" t="e">
        <f t="shared" ref="L721:L733" si="359">ROUND(K721/J721*100,2)</f>
        <v>#REF!</v>
      </c>
      <c r="M721" s="82" t="e">
        <f t="shared" ref="M721:M733" si="360">N721-J721</f>
        <v>#REF!</v>
      </c>
      <c r="N721" s="82" t="e">
        <f>SUMIF(#REF!,funkcijska!$E721,#REF!)</f>
        <v>#REF!</v>
      </c>
      <c r="O721" s="82" t="e">
        <f>SUMIF(#REF!,funkcijska!$E721,#REF!)</f>
        <v>#REF!</v>
      </c>
      <c r="P721" s="82" t="e">
        <f>SUMIF(#REF!,funkcijska!$E721,#REF!)</f>
        <v>#REF!</v>
      </c>
      <c r="Q721" s="386" t="e">
        <f>SUMIF(#REF!,funkcijska!$E721,#REF!)</f>
        <v>#REF!</v>
      </c>
      <c r="R721" s="82" t="e">
        <f>SUMIF(#REF!,funkcijska!$E721,#REF!)</f>
        <v>#REF!</v>
      </c>
      <c r="S721" s="82" t="e">
        <f>SUMIF(#REF!,funkcijska!$E721,#REF!)</f>
        <v>#REF!</v>
      </c>
      <c r="T721" s="82" t="e">
        <f>SUMIF(#REF!,funkcijska!$E$97,#REF!)</f>
        <v>#REF!</v>
      </c>
      <c r="U721" s="357" t="e">
        <f>SUMIF(#REF!,funkcijska!$E721,#REF!)</f>
        <v>#REF!</v>
      </c>
      <c r="V721" s="357" t="e">
        <f>SUMIF(#REF!,funkcijska!$E721,#REF!)</f>
        <v>#REF!</v>
      </c>
      <c r="W721" s="357" t="e">
        <f>SUMIF(#REF!,funkcijska!$E721,#REF!)</f>
        <v>#REF!</v>
      </c>
      <c r="X721" s="357" t="e">
        <f>SUMIF(#REF!,funkcijska!$E721,#REF!)</f>
        <v>#REF!</v>
      </c>
      <c r="AD721" s="60"/>
      <c r="AE721" s="60"/>
      <c r="AF721" s="60"/>
      <c r="AG721" s="60"/>
      <c r="AH721" s="60"/>
      <c r="AI721" s="60"/>
      <c r="AJ721" s="60"/>
      <c r="AK721" s="60"/>
      <c r="AL721" s="60"/>
    </row>
    <row r="722" spans="1:38" ht="20.25" customHeight="1" x14ac:dyDescent="0.25">
      <c r="A722" s="80"/>
      <c r="B722" s="80"/>
      <c r="C722" s="80"/>
      <c r="D722" s="80"/>
      <c r="E722" s="80">
        <v>4222</v>
      </c>
      <c r="F722" s="81" t="s">
        <v>559</v>
      </c>
      <c r="G722" s="82" t="e">
        <f>SUMIF(#REF!,funkcijska!$E722,#REF!)</f>
        <v>#REF!</v>
      </c>
      <c r="H722" s="82" t="e">
        <f>SUMIF(#REF!,funkcijska!$E722,#REF!)</f>
        <v>#REF!</v>
      </c>
      <c r="I722" s="82" t="e">
        <f>SUMIF(#REF!,funkcijska!$E722,#REF!)</f>
        <v>#REF!</v>
      </c>
      <c r="J722" s="82" t="e">
        <f>SUMIF(#REF!,funkcijska!$E722,#REF!)</f>
        <v>#REF!</v>
      </c>
      <c r="K722" s="82" t="e">
        <f>SUMIF(#REF!,funkcijska!$E722,#REF!)</f>
        <v>#REF!</v>
      </c>
      <c r="L722" s="82" t="e">
        <f t="shared" si="359"/>
        <v>#REF!</v>
      </c>
      <c r="M722" s="82" t="e">
        <f t="shared" si="360"/>
        <v>#REF!</v>
      </c>
      <c r="N722" s="82" t="e">
        <f>SUMIF(#REF!,funkcijska!$E722,#REF!)</f>
        <v>#REF!</v>
      </c>
      <c r="O722" s="82" t="e">
        <f>SUMIF(#REF!,funkcijska!$E722,#REF!)</f>
        <v>#REF!</v>
      </c>
      <c r="P722" s="82" t="e">
        <f>SUMIF(#REF!,funkcijska!$E722,#REF!)</f>
        <v>#REF!</v>
      </c>
      <c r="Q722" s="386" t="e">
        <f>SUMIF(#REF!,funkcijska!$E722,#REF!)</f>
        <v>#REF!</v>
      </c>
      <c r="R722" s="82" t="e">
        <f>SUMIF(#REF!,funkcijska!$E722,#REF!)</f>
        <v>#REF!</v>
      </c>
      <c r="S722" s="82" t="e">
        <f>SUMIF(#REF!,funkcijska!$E722,#REF!)</f>
        <v>#REF!</v>
      </c>
      <c r="T722" s="82" t="e">
        <f>SUMIF(#REF!,funkcijska!$E$98,#REF!)</f>
        <v>#REF!</v>
      </c>
      <c r="U722" s="357" t="e">
        <f>SUMIF(#REF!,funkcijska!$E722,#REF!)</f>
        <v>#REF!</v>
      </c>
      <c r="V722" s="357" t="e">
        <f>SUMIF(#REF!,funkcijska!$E722,#REF!)</f>
        <v>#REF!</v>
      </c>
      <c r="W722" s="357" t="e">
        <f>SUMIF(#REF!,funkcijska!$E722,#REF!)</f>
        <v>#REF!</v>
      </c>
      <c r="X722" s="357" t="e">
        <f>SUMIF(#REF!,funkcijska!$E722,#REF!)</f>
        <v>#REF!</v>
      </c>
      <c r="AD722" s="60"/>
      <c r="AE722" s="60"/>
      <c r="AF722" s="60"/>
      <c r="AG722" s="60"/>
      <c r="AH722" s="60"/>
      <c r="AI722" s="60"/>
      <c r="AJ722" s="60"/>
      <c r="AK722" s="60"/>
      <c r="AL722" s="60"/>
    </row>
    <row r="723" spans="1:38" ht="23.25" customHeight="1" x14ac:dyDescent="0.25">
      <c r="A723" s="80"/>
      <c r="B723" s="80"/>
      <c r="C723" s="80"/>
      <c r="D723" s="80"/>
      <c r="E723" s="80">
        <v>4223</v>
      </c>
      <c r="F723" s="81" t="s">
        <v>628</v>
      </c>
      <c r="G723" s="82" t="e">
        <f>SUMIF(#REF!,funkcijska!$E723,#REF!)</f>
        <v>#REF!</v>
      </c>
      <c r="H723" s="82" t="e">
        <f>SUMIF(#REF!,funkcijska!$E723,#REF!)</f>
        <v>#REF!</v>
      </c>
      <c r="I723" s="82" t="e">
        <f>SUMIF(#REF!,funkcijska!$E723,#REF!)</f>
        <v>#REF!</v>
      </c>
      <c r="J723" s="82" t="e">
        <f>SUMIF(#REF!,funkcijska!$E723,#REF!)</f>
        <v>#REF!</v>
      </c>
      <c r="K723" s="82" t="e">
        <f>SUMIF(#REF!,funkcijska!$E723,#REF!)</f>
        <v>#REF!</v>
      </c>
      <c r="L723" s="82" t="e">
        <f t="shared" si="359"/>
        <v>#REF!</v>
      </c>
      <c r="M723" s="82" t="e">
        <f t="shared" si="360"/>
        <v>#REF!</v>
      </c>
      <c r="N723" s="82" t="e">
        <f>SUMIF(#REF!,funkcijska!$E723,#REF!)</f>
        <v>#REF!</v>
      </c>
      <c r="O723" s="82" t="e">
        <f>SUMIF(#REF!,funkcijska!$E723,#REF!)</f>
        <v>#REF!</v>
      </c>
      <c r="P723" s="82" t="e">
        <f>SUMIF(#REF!,funkcijska!$E723,#REF!)</f>
        <v>#REF!</v>
      </c>
      <c r="Q723" s="386" t="e">
        <f>SUMIF(#REF!,funkcijska!$E723,#REF!)</f>
        <v>#REF!</v>
      </c>
      <c r="R723" s="82" t="e">
        <f>SUMIF(#REF!,funkcijska!$E723,#REF!)</f>
        <v>#REF!</v>
      </c>
      <c r="S723" s="82" t="e">
        <f>SUMIF(#REF!,funkcijska!$E723,#REF!)</f>
        <v>#REF!</v>
      </c>
      <c r="T723" s="82" t="e">
        <f>SUMIF(#REF!,funkcijska!$E$99,#REF!)</f>
        <v>#REF!</v>
      </c>
      <c r="U723" s="357" t="e">
        <f>SUMIF(#REF!,funkcijska!$E723,#REF!)</f>
        <v>#REF!</v>
      </c>
      <c r="V723" s="357" t="e">
        <f>SUMIF(#REF!,funkcijska!$E723,#REF!)</f>
        <v>#REF!</v>
      </c>
      <c r="W723" s="357" t="e">
        <f>SUMIF(#REF!,funkcijska!$E723,#REF!)</f>
        <v>#REF!</v>
      </c>
      <c r="X723" s="357" t="e">
        <f>SUMIF(#REF!,funkcijska!$E723,#REF!)</f>
        <v>#REF!</v>
      </c>
      <c r="AD723" s="60"/>
      <c r="AE723" s="60"/>
      <c r="AF723" s="60"/>
      <c r="AG723" s="60"/>
      <c r="AH723" s="60"/>
      <c r="AI723" s="60"/>
      <c r="AJ723" s="60"/>
      <c r="AK723" s="60"/>
      <c r="AL723" s="60"/>
    </row>
    <row r="724" spans="1:38" x14ac:dyDescent="0.25">
      <c r="A724" s="80"/>
      <c r="B724" s="80"/>
      <c r="C724" s="80"/>
      <c r="D724" s="80"/>
      <c r="E724" s="80">
        <v>4224</v>
      </c>
      <c r="F724" s="81" t="s">
        <v>638</v>
      </c>
      <c r="G724" s="82" t="e">
        <f>SUMIF(#REF!,funkcijska!$E724,#REF!)</f>
        <v>#REF!</v>
      </c>
      <c r="H724" s="82" t="e">
        <f>SUMIF(#REF!,funkcijska!$E724,#REF!)</f>
        <v>#REF!</v>
      </c>
      <c r="I724" s="82" t="e">
        <f>SUMIF(#REF!,funkcijska!$E724,#REF!)</f>
        <v>#REF!</v>
      </c>
      <c r="J724" s="82" t="e">
        <f>SUMIF(#REF!,funkcijska!$E724,#REF!)</f>
        <v>#REF!</v>
      </c>
      <c r="K724" s="82" t="e">
        <f>SUMIF(#REF!,funkcijska!$E724,#REF!)</f>
        <v>#REF!</v>
      </c>
      <c r="L724" s="82" t="e">
        <f t="shared" si="359"/>
        <v>#REF!</v>
      </c>
      <c r="M724" s="82" t="e">
        <f t="shared" si="360"/>
        <v>#REF!</v>
      </c>
      <c r="N724" s="82" t="e">
        <f>SUMIF(#REF!,funkcijska!$E724,#REF!)</f>
        <v>#REF!</v>
      </c>
      <c r="O724" s="82" t="e">
        <f>SUMIF(#REF!,funkcijska!$E724,#REF!)</f>
        <v>#REF!</v>
      </c>
      <c r="P724" s="82" t="e">
        <f>SUMIF(#REF!,funkcijska!$E724,#REF!)</f>
        <v>#REF!</v>
      </c>
      <c r="Q724" s="386" t="e">
        <f>SUMIF(#REF!,funkcijska!$E724,#REF!)</f>
        <v>#REF!</v>
      </c>
      <c r="R724" s="82" t="e">
        <f>SUMIF(#REF!,funkcijska!$E724,#REF!)</f>
        <v>#REF!</v>
      </c>
      <c r="S724" s="82" t="e">
        <f>SUMIF(#REF!,funkcijska!$E724,#REF!)</f>
        <v>#REF!</v>
      </c>
      <c r="T724" s="82" t="e">
        <f>SUMIF(#REF!,funkcijska!$E$100,#REF!)</f>
        <v>#REF!</v>
      </c>
      <c r="U724" s="357" t="e">
        <f>SUMIF(#REF!,funkcijska!$E724,#REF!)</f>
        <v>#REF!</v>
      </c>
      <c r="V724" s="357" t="e">
        <f>SUMIF(#REF!,funkcijska!$E724,#REF!)</f>
        <v>#REF!</v>
      </c>
      <c r="W724" s="357" t="e">
        <f>SUMIF(#REF!,funkcijska!$E724,#REF!)</f>
        <v>#REF!</v>
      </c>
      <c r="X724" s="357" t="e">
        <f>SUMIF(#REF!,funkcijska!$E724,#REF!)</f>
        <v>#REF!</v>
      </c>
      <c r="AD724" s="60"/>
      <c r="AE724" s="60"/>
      <c r="AF724" s="60"/>
      <c r="AG724" s="60"/>
      <c r="AH724" s="60"/>
      <c r="AI724" s="60"/>
      <c r="AJ724" s="60"/>
      <c r="AK724" s="60"/>
      <c r="AL724" s="60"/>
    </row>
    <row r="725" spans="1:38" ht="18" customHeight="1" x14ac:dyDescent="0.25">
      <c r="A725" s="80"/>
      <c r="B725" s="80"/>
      <c r="C725" s="80"/>
      <c r="D725" s="80"/>
      <c r="E725" s="80">
        <v>4225</v>
      </c>
      <c r="F725" s="81" t="s">
        <v>844</v>
      </c>
      <c r="G725" s="82" t="e">
        <f>SUMIF(#REF!,funkcijska!$E725,#REF!)</f>
        <v>#REF!</v>
      </c>
      <c r="H725" s="82" t="e">
        <f>SUMIF(#REF!,funkcijska!$E725,#REF!)</f>
        <v>#REF!</v>
      </c>
      <c r="I725" s="82" t="e">
        <f>SUMIF(#REF!,funkcijska!$E725,#REF!)</f>
        <v>#REF!</v>
      </c>
      <c r="J725" s="82" t="e">
        <f>SUMIF(#REF!,funkcijska!$E725,#REF!)</f>
        <v>#REF!</v>
      </c>
      <c r="K725" s="82" t="e">
        <f>SUMIF(#REF!,funkcijska!$E725,#REF!)</f>
        <v>#REF!</v>
      </c>
      <c r="L725" s="82" t="e">
        <f t="shared" si="359"/>
        <v>#REF!</v>
      </c>
      <c r="M725" s="82" t="e">
        <f t="shared" si="360"/>
        <v>#REF!</v>
      </c>
      <c r="N725" s="82" t="e">
        <f>SUMIF(#REF!,funkcijska!$E725,#REF!)</f>
        <v>#REF!</v>
      </c>
      <c r="O725" s="82" t="e">
        <f>SUMIF(#REF!,funkcijska!$E725,#REF!)</f>
        <v>#REF!</v>
      </c>
      <c r="P725" s="82" t="e">
        <f>SUMIF(#REF!,funkcijska!$E725,#REF!)</f>
        <v>#REF!</v>
      </c>
      <c r="Q725" s="386" t="e">
        <f>SUMIF(#REF!,funkcijska!$E725,#REF!)</f>
        <v>#REF!</v>
      </c>
      <c r="R725" s="82" t="e">
        <f>SUMIF(#REF!,funkcijska!$E725,#REF!)</f>
        <v>#REF!</v>
      </c>
      <c r="S725" s="82" t="e">
        <f>SUMIF(#REF!,funkcijska!$E725,#REF!)</f>
        <v>#REF!</v>
      </c>
      <c r="T725" s="82" t="e">
        <f>SUMIF(#REF!,funkcijska!$E$101,#REF!)</f>
        <v>#REF!</v>
      </c>
      <c r="U725" s="357" t="e">
        <f>SUMIF(#REF!,funkcijska!$E725,#REF!)</f>
        <v>#REF!</v>
      </c>
      <c r="V725" s="357" t="e">
        <f>SUMIF(#REF!,funkcijska!$E725,#REF!)</f>
        <v>#REF!</v>
      </c>
      <c r="W725" s="357" t="e">
        <f>SUMIF(#REF!,funkcijska!$E725,#REF!)</f>
        <v>#REF!</v>
      </c>
      <c r="X725" s="357" t="e">
        <f>SUMIF(#REF!,funkcijska!$E725,#REF!)</f>
        <v>#REF!</v>
      </c>
      <c r="AD725" s="60"/>
      <c r="AE725" s="60"/>
      <c r="AF725" s="60"/>
      <c r="AG725" s="60"/>
      <c r="AH725" s="60"/>
      <c r="AI725" s="60"/>
      <c r="AJ725" s="60"/>
      <c r="AK725" s="60"/>
      <c r="AL725" s="60"/>
    </row>
    <row r="726" spans="1:38" ht="20.25" customHeight="1" x14ac:dyDescent="0.25">
      <c r="A726" s="80"/>
      <c r="B726" s="80"/>
      <c r="C726" s="80"/>
      <c r="D726" s="80"/>
      <c r="E726" s="80">
        <v>4226</v>
      </c>
      <c r="F726" s="81" t="s">
        <v>432</v>
      </c>
      <c r="G726" s="82" t="e">
        <f>SUMIF(#REF!,funkcijska!$E726,#REF!)</f>
        <v>#REF!</v>
      </c>
      <c r="H726" s="82" t="e">
        <f>SUMIF(#REF!,funkcijska!$E726,#REF!)</f>
        <v>#REF!</v>
      </c>
      <c r="I726" s="82" t="e">
        <f>SUMIF(#REF!,funkcijska!$E726,#REF!)</f>
        <v>#REF!</v>
      </c>
      <c r="J726" s="82" t="e">
        <f>SUMIF(#REF!,funkcijska!$E726,#REF!)</f>
        <v>#REF!</v>
      </c>
      <c r="K726" s="82" t="e">
        <f>SUMIF(#REF!,funkcijska!$E726,#REF!)</f>
        <v>#REF!</v>
      </c>
      <c r="L726" s="82" t="e">
        <f t="shared" si="359"/>
        <v>#REF!</v>
      </c>
      <c r="M726" s="82" t="e">
        <f t="shared" si="360"/>
        <v>#REF!</v>
      </c>
      <c r="N726" s="82" t="e">
        <f>SUMIF(#REF!,funkcijska!$E726,#REF!)</f>
        <v>#REF!</v>
      </c>
      <c r="O726" s="82" t="e">
        <f>SUMIF(#REF!,funkcijska!$E726,#REF!)</f>
        <v>#REF!</v>
      </c>
      <c r="P726" s="82" t="e">
        <f>SUMIF(#REF!,funkcijska!$E726,#REF!)</f>
        <v>#REF!</v>
      </c>
      <c r="Q726" s="386" t="e">
        <f>SUMIF(#REF!,funkcijska!$E726,#REF!)</f>
        <v>#REF!</v>
      </c>
      <c r="R726" s="82" t="e">
        <f>SUMIF(#REF!,funkcijska!$E726,#REF!)</f>
        <v>#REF!</v>
      </c>
      <c r="S726" s="82" t="e">
        <f>SUMIF(#REF!,funkcijska!$E726,#REF!)</f>
        <v>#REF!</v>
      </c>
      <c r="T726" s="82" t="e">
        <f>SUMIF(#REF!,funkcijska!$E$102,#REF!)</f>
        <v>#REF!</v>
      </c>
      <c r="U726" s="357" t="e">
        <f>SUMIF(#REF!,funkcijska!$E726,#REF!)</f>
        <v>#REF!</v>
      </c>
      <c r="V726" s="357" t="e">
        <f>SUMIF(#REF!,funkcijska!$E726,#REF!)</f>
        <v>#REF!</v>
      </c>
      <c r="W726" s="357" t="e">
        <f>SUMIF(#REF!,funkcijska!$E726,#REF!)</f>
        <v>#REF!</v>
      </c>
      <c r="X726" s="357" t="e">
        <f>SUMIF(#REF!,funkcijska!$E726,#REF!)</f>
        <v>#REF!</v>
      </c>
      <c r="AD726" s="60"/>
      <c r="AE726" s="60"/>
      <c r="AF726" s="60"/>
      <c r="AG726" s="60"/>
      <c r="AH726" s="60"/>
      <c r="AI726" s="60"/>
      <c r="AJ726" s="60"/>
      <c r="AK726" s="60"/>
      <c r="AL726" s="60"/>
    </row>
    <row r="727" spans="1:38" ht="18.75" customHeight="1" x14ac:dyDescent="0.25">
      <c r="A727" s="80"/>
      <c r="B727" s="80"/>
      <c r="C727" s="80"/>
      <c r="D727" s="80"/>
      <c r="E727" s="80">
        <v>4227</v>
      </c>
      <c r="F727" s="81" t="s">
        <v>413</v>
      </c>
      <c r="G727" s="82" t="e">
        <f>SUMIF(#REF!,funkcijska!$E727,#REF!)</f>
        <v>#REF!</v>
      </c>
      <c r="H727" s="82" t="e">
        <f>SUMIF(#REF!,funkcijska!$E727,#REF!)</f>
        <v>#REF!</v>
      </c>
      <c r="I727" s="82" t="e">
        <f>SUMIF(#REF!,funkcijska!$E727,#REF!)</f>
        <v>#REF!</v>
      </c>
      <c r="J727" s="82" t="e">
        <f>SUMIF(#REF!,funkcijska!$E727,#REF!)</f>
        <v>#REF!</v>
      </c>
      <c r="K727" s="82" t="e">
        <f>SUMIF(#REF!,funkcijska!$E727,#REF!)</f>
        <v>#REF!</v>
      </c>
      <c r="L727" s="82" t="e">
        <f t="shared" si="359"/>
        <v>#REF!</v>
      </c>
      <c r="M727" s="82" t="e">
        <f t="shared" si="360"/>
        <v>#REF!</v>
      </c>
      <c r="N727" s="82" t="e">
        <f>SUMIF(#REF!,funkcijska!$E727,#REF!)</f>
        <v>#REF!</v>
      </c>
      <c r="O727" s="82" t="e">
        <f>SUMIF(#REF!,funkcijska!$E727,#REF!)</f>
        <v>#REF!</v>
      </c>
      <c r="P727" s="82" t="e">
        <f>SUMIF(#REF!,funkcijska!$E727,#REF!)</f>
        <v>#REF!</v>
      </c>
      <c r="Q727" s="386" t="e">
        <f>SUMIF(#REF!,funkcijska!$E727,#REF!)</f>
        <v>#REF!</v>
      </c>
      <c r="R727" s="82" t="e">
        <f>SUMIF(#REF!,funkcijska!$E727,#REF!)</f>
        <v>#REF!</v>
      </c>
      <c r="S727" s="82" t="e">
        <f>SUMIF(#REF!,funkcijska!$E727,#REF!)</f>
        <v>#REF!</v>
      </c>
      <c r="T727" s="82" t="e">
        <f>SUMIF(#REF!,funkcijska!$E$103,#REF!)</f>
        <v>#REF!</v>
      </c>
      <c r="U727" s="357" t="e">
        <f>SUMIF(#REF!,funkcijska!$E727,#REF!)</f>
        <v>#REF!</v>
      </c>
      <c r="V727" s="357" t="e">
        <f>SUMIF(#REF!,funkcijska!$E727,#REF!)</f>
        <v>#REF!</v>
      </c>
      <c r="W727" s="357" t="e">
        <f>SUMIF(#REF!,funkcijska!$E727,#REF!)</f>
        <v>#REF!</v>
      </c>
      <c r="X727" s="357" t="e">
        <f>SUMIF(#REF!,funkcijska!$E727,#REF!)</f>
        <v>#REF!</v>
      </c>
      <c r="AD727" s="60"/>
      <c r="AE727" s="60"/>
      <c r="AF727" s="60"/>
      <c r="AG727" s="60"/>
      <c r="AH727" s="60"/>
      <c r="AI727" s="60"/>
      <c r="AJ727" s="60"/>
      <c r="AK727" s="60"/>
      <c r="AL727" s="60"/>
    </row>
    <row r="728" spans="1:38" s="373" customFormat="1" ht="17.25" customHeight="1" x14ac:dyDescent="0.25">
      <c r="A728" s="119"/>
      <c r="B728" s="119"/>
      <c r="C728" s="119"/>
      <c r="D728" s="119" t="str">
        <f>LEFT(E729,3)</f>
        <v>423</v>
      </c>
      <c r="E728" s="119"/>
      <c r="F728" s="368" t="s">
        <v>223</v>
      </c>
      <c r="G728" s="369" t="e">
        <f>G729</f>
        <v>#REF!</v>
      </c>
      <c r="H728" s="370" t="e">
        <f>H729</f>
        <v>#REF!</v>
      </c>
      <c r="I728" s="369" t="e">
        <f>I729</f>
        <v>#REF!</v>
      </c>
      <c r="J728" s="369" t="e">
        <f>J729</f>
        <v>#REF!</v>
      </c>
      <c r="K728" s="369" t="e">
        <f>K729</f>
        <v>#REF!</v>
      </c>
      <c r="L728" s="369" t="e">
        <f t="shared" si="359"/>
        <v>#REF!</v>
      </c>
      <c r="M728" s="369" t="e">
        <f t="shared" si="360"/>
        <v>#REF!</v>
      </c>
      <c r="N728" s="369" t="e">
        <f t="shared" ref="N728:X728" si="361">N729</f>
        <v>#REF!</v>
      </c>
      <c r="O728" s="137" t="e">
        <f t="shared" si="361"/>
        <v>#REF!</v>
      </c>
      <c r="P728" s="137" t="e">
        <f t="shared" si="361"/>
        <v>#REF!</v>
      </c>
      <c r="Q728" s="393" t="e">
        <f t="shared" si="361"/>
        <v>#REF!</v>
      </c>
      <c r="R728" s="137" t="e">
        <f t="shared" si="361"/>
        <v>#REF!</v>
      </c>
      <c r="S728" s="137" t="e">
        <f t="shared" si="361"/>
        <v>#REF!</v>
      </c>
      <c r="T728" s="137" t="e">
        <f t="shared" si="361"/>
        <v>#REF!</v>
      </c>
      <c r="U728" s="371" t="e">
        <f t="shared" si="361"/>
        <v>#REF!</v>
      </c>
      <c r="V728" s="371" t="e">
        <f t="shared" si="361"/>
        <v>#REF!</v>
      </c>
      <c r="W728" s="371" t="e">
        <f t="shared" si="361"/>
        <v>#REF!</v>
      </c>
      <c r="X728" s="371" t="e">
        <f t="shared" si="361"/>
        <v>#REF!</v>
      </c>
      <c r="Y728" s="372"/>
      <c r="Z728" s="372"/>
      <c r="AA728" s="372"/>
      <c r="AB728" s="372"/>
      <c r="AC728" s="372"/>
      <c r="AD728" s="372"/>
      <c r="AE728" s="372"/>
      <c r="AF728" s="372"/>
      <c r="AG728" s="372"/>
      <c r="AH728" s="372"/>
      <c r="AI728" s="372"/>
      <c r="AJ728" s="372"/>
      <c r="AK728" s="372"/>
      <c r="AL728" s="372"/>
    </row>
    <row r="729" spans="1:38" ht="21" customHeight="1" x14ac:dyDescent="0.25">
      <c r="A729" s="80"/>
      <c r="B729" s="80"/>
      <c r="C729" s="80"/>
      <c r="D729" s="80"/>
      <c r="E729" s="80">
        <v>4231</v>
      </c>
      <c r="F729" s="81" t="s">
        <v>1028</v>
      </c>
      <c r="G729" s="82" t="e">
        <f>SUMIF(#REF!,funkcijska!$E729,#REF!)</f>
        <v>#REF!</v>
      </c>
      <c r="H729" s="82" t="e">
        <f>SUMIF(#REF!,funkcijska!$E729,#REF!)</f>
        <v>#REF!</v>
      </c>
      <c r="I729" s="82" t="e">
        <f>SUMIF(#REF!,funkcijska!$E729,#REF!)</f>
        <v>#REF!</v>
      </c>
      <c r="J729" s="82" t="e">
        <f>SUMIF(#REF!,funkcijska!$E729,#REF!)</f>
        <v>#REF!</v>
      </c>
      <c r="K729" s="82" t="e">
        <f>SUMIF(#REF!,funkcijska!$E729,#REF!)</f>
        <v>#REF!</v>
      </c>
      <c r="L729" s="82" t="e">
        <f t="shared" si="359"/>
        <v>#REF!</v>
      </c>
      <c r="M729" s="82" t="e">
        <f t="shared" si="360"/>
        <v>#REF!</v>
      </c>
      <c r="N729" s="82" t="e">
        <f>SUMIF(#REF!,funkcijska!$E729,#REF!)</f>
        <v>#REF!</v>
      </c>
      <c r="O729" s="82" t="e">
        <f>SUMIF(#REF!,funkcijska!$E729,#REF!)</f>
        <v>#REF!</v>
      </c>
      <c r="P729" s="82" t="e">
        <f>SUMIF(#REF!,funkcijska!$E729,#REF!)</f>
        <v>#REF!</v>
      </c>
      <c r="Q729" s="386" t="e">
        <f>SUMIF(#REF!,funkcijska!$E729,#REF!)</f>
        <v>#REF!</v>
      </c>
      <c r="R729" s="82" t="e">
        <f>SUMIF(#REF!,funkcijska!$E729,#REF!)</f>
        <v>#REF!</v>
      </c>
      <c r="S729" s="82" t="e">
        <f>SUMIF(#REF!,funkcijska!$E729,#REF!)</f>
        <v>#REF!</v>
      </c>
      <c r="T729" s="82" t="e">
        <f>SUMIF(#REF!,funkcijska!$E$105,#REF!)</f>
        <v>#REF!</v>
      </c>
      <c r="U729" s="357" t="e">
        <f>SUMIF(#REF!,funkcijska!$E729,#REF!)</f>
        <v>#REF!</v>
      </c>
      <c r="V729" s="357" t="e">
        <f>SUMIF(#REF!,funkcijska!$E729,#REF!)</f>
        <v>#REF!</v>
      </c>
      <c r="W729" s="357" t="e">
        <f>SUMIF(#REF!,funkcijska!$E729,#REF!)</f>
        <v>#REF!</v>
      </c>
      <c r="X729" s="357" t="e">
        <f>SUMIF(#REF!,funkcijska!$E729,#REF!)</f>
        <v>#REF!</v>
      </c>
      <c r="AD729" s="60"/>
      <c r="AE729" s="60"/>
      <c r="AF729" s="60"/>
      <c r="AG729" s="60"/>
      <c r="AH729" s="60"/>
      <c r="AI729" s="60"/>
      <c r="AJ729" s="60"/>
      <c r="AK729" s="60"/>
      <c r="AL729" s="60"/>
    </row>
    <row r="730" spans="1:38" s="373" customFormat="1" ht="37.5" customHeight="1" x14ac:dyDescent="0.25">
      <c r="A730" s="119"/>
      <c r="B730" s="119"/>
      <c r="C730" s="119"/>
      <c r="D730" s="119" t="str">
        <f>LEFT(E731,3)</f>
        <v>424</v>
      </c>
      <c r="E730" s="119"/>
      <c r="F730" s="368" t="s">
        <v>447</v>
      </c>
      <c r="G730" s="369" t="e">
        <f>G731</f>
        <v>#REF!</v>
      </c>
      <c r="H730" s="370" t="e">
        <f>H731</f>
        <v>#REF!</v>
      </c>
      <c r="I730" s="369" t="e">
        <f>I731</f>
        <v>#REF!</v>
      </c>
      <c r="J730" s="369" t="e">
        <f>J731</f>
        <v>#REF!</v>
      </c>
      <c r="K730" s="369" t="e">
        <f>K731</f>
        <v>#REF!</v>
      </c>
      <c r="L730" s="369" t="e">
        <f t="shared" si="359"/>
        <v>#REF!</v>
      </c>
      <c r="M730" s="369" t="e">
        <f t="shared" si="360"/>
        <v>#REF!</v>
      </c>
      <c r="N730" s="369" t="e">
        <f t="shared" ref="N730:X730" si="362">N731</f>
        <v>#REF!</v>
      </c>
      <c r="O730" s="137" t="e">
        <f t="shared" si="362"/>
        <v>#REF!</v>
      </c>
      <c r="P730" s="137" t="e">
        <f t="shared" si="362"/>
        <v>#REF!</v>
      </c>
      <c r="Q730" s="393" t="e">
        <f t="shared" si="362"/>
        <v>#REF!</v>
      </c>
      <c r="R730" s="137" t="e">
        <f t="shared" si="362"/>
        <v>#REF!</v>
      </c>
      <c r="S730" s="137" t="e">
        <f t="shared" si="362"/>
        <v>#REF!</v>
      </c>
      <c r="T730" s="137" t="e">
        <f t="shared" si="362"/>
        <v>#REF!</v>
      </c>
      <c r="U730" s="371" t="e">
        <f t="shared" si="362"/>
        <v>#REF!</v>
      </c>
      <c r="V730" s="371" t="e">
        <f t="shared" si="362"/>
        <v>#REF!</v>
      </c>
      <c r="W730" s="371" t="e">
        <f t="shared" si="362"/>
        <v>#REF!</v>
      </c>
      <c r="X730" s="371" t="e">
        <f t="shared" si="362"/>
        <v>#REF!</v>
      </c>
      <c r="Y730" s="372"/>
      <c r="Z730" s="372"/>
      <c r="AA730" s="372"/>
      <c r="AB730" s="372"/>
      <c r="AC730" s="372"/>
      <c r="AD730" s="372"/>
      <c r="AE730" s="372"/>
      <c r="AF730" s="372"/>
      <c r="AG730" s="372"/>
      <c r="AH730" s="372"/>
      <c r="AI730" s="372"/>
      <c r="AJ730" s="372"/>
      <c r="AK730" s="372"/>
      <c r="AL730" s="372"/>
    </row>
    <row r="731" spans="1:38" ht="21" customHeight="1" x14ac:dyDescent="0.25">
      <c r="A731" s="80"/>
      <c r="B731" s="80"/>
      <c r="C731" s="80"/>
      <c r="D731" s="80"/>
      <c r="E731" s="80">
        <v>4241</v>
      </c>
      <c r="F731" s="81" t="s">
        <v>437</v>
      </c>
      <c r="G731" s="82" t="e">
        <f>SUMIF(#REF!,funkcijska!$E731,#REF!)</f>
        <v>#REF!</v>
      </c>
      <c r="H731" s="82" t="e">
        <f>SUMIF(#REF!,funkcijska!$E731,#REF!)</f>
        <v>#REF!</v>
      </c>
      <c r="I731" s="82" t="e">
        <f>SUMIF(#REF!,funkcijska!$E731,#REF!)</f>
        <v>#REF!</v>
      </c>
      <c r="J731" s="82" t="e">
        <f>SUMIF(#REF!,funkcijska!$E731,#REF!)</f>
        <v>#REF!</v>
      </c>
      <c r="K731" s="82" t="e">
        <f>SUMIF(#REF!,funkcijska!$E731,#REF!)</f>
        <v>#REF!</v>
      </c>
      <c r="L731" s="82" t="e">
        <f t="shared" si="359"/>
        <v>#REF!</v>
      </c>
      <c r="M731" s="82" t="e">
        <f t="shared" si="360"/>
        <v>#REF!</v>
      </c>
      <c r="N731" s="82" t="e">
        <f>SUMIF(#REF!,funkcijska!$E731,#REF!)</f>
        <v>#REF!</v>
      </c>
      <c r="O731" s="82" t="e">
        <f>SUMIF(#REF!,funkcijska!$E731,#REF!)</f>
        <v>#REF!</v>
      </c>
      <c r="P731" s="82" t="e">
        <f>SUMIF(#REF!,funkcijska!$E731,#REF!)</f>
        <v>#REF!</v>
      </c>
      <c r="Q731" s="386" t="e">
        <f>SUMIF(#REF!,funkcijska!$E731,#REF!)</f>
        <v>#REF!</v>
      </c>
      <c r="R731" s="82" t="e">
        <f>SUMIF(#REF!,funkcijska!$E731,#REF!)</f>
        <v>#REF!</v>
      </c>
      <c r="S731" s="82" t="e">
        <f>SUMIF(#REF!,funkcijska!$E731,#REF!)</f>
        <v>#REF!</v>
      </c>
      <c r="T731" s="82" t="e">
        <f>SUMIF(#REF!,funkcijska!$E$107,#REF!)</f>
        <v>#REF!</v>
      </c>
      <c r="U731" s="357" t="e">
        <f>SUMIF(#REF!,funkcijska!$E731,#REF!)</f>
        <v>#REF!</v>
      </c>
      <c r="V731" s="357" t="e">
        <f>SUMIF(#REF!,funkcijska!$E731,#REF!)</f>
        <v>#REF!</v>
      </c>
      <c r="W731" s="357" t="e">
        <f>SUMIF(#REF!,funkcijska!$E731,#REF!)</f>
        <v>#REF!</v>
      </c>
      <c r="X731" s="357" t="e">
        <f>SUMIF(#REF!,funkcijska!$E731,#REF!)</f>
        <v>#REF!</v>
      </c>
      <c r="AD731" s="60"/>
      <c r="AE731" s="60"/>
      <c r="AF731" s="60"/>
      <c r="AG731" s="60"/>
      <c r="AH731" s="60"/>
      <c r="AI731" s="60"/>
      <c r="AJ731" s="60"/>
      <c r="AK731" s="60"/>
      <c r="AL731" s="60"/>
    </row>
    <row r="732" spans="1:38" ht="18" hidden="1" customHeight="1" x14ac:dyDescent="0.25">
      <c r="A732" s="80"/>
      <c r="B732" s="80"/>
      <c r="C732" s="80"/>
      <c r="D732" s="80" t="str">
        <f>LEFT(E733,3)</f>
        <v>425</v>
      </c>
      <c r="E732" s="80"/>
      <c r="F732" s="81" t="s">
        <v>839</v>
      </c>
      <c r="G732" s="84" t="e">
        <f>G733</f>
        <v>#REF!</v>
      </c>
      <c r="H732" s="102" t="e">
        <f>H733</f>
        <v>#REF!</v>
      </c>
      <c r="I732" s="84" t="e">
        <f>I733</f>
        <v>#REF!</v>
      </c>
      <c r="J732" s="84" t="e">
        <f>J733</f>
        <v>#REF!</v>
      </c>
      <c r="K732" s="84" t="e">
        <f>K733</f>
        <v>#REF!</v>
      </c>
      <c r="L732" s="84" t="e">
        <f t="shared" si="359"/>
        <v>#REF!</v>
      </c>
      <c r="M732" s="84" t="e">
        <f t="shared" si="360"/>
        <v>#REF!</v>
      </c>
      <c r="N732" s="84" t="e">
        <f>N733</f>
        <v>#REF!</v>
      </c>
      <c r="O732" s="82" t="e">
        <f>O733</f>
        <v>#REF!</v>
      </c>
      <c r="P732" s="82" t="e">
        <f>P733</f>
        <v>#REF!</v>
      </c>
      <c r="Q732" s="389" t="e">
        <f>U732-O732</f>
        <v>#REF!</v>
      </c>
      <c r="R732" s="82" t="e">
        <f t="shared" ref="R732:X732" si="363">R733</f>
        <v>#REF!</v>
      </c>
      <c r="S732" s="82" t="e">
        <f t="shared" si="363"/>
        <v>#REF!</v>
      </c>
      <c r="T732" s="82" t="e">
        <f t="shared" si="363"/>
        <v>#REF!</v>
      </c>
      <c r="U732" s="357" t="e">
        <f t="shared" si="363"/>
        <v>#REF!</v>
      </c>
      <c r="V732" s="357" t="e">
        <f t="shared" si="363"/>
        <v>#REF!</v>
      </c>
      <c r="W732" s="357" t="e">
        <f t="shared" si="363"/>
        <v>#REF!</v>
      </c>
      <c r="X732" s="357" t="e">
        <f t="shared" si="363"/>
        <v>#REF!</v>
      </c>
      <c r="AD732" s="60"/>
      <c r="AE732" s="60"/>
      <c r="AF732" s="60"/>
      <c r="AG732" s="60"/>
      <c r="AH732" s="60"/>
      <c r="AI732" s="60"/>
      <c r="AJ732" s="60"/>
      <c r="AK732" s="60"/>
      <c r="AL732" s="60"/>
    </row>
    <row r="733" spans="1:38" ht="22.5" hidden="1" customHeight="1" x14ac:dyDescent="0.25">
      <c r="A733" s="80"/>
      <c r="B733" s="80"/>
      <c r="C733" s="80"/>
      <c r="D733" s="80"/>
      <c r="E733" s="80" t="s">
        <v>1029</v>
      </c>
      <c r="F733" s="81" t="s">
        <v>840</v>
      </c>
      <c r="G733" s="82" t="e">
        <f>SUMIF(#REF!,funkcijska!$E733,#REF!)</f>
        <v>#REF!</v>
      </c>
      <c r="H733" s="82" t="e">
        <f>SUMIF(#REF!,funkcijska!$E733,#REF!)</f>
        <v>#REF!</v>
      </c>
      <c r="I733" s="82" t="e">
        <f>SUMIF(#REF!,funkcijska!$E733,#REF!)</f>
        <v>#REF!</v>
      </c>
      <c r="J733" s="82" t="e">
        <f>SUMIF(#REF!,funkcijska!$E733,#REF!)</f>
        <v>#REF!</v>
      </c>
      <c r="K733" s="82" t="e">
        <f>SUMIF(#REF!,funkcijska!$E733,#REF!)</f>
        <v>#REF!</v>
      </c>
      <c r="L733" s="82" t="e">
        <f t="shared" si="359"/>
        <v>#REF!</v>
      </c>
      <c r="M733" s="82" t="e">
        <f t="shared" si="360"/>
        <v>#REF!</v>
      </c>
      <c r="N733" s="82" t="e">
        <f>SUMIF(#REF!,funkcijska!$E733,#REF!)</f>
        <v>#REF!</v>
      </c>
      <c r="O733" s="82" t="e">
        <f>SUMIF(#REF!,funkcijska!$E733,#REF!)</f>
        <v>#REF!</v>
      </c>
      <c r="P733" s="82" t="e">
        <f>SUMIF(#REF!,funkcijska!$E733,#REF!)</f>
        <v>#REF!</v>
      </c>
      <c r="Q733" s="389" t="e">
        <f>U733-O733</f>
        <v>#REF!</v>
      </c>
      <c r="R733" s="82" t="e">
        <f>SUMIF(#REF!,funkcijska!$E733,#REF!)</f>
        <v>#REF!</v>
      </c>
      <c r="S733" s="82" t="e">
        <f>SUMIF(#REF!,funkcijska!$E733,#REF!)</f>
        <v>#REF!</v>
      </c>
      <c r="T733" s="82" t="e">
        <f>SUMIF(#REF!,funkcijska!$E$109,#REF!)</f>
        <v>#REF!</v>
      </c>
      <c r="U733" s="357" t="e">
        <f>SUMIF(#REF!,funkcijska!$E733,#REF!)</f>
        <v>#REF!</v>
      </c>
      <c r="V733" s="357" t="e">
        <f>SUMIF(#REF!,funkcijska!$E733,#REF!)</f>
        <v>#REF!</v>
      </c>
      <c r="W733" s="357" t="e">
        <f>SUMIF(#REF!,funkcijska!$E733,#REF!)</f>
        <v>#REF!</v>
      </c>
      <c r="X733" s="357" t="e">
        <f>SUMIF(#REF!,funkcijska!$E733,#REF!)</f>
        <v>#REF!</v>
      </c>
      <c r="AD733" s="60"/>
      <c r="AE733" s="60"/>
      <c r="AF733" s="60"/>
      <c r="AG733" s="60"/>
      <c r="AH733" s="60"/>
      <c r="AI733" s="60"/>
      <c r="AJ733" s="60"/>
      <c r="AK733" s="60"/>
      <c r="AL733" s="60"/>
    </row>
    <row r="734" spans="1:38" s="373" customFormat="1" ht="21" customHeight="1" x14ac:dyDescent="0.25">
      <c r="A734" s="119"/>
      <c r="B734" s="119"/>
      <c r="C734" s="119"/>
      <c r="D734" s="119" t="str">
        <f>LEFT(E735,3)</f>
        <v>426</v>
      </c>
      <c r="E734" s="119"/>
      <c r="F734" s="368" t="s">
        <v>560</v>
      </c>
      <c r="G734" s="369" t="e">
        <f t="shared" ref="G734:X734" si="364">SUM(G735:G736)</f>
        <v>#REF!</v>
      </c>
      <c r="H734" s="370" t="e">
        <f t="shared" si="364"/>
        <v>#REF!</v>
      </c>
      <c r="I734" s="369" t="e">
        <f t="shared" si="364"/>
        <v>#REF!</v>
      </c>
      <c r="J734" s="369" t="e">
        <f t="shared" si="364"/>
        <v>#REF!</v>
      </c>
      <c r="K734" s="369" t="e">
        <f t="shared" si="364"/>
        <v>#REF!</v>
      </c>
      <c r="L734" s="369" t="e">
        <f t="shared" si="364"/>
        <v>#REF!</v>
      </c>
      <c r="M734" s="369" t="e">
        <f t="shared" si="364"/>
        <v>#REF!</v>
      </c>
      <c r="N734" s="369" t="e">
        <f t="shared" si="364"/>
        <v>#REF!</v>
      </c>
      <c r="O734" s="369" t="e">
        <f t="shared" si="364"/>
        <v>#REF!</v>
      </c>
      <c r="P734" s="369" t="e">
        <f t="shared" si="364"/>
        <v>#REF!</v>
      </c>
      <c r="Q734" s="392" t="e">
        <f t="shared" si="364"/>
        <v>#REF!</v>
      </c>
      <c r="R734" s="369" t="e">
        <f t="shared" si="364"/>
        <v>#REF!</v>
      </c>
      <c r="S734" s="369" t="e">
        <f t="shared" si="364"/>
        <v>#REF!</v>
      </c>
      <c r="T734" s="137" t="e">
        <f t="shared" si="364"/>
        <v>#REF!</v>
      </c>
      <c r="U734" s="371" t="e">
        <f t="shared" si="364"/>
        <v>#REF!</v>
      </c>
      <c r="V734" s="371" t="e">
        <f t="shared" si="364"/>
        <v>#REF!</v>
      </c>
      <c r="W734" s="371" t="e">
        <f t="shared" si="364"/>
        <v>#REF!</v>
      </c>
      <c r="X734" s="371" t="e">
        <f t="shared" si="364"/>
        <v>#REF!</v>
      </c>
      <c r="Y734" s="372"/>
      <c r="Z734" s="372"/>
      <c r="AA734" s="372"/>
      <c r="AB734" s="372"/>
      <c r="AC734" s="372"/>
      <c r="AD734" s="372"/>
      <c r="AE734" s="372"/>
      <c r="AF734" s="372"/>
      <c r="AG734" s="372"/>
      <c r="AH734" s="372"/>
      <c r="AI734" s="372"/>
      <c r="AJ734" s="372"/>
      <c r="AK734" s="372"/>
      <c r="AL734" s="372"/>
    </row>
    <row r="735" spans="1:38" ht="21.75" customHeight="1" x14ac:dyDescent="0.25">
      <c r="A735" s="80"/>
      <c r="B735" s="80"/>
      <c r="C735" s="80"/>
      <c r="D735" s="80"/>
      <c r="E735" s="80">
        <v>4262</v>
      </c>
      <c r="F735" s="81" t="s">
        <v>561</v>
      </c>
      <c r="G735" s="82" t="e">
        <f>SUMIF(#REF!,funkcijska!$E735,#REF!)</f>
        <v>#REF!</v>
      </c>
      <c r="H735" s="82" t="e">
        <f>SUMIF(#REF!,funkcijska!$E735,#REF!)</f>
        <v>#REF!</v>
      </c>
      <c r="I735" s="82" t="e">
        <f>SUMIF(#REF!,funkcijska!$E735,#REF!)</f>
        <v>#REF!</v>
      </c>
      <c r="J735" s="82" t="e">
        <f>SUMIF(#REF!,funkcijska!$E735,#REF!)</f>
        <v>#REF!</v>
      </c>
      <c r="K735" s="82" t="e">
        <f>SUMIF(#REF!,funkcijska!$E735,#REF!)</f>
        <v>#REF!</v>
      </c>
      <c r="L735" s="82" t="e">
        <f t="shared" ref="L735:L741" si="365">ROUND(K735/J735*100,2)</f>
        <v>#REF!</v>
      </c>
      <c r="M735" s="82" t="e">
        <f t="shared" ref="M735:M741" si="366">N735-J735</f>
        <v>#REF!</v>
      </c>
      <c r="N735" s="82" t="e">
        <f>SUMIF(#REF!,funkcijska!$E735,#REF!)</f>
        <v>#REF!</v>
      </c>
      <c r="O735" s="82" t="e">
        <f>SUMIF(#REF!,funkcijska!$E735,#REF!)</f>
        <v>#REF!</v>
      </c>
      <c r="P735" s="82" t="e">
        <f>SUMIF(#REF!,funkcijska!$E735,#REF!)</f>
        <v>#REF!</v>
      </c>
      <c r="Q735" s="386" t="e">
        <f>SUMIF(#REF!,funkcijska!$E735,#REF!)</f>
        <v>#REF!</v>
      </c>
      <c r="R735" s="82" t="e">
        <f>SUMIF(#REF!,funkcijska!$E735,#REF!)</f>
        <v>#REF!</v>
      </c>
      <c r="S735" s="82" t="e">
        <f>SUMIF(#REF!,funkcijska!$E735,#REF!)</f>
        <v>#REF!</v>
      </c>
      <c r="T735" s="82" t="e">
        <f>SUMIF(#REF!,funkcijska!$E$111,#REF!)</f>
        <v>#REF!</v>
      </c>
      <c r="U735" s="357" t="e">
        <f>SUMIF(#REF!,funkcijska!$E735,#REF!)</f>
        <v>#REF!</v>
      </c>
      <c r="V735" s="357" t="e">
        <f>SUMIF(#REF!,funkcijska!$E735,#REF!)</f>
        <v>#REF!</v>
      </c>
      <c r="W735" s="357" t="e">
        <f>SUMIF(#REF!,funkcijska!$E735,#REF!)</f>
        <v>#REF!</v>
      </c>
      <c r="X735" s="357" t="e">
        <f>SUMIF(#REF!,funkcijska!$E735,#REF!)</f>
        <v>#REF!</v>
      </c>
      <c r="Y735" s="361"/>
      <c r="AD735" s="60"/>
      <c r="AE735" s="60"/>
      <c r="AF735" s="60"/>
      <c r="AG735" s="60"/>
      <c r="AH735" s="60"/>
      <c r="AI735" s="60"/>
      <c r="AJ735" s="60"/>
      <c r="AK735" s="60"/>
      <c r="AL735" s="60"/>
    </row>
    <row r="736" spans="1:38" ht="21" customHeight="1" x14ac:dyDescent="0.25">
      <c r="A736" s="80"/>
      <c r="B736" s="80"/>
      <c r="C736" s="80"/>
      <c r="D736" s="80"/>
      <c r="E736" s="80">
        <v>4264</v>
      </c>
      <c r="F736" s="81" t="s">
        <v>1030</v>
      </c>
      <c r="G736" s="82" t="e">
        <f>SUMIF(#REF!,funkcijska!$E736,#REF!)</f>
        <v>#REF!</v>
      </c>
      <c r="H736" s="82" t="e">
        <f>SUMIF(#REF!,funkcijska!$E736,#REF!)</f>
        <v>#REF!</v>
      </c>
      <c r="I736" s="82" t="e">
        <f>SUMIF(#REF!,funkcijska!$E736,#REF!)</f>
        <v>#REF!</v>
      </c>
      <c r="J736" s="82" t="e">
        <f>SUMIF(#REF!,funkcijska!$E736,#REF!)</f>
        <v>#REF!</v>
      </c>
      <c r="K736" s="82" t="e">
        <f>SUMIF(#REF!,funkcijska!$E736,#REF!)</f>
        <v>#REF!</v>
      </c>
      <c r="L736" s="82" t="e">
        <f t="shared" si="365"/>
        <v>#REF!</v>
      </c>
      <c r="M736" s="82" t="e">
        <f t="shared" si="366"/>
        <v>#REF!</v>
      </c>
      <c r="N736" s="82" t="e">
        <f>SUMIF(#REF!,funkcijska!$E736,#REF!)</f>
        <v>#REF!</v>
      </c>
      <c r="O736" s="82" t="e">
        <f>SUMIF(#REF!,funkcijska!$E736,#REF!)</f>
        <v>#REF!</v>
      </c>
      <c r="P736" s="82" t="e">
        <f>SUMIF(#REF!,funkcijska!$E736,#REF!)</f>
        <v>#REF!</v>
      </c>
      <c r="Q736" s="386" t="e">
        <f>SUMIF(#REF!,funkcijska!$E736,#REF!)</f>
        <v>#REF!</v>
      </c>
      <c r="R736" s="82" t="e">
        <f>SUMIF(#REF!,funkcijska!$E736,#REF!)</f>
        <v>#REF!</v>
      </c>
      <c r="S736" s="82" t="e">
        <f>SUMIF(#REF!,funkcijska!$E736,#REF!)</f>
        <v>#REF!</v>
      </c>
      <c r="T736" s="82" t="e">
        <f>SUMIF(#REF!,funkcijska!$E$112,#REF!)</f>
        <v>#REF!</v>
      </c>
      <c r="U736" s="357" t="e">
        <f>SUMIF(#REF!,funkcijska!$E736,#REF!)</f>
        <v>#REF!</v>
      </c>
      <c r="V736" s="357" t="e">
        <f>SUMIF(#REF!,funkcijska!$E736,#REF!)</f>
        <v>#REF!</v>
      </c>
      <c r="W736" s="357" t="e">
        <f>SUMIF(#REF!,funkcijska!$E736,#REF!)</f>
        <v>#REF!</v>
      </c>
      <c r="X736" s="357" t="e">
        <f>SUMIF(#REF!,funkcijska!$E736,#REF!)</f>
        <v>#REF!</v>
      </c>
      <c r="AD736" s="60"/>
      <c r="AE736" s="60"/>
      <c r="AF736" s="60"/>
      <c r="AG736" s="60"/>
      <c r="AH736" s="60"/>
      <c r="AI736" s="60"/>
      <c r="AJ736" s="60"/>
      <c r="AK736" s="60"/>
      <c r="AL736" s="60"/>
    </row>
    <row r="737" spans="1:38" ht="36.75" customHeight="1" x14ac:dyDescent="0.25">
      <c r="A737" s="125"/>
      <c r="B737" s="74"/>
      <c r="C737" s="74" t="str">
        <f>LEFT(E739,2)</f>
        <v>45</v>
      </c>
      <c r="D737" s="74"/>
      <c r="E737" s="74"/>
      <c r="F737" s="75" t="s">
        <v>808</v>
      </c>
      <c r="G737" s="77" t="e">
        <f>G738+G740+#REF!</f>
        <v>#REF!</v>
      </c>
      <c r="H737" s="118" t="e">
        <f>H738+H740+#REF!</f>
        <v>#REF!</v>
      </c>
      <c r="I737" s="77" t="e">
        <f>I738+I740+#REF!</f>
        <v>#REF!</v>
      </c>
      <c r="J737" s="77" t="e">
        <f>J738+J740+#REF!</f>
        <v>#REF!</v>
      </c>
      <c r="K737" s="77" t="e">
        <f>K738+K740+#REF!</f>
        <v>#REF!</v>
      </c>
      <c r="L737" s="77" t="e">
        <f t="shared" si="365"/>
        <v>#REF!</v>
      </c>
      <c r="M737" s="77" t="e">
        <f t="shared" si="366"/>
        <v>#REF!</v>
      </c>
      <c r="N737" s="77" t="e">
        <f>N738+N740+#REF!</f>
        <v>#REF!</v>
      </c>
      <c r="O737" s="76" t="e">
        <f>O738+O740+#REF!</f>
        <v>#REF!</v>
      </c>
      <c r="P737" s="76" t="e">
        <f>P738+P740+#REF!</f>
        <v>#REF!</v>
      </c>
      <c r="Q737" s="385" t="e">
        <f>Q738+Q740+#REF!</f>
        <v>#REF!</v>
      </c>
      <c r="R737" s="135" t="e">
        <f>R738+R740+#REF!</f>
        <v>#REF!</v>
      </c>
      <c r="S737" s="135" t="e">
        <f>S738+S740+#REF!</f>
        <v>#REF!</v>
      </c>
      <c r="T737" s="135" t="e">
        <f>T738+T740+#REF!</f>
        <v>#REF!</v>
      </c>
      <c r="U737" s="356" t="e">
        <f>U738+U740+#REF!</f>
        <v>#REF!</v>
      </c>
      <c r="V737" s="356" t="e">
        <f>V738+V740</f>
        <v>#REF!</v>
      </c>
      <c r="W737" s="356" t="e">
        <f>W738+W740</f>
        <v>#REF!</v>
      </c>
      <c r="X737" s="356" t="e">
        <f>X738+X740</f>
        <v>#REF!</v>
      </c>
      <c r="AD737" s="60"/>
      <c r="AE737" s="60"/>
      <c r="AF737" s="60"/>
      <c r="AG737" s="60"/>
      <c r="AH737" s="60"/>
      <c r="AI737" s="60"/>
      <c r="AJ737" s="60"/>
      <c r="AK737" s="60"/>
      <c r="AL737" s="60"/>
    </row>
    <row r="738" spans="1:38" s="373" customFormat="1" ht="20.25" customHeight="1" x14ac:dyDescent="0.25">
      <c r="A738" s="119"/>
      <c r="B738" s="119"/>
      <c r="C738" s="119"/>
      <c r="D738" s="119" t="str">
        <f>LEFT(E739,3)</f>
        <v>451</v>
      </c>
      <c r="E738" s="119"/>
      <c r="F738" s="368" t="s">
        <v>809</v>
      </c>
      <c r="G738" s="369" t="e">
        <f>G739</f>
        <v>#REF!</v>
      </c>
      <c r="H738" s="370" t="e">
        <f>H739</f>
        <v>#REF!</v>
      </c>
      <c r="I738" s="369" t="e">
        <f>I739</f>
        <v>#REF!</v>
      </c>
      <c r="J738" s="369" t="e">
        <f>J739</f>
        <v>#REF!</v>
      </c>
      <c r="K738" s="369" t="e">
        <f>K739</f>
        <v>#REF!</v>
      </c>
      <c r="L738" s="369" t="e">
        <f t="shared" si="365"/>
        <v>#REF!</v>
      </c>
      <c r="M738" s="369" t="e">
        <f t="shared" si="366"/>
        <v>#REF!</v>
      </c>
      <c r="N738" s="369" t="e">
        <f t="shared" ref="N738:X738" si="367">N739</f>
        <v>#REF!</v>
      </c>
      <c r="O738" s="137" t="e">
        <f t="shared" si="367"/>
        <v>#REF!</v>
      </c>
      <c r="P738" s="137" t="e">
        <f t="shared" si="367"/>
        <v>#REF!</v>
      </c>
      <c r="Q738" s="393" t="e">
        <f t="shared" si="367"/>
        <v>#REF!</v>
      </c>
      <c r="R738" s="137" t="e">
        <f t="shared" si="367"/>
        <v>#REF!</v>
      </c>
      <c r="S738" s="137" t="e">
        <f t="shared" si="367"/>
        <v>#REF!</v>
      </c>
      <c r="T738" s="137" t="e">
        <f t="shared" si="367"/>
        <v>#REF!</v>
      </c>
      <c r="U738" s="371" t="e">
        <f t="shared" si="367"/>
        <v>#REF!</v>
      </c>
      <c r="V738" s="371" t="e">
        <f t="shared" si="367"/>
        <v>#REF!</v>
      </c>
      <c r="W738" s="371" t="e">
        <f t="shared" si="367"/>
        <v>#REF!</v>
      </c>
      <c r="X738" s="371" t="e">
        <f t="shared" si="367"/>
        <v>#REF!</v>
      </c>
      <c r="Y738" s="372"/>
      <c r="Z738" s="372"/>
      <c r="AA738" s="372"/>
      <c r="AB738" s="372"/>
      <c r="AC738" s="372"/>
      <c r="AD738" s="372"/>
      <c r="AE738" s="372"/>
      <c r="AF738" s="372"/>
      <c r="AG738" s="372"/>
      <c r="AH738" s="372"/>
      <c r="AI738" s="372"/>
      <c r="AJ738" s="372"/>
      <c r="AK738" s="372"/>
      <c r="AL738" s="372"/>
    </row>
    <row r="739" spans="1:38" ht="21" customHeight="1" x14ac:dyDescent="0.25">
      <c r="A739" s="80"/>
      <c r="B739" s="80"/>
      <c r="C739" s="80"/>
      <c r="D739" s="80"/>
      <c r="E739" s="80">
        <v>4511</v>
      </c>
      <c r="F739" s="81" t="s">
        <v>809</v>
      </c>
      <c r="G739" s="82" t="e">
        <f>SUMIF(#REF!,funkcijska!E739,#REF!)</f>
        <v>#REF!</v>
      </c>
      <c r="H739" s="82" t="e">
        <f>SUMIF(#REF!,funkcijska!$E739,#REF!)</f>
        <v>#REF!</v>
      </c>
      <c r="I739" s="82" t="e">
        <f>SUMIF(#REF!,funkcijska!$E739,#REF!)</f>
        <v>#REF!</v>
      </c>
      <c r="J739" s="82" t="e">
        <f>SUMIF(#REF!,funkcijska!$E739,#REF!)</f>
        <v>#REF!</v>
      </c>
      <c r="K739" s="82" t="e">
        <f>SUMIF(#REF!,funkcijska!$E739,#REF!)</f>
        <v>#REF!</v>
      </c>
      <c r="L739" s="82" t="e">
        <f t="shared" si="365"/>
        <v>#REF!</v>
      </c>
      <c r="M739" s="82" t="e">
        <f t="shared" si="366"/>
        <v>#REF!</v>
      </c>
      <c r="N739" s="82" t="e">
        <f>SUMIF(#REF!,funkcijska!$E739,#REF!)</f>
        <v>#REF!</v>
      </c>
      <c r="O739" s="82" t="e">
        <f>SUMIF(#REF!,funkcijska!$E739,#REF!)</f>
        <v>#REF!</v>
      </c>
      <c r="P739" s="82" t="e">
        <f>SUMIF(#REF!,funkcijska!$E739,#REF!)</f>
        <v>#REF!</v>
      </c>
      <c r="Q739" s="386" t="e">
        <f>SUMIF(#REF!,funkcijska!$E739,#REF!)</f>
        <v>#REF!</v>
      </c>
      <c r="R739" s="82" t="e">
        <f>SUMIF(#REF!,funkcijska!$E739,#REF!)</f>
        <v>#REF!</v>
      </c>
      <c r="S739" s="82" t="e">
        <f>SUMIF(#REF!,funkcijska!$E739,#REF!)</f>
        <v>#REF!</v>
      </c>
      <c r="T739" s="82" t="e">
        <f>SUMIF(#REF!,funkcijska!$E$115,#REF!)</f>
        <v>#REF!</v>
      </c>
      <c r="U739" s="357" t="e">
        <f>SUMIF(#REF!,funkcijska!$E739,#REF!)</f>
        <v>#REF!</v>
      </c>
      <c r="V739" s="357" t="e">
        <f>SUMIF(#REF!,funkcijska!$E739,#REF!)</f>
        <v>#REF!</v>
      </c>
      <c r="W739" s="357" t="e">
        <f>SUMIF(#REF!,funkcijska!$E739,#REF!)</f>
        <v>#REF!</v>
      </c>
      <c r="X739" s="357" t="e">
        <f>SUMIF(#REF!,funkcijska!$E739,#REF!)</f>
        <v>#REF!</v>
      </c>
      <c r="AD739" s="60"/>
      <c r="AE739" s="60"/>
      <c r="AF739" s="60"/>
      <c r="AG739" s="60"/>
      <c r="AH739" s="60"/>
      <c r="AI739" s="60"/>
      <c r="AJ739" s="60"/>
      <c r="AK739" s="60"/>
      <c r="AL739" s="60"/>
    </row>
    <row r="740" spans="1:38" s="373" customFormat="1" ht="21.75" customHeight="1" x14ac:dyDescent="0.25">
      <c r="A740" s="119"/>
      <c r="B740" s="119"/>
      <c r="C740" s="119"/>
      <c r="D740" s="119">
        <v>452</v>
      </c>
      <c r="E740" s="119"/>
      <c r="F740" s="368" t="s">
        <v>639</v>
      </c>
      <c r="G740" s="137" t="e">
        <f>G741</f>
        <v>#REF!</v>
      </c>
      <c r="H740" s="370" t="e">
        <f>H741</f>
        <v>#REF!</v>
      </c>
      <c r="I740" s="137" t="e">
        <f>I741</f>
        <v>#REF!</v>
      </c>
      <c r="J740" s="137" t="e">
        <f>J741</f>
        <v>#REF!</v>
      </c>
      <c r="K740" s="137" t="e">
        <f>K741</f>
        <v>#REF!</v>
      </c>
      <c r="L740" s="137" t="e">
        <f t="shared" si="365"/>
        <v>#REF!</v>
      </c>
      <c r="M740" s="137" t="e">
        <f t="shared" si="366"/>
        <v>#REF!</v>
      </c>
      <c r="N740" s="137" t="e">
        <f t="shared" ref="N740:X740" si="368">N741</f>
        <v>#REF!</v>
      </c>
      <c r="O740" s="137" t="e">
        <f t="shared" si="368"/>
        <v>#REF!</v>
      </c>
      <c r="P740" s="137" t="e">
        <f t="shared" si="368"/>
        <v>#REF!</v>
      </c>
      <c r="Q740" s="393" t="e">
        <f t="shared" si="368"/>
        <v>#REF!</v>
      </c>
      <c r="R740" s="137" t="e">
        <f t="shared" si="368"/>
        <v>#REF!</v>
      </c>
      <c r="S740" s="137" t="e">
        <f t="shared" si="368"/>
        <v>#REF!</v>
      </c>
      <c r="T740" s="137" t="e">
        <f t="shared" si="368"/>
        <v>#REF!</v>
      </c>
      <c r="U740" s="371" t="e">
        <f t="shared" si="368"/>
        <v>#REF!</v>
      </c>
      <c r="V740" s="371" t="e">
        <f t="shared" si="368"/>
        <v>#REF!</v>
      </c>
      <c r="W740" s="371" t="e">
        <f t="shared" si="368"/>
        <v>#REF!</v>
      </c>
      <c r="X740" s="371" t="e">
        <f t="shared" si="368"/>
        <v>#REF!</v>
      </c>
      <c r="Y740" s="372"/>
      <c r="Z740" s="372"/>
      <c r="AA740" s="372"/>
      <c r="AB740" s="372"/>
      <c r="AC740" s="372"/>
      <c r="AD740" s="372"/>
      <c r="AE740" s="372"/>
      <c r="AF740" s="372"/>
      <c r="AG740" s="372"/>
      <c r="AH740" s="372"/>
      <c r="AI740" s="372"/>
      <c r="AJ740" s="372"/>
      <c r="AK740" s="372"/>
      <c r="AL740" s="372"/>
    </row>
    <row r="741" spans="1:38" ht="21" customHeight="1" x14ac:dyDescent="0.25">
      <c r="A741" s="80"/>
      <c r="B741" s="80"/>
      <c r="C741" s="80"/>
      <c r="D741" s="80"/>
      <c r="E741" s="80">
        <v>4521</v>
      </c>
      <c r="F741" s="81" t="s">
        <v>639</v>
      </c>
      <c r="G741" s="82" t="e">
        <f>SUMIF(#REF!,funkcijska!E741,#REF!)</f>
        <v>#REF!</v>
      </c>
      <c r="H741" s="82" t="e">
        <f>SUMIF(#REF!,funkcijska!$E741,#REF!)</f>
        <v>#REF!</v>
      </c>
      <c r="I741" s="82" t="e">
        <f>SUMIF(#REF!,funkcijska!$E741,#REF!)</f>
        <v>#REF!</v>
      </c>
      <c r="J741" s="82" t="e">
        <f>SUMIF(#REF!,funkcijska!$E741,#REF!)</f>
        <v>#REF!</v>
      </c>
      <c r="K741" s="82" t="e">
        <f>SUMIF(#REF!,funkcijska!$E741,#REF!)</f>
        <v>#REF!</v>
      </c>
      <c r="L741" s="82" t="e">
        <f t="shared" si="365"/>
        <v>#REF!</v>
      </c>
      <c r="M741" s="82" t="e">
        <f t="shared" si="366"/>
        <v>#REF!</v>
      </c>
      <c r="N741" s="82" t="e">
        <f>SUMIF(#REF!,funkcijska!$E741,#REF!)</f>
        <v>#REF!</v>
      </c>
      <c r="O741" s="82" t="e">
        <f>SUMIF(#REF!,funkcijska!$E741,#REF!)</f>
        <v>#REF!</v>
      </c>
      <c r="P741" s="82" t="e">
        <f>SUMIF(#REF!,funkcijska!$E741,#REF!)</f>
        <v>#REF!</v>
      </c>
      <c r="Q741" s="386" t="e">
        <f>SUMIF(#REF!,funkcijska!$E741,#REF!)</f>
        <v>#REF!</v>
      </c>
      <c r="R741" s="82" t="e">
        <f>SUMIF(#REF!,funkcijska!$E741,#REF!)</f>
        <v>#REF!</v>
      </c>
      <c r="S741" s="82" t="e">
        <f>SUMIF(#REF!,funkcijska!$E741,#REF!)</f>
        <v>#REF!</v>
      </c>
      <c r="T741" s="82" t="e">
        <f>SUMIF(#REF!,funkcijska!$E$117,#REF!)</f>
        <v>#REF!</v>
      </c>
      <c r="U741" s="357" t="e">
        <f>SUMIF(#REF!,funkcijska!$E741,#REF!)</f>
        <v>#REF!</v>
      </c>
      <c r="V741" s="357" t="e">
        <f>SUMIF(#REF!,funkcijska!$E741,#REF!)</f>
        <v>#REF!</v>
      </c>
      <c r="W741" s="357" t="e">
        <f>SUMIF(#REF!,funkcijska!$E741,#REF!)</f>
        <v>#REF!</v>
      </c>
      <c r="X741" s="357" t="e">
        <f>SUMIF(#REF!,funkcijska!$E741,#REF!)</f>
        <v>#REF!</v>
      </c>
      <c r="AD741" s="60"/>
      <c r="AE741" s="60"/>
      <c r="AF741" s="60"/>
      <c r="AG741" s="60"/>
      <c r="AH741" s="60"/>
      <c r="AI741" s="60"/>
      <c r="AJ741" s="60"/>
      <c r="AK741" s="60"/>
      <c r="AL741" s="60"/>
    </row>
    <row r="742" spans="1:38" x14ac:dyDescent="0.25">
      <c r="A742" s="123"/>
      <c r="B742" s="123"/>
      <c r="C742" s="123"/>
      <c r="D742" s="123"/>
      <c r="E742" s="123"/>
      <c r="F742" s="124"/>
      <c r="Q742" s="395"/>
    </row>
    <row r="743" spans="1:38" x14ac:dyDescent="0.25">
      <c r="A743" s="123"/>
      <c r="B743" s="123"/>
      <c r="C743" s="123"/>
      <c r="D743" s="123"/>
      <c r="E743" s="123"/>
      <c r="F743" s="124"/>
      <c r="Q743" s="395"/>
    </row>
    <row r="744" spans="1:38" ht="36" x14ac:dyDescent="0.25">
      <c r="A744" s="123"/>
      <c r="B744" s="569"/>
      <c r="C744" s="569"/>
      <c r="D744" s="569"/>
      <c r="E744" s="569"/>
      <c r="F744" s="536" t="s">
        <v>780</v>
      </c>
      <c r="G744" s="552"/>
      <c r="H744" s="552"/>
      <c r="I744" s="552"/>
      <c r="J744" s="552"/>
      <c r="K744" s="552"/>
      <c r="L744" s="552"/>
      <c r="M744" s="552"/>
      <c r="N744" s="552"/>
      <c r="O744" s="553"/>
      <c r="P744" s="553"/>
      <c r="Q744" s="399"/>
      <c r="R744" s="553"/>
      <c r="S744" s="553"/>
      <c r="T744" s="553"/>
      <c r="U744" s="553"/>
      <c r="V744" s="551" t="e">
        <f>V745+V820</f>
        <v>#REF!</v>
      </c>
      <c r="W744" s="551" t="e">
        <f>W745+W820</f>
        <v>#REF!</v>
      </c>
      <c r="X744" s="551" t="e">
        <f>X745+X820</f>
        <v>#REF!</v>
      </c>
    </row>
    <row r="745" spans="1:38" x14ac:dyDescent="0.25">
      <c r="A745" s="74"/>
      <c r="B745" s="105" t="str">
        <f>LEFT(E748,1)</f>
        <v>3</v>
      </c>
      <c r="C745" s="105"/>
      <c r="D745" s="105"/>
      <c r="E745" s="105"/>
      <c r="F745" s="72" t="s">
        <v>524</v>
      </c>
      <c r="G745" s="313" t="e">
        <f>G746+G757+G789+G796+G803+G807+G811</f>
        <v>#REF!</v>
      </c>
      <c r="H745" s="73" t="e">
        <f>H746+H757+H789+H796+H803+H807+H811</f>
        <v>#REF!</v>
      </c>
      <c r="I745" s="313" t="e">
        <f>I746+I757+I789+I796+I803+I807+I811</f>
        <v>#REF!</v>
      </c>
      <c r="J745" s="313" t="e">
        <f>J746+J757+J789+J796+J803+J807+J811</f>
        <v>#REF!</v>
      </c>
      <c r="K745" s="313" t="e">
        <f>K746+K757+K789+K796+K803+K807+K811</f>
        <v>#REF!</v>
      </c>
      <c r="L745" s="313" t="e">
        <f>ROUND(K745/J745*100,2)</f>
        <v>#REF!</v>
      </c>
      <c r="M745" s="313" t="e">
        <f>N745-J745</f>
        <v>#REF!</v>
      </c>
      <c r="N745" s="313" t="e">
        <f t="shared" ref="N745:X745" si="369">N746+N757+N789+N796+N803+N807+N811</f>
        <v>#REF!</v>
      </c>
      <c r="O745" s="73" t="e">
        <f t="shared" si="369"/>
        <v>#REF!</v>
      </c>
      <c r="P745" s="73" t="e">
        <f t="shared" si="369"/>
        <v>#REF!</v>
      </c>
      <c r="Q745" s="384" t="e">
        <f t="shared" si="369"/>
        <v>#REF!</v>
      </c>
      <c r="R745" s="76" t="e">
        <f t="shared" si="369"/>
        <v>#REF!</v>
      </c>
      <c r="S745" s="76" t="e">
        <f t="shared" si="369"/>
        <v>#REF!</v>
      </c>
      <c r="T745" s="76" t="e">
        <f t="shared" si="369"/>
        <v>#REF!</v>
      </c>
      <c r="U745" s="355" t="e">
        <f t="shared" si="369"/>
        <v>#REF!</v>
      </c>
      <c r="V745" s="355" t="e">
        <f t="shared" si="369"/>
        <v>#REF!</v>
      </c>
      <c r="W745" s="355" t="e">
        <f t="shared" si="369"/>
        <v>#REF!</v>
      </c>
      <c r="X745" s="355" t="e">
        <f t="shared" si="369"/>
        <v>#REF!</v>
      </c>
      <c r="AD745" s="60"/>
      <c r="AE745" s="60"/>
      <c r="AF745" s="60"/>
      <c r="AG745" s="60"/>
      <c r="AH745" s="60"/>
      <c r="AI745" s="60"/>
      <c r="AJ745" s="60"/>
      <c r="AK745" s="60"/>
      <c r="AL745" s="60"/>
    </row>
    <row r="746" spans="1:38" ht="16.5" customHeight="1" x14ac:dyDescent="0.25">
      <c r="A746" s="125"/>
      <c r="B746" s="74"/>
      <c r="C746" s="74" t="str">
        <f>LEFT(E748,2)</f>
        <v>31</v>
      </c>
      <c r="D746" s="74"/>
      <c r="E746" s="74"/>
      <c r="F746" s="75" t="s">
        <v>197</v>
      </c>
      <c r="G746" s="77" t="e">
        <f>G747+G752+G754</f>
        <v>#REF!</v>
      </c>
      <c r="H746" s="76" t="e">
        <f>H747+H752+H754</f>
        <v>#REF!</v>
      </c>
      <c r="I746" s="77" t="e">
        <f>I747+I752+I754</f>
        <v>#REF!</v>
      </c>
      <c r="J746" s="77" t="e">
        <f>J747+J752+J754</f>
        <v>#REF!</v>
      </c>
      <c r="K746" s="77" t="e">
        <f>K747+K752+K754</f>
        <v>#REF!</v>
      </c>
      <c r="L746" s="77" t="e">
        <f>ROUND(K746/J746*100,2)</f>
        <v>#REF!</v>
      </c>
      <c r="M746" s="77" t="e">
        <f>N746-J746</f>
        <v>#REF!</v>
      </c>
      <c r="N746" s="77" t="e">
        <f t="shared" ref="N746:X746" si="370">N747+N752+N754</f>
        <v>#REF!</v>
      </c>
      <c r="O746" s="76" t="e">
        <f t="shared" si="370"/>
        <v>#REF!</v>
      </c>
      <c r="P746" s="76" t="e">
        <f t="shared" si="370"/>
        <v>#REF!</v>
      </c>
      <c r="Q746" s="385" t="e">
        <f t="shared" si="370"/>
        <v>#REF!</v>
      </c>
      <c r="R746" s="127" t="e">
        <f t="shared" si="370"/>
        <v>#REF!</v>
      </c>
      <c r="S746" s="127" t="e">
        <f t="shared" si="370"/>
        <v>#REF!</v>
      </c>
      <c r="T746" s="127" t="e">
        <f t="shared" si="370"/>
        <v>#REF!</v>
      </c>
      <c r="U746" s="356" t="e">
        <f t="shared" si="370"/>
        <v>#REF!</v>
      </c>
      <c r="V746" s="356" t="e">
        <f t="shared" si="370"/>
        <v>#REF!</v>
      </c>
      <c r="W746" s="356" t="e">
        <f t="shared" si="370"/>
        <v>#REF!</v>
      </c>
      <c r="X746" s="356" t="e">
        <f t="shared" si="370"/>
        <v>#REF!</v>
      </c>
      <c r="AD746" s="128"/>
      <c r="AE746" s="60"/>
      <c r="AF746" s="60"/>
      <c r="AG746" s="60"/>
      <c r="AH746" s="60"/>
      <c r="AI746" s="60"/>
      <c r="AJ746" s="60"/>
      <c r="AK746" s="60"/>
      <c r="AL746" s="60"/>
    </row>
    <row r="747" spans="1:38" ht="18" customHeight="1" x14ac:dyDescent="0.25">
      <c r="A747" s="80"/>
      <c r="B747" s="80"/>
      <c r="C747" s="80"/>
      <c r="D747" s="80" t="str">
        <f>LEFT(E748,3)</f>
        <v>311</v>
      </c>
      <c r="E747" s="80"/>
      <c r="F747" s="81" t="s">
        <v>198</v>
      </c>
      <c r="G747" s="129" t="e">
        <f t="shared" ref="G747:X747" si="371">SUM(G748:G751)</f>
        <v>#REF!</v>
      </c>
      <c r="H747" s="102" t="e">
        <f t="shared" si="371"/>
        <v>#REF!</v>
      </c>
      <c r="I747" s="129" t="e">
        <f t="shared" si="371"/>
        <v>#REF!</v>
      </c>
      <c r="J747" s="129" t="e">
        <f t="shared" si="371"/>
        <v>#REF!</v>
      </c>
      <c r="K747" s="129" t="e">
        <f t="shared" si="371"/>
        <v>#REF!</v>
      </c>
      <c r="L747" s="129" t="e">
        <f t="shared" si="371"/>
        <v>#REF!</v>
      </c>
      <c r="M747" s="129" t="e">
        <f t="shared" si="371"/>
        <v>#REF!</v>
      </c>
      <c r="N747" s="129" t="e">
        <f t="shared" si="371"/>
        <v>#REF!</v>
      </c>
      <c r="O747" s="129" t="e">
        <f t="shared" si="371"/>
        <v>#REF!</v>
      </c>
      <c r="P747" s="129" t="e">
        <f t="shared" si="371"/>
        <v>#REF!</v>
      </c>
      <c r="Q747" s="389" t="e">
        <f t="shared" si="371"/>
        <v>#REF!</v>
      </c>
      <c r="R747" s="129" t="e">
        <f t="shared" si="371"/>
        <v>#REF!</v>
      </c>
      <c r="S747" s="129" t="e">
        <f t="shared" si="371"/>
        <v>#REF!</v>
      </c>
      <c r="T747" s="129" t="e">
        <f t="shared" si="371"/>
        <v>#REF!</v>
      </c>
      <c r="U747" s="363" t="e">
        <f t="shared" si="371"/>
        <v>#REF!</v>
      </c>
      <c r="V747" s="363" t="e">
        <f t="shared" si="371"/>
        <v>#REF!</v>
      </c>
      <c r="W747" s="363" t="e">
        <f t="shared" si="371"/>
        <v>#REF!</v>
      </c>
      <c r="X747" s="363" t="e">
        <f t="shared" si="371"/>
        <v>#REF!</v>
      </c>
      <c r="AD747" s="60"/>
      <c r="AE747" s="60"/>
      <c r="AF747" s="60"/>
      <c r="AG747" s="60"/>
      <c r="AH747" s="60"/>
      <c r="AI747" s="60"/>
      <c r="AJ747" s="60"/>
      <c r="AK747" s="60"/>
      <c r="AL747" s="60"/>
    </row>
    <row r="748" spans="1:38" ht="18" customHeight="1" x14ac:dyDescent="0.25">
      <c r="A748" s="80"/>
      <c r="B748" s="80"/>
      <c r="C748" s="80"/>
      <c r="D748" s="80"/>
      <c r="E748" s="80">
        <v>3111</v>
      </c>
      <c r="F748" s="81" t="s">
        <v>199</v>
      </c>
      <c r="G748" s="82" t="e">
        <f>SUMIF(#REF!,funkcijska!$E748,#REF!)</f>
        <v>#REF!</v>
      </c>
      <c r="H748" s="82" t="e">
        <f>SUMIF(#REF!,funkcijska!$E748,#REF!)</f>
        <v>#REF!</v>
      </c>
      <c r="I748" s="82" t="e">
        <f>SUMIF(#REF!,funkcijska!$E748,#REF!)</f>
        <v>#REF!</v>
      </c>
      <c r="J748" s="82" t="e">
        <f>SUMIF(#REF!,funkcijska!$E748,#REF!)</f>
        <v>#REF!</v>
      </c>
      <c r="K748" s="82" t="e">
        <f>SUMIF(#REF!,funkcijska!$E748,#REF!)</f>
        <v>#REF!</v>
      </c>
      <c r="L748" s="82" t="e">
        <f t="shared" ref="L748:L753" si="372">ROUND(K748/J748*100,2)</f>
        <v>#REF!</v>
      </c>
      <c r="M748" s="82" t="e">
        <f t="shared" ref="M748:M753" si="373">N748-J748</f>
        <v>#REF!</v>
      </c>
      <c r="N748" s="82" t="e">
        <f>SUMIF(#REF!,funkcijska!$E748,#REF!)</f>
        <v>#REF!</v>
      </c>
      <c r="O748" s="82" t="e">
        <f>SUMIF(#REF!,funkcijska!$E748,#REF!)</f>
        <v>#REF!</v>
      </c>
      <c r="P748" s="82" t="e">
        <f>SUMIF(#REF!,funkcijska!$E748,#REF!)</f>
        <v>#REF!</v>
      </c>
      <c r="Q748" s="386" t="e">
        <f>SUMIF(#REF!,funkcijska!$E748,#REF!)</f>
        <v>#REF!</v>
      </c>
      <c r="R748" s="82" t="e">
        <f>SUMIF(#REF!,funkcijska!$E748,#REF!)</f>
        <v>#REF!</v>
      </c>
      <c r="S748" s="82" t="e">
        <f>SUMIF(#REF!,funkcijska!$E748,#REF!)</f>
        <v>#REF!</v>
      </c>
      <c r="T748" s="82" t="e">
        <f>SUMIF(#REF!,funkcijska!$E$12,#REF!)</f>
        <v>#REF!</v>
      </c>
      <c r="U748" s="357" t="e">
        <f>SUMIF(#REF!,funkcijska!$E748,#REF!)</f>
        <v>#REF!</v>
      </c>
      <c r="V748" s="357" t="e">
        <f>SUMIF(#REF!,funkcijska!$E748,#REF!)+SUMIF(#REF!,funkcijska!$E748,#REF!)</f>
        <v>#REF!</v>
      </c>
      <c r="W748" s="357" t="e">
        <f>SUMIF(#REF!,funkcijska!$E748,#REF!)+SUMIF(#REF!,funkcijska!$E748,#REF!)</f>
        <v>#REF!</v>
      </c>
      <c r="X748" s="357" t="e">
        <f>SUMIF(#REF!,funkcijska!$E748,#REF!)+SUMIF(#REF!,funkcijska!$E748,#REF!)</f>
        <v>#REF!</v>
      </c>
      <c r="AD748" s="60"/>
      <c r="AE748" s="60"/>
      <c r="AF748" s="60"/>
      <c r="AG748" s="60"/>
      <c r="AH748" s="60"/>
      <c r="AI748" s="60"/>
      <c r="AJ748" s="60"/>
      <c r="AK748" s="60"/>
      <c r="AL748" s="60"/>
    </row>
    <row r="749" spans="1:38" x14ac:dyDescent="0.25">
      <c r="A749" s="80"/>
      <c r="B749" s="80"/>
      <c r="C749" s="80"/>
      <c r="D749" s="80"/>
      <c r="E749" s="80">
        <v>3112</v>
      </c>
      <c r="F749" s="81" t="s">
        <v>219</v>
      </c>
      <c r="G749" s="82" t="e">
        <f>SUMIF(#REF!,funkcijska!$E749,#REF!)</f>
        <v>#REF!</v>
      </c>
      <c r="H749" s="82" t="e">
        <f>SUMIF(#REF!,funkcijska!$E749,#REF!)</f>
        <v>#REF!</v>
      </c>
      <c r="I749" s="82" t="e">
        <f>SUMIF(#REF!,funkcijska!$E749,#REF!)</f>
        <v>#REF!</v>
      </c>
      <c r="J749" s="82" t="e">
        <f>SUMIF(#REF!,funkcijska!$E749,#REF!)</f>
        <v>#REF!</v>
      </c>
      <c r="K749" s="82" t="e">
        <f>SUMIF(#REF!,funkcijska!$E749,#REF!)</f>
        <v>#REF!</v>
      </c>
      <c r="L749" s="82" t="e">
        <f t="shared" si="372"/>
        <v>#REF!</v>
      </c>
      <c r="M749" s="82" t="e">
        <f t="shared" si="373"/>
        <v>#REF!</v>
      </c>
      <c r="N749" s="82" t="e">
        <f>SUMIF(#REF!,funkcijska!$E749,#REF!)</f>
        <v>#REF!</v>
      </c>
      <c r="O749" s="82" t="e">
        <f>SUMIF(#REF!,funkcijska!$E749,#REF!)</f>
        <v>#REF!</v>
      </c>
      <c r="P749" s="82" t="e">
        <f>SUMIF(#REF!,funkcijska!$E749,#REF!)</f>
        <v>#REF!</v>
      </c>
      <c r="Q749" s="386" t="e">
        <f>SUMIF(#REF!,funkcijska!$E749,#REF!)</f>
        <v>#REF!</v>
      </c>
      <c r="R749" s="82" t="e">
        <f>SUMIF(#REF!,funkcijska!$E749,#REF!)</f>
        <v>#REF!</v>
      </c>
      <c r="S749" s="82" t="e">
        <f>SUMIF(#REF!,funkcijska!$E749,#REF!)</f>
        <v>#REF!</v>
      </c>
      <c r="T749" s="82" t="e">
        <f>SUMIF(#REF!,funkcijska!$E$13,#REF!)</f>
        <v>#REF!</v>
      </c>
      <c r="U749" s="357" t="e">
        <f>SUMIF(#REF!,funkcijska!$E749,#REF!)</f>
        <v>#REF!</v>
      </c>
      <c r="V749" s="357" t="e">
        <f>SUMIF(#REF!,funkcijska!$E749,#REF!)+SUMIF(#REF!,funkcijska!$E749,#REF!)</f>
        <v>#REF!</v>
      </c>
      <c r="W749" s="357" t="e">
        <f>SUMIF(#REF!,funkcijska!$E749,#REF!)+SUMIF(#REF!,funkcijska!$E749,#REF!)</f>
        <v>#REF!</v>
      </c>
      <c r="X749" s="357" t="e">
        <f>SUMIF(#REF!,funkcijska!$E749,#REF!)+SUMIF(#REF!,funkcijska!$E749,#REF!)</f>
        <v>#REF!</v>
      </c>
      <c r="AD749" s="60"/>
      <c r="AE749" s="60"/>
      <c r="AF749" s="60"/>
      <c r="AG749" s="60"/>
      <c r="AH749" s="60"/>
      <c r="AI749" s="60"/>
      <c r="AJ749" s="60"/>
      <c r="AK749" s="60"/>
      <c r="AL749" s="60"/>
    </row>
    <row r="750" spans="1:38" x14ac:dyDescent="0.25">
      <c r="A750" s="80"/>
      <c r="B750" s="80"/>
      <c r="C750" s="80"/>
      <c r="D750" s="80"/>
      <c r="E750" s="80">
        <v>3113</v>
      </c>
      <c r="F750" s="81" t="s">
        <v>476</v>
      </c>
      <c r="G750" s="82" t="e">
        <f>SUMIF(#REF!,funkcijska!$E750,#REF!)</f>
        <v>#REF!</v>
      </c>
      <c r="H750" s="82" t="e">
        <f>SUMIF(#REF!,funkcijska!$E750,#REF!)</f>
        <v>#REF!</v>
      </c>
      <c r="I750" s="82" t="e">
        <f>SUMIF(#REF!,funkcijska!$E750,#REF!)</f>
        <v>#REF!</v>
      </c>
      <c r="J750" s="82" t="e">
        <f>SUMIF(#REF!,funkcijska!$E750,#REF!)</f>
        <v>#REF!</v>
      </c>
      <c r="K750" s="82" t="e">
        <f>SUMIF(#REF!,funkcijska!$E750,#REF!)</f>
        <v>#REF!</v>
      </c>
      <c r="L750" s="82" t="e">
        <f t="shared" si="372"/>
        <v>#REF!</v>
      </c>
      <c r="M750" s="82" t="e">
        <f t="shared" si="373"/>
        <v>#REF!</v>
      </c>
      <c r="N750" s="82" t="e">
        <f>SUMIF(#REF!,funkcijska!$E750,#REF!)</f>
        <v>#REF!</v>
      </c>
      <c r="O750" s="82" t="e">
        <f>SUMIF(#REF!,funkcijska!$E750,#REF!)</f>
        <v>#REF!</v>
      </c>
      <c r="P750" s="82" t="e">
        <f>SUMIF(#REF!,funkcijska!$E750,#REF!)</f>
        <v>#REF!</v>
      </c>
      <c r="Q750" s="386" t="e">
        <f>SUMIF(#REF!,funkcijska!$E750,#REF!)</f>
        <v>#REF!</v>
      </c>
      <c r="R750" s="82" t="e">
        <f>SUMIF(#REF!,funkcijska!$E750,#REF!)</f>
        <v>#REF!</v>
      </c>
      <c r="S750" s="82" t="e">
        <f>SUMIF(#REF!,funkcijska!$E750,#REF!)</f>
        <v>#REF!</v>
      </c>
      <c r="T750" s="82" t="e">
        <f>SUMIF(#REF!,funkcijska!$E$14,#REF!)</f>
        <v>#REF!</v>
      </c>
      <c r="U750" s="357" t="e">
        <f>SUMIF(#REF!,funkcijska!$E750,#REF!)</f>
        <v>#REF!</v>
      </c>
      <c r="V750" s="357" t="e">
        <f>SUMIF(#REF!,funkcijska!$E750,#REF!)+SUMIF(#REF!,funkcijska!$E750,#REF!)</f>
        <v>#REF!</v>
      </c>
      <c r="W750" s="357" t="e">
        <f>SUMIF(#REF!,funkcijska!$E750,#REF!)+SUMIF(#REF!,funkcijska!$E750,#REF!)</f>
        <v>#REF!</v>
      </c>
      <c r="X750" s="357" t="e">
        <f>SUMIF(#REF!,funkcijska!$E750,#REF!)+SUMIF(#REF!,funkcijska!$E750,#REF!)</f>
        <v>#REF!</v>
      </c>
      <c r="AD750" s="60"/>
      <c r="AE750" s="60"/>
      <c r="AF750" s="60"/>
      <c r="AG750" s="60"/>
      <c r="AH750" s="60"/>
      <c r="AI750" s="60"/>
      <c r="AJ750" s="60"/>
      <c r="AK750" s="60"/>
      <c r="AL750" s="60"/>
    </row>
    <row r="751" spans="1:38" x14ac:dyDescent="0.25">
      <c r="A751" s="80"/>
      <c r="B751" s="80"/>
      <c r="C751" s="80"/>
      <c r="D751" s="80"/>
      <c r="E751" s="80">
        <v>3114</v>
      </c>
      <c r="F751" s="81" t="s">
        <v>643</v>
      </c>
      <c r="G751" s="82" t="e">
        <f>SUMIF(#REF!,funkcijska!$E751,#REF!)</f>
        <v>#REF!</v>
      </c>
      <c r="H751" s="82" t="e">
        <f>SUMIF(#REF!,funkcijska!$E751,#REF!)</f>
        <v>#REF!</v>
      </c>
      <c r="I751" s="82" t="e">
        <f>SUMIF(#REF!,funkcijska!$E751,#REF!)</f>
        <v>#REF!</v>
      </c>
      <c r="J751" s="82" t="e">
        <f>SUMIF(#REF!,funkcijska!$E751,#REF!)</f>
        <v>#REF!</v>
      </c>
      <c r="K751" s="82" t="e">
        <f>SUMIF(#REF!,funkcijska!$E751,#REF!)</f>
        <v>#REF!</v>
      </c>
      <c r="L751" s="82" t="e">
        <f t="shared" si="372"/>
        <v>#REF!</v>
      </c>
      <c r="M751" s="82" t="e">
        <f t="shared" si="373"/>
        <v>#REF!</v>
      </c>
      <c r="N751" s="82" t="e">
        <f>SUMIF(#REF!,funkcijska!$E751,#REF!)</f>
        <v>#REF!</v>
      </c>
      <c r="O751" s="82" t="e">
        <f>SUMIF(#REF!,funkcijska!$E751,#REF!)</f>
        <v>#REF!</v>
      </c>
      <c r="P751" s="82" t="e">
        <f>SUMIF(#REF!,funkcijska!$E751,#REF!)</f>
        <v>#REF!</v>
      </c>
      <c r="Q751" s="386" t="e">
        <f>SUMIF(#REF!,funkcijska!$E751,#REF!)</f>
        <v>#REF!</v>
      </c>
      <c r="R751" s="82" t="e">
        <f>SUMIF(#REF!,funkcijska!$E751,#REF!)</f>
        <v>#REF!</v>
      </c>
      <c r="S751" s="82" t="e">
        <f>SUMIF(#REF!,funkcijska!$E751,#REF!)</f>
        <v>#REF!</v>
      </c>
      <c r="T751" s="82" t="e">
        <f>SUMIF(#REF!,funkcijska!$E$15,#REF!)</f>
        <v>#REF!</v>
      </c>
      <c r="U751" s="357" t="e">
        <f>SUMIF(#REF!,funkcijska!$E751,#REF!)</f>
        <v>#REF!</v>
      </c>
      <c r="V751" s="357" t="e">
        <f>SUMIF(#REF!,funkcijska!$E751,#REF!)+SUMIF(#REF!,funkcijska!$E751,#REF!)</f>
        <v>#REF!</v>
      </c>
      <c r="W751" s="357" t="e">
        <f>SUMIF(#REF!,funkcijska!$E751,#REF!)+SUMIF(#REF!,funkcijska!$E751,#REF!)</f>
        <v>#REF!</v>
      </c>
      <c r="X751" s="543" t="e">
        <f>SUMIF(#REF!,funkcijska!$E751,#REF!)+SUMIF(#REF!,funkcijska!$E751,#REF!)</f>
        <v>#REF!</v>
      </c>
      <c r="Y751" s="361"/>
      <c r="AD751" s="60"/>
      <c r="AE751" s="60"/>
      <c r="AF751" s="60"/>
      <c r="AG751" s="60"/>
      <c r="AH751" s="60"/>
      <c r="AI751" s="60"/>
      <c r="AJ751" s="60"/>
      <c r="AK751" s="60"/>
      <c r="AL751" s="60"/>
    </row>
    <row r="752" spans="1:38" ht="17.25" customHeight="1" x14ac:dyDescent="0.25">
      <c r="A752" s="80"/>
      <c r="B752" s="80"/>
      <c r="C752" s="80"/>
      <c r="D752" s="80" t="str">
        <f>LEFT(E753,3)</f>
        <v>312</v>
      </c>
      <c r="E752" s="80"/>
      <c r="F752" s="81" t="s">
        <v>200</v>
      </c>
      <c r="G752" s="84" t="e">
        <f>G753</f>
        <v>#REF!</v>
      </c>
      <c r="H752" s="82" t="e">
        <f>SUMIF(#REF!,funkcijska!$E752,#REF!)</f>
        <v>#REF!</v>
      </c>
      <c r="I752" s="84" t="e">
        <f>I753</f>
        <v>#REF!</v>
      </c>
      <c r="J752" s="84" t="e">
        <f>J753</f>
        <v>#REF!</v>
      </c>
      <c r="K752" s="84" t="e">
        <f>K753</f>
        <v>#REF!</v>
      </c>
      <c r="L752" s="84" t="e">
        <f t="shared" si="372"/>
        <v>#REF!</v>
      </c>
      <c r="M752" s="84" t="e">
        <f t="shared" si="373"/>
        <v>#REF!</v>
      </c>
      <c r="N752" s="84" t="e">
        <f t="shared" ref="N752:X752" si="374">N753</f>
        <v>#REF!</v>
      </c>
      <c r="O752" s="84" t="e">
        <f t="shared" si="374"/>
        <v>#REF!</v>
      </c>
      <c r="P752" s="84" t="e">
        <f t="shared" si="374"/>
        <v>#REF!</v>
      </c>
      <c r="Q752" s="390" t="e">
        <f t="shared" si="374"/>
        <v>#REF!</v>
      </c>
      <c r="R752" s="84" t="e">
        <f t="shared" si="374"/>
        <v>#REF!</v>
      </c>
      <c r="S752" s="84" t="e">
        <f t="shared" si="374"/>
        <v>#REF!</v>
      </c>
      <c r="T752" s="84" t="e">
        <f t="shared" si="374"/>
        <v>#REF!</v>
      </c>
      <c r="U752" s="357" t="e">
        <f t="shared" si="374"/>
        <v>#REF!</v>
      </c>
      <c r="V752" s="357" t="e">
        <f t="shared" si="374"/>
        <v>#REF!</v>
      </c>
      <c r="W752" s="357" t="e">
        <f t="shared" si="374"/>
        <v>#REF!</v>
      </c>
      <c r="X752" s="357" t="e">
        <f t="shared" si="374"/>
        <v>#REF!</v>
      </c>
      <c r="AD752" s="60"/>
      <c r="AE752" s="60"/>
      <c r="AF752" s="60"/>
      <c r="AG752" s="60"/>
      <c r="AH752" s="60"/>
      <c r="AI752" s="60"/>
      <c r="AJ752" s="60"/>
      <c r="AK752" s="60"/>
      <c r="AL752" s="60"/>
    </row>
    <row r="753" spans="1:38" x14ac:dyDescent="0.25">
      <c r="A753" s="80"/>
      <c r="B753" s="80"/>
      <c r="C753" s="80"/>
      <c r="D753" s="80"/>
      <c r="E753" s="80">
        <v>3121</v>
      </c>
      <c r="F753" s="81" t="s">
        <v>200</v>
      </c>
      <c r="G753" s="82" t="e">
        <f>SUMIF(#REF!,funkcijska!$E753,#REF!)</f>
        <v>#REF!</v>
      </c>
      <c r="H753" s="82" t="e">
        <f>SUMIF(#REF!,funkcijska!$E753,#REF!)</f>
        <v>#REF!</v>
      </c>
      <c r="I753" s="82" t="e">
        <f>SUMIF(#REF!,funkcijska!$E753,#REF!)</f>
        <v>#REF!</v>
      </c>
      <c r="J753" s="82" t="e">
        <f>SUMIF(#REF!,funkcijska!$E753,#REF!)</f>
        <v>#REF!</v>
      </c>
      <c r="K753" s="82" t="e">
        <f>SUMIF(#REF!,funkcijska!$E753,#REF!)</f>
        <v>#REF!</v>
      </c>
      <c r="L753" s="82" t="e">
        <f t="shared" si="372"/>
        <v>#REF!</v>
      </c>
      <c r="M753" s="82" t="e">
        <f t="shared" si="373"/>
        <v>#REF!</v>
      </c>
      <c r="N753" s="82" t="e">
        <f>SUMIF(#REF!,funkcijska!$E753,#REF!)</f>
        <v>#REF!</v>
      </c>
      <c r="O753" s="82" t="e">
        <f>SUMIF(#REF!,funkcijska!$E753,#REF!)</f>
        <v>#REF!</v>
      </c>
      <c r="P753" s="82" t="e">
        <f>SUMIF(#REF!,funkcijska!$E753,#REF!)</f>
        <v>#REF!</v>
      </c>
      <c r="Q753" s="386" t="e">
        <f>SUMIF(#REF!,funkcijska!$E753,#REF!)</f>
        <v>#REF!</v>
      </c>
      <c r="R753" s="82" t="e">
        <f>SUMIF(#REF!,funkcijska!$E753,#REF!)</f>
        <v>#REF!</v>
      </c>
      <c r="S753" s="82" t="e">
        <f>SUMIF(#REF!,funkcijska!$E753,#REF!)</f>
        <v>#REF!</v>
      </c>
      <c r="T753" s="82" t="e">
        <f>SUMIF(#REF!,funkcijska!$E$17,#REF!)</f>
        <v>#REF!</v>
      </c>
      <c r="U753" s="357" t="e">
        <f>SUMIF(#REF!,funkcijska!$E753,#REF!)</f>
        <v>#REF!</v>
      </c>
      <c r="V753" s="357" t="e">
        <f>SUMIF(#REF!,funkcijska!$E753,#REF!)+SUMIF(#REF!,funkcijska!$E753,#REF!)</f>
        <v>#REF!</v>
      </c>
      <c r="W753" s="357" t="e">
        <f>SUMIF(#REF!,funkcijska!$E753,#REF!)+SUMIF(#REF!,funkcijska!$E753,#REF!)</f>
        <v>#REF!</v>
      </c>
      <c r="X753" s="357" t="e">
        <f>SUMIF(#REF!,funkcijska!$E753,#REF!)+SUMIF(#REF!,funkcijska!$E753,#REF!)</f>
        <v>#REF!</v>
      </c>
      <c r="AD753" s="60"/>
      <c r="AE753" s="60"/>
      <c r="AF753" s="60"/>
      <c r="AG753" s="60"/>
      <c r="AH753" s="60"/>
      <c r="AI753" s="60"/>
      <c r="AJ753" s="60"/>
      <c r="AK753" s="60"/>
      <c r="AL753" s="60"/>
    </row>
    <row r="754" spans="1:38" ht="17.25" customHeight="1" x14ac:dyDescent="0.25">
      <c r="A754" s="80"/>
      <c r="B754" s="80"/>
      <c r="C754" s="80"/>
      <c r="D754" s="80" t="str">
        <f>LEFT(E755,3)</f>
        <v>313</v>
      </c>
      <c r="E754" s="80"/>
      <c r="F754" s="81" t="s">
        <v>201</v>
      </c>
      <c r="G754" s="84" t="e">
        <f>SUM(G755:G756)</f>
        <v>#REF!</v>
      </c>
      <c r="H754" s="82" t="e">
        <f>SUMIF(#REF!,funkcijska!$E754,#REF!)</f>
        <v>#REF!</v>
      </c>
      <c r="I754" s="84" t="e">
        <f t="shared" ref="I754:X754" si="375">SUM(I755:I756)</f>
        <v>#REF!</v>
      </c>
      <c r="J754" s="84" t="e">
        <f t="shared" si="375"/>
        <v>#REF!</v>
      </c>
      <c r="K754" s="84" t="e">
        <f t="shared" si="375"/>
        <v>#REF!</v>
      </c>
      <c r="L754" s="84" t="e">
        <f t="shared" si="375"/>
        <v>#REF!</v>
      </c>
      <c r="M754" s="84" t="e">
        <f t="shared" si="375"/>
        <v>#REF!</v>
      </c>
      <c r="N754" s="84" t="e">
        <f t="shared" si="375"/>
        <v>#REF!</v>
      </c>
      <c r="O754" s="84" t="e">
        <f t="shared" si="375"/>
        <v>#REF!</v>
      </c>
      <c r="P754" s="84" t="e">
        <f t="shared" si="375"/>
        <v>#REF!</v>
      </c>
      <c r="Q754" s="390" t="e">
        <f t="shared" si="375"/>
        <v>#REF!</v>
      </c>
      <c r="R754" s="84" t="e">
        <f t="shared" si="375"/>
        <v>#REF!</v>
      </c>
      <c r="S754" s="84" t="e">
        <f t="shared" si="375"/>
        <v>#REF!</v>
      </c>
      <c r="T754" s="84" t="e">
        <f t="shared" si="375"/>
        <v>#REF!</v>
      </c>
      <c r="U754" s="357" t="e">
        <f t="shared" si="375"/>
        <v>#REF!</v>
      </c>
      <c r="V754" s="357" t="e">
        <f t="shared" si="375"/>
        <v>#REF!</v>
      </c>
      <c r="W754" s="357" t="e">
        <f t="shared" si="375"/>
        <v>#REF!</v>
      </c>
      <c r="X754" s="357" t="e">
        <f t="shared" si="375"/>
        <v>#REF!</v>
      </c>
      <c r="AD754" s="60"/>
      <c r="AE754" s="60"/>
      <c r="AF754" s="60"/>
      <c r="AG754" s="60"/>
      <c r="AH754" s="60"/>
      <c r="AI754" s="60"/>
      <c r="AJ754" s="60"/>
      <c r="AK754" s="60"/>
      <c r="AL754" s="60"/>
    </row>
    <row r="755" spans="1:38" x14ac:dyDescent="0.25">
      <c r="A755" s="80"/>
      <c r="B755" s="80"/>
      <c r="C755" s="80"/>
      <c r="D755" s="80"/>
      <c r="E755" s="80">
        <v>3132</v>
      </c>
      <c r="F755" s="81" t="s">
        <v>202</v>
      </c>
      <c r="G755" s="82" t="e">
        <f>SUMIF(#REF!,funkcijska!$E755,#REF!)</f>
        <v>#REF!</v>
      </c>
      <c r="H755" s="82" t="e">
        <f>SUMIF(#REF!,funkcijska!$E755,#REF!)</f>
        <v>#REF!</v>
      </c>
      <c r="I755" s="82" t="e">
        <f>SUMIF(#REF!,funkcijska!$E755,#REF!)</f>
        <v>#REF!</v>
      </c>
      <c r="J755" s="82" t="e">
        <f>SUMIF(#REF!,funkcijska!$E755,#REF!)</f>
        <v>#REF!</v>
      </c>
      <c r="K755" s="82" t="e">
        <f>SUMIF(#REF!,funkcijska!$E755,#REF!)</f>
        <v>#REF!</v>
      </c>
      <c r="L755" s="82" t="e">
        <f>ROUND(K755/J755*100,2)</f>
        <v>#REF!</v>
      </c>
      <c r="M755" s="82" t="e">
        <f>N755-J755</f>
        <v>#REF!</v>
      </c>
      <c r="N755" s="82" t="e">
        <f>SUMIF(#REF!,funkcijska!$E755,#REF!)</f>
        <v>#REF!</v>
      </c>
      <c r="O755" s="82" t="e">
        <f>SUMIF(#REF!,funkcijska!$E755,#REF!)</f>
        <v>#REF!</v>
      </c>
      <c r="P755" s="82" t="e">
        <f>SUMIF(#REF!,funkcijska!$E755,#REF!)</f>
        <v>#REF!</v>
      </c>
      <c r="Q755" s="386" t="e">
        <f>SUMIF(#REF!,funkcijska!$E755,#REF!)</f>
        <v>#REF!</v>
      </c>
      <c r="R755" s="82" t="e">
        <f>SUMIF(#REF!,funkcijska!$E755,#REF!)</f>
        <v>#REF!</v>
      </c>
      <c r="S755" s="82" t="e">
        <f>SUMIF(#REF!,funkcijska!$E755,#REF!)</f>
        <v>#REF!</v>
      </c>
      <c r="T755" s="82" t="e">
        <f>SUMIF(#REF!,funkcijska!$E$19,#REF!)</f>
        <v>#REF!</v>
      </c>
      <c r="U755" s="357" t="e">
        <f>SUMIF(#REF!,funkcijska!$E755,#REF!)</f>
        <v>#REF!</v>
      </c>
      <c r="V755" s="357" t="e">
        <f>SUMIF(#REF!,funkcijska!$E755,#REF!)+SUMIF(#REF!,funkcijska!$E755,#REF!)</f>
        <v>#REF!</v>
      </c>
      <c r="W755" s="357" t="e">
        <f>SUMIF(#REF!,funkcijska!$E755,#REF!)+SUMIF(#REF!,funkcijska!$E755,#REF!)</f>
        <v>#REF!</v>
      </c>
      <c r="X755" s="357" t="e">
        <f>SUMIF(#REF!,funkcijska!$E755,#REF!)+SUMIF(#REF!,funkcijska!$E755,#REF!)</f>
        <v>#REF!</v>
      </c>
      <c r="AD755" s="60"/>
      <c r="AE755" s="60"/>
      <c r="AF755" s="60"/>
      <c r="AG755" s="60"/>
      <c r="AH755" s="60"/>
      <c r="AI755" s="60"/>
      <c r="AJ755" s="60"/>
      <c r="AK755" s="60"/>
      <c r="AL755" s="60"/>
    </row>
    <row r="756" spans="1:38" ht="36" x14ac:dyDescent="0.25">
      <c r="A756" s="80"/>
      <c r="B756" s="80"/>
      <c r="C756" s="80"/>
      <c r="D756" s="80"/>
      <c r="E756" s="80">
        <v>3133</v>
      </c>
      <c r="F756" s="81" t="s">
        <v>203</v>
      </c>
      <c r="G756" s="82" t="e">
        <f>SUMIF(#REF!,funkcijska!$E756,#REF!)</f>
        <v>#REF!</v>
      </c>
      <c r="H756" s="82" t="e">
        <f>SUMIF(#REF!,funkcijska!$E756,#REF!)</f>
        <v>#REF!</v>
      </c>
      <c r="I756" s="82" t="e">
        <f>SUMIF(#REF!,funkcijska!$E756,#REF!)</f>
        <v>#REF!</v>
      </c>
      <c r="J756" s="82" t="e">
        <f>SUMIF(#REF!,funkcijska!$E756,#REF!)</f>
        <v>#REF!</v>
      </c>
      <c r="K756" s="82" t="e">
        <f>SUMIF(#REF!,funkcijska!$E756,#REF!)</f>
        <v>#REF!</v>
      </c>
      <c r="L756" s="82" t="e">
        <f>ROUND(K756/J756*100,2)</f>
        <v>#REF!</v>
      </c>
      <c r="M756" s="82" t="e">
        <f>N756-J756</f>
        <v>#REF!</v>
      </c>
      <c r="N756" s="82" t="e">
        <f>SUMIF(#REF!,funkcijska!$E756,#REF!)</f>
        <v>#REF!</v>
      </c>
      <c r="O756" s="82" t="e">
        <f>SUMIF(#REF!,funkcijska!$E756,#REF!)</f>
        <v>#REF!</v>
      </c>
      <c r="P756" s="82" t="e">
        <f>SUMIF(#REF!,funkcijska!$E756,#REF!)</f>
        <v>#REF!</v>
      </c>
      <c r="Q756" s="386" t="e">
        <f>SUMIF(#REF!,funkcijska!$E756,#REF!)</f>
        <v>#REF!</v>
      </c>
      <c r="R756" s="82" t="e">
        <f>SUMIF(#REF!,funkcijska!$E756,#REF!)</f>
        <v>#REF!</v>
      </c>
      <c r="S756" s="82" t="e">
        <f>SUMIF(#REF!,funkcijska!$E756,#REF!)</f>
        <v>#REF!</v>
      </c>
      <c r="T756" s="82" t="e">
        <f>SUMIF(#REF!,funkcijska!$E$20,#REF!)</f>
        <v>#REF!</v>
      </c>
      <c r="U756" s="357" t="e">
        <f>SUMIF(#REF!,funkcijska!$E756,#REF!)</f>
        <v>#REF!</v>
      </c>
      <c r="V756" s="357" t="e">
        <f>SUMIF(#REF!,funkcijska!$E756,#REF!)+SUMIF(#REF!,funkcijska!$E756,#REF!)</f>
        <v>#REF!</v>
      </c>
      <c r="W756" s="357" t="e">
        <f>SUMIF(#REF!,funkcijska!$E756,#REF!)+SUMIF(#REF!,funkcijska!$E756,#REF!)</f>
        <v>#REF!</v>
      </c>
      <c r="X756" s="357" t="e">
        <f>SUMIF(#REF!,funkcijska!$E756,#REF!)+SUMIF(#REF!,funkcijska!$E756,#REF!)</f>
        <v>#REF!</v>
      </c>
      <c r="AD756" s="60"/>
      <c r="AE756" s="60"/>
      <c r="AF756" s="60"/>
      <c r="AG756" s="60"/>
      <c r="AH756" s="60"/>
      <c r="AI756" s="60"/>
      <c r="AJ756" s="60"/>
      <c r="AK756" s="60"/>
      <c r="AL756" s="60"/>
    </row>
    <row r="757" spans="1:38" ht="18.75" customHeight="1" x14ac:dyDescent="0.25">
      <c r="A757" s="125"/>
      <c r="B757" s="74"/>
      <c r="C757" s="74" t="str">
        <f>LEFT(E759,2)</f>
        <v>32</v>
      </c>
      <c r="D757" s="74"/>
      <c r="E757" s="74"/>
      <c r="F757" s="75" t="s">
        <v>525</v>
      </c>
      <c r="G757" s="310" t="e">
        <f>G758+G763+G770+G782</f>
        <v>#REF!</v>
      </c>
      <c r="H757" s="118" t="e">
        <f>H758+H763+H770+H782</f>
        <v>#REF!</v>
      </c>
      <c r="I757" s="310" t="e">
        <f>I758+I763+I770+I782</f>
        <v>#REF!</v>
      </c>
      <c r="J757" s="310" t="e">
        <f>J758+J763+J770+J780+J782</f>
        <v>#REF!</v>
      </c>
      <c r="K757" s="310" t="e">
        <f>K758+K763+K770+K780+K782</f>
        <v>#REF!</v>
      </c>
      <c r="L757" s="310" t="e">
        <f>ROUND(K757/J757*100,2)</f>
        <v>#REF!</v>
      </c>
      <c r="M757" s="310" t="e">
        <f>N757-J757</f>
        <v>#REF!</v>
      </c>
      <c r="N757" s="310" t="e">
        <f t="shared" ref="N757:X757" si="376">N758+N763+N770+N780+N782</f>
        <v>#REF!</v>
      </c>
      <c r="O757" s="310" t="e">
        <f t="shared" si="376"/>
        <v>#REF!</v>
      </c>
      <c r="P757" s="310" t="e">
        <f t="shared" si="376"/>
        <v>#REF!</v>
      </c>
      <c r="Q757" s="391" t="e">
        <f t="shared" si="376"/>
        <v>#REF!</v>
      </c>
      <c r="R757" s="130" t="e">
        <f t="shared" si="376"/>
        <v>#REF!</v>
      </c>
      <c r="S757" s="130" t="e">
        <f t="shared" si="376"/>
        <v>#REF!</v>
      </c>
      <c r="T757" s="130" t="e">
        <f t="shared" si="376"/>
        <v>#REF!</v>
      </c>
      <c r="U757" s="364" t="e">
        <f t="shared" si="376"/>
        <v>#REF!</v>
      </c>
      <c r="V757" s="364" t="e">
        <f t="shared" si="376"/>
        <v>#REF!</v>
      </c>
      <c r="W757" s="364" t="e">
        <f t="shared" si="376"/>
        <v>#REF!</v>
      </c>
      <c r="X757" s="364" t="e">
        <f t="shared" si="376"/>
        <v>#REF!</v>
      </c>
      <c r="AD757" s="60"/>
      <c r="AE757" s="60"/>
      <c r="AF757" s="60"/>
      <c r="AG757" s="60"/>
      <c r="AH757" s="60"/>
      <c r="AI757" s="60"/>
      <c r="AJ757" s="60"/>
      <c r="AK757" s="60"/>
      <c r="AL757" s="60"/>
    </row>
    <row r="758" spans="1:38" s="373" customFormat="1" ht="16.5" customHeight="1" x14ac:dyDescent="0.25">
      <c r="A758" s="119"/>
      <c r="B758" s="119"/>
      <c r="C758" s="119"/>
      <c r="D758" s="119" t="str">
        <f>LEFT(E759,3)</f>
        <v>321</v>
      </c>
      <c r="E758" s="119"/>
      <c r="F758" s="368" t="s">
        <v>564</v>
      </c>
      <c r="G758" s="369" t="e">
        <f>SUM(G759:G761)</f>
        <v>#REF!</v>
      </c>
      <c r="H758" s="370" t="e">
        <f>SUM(H759:H761)</f>
        <v>#REF!</v>
      </c>
      <c r="I758" s="369" t="e">
        <f t="shared" ref="I758:X758" si="377">SUM(I759:I762)</f>
        <v>#REF!</v>
      </c>
      <c r="J758" s="369" t="e">
        <f t="shared" si="377"/>
        <v>#REF!</v>
      </c>
      <c r="K758" s="369" t="e">
        <f t="shared" si="377"/>
        <v>#REF!</v>
      </c>
      <c r="L758" s="369" t="e">
        <f t="shared" si="377"/>
        <v>#REF!</v>
      </c>
      <c r="M758" s="369" t="e">
        <f t="shared" si="377"/>
        <v>#REF!</v>
      </c>
      <c r="N758" s="369" t="e">
        <f t="shared" si="377"/>
        <v>#REF!</v>
      </c>
      <c r="O758" s="369" t="e">
        <f t="shared" si="377"/>
        <v>#REF!</v>
      </c>
      <c r="P758" s="369" t="e">
        <f t="shared" si="377"/>
        <v>#REF!</v>
      </c>
      <c r="Q758" s="392" t="e">
        <f t="shared" si="377"/>
        <v>#REF!</v>
      </c>
      <c r="R758" s="369" t="e">
        <f t="shared" si="377"/>
        <v>#REF!</v>
      </c>
      <c r="S758" s="369" t="e">
        <f t="shared" si="377"/>
        <v>#REF!</v>
      </c>
      <c r="T758" s="369" t="e">
        <f t="shared" si="377"/>
        <v>#REF!</v>
      </c>
      <c r="U758" s="374" t="e">
        <f t="shared" si="377"/>
        <v>#REF!</v>
      </c>
      <c r="V758" s="374" t="e">
        <f t="shared" si="377"/>
        <v>#REF!</v>
      </c>
      <c r="W758" s="374" t="e">
        <f t="shared" si="377"/>
        <v>#REF!</v>
      </c>
      <c r="X758" s="374" t="e">
        <f t="shared" si="377"/>
        <v>#REF!</v>
      </c>
      <c r="Y758" s="372"/>
      <c r="Z758" s="372"/>
      <c r="AA758" s="372"/>
      <c r="AB758" s="372"/>
      <c r="AC758" s="372"/>
      <c r="AD758" s="372"/>
      <c r="AE758" s="372"/>
      <c r="AF758" s="372"/>
      <c r="AG758" s="372"/>
      <c r="AH758" s="372"/>
      <c r="AI758" s="372"/>
      <c r="AJ758" s="372"/>
      <c r="AK758" s="372"/>
      <c r="AL758" s="372"/>
    </row>
    <row r="759" spans="1:38" x14ac:dyDescent="0.25">
      <c r="A759" s="80"/>
      <c r="B759" s="80"/>
      <c r="C759" s="80"/>
      <c r="D759" s="80"/>
      <c r="E759" s="80">
        <v>3211</v>
      </c>
      <c r="F759" s="81" t="s">
        <v>565</v>
      </c>
      <c r="G759" s="82" t="e">
        <f>SUMIF(#REF!,funkcijska!$E759,#REF!)</f>
        <v>#REF!</v>
      </c>
      <c r="H759" s="82" t="e">
        <f>SUMIF(#REF!,funkcijska!$E759,#REF!)</f>
        <v>#REF!</v>
      </c>
      <c r="I759" s="82" t="e">
        <f>SUMIF(#REF!,funkcijska!$E759,#REF!)</f>
        <v>#REF!</v>
      </c>
      <c r="J759" s="82" t="e">
        <f>SUMIF(#REF!,funkcijska!$E759,#REF!)</f>
        <v>#REF!</v>
      </c>
      <c r="K759" s="82" t="e">
        <f>SUMIF(#REF!,funkcijska!$E759,#REF!)</f>
        <v>#REF!</v>
      </c>
      <c r="L759" s="82" t="e">
        <f>ROUND(K759/J759*100,2)</f>
        <v>#REF!</v>
      </c>
      <c r="M759" s="82" t="e">
        <f>N759-J759</f>
        <v>#REF!</v>
      </c>
      <c r="N759" s="82" t="e">
        <f>SUMIF(#REF!,funkcijska!$E759,#REF!)</f>
        <v>#REF!</v>
      </c>
      <c r="O759" s="82" t="e">
        <f>SUMIF(#REF!,funkcijska!$E759,#REF!)</f>
        <v>#REF!</v>
      </c>
      <c r="P759" s="82" t="e">
        <f>SUMIF(#REF!,funkcijska!$E759,#REF!)</f>
        <v>#REF!</v>
      </c>
      <c r="Q759" s="386" t="e">
        <f>SUMIF(#REF!,funkcijska!$E759,#REF!)</f>
        <v>#REF!</v>
      </c>
      <c r="R759" s="82" t="e">
        <f>SUMIF(#REF!,funkcijska!$E759,#REF!)</f>
        <v>#REF!</v>
      </c>
      <c r="S759" s="82" t="e">
        <f>SUMIF(#REF!,funkcijska!$E759,#REF!)</f>
        <v>#REF!</v>
      </c>
      <c r="T759" s="82" t="e">
        <f>SUMIF(#REF!,funkcijska!$E$23,#REF!)</f>
        <v>#REF!</v>
      </c>
      <c r="U759" s="357" t="e">
        <f>SUMIF(#REF!,funkcijska!$E759,#REF!)</f>
        <v>#REF!</v>
      </c>
      <c r="V759" s="357" t="e">
        <f>SUMIF(#REF!,funkcijska!$E759,#REF!)+SUMIF(#REF!,funkcijska!$E759,#REF!)</f>
        <v>#REF!</v>
      </c>
      <c r="W759" s="357" t="e">
        <f>SUMIF(#REF!,funkcijska!$E759,#REF!)+SUMIF(#REF!,funkcijska!$E759,#REF!)</f>
        <v>#REF!</v>
      </c>
      <c r="X759" s="357" t="e">
        <f>SUMIF(#REF!,funkcijska!$E759,#REF!)+SUMIF(#REF!,funkcijska!$E759,#REF!)</f>
        <v>#REF!</v>
      </c>
      <c r="AD759" s="60"/>
      <c r="AE759" s="60"/>
      <c r="AF759" s="60"/>
      <c r="AG759" s="60"/>
      <c r="AH759" s="60"/>
      <c r="AI759" s="60"/>
      <c r="AJ759" s="60"/>
      <c r="AK759" s="60"/>
      <c r="AL759" s="60"/>
    </row>
    <row r="760" spans="1:38" ht="39" customHeight="1" x14ac:dyDescent="0.25">
      <c r="A760" s="80"/>
      <c r="B760" s="80"/>
      <c r="C760" s="80"/>
      <c r="D760" s="80"/>
      <c r="E760" s="80">
        <v>3212</v>
      </c>
      <c r="F760" s="81" t="s">
        <v>220</v>
      </c>
      <c r="G760" s="82" t="e">
        <f>SUMIF(#REF!,funkcijska!$E760,#REF!)</f>
        <v>#REF!</v>
      </c>
      <c r="H760" s="82" t="e">
        <f>SUMIF(#REF!,funkcijska!$E760,#REF!)</f>
        <v>#REF!</v>
      </c>
      <c r="I760" s="82" t="e">
        <f>SUMIF(#REF!,funkcijska!$E760,#REF!)</f>
        <v>#REF!</v>
      </c>
      <c r="J760" s="82" t="e">
        <f>SUMIF(#REF!,funkcijska!$E760,#REF!)</f>
        <v>#REF!</v>
      </c>
      <c r="K760" s="82" t="e">
        <f>SUMIF(#REF!,funkcijska!$E760,#REF!)</f>
        <v>#REF!</v>
      </c>
      <c r="L760" s="82" t="e">
        <f>ROUND(K760/J760*100,2)</f>
        <v>#REF!</v>
      </c>
      <c r="M760" s="82" t="e">
        <f>N760-J760</f>
        <v>#REF!</v>
      </c>
      <c r="N760" s="82" t="e">
        <f>SUMIF(#REF!,funkcijska!$E760,#REF!)</f>
        <v>#REF!</v>
      </c>
      <c r="O760" s="82" t="e">
        <f>SUMIF(#REF!,funkcijska!$E760,#REF!)</f>
        <v>#REF!</v>
      </c>
      <c r="P760" s="82" t="e">
        <f>SUMIF(#REF!,funkcijska!$E760,#REF!)</f>
        <v>#REF!</v>
      </c>
      <c r="Q760" s="386" t="e">
        <f>SUMIF(#REF!,funkcijska!$E760,#REF!)</f>
        <v>#REF!</v>
      </c>
      <c r="R760" s="82" t="e">
        <f>SUMIF(#REF!,funkcijska!$E760,#REF!)</f>
        <v>#REF!</v>
      </c>
      <c r="S760" s="82" t="e">
        <f>SUMIF(#REF!,funkcijska!$E760,#REF!)</f>
        <v>#REF!</v>
      </c>
      <c r="T760" s="82" t="e">
        <f>SUMIF(#REF!,funkcijska!$E$24,#REF!)</f>
        <v>#REF!</v>
      </c>
      <c r="U760" s="357" t="e">
        <f>SUMIF(#REF!,funkcijska!$E760,#REF!)</f>
        <v>#REF!</v>
      </c>
      <c r="V760" s="357" t="e">
        <f>SUMIF(#REF!,funkcijska!$E760,#REF!)+SUMIF(#REF!,funkcijska!$E760,#REF!)</f>
        <v>#REF!</v>
      </c>
      <c r="W760" s="357" t="e">
        <f>SUMIF(#REF!,funkcijska!$E760,#REF!)+SUMIF(#REF!,funkcijska!$E760,#REF!)</f>
        <v>#REF!</v>
      </c>
      <c r="X760" s="357" t="e">
        <f>SUMIF(#REF!,funkcijska!$E760,#REF!)+SUMIF(#REF!,funkcijska!$E760,#REF!)</f>
        <v>#REF!</v>
      </c>
      <c r="AD760" s="60"/>
      <c r="AE760" s="60"/>
      <c r="AF760" s="60"/>
      <c r="AG760" s="60"/>
      <c r="AH760" s="60"/>
      <c r="AI760" s="60"/>
      <c r="AJ760" s="60"/>
      <c r="AK760" s="60"/>
      <c r="AL760" s="60"/>
    </row>
    <row r="761" spans="1:38" ht="22.5" customHeight="1" x14ac:dyDescent="0.25">
      <c r="A761" s="80"/>
      <c r="B761" s="80"/>
      <c r="C761" s="80"/>
      <c r="D761" s="80"/>
      <c r="E761" s="80">
        <v>3213</v>
      </c>
      <c r="F761" s="81" t="s">
        <v>221</v>
      </c>
      <c r="G761" s="82" t="e">
        <f>SUMIF(#REF!,funkcijska!$E761,#REF!)</f>
        <v>#REF!</v>
      </c>
      <c r="H761" s="82" t="e">
        <f>SUMIF(#REF!,funkcijska!$E761,#REF!)</f>
        <v>#REF!</v>
      </c>
      <c r="I761" s="82" t="e">
        <f>SUMIF(#REF!,funkcijska!$E761,#REF!)</f>
        <v>#REF!</v>
      </c>
      <c r="J761" s="82" t="e">
        <f>SUMIF(#REF!,funkcijska!$E761,#REF!)</f>
        <v>#REF!</v>
      </c>
      <c r="K761" s="82" t="e">
        <f>SUMIF(#REF!,funkcijska!$E761,#REF!)</f>
        <v>#REF!</v>
      </c>
      <c r="L761" s="82" t="e">
        <f>ROUND(K761/J761*100,2)</f>
        <v>#REF!</v>
      </c>
      <c r="M761" s="82" t="e">
        <f>N761-J761</f>
        <v>#REF!</v>
      </c>
      <c r="N761" s="82" t="e">
        <f>SUMIF(#REF!,funkcijska!$E761,#REF!)</f>
        <v>#REF!</v>
      </c>
      <c r="O761" s="82" t="e">
        <f>SUMIF(#REF!,funkcijska!$E761,#REF!)</f>
        <v>#REF!</v>
      </c>
      <c r="P761" s="82" t="e">
        <f>SUMIF(#REF!,funkcijska!$E761,#REF!)</f>
        <v>#REF!</v>
      </c>
      <c r="Q761" s="386" t="e">
        <f>SUMIF(#REF!,funkcijska!$E761,#REF!)</f>
        <v>#REF!</v>
      </c>
      <c r="R761" s="82" t="e">
        <f>SUMIF(#REF!,funkcijska!$E761,#REF!)</f>
        <v>#REF!</v>
      </c>
      <c r="S761" s="82" t="e">
        <f>SUMIF(#REF!,funkcijska!$E761,#REF!)</f>
        <v>#REF!</v>
      </c>
      <c r="T761" s="82" t="e">
        <f>SUMIF(#REF!,funkcijska!$E$25,#REF!)</f>
        <v>#REF!</v>
      </c>
      <c r="U761" s="357" t="e">
        <f>SUMIF(#REF!,funkcijska!$E761,#REF!)</f>
        <v>#REF!</v>
      </c>
      <c r="V761" s="357" t="e">
        <f>SUMIF(#REF!,funkcijska!$E761,#REF!)+SUMIF(#REF!,funkcijska!$E761,#REF!)</f>
        <v>#REF!</v>
      </c>
      <c r="W761" s="357" t="e">
        <f>SUMIF(#REF!,funkcijska!$E761,#REF!)+SUMIF(#REF!,funkcijska!$E761,#REF!)</f>
        <v>#REF!</v>
      </c>
      <c r="X761" s="357" t="e">
        <f>SUMIF(#REF!,funkcijska!$E761,#REF!)+SUMIF(#REF!,funkcijska!$E761,#REF!)</f>
        <v>#REF!</v>
      </c>
      <c r="AD761" s="60"/>
      <c r="AE761" s="60"/>
      <c r="AF761" s="60"/>
      <c r="AG761" s="60"/>
      <c r="AH761" s="60"/>
      <c r="AI761" s="60"/>
      <c r="AJ761" s="60"/>
      <c r="AK761" s="60"/>
      <c r="AL761" s="60"/>
    </row>
    <row r="762" spans="1:38" ht="22.5" customHeight="1" x14ac:dyDescent="0.25">
      <c r="A762" s="80"/>
      <c r="B762" s="80"/>
      <c r="C762" s="80"/>
      <c r="D762" s="80"/>
      <c r="E762" s="80">
        <v>3214</v>
      </c>
      <c r="F762" s="81" t="s">
        <v>852</v>
      </c>
      <c r="G762" s="82" t="e">
        <f>SUMIF(#REF!,funkcijska!$E762,#REF!)</f>
        <v>#REF!</v>
      </c>
      <c r="H762" s="82" t="e">
        <f>SUMIF(#REF!,funkcijska!$E762,#REF!)</f>
        <v>#REF!</v>
      </c>
      <c r="I762" s="82" t="e">
        <f>SUMIF(#REF!,funkcijska!$E762,#REF!)</f>
        <v>#REF!</v>
      </c>
      <c r="J762" s="82" t="e">
        <f>SUMIF(#REF!,funkcijska!$E762,#REF!)</f>
        <v>#REF!</v>
      </c>
      <c r="K762" s="82" t="e">
        <f>SUMIF(#REF!,funkcijska!$E762,#REF!)</f>
        <v>#REF!</v>
      </c>
      <c r="L762" s="82" t="e">
        <f>ROUND(K762/J762*100,2)</f>
        <v>#REF!</v>
      </c>
      <c r="M762" s="82" t="e">
        <f>N762-J762</f>
        <v>#REF!</v>
      </c>
      <c r="N762" s="82" t="e">
        <f>SUMIF(#REF!,funkcijska!$E762,#REF!)</f>
        <v>#REF!</v>
      </c>
      <c r="O762" s="82" t="e">
        <f>SUMIF(#REF!,funkcijska!$E762,#REF!)</f>
        <v>#REF!</v>
      </c>
      <c r="P762" s="82" t="e">
        <f>SUMIF(#REF!,funkcijska!$E762,#REF!)</f>
        <v>#REF!</v>
      </c>
      <c r="Q762" s="386" t="e">
        <f>SUMIF(#REF!,funkcijska!$E762,#REF!)</f>
        <v>#REF!</v>
      </c>
      <c r="R762" s="82" t="e">
        <f>SUMIF(#REF!,funkcijska!$E762,#REF!)</f>
        <v>#REF!</v>
      </c>
      <c r="S762" s="82" t="e">
        <f>SUMIF(#REF!,funkcijska!$E762,#REF!)</f>
        <v>#REF!</v>
      </c>
      <c r="T762" s="82" t="e">
        <f>SUMIF(#REF!,funkcijska!$E$26,#REF!)</f>
        <v>#REF!</v>
      </c>
      <c r="U762" s="357" t="e">
        <f>SUMIF(#REF!,funkcijska!$E762,#REF!)</f>
        <v>#REF!</v>
      </c>
      <c r="V762" s="357" t="e">
        <f>SUMIF(#REF!,funkcijska!$E762,#REF!)+SUMIF(#REF!,funkcijska!$E762,#REF!)</f>
        <v>#REF!</v>
      </c>
      <c r="W762" s="357" t="e">
        <f>SUMIF(#REF!,funkcijska!$E762,#REF!)+SUMIF(#REF!,funkcijska!$E762,#REF!)</f>
        <v>#REF!</v>
      </c>
      <c r="X762" s="357" t="e">
        <f>SUMIF(#REF!,funkcijska!$E762,#REF!)+SUMIF(#REF!,funkcijska!$E762,#REF!)</f>
        <v>#REF!</v>
      </c>
      <c r="AD762" s="60"/>
      <c r="AE762" s="60"/>
      <c r="AF762" s="60"/>
      <c r="AG762" s="60"/>
      <c r="AH762" s="60"/>
      <c r="AI762" s="60"/>
      <c r="AJ762" s="60"/>
      <c r="AK762" s="60"/>
      <c r="AL762" s="60"/>
    </row>
    <row r="763" spans="1:38" s="373" customFormat="1" ht="22.5" customHeight="1" x14ac:dyDescent="0.25">
      <c r="A763" s="119"/>
      <c r="B763" s="119"/>
      <c r="C763" s="119"/>
      <c r="D763" s="119" t="str">
        <f>LEFT(E764,3)</f>
        <v>322</v>
      </c>
      <c r="E763" s="119"/>
      <c r="F763" s="368" t="s">
        <v>547</v>
      </c>
      <c r="G763" s="369" t="e">
        <f>SUM(G764:G768)</f>
        <v>#REF!</v>
      </c>
      <c r="H763" s="370" t="e">
        <f>SUM(H764:H768)</f>
        <v>#REF!</v>
      </c>
      <c r="I763" s="369" t="e">
        <f t="shared" ref="I763:X763" si="378">SUM(I764:I769)</f>
        <v>#REF!</v>
      </c>
      <c r="J763" s="369" t="e">
        <f t="shared" si="378"/>
        <v>#REF!</v>
      </c>
      <c r="K763" s="369" t="e">
        <f t="shared" si="378"/>
        <v>#REF!</v>
      </c>
      <c r="L763" s="369" t="e">
        <f t="shared" si="378"/>
        <v>#REF!</v>
      </c>
      <c r="M763" s="369" t="e">
        <f t="shared" si="378"/>
        <v>#REF!</v>
      </c>
      <c r="N763" s="369" t="e">
        <f t="shared" si="378"/>
        <v>#REF!</v>
      </c>
      <c r="O763" s="369" t="e">
        <f t="shared" si="378"/>
        <v>#REF!</v>
      </c>
      <c r="P763" s="369" t="e">
        <f t="shared" si="378"/>
        <v>#REF!</v>
      </c>
      <c r="Q763" s="392" t="e">
        <f t="shared" si="378"/>
        <v>#REF!</v>
      </c>
      <c r="R763" s="369" t="e">
        <f t="shared" si="378"/>
        <v>#REF!</v>
      </c>
      <c r="S763" s="369" t="e">
        <f t="shared" si="378"/>
        <v>#REF!</v>
      </c>
      <c r="T763" s="369" t="e">
        <f t="shared" si="378"/>
        <v>#REF!</v>
      </c>
      <c r="U763" s="371" t="e">
        <f t="shared" si="378"/>
        <v>#REF!</v>
      </c>
      <c r="V763" s="371" t="e">
        <f t="shared" si="378"/>
        <v>#REF!</v>
      </c>
      <c r="W763" s="371" t="e">
        <f t="shared" si="378"/>
        <v>#REF!</v>
      </c>
      <c r="X763" s="371" t="e">
        <f t="shared" si="378"/>
        <v>#REF!</v>
      </c>
      <c r="Y763" s="372"/>
      <c r="Z763" s="372"/>
      <c r="AA763" s="372"/>
      <c r="AB763" s="372"/>
      <c r="AC763" s="372"/>
      <c r="AD763" s="372"/>
      <c r="AE763" s="372"/>
      <c r="AF763" s="372"/>
      <c r="AG763" s="372"/>
      <c r="AH763" s="372"/>
      <c r="AI763" s="372"/>
      <c r="AJ763" s="372"/>
      <c r="AK763" s="372"/>
      <c r="AL763" s="372"/>
    </row>
    <row r="764" spans="1:38" ht="20.25" customHeight="1" x14ac:dyDescent="0.25">
      <c r="A764" s="80"/>
      <c r="B764" s="80"/>
      <c r="C764" s="80"/>
      <c r="D764" s="80"/>
      <c r="E764" s="80">
        <v>3221</v>
      </c>
      <c r="F764" s="81" t="s">
        <v>548</v>
      </c>
      <c r="G764" s="82" t="e">
        <f>SUMIF(#REF!,funkcijska!$E764,#REF!)</f>
        <v>#REF!</v>
      </c>
      <c r="H764" s="82" t="e">
        <f>SUMIF(#REF!,funkcijska!$E764,#REF!)</f>
        <v>#REF!</v>
      </c>
      <c r="I764" s="82" t="e">
        <f>SUMIF(#REF!,funkcijska!$E764,#REF!)</f>
        <v>#REF!</v>
      </c>
      <c r="J764" s="82" t="e">
        <f>SUMIF(#REF!,funkcijska!$E764,#REF!)</f>
        <v>#REF!</v>
      </c>
      <c r="K764" s="82" t="e">
        <f>SUMIF(#REF!,funkcijska!$E764,#REF!)</f>
        <v>#REF!</v>
      </c>
      <c r="L764" s="82" t="e">
        <f t="shared" ref="L764:L769" si="379">ROUND(K764/J764*100,2)</f>
        <v>#REF!</v>
      </c>
      <c r="M764" s="82" t="e">
        <f t="shared" ref="M764:M769" si="380">N764-J764</f>
        <v>#REF!</v>
      </c>
      <c r="N764" s="82" t="e">
        <f>SUMIF(#REF!,funkcijska!$E764,#REF!)</f>
        <v>#REF!</v>
      </c>
      <c r="O764" s="82" t="e">
        <f>SUMIF(#REF!,funkcijska!$E764,#REF!)</f>
        <v>#REF!</v>
      </c>
      <c r="P764" s="82" t="e">
        <f>SUMIF(#REF!,funkcijska!$E764,#REF!)</f>
        <v>#REF!</v>
      </c>
      <c r="Q764" s="386" t="e">
        <f>SUMIF(#REF!,funkcijska!$E764,#REF!)</f>
        <v>#REF!</v>
      </c>
      <c r="R764" s="82" t="e">
        <f>SUMIF(#REF!,funkcijska!$E764,#REF!)</f>
        <v>#REF!</v>
      </c>
      <c r="S764" s="82" t="e">
        <f>SUMIF(#REF!,funkcijska!$E764,#REF!)</f>
        <v>#REF!</v>
      </c>
      <c r="T764" s="82" t="e">
        <f>SUMIF(#REF!,funkcijska!$E$28,#REF!)</f>
        <v>#REF!</v>
      </c>
      <c r="U764" s="357" t="e">
        <f>SUMIF(#REF!,funkcijska!$E764,#REF!)</f>
        <v>#REF!</v>
      </c>
      <c r="V764" s="357" t="e">
        <f>SUMIF(#REF!,funkcijska!$E764,#REF!)+SUMIF(#REF!,funkcijska!$E764,#REF!)</f>
        <v>#REF!</v>
      </c>
      <c r="W764" s="357" t="e">
        <f>SUMIF(#REF!,funkcijska!$E764,#REF!)+SUMIF(#REF!,funkcijska!$E764,#REF!)</f>
        <v>#REF!</v>
      </c>
      <c r="X764" s="357" t="e">
        <f>SUMIF(#REF!,funkcijska!$E764,#REF!)+SUMIF(#REF!,funkcijska!$E764,#REF!)</f>
        <v>#REF!</v>
      </c>
      <c r="AD764" s="60"/>
      <c r="AE764" s="60"/>
      <c r="AF764" s="60"/>
      <c r="AG764" s="60"/>
      <c r="AH764" s="60"/>
      <c r="AI764" s="60"/>
      <c r="AJ764" s="60"/>
      <c r="AK764" s="60"/>
      <c r="AL764" s="60"/>
    </row>
    <row r="765" spans="1:38" ht="16.5" customHeight="1" x14ac:dyDescent="0.25">
      <c r="A765" s="80"/>
      <c r="B765" s="80"/>
      <c r="C765" s="80"/>
      <c r="D765" s="80"/>
      <c r="E765" s="80">
        <v>3222</v>
      </c>
      <c r="F765" s="81" t="s">
        <v>474</v>
      </c>
      <c r="G765" s="82" t="e">
        <f>SUMIF(#REF!,funkcijska!$E765,#REF!)</f>
        <v>#REF!</v>
      </c>
      <c r="H765" s="82" t="e">
        <f>SUMIF(#REF!,funkcijska!$E765,#REF!)</f>
        <v>#REF!</v>
      </c>
      <c r="I765" s="82" t="e">
        <f>SUMIF(#REF!,funkcijska!$E765,#REF!)</f>
        <v>#REF!</v>
      </c>
      <c r="J765" s="82" t="e">
        <f>SUMIF(#REF!,funkcijska!$E765,#REF!)</f>
        <v>#REF!</v>
      </c>
      <c r="K765" s="82" t="e">
        <f>SUMIF(#REF!,funkcijska!$E765,#REF!)</f>
        <v>#REF!</v>
      </c>
      <c r="L765" s="82" t="e">
        <f t="shared" si="379"/>
        <v>#REF!</v>
      </c>
      <c r="M765" s="82" t="e">
        <f t="shared" si="380"/>
        <v>#REF!</v>
      </c>
      <c r="N765" s="82" t="e">
        <f>SUMIF(#REF!,funkcijska!$E765,#REF!)</f>
        <v>#REF!</v>
      </c>
      <c r="O765" s="82" t="e">
        <f>SUMIF(#REF!,funkcijska!$E765,#REF!)</f>
        <v>#REF!</v>
      </c>
      <c r="P765" s="82" t="e">
        <f>SUMIF(#REF!,funkcijska!$E765,#REF!)</f>
        <v>#REF!</v>
      </c>
      <c r="Q765" s="386" t="e">
        <f>SUMIF(#REF!,funkcijska!$E765,#REF!)</f>
        <v>#REF!</v>
      </c>
      <c r="R765" s="82" t="e">
        <f>SUMIF(#REF!,funkcijska!$E765,#REF!)</f>
        <v>#REF!</v>
      </c>
      <c r="S765" s="82" t="e">
        <f>SUMIF(#REF!,funkcijska!$E765,#REF!)</f>
        <v>#REF!</v>
      </c>
      <c r="T765" s="82" t="e">
        <f>SUMIF(#REF!,funkcijska!$E$29,#REF!)</f>
        <v>#REF!</v>
      </c>
      <c r="U765" s="357" t="e">
        <f>SUMIF(#REF!,funkcijska!$E765,#REF!)</f>
        <v>#REF!</v>
      </c>
      <c r="V765" s="357" t="e">
        <f>SUMIF(#REF!,funkcijska!$E765,#REF!)+SUMIF(#REF!,funkcijska!$E765,#REF!)</f>
        <v>#REF!</v>
      </c>
      <c r="W765" s="357" t="e">
        <f>SUMIF(#REF!,funkcijska!$E765,#REF!)+SUMIF(#REF!,funkcijska!$E765,#REF!)</f>
        <v>#REF!</v>
      </c>
      <c r="X765" s="357" t="e">
        <f>SUMIF(#REF!,funkcijska!$E765,#REF!)+SUMIF(#REF!,funkcijska!$E765,#REF!)</f>
        <v>#REF!</v>
      </c>
      <c r="AD765" s="60"/>
      <c r="AE765" s="60"/>
      <c r="AF765" s="60"/>
      <c r="AG765" s="60"/>
      <c r="AH765" s="60"/>
      <c r="AI765" s="60"/>
      <c r="AJ765" s="60"/>
      <c r="AK765" s="60"/>
      <c r="AL765" s="60"/>
    </row>
    <row r="766" spans="1:38" ht="16.5" customHeight="1" x14ac:dyDescent="0.25">
      <c r="A766" s="80"/>
      <c r="B766" s="80"/>
      <c r="C766" s="80"/>
      <c r="D766" s="80"/>
      <c r="E766" s="80">
        <v>3223</v>
      </c>
      <c r="F766" s="81" t="s">
        <v>204</v>
      </c>
      <c r="G766" s="82" t="e">
        <f>SUMIF(#REF!,funkcijska!$E766,#REF!)</f>
        <v>#REF!</v>
      </c>
      <c r="H766" s="82" t="e">
        <f>SUMIF(#REF!,funkcijska!$E766,#REF!)</f>
        <v>#REF!</v>
      </c>
      <c r="I766" s="82" t="e">
        <f>SUMIF(#REF!,funkcijska!$E766,#REF!)</f>
        <v>#REF!</v>
      </c>
      <c r="J766" s="82" t="e">
        <f>SUMIF(#REF!,funkcijska!$E766,#REF!)</f>
        <v>#REF!</v>
      </c>
      <c r="K766" s="82" t="e">
        <f>SUMIF(#REF!,funkcijska!$E766,#REF!)</f>
        <v>#REF!</v>
      </c>
      <c r="L766" s="82" t="e">
        <f t="shared" si="379"/>
        <v>#REF!</v>
      </c>
      <c r="M766" s="82" t="e">
        <f t="shared" si="380"/>
        <v>#REF!</v>
      </c>
      <c r="N766" s="82" t="e">
        <f>SUMIF(#REF!,funkcijska!$E766,#REF!)</f>
        <v>#REF!</v>
      </c>
      <c r="O766" s="82" t="e">
        <f>SUMIF(#REF!,funkcijska!$E766,#REF!)</f>
        <v>#REF!</v>
      </c>
      <c r="P766" s="82" t="e">
        <f>SUMIF(#REF!,funkcijska!$E766,#REF!)</f>
        <v>#REF!</v>
      </c>
      <c r="Q766" s="386" t="e">
        <f>SUMIF(#REF!,funkcijska!$E766,#REF!)</f>
        <v>#REF!</v>
      </c>
      <c r="R766" s="82" t="e">
        <f>SUMIF(#REF!,funkcijska!$E766,#REF!)</f>
        <v>#REF!</v>
      </c>
      <c r="S766" s="82" t="e">
        <f>SUMIF(#REF!,funkcijska!$E766,#REF!)</f>
        <v>#REF!</v>
      </c>
      <c r="T766" s="82" t="e">
        <f>SUMIF(#REF!,funkcijska!$E$30,#REF!)</f>
        <v>#REF!</v>
      </c>
      <c r="U766" s="357" t="e">
        <f>SUMIF(#REF!,funkcijska!$E766,#REF!)</f>
        <v>#REF!</v>
      </c>
      <c r="V766" s="357" t="e">
        <f>SUMIF(#REF!,funkcijska!$E766,#REF!)+SUMIF(#REF!,funkcijska!$E766,#REF!)</f>
        <v>#REF!</v>
      </c>
      <c r="W766" s="357" t="e">
        <f>SUMIF(#REF!,funkcijska!$E766,#REF!)+SUMIF(#REF!,funkcijska!$E766,#REF!)</f>
        <v>#REF!</v>
      </c>
      <c r="X766" s="357" t="e">
        <f>SUMIF(#REF!,funkcijska!$E766,#REF!)+SUMIF(#REF!,funkcijska!$E766,#REF!)</f>
        <v>#REF!</v>
      </c>
      <c r="AD766" s="60"/>
      <c r="AE766" s="60"/>
      <c r="AF766" s="60"/>
      <c r="AG766" s="60"/>
      <c r="AH766" s="60"/>
      <c r="AI766" s="60"/>
      <c r="AJ766" s="60"/>
      <c r="AK766" s="60"/>
      <c r="AL766" s="60"/>
    </row>
    <row r="767" spans="1:38" ht="36.75" customHeight="1" x14ac:dyDescent="0.25">
      <c r="A767" s="80"/>
      <c r="B767" s="80"/>
      <c r="C767" s="80"/>
      <c r="D767" s="80"/>
      <c r="E767" s="80">
        <v>3224</v>
      </c>
      <c r="F767" s="81" t="s">
        <v>853</v>
      </c>
      <c r="G767" s="82" t="e">
        <f>SUMIF(#REF!,funkcijska!$E767,#REF!)</f>
        <v>#REF!</v>
      </c>
      <c r="H767" s="82" t="e">
        <f>SUMIF(#REF!,funkcijska!$E767,#REF!)</f>
        <v>#REF!</v>
      </c>
      <c r="I767" s="82" t="e">
        <f>SUMIF(#REF!,funkcijska!$E767,#REF!)</f>
        <v>#REF!</v>
      </c>
      <c r="J767" s="82" t="e">
        <f>SUMIF(#REF!,funkcijska!$E767,#REF!)</f>
        <v>#REF!</v>
      </c>
      <c r="K767" s="82" t="e">
        <f>SUMIF(#REF!,funkcijska!$E767,#REF!)</f>
        <v>#REF!</v>
      </c>
      <c r="L767" s="82" t="e">
        <f t="shared" si="379"/>
        <v>#REF!</v>
      </c>
      <c r="M767" s="82" t="e">
        <f t="shared" si="380"/>
        <v>#REF!</v>
      </c>
      <c r="N767" s="82" t="e">
        <f>SUMIF(#REF!,funkcijska!$E767,#REF!)</f>
        <v>#REF!</v>
      </c>
      <c r="O767" s="82" t="e">
        <f>SUMIF(#REF!,funkcijska!$E767,#REF!)</f>
        <v>#REF!</v>
      </c>
      <c r="P767" s="82" t="e">
        <f>SUMIF(#REF!,funkcijska!$E767,#REF!)</f>
        <v>#REF!</v>
      </c>
      <c r="Q767" s="386" t="e">
        <f>SUMIF(#REF!,funkcijska!$E767,#REF!)</f>
        <v>#REF!</v>
      </c>
      <c r="R767" s="82" t="e">
        <f>SUMIF(#REF!,funkcijska!$E767,#REF!)</f>
        <v>#REF!</v>
      </c>
      <c r="S767" s="82" t="e">
        <f>SUMIF(#REF!,funkcijska!$E767,#REF!)</f>
        <v>#REF!</v>
      </c>
      <c r="T767" s="82" t="e">
        <f>SUMIF(#REF!,funkcijska!$E$31,#REF!)</f>
        <v>#REF!</v>
      </c>
      <c r="U767" s="357" t="e">
        <f>SUMIF(#REF!,funkcijska!$E767,#REF!)</f>
        <v>#REF!</v>
      </c>
      <c r="V767" s="357" t="e">
        <f>SUMIF(#REF!,funkcijska!$E767,#REF!)+SUMIF(#REF!,funkcijska!$E767,#REF!)</f>
        <v>#REF!</v>
      </c>
      <c r="W767" s="357" t="e">
        <f>SUMIF(#REF!,funkcijska!$E767,#REF!)+SUMIF(#REF!,funkcijska!$E767,#REF!)</f>
        <v>#REF!</v>
      </c>
      <c r="X767" s="357" t="e">
        <f>SUMIF(#REF!,funkcijska!$E767,#REF!)+SUMIF(#REF!,funkcijska!$E767,#REF!)</f>
        <v>#REF!</v>
      </c>
      <c r="AD767" s="60"/>
      <c r="AE767" s="60"/>
      <c r="AF767" s="60"/>
      <c r="AG767" s="60"/>
      <c r="AH767" s="60"/>
      <c r="AI767" s="60"/>
      <c r="AJ767" s="60"/>
      <c r="AK767" s="60"/>
      <c r="AL767" s="60"/>
    </row>
    <row r="768" spans="1:38" ht="16.5" customHeight="1" x14ac:dyDescent="0.25">
      <c r="A768" s="80"/>
      <c r="B768" s="80"/>
      <c r="C768" s="80"/>
      <c r="D768" s="80"/>
      <c r="E768" s="80">
        <v>3225</v>
      </c>
      <c r="F768" s="81" t="s">
        <v>205</v>
      </c>
      <c r="G768" s="82" t="e">
        <f>SUMIF(#REF!,funkcijska!$E768,#REF!)</f>
        <v>#REF!</v>
      </c>
      <c r="H768" s="82" t="e">
        <f>SUMIF(#REF!,funkcijska!$E768,#REF!)</f>
        <v>#REF!</v>
      </c>
      <c r="I768" s="82" t="e">
        <f>SUMIF(#REF!,funkcijska!$E768,#REF!)</f>
        <v>#REF!</v>
      </c>
      <c r="J768" s="82" t="e">
        <f>SUMIF(#REF!,funkcijska!$E768,#REF!)</f>
        <v>#REF!</v>
      </c>
      <c r="K768" s="82" t="e">
        <f>SUMIF(#REF!,funkcijska!$E768,#REF!)</f>
        <v>#REF!</v>
      </c>
      <c r="L768" s="82" t="e">
        <f t="shared" si="379"/>
        <v>#REF!</v>
      </c>
      <c r="M768" s="82" t="e">
        <f t="shared" si="380"/>
        <v>#REF!</v>
      </c>
      <c r="N768" s="82" t="e">
        <f>SUMIF(#REF!,funkcijska!$E768,#REF!)</f>
        <v>#REF!</v>
      </c>
      <c r="O768" s="82" t="e">
        <f>SUMIF(#REF!,funkcijska!$E768,#REF!)</f>
        <v>#REF!</v>
      </c>
      <c r="P768" s="82" t="e">
        <f>SUMIF(#REF!,funkcijska!$E768,#REF!)</f>
        <v>#REF!</v>
      </c>
      <c r="Q768" s="386" t="e">
        <f>SUMIF(#REF!,funkcijska!$E768,#REF!)</f>
        <v>#REF!</v>
      </c>
      <c r="R768" s="82" t="e">
        <f>SUMIF(#REF!,funkcijska!$E768,#REF!)</f>
        <v>#REF!</v>
      </c>
      <c r="S768" s="82" t="e">
        <f>SUMIF(#REF!,funkcijska!$E768,#REF!)</f>
        <v>#REF!</v>
      </c>
      <c r="T768" s="82" t="e">
        <f>SUMIF(#REF!,funkcijska!$E$32,#REF!)</f>
        <v>#REF!</v>
      </c>
      <c r="U768" s="357" t="e">
        <f>SUMIF(#REF!,funkcijska!$E768,#REF!)</f>
        <v>#REF!</v>
      </c>
      <c r="V768" s="357" t="e">
        <f>SUMIF(#REF!,funkcijska!$E768,#REF!)+SUMIF(#REF!,funkcijska!$E768,#REF!)</f>
        <v>#REF!</v>
      </c>
      <c r="W768" s="357" t="e">
        <f>SUMIF(#REF!,funkcijska!$E768,#REF!)+SUMIF(#REF!,funkcijska!$E768,#REF!)</f>
        <v>#REF!</v>
      </c>
      <c r="X768" s="357" t="e">
        <f>SUMIF(#REF!,funkcijska!$E768,#REF!)+SUMIF(#REF!,funkcijska!$E768,#REF!)</f>
        <v>#REF!</v>
      </c>
      <c r="AD768" s="60"/>
      <c r="AE768" s="60"/>
      <c r="AF768" s="60"/>
      <c r="AG768" s="60"/>
      <c r="AH768" s="60"/>
      <c r="AI768" s="60"/>
      <c r="AJ768" s="60"/>
      <c r="AK768" s="60"/>
      <c r="AL768" s="60"/>
    </row>
    <row r="769" spans="1:38" ht="16.5" customHeight="1" x14ac:dyDescent="0.25">
      <c r="A769" s="80"/>
      <c r="B769" s="80"/>
      <c r="C769" s="80"/>
      <c r="D769" s="80"/>
      <c r="E769" s="131">
        <v>3227</v>
      </c>
      <c r="F769" s="132" t="s">
        <v>646</v>
      </c>
      <c r="G769" s="82" t="e">
        <f>SUMIF(#REF!,funkcijska!$E769,#REF!)</f>
        <v>#REF!</v>
      </c>
      <c r="H769" s="82" t="e">
        <f>SUMIF(#REF!,funkcijska!$E769,#REF!)</f>
        <v>#REF!</v>
      </c>
      <c r="I769" s="82" t="e">
        <f>SUMIF(#REF!,funkcijska!$E769,#REF!)</f>
        <v>#REF!</v>
      </c>
      <c r="J769" s="82" t="e">
        <f>SUMIF(#REF!,funkcijska!$E769,#REF!)</f>
        <v>#REF!</v>
      </c>
      <c r="K769" s="82" t="e">
        <f>SUMIF(#REF!,funkcijska!$E769,#REF!)</f>
        <v>#REF!</v>
      </c>
      <c r="L769" s="82" t="e">
        <f t="shared" si="379"/>
        <v>#REF!</v>
      </c>
      <c r="M769" s="82" t="e">
        <f t="shared" si="380"/>
        <v>#REF!</v>
      </c>
      <c r="N769" s="82" t="e">
        <f>SUMIF(#REF!,funkcijska!$E769,#REF!)</f>
        <v>#REF!</v>
      </c>
      <c r="O769" s="82" t="e">
        <f>SUMIF(#REF!,funkcijska!$E769,#REF!)</f>
        <v>#REF!</v>
      </c>
      <c r="P769" s="82" t="e">
        <f>SUMIF(#REF!,funkcijska!$E769,#REF!)</f>
        <v>#REF!</v>
      </c>
      <c r="Q769" s="386" t="e">
        <f>SUMIF(#REF!,funkcijska!$E769,#REF!)</f>
        <v>#REF!</v>
      </c>
      <c r="R769" s="82" t="e">
        <f>SUMIF(#REF!,funkcijska!$E769,#REF!)</f>
        <v>#REF!</v>
      </c>
      <c r="S769" s="82" t="e">
        <f>SUMIF(#REF!,funkcijska!$E769,#REF!)</f>
        <v>#REF!</v>
      </c>
      <c r="T769" s="82" t="e">
        <f>SUMIF(#REF!,funkcijska!$E$33,#REF!)</f>
        <v>#REF!</v>
      </c>
      <c r="U769" s="357" t="e">
        <f>SUMIF(#REF!,funkcijska!$E769,#REF!)</f>
        <v>#REF!</v>
      </c>
      <c r="V769" s="357" t="e">
        <f>SUMIF(#REF!,funkcijska!$E769,#REF!)+SUMIF(#REF!,funkcijska!$E769,#REF!)</f>
        <v>#REF!</v>
      </c>
      <c r="W769" s="357" t="e">
        <f>SUMIF(#REF!,funkcijska!$E769,#REF!)+SUMIF(#REF!,funkcijska!$E769,#REF!)</f>
        <v>#REF!</v>
      </c>
      <c r="X769" s="357" t="e">
        <f>SUMIF(#REF!,funkcijska!$E769,#REF!)+SUMIF(#REF!,funkcijska!$E769,#REF!)</f>
        <v>#REF!</v>
      </c>
      <c r="AD769" s="60"/>
      <c r="AE769" s="60"/>
      <c r="AF769" s="60"/>
      <c r="AG769" s="60"/>
      <c r="AH769" s="60"/>
      <c r="AI769" s="60"/>
      <c r="AJ769" s="60"/>
      <c r="AK769" s="60"/>
      <c r="AL769" s="60"/>
    </row>
    <row r="770" spans="1:38" s="373" customFormat="1" ht="20.25" customHeight="1" x14ac:dyDescent="0.25">
      <c r="A770" s="119"/>
      <c r="B770" s="119"/>
      <c r="C770" s="119"/>
      <c r="D770" s="119" t="str">
        <f>LEFT(E771,3)</f>
        <v>323</v>
      </c>
      <c r="E770" s="119"/>
      <c r="F770" s="368" t="s">
        <v>526</v>
      </c>
      <c r="G770" s="369" t="e">
        <f t="shared" ref="G770:X770" si="381">SUM(G771:G779)</f>
        <v>#REF!</v>
      </c>
      <c r="H770" s="370" t="e">
        <f t="shared" si="381"/>
        <v>#REF!</v>
      </c>
      <c r="I770" s="369" t="e">
        <f t="shared" si="381"/>
        <v>#REF!</v>
      </c>
      <c r="J770" s="369" t="e">
        <f t="shared" si="381"/>
        <v>#REF!</v>
      </c>
      <c r="K770" s="369" t="e">
        <f t="shared" si="381"/>
        <v>#REF!</v>
      </c>
      <c r="L770" s="369" t="e">
        <f t="shared" si="381"/>
        <v>#REF!</v>
      </c>
      <c r="M770" s="369" t="e">
        <f t="shared" si="381"/>
        <v>#REF!</v>
      </c>
      <c r="N770" s="369" t="e">
        <f t="shared" si="381"/>
        <v>#REF!</v>
      </c>
      <c r="O770" s="369" t="e">
        <f t="shared" si="381"/>
        <v>#REF!</v>
      </c>
      <c r="P770" s="369" t="e">
        <f t="shared" si="381"/>
        <v>#REF!</v>
      </c>
      <c r="Q770" s="392" t="e">
        <f t="shared" si="381"/>
        <v>#REF!</v>
      </c>
      <c r="R770" s="369" t="e">
        <f t="shared" si="381"/>
        <v>#REF!</v>
      </c>
      <c r="S770" s="369" t="e">
        <f t="shared" si="381"/>
        <v>#REF!</v>
      </c>
      <c r="T770" s="369" t="e">
        <f t="shared" si="381"/>
        <v>#REF!</v>
      </c>
      <c r="U770" s="371" t="e">
        <f t="shared" si="381"/>
        <v>#REF!</v>
      </c>
      <c r="V770" s="371" t="e">
        <f t="shared" si="381"/>
        <v>#REF!</v>
      </c>
      <c r="W770" s="371" t="e">
        <f t="shared" si="381"/>
        <v>#REF!</v>
      </c>
      <c r="X770" s="371" t="e">
        <f t="shared" si="381"/>
        <v>#REF!</v>
      </c>
      <c r="Y770" s="372"/>
      <c r="Z770" s="372"/>
      <c r="AA770" s="372"/>
      <c r="AB770" s="372"/>
      <c r="AC770" s="372"/>
      <c r="AD770" s="372"/>
      <c r="AE770" s="372"/>
      <c r="AF770" s="372"/>
      <c r="AG770" s="372"/>
      <c r="AH770" s="372"/>
      <c r="AI770" s="372"/>
      <c r="AJ770" s="372"/>
      <c r="AK770" s="372"/>
      <c r="AL770" s="372"/>
    </row>
    <row r="771" spans="1:38" ht="18" customHeight="1" x14ac:dyDescent="0.25">
      <c r="A771" s="80"/>
      <c r="B771" s="80"/>
      <c r="C771" s="80"/>
      <c r="D771" s="80"/>
      <c r="E771" s="80">
        <v>3231</v>
      </c>
      <c r="F771" s="81" t="s">
        <v>206</v>
      </c>
      <c r="G771" s="82" t="e">
        <f>SUMIF(#REF!,funkcijska!$E771,#REF!)</f>
        <v>#REF!</v>
      </c>
      <c r="H771" s="82" t="e">
        <f>SUMIF(#REF!,funkcijska!$E771,#REF!)</f>
        <v>#REF!</v>
      </c>
      <c r="I771" s="82" t="e">
        <f>SUMIF(#REF!,funkcijska!$E771,#REF!)</f>
        <v>#REF!</v>
      </c>
      <c r="J771" s="82" t="e">
        <f>SUMIF(#REF!,funkcijska!$E771,#REF!)</f>
        <v>#REF!</v>
      </c>
      <c r="K771" s="82" t="e">
        <f>SUMIF(#REF!,funkcijska!$E771,#REF!)</f>
        <v>#REF!</v>
      </c>
      <c r="L771" s="82" t="e">
        <f t="shared" ref="L771:L781" si="382">ROUND(K771/J771*100,2)</f>
        <v>#REF!</v>
      </c>
      <c r="M771" s="82" t="e">
        <f t="shared" ref="M771:M781" si="383">N771-J771</f>
        <v>#REF!</v>
      </c>
      <c r="N771" s="102" t="e">
        <f>SUMIF(#REF!,funkcijska!$E771,#REF!)</f>
        <v>#REF!</v>
      </c>
      <c r="O771" s="82" t="e">
        <f>SUMIF(#REF!,funkcijska!$E771,#REF!)</f>
        <v>#REF!</v>
      </c>
      <c r="P771" s="82" t="e">
        <f>SUMIF(#REF!,funkcijska!$E771,#REF!)</f>
        <v>#REF!</v>
      </c>
      <c r="Q771" s="386" t="e">
        <f>SUMIF(#REF!,funkcijska!$E771,#REF!)</f>
        <v>#REF!</v>
      </c>
      <c r="R771" s="82" t="e">
        <f>SUMIF(#REF!,funkcijska!$E771,#REF!)</f>
        <v>#REF!</v>
      </c>
      <c r="S771" s="82" t="e">
        <f>SUMIF(#REF!,funkcijska!$E771,#REF!)</f>
        <v>#REF!</v>
      </c>
      <c r="T771" s="82" t="e">
        <f>SUMIF(#REF!,funkcijska!$E$35,#REF!)</f>
        <v>#REF!</v>
      </c>
      <c r="U771" s="357" t="e">
        <f>SUMIF(#REF!,funkcijska!$E771,#REF!)</f>
        <v>#REF!</v>
      </c>
      <c r="V771" s="357" t="e">
        <f>SUMIF(#REF!,funkcijska!$E771,#REF!)+SUMIF(#REF!,funkcijska!$E771,#REF!)</f>
        <v>#REF!</v>
      </c>
      <c r="W771" s="357" t="e">
        <f>SUMIF(#REF!,funkcijska!$E771,#REF!)+SUMIF(#REF!,funkcijska!$E771,#REF!)</f>
        <v>#REF!</v>
      </c>
      <c r="X771" s="357" t="e">
        <f>SUMIF(#REF!,funkcijska!$E771,#REF!)+SUMIF(#REF!,funkcijska!$E771,#REF!)</f>
        <v>#REF!</v>
      </c>
      <c r="AD771" s="60"/>
      <c r="AE771" s="60"/>
      <c r="AF771" s="60"/>
      <c r="AG771" s="60"/>
      <c r="AH771" s="60"/>
      <c r="AI771" s="60"/>
      <c r="AJ771" s="60"/>
      <c r="AK771" s="60"/>
      <c r="AL771" s="60"/>
    </row>
    <row r="772" spans="1:38" ht="18" customHeight="1" x14ac:dyDescent="0.25">
      <c r="A772" s="80"/>
      <c r="B772" s="80"/>
      <c r="C772" s="80"/>
      <c r="D772" s="80"/>
      <c r="E772" s="80">
        <v>3232</v>
      </c>
      <c r="F772" s="81" t="s">
        <v>207</v>
      </c>
      <c r="G772" s="82" t="e">
        <f>SUMIF(#REF!,funkcijska!$E772,#REF!)</f>
        <v>#REF!</v>
      </c>
      <c r="H772" s="82" t="e">
        <f>SUMIF(#REF!,funkcijska!$E772,#REF!)</f>
        <v>#REF!</v>
      </c>
      <c r="I772" s="82" t="e">
        <f>SUMIF(#REF!,funkcijska!$E772,#REF!)</f>
        <v>#REF!</v>
      </c>
      <c r="J772" s="82" t="e">
        <f>SUMIF(#REF!,funkcijska!$E772,#REF!)</f>
        <v>#REF!</v>
      </c>
      <c r="K772" s="82" t="e">
        <f>SUMIF(#REF!,funkcijska!$E772,#REF!)</f>
        <v>#REF!</v>
      </c>
      <c r="L772" s="82" t="e">
        <f t="shared" si="382"/>
        <v>#REF!</v>
      </c>
      <c r="M772" s="82" t="e">
        <f t="shared" si="383"/>
        <v>#REF!</v>
      </c>
      <c r="N772" s="82" t="e">
        <f>SUMIF(#REF!,funkcijska!$E772,#REF!)</f>
        <v>#REF!</v>
      </c>
      <c r="O772" s="82" t="e">
        <f>SUMIF(#REF!,funkcijska!$E772,#REF!)</f>
        <v>#REF!</v>
      </c>
      <c r="P772" s="82" t="e">
        <f>SUMIF(#REF!,funkcijska!$E772,#REF!)</f>
        <v>#REF!</v>
      </c>
      <c r="Q772" s="386" t="e">
        <f>SUMIF(#REF!,funkcijska!$E772,#REF!)</f>
        <v>#REF!</v>
      </c>
      <c r="R772" s="82" t="e">
        <f>SUMIF(#REF!,funkcijska!$E772,#REF!)</f>
        <v>#REF!</v>
      </c>
      <c r="S772" s="82" t="e">
        <f>SUMIF(#REF!,funkcijska!$E772,#REF!)</f>
        <v>#REF!</v>
      </c>
      <c r="T772" s="82" t="e">
        <f>SUMIF(#REF!,funkcijska!$E$36,#REF!)</f>
        <v>#REF!</v>
      </c>
      <c r="U772" s="357" t="e">
        <f>SUMIF(#REF!,funkcijska!$E772,#REF!)</f>
        <v>#REF!</v>
      </c>
      <c r="V772" s="357" t="e">
        <f>SUMIF(#REF!,funkcijska!$E772,#REF!)+SUMIF(#REF!,funkcijska!$E772,#REF!)</f>
        <v>#REF!</v>
      </c>
      <c r="W772" s="357" t="e">
        <f>SUMIF(#REF!,funkcijska!$E772,#REF!)+SUMIF(#REF!,funkcijska!$E772,#REF!)</f>
        <v>#REF!</v>
      </c>
      <c r="X772" s="357" t="e">
        <f>SUMIF(#REF!,funkcijska!$E772,#REF!)+SUMIF(#REF!,funkcijska!$E772,#REF!)</f>
        <v>#REF!</v>
      </c>
      <c r="AD772" s="60"/>
      <c r="AE772" s="60"/>
      <c r="AF772" s="60"/>
      <c r="AG772" s="60"/>
      <c r="AH772" s="60"/>
      <c r="AI772" s="60"/>
      <c r="AJ772" s="60"/>
      <c r="AK772" s="60"/>
      <c r="AL772" s="60"/>
    </row>
    <row r="773" spans="1:38" ht="19.5" customHeight="1" x14ac:dyDescent="0.25">
      <c r="A773" s="80"/>
      <c r="B773" s="80"/>
      <c r="C773" s="80"/>
      <c r="D773" s="80"/>
      <c r="E773" s="80">
        <v>3233</v>
      </c>
      <c r="F773" s="81" t="s">
        <v>528</v>
      </c>
      <c r="G773" s="82" t="e">
        <f>SUMIF(#REF!,funkcijska!$E773,#REF!)</f>
        <v>#REF!</v>
      </c>
      <c r="H773" s="82" t="e">
        <f>SUMIF(#REF!,funkcijska!$E773,#REF!)</f>
        <v>#REF!</v>
      </c>
      <c r="I773" s="82" t="e">
        <f>SUMIF(#REF!,funkcijska!$E773,#REF!)</f>
        <v>#REF!</v>
      </c>
      <c r="J773" s="82" t="e">
        <f>SUMIF(#REF!,funkcijska!$E773,#REF!)</f>
        <v>#REF!</v>
      </c>
      <c r="K773" s="82" t="e">
        <f>SUMIF(#REF!,funkcijska!$E773,#REF!)</f>
        <v>#REF!</v>
      </c>
      <c r="L773" s="82" t="e">
        <f t="shared" si="382"/>
        <v>#REF!</v>
      </c>
      <c r="M773" s="82" t="e">
        <f t="shared" si="383"/>
        <v>#REF!</v>
      </c>
      <c r="N773" s="102" t="e">
        <f>SUMIF(#REF!,funkcijska!$E773,#REF!)</f>
        <v>#REF!</v>
      </c>
      <c r="O773" s="82" t="e">
        <f>SUMIF(#REF!,funkcijska!$E773,#REF!)</f>
        <v>#REF!</v>
      </c>
      <c r="P773" s="82" t="e">
        <f>SUMIF(#REF!,funkcijska!$E773,#REF!)</f>
        <v>#REF!</v>
      </c>
      <c r="Q773" s="386" t="e">
        <f>SUMIF(#REF!,funkcijska!$E773,#REF!)</f>
        <v>#REF!</v>
      </c>
      <c r="R773" s="82" t="e">
        <f>SUMIF(#REF!,funkcijska!$E773,#REF!)</f>
        <v>#REF!</v>
      </c>
      <c r="S773" s="82" t="e">
        <f>SUMIF(#REF!,funkcijska!$E773,#REF!)</f>
        <v>#REF!</v>
      </c>
      <c r="T773" s="82" t="e">
        <f>SUMIF(#REF!,funkcijska!$E$37,#REF!)</f>
        <v>#REF!</v>
      </c>
      <c r="U773" s="357" t="e">
        <f>SUMIF(#REF!,funkcijska!$E773,#REF!)</f>
        <v>#REF!</v>
      </c>
      <c r="V773" s="357" t="e">
        <f>SUMIF(#REF!,funkcijska!$E773,#REF!)+SUMIF(#REF!,funkcijska!$E773,#REF!)</f>
        <v>#REF!</v>
      </c>
      <c r="W773" s="357" t="e">
        <f>SUMIF(#REF!,funkcijska!$E773,#REF!)+SUMIF(#REF!,funkcijska!$E773,#REF!)</f>
        <v>#REF!</v>
      </c>
      <c r="X773" s="357" t="e">
        <f>SUMIF(#REF!,funkcijska!$E773,#REF!)+SUMIF(#REF!,funkcijska!$E773,#REF!)</f>
        <v>#REF!</v>
      </c>
      <c r="AD773" s="60"/>
      <c r="AE773" s="60"/>
      <c r="AF773" s="60"/>
      <c r="AG773" s="60"/>
      <c r="AH773" s="60"/>
      <c r="AI773" s="60"/>
      <c r="AJ773" s="60"/>
      <c r="AK773" s="60"/>
      <c r="AL773" s="60"/>
    </row>
    <row r="774" spans="1:38" ht="18.75" customHeight="1" x14ac:dyDescent="0.25">
      <c r="A774" s="80"/>
      <c r="B774" s="80"/>
      <c r="C774" s="80"/>
      <c r="D774" s="80"/>
      <c r="E774" s="80">
        <v>3234</v>
      </c>
      <c r="F774" s="81" t="s">
        <v>238</v>
      </c>
      <c r="G774" s="82" t="e">
        <f>SUMIF(#REF!,funkcijska!$E774,#REF!)</f>
        <v>#REF!</v>
      </c>
      <c r="H774" s="82" t="e">
        <f>SUMIF(#REF!,funkcijska!$E774,#REF!)</f>
        <v>#REF!</v>
      </c>
      <c r="I774" s="82" t="e">
        <f>SUMIF(#REF!,funkcijska!$E774,#REF!)</f>
        <v>#REF!</v>
      </c>
      <c r="J774" s="82" t="e">
        <f>SUMIF(#REF!,funkcijska!$E774,#REF!)</f>
        <v>#REF!</v>
      </c>
      <c r="K774" s="82" t="e">
        <f>SUMIF(#REF!,funkcijska!$E774,#REF!)</f>
        <v>#REF!</v>
      </c>
      <c r="L774" s="82" t="e">
        <f t="shared" si="382"/>
        <v>#REF!</v>
      </c>
      <c r="M774" s="82" t="e">
        <f t="shared" si="383"/>
        <v>#REF!</v>
      </c>
      <c r="N774" s="102" t="e">
        <f>SUMIF(#REF!,funkcijska!$E774,#REF!)</f>
        <v>#REF!</v>
      </c>
      <c r="O774" s="82" t="e">
        <f>SUMIF(#REF!,funkcijska!$E774,#REF!)</f>
        <v>#REF!</v>
      </c>
      <c r="P774" s="82" t="e">
        <f>SUMIF(#REF!,funkcijska!$E774,#REF!)</f>
        <v>#REF!</v>
      </c>
      <c r="Q774" s="386" t="e">
        <f>SUMIF(#REF!,funkcijska!$E774,#REF!)</f>
        <v>#REF!</v>
      </c>
      <c r="R774" s="82" t="e">
        <f>SUMIF(#REF!,funkcijska!$E774,#REF!)</f>
        <v>#REF!</v>
      </c>
      <c r="S774" s="82" t="e">
        <f>SUMIF(#REF!,funkcijska!$E774,#REF!)</f>
        <v>#REF!</v>
      </c>
      <c r="T774" s="82" t="e">
        <f>SUMIF(#REF!,funkcijska!$E$38,#REF!)</f>
        <v>#REF!</v>
      </c>
      <c r="U774" s="357" t="e">
        <f>SUMIF(#REF!,funkcijska!$E774,#REF!)</f>
        <v>#REF!</v>
      </c>
      <c r="V774" s="357" t="e">
        <f>SUMIF(#REF!,funkcijska!$E774,#REF!)+SUMIF(#REF!,funkcijska!$E774,#REF!)</f>
        <v>#REF!</v>
      </c>
      <c r="W774" s="357" t="e">
        <f>SUMIF(#REF!,funkcijska!$E774,#REF!)+SUMIF(#REF!,funkcijska!$E774,#REF!)</f>
        <v>#REF!</v>
      </c>
      <c r="X774" s="357" t="e">
        <f>SUMIF(#REF!,funkcijska!$E774,#REF!)+SUMIF(#REF!,funkcijska!$E774,#REF!)</f>
        <v>#REF!</v>
      </c>
      <c r="AD774" s="60"/>
      <c r="AE774" s="60"/>
      <c r="AF774" s="60"/>
      <c r="AG774" s="60"/>
      <c r="AH774" s="60"/>
      <c r="AI774" s="60"/>
      <c r="AJ774" s="60"/>
      <c r="AK774" s="60"/>
      <c r="AL774" s="60"/>
    </row>
    <row r="775" spans="1:38" ht="21" customHeight="1" x14ac:dyDescent="0.25">
      <c r="A775" s="80"/>
      <c r="B775" s="80"/>
      <c r="C775" s="80"/>
      <c r="D775" s="80"/>
      <c r="E775" s="80">
        <v>3235</v>
      </c>
      <c r="F775" s="81" t="s">
        <v>640</v>
      </c>
      <c r="G775" s="82" t="e">
        <f>SUMIF(#REF!,funkcijska!$E775,#REF!)</f>
        <v>#REF!</v>
      </c>
      <c r="H775" s="82" t="e">
        <f>SUMIF(#REF!,funkcijska!$E775,#REF!)</f>
        <v>#REF!</v>
      </c>
      <c r="I775" s="82" t="e">
        <f>SUMIF(#REF!,funkcijska!$E775,#REF!)</f>
        <v>#REF!</v>
      </c>
      <c r="J775" s="82" t="e">
        <f>SUMIF(#REF!,funkcijska!$E775,#REF!)</f>
        <v>#REF!</v>
      </c>
      <c r="K775" s="82" t="e">
        <f>SUMIF(#REF!,funkcijska!$E775,#REF!)</f>
        <v>#REF!</v>
      </c>
      <c r="L775" s="82" t="e">
        <f t="shared" si="382"/>
        <v>#REF!</v>
      </c>
      <c r="M775" s="82" t="e">
        <f t="shared" si="383"/>
        <v>#REF!</v>
      </c>
      <c r="N775" s="102" t="e">
        <f>SUMIF(#REF!,funkcijska!$E775,#REF!)</f>
        <v>#REF!</v>
      </c>
      <c r="O775" s="82" t="e">
        <f>SUMIF(#REF!,funkcijska!$E775,#REF!)</f>
        <v>#REF!</v>
      </c>
      <c r="P775" s="82" t="e">
        <f>SUMIF(#REF!,funkcijska!$E775,#REF!)</f>
        <v>#REF!</v>
      </c>
      <c r="Q775" s="386" t="e">
        <f>SUMIF(#REF!,funkcijska!$E775,#REF!)</f>
        <v>#REF!</v>
      </c>
      <c r="R775" s="82" t="e">
        <f>SUMIF(#REF!,funkcijska!$E775,#REF!)</f>
        <v>#REF!</v>
      </c>
      <c r="S775" s="82" t="e">
        <f>SUMIF(#REF!,funkcijska!$E775,#REF!)</f>
        <v>#REF!</v>
      </c>
      <c r="T775" s="82" t="e">
        <f>SUMIF(#REF!,funkcijska!$E$39,#REF!)</f>
        <v>#REF!</v>
      </c>
      <c r="U775" s="357" t="e">
        <f>SUMIF(#REF!,funkcijska!$E775,#REF!)</f>
        <v>#REF!</v>
      </c>
      <c r="V775" s="357" t="e">
        <f>SUMIF(#REF!,funkcijska!$E775,#REF!)+SUMIF(#REF!,funkcijska!$E775,#REF!)</f>
        <v>#REF!</v>
      </c>
      <c r="W775" s="357" t="e">
        <f>SUMIF(#REF!,funkcijska!$E775,#REF!)+SUMIF(#REF!,funkcijska!$E775,#REF!)</f>
        <v>#REF!</v>
      </c>
      <c r="X775" s="357" t="e">
        <f>SUMIF(#REF!,funkcijska!$E775,#REF!)+SUMIF(#REF!,funkcijska!$E775,#REF!)</f>
        <v>#REF!</v>
      </c>
      <c r="AD775" s="60"/>
      <c r="AE775" s="60"/>
      <c r="AF775" s="60"/>
      <c r="AG775" s="60"/>
      <c r="AH775" s="60"/>
      <c r="AI775" s="60"/>
      <c r="AJ775" s="60"/>
      <c r="AK775" s="60"/>
      <c r="AL775" s="60"/>
    </row>
    <row r="776" spans="1:38" ht="20.25" customHeight="1" x14ac:dyDescent="0.25">
      <c r="A776" s="80"/>
      <c r="B776" s="80"/>
      <c r="C776" s="80"/>
      <c r="D776" s="80"/>
      <c r="E776" s="80">
        <v>3236</v>
      </c>
      <c r="F776" s="81" t="s">
        <v>843</v>
      </c>
      <c r="G776" s="82" t="e">
        <f>SUMIF(#REF!,funkcijska!$E776,#REF!)</f>
        <v>#REF!</v>
      </c>
      <c r="H776" s="82" t="e">
        <f>SUMIF(#REF!,funkcijska!$E776,#REF!)</f>
        <v>#REF!</v>
      </c>
      <c r="I776" s="82" t="e">
        <f>SUMIF(#REF!,funkcijska!$E776,#REF!)</f>
        <v>#REF!</v>
      </c>
      <c r="J776" s="82" t="e">
        <f>SUMIF(#REF!,funkcijska!$E776,#REF!)</f>
        <v>#REF!</v>
      </c>
      <c r="K776" s="82" t="e">
        <f>SUMIF(#REF!,funkcijska!$E776,#REF!)</f>
        <v>#REF!</v>
      </c>
      <c r="L776" s="82" t="e">
        <f t="shared" si="382"/>
        <v>#REF!</v>
      </c>
      <c r="M776" s="82" t="e">
        <f t="shared" si="383"/>
        <v>#REF!</v>
      </c>
      <c r="N776" s="102" t="e">
        <f>SUMIF(#REF!,funkcijska!$E776,#REF!)</f>
        <v>#REF!</v>
      </c>
      <c r="O776" s="82" t="e">
        <f>SUMIF(#REF!,funkcijska!$E776,#REF!)</f>
        <v>#REF!</v>
      </c>
      <c r="P776" s="82" t="e">
        <f>SUMIF(#REF!,funkcijska!$E776,#REF!)</f>
        <v>#REF!</v>
      </c>
      <c r="Q776" s="386" t="e">
        <f>SUMIF(#REF!,funkcijska!$E776,#REF!)</f>
        <v>#REF!</v>
      </c>
      <c r="R776" s="82" t="e">
        <f>SUMIF(#REF!,funkcijska!$E776,#REF!)</f>
        <v>#REF!</v>
      </c>
      <c r="S776" s="82" t="e">
        <f>SUMIF(#REF!,funkcijska!$E776,#REF!)</f>
        <v>#REF!</v>
      </c>
      <c r="T776" s="82" t="e">
        <f>SUMIF(#REF!,funkcijska!$E$40,#REF!)</f>
        <v>#REF!</v>
      </c>
      <c r="U776" s="357" t="e">
        <f>SUMIF(#REF!,funkcijska!$E776,#REF!)</f>
        <v>#REF!</v>
      </c>
      <c r="V776" s="357" t="e">
        <f>SUMIF(#REF!,funkcijska!$E776,#REF!)+SUMIF(#REF!,funkcijska!$E776,#REF!)</f>
        <v>#REF!</v>
      </c>
      <c r="W776" s="357" t="e">
        <f>SUMIF(#REF!,funkcijska!$E776,#REF!)+SUMIF(#REF!,funkcijska!$E776,#REF!)</f>
        <v>#REF!</v>
      </c>
      <c r="X776" s="357" t="e">
        <f>SUMIF(#REF!,funkcijska!$E776,#REF!)+SUMIF(#REF!,funkcijska!$E776,#REF!)</f>
        <v>#REF!</v>
      </c>
      <c r="AD776" s="60"/>
      <c r="AE776" s="60"/>
      <c r="AF776" s="60"/>
      <c r="AG776" s="60"/>
      <c r="AH776" s="60"/>
      <c r="AI776" s="60"/>
      <c r="AJ776" s="60"/>
      <c r="AK776" s="60"/>
      <c r="AL776" s="60"/>
    </row>
    <row r="777" spans="1:38" ht="20.25" customHeight="1" x14ac:dyDescent="0.25">
      <c r="A777" s="80"/>
      <c r="B777" s="80"/>
      <c r="C777" s="80"/>
      <c r="D777" s="80"/>
      <c r="E777" s="80">
        <v>3237</v>
      </c>
      <c r="F777" s="81" t="s">
        <v>566</v>
      </c>
      <c r="G777" s="82" t="e">
        <f>SUMIF(#REF!,funkcijska!$E777,#REF!)</f>
        <v>#REF!</v>
      </c>
      <c r="H777" s="82" t="e">
        <f>SUMIF(#REF!,funkcijska!$E777,#REF!)</f>
        <v>#REF!</v>
      </c>
      <c r="I777" s="82" t="e">
        <f>SUMIF(#REF!,funkcijska!$E777,#REF!)</f>
        <v>#REF!</v>
      </c>
      <c r="J777" s="82" t="e">
        <f>SUMIF(#REF!,funkcijska!$E777,#REF!)</f>
        <v>#REF!</v>
      </c>
      <c r="K777" s="82" t="e">
        <f>SUMIF(#REF!,funkcijska!$E777,#REF!)</f>
        <v>#REF!</v>
      </c>
      <c r="L777" s="82" t="e">
        <f t="shared" si="382"/>
        <v>#REF!</v>
      </c>
      <c r="M777" s="82" t="e">
        <f t="shared" si="383"/>
        <v>#REF!</v>
      </c>
      <c r="N777" s="102" t="e">
        <f>SUMIF(#REF!,funkcijska!$E777,#REF!)</f>
        <v>#REF!</v>
      </c>
      <c r="O777" s="82" t="e">
        <f>SUMIF(#REF!,funkcijska!$E777,#REF!)</f>
        <v>#REF!</v>
      </c>
      <c r="P777" s="82" t="e">
        <f>SUMIF(#REF!,funkcijska!$E777,#REF!)</f>
        <v>#REF!</v>
      </c>
      <c r="Q777" s="386" t="e">
        <f>SUMIF(#REF!,funkcijska!$E777,#REF!)</f>
        <v>#REF!</v>
      </c>
      <c r="R777" s="82" t="e">
        <f>SUMIF(#REF!,funkcijska!$E777,#REF!)</f>
        <v>#REF!</v>
      </c>
      <c r="S777" s="82" t="e">
        <f>SUMIF(#REF!,funkcijska!$E777,#REF!)</f>
        <v>#REF!</v>
      </c>
      <c r="T777" s="82" t="e">
        <f>SUMIF(#REF!,funkcijska!$E$41,#REF!)</f>
        <v>#REF!</v>
      </c>
      <c r="U777" s="357" t="e">
        <f>SUMIF(#REF!,funkcijska!$E777,#REF!)</f>
        <v>#REF!</v>
      </c>
      <c r="V777" s="357" t="e">
        <f>SUMIF(#REF!,funkcijska!$E777,#REF!)+SUMIF(#REF!,funkcijska!$E777,#REF!)</f>
        <v>#REF!</v>
      </c>
      <c r="W777" s="357" t="e">
        <f>SUMIF(#REF!,funkcijska!$E777,#REF!)+SUMIF(#REF!,funkcijska!$E777,#REF!)</f>
        <v>#REF!</v>
      </c>
      <c r="X777" s="357" t="e">
        <f>SUMIF(#REF!,funkcijska!$E777,#REF!)+SUMIF(#REF!,funkcijska!$E777,#REF!)</f>
        <v>#REF!</v>
      </c>
      <c r="AD777" s="60"/>
      <c r="AE777" s="60"/>
      <c r="AF777" s="60"/>
      <c r="AG777" s="60"/>
      <c r="AH777" s="60"/>
      <c r="AI777" s="60"/>
      <c r="AJ777" s="60"/>
      <c r="AK777" s="60"/>
      <c r="AL777" s="60"/>
    </row>
    <row r="778" spans="1:38" ht="16.5" customHeight="1" x14ac:dyDescent="0.25">
      <c r="A778" s="80"/>
      <c r="B778" s="80"/>
      <c r="C778" s="80"/>
      <c r="D778" s="80"/>
      <c r="E778" s="80">
        <v>3238</v>
      </c>
      <c r="F778" s="81" t="s">
        <v>398</v>
      </c>
      <c r="G778" s="82" t="e">
        <f>SUMIF(#REF!,funkcijska!$E778,#REF!)</f>
        <v>#REF!</v>
      </c>
      <c r="H778" s="82" t="e">
        <f>SUMIF(#REF!,funkcijska!$E778,#REF!)</f>
        <v>#REF!</v>
      </c>
      <c r="I778" s="82" t="e">
        <f>SUMIF(#REF!,funkcijska!$E778,#REF!)</f>
        <v>#REF!</v>
      </c>
      <c r="J778" s="82" t="e">
        <f>SUMIF(#REF!,funkcijska!$E778,#REF!)</f>
        <v>#REF!</v>
      </c>
      <c r="K778" s="82" t="e">
        <f>SUMIF(#REF!,funkcijska!$E778,#REF!)</f>
        <v>#REF!</v>
      </c>
      <c r="L778" s="82" t="e">
        <f t="shared" si="382"/>
        <v>#REF!</v>
      </c>
      <c r="M778" s="82" t="e">
        <f t="shared" si="383"/>
        <v>#REF!</v>
      </c>
      <c r="N778" s="82" t="e">
        <f>SUMIF(#REF!,funkcijska!$E778,#REF!)</f>
        <v>#REF!</v>
      </c>
      <c r="O778" s="82" t="e">
        <f>SUMIF(#REF!,funkcijska!$E778,#REF!)</f>
        <v>#REF!</v>
      </c>
      <c r="P778" s="82" t="e">
        <f>SUMIF(#REF!,funkcijska!$E778,#REF!)</f>
        <v>#REF!</v>
      </c>
      <c r="Q778" s="386" t="e">
        <f>SUMIF(#REF!,funkcijska!$E778,#REF!)</f>
        <v>#REF!</v>
      </c>
      <c r="R778" s="82" t="e">
        <f>SUMIF(#REF!,funkcijska!$E778,#REF!)</f>
        <v>#REF!</v>
      </c>
      <c r="S778" s="82" t="e">
        <f>SUMIF(#REF!,funkcijska!$E778,#REF!)</f>
        <v>#REF!</v>
      </c>
      <c r="T778" s="82" t="e">
        <f>SUMIF(#REF!,funkcijska!$E$42,#REF!)</f>
        <v>#REF!</v>
      </c>
      <c r="U778" s="357" t="e">
        <f>SUMIF(#REF!,funkcijska!$E778,#REF!)</f>
        <v>#REF!</v>
      </c>
      <c r="V778" s="357" t="e">
        <f>SUMIF(#REF!,funkcijska!$E778,#REF!)+SUMIF(#REF!,funkcijska!$E778,#REF!)</f>
        <v>#REF!</v>
      </c>
      <c r="W778" s="357" t="e">
        <f>SUMIF(#REF!,funkcijska!$E778,#REF!)+SUMIF(#REF!,funkcijska!$E778,#REF!)</f>
        <v>#REF!</v>
      </c>
      <c r="X778" s="357" t="e">
        <f>SUMIF(#REF!,funkcijska!$E778,#REF!)+SUMIF(#REF!,funkcijska!$E778,#REF!)</f>
        <v>#REF!</v>
      </c>
      <c r="AD778" s="60"/>
      <c r="AE778" s="60"/>
      <c r="AF778" s="60"/>
      <c r="AG778" s="60"/>
      <c r="AH778" s="60"/>
      <c r="AI778" s="60"/>
      <c r="AJ778" s="60"/>
      <c r="AK778" s="60"/>
      <c r="AL778" s="60"/>
    </row>
    <row r="779" spans="1:38" ht="18" customHeight="1" x14ac:dyDescent="0.25">
      <c r="A779" s="80"/>
      <c r="B779" s="80"/>
      <c r="C779" s="80"/>
      <c r="D779" s="80"/>
      <c r="E779" s="80">
        <v>3239</v>
      </c>
      <c r="F779" s="81" t="s">
        <v>1017</v>
      </c>
      <c r="G779" s="82" t="e">
        <f>SUMIF(#REF!,funkcijska!$E779,#REF!)</f>
        <v>#REF!</v>
      </c>
      <c r="H779" s="82" t="e">
        <f>SUMIF(#REF!,funkcijska!$E779,#REF!)</f>
        <v>#REF!</v>
      </c>
      <c r="I779" s="82" t="e">
        <f>SUMIF(#REF!,funkcijska!$E779,#REF!)</f>
        <v>#REF!</v>
      </c>
      <c r="J779" s="82" t="e">
        <f>SUMIF(#REF!,funkcijska!$E779,#REF!)</f>
        <v>#REF!</v>
      </c>
      <c r="K779" s="82" t="e">
        <f>SUMIF(#REF!,funkcijska!$E779,#REF!)</f>
        <v>#REF!</v>
      </c>
      <c r="L779" s="82" t="e">
        <f t="shared" si="382"/>
        <v>#REF!</v>
      </c>
      <c r="M779" s="82" t="e">
        <f t="shared" si="383"/>
        <v>#REF!</v>
      </c>
      <c r="N779" s="82" t="e">
        <f>SUMIF(#REF!,funkcijska!$E779,#REF!)</f>
        <v>#REF!</v>
      </c>
      <c r="O779" s="82" t="e">
        <f>SUMIF(#REF!,funkcijska!$E779,#REF!)</f>
        <v>#REF!</v>
      </c>
      <c r="P779" s="82" t="e">
        <f>SUMIF(#REF!,funkcijska!$E779,#REF!)</f>
        <v>#REF!</v>
      </c>
      <c r="Q779" s="386" t="e">
        <f>SUMIF(#REF!,funkcijska!$E779,#REF!)</f>
        <v>#REF!</v>
      </c>
      <c r="R779" s="82" t="e">
        <f>SUMIF(#REF!,funkcijska!$E779,#REF!)</f>
        <v>#REF!</v>
      </c>
      <c r="S779" s="82" t="e">
        <f>SUMIF(#REF!,funkcijska!$E779,#REF!)</f>
        <v>#REF!</v>
      </c>
      <c r="T779" s="82" t="e">
        <f>SUMIF(#REF!,funkcijska!$E$43,#REF!)</f>
        <v>#REF!</v>
      </c>
      <c r="U779" s="357" t="e">
        <f>SUMIF(#REF!,funkcijska!$E779,#REF!)</f>
        <v>#REF!</v>
      </c>
      <c r="V779" s="357" t="e">
        <f>SUMIF(#REF!,funkcijska!$E779,#REF!)+SUMIF(#REF!,funkcijska!$E779,#REF!)</f>
        <v>#REF!</v>
      </c>
      <c r="W779" s="357" t="e">
        <f>SUMIF(#REF!,funkcijska!$E779,#REF!)+SUMIF(#REF!,funkcijska!$E779,#REF!)</f>
        <v>#REF!</v>
      </c>
      <c r="X779" s="357" t="e">
        <f>SUMIF(#REF!,funkcijska!$E779,#REF!)+SUMIF(#REF!,funkcijska!$E779,#REF!)</f>
        <v>#REF!</v>
      </c>
      <c r="AD779" s="60"/>
      <c r="AE779" s="60"/>
      <c r="AF779" s="60"/>
      <c r="AG779" s="60"/>
      <c r="AH779" s="60"/>
      <c r="AI779" s="60"/>
      <c r="AJ779" s="60"/>
      <c r="AK779" s="60"/>
      <c r="AL779" s="60"/>
    </row>
    <row r="780" spans="1:38" s="376" customFormat="1" ht="18.75" customHeight="1" x14ac:dyDescent="0.25">
      <c r="A780" s="119"/>
      <c r="B780" s="119"/>
      <c r="C780" s="119"/>
      <c r="D780" s="119">
        <v>324</v>
      </c>
      <c r="E780" s="119"/>
      <c r="F780" s="368" t="s">
        <v>530</v>
      </c>
      <c r="G780" s="137" t="e">
        <f>G781</f>
        <v>#REF!</v>
      </c>
      <c r="H780" s="137" t="e">
        <f>H781</f>
        <v>#REF!</v>
      </c>
      <c r="I780" s="137" t="e">
        <f>I781</f>
        <v>#REF!</v>
      </c>
      <c r="J780" s="137" t="e">
        <f>J781</f>
        <v>#REF!</v>
      </c>
      <c r="K780" s="137" t="e">
        <f>K781</f>
        <v>#REF!</v>
      </c>
      <c r="L780" s="137" t="e">
        <f t="shared" si="382"/>
        <v>#REF!</v>
      </c>
      <c r="M780" s="137" t="e">
        <f t="shared" si="383"/>
        <v>#REF!</v>
      </c>
      <c r="N780" s="137" t="e">
        <f t="shared" ref="N780:X780" si="384">N781</f>
        <v>#REF!</v>
      </c>
      <c r="O780" s="137" t="e">
        <f t="shared" si="384"/>
        <v>#REF!</v>
      </c>
      <c r="P780" s="137" t="e">
        <f t="shared" si="384"/>
        <v>#REF!</v>
      </c>
      <c r="Q780" s="393" t="e">
        <f t="shared" si="384"/>
        <v>#REF!</v>
      </c>
      <c r="R780" s="137" t="e">
        <f t="shared" si="384"/>
        <v>#REF!</v>
      </c>
      <c r="S780" s="137" t="e">
        <f t="shared" si="384"/>
        <v>#REF!</v>
      </c>
      <c r="T780" s="137" t="e">
        <f t="shared" si="384"/>
        <v>#REF!</v>
      </c>
      <c r="U780" s="371" t="e">
        <f t="shared" si="384"/>
        <v>#REF!</v>
      </c>
      <c r="V780" s="371" t="e">
        <f t="shared" si="384"/>
        <v>#REF!</v>
      </c>
      <c r="W780" s="371" t="e">
        <f t="shared" si="384"/>
        <v>#REF!</v>
      </c>
      <c r="X780" s="371" t="e">
        <f t="shared" si="384"/>
        <v>#REF!</v>
      </c>
      <c r="Y780" s="372"/>
      <c r="Z780" s="372"/>
      <c r="AA780" s="372"/>
      <c r="AB780" s="372"/>
      <c r="AC780" s="372"/>
      <c r="AD780" s="375"/>
      <c r="AE780" s="375"/>
      <c r="AF780" s="375"/>
      <c r="AG780" s="375"/>
      <c r="AH780" s="375"/>
      <c r="AI780" s="375"/>
      <c r="AJ780" s="375"/>
      <c r="AK780" s="375"/>
      <c r="AL780" s="375"/>
    </row>
    <row r="781" spans="1:38" ht="16.5" customHeight="1" x14ac:dyDescent="0.25">
      <c r="A781" s="133"/>
      <c r="B781" s="133"/>
      <c r="C781" s="133"/>
      <c r="D781" s="133"/>
      <c r="E781" s="133">
        <v>3241</v>
      </c>
      <c r="F781" s="134" t="s">
        <v>530</v>
      </c>
      <c r="G781" s="82" t="e">
        <f>SUMIF(#REF!,funkcijska!$E781,#REF!)</f>
        <v>#REF!</v>
      </c>
      <c r="H781" s="82" t="e">
        <f>SUMIF(#REF!,funkcijska!$E781,#REF!)</f>
        <v>#REF!</v>
      </c>
      <c r="I781" s="82" t="e">
        <f>SUMIF(#REF!,funkcijska!$E781,#REF!)</f>
        <v>#REF!</v>
      </c>
      <c r="J781" s="82" t="e">
        <f>SUMIF(#REF!,funkcijska!$E781,#REF!)</f>
        <v>#REF!</v>
      </c>
      <c r="K781" s="82" t="e">
        <f>SUMIF(#REF!,funkcijska!$E781,#REF!)</f>
        <v>#REF!</v>
      </c>
      <c r="L781" s="82" t="e">
        <f t="shared" si="382"/>
        <v>#REF!</v>
      </c>
      <c r="M781" s="82" t="e">
        <f t="shared" si="383"/>
        <v>#REF!</v>
      </c>
      <c r="N781" s="82" t="e">
        <f>SUMIF(#REF!,funkcijska!$E781,#REF!)</f>
        <v>#REF!</v>
      </c>
      <c r="O781" s="82" t="e">
        <f>SUMIF(#REF!,funkcijska!$E781,#REF!)</f>
        <v>#REF!</v>
      </c>
      <c r="P781" s="82" t="e">
        <f>SUMIF(#REF!,funkcijska!$E781,#REF!)</f>
        <v>#REF!</v>
      </c>
      <c r="Q781" s="386" t="e">
        <f>SUMIF(#REF!,funkcijska!$E781,#REF!)</f>
        <v>#REF!</v>
      </c>
      <c r="R781" s="82" t="e">
        <f>SUMIF(#REF!,funkcijska!$E781,#REF!)</f>
        <v>#REF!</v>
      </c>
      <c r="S781" s="82" t="e">
        <f>SUMIF(#REF!,funkcijska!$E781,#REF!)</f>
        <v>#REF!</v>
      </c>
      <c r="T781" s="82" t="e">
        <f>SUMIF(#REF!,funkcijska!$E$45,#REF!)</f>
        <v>#REF!</v>
      </c>
      <c r="U781" s="357" t="e">
        <f>SUMIF(#REF!,funkcijska!$E781,#REF!)</f>
        <v>#REF!</v>
      </c>
      <c r="V781" s="357" t="e">
        <f>SUMIF(#REF!,funkcijska!$E781,#REF!)+SUMIF(#REF!,funkcijska!$E781,#REF!)</f>
        <v>#REF!</v>
      </c>
      <c r="W781" s="357" t="e">
        <f>SUMIF(#REF!,funkcijska!$E781,#REF!)+SUMIF(#REF!,funkcijska!$E781,#REF!)</f>
        <v>#REF!</v>
      </c>
      <c r="X781" s="357" t="e">
        <f>SUMIF(#REF!,funkcijska!$E781,#REF!)+SUMIF(#REF!,funkcijska!$E781,#REF!)</f>
        <v>#REF!</v>
      </c>
      <c r="AD781" s="300"/>
      <c r="AE781" s="300"/>
      <c r="AF781" s="300"/>
      <c r="AG781" s="300"/>
      <c r="AH781" s="300"/>
      <c r="AI781" s="300"/>
      <c r="AJ781" s="300"/>
      <c r="AK781" s="60"/>
      <c r="AL781" s="60"/>
    </row>
    <row r="782" spans="1:38" s="376" customFormat="1" ht="16.5" customHeight="1" x14ac:dyDescent="0.25">
      <c r="A782" s="119"/>
      <c r="B782" s="119"/>
      <c r="C782" s="119"/>
      <c r="D782" s="119" t="str">
        <f>LEFT(E783,3)</f>
        <v>329</v>
      </c>
      <c r="E782" s="119"/>
      <c r="F782" s="368" t="s">
        <v>531</v>
      </c>
      <c r="G782" s="369" t="e">
        <f t="shared" ref="G782:X782" si="385">SUM(G783:G788)</f>
        <v>#REF!</v>
      </c>
      <c r="H782" s="370" t="e">
        <f t="shared" si="385"/>
        <v>#REF!</v>
      </c>
      <c r="I782" s="369" t="e">
        <f t="shared" si="385"/>
        <v>#REF!</v>
      </c>
      <c r="J782" s="369" t="e">
        <f t="shared" si="385"/>
        <v>#REF!</v>
      </c>
      <c r="K782" s="369" t="e">
        <f t="shared" si="385"/>
        <v>#REF!</v>
      </c>
      <c r="L782" s="369" t="e">
        <f t="shared" si="385"/>
        <v>#REF!</v>
      </c>
      <c r="M782" s="369" t="e">
        <f t="shared" si="385"/>
        <v>#REF!</v>
      </c>
      <c r="N782" s="369" t="e">
        <f t="shared" si="385"/>
        <v>#REF!</v>
      </c>
      <c r="O782" s="369" t="e">
        <f t="shared" si="385"/>
        <v>#REF!</v>
      </c>
      <c r="P782" s="369" t="e">
        <f t="shared" si="385"/>
        <v>#REF!</v>
      </c>
      <c r="Q782" s="392" t="e">
        <f t="shared" si="385"/>
        <v>#REF!</v>
      </c>
      <c r="R782" s="369" t="e">
        <f t="shared" si="385"/>
        <v>#REF!</v>
      </c>
      <c r="S782" s="369" t="e">
        <f t="shared" si="385"/>
        <v>#REF!</v>
      </c>
      <c r="T782" s="369" t="e">
        <f t="shared" si="385"/>
        <v>#REF!</v>
      </c>
      <c r="U782" s="371" t="e">
        <f t="shared" si="385"/>
        <v>#REF!</v>
      </c>
      <c r="V782" s="371" t="e">
        <f t="shared" si="385"/>
        <v>#REF!</v>
      </c>
      <c r="W782" s="371" t="e">
        <f t="shared" si="385"/>
        <v>#REF!</v>
      </c>
      <c r="X782" s="371" t="e">
        <f t="shared" si="385"/>
        <v>#REF!</v>
      </c>
      <c r="Y782" s="372"/>
      <c r="Z782" s="372"/>
      <c r="AA782" s="372"/>
      <c r="AB782" s="372"/>
      <c r="AC782" s="372"/>
      <c r="AD782" s="377"/>
      <c r="AE782" s="377"/>
      <c r="AF782" s="377"/>
      <c r="AG782" s="377"/>
      <c r="AH782" s="377"/>
      <c r="AI782" s="377"/>
      <c r="AJ782" s="377"/>
      <c r="AK782" s="375"/>
      <c r="AL782" s="375"/>
    </row>
    <row r="783" spans="1:38" ht="33.75" customHeight="1" x14ac:dyDescent="0.25">
      <c r="A783" s="133"/>
      <c r="B783" s="133"/>
      <c r="C783" s="133"/>
      <c r="D783" s="133"/>
      <c r="E783" s="133">
        <v>3291</v>
      </c>
      <c r="F783" s="134" t="s">
        <v>532</v>
      </c>
      <c r="G783" s="82" t="e">
        <f>SUMIF(#REF!,funkcijska!$E783,#REF!)</f>
        <v>#REF!</v>
      </c>
      <c r="H783" s="82" t="e">
        <f>SUMIF(#REF!,funkcijska!$E783,#REF!)</f>
        <v>#REF!</v>
      </c>
      <c r="I783" s="82" t="e">
        <f>SUMIF(#REF!,funkcijska!$E783,#REF!)</f>
        <v>#REF!</v>
      </c>
      <c r="J783" s="82" t="e">
        <f>SUMIF(#REF!,funkcijska!$E783,#REF!)</f>
        <v>#REF!</v>
      </c>
      <c r="K783" s="82" t="e">
        <f>SUMIF(#REF!,funkcijska!$E783,#REF!)</f>
        <v>#REF!</v>
      </c>
      <c r="L783" s="82" t="e">
        <f t="shared" ref="L783:L791" si="386">ROUND(K783/J783*100,2)</f>
        <v>#REF!</v>
      </c>
      <c r="M783" s="82" t="e">
        <f t="shared" ref="M783:M791" si="387">N783-J783</f>
        <v>#REF!</v>
      </c>
      <c r="N783" s="82" t="e">
        <f>SUMIF(#REF!,funkcijska!$E783,#REF!)</f>
        <v>#REF!</v>
      </c>
      <c r="O783" s="82" t="e">
        <f>SUMIF(#REF!,funkcijska!$E783,#REF!)</f>
        <v>#REF!</v>
      </c>
      <c r="P783" s="82" t="e">
        <f>SUMIF(#REF!,funkcijska!$E783,#REF!)</f>
        <v>#REF!</v>
      </c>
      <c r="Q783" s="386" t="e">
        <f>SUMIF(#REF!,funkcijska!$E783,#REF!)</f>
        <v>#REF!</v>
      </c>
      <c r="R783" s="82" t="e">
        <f>SUMIF(#REF!,funkcijska!$E783,#REF!)</f>
        <v>#REF!</v>
      </c>
      <c r="S783" s="82" t="e">
        <f>SUMIF(#REF!,funkcijska!$E783,#REF!)</f>
        <v>#REF!</v>
      </c>
      <c r="T783" s="82" t="e">
        <f>SUMIF(#REF!,funkcijska!$E$47,#REF!)</f>
        <v>#REF!</v>
      </c>
      <c r="U783" s="357" t="e">
        <f>SUMIF(#REF!,funkcijska!$E783,#REF!)</f>
        <v>#REF!</v>
      </c>
      <c r="V783" s="357" t="e">
        <f>SUMIF(#REF!,funkcijska!$E783,#REF!)+SUMIF(#REF!,funkcijska!$E783,#REF!)</f>
        <v>#REF!</v>
      </c>
      <c r="W783" s="357" t="e">
        <f>SUMIF(#REF!,funkcijska!$E783,#REF!)+SUMIF(#REF!,funkcijska!$E783,#REF!)</f>
        <v>#REF!</v>
      </c>
      <c r="X783" s="357" t="e">
        <f>SUMIF(#REF!,funkcijska!$E783,#REF!)+SUMIF(#REF!,funkcijska!$E783,#REF!)</f>
        <v>#REF!</v>
      </c>
      <c r="AD783" s="300"/>
      <c r="AE783" s="300"/>
      <c r="AF783" s="300"/>
      <c r="AG783" s="300"/>
      <c r="AH783" s="300"/>
      <c r="AI783" s="300"/>
      <c r="AJ783" s="300"/>
      <c r="AK783" s="60"/>
      <c r="AL783" s="60"/>
    </row>
    <row r="784" spans="1:38" ht="18.75" customHeight="1" x14ac:dyDescent="0.25">
      <c r="A784" s="80"/>
      <c r="B784" s="80"/>
      <c r="C784" s="80"/>
      <c r="D784" s="80"/>
      <c r="E784" s="80">
        <v>3292</v>
      </c>
      <c r="F784" s="81" t="s">
        <v>399</v>
      </c>
      <c r="G784" s="82" t="e">
        <f>SUMIF(#REF!,funkcijska!$E784,#REF!)</f>
        <v>#REF!</v>
      </c>
      <c r="H784" s="82" t="e">
        <f>SUMIF(#REF!,funkcijska!$E784,#REF!)</f>
        <v>#REF!</v>
      </c>
      <c r="I784" s="82" t="e">
        <f>SUMIF(#REF!,funkcijska!$E784,#REF!)</f>
        <v>#REF!</v>
      </c>
      <c r="J784" s="82" t="e">
        <f>SUMIF(#REF!,funkcijska!$E784,#REF!)</f>
        <v>#REF!</v>
      </c>
      <c r="K784" s="82" t="e">
        <f>SUMIF(#REF!,funkcijska!$E784,#REF!)</f>
        <v>#REF!</v>
      </c>
      <c r="L784" s="82" t="e">
        <f t="shared" si="386"/>
        <v>#REF!</v>
      </c>
      <c r="M784" s="82" t="e">
        <f t="shared" si="387"/>
        <v>#REF!</v>
      </c>
      <c r="N784" s="82" t="e">
        <f>SUMIF(#REF!,funkcijska!$E784,#REF!)</f>
        <v>#REF!</v>
      </c>
      <c r="O784" s="82" t="e">
        <f>SUMIF(#REF!,funkcijska!$E784,#REF!)</f>
        <v>#REF!</v>
      </c>
      <c r="P784" s="82" t="e">
        <f>SUMIF(#REF!,funkcijska!$E784,#REF!)</f>
        <v>#REF!</v>
      </c>
      <c r="Q784" s="386" t="e">
        <f>SUMIF(#REF!,funkcijska!$E784,#REF!)</f>
        <v>#REF!</v>
      </c>
      <c r="R784" s="82" t="e">
        <f>SUMIF(#REF!,funkcijska!$E784,#REF!)</f>
        <v>#REF!</v>
      </c>
      <c r="S784" s="82" t="e">
        <f>SUMIF(#REF!,funkcijska!$E784,#REF!)</f>
        <v>#REF!</v>
      </c>
      <c r="T784" s="82" t="e">
        <f>SUMIF(#REF!,funkcijska!$E$48,#REF!)</f>
        <v>#REF!</v>
      </c>
      <c r="U784" s="357" t="e">
        <f>SUMIF(#REF!,funkcijska!$E784,#REF!)</f>
        <v>#REF!</v>
      </c>
      <c r="V784" s="357" t="e">
        <f>SUMIF(#REF!,funkcijska!$E784,#REF!)+SUMIF(#REF!,funkcijska!$E784,#REF!)</f>
        <v>#REF!</v>
      </c>
      <c r="W784" s="357" t="e">
        <f>SUMIF(#REF!,funkcijska!$E784,#REF!)+SUMIF(#REF!,funkcijska!$E784,#REF!)</f>
        <v>#REF!</v>
      </c>
      <c r="X784" s="543" t="e">
        <f>SUMIF(#REF!,funkcijska!$E784,#REF!)+SUMIF(#REF!,funkcijska!$E784,#REF!)</f>
        <v>#REF!</v>
      </c>
      <c r="Y784" s="361"/>
      <c r="AD784" s="60"/>
      <c r="AE784" s="60"/>
      <c r="AF784" s="60"/>
      <c r="AG784" s="60"/>
      <c r="AH784" s="60"/>
      <c r="AI784" s="60"/>
      <c r="AJ784" s="60"/>
      <c r="AK784" s="60"/>
      <c r="AL784" s="60"/>
    </row>
    <row r="785" spans="1:38" ht="20.25" customHeight="1" x14ac:dyDescent="0.25">
      <c r="A785" s="80"/>
      <c r="B785" s="80"/>
      <c r="C785" s="80"/>
      <c r="D785" s="80"/>
      <c r="E785" s="80">
        <v>3293</v>
      </c>
      <c r="F785" s="81" t="s">
        <v>533</v>
      </c>
      <c r="G785" s="82" t="e">
        <f>SUMIF(#REF!,funkcijska!$E785,#REF!)</f>
        <v>#REF!</v>
      </c>
      <c r="H785" s="82" t="e">
        <f>SUMIF(#REF!,funkcijska!$E785,#REF!)</f>
        <v>#REF!</v>
      </c>
      <c r="I785" s="82" t="e">
        <f>SUMIF(#REF!,funkcijska!$E785,#REF!)</f>
        <v>#REF!</v>
      </c>
      <c r="J785" s="82" t="e">
        <f>SUMIF(#REF!,funkcijska!$E785,#REF!)</f>
        <v>#REF!</v>
      </c>
      <c r="K785" s="82" t="e">
        <f>SUMIF(#REF!,funkcijska!$E785,#REF!)</f>
        <v>#REF!</v>
      </c>
      <c r="L785" s="82" t="e">
        <f t="shared" si="386"/>
        <v>#REF!</v>
      </c>
      <c r="M785" s="82" t="e">
        <f t="shared" si="387"/>
        <v>#REF!</v>
      </c>
      <c r="N785" s="82" t="e">
        <f>SUMIF(#REF!,funkcijska!$E785,#REF!)</f>
        <v>#REF!</v>
      </c>
      <c r="O785" s="82" t="e">
        <f>SUMIF(#REF!,funkcijska!$E785,#REF!)</f>
        <v>#REF!</v>
      </c>
      <c r="P785" s="82" t="e">
        <f>SUMIF(#REF!,funkcijska!$E785,#REF!)</f>
        <v>#REF!</v>
      </c>
      <c r="Q785" s="386" t="e">
        <f>SUMIF(#REF!,funkcijska!$E785,#REF!)</f>
        <v>#REF!</v>
      </c>
      <c r="R785" s="82" t="e">
        <f>SUMIF(#REF!,funkcijska!$E785,#REF!)</f>
        <v>#REF!</v>
      </c>
      <c r="S785" s="82" t="e">
        <f>SUMIF(#REF!,funkcijska!$E785,#REF!)</f>
        <v>#REF!</v>
      </c>
      <c r="T785" s="82" t="e">
        <f>SUMIF(#REF!,funkcijska!$E$49,#REF!)</f>
        <v>#REF!</v>
      </c>
      <c r="U785" s="357" t="e">
        <f>SUMIF(#REF!,funkcijska!$E785,#REF!)</f>
        <v>#REF!</v>
      </c>
      <c r="V785" s="357" t="e">
        <f>SUMIF(#REF!,funkcijska!$E785,#REF!)+SUMIF(#REF!,funkcijska!$E785,#REF!)</f>
        <v>#REF!</v>
      </c>
      <c r="W785" s="357" t="e">
        <f>SUMIF(#REF!,funkcijska!$E785,#REF!)+SUMIF(#REF!,funkcijska!$E785,#REF!)</f>
        <v>#REF!</v>
      </c>
      <c r="X785" s="357" t="e">
        <f>SUMIF(#REF!,funkcijska!$E785,#REF!)+SUMIF(#REF!,funkcijska!$E785,#REF!)</f>
        <v>#REF!</v>
      </c>
      <c r="AD785" s="60"/>
      <c r="AE785" s="60"/>
      <c r="AF785" s="60"/>
      <c r="AG785" s="60"/>
      <c r="AH785" s="60"/>
      <c r="AI785" s="60"/>
      <c r="AJ785" s="60"/>
      <c r="AK785" s="60"/>
      <c r="AL785" s="60"/>
    </row>
    <row r="786" spans="1:38" ht="17.25" customHeight="1" x14ac:dyDescent="0.25">
      <c r="A786" s="80"/>
      <c r="B786" s="80"/>
      <c r="C786" s="80"/>
      <c r="D786" s="80"/>
      <c r="E786" s="80">
        <v>3294</v>
      </c>
      <c r="F786" s="81" t="s">
        <v>567</v>
      </c>
      <c r="G786" s="82" t="e">
        <f>SUMIF(#REF!,funkcijska!$E786,#REF!)</f>
        <v>#REF!</v>
      </c>
      <c r="H786" s="82" t="e">
        <f>SUMIF(#REF!,funkcijska!$E786,#REF!)</f>
        <v>#REF!</v>
      </c>
      <c r="I786" s="82" t="e">
        <f>SUMIF(#REF!,funkcijska!$E786,#REF!)</f>
        <v>#REF!</v>
      </c>
      <c r="J786" s="82" t="e">
        <f>SUMIF(#REF!,funkcijska!$E786,#REF!)</f>
        <v>#REF!</v>
      </c>
      <c r="K786" s="82" t="e">
        <f>SUMIF(#REF!,funkcijska!$E786,#REF!)</f>
        <v>#REF!</v>
      </c>
      <c r="L786" s="82" t="e">
        <f t="shared" si="386"/>
        <v>#REF!</v>
      </c>
      <c r="M786" s="82" t="e">
        <f t="shared" si="387"/>
        <v>#REF!</v>
      </c>
      <c r="N786" s="82" t="e">
        <f>SUMIF(#REF!,funkcijska!$E786,#REF!)</f>
        <v>#REF!</v>
      </c>
      <c r="O786" s="82" t="e">
        <f>SUMIF(#REF!,funkcijska!$E786,#REF!)</f>
        <v>#REF!</v>
      </c>
      <c r="P786" s="82" t="e">
        <f>SUMIF(#REF!,funkcijska!$E786,#REF!)</f>
        <v>#REF!</v>
      </c>
      <c r="Q786" s="386" t="e">
        <f>SUMIF(#REF!,funkcijska!$E786,#REF!)</f>
        <v>#REF!</v>
      </c>
      <c r="R786" s="82" t="e">
        <f>SUMIF(#REF!,funkcijska!$E786,#REF!)</f>
        <v>#REF!</v>
      </c>
      <c r="S786" s="82" t="e">
        <f>SUMIF(#REF!,funkcijska!$E786,#REF!)</f>
        <v>#REF!</v>
      </c>
      <c r="T786" s="82" t="e">
        <f>SUMIF(#REF!,funkcijska!$E$50,#REF!)</f>
        <v>#REF!</v>
      </c>
      <c r="U786" s="357" t="e">
        <f>SUMIF(#REF!,funkcijska!$E786,#REF!)</f>
        <v>#REF!</v>
      </c>
      <c r="V786" s="357" t="e">
        <f>SUMIF(#REF!,funkcijska!$E786,#REF!)+SUMIF(#REF!,funkcijska!$E786,#REF!)</f>
        <v>#REF!</v>
      </c>
      <c r="W786" s="357" t="e">
        <f>SUMIF(#REF!,funkcijska!$E786,#REF!)+SUMIF(#REF!,funkcijska!$E786,#REF!)</f>
        <v>#REF!</v>
      </c>
      <c r="X786" s="357" t="e">
        <f>SUMIF(#REF!,funkcijska!$E786,#REF!)+SUMIF(#REF!,funkcijska!$E786,#REF!)</f>
        <v>#REF!</v>
      </c>
      <c r="AD786" s="60"/>
      <c r="AE786" s="60"/>
      <c r="AF786" s="60"/>
      <c r="AG786" s="60"/>
      <c r="AH786" s="60"/>
      <c r="AI786" s="60"/>
      <c r="AJ786" s="60"/>
      <c r="AK786" s="60"/>
      <c r="AL786" s="60"/>
    </row>
    <row r="787" spans="1:38" ht="15.75" customHeight="1" x14ac:dyDescent="0.25">
      <c r="A787" s="80"/>
      <c r="B787" s="80"/>
      <c r="C787" s="80"/>
      <c r="D787" s="80"/>
      <c r="E787" s="80">
        <v>3295</v>
      </c>
      <c r="F787" s="81" t="s">
        <v>400</v>
      </c>
      <c r="G787" s="82" t="e">
        <f>SUMIF(#REF!,funkcijska!$E787,#REF!)</f>
        <v>#REF!</v>
      </c>
      <c r="H787" s="82" t="e">
        <f>SUMIF(#REF!,funkcijska!$E787,#REF!)</f>
        <v>#REF!</v>
      </c>
      <c r="I787" s="82" t="e">
        <f>SUMIF(#REF!,funkcijska!$E787,#REF!)</f>
        <v>#REF!</v>
      </c>
      <c r="J787" s="82" t="e">
        <f>SUMIF(#REF!,funkcijska!$E787,#REF!)</f>
        <v>#REF!</v>
      </c>
      <c r="K787" s="82" t="e">
        <f>SUMIF(#REF!,funkcijska!$E787,#REF!)</f>
        <v>#REF!</v>
      </c>
      <c r="L787" s="82" t="e">
        <f t="shared" si="386"/>
        <v>#REF!</v>
      </c>
      <c r="M787" s="82" t="e">
        <f t="shared" si="387"/>
        <v>#REF!</v>
      </c>
      <c r="N787" s="82" t="e">
        <f>SUMIF(#REF!,funkcijska!$E787,#REF!)</f>
        <v>#REF!</v>
      </c>
      <c r="O787" s="82" t="e">
        <f>SUMIF(#REF!,funkcijska!$E787,#REF!)</f>
        <v>#REF!</v>
      </c>
      <c r="P787" s="82" t="e">
        <f>SUMIF(#REF!,funkcijska!$E787,#REF!)</f>
        <v>#REF!</v>
      </c>
      <c r="Q787" s="386" t="e">
        <f>SUMIF(#REF!,funkcijska!$E787,#REF!)</f>
        <v>#REF!</v>
      </c>
      <c r="R787" s="82" t="e">
        <f>SUMIF(#REF!,funkcijska!$E787,#REF!)</f>
        <v>#REF!</v>
      </c>
      <c r="S787" s="82" t="e">
        <f>SUMIF(#REF!,funkcijska!$E787,#REF!)</f>
        <v>#REF!</v>
      </c>
      <c r="T787" s="82" t="e">
        <f>SUMIF(#REF!,funkcijska!$E$51,#REF!)</f>
        <v>#REF!</v>
      </c>
      <c r="U787" s="357" t="e">
        <f>SUMIF(#REF!,funkcijska!$E787,#REF!)</f>
        <v>#REF!</v>
      </c>
      <c r="V787" s="357" t="e">
        <f>SUMIF(#REF!,funkcijska!$E787,#REF!)+SUMIF(#REF!,funkcijska!$E787,#REF!)</f>
        <v>#REF!</v>
      </c>
      <c r="W787" s="357" t="e">
        <f>SUMIF(#REF!,funkcijska!$E787,#REF!)+SUMIF(#REF!,funkcijska!$E787,#REF!)</f>
        <v>#REF!</v>
      </c>
      <c r="X787" s="357" t="e">
        <f>SUMIF(#REF!,funkcijska!$E787,#REF!)+SUMIF(#REF!,funkcijska!$E787,#REF!)</f>
        <v>#REF!</v>
      </c>
      <c r="AD787" s="60"/>
      <c r="AE787" s="60"/>
      <c r="AF787" s="60"/>
      <c r="AG787" s="60"/>
      <c r="AH787" s="60"/>
      <c r="AI787" s="60"/>
      <c r="AJ787" s="60"/>
      <c r="AK787" s="60"/>
      <c r="AL787" s="60"/>
    </row>
    <row r="788" spans="1:38" ht="15.75" customHeight="1" x14ac:dyDescent="0.25">
      <c r="A788" s="80"/>
      <c r="B788" s="80"/>
      <c r="C788" s="80"/>
      <c r="D788" s="80"/>
      <c r="E788" s="80">
        <v>3299</v>
      </c>
      <c r="F788" s="81" t="s">
        <v>531</v>
      </c>
      <c r="G788" s="82" t="e">
        <f>SUMIF(#REF!,funkcijska!$E788,#REF!)</f>
        <v>#REF!</v>
      </c>
      <c r="H788" s="82" t="e">
        <f>SUMIF(#REF!,funkcijska!$E788,#REF!)</f>
        <v>#REF!</v>
      </c>
      <c r="I788" s="82" t="e">
        <f>SUMIF(#REF!,funkcijska!$E788,#REF!)</f>
        <v>#REF!</v>
      </c>
      <c r="J788" s="82" t="e">
        <f>SUMIF(#REF!,funkcijska!$E788,#REF!)</f>
        <v>#REF!</v>
      </c>
      <c r="K788" s="82" t="e">
        <f>SUMIF(#REF!,funkcijska!$E788,#REF!)</f>
        <v>#REF!</v>
      </c>
      <c r="L788" s="82" t="e">
        <f t="shared" si="386"/>
        <v>#REF!</v>
      </c>
      <c r="M788" s="82" t="e">
        <f t="shared" si="387"/>
        <v>#REF!</v>
      </c>
      <c r="N788" s="82" t="e">
        <f>SUMIF(#REF!,funkcijska!$E788,#REF!)</f>
        <v>#REF!</v>
      </c>
      <c r="O788" s="82" t="e">
        <f>SUMIF(#REF!,funkcijska!$E788,#REF!)</f>
        <v>#REF!</v>
      </c>
      <c r="P788" s="82" t="e">
        <f>SUMIF(#REF!,funkcijska!$E788,#REF!)</f>
        <v>#REF!</v>
      </c>
      <c r="Q788" s="386" t="e">
        <f>SUMIF(#REF!,funkcijska!$E788,#REF!)</f>
        <v>#REF!</v>
      </c>
      <c r="R788" s="82" t="e">
        <f>SUMIF(#REF!,funkcijska!$E788,#REF!)</f>
        <v>#REF!</v>
      </c>
      <c r="S788" s="82" t="e">
        <f>SUMIF(#REF!,funkcijska!$E788,#REF!)</f>
        <v>#REF!</v>
      </c>
      <c r="T788" s="82" t="e">
        <f>SUMIF(#REF!,funkcijska!$E$52,#REF!)</f>
        <v>#REF!</v>
      </c>
      <c r="U788" s="357" t="e">
        <f>SUMIF(#REF!,funkcijska!$E788,#REF!)</f>
        <v>#REF!</v>
      </c>
      <c r="V788" s="357" t="e">
        <f>SUMIF(#REF!,funkcijska!$E788,#REF!)+SUMIF(#REF!,funkcijska!$E788,#REF!)</f>
        <v>#REF!</v>
      </c>
      <c r="W788" s="357" t="e">
        <f>SUMIF(#REF!,funkcijska!$E788,#REF!)+SUMIF(#REF!,funkcijska!$E788,#REF!)</f>
        <v>#REF!</v>
      </c>
      <c r="X788" s="357" t="e">
        <f>SUMIF(#REF!,funkcijska!$E788,#REF!)+SUMIF(#REF!,funkcijska!$E788,#REF!)</f>
        <v>#REF!</v>
      </c>
      <c r="AD788" s="60"/>
      <c r="AE788" s="60"/>
      <c r="AF788" s="60"/>
      <c r="AG788" s="60"/>
      <c r="AH788" s="60"/>
      <c r="AI788" s="60"/>
      <c r="AJ788" s="60"/>
      <c r="AK788" s="60"/>
      <c r="AL788" s="60"/>
    </row>
    <row r="789" spans="1:38" ht="19.5" customHeight="1" x14ac:dyDescent="0.25">
      <c r="A789" s="125"/>
      <c r="B789" s="74"/>
      <c r="C789" s="74" t="str">
        <f>LEFT(E791,2)</f>
        <v>34</v>
      </c>
      <c r="D789" s="74"/>
      <c r="E789" s="74"/>
      <c r="F789" s="75" t="s">
        <v>208</v>
      </c>
      <c r="G789" s="77" t="e">
        <f>G790+G792</f>
        <v>#REF!</v>
      </c>
      <c r="H789" s="118" t="e">
        <f>H790+H792</f>
        <v>#REF!</v>
      </c>
      <c r="I789" s="77" t="e">
        <f>I790+I792</f>
        <v>#REF!</v>
      </c>
      <c r="J789" s="77" t="e">
        <f>J790+J792</f>
        <v>#REF!</v>
      </c>
      <c r="K789" s="77" t="e">
        <f>K790+K792</f>
        <v>#REF!</v>
      </c>
      <c r="L789" s="77" t="e">
        <f t="shared" si="386"/>
        <v>#REF!</v>
      </c>
      <c r="M789" s="77" t="e">
        <f t="shared" si="387"/>
        <v>#REF!</v>
      </c>
      <c r="N789" s="77" t="e">
        <f t="shared" ref="N789:X789" si="388">N790+N792</f>
        <v>#REF!</v>
      </c>
      <c r="O789" s="76" t="e">
        <f t="shared" si="388"/>
        <v>#REF!</v>
      </c>
      <c r="P789" s="76" t="e">
        <f t="shared" si="388"/>
        <v>#REF!</v>
      </c>
      <c r="Q789" s="385" t="e">
        <f t="shared" si="388"/>
        <v>#REF!</v>
      </c>
      <c r="R789" s="135" t="e">
        <f t="shared" si="388"/>
        <v>#REF!</v>
      </c>
      <c r="S789" s="135" t="e">
        <f t="shared" si="388"/>
        <v>#REF!</v>
      </c>
      <c r="T789" s="135" t="e">
        <f t="shared" si="388"/>
        <v>#REF!</v>
      </c>
      <c r="U789" s="356" t="e">
        <f t="shared" si="388"/>
        <v>#REF!</v>
      </c>
      <c r="V789" s="356" t="e">
        <f t="shared" si="388"/>
        <v>#REF!</v>
      </c>
      <c r="W789" s="356" t="e">
        <f t="shared" si="388"/>
        <v>#REF!</v>
      </c>
      <c r="X789" s="356" t="e">
        <f t="shared" si="388"/>
        <v>#REF!</v>
      </c>
      <c r="AD789" s="60"/>
      <c r="AE789" s="60"/>
      <c r="AF789" s="60"/>
      <c r="AG789" s="60"/>
      <c r="AH789" s="60"/>
      <c r="AI789" s="60"/>
      <c r="AJ789" s="60"/>
      <c r="AK789" s="60"/>
      <c r="AL789" s="60"/>
    </row>
    <row r="790" spans="1:38" s="373" customFormat="1" ht="22.5" customHeight="1" x14ac:dyDescent="0.25">
      <c r="A790" s="119"/>
      <c r="B790" s="119"/>
      <c r="C790" s="119"/>
      <c r="D790" s="119" t="str">
        <f>LEFT(E791,3)</f>
        <v>342</v>
      </c>
      <c r="E790" s="119"/>
      <c r="F790" s="368" t="s">
        <v>631</v>
      </c>
      <c r="G790" s="369" t="e">
        <f>G791</f>
        <v>#REF!</v>
      </c>
      <c r="H790" s="370" t="e">
        <f>H791</f>
        <v>#REF!</v>
      </c>
      <c r="I790" s="369" t="e">
        <f>I791</f>
        <v>#REF!</v>
      </c>
      <c r="J790" s="369" t="e">
        <f>J791</f>
        <v>#REF!</v>
      </c>
      <c r="K790" s="369" t="e">
        <f>K791</f>
        <v>#REF!</v>
      </c>
      <c r="L790" s="369" t="e">
        <f t="shared" si="386"/>
        <v>#REF!</v>
      </c>
      <c r="M790" s="369" t="e">
        <f t="shared" si="387"/>
        <v>#REF!</v>
      </c>
      <c r="N790" s="369" t="e">
        <f t="shared" ref="N790:X790" si="389">N791</f>
        <v>#REF!</v>
      </c>
      <c r="O790" s="137" t="e">
        <f t="shared" si="389"/>
        <v>#REF!</v>
      </c>
      <c r="P790" s="137" t="e">
        <f t="shared" si="389"/>
        <v>#REF!</v>
      </c>
      <c r="Q790" s="393" t="e">
        <f t="shared" si="389"/>
        <v>#REF!</v>
      </c>
      <c r="R790" s="137" t="e">
        <f t="shared" si="389"/>
        <v>#REF!</v>
      </c>
      <c r="S790" s="137" t="e">
        <f t="shared" si="389"/>
        <v>#REF!</v>
      </c>
      <c r="T790" s="137" t="e">
        <f t="shared" si="389"/>
        <v>#REF!</v>
      </c>
      <c r="U790" s="371" t="e">
        <f t="shared" si="389"/>
        <v>#REF!</v>
      </c>
      <c r="V790" s="371" t="e">
        <f t="shared" si="389"/>
        <v>#REF!</v>
      </c>
      <c r="W790" s="371" t="e">
        <f t="shared" si="389"/>
        <v>#REF!</v>
      </c>
      <c r="X790" s="371" t="e">
        <f t="shared" si="389"/>
        <v>#REF!</v>
      </c>
      <c r="Y790" s="372"/>
      <c r="Z790" s="372"/>
      <c r="AA790" s="372"/>
      <c r="AB790" s="372"/>
      <c r="AC790" s="372"/>
      <c r="AD790" s="372"/>
      <c r="AE790" s="372"/>
      <c r="AF790" s="372"/>
      <c r="AG790" s="372"/>
      <c r="AH790" s="372"/>
      <c r="AI790" s="372"/>
      <c r="AJ790" s="372"/>
      <c r="AK790" s="372"/>
      <c r="AL790" s="372"/>
    </row>
    <row r="791" spans="1:38" ht="38.25" customHeight="1" x14ac:dyDescent="0.25">
      <c r="A791" s="80"/>
      <c r="B791" s="80"/>
      <c r="C791" s="80"/>
      <c r="D791" s="80"/>
      <c r="E791" s="80">
        <v>3422</v>
      </c>
      <c r="F791" s="81" t="s">
        <v>358</v>
      </c>
      <c r="G791" s="82" t="e">
        <f>SUMIF(#REF!,funkcijska!$E791,#REF!)</f>
        <v>#REF!</v>
      </c>
      <c r="H791" s="82" t="e">
        <f>SUMIF(#REF!,funkcijska!$E791,#REF!)</f>
        <v>#REF!</v>
      </c>
      <c r="I791" s="82" t="e">
        <f>SUMIF(#REF!,funkcijska!$E791,#REF!)</f>
        <v>#REF!</v>
      </c>
      <c r="J791" s="82" t="e">
        <f>SUMIF(#REF!,funkcijska!$E791,#REF!)</f>
        <v>#REF!</v>
      </c>
      <c r="K791" s="82" t="e">
        <f>SUMIF(#REF!,funkcijska!$E791,#REF!)</f>
        <v>#REF!</v>
      </c>
      <c r="L791" s="82" t="e">
        <f t="shared" si="386"/>
        <v>#REF!</v>
      </c>
      <c r="M791" s="82" t="e">
        <f t="shared" si="387"/>
        <v>#REF!</v>
      </c>
      <c r="N791" s="82" t="e">
        <f>SUMIF(#REF!,funkcijska!$E791,#REF!)</f>
        <v>#REF!</v>
      </c>
      <c r="O791" s="82" t="e">
        <f>SUMIF(#REF!,funkcijska!$E791,#REF!)</f>
        <v>#REF!</v>
      </c>
      <c r="P791" s="82" t="e">
        <f>SUMIF(#REF!,funkcijska!$E791,#REF!)</f>
        <v>#REF!</v>
      </c>
      <c r="Q791" s="386" t="e">
        <f>SUMIF(#REF!,funkcijska!$E791,#REF!)</f>
        <v>#REF!</v>
      </c>
      <c r="R791" s="82" t="e">
        <f>SUMIF(#REF!,funkcijska!$E791,#REF!)</f>
        <v>#REF!</v>
      </c>
      <c r="S791" s="82" t="e">
        <f>SUMIF(#REF!,funkcijska!$E791,#REF!)</f>
        <v>#REF!</v>
      </c>
      <c r="T791" s="82" t="e">
        <f>SUMIF(#REF!,funkcijska!$E$55,#REF!)</f>
        <v>#REF!</v>
      </c>
      <c r="U791" s="357" t="e">
        <f>SUMIF(#REF!,funkcijska!$E791,#REF!)</f>
        <v>#REF!</v>
      </c>
      <c r="V791" s="357" t="e">
        <f>SUMIF(#REF!,funkcijska!$E791,#REF!)+SUMIF(#REF!,funkcijska!$E791,#REF!)</f>
        <v>#REF!</v>
      </c>
      <c r="W791" s="357" t="e">
        <f>SUMIF(#REF!,funkcijska!$E791,#REF!)+SUMIF(#REF!,funkcijska!$E791,#REF!)</f>
        <v>#REF!</v>
      </c>
      <c r="X791" s="357" t="e">
        <f>SUMIF(#REF!,funkcijska!$E791,#REF!)+SUMIF(#REF!,funkcijska!$E791,#REF!)</f>
        <v>#REF!</v>
      </c>
      <c r="AD791" s="60"/>
      <c r="AE791" s="60"/>
      <c r="AF791" s="60"/>
      <c r="AG791" s="60"/>
      <c r="AH791" s="60"/>
      <c r="AI791" s="60"/>
      <c r="AJ791" s="60"/>
      <c r="AK791" s="60"/>
      <c r="AL791" s="60"/>
    </row>
    <row r="792" spans="1:38" s="373" customFormat="1" ht="17.25" customHeight="1" x14ac:dyDescent="0.25">
      <c r="A792" s="119"/>
      <c r="B792" s="119"/>
      <c r="C792" s="119"/>
      <c r="D792" s="119" t="str">
        <f>LEFT(E793,3)</f>
        <v>343</v>
      </c>
      <c r="E792" s="119"/>
      <c r="F792" s="368" t="s">
        <v>209</v>
      </c>
      <c r="G792" s="369" t="e">
        <f t="shared" ref="G792:X792" si="390">SUM(G793:G795)</f>
        <v>#REF!</v>
      </c>
      <c r="H792" s="370" t="e">
        <f t="shared" si="390"/>
        <v>#REF!</v>
      </c>
      <c r="I792" s="369" t="e">
        <f t="shared" si="390"/>
        <v>#REF!</v>
      </c>
      <c r="J792" s="369" t="e">
        <f t="shared" si="390"/>
        <v>#REF!</v>
      </c>
      <c r="K792" s="369" t="e">
        <f t="shared" si="390"/>
        <v>#REF!</v>
      </c>
      <c r="L792" s="369" t="e">
        <f t="shared" si="390"/>
        <v>#REF!</v>
      </c>
      <c r="M792" s="369" t="e">
        <f t="shared" si="390"/>
        <v>#REF!</v>
      </c>
      <c r="N792" s="369" t="e">
        <f t="shared" si="390"/>
        <v>#REF!</v>
      </c>
      <c r="O792" s="369" t="e">
        <f t="shared" si="390"/>
        <v>#REF!</v>
      </c>
      <c r="P792" s="369" t="e">
        <f t="shared" si="390"/>
        <v>#REF!</v>
      </c>
      <c r="Q792" s="392" t="e">
        <f t="shared" si="390"/>
        <v>#REF!</v>
      </c>
      <c r="R792" s="369" t="e">
        <f t="shared" si="390"/>
        <v>#REF!</v>
      </c>
      <c r="S792" s="369" t="e">
        <f t="shared" si="390"/>
        <v>#REF!</v>
      </c>
      <c r="T792" s="369" t="e">
        <f t="shared" si="390"/>
        <v>#REF!</v>
      </c>
      <c r="U792" s="371" t="e">
        <f t="shared" si="390"/>
        <v>#REF!</v>
      </c>
      <c r="V792" s="371" t="e">
        <f t="shared" si="390"/>
        <v>#REF!</v>
      </c>
      <c r="W792" s="371" t="e">
        <f t="shared" si="390"/>
        <v>#REF!</v>
      </c>
      <c r="X792" s="371" t="e">
        <f t="shared" si="390"/>
        <v>#REF!</v>
      </c>
      <c r="Y792" s="372"/>
      <c r="Z792" s="372"/>
      <c r="AA792" s="372"/>
      <c r="AB792" s="372"/>
      <c r="AC792" s="372"/>
      <c r="AD792" s="372"/>
      <c r="AE792" s="372"/>
      <c r="AF792" s="372"/>
      <c r="AG792" s="372"/>
      <c r="AH792" s="372"/>
      <c r="AI792" s="372"/>
      <c r="AJ792" s="372"/>
      <c r="AK792" s="372"/>
      <c r="AL792" s="372"/>
    </row>
    <row r="793" spans="1:38" ht="18.75" customHeight="1" x14ac:dyDescent="0.25">
      <c r="A793" s="80"/>
      <c r="B793" s="80"/>
      <c r="C793" s="80"/>
      <c r="D793" s="80"/>
      <c r="E793" s="80">
        <v>3431</v>
      </c>
      <c r="F793" s="81" t="s">
        <v>211</v>
      </c>
      <c r="G793" s="82" t="e">
        <f>SUMIF(#REF!,funkcijska!$E793,#REF!)</f>
        <v>#REF!</v>
      </c>
      <c r="H793" s="82" t="e">
        <f>SUMIF(#REF!,funkcijska!$E793,#REF!)</f>
        <v>#REF!</v>
      </c>
      <c r="I793" s="82" t="e">
        <f>SUMIF(#REF!,funkcijska!$E793,#REF!)</f>
        <v>#REF!</v>
      </c>
      <c r="J793" s="82" t="e">
        <f>SUMIF(#REF!,funkcijska!$E793,#REF!)</f>
        <v>#REF!</v>
      </c>
      <c r="K793" s="82" t="e">
        <f>SUMIF(#REF!,funkcijska!$E793,#REF!)</f>
        <v>#REF!</v>
      </c>
      <c r="L793" s="82" t="e">
        <f>ROUND(K793/J793*100,2)</f>
        <v>#REF!</v>
      </c>
      <c r="M793" s="82" t="e">
        <f>N793-J793</f>
        <v>#REF!</v>
      </c>
      <c r="N793" s="82" t="e">
        <f>SUMIF(#REF!,funkcijska!$E793,#REF!)</f>
        <v>#REF!</v>
      </c>
      <c r="O793" s="82" t="e">
        <f>SUMIF(#REF!,funkcijska!$E793,#REF!)</f>
        <v>#REF!</v>
      </c>
      <c r="P793" s="82" t="e">
        <f>SUMIF(#REF!,funkcijska!$E793,#REF!)</f>
        <v>#REF!</v>
      </c>
      <c r="Q793" s="386" t="e">
        <f>SUMIF(#REF!,funkcijska!$E793,#REF!)</f>
        <v>#REF!</v>
      </c>
      <c r="R793" s="82" t="e">
        <f>SUMIF(#REF!,funkcijska!$E793,#REF!)</f>
        <v>#REF!</v>
      </c>
      <c r="S793" s="82" t="e">
        <f>SUMIF(#REF!,funkcijska!$E793,#REF!)</f>
        <v>#REF!</v>
      </c>
      <c r="T793" s="82" t="e">
        <f>SUMIF(#REF!,funkcijska!$E$57,#REF!)</f>
        <v>#REF!</v>
      </c>
      <c r="U793" s="357" t="e">
        <f>SUMIF(#REF!,funkcijska!$E793,#REF!)</f>
        <v>#REF!</v>
      </c>
      <c r="V793" s="357" t="e">
        <f>SUMIF(#REF!,funkcijska!$E793,#REF!)+SUMIF(#REF!,funkcijska!$E793,#REF!)</f>
        <v>#REF!</v>
      </c>
      <c r="W793" s="357" t="e">
        <f>SUMIF(#REF!,funkcijska!$E793,#REF!)+SUMIF(#REF!,funkcijska!$E793,#REF!)</f>
        <v>#REF!</v>
      </c>
      <c r="X793" s="357" t="e">
        <f>SUMIF(#REF!,funkcijska!$E793,#REF!)+SUMIF(#REF!,funkcijska!$E793,#REF!)</f>
        <v>#REF!</v>
      </c>
      <c r="AD793" s="60"/>
      <c r="AE793" s="60"/>
      <c r="AF793" s="60"/>
      <c r="AG793" s="60"/>
      <c r="AH793" s="60"/>
      <c r="AI793" s="60"/>
      <c r="AJ793" s="60"/>
      <c r="AK793" s="60"/>
      <c r="AL793" s="60"/>
    </row>
    <row r="794" spans="1:38" ht="18.75" customHeight="1" x14ac:dyDescent="0.25">
      <c r="A794" s="80"/>
      <c r="B794" s="80"/>
      <c r="C794" s="80"/>
      <c r="D794" s="80"/>
      <c r="E794" s="80">
        <v>3433</v>
      </c>
      <c r="F794" s="81" t="s">
        <v>402</v>
      </c>
      <c r="G794" s="82" t="e">
        <f>SUMIF(#REF!,funkcijska!$E794,#REF!)</f>
        <v>#REF!</v>
      </c>
      <c r="H794" s="82" t="e">
        <f>SUMIF(#REF!,funkcijska!$E794,#REF!)</f>
        <v>#REF!</v>
      </c>
      <c r="I794" s="82" t="e">
        <f>SUMIF(#REF!,funkcijska!$E794,#REF!)</f>
        <v>#REF!</v>
      </c>
      <c r="J794" s="82" t="e">
        <f>SUMIF(#REF!,funkcijska!$E794,#REF!)</f>
        <v>#REF!</v>
      </c>
      <c r="K794" s="82" t="e">
        <f>SUMIF(#REF!,funkcijska!$E794,#REF!)</f>
        <v>#REF!</v>
      </c>
      <c r="L794" s="82" t="e">
        <f>ROUND(K794/J794*100,2)</f>
        <v>#REF!</v>
      </c>
      <c r="M794" s="82" t="e">
        <f>N794-J794</f>
        <v>#REF!</v>
      </c>
      <c r="N794" s="82" t="e">
        <f>SUMIF(#REF!,funkcijska!$E794,#REF!)</f>
        <v>#REF!</v>
      </c>
      <c r="O794" s="82" t="e">
        <f>SUMIF(#REF!,funkcijska!$E794,#REF!)</f>
        <v>#REF!</v>
      </c>
      <c r="P794" s="82" t="e">
        <f>SUMIF(#REF!,funkcijska!$E794,#REF!)</f>
        <v>#REF!</v>
      </c>
      <c r="Q794" s="386" t="e">
        <f>SUMIF(#REF!,funkcijska!$E794,#REF!)</f>
        <v>#REF!</v>
      </c>
      <c r="R794" s="82" t="e">
        <f>SUMIF(#REF!,funkcijska!$E794,#REF!)</f>
        <v>#REF!</v>
      </c>
      <c r="S794" s="82" t="e">
        <f>SUMIF(#REF!,funkcijska!$E794,#REF!)</f>
        <v>#REF!</v>
      </c>
      <c r="T794" s="82" t="e">
        <f>SUMIF(#REF!,funkcijska!$E$58,#REF!)</f>
        <v>#REF!</v>
      </c>
      <c r="U794" s="357" t="e">
        <f>SUMIF(#REF!,funkcijska!$E794,#REF!)</f>
        <v>#REF!</v>
      </c>
      <c r="V794" s="357" t="e">
        <f>SUMIF(#REF!,funkcijska!$E794,#REF!)+SUMIF(#REF!,funkcijska!$E794,#REF!)</f>
        <v>#REF!</v>
      </c>
      <c r="W794" s="357" t="e">
        <f>SUMIF(#REF!,funkcijska!$E794,#REF!)+SUMIF(#REF!,funkcijska!$E794,#REF!)</f>
        <v>#REF!</v>
      </c>
      <c r="X794" s="357" t="e">
        <f>SUMIF(#REF!,funkcijska!$E794,#REF!)+SUMIF(#REF!,funkcijska!$E794,#REF!)</f>
        <v>#REF!</v>
      </c>
      <c r="AD794" s="60"/>
      <c r="AE794" s="60"/>
      <c r="AF794" s="60"/>
      <c r="AG794" s="60"/>
      <c r="AH794" s="60"/>
      <c r="AI794" s="60"/>
      <c r="AJ794" s="60"/>
      <c r="AK794" s="60"/>
      <c r="AL794" s="60"/>
    </row>
    <row r="795" spans="1:38" ht="24" customHeight="1" x14ac:dyDescent="0.25">
      <c r="A795" s="80"/>
      <c r="B795" s="80"/>
      <c r="C795" s="80"/>
      <c r="D795" s="80"/>
      <c r="E795" s="80">
        <v>3434</v>
      </c>
      <c r="F795" s="81" t="s">
        <v>403</v>
      </c>
      <c r="G795" s="82" t="e">
        <f>SUMIF(#REF!,funkcijska!$E795,#REF!)</f>
        <v>#REF!</v>
      </c>
      <c r="H795" s="82" t="e">
        <f>SUMIF(#REF!,funkcijska!$E795,#REF!)</f>
        <v>#REF!</v>
      </c>
      <c r="I795" s="82" t="e">
        <f>SUMIF(#REF!,funkcijska!$E795,#REF!)</f>
        <v>#REF!</v>
      </c>
      <c r="J795" s="82" t="e">
        <f>SUMIF(#REF!,funkcijska!$E795,#REF!)</f>
        <v>#REF!</v>
      </c>
      <c r="K795" s="82" t="e">
        <f>SUMIF(#REF!,funkcijska!$E795,#REF!)</f>
        <v>#REF!</v>
      </c>
      <c r="L795" s="82" t="e">
        <f>ROUND(K795/J795*100,2)</f>
        <v>#REF!</v>
      </c>
      <c r="M795" s="82" t="e">
        <f>N795-J795</f>
        <v>#REF!</v>
      </c>
      <c r="N795" s="82" t="e">
        <f>SUMIF(#REF!,funkcijska!$E795,#REF!)</f>
        <v>#REF!</v>
      </c>
      <c r="O795" s="82" t="e">
        <f>SUMIF(#REF!,funkcijska!$E795,#REF!)</f>
        <v>#REF!</v>
      </c>
      <c r="P795" s="82" t="e">
        <f>SUMIF(#REF!,funkcijska!$E795,#REF!)</f>
        <v>#REF!</v>
      </c>
      <c r="Q795" s="386" t="e">
        <f>SUMIF(#REF!,funkcijska!$E795,#REF!)</f>
        <v>#REF!</v>
      </c>
      <c r="R795" s="82" t="e">
        <f>SUMIF(#REF!,funkcijska!$E795,#REF!)</f>
        <v>#REF!</v>
      </c>
      <c r="S795" s="82" t="e">
        <f>SUMIF(#REF!,funkcijska!$E795,#REF!)</f>
        <v>#REF!</v>
      </c>
      <c r="T795" s="82" t="e">
        <f>SUMIF(#REF!,funkcijska!$E$59,#REF!)</f>
        <v>#REF!</v>
      </c>
      <c r="U795" s="357" t="e">
        <f>SUMIF(#REF!,funkcijska!$E795,#REF!)</f>
        <v>#REF!</v>
      </c>
      <c r="V795" s="357" t="e">
        <f>SUMIF(#REF!,funkcijska!$E795,#REF!)+SUMIF(#REF!,funkcijska!$E795,#REF!)</f>
        <v>#REF!</v>
      </c>
      <c r="W795" s="357" t="e">
        <f>SUMIF(#REF!,funkcijska!$E795,#REF!)+SUMIF(#REF!,funkcijska!$E795,#REF!)</f>
        <v>#REF!</v>
      </c>
      <c r="X795" s="357" t="e">
        <f>SUMIF(#REF!,funkcijska!$E795,#REF!)+SUMIF(#REF!,funkcijska!$E795,#REF!)</f>
        <v>#REF!</v>
      </c>
      <c r="AD795" s="60"/>
      <c r="AE795" s="60"/>
      <c r="AF795" s="60"/>
      <c r="AG795" s="60"/>
      <c r="AH795" s="60"/>
      <c r="AI795" s="60"/>
      <c r="AJ795" s="60"/>
      <c r="AK795" s="60"/>
      <c r="AL795" s="60"/>
    </row>
    <row r="796" spans="1:38" ht="18" customHeight="1" x14ac:dyDescent="0.25">
      <c r="A796" s="125"/>
      <c r="B796" s="74"/>
      <c r="C796" s="74" t="str">
        <f>LEFT(E802,2)</f>
        <v>35</v>
      </c>
      <c r="D796" s="74"/>
      <c r="E796" s="74"/>
      <c r="F796" s="75" t="s">
        <v>747</v>
      </c>
      <c r="G796" s="77" t="e">
        <f>G797+G800</f>
        <v>#REF!</v>
      </c>
      <c r="H796" s="118" t="e">
        <f>H797+H800</f>
        <v>#REF!</v>
      </c>
      <c r="I796" s="77" t="e">
        <f>I797+I800</f>
        <v>#REF!</v>
      </c>
      <c r="J796" s="77" t="e">
        <f>J797+J800</f>
        <v>#REF!</v>
      </c>
      <c r="K796" s="77" t="e">
        <f>K797+K800</f>
        <v>#REF!</v>
      </c>
      <c r="L796" s="77" t="e">
        <f>ROUND(K796/J796*100,2)</f>
        <v>#REF!</v>
      </c>
      <c r="M796" s="77" t="e">
        <f>N796-J796</f>
        <v>#REF!</v>
      </c>
      <c r="N796" s="77" t="e">
        <f t="shared" ref="N796:X796" si="391">N797+N800</f>
        <v>#REF!</v>
      </c>
      <c r="O796" s="76" t="e">
        <f t="shared" si="391"/>
        <v>#REF!</v>
      </c>
      <c r="P796" s="76" t="e">
        <f t="shared" si="391"/>
        <v>#REF!</v>
      </c>
      <c r="Q796" s="385" t="e">
        <f t="shared" si="391"/>
        <v>#REF!</v>
      </c>
      <c r="R796" s="135" t="e">
        <f t="shared" si="391"/>
        <v>#REF!</v>
      </c>
      <c r="S796" s="135" t="e">
        <f t="shared" si="391"/>
        <v>#REF!</v>
      </c>
      <c r="T796" s="135" t="e">
        <f t="shared" si="391"/>
        <v>#REF!</v>
      </c>
      <c r="U796" s="356" t="e">
        <f t="shared" si="391"/>
        <v>#REF!</v>
      </c>
      <c r="V796" s="356" t="e">
        <f t="shared" si="391"/>
        <v>#REF!</v>
      </c>
      <c r="W796" s="356" t="e">
        <f t="shared" si="391"/>
        <v>#REF!</v>
      </c>
      <c r="X796" s="356" t="e">
        <f t="shared" si="391"/>
        <v>#REF!</v>
      </c>
      <c r="AD796" s="60"/>
      <c r="AE796" s="60"/>
      <c r="AF796" s="60"/>
      <c r="AG796" s="60"/>
      <c r="AH796" s="60"/>
      <c r="AI796" s="60"/>
      <c r="AJ796" s="60"/>
      <c r="AK796" s="60"/>
      <c r="AL796" s="60"/>
    </row>
    <row r="797" spans="1:38" s="373" customFormat="1" ht="20.25" customHeight="1" x14ac:dyDescent="0.25">
      <c r="A797" s="119"/>
      <c r="B797" s="119"/>
      <c r="C797" s="119"/>
      <c r="D797" s="119" t="s">
        <v>1018</v>
      </c>
      <c r="E797" s="119"/>
      <c r="F797" s="368" t="s">
        <v>752</v>
      </c>
      <c r="G797" s="369" t="e">
        <f>G798</f>
        <v>#REF!</v>
      </c>
      <c r="H797" s="370" t="e">
        <f>H798</f>
        <v>#REF!</v>
      </c>
      <c r="I797" s="369" t="e">
        <f t="shared" ref="I797:X797" si="392">I798+I799</f>
        <v>#REF!</v>
      </c>
      <c r="J797" s="369" t="e">
        <f t="shared" si="392"/>
        <v>#REF!</v>
      </c>
      <c r="K797" s="369" t="e">
        <f t="shared" si="392"/>
        <v>#REF!</v>
      </c>
      <c r="L797" s="369" t="e">
        <f t="shared" si="392"/>
        <v>#REF!</v>
      </c>
      <c r="M797" s="369" t="e">
        <f t="shared" si="392"/>
        <v>#REF!</v>
      </c>
      <c r="N797" s="369" t="e">
        <f t="shared" si="392"/>
        <v>#REF!</v>
      </c>
      <c r="O797" s="369" t="e">
        <f t="shared" si="392"/>
        <v>#REF!</v>
      </c>
      <c r="P797" s="369" t="e">
        <f t="shared" si="392"/>
        <v>#REF!</v>
      </c>
      <c r="Q797" s="392" t="e">
        <f t="shared" si="392"/>
        <v>#REF!</v>
      </c>
      <c r="R797" s="369" t="e">
        <f t="shared" si="392"/>
        <v>#REF!</v>
      </c>
      <c r="S797" s="369" t="e">
        <f t="shared" si="392"/>
        <v>#REF!</v>
      </c>
      <c r="T797" s="369" t="e">
        <f t="shared" si="392"/>
        <v>#REF!</v>
      </c>
      <c r="U797" s="371" t="e">
        <f t="shared" si="392"/>
        <v>#REF!</v>
      </c>
      <c r="V797" s="371" t="e">
        <f t="shared" si="392"/>
        <v>#REF!</v>
      </c>
      <c r="W797" s="371" t="e">
        <f t="shared" si="392"/>
        <v>#REF!</v>
      </c>
      <c r="X797" s="371" t="e">
        <f t="shared" si="392"/>
        <v>#REF!</v>
      </c>
      <c r="Y797" s="372"/>
      <c r="Z797" s="372"/>
      <c r="AA797" s="372"/>
      <c r="AB797" s="372"/>
      <c r="AC797" s="372"/>
      <c r="AD797" s="372"/>
      <c r="AE797" s="372"/>
      <c r="AF797" s="372"/>
      <c r="AG797" s="372"/>
      <c r="AH797" s="372"/>
      <c r="AI797" s="372"/>
      <c r="AJ797" s="372"/>
      <c r="AK797" s="372"/>
      <c r="AL797" s="372"/>
    </row>
    <row r="798" spans="1:38" ht="54.75" customHeight="1" x14ac:dyDescent="0.25">
      <c r="A798" s="80"/>
      <c r="B798" s="80"/>
      <c r="C798" s="80"/>
      <c r="D798" s="80"/>
      <c r="E798" s="80">
        <v>3511</v>
      </c>
      <c r="F798" s="81" t="s">
        <v>323</v>
      </c>
      <c r="G798" s="82" t="e">
        <f>SUMIF(#REF!,funkcijska!$E798,#REF!)</f>
        <v>#REF!</v>
      </c>
      <c r="H798" s="82" t="e">
        <f>SUMIF(#REF!,funkcijska!$E798,#REF!)</f>
        <v>#REF!</v>
      </c>
      <c r="I798" s="82" t="e">
        <f>SUMIF(#REF!,funkcijska!$E798,#REF!)</f>
        <v>#REF!</v>
      </c>
      <c r="J798" s="82" t="e">
        <f>SUMIF(#REF!,funkcijska!$E798,#REF!)</f>
        <v>#REF!</v>
      </c>
      <c r="K798" s="82" t="e">
        <f>SUMIF(#REF!,funkcijska!$E798,#REF!)</f>
        <v>#REF!</v>
      </c>
      <c r="L798" s="82" t="e">
        <f>ROUND(K798/J798*100,2)</f>
        <v>#REF!</v>
      </c>
      <c r="M798" s="82" t="e">
        <f>N798-J798</f>
        <v>#REF!</v>
      </c>
      <c r="N798" s="82" t="e">
        <f>SUMIF(#REF!,funkcijska!$E798,#REF!)</f>
        <v>#REF!</v>
      </c>
      <c r="O798" s="82" t="e">
        <f>SUMIF(#REF!,funkcijska!$E798,#REF!)</f>
        <v>#REF!</v>
      </c>
      <c r="P798" s="82" t="e">
        <f>SUMIF(#REF!,funkcijska!$E798,#REF!)</f>
        <v>#REF!</v>
      </c>
      <c r="Q798" s="386" t="e">
        <f>SUMIF(#REF!,funkcijska!$E798,#REF!)</f>
        <v>#REF!</v>
      </c>
      <c r="R798" s="82" t="e">
        <f>SUMIF(#REF!,funkcijska!$E798,#REF!)</f>
        <v>#REF!</v>
      </c>
      <c r="S798" s="82" t="e">
        <f>SUMIF(#REF!,funkcijska!$E798,#REF!)</f>
        <v>#REF!</v>
      </c>
      <c r="T798" s="82" t="e">
        <f>SUMIF(#REF!,funkcijska!$E$62,#REF!)</f>
        <v>#REF!</v>
      </c>
      <c r="U798" s="357" t="e">
        <f>SUMIF(#REF!,funkcijska!$E798,#REF!)</f>
        <v>#REF!</v>
      </c>
      <c r="V798" s="357" t="e">
        <f>SUMIF(#REF!,funkcijska!$E798,#REF!)+SUMIF(#REF!,funkcijska!$E798,#REF!)</f>
        <v>#REF!</v>
      </c>
      <c r="W798" s="357" t="e">
        <f>SUMIF(#REF!,funkcijska!$E798,#REF!)+SUMIF(#REF!,funkcijska!$E798,#REF!)</f>
        <v>#REF!</v>
      </c>
      <c r="X798" s="357" t="e">
        <f>SUMIF(#REF!,funkcijska!$E798,#REF!)+SUMIF(#REF!,funkcijska!$E798,#REF!)</f>
        <v>#REF!</v>
      </c>
      <c r="AD798" s="60"/>
      <c r="AE798" s="60"/>
      <c r="AF798" s="60"/>
      <c r="AG798" s="60"/>
      <c r="AH798" s="60"/>
      <c r="AI798" s="60"/>
      <c r="AJ798" s="60"/>
      <c r="AK798" s="60"/>
      <c r="AL798" s="60"/>
    </row>
    <row r="799" spans="1:38" ht="23.25" customHeight="1" x14ac:dyDescent="0.25">
      <c r="A799" s="80"/>
      <c r="B799" s="80"/>
      <c r="C799" s="80"/>
      <c r="D799" s="80"/>
      <c r="E799" s="136">
        <v>3512</v>
      </c>
      <c r="F799" s="81" t="s">
        <v>752</v>
      </c>
      <c r="G799" s="82" t="e">
        <f>SUMIF(#REF!,funkcijska!$E799,#REF!)</f>
        <v>#REF!</v>
      </c>
      <c r="H799" s="82" t="e">
        <f>SUMIF(#REF!,funkcijska!$E799,#REF!)</f>
        <v>#REF!</v>
      </c>
      <c r="I799" s="82" t="e">
        <f>SUMIF(#REF!,funkcijska!$E799,#REF!)</f>
        <v>#REF!</v>
      </c>
      <c r="J799" s="82" t="e">
        <f>SUMIF(#REF!,funkcijska!$E799,#REF!)</f>
        <v>#REF!</v>
      </c>
      <c r="K799" s="82" t="e">
        <f>SUMIF(#REF!,funkcijska!$E799,#REF!)</f>
        <v>#REF!</v>
      </c>
      <c r="L799" s="82" t="e">
        <f>ROUND(K799/J799*100,2)</f>
        <v>#REF!</v>
      </c>
      <c r="M799" s="82" t="e">
        <f>N799-J799</f>
        <v>#REF!</v>
      </c>
      <c r="N799" s="82" t="e">
        <f>SUMIF(#REF!,funkcijska!$E799,#REF!)</f>
        <v>#REF!</v>
      </c>
      <c r="O799" s="82" t="e">
        <f>SUMIF(#REF!,funkcijska!$E799,#REF!)</f>
        <v>#REF!</v>
      </c>
      <c r="P799" s="82" t="e">
        <f>SUMIF(#REF!,funkcijska!$E799,#REF!)</f>
        <v>#REF!</v>
      </c>
      <c r="Q799" s="386" t="e">
        <f>SUMIF(#REF!,funkcijska!$E799,#REF!)</f>
        <v>#REF!</v>
      </c>
      <c r="R799" s="82" t="e">
        <f>SUMIF(#REF!,funkcijska!$E799,#REF!)</f>
        <v>#REF!</v>
      </c>
      <c r="S799" s="82" t="e">
        <f>SUMIF(#REF!,funkcijska!$E799,#REF!)</f>
        <v>#REF!</v>
      </c>
      <c r="T799" s="82" t="e">
        <f>SUMIF(#REF!,funkcijska!$E$63,#REF!)</f>
        <v>#REF!</v>
      </c>
      <c r="U799" s="357" t="e">
        <f>SUMIF(#REF!,funkcijska!$E799,#REF!)</f>
        <v>#REF!</v>
      </c>
      <c r="V799" s="357" t="e">
        <f>SUMIF(#REF!,funkcijska!$E799,#REF!)+SUMIF(#REF!,funkcijska!$E799,#REF!)</f>
        <v>#REF!</v>
      </c>
      <c r="W799" s="357" t="e">
        <f>SUMIF(#REF!,funkcijska!$E799,#REF!)+SUMIF(#REF!,funkcijska!$E799,#REF!)</f>
        <v>#REF!</v>
      </c>
      <c r="X799" s="357" t="e">
        <f>SUMIF(#REF!,funkcijska!$E799,#REF!)+SUMIF(#REF!,funkcijska!$E799,#REF!)</f>
        <v>#REF!</v>
      </c>
      <c r="AD799" s="60"/>
      <c r="AE799" s="60"/>
      <c r="AF799" s="60"/>
      <c r="AG799" s="60"/>
      <c r="AH799" s="60"/>
      <c r="AI799" s="60"/>
      <c r="AJ799" s="60"/>
      <c r="AK799" s="60"/>
      <c r="AL799" s="60"/>
    </row>
    <row r="800" spans="1:38" s="373" customFormat="1" ht="54.75" customHeight="1" x14ac:dyDescent="0.25">
      <c r="A800" s="119"/>
      <c r="B800" s="119"/>
      <c r="C800" s="119"/>
      <c r="D800" s="119" t="str">
        <f>LEFT(E802,3)</f>
        <v>352</v>
      </c>
      <c r="E800" s="119"/>
      <c r="F800" s="368" t="s">
        <v>748</v>
      </c>
      <c r="G800" s="137" t="e">
        <f t="shared" ref="G800:X800" si="393">G802+G801</f>
        <v>#REF!</v>
      </c>
      <c r="H800" s="137" t="e">
        <f t="shared" si="393"/>
        <v>#REF!</v>
      </c>
      <c r="I800" s="137" t="e">
        <f t="shared" si="393"/>
        <v>#REF!</v>
      </c>
      <c r="J800" s="137" t="e">
        <f t="shared" si="393"/>
        <v>#REF!</v>
      </c>
      <c r="K800" s="137" t="e">
        <f t="shared" si="393"/>
        <v>#REF!</v>
      </c>
      <c r="L800" s="137" t="e">
        <f t="shared" si="393"/>
        <v>#REF!</v>
      </c>
      <c r="M800" s="137" t="e">
        <f t="shared" si="393"/>
        <v>#REF!</v>
      </c>
      <c r="N800" s="137" t="e">
        <f t="shared" si="393"/>
        <v>#REF!</v>
      </c>
      <c r="O800" s="137" t="e">
        <f t="shared" si="393"/>
        <v>#REF!</v>
      </c>
      <c r="P800" s="137" t="e">
        <f t="shared" si="393"/>
        <v>#REF!</v>
      </c>
      <c r="Q800" s="393" t="e">
        <f t="shared" si="393"/>
        <v>#REF!</v>
      </c>
      <c r="R800" s="137" t="e">
        <f t="shared" si="393"/>
        <v>#REF!</v>
      </c>
      <c r="S800" s="137" t="e">
        <f t="shared" si="393"/>
        <v>#REF!</v>
      </c>
      <c r="T800" s="137" t="e">
        <f t="shared" si="393"/>
        <v>#REF!</v>
      </c>
      <c r="U800" s="371" t="e">
        <f t="shared" si="393"/>
        <v>#REF!</v>
      </c>
      <c r="V800" s="371" t="e">
        <f t="shared" si="393"/>
        <v>#REF!</v>
      </c>
      <c r="W800" s="371" t="e">
        <f t="shared" si="393"/>
        <v>#REF!</v>
      </c>
      <c r="X800" s="371" t="e">
        <f t="shared" si="393"/>
        <v>#REF!</v>
      </c>
      <c r="Y800" s="372"/>
      <c r="Z800" s="372"/>
      <c r="AA800" s="372"/>
      <c r="AB800" s="372"/>
      <c r="AC800" s="372"/>
      <c r="AD800" s="372"/>
      <c r="AE800" s="372"/>
      <c r="AF800" s="372"/>
      <c r="AG800" s="372"/>
      <c r="AH800" s="372"/>
      <c r="AI800" s="372"/>
      <c r="AJ800" s="372"/>
      <c r="AK800" s="372"/>
      <c r="AL800" s="372"/>
    </row>
    <row r="801" spans="1:38" ht="37.5" customHeight="1" x14ac:dyDescent="0.25">
      <c r="A801" s="80"/>
      <c r="B801" s="80"/>
      <c r="C801" s="80"/>
      <c r="D801" s="80"/>
      <c r="E801" s="80">
        <v>3522</v>
      </c>
      <c r="F801" s="81" t="s">
        <v>498</v>
      </c>
      <c r="G801" s="82" t="e">
        <f>SUMIF(#REF!,funkcijska!$E801,#REF!)</f>
        <v>#REF!</v>
      </c>
      <c r="H801" s="82" t="e">
        <f>SUMIF(#REF!,funkcijska!$E801,#REF!)</f>
        <v>#REF!</v>
      </c>
      <c r="I801" s="82" t="e">
        <f>SUMIF(#REF!,funkcijska!$E801,#REF!)</f>
        <v>#REF!</v>
      </c>
      <c r="J801" s="82" t="e">
        <f>SUMIF(#REF!,funkcijska!$E801,#REF!)</f>
        <v>#REF!</v>
      </c>
      <c r="K801" s="82" t="e">
        <f>SUMIF(#REF!,funkcijska!$E801,#REF!)</f>
        <v>#REF!</v>
      </c>
      <c r="L801" s="84"/>
      <c r="M801" s="82" t="e">
        <f>N801-J801</f>
        <v>#REF!</v>
      </c>
      <c r="N801" s="82" t="e">
        <f>SUMIF(#REF!,funkcijska!$E801,#REF!)</f>
        <v>#REF!</v>
      </c>
      <c r="O801" s="82" t="e">
        <f>SUMIF(#REF!,funkcijska!$E801,#REF!)</f>
        <v>#REF!</v>
      </c>
      <c r="P801" s="82" t="e">
        <f>SUMIF(#REF!,funkcijska!$E801,#REF!)</f>
        <v>#REF!</v>
      </c>
      <c r="Q801" s="386" t="e">
        <f>SUMIF(#REF!,funkcijska!$E801,#REF!)</f>
        <v>#REF!</v>
      </c>
      <c r="R801" s="82" t="e">
        <f>SUMIF(#REF!,funkcijska!$E801,#REF!)</f>
        <v>#REF!</v>
      </c>
      <c r="S801" s="82" t="e">
        <f>SUMIF(#REF!,funkcijska!$E801,#REF!)</f>
        <v>#REF!</v>
      </c>
      <c r="T801" s="82" t="e">
        <f>SUMIF(#REF!,funkcijska!$E$65,#REF!)</f>
        <v>#REF!</v>
      </c>
      <c r="U801" s="357" t="e">
        <f>SUMIF(#REF!,funkcijska!$E801,#REF!)</f>
        <v>#REF!</v>
      </c>
      <c r="V801" s="357" t="e">
        <f>SUMIF(#REF!,funkcijska!$E801,#REF!)+SUMIF(#REF!,funkcijska!$E801,#REF!)</f>
        <v>#REF!</v>
      </c>
      <c r="W801" s="357" t="e">
        <f>SUMIF(#REF!,funkcijska!$E801,#REF!)+SUMIF(#REF!,funkcijska!$E801,#REF!)</f>
        <v>#REF!</v>
      </c>
      <c r="X801" s="357" t="e">
        <f>SUMIF(#REF!,funkcijska!$E801,#REF!)+SUMIF(#REF!,funkcijska!$E801,#REF!)</f>
        <v>#REF!</v>
      </c>
      <c r="AD801" s="60"/>
      <c r="AE801" s="60"/>
      <c r="AF801" s="60"/>
      <c r="AG801" s="60"/>
      <c r="AH801" s="60"/>
      <c r="AI801" s="60"/>
      <c r="AJ801" s="60"/>
      <c r="AK801" s="60"/>
      <c r="AL801" s="60"/>
    </row>
    <row r="802" spans="1:38" ht="26.25" customHeight="1" x14ac:dyDescent="0.25">
      <c r="A802" s="80"/>
      <c r="B802" s="80"/>
      <c r="C802" s="80"/>
      <c r="D802" s="80"/>
      <c r="E802" s="80">
        <v>3523</v>
      </c>
      <c r="F802" s="81" t="s">
        <v>324</v>
      </c>
      <c r="G802" s="82" t="e">
        <f>SUMIF(#REF!,funkcijska!$E802,#REF!)</f>
        <v>#REF!</v>
      </c>
      <c r="H802" s="82" t="e">
        <f>SUMIF(#REF!,funkcijska!$E802,#REF!)</f>
        <v>#REF!</v>
      </c>
      <c r="I802" s="82" t="e">
        <f>SUMIF(#REF!,funkcijska!$E802,#REF!)</f>
        <v>#REF!</v>
      </c>
      <c r="J802" s="82" t="e">
        <f>SUMIF(#REF!,funkcijska!$E802,#REF!)</f>
        <v>#REF!</v>
      </c>
      <c r="K802" s="82" t="e">
        <f>SUMIF(#REF!,funkcijska!$E802,#REF!)</f>
        <v>#REF!</v>
      </c>
      <c r="L802" s="82" t="e">
        <f>ROUND(K802/J802*100,2)</f>
        <v>#REF!</v>
      </c>
      <c r="M802" s="82" t="e">
        <f>N802-J802</f>
        <v>#REF!</v>
      </c>
      <c r="N802" s="82" t="e">
        <f>SUMIF(#REF!,funkcijska!$E802,#REF!)</f>
        <v>#REF!</v>
      </c>
      <c r="O802" s="82" t="e">
        <f>SUMIF(#REF!,funkcijska!$E802,#REF!)</f>
        <v>#REF!</v>
      </c>
      <c r="P802" s="82" t="e">
        <f>SUMIF(#REF!,funkcijska!$E802,#REF!)</f>
        <v>#REF!</v>
      </c>
      <c r="Q802" s="386" t="e">
        <f>SUMIF(#REF!,funkcijska!$E802,#REF!)</f>
        <v>#REF!</v>
      </c>
      <c r="R802" s="82" t="e">
        <f>SUMIF(#REF!,funkcijska!$E802,#REF!)</f>
        <v>#REF!</v>
      </c>
      <c r="S802" s="82" t="e">
        <f>SUMIF(#REF!,funkcijska!$E802,#REF!)</f>
        <v>#REF!</v>
      </c>
      <c r="T802" s="82" t="e">
        <f>SUMIF(#REF!,funkcijska!$E$66,#REF!)</f>
        <v>#REF!</v>
      </c>
      <c r="U802" s="357" t="e">
        <f>SUMIF(#REF!,funkcijska!$E802,#REF!)</f>
        <v>#REF!</v>
      </c>
      <c r="V802" s="357" t="e">
        <f>SUMIF(#REF!,funkcijska!$E802,#REF!)+SUMIF(#REF!,funkcijska!$E802,#REF!)</f>
        <v>#REF!</v>
      </c>
      <c r="W802" s="357" t="e">
        <f>SUMIF(#REF!,funkcijska!$E802,#REF!)+SUMIF(#REF!,funkcijska!$E802,#REF!)</f>
        <v>#REF!</v>
      </c>
      <c r="X802" s="357" t="e">
        <f>SUMIF(#REF!,funkcijska!$E802,#REF!)+SUMIF(#REF!,funkcijska!$E802,#REF!)</f>
        <v>#REF!</v>
      </c>
      <c r="AD802" s="60"/>
      <c r="AE802" s="60"/>
      <c r="AF802" s="60"/>
      <c r="AG802" s="60"/>
      <c r="AH802" s="60"/>
      <c r="AI802" s="60"/>
      <c r="AJ802" s="60"/>
      <c r="AK802" s="60"/>
      <c r="AL802" s="60"/>
    </row>
    <row r="803" spans="1:38" ht="38.25" customHeight="1" x14ac:dyDescent="0.25">
      <c r="A803" s="125"/>
      <c r="B803" s="74"/>
      <c r="C803" s="74" t="str">
        <f>LEFT(E805,2)</f>
        <v>36</v>
      </c>
      <c r="D803" s="74"/>
      <c r="E803" s="74"/>
      <c r="F803" s="75" t="s">
        <v>751</v>
      </c>
      <c r="G803" s="77" t="e">
        <f>G804</f>
        <v>#REF!</v>
      </c>
      <c r="H803" s="118" t="e">
        <f>H804</f>
        <v>#REF!</v>
      </c>
      <c r="I803" s="77" t="e">
        <f>I804</f>
        <v>#REF!</v>
      </c>
      <c r="J803" s="77" t="e">
        <f>J804</f>
        <v>#REF!</v>
      </c>
      <c r="K803" s="77" t="e">
        <f>K804</f>
        <v>#REF!</v>
      </c>
      <c r="L803" s="77" t="e">
        <f>ROUND(K803/J803*100,2)</f>
        <v>#REF!</v>
      </c>
      <c r="M803" s="77" t="e">
        <f>N803-J803</f>
        <v>#REF!</v>
      </c>
      <c r="N803" s="77" t="e">
        <f t="shared" ref="N803:X803" si="394">N804</f>
        <v>#REF!</v>
      </c>
      <c r="O803" s="76" t="e">
        <f t="shared" si="394"/>
        <v>#REF!</v>
      </c>
      <c r="P803" s="76" t="e">
        <f t="shared" si="394"/>
        <v>#REF!</v>
      </c>
      <c r="Q803" s="385" t="e">
        <f t="shared" si="394"/>
        <v>#REF!</v>
      </c>
      <c r="R803" s="135" t="e">
        <f t="shared" si="394"/>
        <v>#REF!</v>
      </c>
      <c r="S803" s="135" t="e">
        <f t="shared" si="394"/>
        <v>#REF!</v>
      </c>
      <c r="T803" s="135" t="e">
        <f t="shared" si="394"/>
        <v>#REF!</v>
      </c>
      <c r="U803" s="356" t="e">
        <f t="shared" si="394"/>
        <v>#REF!</v>
      </c>
      <c r="V803" s="356" t="e">
        <f t="shared" si="394"/>
        <v>#REF!</v>
      </c>
      <c r="W803" s="356" t="e">
        <f t="shared" si="394"/>
        <v>#REF!</v>
      </c>
      <c r="X803" s="356" t="e">
        <f t="shared" si="394"/>
        <v>#REF!</v>
      </c>
      <c r="AD803" s="60"/>
      <c r="AE803" s="60"/>
      <c r="AF803" s="60"/>
      <c r="AG803" s="60"/>
      <c r="AH803" s="60"/>
      <c r="AI803" s="60"/>
      <c r="AJ803" s="60"/>
      <c r="AK803" s="60"/>
      <c r="AL803" s="60"/>
    </row>
    <row r="804" spans="1:38" s="373" customFormat="1" ht="21" customHeight="1" x14ac:dyDescent="0.25">
      <c r="A804" s="119"/>
      <c r="B804" s="119"/>
      <c r="C804" s="119"/>
      <c r="D804" s="119" t="str">
        <f>LEFT(E805,3)</f>
        <v>363</v>
      </c>
      <c r="E804" s="119"/>
      <c r="F804" s="368" t="s">
        <v>536</v>
      </c>
      <c r="G804" s="369" t="e">
        <f t="shared" ref="G804:X804" si="395">SUM(G805:G806)</f>
        <v>#REF!</v>
      </c>
      <c r="H804" s="370" t="e">
        <f t="shared" si="395"/>
        <v>#REF!</v>
      </c>
      <c r="I804" s="369" t="e">
        <f t="shared" si="395"/>
        <v>#REF!</v>
      </c>
      <c r="J804" s="369" t="e">
        <f t="shared" si="395"/>
        <v>#REF!</v>
      </c>
      <c r="K804" s="369" t="e">
        <f t="shared" si="395"/>
        <v>#REF!</v>
      </c>
      <c r="L804" s="369" t="e">
        <f t="shared" si="395"/>
        <v>#REF!</v>
      </c>
      <c r="M804" s="369" t="e">
        <f t="shared" si="395"/>
        <v>#REF!</v>
      </c>
      <c r="N804" s="369" t="e">
        <f t="shared" si="395"/>
        <v>#REF!</v>
      </c>
      <c r="O804" s="369" t="e">
        <f t="shared" si="395"/>
        <v>#REF!</v>
      </c>
      <c r="P804" s="369" t="e">
        <f t="shared" si="395"/>
        <v>#REF!</v>
      </c>
      <c r="Q804" s="392" t="e">
        <f t="shared" si="395"/>
        <v>#REF!</v>
      </c>
      <c r="R804" s="369" t="e">
        <f t="shared" si="395"/>
        <v>#REF!</v>
      </c>
      <c r="S804" s="369" t="e">
        <f t="shared" si="395"/>
        <v>#REF!</v>
      </c>
      <c r="T804" s="369" t="e">
        <f t="shared" si="395"/>
        <v>#REF!</v>
      </c>
      <c r="U804" s="357" t="e">
        <f t="shared" si="395"/>
        <v>#REF!</v>
      </c>
      <c r="V804" s="357" t="e">
        <f t="shared" si="395"/>
        <v>#REF!</v>
      </c>
      <c r="W804" s="357" t="e">
        <f t="shared" si="395"/>
        <v>#REF!</v>
      </c>
      <c r="X804" s="357" t="e">
        <f t="shared" si="395"/>
        <v>#REF!</v>
      </c>
      <c r="Y804" s="372"/>
      <c r="Z804" s="372"/>
      <c r="AA804" s="372"/>
      <c r="AB804" s="372"/>
      <c r="AC804" s="372"/>
      <c r="AD804" s="372"/>
      <c r="AE804" s="372"/>
      <c r="AF804" s="372"/>
      <c r="AG804" s="372"/>
      <c r="AH804" s="372"/>
      <c r="AI804" s="372"/>
      <c r="AJ804" s="372"/>
      <c r="AK804" s="372"/>
      <c r="AL804" s="372"/>
    </row>
    <row r="805" spans="1:38" ht="20.25" customHeight="1" x14ac:dyDescent="0.25">
      <c r="A805" s="80"/>
      <c r="B805" s="80"/>
      <c r="C805" s="80"/>
      <c r="D805" s="80"/>
      <c r="E805" s="80">
        <v>3631</v>
      </c>
      <c r="F805" s="81" t="s">
        <v>331</v>
      </c>
      <c r="G805" s="82" t="e">
        <f>SUMIF(#REF!,funkcijska!$E805,#REF!)</f>
        <v>#REF!</v>
      </c>
      <c r="H805" s="82" t="e">
        <f>SUMIF(#REF!,funkcijska!$E805,#REF!)</f>
        <v>#REF!</v>
      </c>
      <c r="I805" s="82" t="e">
        <f>SUMIF(#REF!,funkcijska!$E805,#REF!)</f>
        <v>#REF!</v>
      </c>
      <c r="J805" s="82" t="e">
        <f>SUMIF(#REF!,funkcijska!$E805,#REF!)</f>
        <v>#REF!</v>
      </c>
      <c r="K805" s="82" t="e">
        <f>SUMIF(#REF!,funkcijska!$E805,#REF!)</f>
        <v>#REF!</v>
      </c>
      <c r="L805" s="82" t="e">
        <f>ROUND(K805/J805*100,2)</f>
        <v>#REF!</v>
      </c>
      <c r="M805" s="82" t="e">
        <f>N805-J805</f>
        <v>#REF!</v>
      </c>
      <c r="N805" s="82" t="e">
        <f>SUMIF(#REF!,funkcijska!$E805,#REF!)</f>
        <v>#REF!</v>
      </c>
      <c r="O805" s="82" t="e">
        <f>SUMIF(#REF!,funkcijska!$E805,#REF!)</f>
        <v>#REF!</v>
      </c>
      <c r="P805" s="82" t="e">
        <f>SUMIF(#REF!,funkcijska!$E805,#REF!)</f>
        <v>#REF!</v>
      </c>
      <c r="Q805" s="386" t="e">
        <f>SUMIF(#REF!,funkcijska!$E805,#REF!)</f>
        <v>#REF!</v>
      </c>
      <c r="R805" s="82" t="e">
        <f>SUMIF(#REF!,funkcijska!$E805,#REF!)</f>
        <v>#REF!</v>
      </c>
      <c r="S805" s="82" t="e">
        <f>SUMIF(#REF!,funkcijska!$E805,#REF!)</f>
        <v>#REF!</v>
      </c>
      <c r="T805" s="82" t="e">
        <f>SUMIF(#REF!,funkcijska!$E$69,#REF!)</f>
        <v>#REF!</v>
      </c>
      <c r="U805" s="357" t="e">
        <f>SUMIF(#REF!,funkcijska!$E805,#REF!)</f>
        <v>#REF!</v>
      </c>
      <c r="V805" s="357" t="e">
        <f>SUMIF(#REF!,funkcijska!$E805,#REF!)+SUMIF(#REF!,funkcijska!$E805,#REF!)</f>
        <v>#REF!</v>
      </c>
      <c r="W805" s="357" t="e">
        <f>SUMIF(#REF!,funkcijska!$E805,#REF!)+SUMIF(#REF!,funkcijska!$E805,#REF!)</f>
        <v>#REF!</v>
      </c>
      <c r="X805" s="357" t="e">
        <f>SUMIF(#REF!,funkcijska!$E805,#REF!)+SUMIF(#REF!,funkcijska!$E805,#REF!)</f>
        <v>#REF!</v>
      </c>
      <c r="AD805" s="60"/>
      <c r="AE805" s="60"/>
      <c r="AF805" s="60"/>
      <c r="AG805" s="60"/>
      <c r="AH805" s="60"/>
      <c r="AI805" s="60"/>
      <c r="AJ805" s="60"/>
      <c r="AK805" s="60"/>
      <c r="AL805" s="60"/>
    </row>
    <row r="806" spans="1:38" ht="23.25" customHeight="1" x14ac:dyDescent="0.25">
      <c r="A806" s="80"/>
      <c r="B806" s="80"/>
      <c r="C806" s="80"/>
      <c r="D806" s="80"/>
      <c r="E806" s="80">
        <v>3632</v>
      </c>
      <c r="F806" s="81" t="s">
        <v>227</v>
      </c>
      <c r="G806" s="82" t="e">
        <f>SUMIF(#REF!,funkcijska!$E806,#REF!)</f>
        <v>#REF!</v>
      </c>
      <c r="H806" s="82" t="e">
        <f>SUMIF(#REF!,funkcijska!$E806,#REF!)</f>
        <v>#REF!</v>
      </c>
      <c r="I806" s="82" t="e">
        <f>SUMIF(#REF!,funkcijska!$E806,#REF!)</f>
        <v>#REF!</v>
      </c>
      <c r="J806" s="82" t="e">
        <f>SUMIF(#REF!,funkcijska!$E806,#REF!)</f>
        <v>#REF!</v>
      </c>
      <c r="K806" s="82" t="e">
        <f>SUMIF(#REF!,funkcijska!$E806,#REF!)</f>
        <v>#REF!</v>
      </c>
      <c r="L806" s="82" t="e">
        <f>ROUND(K806/J806*100,2)</f>
        <v>#REF!</v>
      </c>
      <c r="M806" s="82" t="e">
        <f>N806-J806</f>
        <v>#REF!</v>
      </c>
      <c r="N806" s="82" t="e">
        <f>SUMIF(#REF!,funkcijska!$E806,#REF!)</f>
        <v>#REF!</v>
      </c>
      <c r="O806" s="82" t="e">
        <f>SUMIF(#REF!,funkcijska!$E806,#REF!)</f>
        <v>#REF!</v>
      </c>
      <c r="P806" s="82" t="e">
        <f>SUMIF(#REF!,funkcijska!$E806,#REF!)</f>
        <v>#REF!</v>
      </c>
      <c r="Q806" s="386" t="e">
        <f>SUMIF(#REF!,funkcijska!$E806,#REF!)</f>
        <v>#REF!</v>
      </c>
      <c r="R806" s="82" t="e">
        <f>SUMIF(#REF!,funkcijska!$E806,#REF!)</f>
        <v>#REF!</v>
      </c>
      <c r="S806" s="82" t="e">
        <f>SUMIF(#REF!,funkcijska!$E806,#REF!)</f>
        <v>#REF!</v>
      </c>
      <c r="T806" s="82" t="e">
        <f>SUMIF(#REF!,funkcijska!$E806,#REF!)</f>
        <v>#REF!</v>
      </c>
      <c r="U806" s="82" t="e">
        <f>SUMIF(#REF!,funkcijska!$E806,#REF!)</f>
        <v>#REF!</v>
      </c>
      <c r="V806" s="357" t="e">
        <f>SUMIF(#REF!,funkcijska!$E806,#REF!)+SUMIF(#REF!,funkcijska!$E806,#REF!)</f>
        <v>#REF!</v>
      </c>
      <c r="W806" s="357" t="e">
        <f>SUMIF(#REF!,funkcijska!$E806,#REF!)+SUMIF(#REF!,funkcijska!$E806,#REF!)</f>
        <v>#REF!</v>
      </c>
      <c r="X806" s="357" t="e">
        <f>SUMIF(#REF!,funkcijska!$E806,#REF!)+SUMIF(#REF!,funkcijska!$E806,#REF!)</f>
        <v>#REF!</v>
      </c>
      <c r="AD806" s="60"/>
      <c r="AE806" s="60"/>
      <c r="AF806" s="60"/>
      <c r="AG806" s="60"/>
      <c r="AH806" s="60"/>
      <c r="AI806" s="60"/>
      <c r="AJ806" s="60"/>
      <c r="AK806" s="60"/>
      <c r="AL806" s="60"/>
    </row>
    <row r="807" spans="1:38" ht="36.75" customHeight="1" x14ac:dyDescent="0.25">
      <c r="A807" s="125"/>
      <c r="B807" s="74"/>
      <c r="C807" s="74" t="str">
        <f>LEFT(E809,2)</f>
        <v>37</v>
      </c>
      <c r="D807" s="74"/>
      <c r="E807" s="74"/>
      <c r="F807" s="75" t="s">
        <v>410</v>
      </c>
      <c r="G807" s="311" t="e">
        <f>G808</f>
        <v>#REF!</v>
      </c>
      <c r="H807" s="118" t="e">
        <f>H808</f>
        <v>#REF!</v>
      </c>
      <c r="I807" s="311" t="e">
        <f>I808</f>
        <v>#REF!</v>
      </c>
      <c r="J807" s="311" t="e">
        <f>J808</f>
        <v>#REF!</v>
      </c>
      <c r="K807" s="311" t="e">
        <f>K808</f>
        <v>#REF!</v>
      </c>
      <c r="L807" s="311" t="e">
        <f>ROUND(K807/J807*100,2)</f>
        <v>#REF!</v>
      </c>
      <c r="M807" s="311" t="e">
        <f>N807-J807</f>
        <v>#REF!</v>
      </c>
      <c r="N807" s="311" t="e">
        <f t="shared" ref="N807:X807" si="396">N808</f>
        <v>#REF!</v>
      </c>
      <c r="O807" s="312" t="e">
        <f t="shared" si="396"/>
        <v>#REF!</v>
      </c>
      <c r="P807" s="312" t="e">
        <f t="shared" si="396"/>
        <v>#REF!</v>
      </c>
      <c r="Q807" s="385" t="e">
        <f t="shared" si="396"/>
        <v>#REF!</v>
      </c>
      <c r="R807" s="137" t="e">
        <f t="shared" si="396"/>
        <v>#REF!</v>
      </c>
      <c r="S807" s="137" t="e">
        <f t="shared" si="396"/>
        <v>#REF!</v>
      </c>
      <c r="T807" s="137" t="e">
        <f t="shared" si="396"/>
        <v>#REF!</v>
      </c>
      <c r="U807" s="356" t="e">
        <f t="shared" si="396"/>
        <v>#REF!</v>
      </c>
      <c r="V807" s="356" t="e">
        <f t="shared" si="396"/>
        <v>#REF!</v>
      </c>
      <c r="W807" s="356" t="e">
        <f t="shared" si="396"/>
        <v>#REF!</v>
      </c>
      <c r="X807" s="356" t="e">
        <f t="shared" si="396"/>
        <v>#REF!</v>
      </c>
      <c r="AD807" s="60"/>
      <c r="AE807" s="60"/>
      <c r="AF807" s="60"/>
      <c r="AG807" s="60"/>
      <c r="AH807" s="60"/>
      <c r="AI807" s="60"/>
      <c r="AJ807" s="60"/>
      <c r="AK807" s="60"/>
      <c r="AL807" s="60"/>
    </row>
    <row r="808" spans="1:38" s="373" customFormat="1" ht="37.5" customHeight="1" x14ac:dyDescent="0.25">
      <c r="A808" s="119"/>
      <c r="B808" s="119"/>
      <c r="C808" s="119"/>
      <c r="D808" s="119" t="str">
        <f>LEFT(E809,3)</f>
        <v>372</v>
      </c>
      <c r="E808" s="119"/>
      <c r="F808" s="368" t="s">
        <v>411</v>
      </c>
      <c r="G808" s="369" t="e">
        <f t="shared" ref="G808:X808" si="397">SUM(G809:G810)</f>
        <v>#REF!</v>
      </c>
      <c r="H808" s="370" t="e">
        <f t="shared" si="397"/>
        <v>#REF!</v>
      </c>
      <c r="I808" s="369" t="e">
        <f t="shared" si="397"/>
        <v>#REF!</v>
      </c>
      <c r="J808" s="369" t="e">
        <f t="shared" si="397"/>
        <v>#REF!</v>
      </c>
      <c r="K808" s="369" t="e">
        <f t="shared" si="397"/>
        <v>#REF!</v>
      </c>
      <c r="L808" s="369" t="e">
        <f t="shared" si="397"/>
        <v>#REF!</v>
      </c>
      <c r="M808" s="369" t="e">
        <f t="shared" si="397"/>
        <v>#REF!</v>
      </c>
      <c r="N808" s="369" t="e">
        <f t="shared" si="397"/>
        <v>#REF!</v>
      </c>
      <c r="O808" s="369" t="e">
        <f t="shared" si="397"/>
        <v>#REF!</v>
      </c>
      <c r="P808" s="369" t="e">
        <f t="shared" si="397"/>
        <v>#REF!</v>
      </c>
      <c r="Q808" s="392" t="e">
        <f t="shared" si="397"/>
        <v>#REF!</v>
      </c>
      <c r="R808" s="369" t="e">
        <f t="shared" si="397"/>
        <v>#REF!</v>
      </c>
      <c r="S808" s="369" t="e">
        <f t="shared" si="397"/>
        <v>#REF!</v>
      </c>
      <c r="T808" s="369" t="e">
        <f t="shared" si="397"/>
        <v>#REF!</v>
      </c>
      <c r="U808" s="357" t="e">
        <f t="shared" si="397"/>
        <v>#REF!</v>
      </c>
      <c r="V808" s="357" t="e">
        <f t="shared" si="397"/>
        <v>#REF!</v>
      </c>
      <c r="W808" s="357" t="e">
        <f t="shared" si="397"/>
        <v>#REF!</v>
      </c>
      <c r="X808" s="357" t="e">
        <f t="shared" si="397"/>
        <v>#REF!</v>
      </c>
      <c r="Y808" s="372"/>
      <c r="Z808" s="372"/>
      <c r="AA808" s="372"/>
      <c r="AB808" s="372"/>
      <c r="AC808" s="372"/>
      <c r="AD808" s="372"/>
      <c r="AE808" s="372"/>
      <c r="AF808" s="372"/>
      <c r="AG808" s="372"/>
      <c r="AH808" s="372"/>
      <c r="AI808" s="372"/>
      <c r="AJ808" s="372"/>
      <c r="AK808" s="372"/>
      <c r="AL808" s="372"/>
    </row>
    <row r="809" spans="1:38" ht="21" customHeight="1" x14ac:dyDescent="0.25">
      <c r="A809" s="80"/>
      <c r="B809" s="80"/>
      <c r="C809" s="80"/>
      <c r="D809" s="80"/>
      <c r="E809" s="80">
        <v>3721</v>
      </c>
      <c r="F809" s="81" t="s">
        <v>412</v>
      </c>
      <c r="G809" s="82" t="e">
        <f>SUMIF(#REF!,funkcijska!$E809,#REF!)</f>
        <v>#REF!</v>
      </c>
      <c r="H809" s="82" t="e">
        <f>SUMIF(#REF!,funkcijska!$E809,#REF!)</f>
        <v>#REF!</v>
      </c>
      <c r="I809" s="82" t="e">
        <f>SUMIF(#REF!,funkcijska!$E809,#REF!)</f>
        <v>#REF!</v>
      </c>
      <c r="J809" s="82" t="e">
        <f>SUMIF(#REF!,funkcijska!$E809,#REF!)</f>
        <v>#REF!</v>
      </c>
      <c r="K809" s="82" t="e">
        <f>SUMIF(#REF!,funkcijska!$E809,#REF!)</f>
        <v>#REF!</v>
      </c>
      <c r="L809" s="82" t="e">
        <f t="shared" ref="L809:L818" si="398">ROUND(K809/J809*100,2)</f>
        <v>#REF!</v>
      </c>
      <c r="M809" s="82" t="e">
        <f t="shared" ref="M809:M818" si="399">N809-J809</f>
        <v>#REF!</v>
      </c>
      <c r="N809" s="82" t="e">
        <f>SUMIF(#REF!,funkcijska!$E809,#REF!)</f>
        <v>#REF!</v>
      </c>
      <c r="O809" s="82" t="e">
        <f>SUMIF(#REF!,funkcijska!$E809,#REF!)</f>
        <v>#REF!</v>
      </c>
      <c r="P809" s="82" t="e">
        <f>SUMIF(#REF!,funkcijska!$E809,#REF!)</f>
        <v>#REF!</v>
      </c>
      <c r="Q809" s="386" t="e">
        <f>SUMIF(#REF!,funkcijska!$E809,#REF!)</f>
        <v>#REF!</v>
      </c>
      <c r="R809" s="82" t="e">
        <f>SUMIF(#REF!,funkcijska!$E809,#REF!)</f>
        <v>#REF!</v>
      </c>
      <c r="S809" s="82" t="e">
        <f>SUMIF(#REF!,funkcijska!$E809,#REF!)</f>
        <v>#REF!</v>
      </c>
      <c r="T809" s="82" t="e">
        <f>SUMIF(#REF!,funkcijska!$E$73,#REF!)</f>
        <v>#REF!</v>
      </c>
      <c r="U809" s="357" t="e">
        <f>SUMIF(#REF!,funkcijska!$E809,#REF!)</f>
        <v>#REF!</v>
      </c>
      <c r="V809" s="357" t="e">
        <f>SUMIF(#REF!,funkcijska!$E809,#REF!)+SUMIF(#REF!,funkcijska!$E809,#REF!)</f>
        <v>#REF!</v>
      </c>
      <c r="W809" s="357" t="e">
        <f>SUMIF(#REF!,funkcijska!$E809,#REF!)+SUMIF(#REF!,funkcijska!$E809,#REF!)</f>
        <v>#REF!</v>
      </c>
      <c r="X809" s="357" t="e">
        <f>SUMIF(#REF!,funkcijska!$E809,#REF!)+SUMIF(#REF!,funkcijska!$E809,#REF!)</f>
        <v>#REF!</v>
      </c>
      <c r="AD809" s="60"/>
      <c r="AE809" s="60"/>
      <c r="AF809" s="60"/>
      <c r="AG809" s="60"/>
      <c r="AH809" s="60"/>
      <c r="AI809" s="60"/>
      <c r="AJ809" s="60"/>
      <c r="AK809" s="60"/>
      <c r="AL809" s="60"/>
    </row>
    <row r="810" spans="1:38" ht="36.75" customHeight="1" x14ac:dyDescent="0.25">
      <c r="A810" s="80"/>
      <c r="B810" s="80"/>
      <c r="C810" s="80"/>
      <c r="D810" s="80"/>
      <c r="E810" s="80">
        <v>3722</v>
      </c>
      <c r="F810" s="81" t="s">
        <v>1019</v>
      </c>
      <c r="G810" s="82" t="e">
        <f>SUMIF(#REF!,funkcijska!$E810,#REF!)</f>
        <v>#REF!</v>
      </c>
      <c r="H810" s="82" t="e">
        <f>SUMIF(#REF!,funkcijska!$E810,#REF!)</f>
        <v>#REF!</v>
      </c>
      <c r="I810" s="82" t="e">
        <f>SUMIF(#REF!,funkcijska!$E810,#REF!)</f>
        <v>#REF!</v>
      </c>
      <c r="J810" s="82" t="e">
        <f>SUMIF(#REF!,funkcijska!$E810,#REF!)</f>
        <v>#REF!</v>
      </c>
      <c r="K810" s="82" t="e">
        <f>SUMIF(#REF!,funkcijska!$E810,#REF!)</f>
        <v>#REF!</v>
      </c>
      <c r="L810" s="82" t="e">
        <f t="shared" si="398"/>
        <v>#REF!</v>
      </c>
      <c r="M810" s="82" t="e">
        <f t="shared" si="399"/>
        <v>#REF!</v>
      </c>
      <c r="N810" s="82" t="e">
        <f>SUMIF(#REF!,funkcijska!$E810,#REF!)</f>
        <v>#REF!</v>
      </c>
      <c r="O810" s="82" t="e">
        <f>SUMIF(#REF!,funkcijska!$E810,#REF!)</f>
        <v>#REF!</v>
      </c>
      <c r="P810" s="82" t="e">
        <f>SUMIF(#REF!,funkcijska!$E810,#REF!)</f>
        <v>#REF!</v>
      </c>
      <c r="Q810" s="386" t="e">
        <f>SUMIF(#REF!,funkcijska!$E810,#REF!)</f>
        <v>#REF!</v>
      </c>
      <c r="R810" s="82" t="e">
        <f>SUMIF(#REF!,funkcijska!$E810,#REF!)</f>
        <v>#REF!</v>
      </c>
      <c r="S810" s="82" t="e">
        <f>SUMIF(#REF!,funkcijska!$E810,#REF!)</f>
        <v>#REF!</v>
      </c>
      <c r="T810" s="82" t="e">
        <f>SUMIF(#REF!,funkcijska!$E$74,#REF!)</f>
        <v>#REF!</v>
      </c>
      <c r="U810" s="357" t="e">
        <f>SUMIF(#REF!,funkcijska!$E810,#REF!)</f>
        <v>#REF!</v>
      </c>
      <c r="V810" s="357" t="e">
        <f>SUMIF(#REF!,funkcijska!$E810,#REF!)+SUMIF(#REF!,funkcijska!$E810,#REF!)</f>
        <v>#REF!</v>
      </c>
      <c r="W810" s="357" t="e">
        <f>SUMIF(#REF!,funkcijska!$E810,#REF!)+SUMIF(#REF!,funkcijska!$E810,#REF!)</f>
        <v>#REF!</v>
      </c>
      <c r="X810" s="357" t="e">
        <f>SUMIF(#REF!,funkcijska!$E810,#REF!)+SUMIF(#REF!,funkcijska!$E810,#REF!)</f>
        <v>#REF!</v>
      </c>
      <c r="AD810" s="60"/>
      <c r="AE810" s="60"/>
      <c r="AF810" s="60"/>
      <c r="AG810" s="60"/>
      <c r="AH810" s="60"/>
      <c r="AI810" s="60"/>
      <c r="AJ810" s="60"/>
      <c r="AK810" s="60"/>
      <c r="AL810" s="60"/>
    </row>
    <row r="811" spans="1:38" ht="20.25" customHeight="1" x14ac:dyDescent="0.25">
      <c r="A811" s="125"/>
      <c r="B811" s="74"/>
      <c r="C811" s="74" t="str">
        <f>LEFT(E813,2)</f>
        <v>38</v>
      </c>
      <c r="D811" s="74"/>
      <c r="E811" s="74"/>
      <c r="F811" s="75" t="s">
        <v>539</v>
      </c>
      <c r="G811" s="311" t="e">
        <f>G812+G814+G817</f>
        <v>#REF!</v>
      </c>
      <c r="H811" s="118" t="e">
        <f>H812+H814+H817</f>
        <v>#REF!</v>
      </c>
      <c r="I811" s="311" t="e">
        <f>I812+I814+I817</f>
        <v>#REF!</v>
      </c>
      <c r="J811" s="311" t="e">
        <f>J812+J814+J817</f>
        <v>#REF!</v>
      </c>
      <c r="K811" s="311" t="e">
        <f>K812+K814+K817</f>
        <v>#REF!</v>
      </c>
      <c r="L811" s="311" t="e">
        <f t="shared" si="398"/>
        <v>#REF!</v>
      </c>
      <c r="M811" s="311" t="e">
        <f t="shared" si="399"/>
        <v>#REF!</v>
      </c>
      <c r="N811" s="311" t="e">
        <f t="shared" ref="N811:X811" si="400">N812+N814+N817</f>
        <v>#REF!</v>
      </c>
      <c r="O811" s="312" t="e">
        <f t="shared" si="400"/>
        <v>#REF!</v>
      </c>
      <c r="P811" s="312" t="e">
        <f t="shared" si="400"/>
        <v>#REF!</v>
      </c>
      <c r="Q811" s="385" t="e">
        <f t="shared" si="400"/>
        <v>#REF!</v>
      </c>
      <c r="R811" s="137" t="e">
        <f t="shared" si="400"/>
        <v>#REF!</v>
      </c>
      <c r="S811" s="137" t="e">
        <f t="shared" si="400"/>
        <v>#REF!</v>
      </c>
      <c r="T811" s="137" t="e">
        <f t="shared" si="400"/>
        <v>#REF!</v>
      </c>
      <c r="U811" s="356" t="e">
        <f t="shared" si="400"/>
        <v>#REF!</v>
      </c>
      <c r="V811" s="356" t="e">
        <f t="shared" si="400"/>
        <v>#REF!</v>
      </c>
      <c r="W811" s="356" t="e">
        <f t="shared" si="400"/>
        <v>#REF!</v>
      </c>
      <c r="X811" s="356" t="e">
        <f t="shared" si="400"/>
        <v>#REF!</v>
      </c>
      <c r="AD811" s="60"/>
      <c r="AE811" s="60"/>
      <c r="AF811" s="60"/>
      <c r="AG811" s="60"/>
      <c r="AH811" s="60"/>
      <c r="AI811" s="60"/>
      <c r="AJ811" s="60"/>
      <c r="AK811" s="60"/>
      <c r="AL811" s="60"/>
    </row>
    <row r="812" spans="1:38" s="373" customFormat="1" ht="17.25" customHeight="1" x14ac:dyDescent="0.25">
      <c r="A812" s="119"/>
      <c r="B812" s="119"/>
      <c r="C812" s="119"/>
      <c r="D812" s="119" t="str">
        <f>LEFT(E813,3)</f>
        <v>381</v>
      </c>
      <c r="E812" s="119"/>
      <c r="F812" s="368" t="s">
        <v>540</v>
      </c>
      <c r="G812" s="369" t="e">
        <f>G813</f>
        <v>#REF!</v>
      </c>
      <c r="H812" s="370" t="e">
        <f>H813</f>
        <v>#REF!</v>
      </c>
      <c r="I812" s="369" t="e">
        <f>I813</f>
        <v>#REF!</v>
      </c>
      <c r="J812" s="369" t="e">
        <f>J813</f>
        <v>#REF!</v>
      </c>
      <c r="K812" s="369" t="e">
        <f>K813</f>
        <v>#REF!</v>
      </c>
      <c r="L812" s="369" t="e">
        <f t="shared" si="398"/>
        <v>#REF!</v>
      </c>
      <c r="M812" s="369" t="e">
        <f t="shared" si="399"/>
        <v>#REF!</v>
      </c>
      <c r="N812" s="369" t="e">
        <f t="shared" ref="N812:X812" si="401">N813</f>
        <v>#REF!</v>
      </c>
      <c r="O812" s="137" t="e">
        <f t="shared" si="401"/>
        <v>#REF!</v>
      </c>
      <c r="P812" s="137" t="e">
        <f t="shared" si="401"/>
        <v>#REF!</v>
      </c>
      <c r="Q812" s="393" t="e">
        <f t="shared" si="401"/>
        <v>#REF!</v>
      </c>
      <c r="R812" s="137" t="e">
        <f t="shared" si="401"/>
        <v>#REF!</v>
      </c>
      <c r="S812" s="137" t="e">
        <f t="shared" si="401"/>
        <v>#REF!</v>
      </c>
      <c r="T812" s="137" t="e">
        <f t="shared" si="401"/>
        <v>#REF!</v>
      </c>
      <c r="U812" s="371" t="e">
        <f t="shared" si="401"/>
        <v>#REF!</v>
      </c>
      <c r="V812" s="371" t="e">
        <f t="shared" si="401"/>
        <v>#REF!</v>
      </c>
      <c r="W812" s="371" t="e">
        <f t="shared" si="401"/>
        <v>#REF!</v>
      </c>
      <c r="X812" s="371" t="e">
        <f t="shared" si="401"/>
        <v>#REF!</v>
      </c>
      <c r="Y812" s="372"/>
      <c r="Z812" s="372"/>
      <c r="AA812" s="372"/>
      <c r="AB812" s="372"/>
      <c r="AC812" s="372"/>
      <c r="AD812" s="372"/>
      <c r="AE812" s="372"/>
      <c r="AF812" s="372"/>
      <c r="AG812" s="372"/>
      <c r="AH812" s="372"/>
      <c r="AI812" s="372"/>
      <c r="AJ812" s="372"/>
      <c r="AK812" s="372"/>
      <c r="AL812" s="372"/>
    </row>
    <row r="813" spans="1:38" ht="20.25" customHeight="1" x14ac:dyDescent="0.25">
      <c r="A813" s="80"/>
      <c r="B813" s="80"/>
      <c r="C813" s="80"/>
      <c r="D813" s="80"/>
      <c r="E813" s="80">
        <v>3811</v>
      </c>
      <c r="F813" s="81" t="s">
        <v>623</v>
      </c>
      <c r="G813" s="82" t="e">
        <f>SUMIF(#REF!,funkcijska!$E813,#REF!)</f>
        <v>#REF!</v>
      </c>
      <c r="H813" s="82" t="e">
        <f>SUMIF(#REF!,funkcijska!$E813,#REF!)</f>
        <v>#REF!</v>
      </c>
      <c r="I813" s="82" t="e">
        <f>SUMIF(#REF!,funkcijska!$E813,#REF!)</f>
        <v>#REF!</v>
      </c>
      <c r="J813" s="82" t="e">
        <f>SUMIF(#REF!,funkcijska!$E813,#REF!)</f>
        <v>#REF!</v>
      </c>
      <c r="K813" s="82" t="e">
        <f>SUMIF(#REF!,funkcijska!$E813,#REF!)</f>
        <v>#REF!</v>
      </c>
      <c r="L813" s="82" t="e">
        <f t="shared" si="398"/>
        <v>#REF!</v>
      </c>
      <c r="M813" s="82" t="e">
        <f t="shared" si="399"/>
        <v>#REF!</v>
      </c>
      <c r="N813" s="82" t="e">
        <f>SUMIF(#REF!,funkcijska!$E813,#REF!)</f>
        <v>#REF!</v>
      </c>
      <c r="O813" s="82" t="e">
        <f>SUMIF(#REF!,funkcijska!$E813,#REF!)</f>
        <v>#REF!</v>
      </c>
      <c r="P813" s="82" t="e">
        <f>SUMIF(#REF!,funkcijska!$E813,#REF!)</f>
        <v>#REF!</v>
      </c>
      <c r="Q813" s="386" t="e">
        <f>SUMIF(#REF!,funkcijska!$E813,#REF!)</f>
        <v>#REF!</v>
      </c>
      <c r="R813" s="82" t="e">
        <f>SUMIF(#REF!,funkcijska!$E813,#REF!)</f>
        <v>#REF!</v>
      </c>
      <c r="S813" s="82" t="e">
        <f>SUMIF(#REF!,funkcijska!$E813,#REF!)</f>
        <v>#REF!</v>
      </c>
      <c r="T813" s="82" t="e">
        <f>SUMIF(#REF!,funkcijska!$E$77,#REF!)</f>
        <v>#REF!</v>
      </c>
      <c r="U813" s="357" t="e">
        <f>SUMIF(#REF!,funkcijska!$E813,#REF!)</f>
        <v>#REF!</v>
      </c>
      <c r="V813" s="357" t="e">
        <f>SUMIF(#REF!,funkcijska!$E813,#REF!)+SUMIF(#REF!,funkcijska!$E813,#REF!)</f>
        <v>#REF!</v>
      </c>
      <c r="W813" s="357" t="e">
        <f>SUMIF(#REF!,funkcijska!$E813,#REF!)+SUMIF(#REF!,funkcijska!$E813,#REF!)</f>
        <v>#REF!</v>
      </c>
      <c r="X813" s="357" t="e">
        <f>SUMIF(#REF!,funkcijska!$E813,#REF!)+SUMIF(#REF!,funkcijska!$E813,#REF!)</f>
        <v>#REF!</v>
      </c>
      <c r="AD813" s="60"/>
      <c r="AE813" s="60"/>
      <c r="AF813" s="60"/>
      <c r="AG813" s="60"/>
      <c r="AH813" s="60"/>
      <c r="AI813" s="60"/>
      <c r="AJ813" s="60"/>
      <c r="AK813" s="60"/>
      <c r="AL813" s="60"/>
    </row>
    <row r="814" spans="1:38" s="373" customFormat="1" ht="21" hidden="1" customHeight="1" x14ac:dyDescent="0.25">
      <c r="A814" s="119"/>
      <c r="B814" s="119"/>
      <c r="C814" s="119"/>
      <c r="D814" s="119" t="str">
        <f>LEFT(E815,3)</f>
        <v>382</v>
      </c>
      <c r="E814" s="119"/>
      <c r="F814" s="368" t="s">
        <v>230</v>
      </c>
      <c r="G814" s="369" t="e">
        <f>G815</f>
        <v>#REF!</v>
      </c>
      <c r="H814" s="370" t="e">
        <f>H815</f>
        <v>#REF!</v>
      </c>
      <c r="I814" s="369" t="e">
        <f>I815</f>
        <v>#REF!</v>
      </c>
      <c r="J814" s="369" t="e">
        <f>J815</f>
        <v>#REF!</v>
      </c>
      <c r="K814" s="369" t="e">
        <f>K815</f>
        <v>#REF!</v>
      </c>
      <c r="L814" s="369" t="e">
        <f t="shared" si="398"/>
        <v>#REF!</v>
      </c>
      <c r="M814" s="369" t="e">
        <f t="shared" si="399"/>
        <v>#REF!</v>
      </c>
      <c r="N814" s="369" t="e">
        <f t="shared" ref="N814:U814" si="402">N815</f>
        <v>#REF!</v>
      </c>
      <c r="O814" s="137" t="e">
        <f t="shared" si="402"/>
        <v>#REF!</v>
      </c>
      <c r="P814" s="137" t="e">
        <f t="shared" si="402"/>
        <v>#REF!</v>
      </c>
      <c r="Q814" s="393" t="e">
        <f t="shared" si="402"/>
        <v>#REF!</v>
      </c>
      <c r="R814" s="137" t="e">
        <f t="shared" si="402"/>
        <v>#REF!</v>
      </c>
      <c r="S814" s="137" t="e">
        <f t="shared" si="402"/>
        <v>#REF!</v>
      </c>
      <c r="T814" s="137" t="e">
        <f t="shared" si="402"/>
        <v>#REF!</v>
      </c>
      <c r="U814" s="371" t="e">
        <f t="shared" si="402"/>
        <v>#REF!</v>
      </c>
      <c r="V814" s="371" t="e">
        <f>V815+V816</f>
        <v>#REF!</v>
      </c>
      <c r="W814" s="371" t="e">
        <f>W815+W816</f>
        <v>#REF!</v>
      </c>
      <c r="X814" s="371" t="e">
        <f>X815+X816</f>
        <v>#REF!</v>
      </c>
      <c r="Y814" s="372"/>
      <c r="Z814" s="372"/>
      <c r="AA814" s="372"/>
      <c r="AB814" s="372"/>
      <c r="AC814" s="372"/>
      <c r="AD814" s="372"/>
      <c r="AE814" s="372"/>
      <c r="AF814" s="372"/>
      <c r="AG814" s="372"/>
      <c r="AH814" s="372"/>
      <c r="AI814" s="372"/>
      <c r="AJ814" s="372"/>
      <c r="AK814" s="372"/>
      <c r="AL814" s="372"/>
    </row>
    <row r="815" spans="1:38" ht="23.25" hidden="1" customHeight="1" x14ac:dyDescent="0.25">
      <c r="A815" s="80"/>
      <c r="B815" s="80"/>
      <c r="C815" s="80"/>
      <c r="D815" s="80"/>
      <c r="E815" s="80">
        <v>3821</v>
      </c>
      <c r="F815" s="81" t="s">
        <v>1020</v>
      </c>
      <c r="G815" s="82" t="e">
        <f>SUMIF(#REF!,funkcijska!$E815,#REF!)</f>
        <v>#REF!</v>
      </c>
      <c r="H815" s="82" t="e">
        <f>SUMIF(#REF!,funkcijska!$E815,#REF!)</f>
        <v>#REF!</v>
      </c>
      <c r="I815" s="82" t="e">
        <f>SUMIF(#REF!,funkcijska!$E815,#REF!)</f>
        <v>#REF!</v>
      </c>
      <c r="J815" s="82" t="e">
        <f>SUMIF(#REF!,funkcijska!$E815,#REF!)</f>
        <v>#REF!</v>
      </c>
      <c r="K815" s="82" t="e">
        <f>SUMIF(#REF!,funkcijska!$E815,#REF!)</f>
        <v>#REF!</v>
      </c>
      <c r="L815" s="82" t="e">
        <f t="shared" si="398"/>
        <v>#REF!</v>
      </c>
      <c r="M815" s="82" t="e">
        <f t="shared" si="399"/>
        <v>#REF!</v>
      </c>
      <c r="N815" s="82" t="e">
        <f>SUMIF(#REF!,funkcijska!$E815,#REF!)</f>
        <v>#REF!</v>
      </c>
      <c r="O815" s="82" t="e">
        <f>SUMIF(#REF!,funkcijska!$E815,#REF!)</f>
        <v>#REF!</v>
      </c>
      <c r="P815" s="82" t="e">
        <f>SUMIF(#REF!,funkcijska!$E815,#REF!)</f>
        <v>#REF!</v>
      </c>
      <c r="Q815" s="386" t="e">
        <f>SUMIF(#REF!,funkcijska!$E815,#REF!)</f>
        <v>#REF!</v>
      </c>
      <c r="R815" s="82" t="e">
        <f>SUMIF(#REF!,funkcijska!$E815,#REF!)</f>
        <v>#REF!</v>
      </c>
      <c r="S815" s="82" t="e">
        <f>SUMIF(#REF!,funkcijska!$E815,#REF!)</f>
        <v>#REF!</v>
      </c>
      <c r="T815" s="82" t="e">
        <f>SUMIF(#REF!,funkcijska!$E$79,#REF!)</f>
        <v>#REF!</v>
      </c>
      <c r="U815" s="357" t="e">
        <f>SUMIF(#REF!,funkcijska!$E815,#REF!)</f>
        <v>#REF!</v>
      </c>
      <c r="V815" s="357" t="e">
        <f>SUMIF(#REF!,funkcijska!$E815,#REF!)+SUMIF(#REF!,funkcijska!$E815,#REF!)</f>
        <v>#REF!</v>
      </c>
      <c r="W815" s="357" t="e">
        <f>SUMIF(#REF!,funkcijska!$E815,#REF!)+SUMIF(#REF!,funkcijska!$E815,#REF!)</f>
        <v>#REF!</v>
      </c>
      <c r="X815" s="357" t="e">
        <f>SUMIF(#REF!,funkcijska!$E815,#REF!)+SUMIF(#REF!,funkcijska!$E815,#REF!)</f>
        <v>#REF!</v>
      </c>
      <c r="AD815" s="60"/>
      <c r="AE815" s="60"/>
      <c r="AF815" s="60"/>
      <c r="AG815" s="60"/>
      <c r="AH815" s="60"/>
      <c r="AI815" s="60"/>
      <c r="AJ815" s="60"/>
      <c r="AK815" s="60"/>
      <c r="AL815" s="60"/>
    </row>
    <row r="816" spans="1:38" ht="23.25" hidden="1" customHeight="1" x14ac:dyDescent="0.25">
      <c r="A816" s="80"/>
      <c r="B816" s="80"/>
      <c r="C816" s="80"/>
      <c r="D816" s="80"/>
      <c r="E816" s="80">
        <v>3822</v>
      </c>
      <c r="F816" s="81" t="s">
        <v>734</v>
      </c>
      <c r="G816" s="82" t="e">
        <f>SUMIF(#REF!,funkcijska!$E816,#REF!)</f>
        <v>#REF!</v>
      </c>
      <c r="H816" s="82" t="e">
        <f>SUMIF(#REF!,funkcijska!$E816,#REF!)</f>
        <v>#REF!</v>
      </c>
      <c r="I816" s="82" t="e">
        <f>SUMIF(#REF!,funkcijska!$E816,#REF!)</f>
        <v>#REF!</v>
      </c>
      <c r="J816" s="82" t="e">
        <f>SUMIF(#REF!,funkcijska!$E816,#REF!)</f>
        <v>#REF!</v>
      </c>
      <c r="K816" s="82" t="e">
        <f>SUMIF(#REF!,funkcijska!$E816,#REF!)</f>
        <v>#REF!</v>
      </c>
      <c r="L816" s="82" t="e">
        <f t="shared" si="398"/>
        <v>#REF!</v>
      </c>
      <c r="M816" s="82" t="e">
        <f t="shared" si="399"/>
        <v>#REF!</v>
      </c>
      <c r="N816" s="82" t="e">
        <f>SUMIF(#REF!,funkcijska!$E816,#REF!)</f>
        <v>#REF!</v>
      </c>
      <c r="O816" s="82" t="e">
        <f>SUMIF(#REF!,funkcijska!$E816,#REF!)</f>
        <v>#REF!</v>
      </c>
      <c r="P816" s="82" t="e">
        <f>SUMIF(#REF!,funkcijska!$E816,#REF!)</f>
        <v>#REF!</v>
      </c>
      <c r="Q816" s="386" t="e">
        <f>SUMIF(#REF!,funkcijska!$E816,#REF!)</f>
        <v>#REF!</v>
      </c>
      <c r="R816" s="82" t="e">
        <f>SUMIF(#REF!,funkcijska!$E816,#REF!)</f>
        <v>#REF!</v>
      </c>
      <c r="S816" s="82" t="e">
        <f>SUMIF(#REF!,funkcijska!$E816,#REF!)</f>
        <v>#REF!</v>
      </c>
      <c r="T816" s="82" t="e">
        <f>SUMIF(#REF!,funkcijska!$E$79,#REF!)</f>
        <v>#REF!</v>
      </c>
      <c r="U816" s="357" t="e">
        <f>SUMIF(#REF!,funkcijska!$E816,#REF!)</f>
        <v>#REF!</v>
      </c>
      <c r="V816" s="357" t="e">
        <f>SUMIF(#REF!,funkcijska!$E816,#REF!)+SUMIF(#REF!,funkcijska!$E816,#REF!)</f>
        <v>#REF!</v>
      </c>
      <c r="W816" s="357" t="e">
        <f>SUMIF(#REF!,funkcijska!$E816,#REF!)+SUMIF(#REF!,funkcijska!$E816,#REF!)</f>
        <v>#REF!</v>
      </c>
      <c r="X816" s="357" t="e">
        <f>SUMIF(#REF!,funkcijska!$E816,#REF!)+SUMIF(#REF!,funkcijska!$E816,#REF!)</f>
        <v>#REF!</v>
      </c>
      <c r="AD816" s="60"/>
      <c r="AE816" s="60"/>
      <c r="AF816" s="60"/>
      <c r="AG816" s="60"/>
      <c r="AH816" s="60"/>
      <c r="AI816" s="60"/>
      <c r="AJ816" s="60"/>
      <c r="AK816" s="60"/>
      <c r="AL816" s="60"/>
    </row>
    <row r="817" spans="1:38" s="373" customFormat="1" ht="21" hidden="1" customHeight="1" x14ac:dyDescent="0.25">
      <c r="A817" s="119"/>
      <c r="B817" s="119"/>
      <c r="C817" s="119"/>
      <c r="D817" s="119" t="str">
        <f>LEFT(E818,3)</f>
        <v>385</v>
      </c>
      <c r="E817" s="119"/>
      <c r="F817" s="368" t="s">
        <v>545</v>
      </c>
      <c r="G817" s="369" t="e">
        <f>G818</f>
        <v>#REF!</v>
      </c>
      <c r="H817" s="370" t="e">
        <f>H818</f>
        <v>#REF!</v>
      </c>
      <c r="I817" s="369" t="e">
        <f>I818</f>
        <v>#REF!</v>
      </c>
      <c r="J817" s="369" t="e">
        <f>J818</f>
        <v>#REF!</v>
      </c>
      <c r="K817" s="369" t="e">
        <f>K818</f>
        <v>#REF!</v>
      </c>
      <c r="L817" s="369" t="e">
        <f t="shared" si="398"/>
        <v>#REF!</v>
      </c>
      <c r="M817" s="369" t="e">
        <f t="shared" si="399"/>
        <v>#REF!</v>
      </c>
      <c r="N817" s="369" t="e">
        <f t="shared" ref="N817:X817" si="403">N818</f>
        <v>#REF!</v>
      </c>
      <c r="O817" s="137" t="e">
        <f t="shared" si="403"/>
        <v>#REF!</v>
      </c>
      <c r="P817" s="137" t="e">
        <f t="shared" si="403"/>
        <v>#REF!</v>
      </c>
      <c r="Q817" s="393" t="e">
        <f t="shared" si="403"/>
        <v>#REF!</v>
      </c>
      <c r="R817" s="137" t="e">
        <f t="shared" si="403"/>
        <v>#REF!</v>
      </c>
      <c r="S817" s="137" t="e">
        <f t="shared" si="403"/>
        <v>#REF!</v>
      </c>
      <c r="T817" s="137" t="e">
        <f t="shared" si="403"/>
        <v>#REF!</v>
      </c>
      <c r="U817" s="371" t="e">
        <f t="shared" si="403"/>
        <v>#REF!</v>
      </c>
      <c r="V817" s="371" t="e">
        <f t="shared" si="403"/>
        <v>#REF!</v>
      </c>
      <c r="W817" s="371" t="e">
        <f t="shared" si="403"/>
        <v>#REF!</v>
      </c>
      <c r="X817" s="371" t="e">
        <f t="shared" si="403"/>
        <v>#REF!</v>
      </c>
      <c r="Y817" s="372"/>
      <c r="Z817" s="372"/>
      <c r="AA817" s="372"/>
      <c r="AB817" s="372"/>
      <c r="AC817" s="372"/>
      <c r="AD817" s="372"/>
      <c r="AE817" s="372"/>
      <c r="AF817" s="372"/>
      <c r="AG817" s="372"/>
      <c r="AH817" s="372"/>
      <c r="AI817" s="372"/>
      <c r="AJ817" s="372"/>
      <c r="AK817" s="372"/>
      <c r="AL817" s="372"/>
    </row>
    <row r="818" spans="1:38" ht="21.75" hidden="1" customHeight="1" x14ac:dyDescent="0.25">
      <c r="A818" s="80"/>
      <c r="B818" s="80"/>
      <c r="C818" s="80"/>
      <c r="D818" s="80"/>
      <c r="E818" s="80">
        <v>3851</v>
      </c>
      <c r="F818" s="81" t="s">
        <v>546</v>
      </c>
      <c r="G818" s="82" t="e">
        <f>SUMIF(#REF!,funkcijska!$E818,#REF!)</f>
        <v>#REF!</v>
      </c>
      <c r="H818" s="82" t="e">
        <f>SUMIF(#REF!,funkcijska!$E818,#REF!)</f>
        <v>#REF!</v>
      </c>
      <c r="I818" s="82" t="e">
        <f>SUMIF(#REF!,funkcijska!$E818,#REF!)</f>
        <v>#REF!</v>
      </c>
      <c r="J818" s="82" t="e">
        <f>SUMIF(#REF!,funkcijska!$E818,#REF!)</f>
        <v>#REF!</v>
      </c>
      <c r="K818" s="82" t="e">
        <f>SUMIF(#REF!,funkcijska!$E818,#REF!)</f>
        <v>#REF!</v>
      </c>
      <c r="L818" s="82" t="e">
        <f t="shared" si="398"/>
        <v>#REF!</v>
      </c>
      <c r="M818" s="82" t="e">
        <f t="shared" si="399"/>
        <v>#REF!</v>
      </c>
      <c r="N818" s="82" t="e">
        <f>SUMIF(#REF!,funkcijska!$E818,#REF!)</f>
        <v>#REF!</v>
      </c>
      <c r="O818" s="82" t="e">
        <f>SUMIF(#REF!,funkcijska!$E818,#REF!)</f>
        <v>#REF!</v>
      </c>
      <c r="P818" s="82" t="e">
        <f>SUMIF(#REF!,funkcijska!$E818,#REF!)</f>
        <v>#REF!</v>
      </c>
      <c r="Q818" s="386" t="e">
        <f>SUMIF(#REF!,funkcijska!$E818,#REF!)</f>
        <v>#REF!</v>
      </c>
      <c r="R818" s="82" t="e">
        <f>SUMIF(#REF!,funkcijska!$E818,#REF!)</f>
        <v>#REF!</v>
      </c>
      <c r="S818" s="82" t="e">
        <f>SUMIF(#REF!,funkcijska!$E818,#REF!)</f>
        <v>#REF!</v>
      </c>
      <c r="T818" s="82" t="e">
        <f>SUMIF(#REF!,funkcijska!$E$82,#REF!)</f>
        <v>#REF!</v>
      </c>
      <c r="U818" s="357" t="e">
        <f>SUMIF(#REF!,funkcijska!$E818,#REF!)</f>
        <v>#REF!</v>
      </c>
      <c r="V818" s="357" t="e">
        <f>SUMIF(#REF!,funkcijska!$E818,#REF!)+SUMIF(#REF!,funkcijska!$E818,#REF!)</f>
        <v>#REF!</v>
      </c>
      <c r="W818" s="357" t="e">
        <f>SUMIF(#REF!,funkcijska!$E818,#REF!)+SUMIF(#REF!,funkcijska!$E818,#REF!)</f>
        <v>#REF!</v>
      </c>
      <c r="X818" s="357" t="e">
        <f>SUMIF(#REF!,funkcijska!$E818,#REF!)+SUMIF(#REF!,funkcijska!$E818,#REF!)</f>
        <v>#REF!</v>
      </c>
      <c r="AD818" s="60"/>
      <c r="AE818" s="60"/>
      <c r="AF818" s="60"/>
      <c r="AG818" s="60"/>
      <c r="AH818" s="60"/>
      <c r="AI818" s="60"/>
      <c r="AJ818" s="60"/>
      <c r="AK818" s="60"/>
      <c r="AL818" s="60"/>
    </row>
    <row r="819" spans="1:38" x14ac:dyDescent="0.25">
      <c r="A819" s="108"/>
      <c r="B819" s="108"/>
      <c r="C819" s="108"/>
      <c r="D819" s="108"/>
      <c r="E819" s="108"/>
      <c r="F819" s="104" t="s">
        <v>1021</v>
      </c>
      <c r="G819" s="110"/>
      <c r="H819" s="103"/>
      <c r="I819" s="110"/>
      <c r="J819" s="110"/>
      <c r="K819" s="110"/>
      <c r="L819" s="110"/>
      <c r="M819" s="110"/>
      <c r="N819" s="110"/>
      <c r="O819" s="110"/>
      <c r="P819" s="110"/>
      <c r="Q819" s="395"/>
      <c r="R819" s="110"/>
      <c r="S819" s="110"/>
      <c r="T819" s="110"/>
      <c r="U819" s="361"/>
      <c r="V819" s="361"/>
      <c r="W819" s="361"/>
      <c r="X819" s="361"/>
      <c r="AD819" s="60"/>
      <c r="AE819" s="60"/>
      <c r="AF819" s="60"/>
      <c r="AG819" s="60"/>
      <c r="AH819" s="60"/>
      <c r="AI819" s="60"/>
      <c r="AJ819" s="60"/>
      <c r="AK819" s="60"/>
      <c r="AL819" s="60"/>
    </row>
    <row r="820" spans="1:38" x14ac:dyDescent="0.25">
      <c r="A820" s="74"/>
      <c r="B820" s="105" t="str">
        <f>LEFT(E829,1)</f>
        <v>4</v>
      </c>
      <c r="C820" s="105"/>
      <c r="D820" s="105"/>
      <c r="E820" s="105"/>
      <c r="F820" s="72" t="s">
        <v>552</v>
      </c>
      <c r="G820" s="313" t="e">
        <f>G821+G827+G849</f>
        <v>#REF!</v>
      </c>
      <c r="H820" s="73" t="e">
        <f>H821+H827+H849</f>
        <v>#REF!</v>
      </c>
      <c r="I820" s="313" t="e">
        <f>I821+I827+I849</f>
        <v>#REF!</v>
      </c>
      <c r="J820" s="313" t="e">
        <f>J821+J827+J849</f>
        <v>#REF!</v>
      </c>
      <c r="K820" s="313" t="e">
        <f>K821+K827+K849</f>
        <v>#REF!</v>
      </c>
      <c r="L820" s="313" t="e">
        <f t="shared" ref="L820:L827" si="404">ROUND(K820/J820*100,2)</f>
        <v>#REF!</v>
      </c>
      <c r="M820" s="313" t="e">
        <f t="shared" ref="M820:M827" si="405">N820-J820</f>
        <v>#REF!</v>
      </c>
      <c r="N820" s="313" t="e">
        <f t="shared" ref="N820:X820" si="406">N821+N827+N849</f>
        <v>#REF!</v>
      </c>
      <c r="O820" s="73" t="e">
        <f t="shared" si="406"/>
        <v>#REF!</v>
      </c>
      <c r="P820" s="73" t="e">
        <f t="shared" si="406"/>
        <v>#REF!</v>
      </c>
      <c r="Q820" s="412" t="e">
        <f t="shared" si="406"/>
        <v>#REF!</v>
      </c>
      <c r="R820" s="76" t="e">
        <f t="shared" si="406"/>
        <v>#REF!</v>
      </c>
      <c r="S820" s="76" t="e">
        <f t="shared" si="406"/>
        <v>#REF!</v>
      </c>
      <c r="T820" s="76" t="e">
        <f t="shared" si="406"/>
        <v>#REF!</v>
      </c>
      <c r="U820" s="355" t="e">
        <f t="shared" si="406"/>
        <v>#REF!</v>
      </c>
      <c r="V820" s="355" t="e">
        <f t="shared" si="406"/>
        <v>#REF!</v>
      </c>
      <c r="W820" s="355" t="e">
        <f t="shared" si="406"/>
        <v>#REF!</v>
      </c>
      <c r="X820" s="355" t="e">
        <f t="shared" si="406"/>
        <v>#REF!</v>
      </c>
      <c r="AD820" s="60"/>
      <c r="AE820" s="60"/>
      <c r="AF820" s="60"/>
      <c r="AG820" s="60"/>
      <c r="AH820" s="60"/>
      <c r="AI820" s="60"/>
      <c r="AJ820" s="60"/>
      <c r="AK820" s="60"/>
      <c r="AL820" s="60"/>
    </row>
    <row r="821" spans="1:38" ht="36" hidden="1" x14ac:dyDescent="0.25">
      <c r="A821" s="125"/>
      <c r="B821" s="74"/>
      <c r="C821" s="74">
        <v>41</v>
      </c>
      <c r="D821" s="74"/>
      <c r="E821" s="74"/>
      <c r="F821" s="75" t="s">
        <v>753</v>
      </c>
      <c r="G821" s="77" t="e">
        <f>G824+G822</f>
        <v>#REF!</v>
      </c>
      <c r="H821" s="118" t="e">
        <f>H824+H822</f>
        <v>#REF!</v>
      </c>
      <c r="I821" s="77" t="e">
        <f>I824+I822</f>
        <v>#REF!</v>
      </c>
      <c r="J821" s="77" t="e">
        <f>J824+J822</f>
        <v>#REF!</v>
      </c>
      <c r="K821" s="77" t="e">
        <f>K824+K822</f>
        <v>#REF!</v>
      </c>
      <c r="L821" s="77" t="e">
        <f t="shared" si="404"/>
        <v>#REF!</v>
      </c>
      <c r="M821" s="77" t="e">
        <f t="shared" si="405"/>
        <v>#REF!</v>
      </c>
      <c r="N821" s="77" t="e">
        <f t="shared" ref="N821:X821" si="407">N824+N822</f>
        <v>#REF!</v>
      </c>
      <c r="O821" s="76" t="e">
        <f t="shared" si="407"/>
        <v>#REF!</v>
      </c>
      <c r="P821" s="76" t="e">
        <f t="shared" si="407"/>
        <v>#REF!</v>
      </c>
      <c r="Q821" s="385" t="e">
        <f t="shared" si="407"/>
        <v>#REF!</v>
      </c>
      <c r="R821" s="135" t="e">
        <f t="shared" si="407"/>
        <v>#REF!</v>
      </c>
      <c r="S821" s="135" t="e">
        <f t="shared" si="407"/>
        <v>#REF!</v>
      </c>
      <c r="T821" s="135" t="e">
        <f t="shared" si="407"/>
        <v>#REF!</v>
      </c>
      <c r="U821" s="356" t="e">
        <f t="shared" si="407"/>
        <v>#REF!</v>
      </c>
      <c r="V821" s="356" t="e">
        <f t="shared" si="407"/>
        <v>#REF!</v>
      </c>
      <c r="W821" s="356" t="e">
        <f t="shared" si="407"/>
        <v>#REF!</v>
      </c>
      <c r="X821" s="356" t="e">
        <f t="shared" si="407"/>
        <v>#REF!</v>
      </c>
      <c r="AD821" s="60"/>
      <c r="AE821" s="60"/>
      <c r="AF821" s="60"/>
      <c r="AG821" s="60"/>
      <c r="AH821" s="60"/>
      <c r="AI821" s="60"/>
      <c r="AJ821" s="60"/>
      <c r="AK821" s="60"/>
      <c r="AL821" s="60"/>
    </row>
    <row r="822" spans="1:38" s="373" customFormat="1" ht="17.25" hidden="1" customHeight="1" x14ac:dyDescent="0.25">
      <c r="A822" s="119"/>
      <c r="B822" s="119"/>
      <c r="C822" s="119"/>
      <c r="D822" s="119" t="s">
        <v>1022</v>
      </c>
      <c r="E822" s="119"/>
      <c r="F822" s="368" t="s">
        <v>471</v>
      </c>
      <c r="G822" s="369" t="e">
        <f>G823</f>
        <v>#REF!</v>
      </c>
      <c r="H822" s="370" t="e">
        <f>H823</f>
        <v>#REF!</v>
      </c>
      <c r="I822" s="369" t="e">
        <f>I823</f>
        <v>#REF!</v>
      </c>
      <c r="J822" s="369" t="e">
        <f>J823</f>
        <v>#REF!</v>
      </c>
      <c r="K822" s="369" t="e">
        <f>K823</f>
        <v>#REF!</v>
      </c>
      <c r="L822" s="369" t="e">
        <f t="shared" si="404"/>
        <v>#REF!</v>
      </c>
      <c r="M822" s="369" t="e">
        <f t="shared" si="405"/>
        <v>#REF!</v>
      </c>
      <c r="N822" s="369" t="e">
        <f t="shared" ref="N822:X822" si="408">N823</f>
        <v>#REF!</v>
      </c>
      <c r="O822" s="137" t="e">
        <f t="shared" si="408"/>
        <v>#REF!</v>
      </c>
      <c r="P822" s="137" t="e">
        <f t="shared" si="408"/>
        <v>#REF!</v>
      </c>
      <c r="Q822" s="393" t="e">
        <f t="shared" si="408"/>
        <v>#REF!</v>
      </c>
      <c r="R822" s="137" t="e">
        <f t="shared" si="408"/>
        <v>#REF!</v>
      </c>
      <c r="S822" s="137" t="e">
        <f t="shared" si="408"/>
        <v>#REF!</v>
      </c>
      <c r="T822" s="137" t="e">
        <f t="shared" si="408"/>
        <v>#REF!</v>
      </c>
      <c r="U822" s="371" t="e">
        <f t="shared" si="408"/>
        <v>#REF!</v>
      </c>
      <c r="V822" s="371" t="e">
        <f t="shared" si="408"/>
        <v>#REF!</v>
      </c>
      <c r="W822" s="371" t="e">
        <f t="shared" si="408"/>
        <v>#REF!</v>
      </c>
      <c r="X822" s="371" t="e">
        <f t="shared" si="408"/>
        <v>#REF!</v>
      </c>
      <c r="Y822" s="372"/>
      <c r="Z822" s="372"/>
      <c r="AA822" s="372"/>
      <c r="AB822" s="372"/>
      <c r="AC822" s="372"/>
      <c r="AD822" s="372"/>
      <c r="AE822" s="372"/>
      <c r="AF822" s="372"/>
      <c r="AG822" s="372"/>
      <c r="AH822" s="372"/>
      <c r="AI822" s="372"/>
      <c r="AJ822" s="372"/>
      <c r="AK822" s="372"/>
      <c r="AL822" s="372"/>
    </row>
    <row r="823" spans="1:38" ht="24.75" hidden="1" customHeight="1" x14ac:dyDescent="0.25">
      <c r="A823" s="80"/>
      <c r="B823" s="80"/>
      <c r="C823" s="80"/>
      <c r="D823" s="80"/>
      <c r="E823" s="80">
        <v>4111</v>
      </c>
      <c r="F823" s="81" t="s">
        <v>755</v>
      </c>
      <c r="G823" s="82" t="e">
        <f>SUMIF(#REF!,funkcijska!$E823,#REF!)</f>
        <v>#REF!</v>
      </c>
      <c r="H823" s="82" t="e">
        <f>SUMIF(#REF!,funkcijska!$E823,#REF!)</f>
        <v>#REF!</v>
      </c>
      <c r="I823" s="82" t="e">
        <f>SUMIF(#REF!,funkcijska!$E823,#REF!)</f>
        <v>#REF!</v>
      </c>
      <c r="J823" s="82" t="e">
        <f>SUMIF(#REF!,funkcijska!$E823,#REF!)</f>
        <v>#REF!</v>
      </c>
      <c r="K823" s="82" t="e">
        <f>SUMIF(#REF!,funkcijska!$E823,#REF!)</f>
        <v>#REF!</v>
      </c>
      <c r="L823" s="82" t="e">
        <f t="shared" si="404"/>
        <v>#REF!</v>
      </c>
      <c r="M823" s="82" t="e">
        <f t="shared" si="405"/>
        <v>#REF!</v>
      </c>
      <c r="N823" s="82" t="e">
        <f>SUMIF(#REF!,funkcijska!$E823,#REF!)</f>
        <v>#REF!</v>
      </c>
      <c r="O823" s="82" t="e">
        <f>SUMIF(#REF!,funkcijska!$E823,#REF!)</f>
        <v>#REF!</v>
      </c>
      <c r="P823" s="82" t="e">
        <f>SUMIF(#REF!,funkcijska!$E823,#REF!)</f>
        <v>#REF!</v>
      </c>
      <c r="Q823" s="386" t="e">
        <f>SUMIF(#REF!,funkcijska!$E823,#REF!)</f>
        <v>#REF!</v>
      </c>
      <c r="R823" s="82" t="e">
        <f>SUMIF(#REF!,funkcijska!$E823,#REF!)</f>
        <v>#REF!</v>
      </c>
      <c r="S823" s="82" t="e">
        <f>SUMIF(#REF!,funkcijska!$E823,#REF!)</f>
        <v>#REF!</v>
      </c>
      <c r="T823" s="82" t="e">
        <f>SUMIF(#REF!,funkcijska!$E$87,#REF!)</f>
        <v>#REF!</v>
      </c>
      <c r="U823" s="357" t="e">
        <f>SUMIF(#REF!,funkcijska!$E823,#REF!)</f>
        <v>#REF!</v>
      </c>
      <c r="V823" s="357" t="e">
        <f>SUMIF(#REF!,funkcijska!$E823,#REF!)+SUMIF(#REF!,funkcijska!$E823,#REF!)</f>
        <v>#REF!</v>
      </c>
      <c r="W823" s="357" t="e">
        <f>SUMIF(#REF!,funkcijska!$E823,#REF!)+SUMIF(#REF!,funkcijska!$E823,#REF!)</f>
        <v>#REF!</v>
      </c>
      <c r="X823" s="357" t="e">
        <f>SUMIF(#REF!,funkcijska!$E823,#REF!)+SUMIF(#REF!,funkcijska!$E823,#REF!)</f>
        <v>#REF!</v>
      </c>
      <c r="AD823" s="60"/>
      <c r="AE823" s="60"/>
      <c r="AF823" s="60"/>
      <c r="AG823" s="60"/>
      <c r="AH823" s="60"/>
      <c r="AI823" s="60"/>
      <c r="AJ823" s="60"/>
      <c r="AK823" s="60"/>
      <c r="AL823" s="60"/>
    </row>
    <row r="824" spans="1:38" s="373" customFormat="1" ht="18.75" hidden="1" customHeight="1" x14ac:dyDescent="0.25">
      <c r="A824" s="119"/>
      <c r="B824" s="119"/>
      <c r="C824" s="119"/>
      <c r="D824" s="119">
        <v>412</v>
      </c>
      <c r="E824" s="119"/>
      <c r="F824" s="368" t="s">
        <v>553</v>
      </c>
      <c r="G824" s="137" t="e">
        <f>G825+G826</f>
        <v>#REF!</v>
      </c>
      <c r="H824" s="137" t="e">
        <f>H825+H826</f>
        <v>#REF!</v>
      </c>
      <c r="I824" s="137" t="e">
        <f>I825+I826</f>
        <v>#REF!</v>
      </c>
      <c r="J824" s="137" t="e">
        <f>J825+J826</f>
        <v>#REF!</v>
      </c>
      <c r="K824" s="137" t="e">
        <f>K825+K826</f>
        <v>#REF!</v>
      </c>
      <c r="L824" s="137" t="e">
        <f t="shared" si="404"/>
        <v>#REF!</v>
      </c>
      <c r="M824" s="137" t="e">
        <f t="shared" si="405"/>
        <v>#REF!</v>
      </c>
      <c r="N824" s="137" t="e">
        <f t="shared" ref="N824:X824" si="409">N825+N826</f>
        <v>#REF!</v>
      </c>
      <c r="O824" s="137" t="e">
        <f t="shared" si="409"/>
        <v>#REF!</v>
      </c>
      <c r="P824" s="137" t="e">
        <f t="shared" si="409"/>
        <v>#REF!</v>
      </c>
      <c r="Q824" s="393" t="e">
        <f t="shared" si="409"/>
        <v>#REF!</v>
      </c>
      <c r="R824" s="137" t="e">
        <f t="shared" si="409"/>
        <v>#REF!</v>
      </c>
      <c r="S824" s="137" t="e">
        <f t="shared" si="409"/>
        <v>#REF!</v>
      </c>
      <c r="T824" s="137" t="e">
        <f t="shared" si="409"/>
        <v>#REF!</v>
      </c>
      <c r="U824" s="371" t="e">
        <f t="shared" si="409"/>
        <v>#REF!</v>
      </c>
      <c r="V824" s="371" t="e">
        <f t="shared" si="409"/>
        <v>#REF!</v>
      </c>
      <c r="W824" s="371" t="e">
        <f t="shared" si="409"/>
        <v>#REF!</v>
      </c>
      <c r="X824" s="371" t="e">
        <f t="shared" si="409"/>
        <v>#REF!</v>
      </c>
      <c r="Y824" s="372"/>
      <c r="Z824" s="372"/>
      <c r="AA824" s="372"/>
      <c r="AB824" s="372"/>
      <c r="AC824" s="372"/>
      <c r="AD824" s="372"/>
      <c r="AE824" s="372"/>
      <c r="AF824" s="372"/>
      <c r="AG824" s="372"/>
      <c r="AH824" s="372"/>
      <c r="AI824" s="372"/>
      <c r="AJ824" s="372"/>
      <c r="AK824" s="372"/>
      <c r="AL824" s="372"/>
    </row>
    <row r="825" spans="1:38" ht="18" hidden="1" customHeight="1" x14ac:dyDescent="0.25">
      <c r="A825" s="80"/>
      <c r="B825" s="80"/>
      <c r="C825" s="80"/>
      <c r="D825" s="80"/>
      <c r="E825" s="80">
        <v>4123</v>
      </c>
      <c r="F825" s="81" t="s">
        <v>554</v>
      </c>
      <c r="G825" s="82" t="e">
        <f>SUMIF(#REF!,funkcijska!$E825,#REF!)</f>
        <v>#REF!</v>
      </c>
      <c r="H825" s="82" t="e">
        <f>SUMIF(#REF!,funkcijska!$E825,#REF!)</f>
        <v>#REF!</v>
      </c>
      <c r="I825" s="82" t="e">
        <f>SUMIF(#REF!,funkcijska!$E825,#REF!)</f>
        <v>#REF!</v>
      </c>
      <c r="J825" s="82" t="e">
        <f>SUMIF(#REF!,funkcijska!$E825,#REF!)</f>
        <v>#REF!</v>
      </c>
      <c r="K825" s="82" t="e">
        <f>SUMIF(#REF!,funkcijska!$E825,#REF!)</f>
        <v>#REF!</v>
      </c>
      <c r="L825" s="82" t="e">
        <f t="shared" si="404"/>
        <v>#REF!</v>
      </c>
      <c r="M825" s="82" t="e">
        <f t="shared" si="405"/>
        <v>#REF!</v>
      </c>
      <c r="N825" s="82" t="e">
        <f>SUMIF(#REF!,funkcijska!$E825,#REF!)</f>
        <v>#REF!</v>
      </c>
      <c r="O825" s="82" t="e">
        <f>SUMIF(#REF!,funkcijska!$E825,#REF!)</f>
        <v>#REF!</v>
      </c>
      <c r="P825" s="82" t="e">
        <f>SUMIF(#REF!,funkcijska!$E825,#REF!)</f>
        <v>#REF!</v>
      </c>
      <c r="Q825" s="386" t="e">
        <f>SUMIF(#REF!,funkcijska!$E825,#REF!)</f>
        <v>#REF!</v>
      </c>
      <c r="R825" s="82" t="e">
        <f>SUMIF(#REF!,funkcijska!$E825,#REF!)</f>
        <v>#REF!</v>
      </c>
      <c r="S825" s="82" t="e">
        <f>SUMIF(#REF!,funkcijska!$E825,#REF!)</f>
        <v>#REF!</v>
      </c>
      <c r="T825" s="82" t="e">
        <f>SUMIF(#REF!,funkcijska!$E$89,#REF!)</f>
        <v>#REF!</v>
      </c>
      <c r="U825" s="357" t="e">
        <f>SUMIF(#REF!,funkcijska!$E825,#REF!)</f>
        <v>#REF!</v>
      </c>
      <c r="V825" s="357" t="e">
        <f>SUMIF(#REF!,funkcijska!$E825,#REF!)+SUMIF(#REF!,funkcijska!$E825,#REF!)</f>
        <v>#REF!</v>
      </c>
      <c r="W825" s="357" t="e">
        <f>SUMIF(#REF!,funkcijska!$E825,#REF!)+SUMIF(#REF!,funkcijska!$E825,#REF!)</f>
        <v>#REF!</v>
      </c>
      <c r="X825" s="357" t="e">
        <f>SUMIF(#REF!,funkcijska!$E825,#REF!)+SUMIF(#REF!,funkcijska!$E825,#REF!)</f>
        <v>#REF!</v>
      </c>
      <c r="AD825" s="60"/>
      <c r="AE825" s="60"/>
      <c r="AF825" s="60"/>
      <c r="AG825" s="60"/>
      <c r="AH825" s="60"/>
      <c r="AI825" s="60"/>
      <c r="AJ825" s="60"/>
      <c r="AK825" s="60"/>
      <c r="AL825" s="60"/>
    </row>
    <row r="826" spans="1:38" ht="18.75" hidden="1" customHeight="1" x14ac:dyDescent="0.25">
      <c r="A826" s="80"/>
      <c r="B826" s="80"/>
      <c r="C826" s="80"/>
      <c r="D826" s="80"/>
      <c r="E826" s="136" t="s">
        <v>1023</v>
      </c>
      <c r="F826" s="81" t="s">
        <v>1024</v>
      </c>
      <c r="G826" s="82" t="e">
        <f>SUMIF(#REF!,funkcijska!$E826,#REF!)</f>
        <v>#REF!</v>
      </c>
      <c r="H826" s="82" t="e">
        <f>SUMIF(#REF!,funkcijska!$E826,#REF!)</f>
        <v>#REF!</v>
      </c>
      <c r="I826" s="82" t="e">
        <f>SUMIF(#REF!,funkcijska!$E826,#REF!)</f>
        <v>#REF!</v>
      </c>
      <c r="J826" s="82" t="e">
        <f>SUMIF(#REF!,funkcijska!$E826,#REF!)</f>
        <v>#REF!</v>
      </c>
      <c r="K826" s="82" t="e">
        <f>SUMIF(#REF!,funkcijska!$E826,#REF!)</f>
        <v>#REF!</v>
      </c>
      <c r="L826" s="82" t="e">
        <f t="shared" si="404"/>
        <v>#REF!</v>
      </c>
      <c r="M826" s="82" t="e">
        <f t="shared" si="405"/>
        <v>#REF!</v>
      </c>
      <c r="N826" s="82" t="e">
        <f>SUMIF(#REF!,funkcijska!$E826,#REF!)</f>
        <v>#REF!</v>
      </c>
      <c r="O826" s="82" t="e">
        <f>SUMIF(#REF!,funkcijska!$E826,#REF!)</f>
        <v>#REF!</v>
      </c>
      <c r="P826" s="82" t="e">
        <f>SUMIF(#REF!,funkcijska!$E826,#REF!)</f>
        <v>#REF!</v>
      </c>
      <c r="Q826" s="389" t="e">
        <f>U826-O826</f>
        <v>#REF!</v>
      </c>
      <c r="R826" s="82" t="e">
        <f>SUMIF(#REF!,funkcijska!$E826,#REF!)</f>
        <v>#REF!</v>
      </c>
      <c r="S826" s="82" t="e">
        <f>SUMIF(#REF!,funkcijska!$E826,#REF!)</f>
        <v>#REF!</v>
      </c>
      <c r="T826" s="82" t="e">
        <f>SUMIF(#REF!,funkcijska!$E$90,#REF!)</f>
        <v>#REF!</v>
      </c>
      <c r="U826" s="357" t="e">
        <f>SUMIF(#REF!,funkcijska!$E826,#REF!)</f>
        <v>#REF!</v>
      </c>
      <c r="V826" s="357" t="e">
        <f>SUMIF(#REF!,funkcijska!$E826,#REF!)</f>
        <v>#REF!</v>
      </c>
      <c r="W826" s="357" t="e">
        <f>SUMIF(#REF!,funkcijska!$E826,#REF!)</f>
        <v>#REF!</v>
      </c>
      <c r="X826" s="357" t="e">
        <f>SUMIF(#REF!,funkcijska!$E826,#REF!)</f>
        <v>#REF!</v>
      </c>
      <c r="AD826" s="60"/>
      <c r="AE826" s="60"/>
      <c r="AF826" s="60"/>
      <c r="AG826" s="60"/>
      <c r="AH826" s="60"/>
      <c r="AI826" s="60"/>
      <c r="AJ826" s="60"/>
      <c r="AK826" s="60"/>
      <c r="AL826" s="60"/>
    </row>
    <row r="827" spans="1:38" ht="36.75" customHeight="1" x14ac:dyDescent="0.25">
      <c r="A827" s="125"/>
      <c r="B827" s="74"/>
      <c r="C827" s="74" t="str">
        <f>LEFT(E829,2)</f>
        <v>42</v>
      </c>
      <c r="D827" s="74"/>
      <c r="E827" s="74"/>
      <c r="F827" s="75" t="s">
        <v>212</v>
      </c>
      <c r="G827" s="77" t="e">
        <f>G828+G832+G840+G842+G846+G844</f>
        <v>#REF!</v>
      </c>
      <c r="H827" s="118" t="e">
        <f>H828+H832+H840+H842+H846+H844</f>
        <v>#REF!</v>
      </c>
      <c r="I827" s="77" t="e">
        <f>I828+I832+I840+I842+I846+I844</f>
        <v>#REF!</v>
      </c>
      <c r="J827" s="77" t="e">
        <f>J828+J832+J840+J842+J846+J844</f>
        <v>#REF!</v>
      </c>
      <c r="K827" s="77" t="e">
        <f>K828+K832+K840+K842+K846+K844</f>
        <v>#REF!</v>
      </c>
      <c r="L827" s="77" t="e">
        <f t="shared" si="404"/>
        <v>#REF!</v>
      </c>
      <c r="M827" s="77" t="e">
        <f t="shared" si="405"/>
        <v>#REF!</v>
      </c>
      <c r="N827" s="77" t="e">
        <f t="shared" ref="N827:X827" si="410">N828+N832+N840+N842+N846+N844</f>
        <v>#REF!</v>
      </c>
      <c r="O827" s="76" t="e">
        <f t="shared" si="410"/>
        <v>#REF!</v>
      </c>
      <c r="P827" s="76" t="e">
        <f t="shared" si="410"/>
        <v>#REF!</v>
      </c>
      <c r="Q827" s="385" t="e">
        <f t="shared" si="410"/>
        <v>#REF!</v>
      </c>
      <c r="R827" s="135" t="e">
        <f t="shared" si="410"/>
        <v>#REF!</v>
      </c>
      <c r="S827" s="135" t="e">
        <f t="shared" si="410"/>
        <v>#REF!</v>
      </c>
      <c r="T827" s="135" t="e">
        <f t="shared" si="410"/>
        <v>#REF!</v>
      </c>
      <c r="U827" s="356" t="e">
        <f t="shared" si="410"/>
        <v>#REF!</v>
      </c>
      <c r="V827" s="356" t="e">
        <f t="shared" si="410"/>
        <v>#REF!</v>
      </c>
      <c r="W827" s="356" t="e">
        <f t="shared" si="410"/>
        <v>#REF!</v>
      </c>
      <c r="X827" s="356" t="e">
        <f t="shared" si="410"/>
        <v>#REF!</v>
      </c>
      <c r="AD827" s="60"/>
      <c r="AE827" s="60"/>
      <c r="AF827" s="60"/>
      <c r="AG827" s="60"/>
      <c r="AH827" s="60"/>
      <c r="AI827" s="60"/>
      <c r="AJ827" s="60"/>
      <c r="AK827" s="60"/>
      <c r="AL827" s="60"/>
    </row>
    <row r="828" spans="1:38" s="373" customFormat="1" ht="17.25" hidden="1" customHeight="1" x14ac:dyDescent="0.25">
      <c r="A828" s="119"/>
      <c r="B828" s="119"/>
      <c r="C828" s="119"/>
      <c r="D828" s="119" t="str">
        <f>LEFT(E829,3)</f>
        <v>421</v>
      </c>
      <c r="E828" s="119"/>
      <c r="F828" s="368" t="s">
        <v>759</v>
      </c>
      <c r="G828" s="369" t="e">
        <f t="shared" ref="G828:X828" si="411">SUM(G829:G831)</f>
        <v>#REF!</v>
      </c>
      <c r="H828" s="370" t="e">
        <f t="shared" si="411"/>
        <v>#REF!</v>
      </c>
      <c r="I828" s="369" t="e">
        <f t="shared" si="411"/>
        <v>#REF!</v>
      </c>
      <c r="J828" s="369" t="e">
        <f t="shared" si="411"/>
        <v>#REF!</v>
      </c>
      <c r="K828" s="369" t="e">
        <f t="shared" si="411"/>
        <v>#REF!</v>
      </c>
      <c r="L828" s="369" t="e">
        <f t="shared" si="411"/>
        <v>#REF!</v>
      </c>
      <c r="M828" s="369" t="e">
        <f t="shared" si="411"/>
        <v>#REF!</v>
      </c>
      <c r="N828" s="369" t="e">
        <f t="shared" si="411"/>
        <v>#REF!</v>
      </c>
      <c r="O828" s="369" t="e">
        <f t="shared" si="411"/>
        <v>#REF!</v>
      </c>
      <c r="P828" s="369" t="e">
        <f t="shared" si="411"/>
        <v>#REF!</v>
      </c>
      <c r="Q828" s="392" t="e">
        <f t="shared" si="411"/>
        <v>#REF!</v>
      </c>
      <c r="R828" s="369" t="e">
        <f t="shared" si="411"/>
        <v>#REF!</v>
      </c>
      <c r="S828" s="369" t="e">
        <f t="shared" si="411"/>
        <v>#REF!</v>
      </c>
      <c r="T828" s="369" t="e">
        <f t="shared" si="411"/>
        <v>#REF!</v>
      </c>
      <c r="U828" s="374" t="e">
        <f t="shared" si="411"/>
        <v>#REF!</v>
      </c>
      <c r="V828" s="374" t="e">
        <f t="shared" si="411"/>
        <v>#REF!</v>
      </c>
      <c r="W828" s="374" t="e">
        <f t="shared" si="411"/>
        <v>#REF!</v>
      </c>
      <c r="X828" s="371" t="e">
        <f t="shared" si="411"/>
        <v>#REF!</v>
      </c>
      <c r="Y828" s="372"/>
      <c r="Z828" s="372"/>
      <c r="AA828" s="372"/>
      <c r="AB828" s="372"/>
      <c r="AC828" s="372"/>
      <c r="AD828" s="372"/>
      <c r="AE828" s="372"/>
      <c r="AF828" s="372"/>
      <c r="AG828" s="372"/>
      <c r="AH828" s="372"/>
      <c r="AI828" s="372"/>
      <c r="AJ828" s="372"/>
      <c r="AK828" s="372"/>
      <c r="AL828" s="372"/>
    </row>
    <row r="829" spans="1:38" ht="21" hidden="1" customHeight="1" x14ac:dyDescent="0.25">
      <c r="A829" s="80"/>
      <c r="B829" s="80"/>
      <c r="C829" s="80"/>
      <c r="D829" s="80"/>
      <c r="E829" s="80">
        <v>4212</v>
      </c>
      <c r="F829" s="81" t="s">
        <v>1025</v>
      </c>
      <c r="G829" s="82" t="e">
        <f>SUMIF(#REF!,funkcijska!$E829,#REF!)</f>
        <v>#REF!</v>
      </c>
      <c r="H829" s="82" t="e">
        <f>SUMIF(#REF!,funkcijska!$E829,#REF!)</f>
        <v>#REF!</v>
      </c>
      <c r="I829" s="82" t="e">
        <f>SUMIF(#REF!,funkcijska!$E829,#REF!)</f>
        <v>#REF!</v>
      </c>
      <c r="J829" s="82" t="e">
        <f>SUMIF(#REF!,funkcijska!$E829,#REF!)</f>
        <v>#REF!</v>
      </c>
      <c r="K829" s="82" t="e">
        <f>SUMIF(#REF!,funkcijska!$E829,#REF!)</f>
        <v>#REF!</v>
      </c>
      <c r="L829" s="82" t="e">
        <f>ROUND(K829/J829*100,2)</f>
        <v>#REF!</v>
      </c>
      <c r="M829" s="82" t="e">
        <f>N829-J829</f>
        <v>#REF!</v>
      </c>
      <c r="N829" s="82" t="e">
        <f>SUMIF(#REF!,funkcijska!$E829,#REF!)</f>
        <v>#REF!</v>
      </c>
      <c r="O829" s="82" t="e">
        <f>SUMIF(#REF!,funkcijska!$E829,#REF!)</f>
        <v>#REF!</v>
      </c>
      <c r="P829" s="82" t="e">
        <f>SUMIF(#REF!,funkcijska!$E829,#REF!)</f>
        <v>#REF!</v>
      </c>
      <c r="Q829" s="386" t="e">
        <f>SUMIF(#REF!,funkcijska!$E829,#REF!)</f>
        <v>#REF!</v>
      </c>
      <c r="R829" s="82" t="e">
        <f>SUMIF(#REF!,funkcijska!$E829,#REF!)</f>
        <v>#REF!</v>
      </c>
      <c r="S829" s="82" t="e">
        <f>SUMIF(#REF!,funkcijska!$E829,#REF!)</f>
        <v>#REF!</v>
      </c>
      <c r="T829" s="82" t="e">
        <f>SUMIF(#REF!,funkcijska!$E$93,#REF!)</f>
        <v>#REF!</v>
      </c>
      <c r="U829" s="357" t="e">
        <f>SUMIF(#REF!,funkcijska!$E829,#REF!)</f>
        <v>#REF!</v>
      </c>
      <c r="V829" s="357" t="e">
        <f>SUMIF(#REF!,funkcijska!$E829,#REF!)+SUMIF(#REF!,funkcijska!$E829,#REF!)</f>
        <v>#REF!</v>
      </c>
      <c r="W829" s="357" t="e">
        <f>SUMIF(#REF!,funkcijska!$E829,#REF!)+SUMIF(#REF!,funkcijska!$E829,#REF!)</f>
        <v>#REF!</v>
      </c>
      <c r="X829" s="357" t="e">
        <f>SUMIF(#REF!,funkcijska!$E829,#REF!)+SUMIF(#REF!,funkcijska!$E829,#REF!)</f>
        <v>#REF!</v>
      </c>
      <c r="AD829" s="60"/>
      <c r="AE829" s="60"/>
      <c r="AF829" s="60"/>
      <c r="AG829" s="60"/>
      <c r="AH829" s="60"/>
      <c r="AI829" s="60"/>
      <c r="AJ829" s="60"/>
      <c r="AK829" s="60"/>
      <c r="AL829" s="60"/>
    </row>
    <row r="830" spans="1:38" ht="15" hidden="1" customHeight="1" x14ac:dyDescent="0.25">
      <c r="A830" s="80"/>
      <c r="B830" s="80"/>
      <c r="C830" s="80"/>
      <c r="D830" s="80"/>
      <c r="E830" s="80">
        <v>4213</v>
      </c>
      <c r="F830" s="81" t="s">
        <v>1026</v>
      </c>
      <c r="G830" s="82" t="e">
        <f>SUMIF(#REF!,funkcijska!$E830,#REF!)</f>
        <v>#REF!</v>
      </c>
      <c r="H830" s="82" t="e">
        <f>SUMIF(#REF!,funkcijska!$E830,#REF!)</f>
        <v>#REF!</v>
      </c>
      <c r="I830" s="82" t="e">
        <f>SUMIF(#REF!,funkcijska!$E830,#REF!)</f>
        <v>#REF!</v>
      </c>
      <c r="J830" s="82" t="e">
        <f>SUMIF(#REF!,funkcijska!$E830,#REF!)</f>
        <v>#REF!</v>
      </c>
      <c r="K830" s="82" t="e">
        <f>SUMIF(#REF!,funkcijska!$E830,#REF!)</f>
        <v>#REF!</v>
      </c>
      <c r="L830" s="82" t="e">
        <f>ROUND(K830/J830*100,2)</f>
        <v>#REF!</v>
      </c>
      <c r="M830" s="82" t="e">
        <f>N830-J830</f>
        <v>#REF!</v>
      </c>
      <c r="N830" s="82" t="e">
        <f>SUMIF(#REF!,funkcijska!$E830,#REF!)</f>
        <v>#REF!</v>
      </c>
      <c r="O830" s="82" t="e">
        <f>SUMIF(#REF!,funkcijska!$E830,#REF!)</f>
        <v>#REF!</v>
      </c>
      <c r="P830" s="82" t="e">
        <f>SUMIF(#REF!,funkcijska!$E830,#REF!)</f>
        <v>#REF!</v>
      </c>
      <c r="Q830" s="386" t="e">
        <f>SUMIF(#REF!,funkcijska!$E830,#REF!)</f>
        <v>#REF!</v>
      </c>
      <c r="R830" s="82" t="e">
        <f>SUMIF(#REF!,funkcijska!$E830,#REF!)</f>
        <v>#REF!</v>
      </c>
      <c r="S830" s="82" t="e">
        <f>SUMIF(#REF!,funkcijska!$E830,#REF!)</f>
        <v>#REF!</v>
      </c>
      <c r="T830" s="82" t="e">
        <f>SUMIF(#REF!,funkcijska!$E$94,#REF!)</f>
        <v>#REF!</v>
      </c>
      <c r="U830" s="357" t="e">
        <f>SUMIF(#REF!,funkcijska!$E830,#REF!)</f>
        <v>#REF!</v>
      </c>
      <c r="V830" s="357" t="e">
        <f>SUMIF(#REF!,funkcijska!$E830,#REF!)+SUMIF(#REF!,funkcijska!$E830,#REF!)</f>
        <v>#REF!</v>
      </c>
      <c r="W830" s="357" t="e">
        <f>SUMIF(#REF!,funkcijska!$E830,#REF!)+SUMIF(#REF!,funkcijska!$E830,#REF!)</f>
        <v>#REF!</v>
      </c>
      <c r="X830" s="357" t="e">
        <f>SUMIF(#REF!,funkcijska!$E830,#REF!)+SUMIF(#REF!,funkcijska!$E830,#REF!)</f>
        <v>#REF!</v>
      </c>
      <c r="AD830" s="60"/>
      <c r="AE830" s="60"/>
      <c r="AF830" s="60"/>
      <c r="AG830" s="60"/>
      <c r="AH830" s="60"/>
      <c r="AI830" s="60"/>
      <c r="AJ830" s="60"/>
      <c r="AK830" s="60"/>
      <c r="AL830" s="60"/>
    </row>
    <row r="831" spans="1:38" ht="20.25" hidden="1" customHeight="1" x14ac:dyDescent="0.25">
      <c r="A831" s="80"/>
      <c r="B831" s="80"/>
      <c r="C831" s="80"/>
      <c r="D831" s="80"/>
      <c r="E831" s="80">
        <v>4214</v>
      </c>
      <c r="F831" s="132" t="s">
        <v>1027</v>
      </c>
      <c r="G831" s="82" t="e">
        <f>SUMIF(#REF!,funkcijska!$E831,#REF!)</f>
        <v>#REF!</v>
      </c>
      <c r="H831" s="82" t="e">
        <f>SUMIF(#REF!,funkcijska!$E831,#REF!)</f>
        <v>#REF!</v>
      </c>
      <c r="I831" s="82" t="e">
        <f>SUMIF(#REF!,funkcijska!$E831,#REF!)</f>
        <v>#REF!</v>
      </c>
      <c r="J831" s="82" t="e">
        <f>SUMIF(#REF!,funkcijska!$E831,#REF!)</f>
        <v>#REF!</v>
      </c>
      <c r="K831" s="82" t="e">
        <f>SUMIF(#REF!,funkcijska!$E831,#REF!)</f>
        <v>#REF!</v>
      </c>
      <c r="L831" s="82" t="e">
        <f>ROUND(K831/J831*100,2)</f>
        <v>#REF!</v>
      </c>
      <c r="M831" s="82" t="e">
        <f>N831-J831</f>
        <v>#REF!</v>
      </c>
      <c r="N831" s="82" t="e">
        <f>SUMIF(#REF!,funkcijska!$E831,#REF!)</f>
        <v>#REF!</v>
      </c>
      <c r="O831" s="82" t="e">
        <f>SUMIF(#REF!,funkcijska!$E831,#REF!)</f>
        <v>#REF!</v>
      </c>
      <c r="P831" s="82" t="e">
        <f>SUMIF(#REF!,funkcijska!$E831,#REF!)</f>
        <v>#REF!</v>
      </c>
      <c r="Q831" s="386" t="e">
        <f>SUMIF(#REF!,funkcijska!$E831,#REF!)</f>
        <v>#REF!</v>
      </c>
      <c r="R831" s="82" t="e">
        <f>SUMIF(#REF!,funkcijska!$E831,#REF!)</f>
        <v>#REF!</v>
      </c>
      <c r="S831" s="82" t="e">
        <f>SUMIF(#REF!,funkcijska!$E831,#REF!)</f>
        <v>#REF!</v>
      </c>
      <c r="T831" s="82" t="e">
        <f>SUMIF(#REF!,funkcijska!$E$95,#REF!)</f>
        <v>#REF!</v>
      </c>
      <c r="U831" s="357" t="e">
        <f>SUMIF(#REF!,funkcijska!$E831,#REF!)</f>
        <v>#REF!</v>
      </c>
      <c r="V831" s="357" t="e">
        <f>SUMIF(#REF!,funkcijska!$E831,#REF!)+SUMIF(#REF!,funkcijska!$E831,#REF!)</f>
        <v>#REF!</v>
      </c>
      <c r="W831" s="357" t="e">
        <f>SUMIF(#REF!,funkcijska!$E831,#REF!)+SUMIF(#REF!,funkcijska!$E831,#REF!)</f>
        <v>#REF!</v>
      </c>
      <c r="X831" s="357" t="e">
        <f>SUMIF(#REF!,funkcijska!$E831,#REF!)+SUMIF(#REF!,funkcijska!$E831,#REF!)</f>
        <v>#REF!</v>
      </c>
      <c r="AD831" s="60"/>
      <c r="AE831" s="60"/>
      <c r="AF831" s="60"/>
      <c r="AG831" s="60"/>
      <c r="AH831" s="60"/>
      <c r="AI831" s="60"/>
      <c r="AJ831" s="60"/>
      <c r="AK831" s="60"/>
      <c r="AL831" s="60"/>
    </row>
    <row r="832" spans="1:38" s="373" customFormat="1" ht="17.25" customHeight="1" x14ac:dyDescent="0.25">
      <c r="A832" s="119"/>
      <c r="B832" s="119"/>
      <c r="C832" s="119"/>
      <c r="D832" s="119" t="str">
        <f>LEFT(E833,3)</f>
        <v>422</v>
      </c>
      <c r="E832" s="119"/>
      <c r="F832" s="368" t="s">
        <v>555</v>
      </c>
      <c r="G832" s="369" t="e">
        <f t="shared" ref="G832:X832" si="412">SUM(G833:G839)</f>
        <v>#REF!</v>
      </c>
      <c r="H832" s="370" t="e">
        <f t="shared" si="412"/>
        <v>#REF!</v>
      </c>
      <c r="I832" s="369" t="e">
        <f t="shared" si="412"/>
        <v>#REF!</v>
      </c>
      <c r="J832" s="369" t="e">
        <f t="shared" si="412"/>
        <v>#REF!</v>
      </c>
      <c r="K832" s="369" t="e">
        <f t="shared" si="412"/>
        <v>#REF!</v>
      </c>
      <c r="L832" s="369" t="e">
        <f t="shared" si="412"/>
        <v>#REF!</v>
      </c>
      <c r="M832" s="369" t="e">
        <f t="shared" si="412"/>
        <v>#REF!</v>
      </c>
      <c r="N832" s="369" t="e">
        <f t="shared" si="412"/>
        <v>#REF!</v>
      </c>
      <c r="O832" s="369" t="e">
        <f t="shared" si="412"/>
        <v>#REF!</v>
      </c>
      <c r="P832" s="369" t="e">
        <f t="shared" si="412"/>
        <v>#REF!</v>
      </c>
      <c r="Q832" s="392" t="e">
        <f t="shared" si="412"/>
        <v>#REF!</v>
      </c>
      <c r="R832" s="369" t="e">
        <f t="shared" si="412"/>
        <v>#REF!</v>
      </c>
      <c r="S832" s="369" t="e">
        <f t="shared" si="412"/>
        <v>#REF!</v>
      </c>
      <c r="T832" s="369" t="e">
        <f t="shared" si="412"/>
        <v>#REF!</v>
      </c>
      <c r="U832" s="371" t="e">
        <f t="shared" si="412"/>
        <v>#REF!</v>
      </c>
      <c r="V832" s="371" t="e">
        <f t="shared" si="412"/>
        <v>#REF!</v>
      </c>
      <c r="W832" s="371" t="e">
        <f t="shared" si="412"/>
        <v>#REF!</v>
      </c>
      <c r="X832" s="371" t="e">
        <f t="shared" si="412"/>
        <v>#REF!</v>
      </c>
      <c r="Y832" s="372"/>
      <c r="Z832" s="372"/>
      <c r="AA832" s="372"/>
      <c r="AB832" s="372"/>
      <c r="AC832" s="372"/>
      <c r="AD832" s="372"/>
      <c r="AE832" s="372"/>
      <c r="AF832" s="372"/>
      <c r="AG832" s="372"/>
      <c r="AH832" s="372"/>
      <c r="AI832" s="372"/>
      <c r="AJ832" s="372"/>
      <c r="AK832" s="372"/>
      <c r="AL832" s="372"/>
    </row>
    <row r="833" spans="1:38" ht="18.75" customHeight="1" x14ac:dyDescent="0.25">
      <c r="A833" s="80"/>
      <c r="B833" s="80"/>
      <c r="C833" s="80"/>
      <c r="D833" s="80"/>
      <c r="E833" s="80">
        <v>4221</v>
      </c>
      <c r="F833" s="81" t="s">
        <v>558</v>
      </c>
      <c r="G833" s="82" t="e">
        <f>SUMIF(#REF!,funkcijska!$E833,#REF!)</f>
        <v>#REF!</v>
      </c>
      <c r="H833" s="82" t="e">
        <f>SUMIF(#REF!,funkcijska!$E833,#REF!)</f>
        <v>#REF!</v>
      </c>
      <c r="I833" s="82" t="e">
        <f>SUMIF(#REF!,funkcijska!$E833,#REF!)</f>
        <v>#REF!</v>
      </c>
      <c r="J833" s="82" t="e">
        <f>SUMIF(#REF!,funkcijska!$E833,#REF!)</f>
        <v>#REF!</v>
      </c>
      <c r="K833" s="82" t="e">
        <f>SUMIF(#REF!,funkcijska!$E833,#REF!)</f>
        <v>#REF!</v>
      </c>
      <c r="L833" s="82" t="e">
        <f t="shared" ref="L833:L845" si="413">ROUND(K833/J833*100,2)</f>
        <v>#REF!</v>
      </c>
      <c r="M833" s="82" t="e">
        <f t="shared" ref="M833:M845" si="414">N833-J833</f>
        <v>#REF!</v>
      </c>
      <c r="N833" s="82" t="e">
        <f>SUMIF(#REF!,funkcijska!$E833,#REF!)</f>
        <v>#REF!</v>
      </c>
      <c r="O833" s="82" t="e">
        <f>SUMIF(#REF!,funkcijska!$E833,#REF!)</f>
        <v>#REF!</v>
      </c>
      <c r="P833" s="82" t="e">
        <f>SUMIF(#REF!,funkcijska!$E833,#REF!)</f>
        <v>#REF!</v>
      </c>
      <c r="Q833" s="386" t="e">
        <f>SUMIF(#REF!,funkcijska!$E833,#REF!)</f>
        <v>#REF!</v>
      </c>
      <c r="R833" s="82" t="e">
        <f>SUMIF(#REF!,funkcijska!$E833,#REF!)</f>
        <v>#REF!</v>
      </c>
      <c r="S833" s="82" t="e">
        <f>SUMIF(#REF!,funkcijska!$E833,#REF!)</f>
        <v>#REF!</v>
      </c>
      <c r="T833" s="82" t="e">
        <f>SUMIF(#REF!,funkcijska!$E$97,#REF!)</f>
        <v>#REF!</v>
      </c>
      <c r="U833" s="357" t="e">
        <f>SUMIF(#REF!,funkcijska!$E833,#REF!)</f>
        <v>#REF!</v>
      </c>
      <c r="V833" s="357" t="e">
        <f>SUMIF(#REF!,funkcijska!$E833,#REF!)+SUMIF(#REF!,funkcijska!$E833,#REF!)</f>
        <v>#REF!</v>
      </c>
      <c r="W833" s="357" t="e">
        <f>SUMIF(#REF!,funkcijska!$E833,#REF!)+SUMIF(#REF!,funkcijska!$E833,#REF!)</f>
        <v>#REF!</v>
      </c>
      <c r="X833" s="357" t="e">
        <f>SUMIF(#REF!,funkcijska!$E833,#REF!)+SUMIF(#REF!,funkcijska!$E833,#REF!)</f>
        <v>#REF!</v>
      </c>
      <c r="AD833" s="60"/>
      <c r="AE833" s="60"/>
      <c r="AF833" s="60"/>
      <c r="AG833" s="60"/>
      <c r="AH833" s="60"/>
      <c r="AI833" s="60"/>
      <c r="AJ833" s="60"/>
      <c r="AK833" s="60"/>
      <c r="AL833" s="60"/>
    </row>
    <row r="834" spans="1:38" ht="20.25" customHeight="1" x14ac:dyDescent="0.25">
      <c r="A834" s="80"/>
      <c r="B834" s="80"/>
      <c r="C834" s="80"/>
      <c r="D834" s="80"/>
      <c r="E834" s="80">
        <v>4222</v>
      </c>
      <c r="F834" s="81" t="s">
        <v>559</v>
      </c>
      <c r="G834" s="82" t="e">
        <f>SUMIF(#REF!,funkcijska!$E834,#REF!)</f>
        <v>#REF!</v>
      </c>
      <c r="H834" s="82" t="e">
        <f>SUMIF(#REF!,funkcijska!$E834,#REF!)</f>
        <v>#REF!</v>
      </c>
      <c r="I834" s="82" t="e">
        <f>SUMIF(#REF!,funkcijska!$E834,#REF!)</f>
        <v>#REF!</v>
      </c>
      <c r="J834" s="82" t="e">
        <f>SUMIF(#REF!,funkcijska!$E834,#REF!)</f>
        <v>#REF!</v>
      </c>
      <c r="K834" s="82" t="e">
        <f>SUMIF(#REF!,funkcijska!$E834,#REF!)</f>
        <v>#REF!</v>
      </c>
      <c r="L834" s="82" t="e">
        <f t="shared" si="413"/>
        <v>#REF!</v>
      </c>
      <c r="M834" s="82" t="e">
        <f t="shared" si="414"/>
        <v>#REF!</v>
      </c>
      <c r="N834" s="82" t="e">
        <f>SUMIF(#REF!,funkcijska!$E834,#REF!)</f>
        <v>#REF!</v>
      </c>
      <c r="O834" s="82" t="e">
        <f>SUMIF(#REF!,funkcijska!$E834,#REF!)</f>
        <v>#REF!</v>
      </c>
      <c r="P834" s="82" t="e">
        <f>SUMIF(#REF!,funkcijska!$E834,#REF!)</f>
        <v>#REF!</v>
      </c>
      <c r="Q834" s="386" t="e">
        <f>SUMIF(#REF!,funkcijska!$E834,#REF!)</f>
        <v>#REF!</v>
      </c>
      <c r="R834" s="82" t="e">
        <f>SUMIF(#REF!,funkcijska!$E834,#REF!)</f>
        <v>#REF!</v>
      </c>
      <c r="S834" s="82" t="e">
        <f>SUMIF(#REF!,funkcijska!$E834,#REF!)</f>
        <v>#REF!</v>
      </c>
      <c r="T834" s="82" t="e">
        <f>SUMIF(#REF!,funkcijska!$E$98,#REF!)</f>
        <v>#REF!</v>
      </c>
      <c r="U834" s="357" t="e">
        <f>SUMIF(#REF!,funkcijska!$E834,#REF!)</f>
        <v>#REF!</v>
      </c>
      <c r="V834" s="357" t="e">
        <f>SUMIF(#REF!,funkcijska!$E834,#REF!)+SUMIF(#REF!,funkcijska!$E834,#REF!)</f>
        <v>#REF!</v>
      </c>
      <c r="W834" s="357" t="e">
        <f>SUMIF(#REF!,funkcijska!$E834,#REF!)+SUMIF(#REF!,funkcijska!$E834,#REF!)</f>
        <v>#REF!</v>
      </c>
      <c r="X834" s="357" t="e">
        <f>SUMIF(#REF!,funkcijska!$E834,#REF!)+SUMIF(#REF!,funkcijska!$E834,#REF!)</f>
        <v>#REF!</v>
      </c>
      <c r="AD834" s="60"/>
      <c r="AE834" s="60"/>
      <c r="AF834" s="60"/>
      <c r="AG834" s="60"/>
      <c r="AH834" s="60"/>
      <c r="AI834" s="60"/>
      <c r="AJ834" s="60"/>
      <c r="AK834" s="60"/>
      <c r="AL834" s="60"/>
    </row>
    <row r="835" spans="1:38" ht="23.25" customHeight="1" x14ac:dyDescent="0.25">
      <c r="A835" s="80"/>
      <c r="B835" s="80"/>
      <c r="C835" s="80"/>
      <c r="D835" s="80"/>
      <c r="E835" s="80">
        <v>4223</v>
      </c>
      <c r="F835" s="81" t="s">
        <v>628</v>
      </c>
      <c r="G835" s="82" t="e">
        <f>SUMIF(#REF!,funkcijska!$E835,#REF!)</f>
        <v>#REF!</v>
      </c>
      <c r="H835" s="82" t="e">
        <f>SUMIF(#REF!,funkcijska!$E835,#REF!)</f>
        <v>#REF!</v>
      </c>
      <c r="I835" s="82" t="e">
        <f>SUMIF(#REF!,funkcijska!$E835,#REF!)</f>
        <v>#REF!</v>
      </c>
      <c r="J835" s="82" t="e">
        <f>SUMIF(#REF!,funkcijska!$E835,#REF!)</f>
        <v>#REF!</v>
      </c>
      <c r="K835" s="82" t="e">
        <f>SUMIF(#REF!,funkcijska!$E835,#REF!)</f>
        <v>#REF!</v>
      </c>
      <c r="L835" s="82" t="e">
        <f t="shared" si="413"/>
        <v>#REF!</v>
      </c>
      <c r="M835" s="82" t="e">
        <f t="shared" si="414"/>
        <v>#REF!</v>
      </c>
      <c r="N835" s="82" t="e">
        <f>SUMIF(#REF!,funkcijska!$E835,#REF!)</f>
        <v>#REF!</v>
      </c>
      <c r="O835" s="82" t="e">
        <f>SUMIF(#REF!,funkcijska!$E835,#REF!)</f>
        <v>#REF!</v>
      </c>
      <c r="P835" s="82" t="e">
        <f>SUMIF(#REF!,funkcijska!$E835,#REF!)</f>
        <v>#REF!</v>
      </c>
      <c r="Q835" s="386" t="e">
        <f>SUMIF(#REF!,funkcijska!$E835,#REF!)</f>
        <v>#REF!</v>
      </c>
      <c r="R835" s="82" t="e">
        <f>SUMIF(#REF!,funkcijska!$E835,#REF!)</f>
        <v>#REF!</v>
      </c>
      <c r="S835" s="82" t="e">
        <f>SUMIF(#REF!,funkcijska!$E835,#REF!)</f>
        <v>#REF!</v>
      </c>
      <c r="T835" s="82" t="e">
        <f>SUMIF(#REF!,funkcijska!$E$99,#REF!)</f>
        <v>#REF!</v>
      </c>
      <c r="U835" s="357" t="e">
        <f>SUMIF(#REF!,funkcijska!$E835,#REF!)</f>
        <v>#REF!</v>
      </c>
      <c r="V835" s="357" t="e">
        <f>SUMIF(#REF!,funkcijska!$E835,#REF!)+SUMIF(#REF!,funkcijska!$E835,#REF!)</f>
        <v>#REF!</v>
      </c>
      <c r="W835" s="357" t="e">
        <f>SUMIF(#REF!,funkcijska!$E835,#REF!)+SUMIF(#REF!,funkcijska!$E835,#REF!)</f>
        <v>#REF!</v>
      </c>
      <c r="X835" s="357" t="e">
        <f>SUMIF(#REF!,funkcijska!$E835,#REF!)+SUMIF(#REF!,funkcijska!$E835,#REF!)</f>
        <v>#REF!</v>
      </c>
      <c r="AD835" s="60"/>
      <c r="AE835" s="60"/>
      <c r="AF835" s="60"/>
      <c r="AG835" s="60"/>
      <c r="AH835" s="60"/>
      <c r="AI835" s="60"/>
      <c r="AJ835" s="60"/>
      <c r="AK835" s="60"/>
      <c r="AL835" s="60"/>
    </row>
    <row r="836" spans="1:38" x14ac:dyDescent="0.25">
      <c r="A836" s="80"/>
      <c r="B836" s="80"/>
      <c r="C836" s="80"/>
      <c r="D836" s="80"/>
      <c r="E836" s="80">
        <v>4224</v>
      </c>
      <c r="F836" s="81" t="s">
        <v>638</v>
      </c>
      <c r="G836" s="82" t="e">
        <f>SUMIF(#REF!,funkcijska!$E836,#REF!)</f>
        <v>#REF!</v>
      </c>
      <c r="H836" s="82" t="e">
        <f>SUMIF(#REF!,funkcijska!$E836,#REF!)</f>
        <v>#REF!</v>
      </c>
      <c r="I836" s="82" t="e">
        <f>SUMIF(#REF!,funkcijska!$E836,#REF!)</f>
        <v>#REF!</v>
      </c>
      <c r="J836" s="82" t="e">
        <f>SUMIF(#REF!,funkcijska!$E836,#REF!)</f>
        <v>#REF!</v>
      </c>
      <c r="K836" s="82" t="e">
        <f>SUMIF(#REF!,funkcijska!$E836,#REF!)</f>
        <v>#REF!</v>
      </c>
      <c r="L836" s="82" t="e">
        <f t="shared" si="413"/>
        <v>#REF!</v>
      </c>
      <c r="M836" s="82" t="e">
        <f t="shared" si="414"/>
        <v>#REF!</v>
      </c>
      <c r="N836" s="82" t="e">
        <f>SUMIF(#REF!,funkcijska!$E836,#REF!)</f>
        <v>#REF!</v>
      </c>
      <c r="O836" s="82" t="e">
        <f>SUMIF(#REF!,funkcijska!$E836,#REF!)</f>
        <v>#REF!</v>
      </c>
      <c r="P836" s="82" t="e">
        <f>SUMIF(#REF!,funkcijska!$E836,#REF!)</f>
        <v>#REF!</v>
      </c>
      <c r="Q836" s="386" t="e">
        <f>SUMIF(#REF!,funkcijska!$E836,#REF!)</f>
        <v>#REF!</v>
      </c>
      <c r="R836" s="82" t="e">
        <f>SUMIF(#REF!,funkcijska!$E836,#REF!)</f>
        <v>#REF!</v>
      </c>
      <c r="S836" s="82" t="e">
        <f>SUMIF(#REF!,funkcijska!$E836,#REF!)</f>
        <v>#REF!</v>
      </c>
      <c r="T836" s="82" t="e">
        <f>SUMIF(#REF!,funkcijska!$E$100,#REF!)</f>
        <v>#REF!</v>
      </c>
      <c r="U836" s="357" t="e">
        <f>SUMIF(#REF!,funkcijska!$E836,#REF!)</f>
        <v>#REF!</v>
      </c>
      <c r="V836" s="357" t="e">
        <f>SUMIF(#REF!,funkcijska!$E836,#REF!)+SUMIF(#REF!,funkcijska!$E836,#REF!)</f>
        <v>#REF!</v>
      </c>
      <c r="W836" s="357" t="e">
        <f>SUMIF(#REF!,funkcijska!$E836,#REF!)+SUMIF(#REF!,funkcijska!$E836,#REF!)</f>
        <v>#REF!</v>
      </c>
      <c r="X836" s="357" t="e">
        <f>SUMIF(#REF!,funkcijska!$E836,#REF!)+SUMIF(#REF!,funkcijska!$E836,#REF!)</f>
        <v>#REF!</v>
      </c>
      <c r="AD836" s="60"/>
      <c r="AE836" s="60"/>
      <c r="AF836" s="60"/>
      <c r="AG836" s="60"/>
      <c r="AH836" s="60"/>
      <c r="AI836" s="60"/>
      <c r="AJ836" s="60"/>
      <c r="AK836" s="60"/>
      <c r="AL836" s="60"/>
    </row>
    <row r="837" spans="1:38" ht="18" customHeight="1" x14ac:dyDescent="0.25">
      <c r="A837" s="80"/>
      <c r="B837" s="80"/>
      <c r="C837" s="80"/>
      <c r="D837" s="80"/>
      <c r="E837" s="80">
        <v>4225</v>
      </c>
      <c r="F837" s="81" t="s">
        <v>844</v>
      </c>
      <c r="G837" s="82" t="e">
        <f>SUMIF(#REF!,funkcijska!$E837,#REF!)</f>
        <v>#REF!</v>
      </c>
      <c r="H837" s="82" t="e">
        <f>SUMIF(#REF!,funkcijska!$E837,#REF!)</f>
        <v>#REF!</v>
      </c>
      <c r="I837" s="82" t="e">
        <f>SUMIF(#REF!,funkcijska!$E837,#REF!)</f>
        <v>#REF!</v>
      </c>
      <c r="J837" s="82" t="e">
        <f>SUMIF(#REF!,funkcijska!$E837,#REF!)</f>
        <v>#REF!</v>
      </c>
      <c r="K837" s="82" t="e">
        <f>SUMIF(#REF!,funkcijska!$E837,#REF!)</f>
        <v>#REF!</v>
      </c>
      <c r="L837" s="82" t="e">
        <f t="shared" si="413"/>
        <v>#REF!</v>
      </c>
      <c r="M837" s="82" t="e">
        <f t="shared" si="414"/>
        <v>#REF!</v>
      </c>
      <c r="N837" s="82" t="e">
        <f>SUMIF(#REF!,funkcijska!$E837,#REF!)</f>
        <v>#REF!</v>
      </c>
      <c r="O837" s="82" t="e">
        <f>SUMIF(#REF!,funkcijska!$E837,#REF!)</f>
        <v>#REF!</v>
      </c>
      <c r="P837" s="82" t="e">
        <f>SUMIF(#REF!,funkcijska!$E837,#REF!)</f>
        <v>#REF!</v>
      </c>
      <c r="Q837" s="386" t="e">
        <f>SUMIF(#REF!,funkcijska!$E837,#REF!)</f>
        <v>#REF!</v>
      </c>
      <c r="R837" s="82" t="e">
        <f>SUMIF(#REF!,funkcijska!$E837,#REF!)</f>
        <v>#REF!</v>
      </c>
      <c r="S837" s="82" t="e">
        <f>SUMIF(#REF!,funkcijska!$E837,#REF!)</f>
        <v>#REF!</v>
      </c>
      <c r="T837" s="82" t="e">
        <f>SUMIF(#REF!,funkcijska!$E$101,#REF!)</f>
        <v>#REF!</v>
      </c>
      <c r="U837" s="357" t="e">
        <f>SUMIF(#REF!,funkcijska!$E837,#REF!)</f>
        <v>#REF!</v>
      </c>
      <c r="V837" s="357" t="e">
        <f>SUMIF(#REF!,funkcijska!$E837,#REF!)+SUMIF(#REF!,funkcijska!$E837,#REF!)</f>
        <v>#REF!</v>
      </c>
      <c r="W837" s="357" t="e">
        <f>SUMIF(#REF!,funkcijska!$E837,#REF!)+SUMIF(#REF!,funkcijska!$E837,#REF!)</f>
        <v>#REF!</v>
      </c>
      <c r="X837" s="357" t="e">
        <f>SUMIF(#REF!,funkcijska!$E837,#REF!)+SUMIF(#REF!,funkcijska!$E837,#REF!)</f>
        <v>#REF!</v>
      </c>
      <c r="AD837" s="60"/>
      <c r="AE837" s="60"/>
      <c r="AF837" s="60"/>
      <c r="AG837" s="60"/>
      <c r="AH837" s="60"/>
      <c r="AI837" s="60"/>
      <c r="AJ837" s="60"/>
      <c r="AK837" s="60"/>
      <c r="AL837" s="60"/>
    </row>
    <row r="838" spans="1:38" ht="20.25" customHeight="1" x14ac:dyDescent="0.25">
      <c r="A838" s="80"/>
      <c r="B838" s="80"/>
      <c r="C838" s="80"/>
      <c r="D838" s="80"/>
      <c r="E838" s="80">
        <v>4226</v>
      </c>
      <c r="F838" s="81" t="s">
        <v>432</v>
      </c>
      <c r="G838" s="82" t="e">
        <f>SUMIF(#REF!,funkcijska!$E838,#REF!)</f>
        <v>#REF!</v>
      </c>
      <c r="H838" s="82" t="e">
        <f>SUMIF(#REF!,funkcijska!$E838,#REF!)</f>
        <v>#REF!</v>
      </c>
      <c r="I838" s="82" t="e">
        <f>SUMIF(#REF!,funkcijska!$E838,#REF!)</f>
        <v>#REF!</v>
      </c>
      <c r="J838" s="82" t="e">
        <f>SUMIF(#REF!,funkcijska!$E838,#REF!)</f>
        <v>#REF!</v>
      </c>
      <c r="K838" s="82" t="e">
        <f>SUMIF(#REF!,funkcijska!$E838,#REF!)</f>
        <v>#REF!</v>
      </c>
      <c r="L838" s="82" t="e">
        <f t="shared" si="413"/>
        <v>#REF!</v>
      </c>
      <c r="M838" s="82" t="e">
        <f t="shared" si="414"/>
        <v>#REF!</v>
      </c>
      <c r="N838" s="82" t="e">
        <f>SUMIF(#REF!,funkcijska!$E838,#REF!)</f>
        <v>#REF!</v>
      </c>
      <c r="O838" s="82" t="e">
        <f>SUMIF(#REF!,funkcijska!$E838,#REF!)</f>
        <v>#REF!</v>
      </c>
      <c r="P838" s="82" t="e">
        <f>SUMIF(#REF!,funkcijska!$E838,#REF!)</f>
        <v>#REF!</v>
      </c>
      <c r="Q838" s="386" t="e">
        <f>SUMIF(#REF!,funkcijska!$E838,#REF!)</f>
        <v>#REF!</v>
      </c>
      <c r="R838" s="82" t="e">
        <f>SUMIF(#REF!,funkcijska!$E838,#REF!)</f>
        <v>#REF!</v>
      </c>
      <c r="S838" s="82" t="e">
        <f>SUMIF(#REF!,funkcijska!$E838,#REF!)</f>
        <v>#REF!</v>
      </c>
      <c r="T838" s="82" t="e">
        <f>SUMIF(#REF!,funkcijska!$E$102,#REF!)</f>
        <v>#REF!</v>
      </c>
      <c r="U838" s="357" t="e">
        <f>SUMIF(#REF!,funkcijska!$E838,#REF!)</f>
        <v>#REF!</v>
      </c>
      <c r="V838" s="357" t="e">
        <f>SUMIF(#REF!,funkcijska!$E838,#REF!)+SUMIF(#REF!,funkcijska!$E838,#REF!)</f>
        <v>#REF!</v>
      </c>
      <c r="W838" s="357" t="e">
        <f>SUMIF(#REF!,funkcijska!$E838,#REF!)+SUMIF(#REF!,funkcijska!$E838,#REF!)</f>
        <v>#REF!</v>
      </c>
      <c r="X838" s="357" t="e">
        <f>SUMIF(#REF!,funkcijska!$E838,#REF!)+SUMIF(#REF!,funkcijska!$E838,#REF!)</f>
        <v>#REF!</v>
      </c>
      <c r="AD838" s="60"/>
      <c r="AE838" s="60"/>
      <c r="AF838" s="60"/>
      <c r="AG838" s="60"/>
      <c r="AH838" s="60"/>
      <c r="AI838" s="60"/>
      <c r="AJ838" s="60"/>
      <c r="AK838" s="60"/>
      <c r="AL838" s="60"/>
    </row>
    <row r="839" spans="1:38" ht="18.75" customHeight="1" x14ac:dyDescent="0.25">
      <c r="A839" s="80"/>
      <c r="B839" s="80"/>
      <c r="C839" s="80"/>
      <c r="D839" s="80"/>
      <c r="E839" s="80">
        <v>4227</v>
      </c>
      <c r="F839" s="81" t="s">
        <v>413</v>
      </c>
      <c r="G839" s="82" t="e">
        <f>SUMIF(#REF!,funkcijska!$E839,#REF!)</f>
        <v>#REF!</v>
      </c>
      <c r="H839" s="82" t="e">
        <f>SUMIF(#REF!,funkcijska!$E839,#REF!)</f>
        <v>#REF!</v>
      </c>
      <c r="I839" s="82" t="e">
        <f>SUMIF(#REF!,funkcijska!$E839,#REF!)</f>
        <v>#REF!</v>
      </c>
      <c r="J839" s="82" t="e">
        <f>SUMIF(#REF!,funkcijska!$E839,#REF!)</f>
        <v>#REF!</v>
      </c>
      <c r="K839" s="82" t="e">
        <f>SUMIF(#REF!,funkcijska!$E839,#REF!)</f>
        <v>#REF!</v>
      </c>
      <c r="L839" s="82" t="e">
        <f t="shared" si="413"/>
        <v>#REF!</v>
      </c>
      <c r="M839" s="82" t="e">
        <f t="shared" si="414"/>
        <v>#REF!</v>
      </c>
      <c r="N839" s="82" t="e">
        <f>SUMIF(#REF!,funkcijska!$E839,#REF!)</f>
        <v>#REF!</v>
      </c>
      <c r="O839" s="82" t="e">
        <f>SUMIF(#REF!,funkcijska!$E839,#REF!)</f>
        <v>#REF!</v>
      </c>
      <c r="P839" s="82" t="e">
        <f>SUMIF(#REF!,funkcijska!$E839,#REF!)</f>
        <v>#REF!</v>
      </c>
      <c r="Q839" s="386" t="e">
        <f>SUMIF(#REF!,funkcijska!$E839,#REF!)</f>
        <v>#REF!</v>
      </c>
      <c r="R839" s="82" t="e">
        <f>SUMIF(#REF!,funkcijska!$E839,#REF!)</f>
        <v>#REF!</v>
      </c>
      <c r="S839" s="82" t="e">
        <f>SUMIF(#REF!,funkcijska!$E839,#REF!)</f>
        <v>#REF!</v>
      </c>
      <c r="T839" s="82" t="e">
        <f>SUMIF(#REF!,funkcijska!$E$103,#REF!)</f>
        <v>#REF!</v>
      </c>
      <c r="U839" s="357" t="e">
        <f>SUMIF(#REF!,funkcijska!$E839,#REF!)</f>
        <v>#REF!</v>
      </c>
      <c r="V839" s="357" t="e">
        <f>SUMIF(#REF!,funkcijska!$E839,#REF!)+SUMIF(#REF!,funkcijska!$E839,#REF!)</f>
        <v>#REF!</v>
      </c>
      <c r="W839" s="357" t="e">
        <f>SUMIF(#REF!,funkcijska!$E839,#REF!)+SUMIF(#REF!,funkcijska!$E839,#REF!)</f>
        <v>#REF!</v>
      </c>
      <c r="X839" s="357" t="e">
        <f>SUMIF(#REF!,funkcijska!$E839,#REF!)+SUMIF(#REF!,funkcijska!$E839,#REF!)</f>
        <v>#REF!</v>
      </c>
      <c r="AD839" s="60"/>
      <c r="AE839" s="60"/>
      <c r="AF839" s="60"/>
      <c r="AG839" s="60"/>
      <c r="AH839" s="60"/>
      <c r="AI839" s="60"/>
      <c r="AJ839" s="60"/>
      <c r="AK839" s="60"/>
      <c r="AL839" s="60"/>
    </row>
    <row r="840" spans="1:38" s="373" customFormat="1" ht="17.25" hidden="1" customHeight="1" x14ac:dyDescent="0.25">
      <c r="A840" s="119"/>
      <c r="B840" s="119"/>
      <c r="C840" s="119"/>
      <c r="D840" s="119" t="str">
        <f>LEFT(E841,3)</f>
        <v>423</v>
      </c>
      <c r="E840" s="119"/>
      <c r="F840" s="368" t="s">
        <v>223</v>
      </c>
      <c r="G840" s="369" t="e">
        <f>G841</f>
        <v>#REF!</v>
      </c>
      <c r="H840" s="370" t="e">
        <f>H841</f>
        <v>#REF!</v>
      </c>
      <c r="I840" s="369" t="e">
        <f>I841</f>
        <v>#REF!</v>
      </c>
      <c r="J840" s="369" t="e">
        <f>J841</f>
        <v>#REF!</v>
      </c>
      <c r="K840" s="369" t="e">
        <f>K841</f>
        <v>#REF!</v>
      </c>
      <c r="L840" s="369" t="e">
        <f t="shared" si="413"/>
        <v>#REF!</v>
      </c>
      <c r="M840" s="369" t="e">
        <f t="shared" si="414"/>
        <v>#REF!</v>
      </c>
      <c r="N840" s="369" t="e">
        <f t="shared" ref="N840:X840" si="415">N841</f>
        <v>#REF!</v>
      </c>
      <c r="O840" s="137" t="e">
        <f t="shared" si="415"/>
        <v>#REF!</v>
      </c>
      <c r="P840" s="137" t="e">
        <f t="shared" si="415"/>
        <v>#REF!</v>
      </c>
      <c r="Q840" s="393" t="e">
        <f t="shared" si="415"/>
        <v>#REF!</v>
      </c>
      <c r="R840" s="137" t="e">
        <f t="shared" si="415"/>
        <v>#REF!</v>
      </c>
      <c r="S840" s="137" t="e">
        <f t="shared" si="415"/>
        <v>#REF!</v>
      </c>
      <c r="T840" s="137" t="e">
        <f t="shared" si="415"/>
        <v>#REF!</v>
      </c>
      <c r="U840" s="371" t="e">
        <f t="shared" si="415"/>
        <v>#REF!</v>
      </c>
      <c r="V840" s="371" t="e">
        <f t="shared" si="415"/>
        <v>#REF!</v>
      </c>
      <c r="W840" s="371" t="e">
        <f t="shared" si="415"/>
        <v>#REF!</v>
      </c>
      <c r="X840" s="371" t="e">
        <f t="shared" si="415"/>
        <v>#REF!</v>
      </c>
      <c r="Y840" s="372"/>
      <c r="Z840" s="372"/>
      <c r="AA840" s="372"/>
      <c r="AB840" s="372"/>
      <c r="AC840" s="372"/>
      <c r="AD840" s="372"/>
      <c r="AE840" s="372"/>
      <c r="AF840" s="372"/>
      <c r="AG840" s="372"/>
      <c r="AH840" s="372"/>
      <c r="AI840" s="372"/>
      <c r="AJ840" s="372"/>
      <c r="AK840" s="372"/>
      <c r="AL840" s="372"/>
    </row>
    <row r="841" spans="1:38" ht="21" hidden="1" customHeight="1" x14ac:dyDescent="0.25">
      <c r="A841" s="80"/>
      <c r="B841" s="80"/>
      <c r="C841" s="80"/>
      <c r="D841" s="80"/>
      <c r="E841" s="80">
        <v>4231</v>
      </c>
      <c r="F841" s="81" t="s">
        <v>1028</v>
      </c>
      <c r="G841" s="82" t="e">
        <f>SUMIF(#REF!,funkcijska!$E841,#REF!)</f>
        <v>#REF!</v>
      </c>
      <c r="H841" s="82" t="e">
        <f>SUMIF(#REF!,funkcijska!$E841,#REF!)</f>
        <v>#REF!</v>
      </c>
      <c r="I841" s="82" t="e">
        <f>SUMIF(#REF!,funkcijska!$E841,#REF!)</f>
        <v>#REF!</v>
      </c>
      <c r="J841" s="82" t="e">
        <f>SUMIF(#REF!,funkcijska!$E841,#REF!)</f>
        <v>#REF!</v>
      </c>
      <c r="K841" s="82" t="e">
        <f>SUMIF(#REF!,funkcijska!$E841,#REF!)</f>
        <v>#REF!</v>
      </c>
      <c r="L841" s="82" t="e">
        <f t="shared" si="413"/>
        <v>#REF!</v>
      </c>
      <c r="M841" s="82" t="e">
        <f t="shared" si="414"/>
        <v>#REF!</v>
      </c>
      <c r="N841" s="82" t="e">
        <f>SUMIF(#REF!,funkcijska!$E841,#REF!)</f>
        <v>#REF!</v>
      </c>
      <c r="O841" s="82" t="e">
        <f>SUMIF(#REF!,funkcijska!$E841,#REF!)</f>
        <v>#REF!</v>
      </c>
      <c r="P841" s="82" t="e">
        <f>SUMIF(#REF!,funkcijska!$E841,#REF!)</f>
        <v>#REF!</v>
      </c>
      <c r="Q841" s="386" t="e">
        <f>SUMIF(#REF!,funkcijska!$E841,#REF!)</f>
        <v>#REF!</v>
      </c>
      <c r="R841" s="82" t="e">
        <f>SUMIF(#REF!,funkcijska!$E841,#REF!)</f>
        <v>#REF!</v>
      </c>
      <c r="S841" s="82" t="e">
        <f>SUMIF(#REF!,funkcijska!$E841,#REF!)</f>
        <v>#REF!</v>
      </c>
      <c r="T841" s="82" t="e">
        <f>SUMIF(#REF!,funkcijska!$E$105,#REF!)</f>
        <v>#REF!</v>
      </c>
      <c r="U841" s="357" t="e">
        <f>SUMIF(#REF!,funkcijska!$E841,#REF!)</f>
        <v>#REF!</v>
      </c>
      <c r="V841" s="357" t="e">
        <f>SUMIF(#REF!,funkcijska!$E841,#REF!)+SUMIF(#REF!,funkcijska!$E841,#REF!)</f>
        <v>#REF!</v>
      </c>
      <c r="W841" s="357" t="e">
        <f>SUMIF(#REF!,funkcijska!$E841,#REF!)+SUMIF(#REF!,funkcijska!$E841,#REF!)</f>
        <v>#REF!</v>
      </c>
      <c r="X841" s="357" t="e">
        <f>SUMIF(#REF!,funkcijska!$E841,#REF!)+SUMIF(#REF!,funkcijska!$E841,#REF!)</f>
        <v>#REF!</v>
      </c>
      <c r="AD841" s="60"/>
      <c r="AE841" s="60"/>
      <c r="AF841" s="60"/>
      <c r="AG841" s="60"/>
      <c r="AH841" s="60"/>
      <c r="AI841" s="60"/>
      <c r="AJ841" s="60"/>
      <c r="AK841" s="60"/>
      <c r="AL841" s="60"/>
    </row>
    <row r="842" spans="1:38" s="373" customFormat="1" ht="37.5" hidden="1" customHeight="1" x14ac:dyDescent="0.25">
      <c r="A842" s="119"/>
      <c r="B842" s="119"/>
      <c r="C842" s="119"/>
      <c r="D842" s="119" t="str">
        <f>LEFT(E843,3)</f>
        <v>424</v>
      </c>
      <c r="E842" s="119"/>
      <c r="F842" s="368" t="s">
        <v>447</v>
      </c>
      <c r="G842" s="369" t="e">
        <f>G843</f>
        <v>#REF!</v>
      </c>
      <c r="H842" s="370" t="e">
        <f>H843</f>
        <v>#REF!</v>
      </c>
      <c r="I842" s="369" t="e">
        <f>I843</f>
        <v>#REF!</v>
      </c>
      <c r="J842" s="369" t="e">
        <f>J843</f>
        <v>#REF!</v>
      </c>
      <c r="K842" s="369" t="e">
        <f>K843</f>
        <v>#REF!</v>
      </c>
      <c r="L842" s="369" t="e">
        <f t="shared" si="413"/>
        <v>#REF!</v>
      </c>
      <c r="M842" s="369" t="e">
        <f t="shared" si="414"/>
        <v>#REF!</v>
      </c>
      <c r="N842" s="369" t="e">
        <f t="shared" ref="N842:X842" si="416">N843</f>
        <v>#REF!</v>
      </c>
      <c r="O842" s="137" t="e">
        <f t="shared" si="416"/>
        <v>#REF!</v>
      </c>
      <c r="P842" s="137" t="e">
        <f t="shared" si="416"/>
        <v>#REF!</v>
      </c>
      <c r="Q842" s="393" t="e">
        <f t="shared" si="416"/>
        <v>#REF!</v>
      </c>
      <c r="R842" s="137" t="e">
        <f t="shared" si="416"/>
        <v>#REF!</v>
      </c>
      <c r="S842" s="137" t="e">
        <f t="shared" si="416"/>
        <v>#REF!</v>
      </c>
      <c r="T842" s="137" t="e">
        <f t="shared" si="416"/>
        <v>#REF!</v>
      </c>
      <c r="U842" s="371" t="e">
        <f t="shared" si="416"/>
        <v>#REF!</v>
      </c>
      <c r="V842" s="371" t="e">
        <f t="shared" si="416"/>
        <v>#REF!</v>
      </c>
      <c r="W842" s="371" t="e">
        <f t="shared" si="416"/>
        <v>#REF!</v>
      </c>
      <c r="X842" s="371" t="e">
        <f t="shared" si="416"/>
        <v>#REF!</v>
      </c>
      <c r="Y842" s="372"/>
      <c r="Z842" s="372"/>
      <c r="AA842" s="372"/>
      <c r="AB842" s="372"/>
      <c r="AC842" s="372"/>
      <c r="AD842" s="372"/>
      <c r="AE842" s="372"/>
      <c r="AF842" s="372"/>
      <c r="AG842" s="372"/>
      <c r="AH842" s="372"/>
      <c r="AI842" s="372"/>
      <c r="AJ842" s="372"/>
      <c r="AK842" s="372"/>
      <c r="AL842" s="372"/>
    </row>
    <row r="843" spans="1:38" ht="21" hidden="1" customHeight="1" x14ac:dyDescent="0.25">
      <c r="A843" s="80"/>
      <c r="B843" s="80"/>
      <c r="C843" s="80"/>
      <c r="D843" s="80"/>
      <c r="E843" s="80">
        <v>4241</v>
      </c>
      <c r="F843" s="81" t="s">
        <v>437</v>
      </c>
      <c r="G843" s="82" t="e">
        <f>SUMIF(#REF!,funkcijska!$E843,#REF!)</f>
        <v>#REF!</v>
      </c>
      <c r="H843" s="82" t="e">
        <f>SUMIF(#REF!,funkcijska!$E843,#REF!)</f>
        <v>#REF!</v>
      </c>
      <c r="I843" s="82" t="e">
        <f>SUMIF(#REF!,funkcijska!$E843,#REF!)</f>
        <v>#REF!</v>
      </c>
      <c r="J843" s="82" t="e">
        <f>SUMIF(#REF!,funkcijska!$E843,#REF!)</f>
        <v>#REF!</v>
      </c>
      <c r="K843" s="82" t="e">
        <f>SUMIF(#REF!,funkcijska!$E843,#REF!)</f>
        <v>#REF!</v>
      </c>
      <c r="L843" s="82" t="e">
        <f t="shared" si="413"/>
        <v>#REF!</v>
      </c>
      <c r="M843" s="82" t="e">
        <f t="shared" si="414"/>
        <v>#REF!</v>
      </c>
      <c r="N843" s="82" t="e">
        <f>SUMIF(#REF!,funkcijska!$E843,#REF!)</f>
        <v>#REF!</v>
      </c>
      <c r="O843" s="82" t="e">
        <f>SUMIF(#REF!,funkcijska!$E843,#REF!)</f>
        <v>#REF!</v>
      </c>
      <c r="P843" s="82" t="e">
        <f>SUMIF(#REF!,funkcijska!$E843,#REF!)</f>
        <v>#REF!</v>
      </c>
      <c r="Q843" s="386" t="e">
        <f>SUMIF(#REF!,funkcijska!$E843,#REF!)</f>
        <v>#REF!</v>
      </c>
      <c r="R843" s="82" t="e">
        <f>SUMIF(#REF!,funkcijska!$E843,#REF!)</f>
        <v>#REF!</v>
      </c>
      <c r="S843" s="82" t="e">
        <f>SUMIF(#REF!,funkcijska!$E843,#REF!)</f>
        <v>#REF!</v>
      </c>
      <c r="T843" s="82" t="e">
        <f>SUMIF(#REF!,funkcijska!$E$107,#REF!)</f>
        <v>#REF!</v>
      </c>
      <c r="U843" s="357" t="e">
        <f>SUMIF(#REF!,funkcijska!$E843,#REF!)</f>
        <v>#REF!</v>
      </c>
      <c r="V843" s="357" t="e">
        <f>SUMIF(#REF!,funkcijska!$E843,#REF!)+SUMIF(#REF!,funkcijska!$E843,#REF!)</f>
        <v>#REF!</v>
      </c>
      <c r="W843" s="357" t="e">
        <f>SUMIF(#REF!,funkcijska!$E843,#REF!)+SUMIF(#REF!,funkcijska!$E843,#REF!)</f>
        <v>#REF!</v>
      </c>
      <c r="X843" s="357" t="e">
        <f>SUMIF(#REF!,funkcijska!$E843,#REF!)+SUMIF(#REF!,funkcijska!$E843,#REF!)</f>
        <v>#REF!</v>
      </c>
      <c r="AD843" s="60"/>
      <c r="AE843" s="60"/>
      <c r="AF843" s="60"/>
      <c r="AG843" s="60"/>
      <c r="AH843" s="60"/>
      <c r="AI843" s="60"/>
      <c r="AJ843" s="60"/>
      <c r="AK843" s="60"/>
      <c r="AL843" s="60"/>
    </row>
    <row r="844" spans="1:38" ht="18" hidden="1" customHeight="1" x14ac:dyDescent="0.25">
      <c r="A844" s="80"/>
      <c r="B844" s="80"/>
      <c r="C844" s="80"/>
      <c r="D844" s="80" t="str">
        <f>LEFT(E845,3)</f>
        <v>425</v>
      </c>
      <c r="E844" s="80"/>
      <c r="F844" s="81" t="s">
        <v>839</v>
      </c>
      <c r="G844" s="84" t="e">
        <f>G845</f>
        <v>#REF!</v>
      </c>
      <c r="H844" s="102" t="e">
        <f>H845</f>
        <v>#REF!</v>
      </c>
      <c r="I844" s="84" t="e">
        <f>I845</f>
        <v>#REF!</v>
      </c>
      <c r="J844" s="84" t="e">
        <f>J845</f>
        <v>#REF!</v>
      </c>
      <c r="K844" s="84" t="e">
        <f>K845</f>
        <v>#REF!</v>
      </c>
      <c r="L844" s="84" t="e">
        <f t="shared" si="413"/>
        <v>#REF!</v>
      </c>
      <c r="M844" s="84" t="e">
        <f t="shared" si="414"/>
        <v>#REF!</v>
      </c>
      <c r="N844" s="84" t="e">
        <f>N845</f>
        <v>#REF!</v>
      </c>
      <c r="O844" s="82" t="e">
        <f>O845</f>
        <v>#REF!</v>
      </c>
      <c r="P844" s="82" t="e">
        <f>P845</f>
        <v>#REF!</v>
      </c>
      <c r="Q844" s="389" t="e">
        <f>U844-O844</f>
        <v>#REF!</v>
      </c>
      <c r="R844" s="82" t="e">
        <f t="shared" ref="R844:X844" si="417">R845</f>
        <v>#REF!</v>
      </c>
      <c r="S844" s="82" t="e">
        <f t="shared" si="417"/>
        <v>#REF!</v>
      </c>
      <c r="T844" s="82" t="e">
        <f t="shared" si="417"/>
        <v>#REF!</v>
      </c>
      <c r="U844" s="357" t="e">
        <f t="shared" si="417"/>
        <v>#REF!</v>
      </c>
      <c r="V844" s="357" t="e">
        <f t="shared" si="417"/>
        <v>#REF!</v>
      </c>
      <c r="W844" s="357" t="e">
        <f t="shared" si="417"/>
        <v>#REF!</v>
      </c>
      <c r="X844" s="357" t="e">
        <f t="shared" si="417"/>
        <v>#REF!</v>
      </c>
      <c r="AD844" s="60"/>
      <c r="AE844" s="60"/>
      <c r="AF844" s="60"/>
      <c r="AG844" s="60"/>
      <c r="AH844" s="60"/>
      <c r="AI844" s="60"/>
      <c r="AJ844" s="60"/>
      <c r="AK844" s="60"/>
      <c r="AL844" s="60"/>
    </row>
    <row r="845" spans="1:38" ht="22.5" hidden="1" customHeight="1" x14ac:dyDescent="0.25">
      <c r="A845" s="80"/>
      <c r="B845" s="80"/>
      <c r="C845" s="80"/>
      <c r="D845" s="80"/>
      <c r="E845" s="80" t="s">
        <v>1029</v>
      </c>
      <c r="F845" s="81" t="s">
        <v>840</v>
      </c>
      <c r="G845" s="82" t="e">
        <f>SUMIF(#REF!,funkcijska!$E845,#REF!)</f>
        <v>#REF!</v>
      </c>
      <c r="H845" s="82" t="e">
        <f>SUMIF(#REF!,funkcijska!$E845,#REF!)</f>
        <v>#REF!</v>
      </c>
      <c r="I845" s="82" t="e">
        <f>SUMIF(#REF!,funkcijska!$E845,#REF!)</f>
        <v>#REF!</v>
      </c>
      <c r="J845" s="82" t="e">
        <f>SUMIF(#REF!,funkcijska!$E845,#REF!)</f>
        <v>#REF!</v>
      </c>
      <c r="K845" s="82" t="e">
        <f>SUMIF(#REF!,funkcijska!$E845,#REF!)</f>
        <v>#REF!</v>
      </c>
      <c r="L845" s="82" t="e">
        <f t="shared" si="413"/>
        <v>#REF!</v>
      </c>
      <c r="M845" s="82" t="e">
        <f t="shared" si="414"/>
        <v>#REF!</v>
      </c>
      <c r="N845" s="82" t="e">
        <f>SUMIF(#REF!,funkcijska!$E845,#REF!)</f>
        <v>#REF!</v>
      </c>
      <c r="O845" s="82" t="e">
        <f>SUMIF(#REF!,funkcijska!$E845,#REF!)</f>
        <v>#REF!</v>
      </c>
      <c r="P845" s="82" t="e">
        <f>SUMIF(#REF!,funkcijska!$E845,#REF!)</f>
        <v>#REF!</v>
      </c>
      <c r="Q845" s="389" t="e">
        <f>U845-O845</f>
        <v>#REF!</v>
      </c>
      <c r="R845" s="82" t="e">
        <f>SUMIF(#REF!,funkcijska!$E845,#REF!)</f>
        <v>#REF!</v>
      </c>
      <c r="S845" s="82" t="e">
        <f>SUMIF(#REF!,funkcijska!$E845,#REF!)</f>
        <v>#REF!</v>
      </c>
      <c r="T845" s="82" t="e">
        <f>SUMIF(#REF!,funkcijska!$E$109,#REF!)</f>
        <v>#REF!</v>
      </c>
      <c r="U845" s="357" t="e">
        <f>SUMIF(#REF!,funkcijska!$E845,#REF!)</f>
        <v>#REF!</v>
      </c>
      <c r="V845" s="357" t="e">
        <f>SUMIF(#REF!,funkcijska!$E845,#REF!)</f>
        <v>#REF!</v>
      </c>
      <c r="W845" s="357" t="e">
        <f>SUMIF(#REF!,funkcijska!$E845,#REF!)</f>
        <v>#REF!</v>
      </c>
      <c r="X845" s="357" t="e">
        <f>SUMIF(#REF!,funkcijska!$E845,#REF!)</f>
        <v>#REF!</v>
      </c>
      <c r="AD845" s="60"/>
      <c r="AE845" s="60"/>
      <c r="AF845" s="60"/>
      <c r="AG845" s="60"/>
      <c r="AH845" s="60"/>
      <c r="AI845" s="60"/>
      <c r="AJ845" s="60"/>
      <c r="AK845" s="60"/>
      <c r="AL845" s="60"/>
    </row>
    <row r="846" spans="1:38" s="373" customFormat="1" ht="21" hidden="1" customHeight="1" x14ac:dyDescent="0.25">
      <c r="A846" s="119"/>
      <c r="B846" s="119"/>
      <c r="C846" s="119"/>
      <c r="D846" s="119" t="str">
        <f>LEFT(E847,3)</f>
        <v>426</v>
      </c>
      <c r="E846" s="119"/>
      <c r="F846" s="368" t="s">
        <v>560</v>
      </c>
      <c r="G846" s="369" t="e">
        <f t="shared" ref="G846:X846" si="418">SUM(G847:G848)</f>
        <v>#REF!</v>
      </c>
      <c r="H846" s="370" t="e">
        <f t="shared" si="418"/>
        <v>#REF!</v>
      </c>
      <c r="I846" s="369" t="e">
        <f t="shared" si="418"/>
        <v>#REF!</v>
      </c>
      <c r="J846" s="369" t="e">
        <f t="shared" si="418"/>
        <v>#REF!</v>
      </c>
      <c r="K846" s="369" t="e">
        <f t="shared" si="418"/>
        <v>#REF!</v>
      </c>
      <c r="L846" s="369" t="e">
        <f t="shared" si="418"/>
        <v>#REF!</v>
      </c>
      <c r="M846" s="369" t="e">
        <f t="shared" si="418"/>
        <v>#REF!</v>
      </c>
      <c r="N846" s="369" t="e">
        <f t="shared" si="418"/>
        <v>#REF!</v>
      </c>
      <c r="O846" s="369" t="e">
        <f t="shared" si="418"/>
        <v>#REF!</v>
      </c>
      <c r="P846" s="369" t="e">
        <f t="shared" si="418"/>
        <v>#REF!</v>
      </c>
      <c r="Q846" s="392" t="e">
        <f t="shared" si="418"/>
        <v>#REF!</v>
      </c>
      <c r="R846" s="369" t="e">
        <f t="shared" si="418"/>
        <v>#REF!</v>
      </c>
      <c r="S846" s="369" t="e">
        <f t="shared" si="418"/>
        <v>#REF!</v>
      </c>
      <c r="T846" s="137" t="e">
        <f t="shared" si="418"/>
        <v>#REF!</v>
      </c>
      <c r="U846" s="371" t="e">
        <f t="shared" si="418"/>
        <v>#REF!</v>
      </c>
      <c r="V846" s="371" t="e">
        <f t="shared" si="418"/>
        <v>#REF!</v>
      </c>
      <c r="W846" s="371" t="e">
        <f t="shared" si="418"/>
        <v>#REF!</v>
      </c>
      <c r="X846" s="371" t="e">
        <f t="shared" si="418"/>
        <v>#REF!</v>
      </c>
      <c r="Y846" s="372"/>
      <c r="Z846" s="372"/>
      <c r="AA846" s="372"/>
      <c r="AB846" s="372"/>
      <c r="AC846" s="372"/>
      <c r="AD846" s="372"/>
      <c r="AE846" s="372"/>
      <c r="AF846" s="372"/>
      <c r="AG846" s="372"/>
      <c r="AH846" s="372"/>
      <c r="AI846" s="372"/>
      <c r="AJ846" s="372"/>
      <c r="AK846" s="372"/>
      <c r="AL846" s="372"/>
    </row>
    <row r="847" spans="1:38" ht="21.75" hidden="1" customHeight="1" x14ac:dyDescent="0.25">
      <c r="A847" s="80"/>
      <c r="B847" s="80"/>
      <c r="C847" s="80"/>
      <c r="D847" s="80"/>
      <c r="E847" s="80">
        <v>4262</v>
      </c>
      <c r="F847" s="81" t="s">
        <v>561</v>
      </c>
      <c r="G847" s="82" t="e">
        <f>SUMIF(#REF!,funkcijska!$E847,#REF!)</f>
        <v>#REF!</v>
      </c>
      <c r="H847" s="82" t="e">
        <f>SUMIF(#REF!,funkcijska!$E847,#REF!)</f>
        <v>#REF!</v>
      </c>
      <c r="I847" s="82" t="e">
        <f>SUMIF(#REF!,funkcijska!$E847,#REF!)</f>
        <v>#REF!</v>
      </c>
      <c r="J847" s="82" t="e">
        <f>SUMIF(#REF!,funkcijska!$E847,#REF!)</f>
        <v>#REF!</v>
      </c>
      <c r="K847" s="82" t="e">
        <f>SUMIF(#REF!,funkcijska!$E847,#REF!)</f>
        <v>#REF!</v>
      </c>
      <c r="L847" s="82" t="e">
        <f t="shared" ref="L847:L853" si="419">ROUND(K847/J847*100,2)</f>
        <v>#REF!</v>
      </c>
      <c r="M847" s="82" t="e">
        <f t="shared" ref="M847:M853" si="420">N847-J847</f>
        <v>#REF!</v>
      </c>
      <c r="N847" s="82" t="e">
        <f>SUMIF(#REF!,funkcijska!$E847,#REF!)</f>
        <v>#REF!</v>
      </c>
      <c r="O847" s="82" t="e">
        <f>SUMIF(#REF!,funkcijska!$E847,#REF!)</f>
        <v>#REF!</v>
      </c>
      <c r="P847" s="82" t="e">
        <f>SUMIF(#REF!,funkcijska!$E847,#REF!)</f>
        <v>#REF!</v>
      </c>
      <c r="Q847" s="386" t="e">
        <f>SUMIF(#REF!,funkcijska!$E847,#REF!)</f>
        <v>#REF!</v>
      </c>
      <c r="R847" s="82" t="e">
        <f>SUMIF(#REF!,funkcijska!$E847,#REF!)</f>
        <v>#REF!</v>
      </c>
      <c r="S847" s="82" t="e">
        <f>SUMIF(#REF!,funkcijska!$E847,#REF!)</f>
        <v>#REF!</v>
      </c>
      <c r="T847" s="82" t="e">
        <f>SUMIF(#REF!,funkcijska!$E$111,#REF!)</f>
        <v>#REF!</v>
      </c>
      <c r="U847" s="357" t="e">
        <f>SUMIF(#REF!,funkcijska!$E847,#REF!)</f>
        <v>#REF!</v>
      </c>
      <c r="V847" s="357" t="e">
        <f>SUMIF(#REF!,funkcijska!$E847,#REF!)+SUMIF(#REF!,funkcijska!$E847,#REF!)</f>
        <v>#REF!</v>
      </c>
      <c r="W847" s="357" t="e">
        <f>SUMIF(#REF!,funkcijska!$E847,#REF!)+SUMIF(#REF!,funkcijska!$E847,#REF!)</f>
        <v>#REF!</v>
      </c>
      <c r="X847" s="357" t="e">
        <f>SUMIF(#REF!,funkcijska!$E847,#REF!)+SUMIF(#REF!,funkcijska!$E847,#REF!)</f>
        <v>#REF!</v>
      </c>
      <c r="Y847" s="361"/>
      <c r="AD847" s="60"/>
      <c r="AE847" s="60"/>
      <c r="AF847" s="60"/>
      <c r="AG847" s="60"/>
      <c r="AH847" s="60"/>
      <c r="AI847" s="60"/>
      <c r="AJ847" s="60"/>
      <c r="AK847" s="60"/>
      <c r="AL847" s="60"/>
    </row>
    <row r="848" spans="1:38" ht="21" hidden="1" customHeight="1" x14ac:dyDescent="0.25">
      <c r="A848" s="80"/>
      <c r="B848" s="80"/>
      <c r="C848" s="80"/>
      <c r="D848" s="80"/>
      <c r="E848" s="80">
        <v>4264</v>
      </c>
      <c r="F848" s="81" t="s">
        <v>1030</v>
      </c>
      <c r="G848" s="82" t="e">
        <f>SUMIF(#REF!,funkcijska!$E848,#REF!)</f>
        <v>#REF!</v>
      </c>
      <c r="H848" s="82" t="e">
        <f>SUMIF(#REF!,funkcijska!$E848,#REF!)</f>
        <v>#REF!</v>
      </c>
      <c r="I848" s="82" t="e">
        <f>SUMIF(#REF!,funkcijska!$E848,#REF!)</f>
        <v>#REF!</v>
      </c>
      <c r="J848" s="82" t="e">
        <f>SUMIF(#REF!,funkcijska!$E848,#REF!)</f>
        <v>#REF!</v>
      </c>
      <c r="K848" s="82" t="e">
        <f>SUMIF(#REF!,funkcijska!$E848,#REF!)</f>
        <v>#REF!</v>
      </c>
      <c r="L848" s="82" t="e">
        <f t="shared" si="419"/>
        <v>#REF!</v>
      </c>
      <c r="M848" s="82" t="e">
        <f t="shared" si="420"/>
        <v>#REF!</v>
      </c>
      <c r="N848" s="82" t="e">
        <f>SUMIF(#REF!,funkcijska!$E848,#REF!)</f>
        <v>#REF!</v>
      </c>
      <c r="O848" s="82" t="e">
        <f>SUMIF(#REF!,funkcijska!$E848,#REF!)</f>
        <v>#REF!</v>
      </c>
      <c r="P848" s="82" t="e">
        <f>SUMIF(#REF!,funkcijska!$E848,#REF!)</f>
        <v>#REF!</v>
      </c>
      <c r="Q848" s="386" t="e">
        <f>SUMIF(#REF!,funkcijska!$E848,#REF!)</f>
        <v>#REF!</v>
      </c>
      <c r="R848" s="82" t="e">
        <f>SUMIF(#REF!,funkcijska!$E848,#REF!)</f>
        <v>#REF!</v>
      </c>
      <c r="S848" s="82" t="e">
        <f>SUMIF(#REF!,funkcijska!$E848,#REF!)</f>
        <v>#REF!</v>
      </c>
      <c r="T848" s="82" t="e">
        <f>SUMIF(#REF!,funkcijska!$E$112,#REF!)</f>
        <v>#REF!</v>
      </c>
      <c r="U848" s="357" t="e">
        <f>SUMIF(#REF!,funkcijska!$E848,#REF!)</f>
        <v>#REF!</v>
      </c>
      <c r="V848" s="357" t="e">
        <f>SUMIF(#REF!,funkcijska!$E848,#REF!)+SUMIF(#REF!,funkcijska!$E848,#REF!)</f>
        <v>#REF!</v>
      </c>
      <c r="W848" s="357" t="e">
        <f>SUMIF(#REF!,funkcijska!$E848,#REF!)+SUMIF(#REF!,funkcijska!$E848,#REF!)</f>
        <v>#REF!</v>
      </c>
      <c r="X848" s="357" t="e">
        <f>SUMIF(#REF!,funkcijska!$E848,#REF!)+SUMIF(#REF!,funkcijska!$E848,#REF!)</f>
        <v>#REF!</v>
      </c>
      <c r="AD848" s="60"/>
      <c r="AE848" s="60"/>
      <c r="AF848" s="60"/>
      <c r="AG848" s="60"/>
      <c r="AH848" s="60"/>
      <c r="AI848" s="60"/>
      <c r="AJ848" s="60"/>
      <c r="AK848" s="60"/>
      <c r="AL848" s="60"/>
    </row>
    <row r="849" spans="1:38" ht="36.75" hidden="1" customHeight="1" x14ac:dyDescent="0.25">
      <c r="A849" s="125"/>
      <c r="B849" s="74"/>
      <c r="C849" s="74" t="str">
        <f>LEFT(E851,2)</f>
        <v>45</v>
      </c>
      <c r="D849" s="74"/>
      <c r="E849" s="74"/>
      <c r="F849" s="75" t="s">
        <v>808</v>
      </c>
      <c r="G849" s="77" t="e">
        <f>G850+G852+#REF!</f>
        <v>#REF!</v>
      </c>
      <c r="H849" s="118" t="e">
        <f>H850+H852+#REF!</f>
        <v>#REF!</v>
      </c>
      <c r="I849" s="77" t="e">
        <f>I850+I852+#REF!</f>
        <v>#REF!</v>
      </c>
      <c r="J849" s="77" t="e">
        <f>J850+J852+#REF!</f>
        <v>#REF!</v>
      </c>
      <c r="K849" s="77" t="e">
        <f>K850+K852+#REF!</f>
        <v>#REF!</v>
      </c>
      <c r="L849" s="77" t="e">
        <f t="shared" si="419"/>
        <v>#REF!</v>
      </c>
      <c r="M849" s="77" t="e">
        <f t="shared" si="420"/>
        <v>#REF!</v>
      </c>
      <c r="N849" s="77" t="e">
        <f>N850+N852+#REF!</f>
        <v>#REF!</v>
      </c>
      <c r="O849" s="76" t="e">
        <f>O850+O852+#REF!</f>
        <v>#REF!</v>
      </c>
      <c r="P849" s="76" t="e">
        <f>P850+P852+#REF!</f>
        <v>#REF!</v>
      </c>
      <c r="Q849" s="385" t="e">
        <f>Q850+Q852+#REF!</f>
        <v>#REF!</v>
      </c>
      <c r="R849" s="135" t="e">
        <f>R850+R852+#REF!</f>
        <v>#REF!</v>
      </c>
      <c r="S849" s="135" t="e">
        <f>S850+S852+#REF!</f>
        <v>#REF!</v>
      </c>
      <c r="T849" s="135" t="e">
        <f>T850+T852+#REF!</f>
        <v>#REF!</v>
      </c>
      <c r="U849" s="356" t="e">
        <f>U850+U852+#REF!</f>
        <v>#REF!</v>
      </c>
      <c r="V849" s="356" t="e">
        <f>V850+V852</f>
        <v>#REF!</v>
      </c>
      <c r="W849" s="356" t="e">
        <f>W850+W852</f>
        <v>#REF!</v>
      </c>
      <c r="X849" s="356" t="e">
        <f>X850+X852</f>
        <v>#REF!</v>
      </c>
      <c r="AD849" s="60"/>
      <c r="AE849" s="60"/>
      <c r="AF849" s="60"/>
      <c r="AG849" s="60"/>
      <c r="AH849" s="60"/>
      <c r="AI849" s="60"/>
      <c r="AJ849" s="60"/>
      <c r="AK849" s="60"/>
      <c r="AL849" s="60"/>
    </row>
    <row r="850" spans="1:38" s="373" customFormat="1" ht="20.25" hidden="1" customHeight="1" x14ac:dyDescent="0.25">
      <c r="A850" s="119"/>
      <c r="B850" s="119"/>
      <c r="C850" s="119"/>
      <c r="D850" s="119" t="str">
        <f>LEFT(E851,3)</f>
        <v>451</v>
      </c>
      <c r="E850" s="119"/>
      <c r="F850" s="368" t="s">
        <v>809</v>
      </c>
      <c r="G850" s="369" t="e">
        <f>G851</f>
        <v>#REF!</v>
      </c>
      <c r="H850" s="370" t="e">
        <f>H851</f>
        <v>#REF!</v>
      </c>
      <c r="I850" s="369" t="e">
        <f>I851</f>
        <v>#REF!</v>
      </c>
      <c r="J850" s="369" t="e">
        <f>J851</f>
        <v>#REF!</v>
      </c>
      <c r="K850" s="369" t="e">
        <f>K851</f>
        <v>#REF!</v>
      </c>
      <c r="L850" s="369" t="e">
        <f t="shared" si="419"/>
        <v>#REF!</v>
      </c>
      <c r="M850" s="369" t="e">
        <f t="shared" si="420"/>
        <v>#REF!</v>
      </c>
      <c r="N850" s="369" t="e">
        <f t="shared" ref="N850:X850" si="421">N851</f>
        <v>#REF!</v>
      </c>
      <c r="O850" s="137" t="e">
        <f t="shared" si="421"/>
        <v>#REF!</v>
      </c>
      <c r="P850" s="137" t="e">
        <f t="shared" si="421"/>
        <v>#REF!</v>
      </c>
      <c r="Q850" s="393" t="e">
        <f t="shared" si="421"/>
        <v>#REF!</v>
      </c>
      <c r="R850" s="137" t="e">
        <f t="shared" si="421"/>
        <v>#REF!</v>
      </c>
      <c r="S850" s="137" t="e">
        <f t="shared" si="421"/>
        <v>#REF!</v>
      </c>
      <c r="T850" s="137" t="e">
        <f t="shared" si="421"/>
        <v>#REF!</v>
      </c>
      <c r="U850" s="371" t="e">
        <f t="shared" si="421"/>
        <v>#REF!</v>
      </c>
      <c r="V850" s="371" t="e">
        <f t="shared" si="421"/>
        <v>#REF!</v>
      </c>
      <c r="W850" s="371" t="e">
        <f t="shared" si="421"/>
        <v>#REF!</v>
      </c>
      <c r="X850" s="371" t="e">
        <f t="shared" si="421"/>
        <v>#REF!</v>
      </c>
      <c r="Y850" s="372"/>
      <c r="Z850" s="372"/>
      <c r="AA850" s="372"/>
      <c r="AB850" s="372"/>
      <c r="AC850" s="372"/>
      <c r="AD850" s="372"/>
      <c r="AE850" s="372"/>
      <c r="AF850" s="372"/>
      <c r="AG850" s="372"/>
      <c r="AH850" s="372"/>
      <c r="AI850" s="372"/>
      <c r="AJ850" s="372"/>
      <c r="AK850" s="372"/>
      <c r="AL850" s="372"/>
    </row>
    <row r="851" spans="1:38" ht="21" hidden="1" customHeight="1" x14ac:dyDescent="0.25">
      <c r="A851" s="80"/>
      <c r="B851" s="80"/>
      <c r="C851" s="80"/>
      <c r="D851" s="80"/>
      <c r="E851" s="80">
        <v>4511</v>
      </c>
      <c r="F851" s="81" t="s">
        <v>809</v>
      </c>
      <c r="G851" s="82" t="e">
        <f>SUMIF(#REF!,funkcijska!E851,#REF!)</f>
        <v>#REF!</v>
      </c>
      <c r="H851" s="82" t="e">
        <f>SUMIF(#REF!,funkcijska!$E851,#REF!)</f>
        <v>#REF!</v>
      </c>
      <c r="I851" s="82" t="e">
        <f>SUMIF(#REF!,funkcijska!$E851,#REF!)</f>
        <v>#REF!</v>
      </c>
      <c r="J851" s="82" t="e">
        <f>SUMIF(#REF!,funkcijska!$E851,#REF!)</f>
        <v>#REF!</v>
      </c>
      <c r="K851" s="82" t="e">
        <f>SUMIF(#REF!,funkcijska!$E851,#REF!)</f>
        <v>#REF!</v>
      </c>
      <c r="L851" s="82" t="e">
        <f t="shared" si="419"/>
        <v>#REF!</v>
      </c>
      <c r="M851" s="82" t="e">
        <f t="shared" si="420"/>
        <v>#REF!</v>
      </c>
      <c r="N851" s="82" t="e">
        <f>SUMIF(#REF!,funkcijska!$E851,#REF!)</f>
        <v>#REF!</v>
      </c>
      <c r="O851" s="82" t="e">
        <f>SUMIF(#REF!,funkcijska!$E851,#REF!)</f>
        <v>#REF!</v>
      </c>
      <c r="P851" s="82" t="e">
        <f>SUMIF(#REF!,funkcijska!$E851,#REF!)</f>
        <v>#REF!</v>
      </c>
      <c r="Q851" s="386" t="e">
        <f>SUMIF(#REF!,funkcijska!$E851,#REF!)</f>
        <v>#REF!</v>
      </c>
      <c r="R851" s="82" t="e">
        <f>SUMIF(#REF!,funkcijska!$E851,#REF!)</f>
        <v>#REF!</v>
      </c>
      <c r="S851" s="82" t="e">
        <f>SUMIF(#REF!,funkcijska!$E851,#REF!)</f>
        <v>#REF!</v>
      </c>
      <c r="T851" s="82" t="e">
        <f>SUMIF(#REF!,funkcijska!$E$115,#REF!)</f>
        <v>#REF!</v>
      </c>
      <c r="U851" s="357" t="e">
        <f>SUMIF(#REF!,funkcijska!$E851,#REF!)</f>
        <v>#REF!</v>
      </c>
      <c r="V851" s="357" t="e">
        <f>SUMIF(#REF!,funkcijska!$E851,#REF!)+SUMIF(#REF!,funkcijska!$E851,#REF!)</f>
        <v>#REF!</v>
      </c>
      <c r="W851" s="357" t="e">
        <f>SUMIF(#REF!,funkcijska!$E851,#REF!)+SUMIF(#REF!,funkcijska!$E851,#REF!)</f>
        <v>#REF!</v>
      </c>
      <c r="X851" s="357" t="e">
        <f>SUMIF(#REF!,funkcijska!$E851,#REF!)+SUMIF(#REF!,funkcijska!$E851,#REF!)</f>
        <v>#REF!</v>
      </c>
      <c r="AD851" s="60"/>
      <c r="AE851" s="60"/>
      <c r="AF851" s="60"/>
      <c r="AG851" s="60"/>
      <c r="AH851" s="60"/>
      <c r="AI851" s="60"/>
      <c r="AJ851" s="60"/>
      <c r="AK851" s="60"/>
      <c r="AL851" s="60"/>
    </row>
    <row r="852" spans="1:38" s="373" customFormat="1" ht="21.75" hidden="1" customHeight="1" x14ac:dyDescent="0.25">
      <c r="A852" s="119"/>
      <c r="B852" s="119"/>
      <c r="C852" s="119"/>
      <c r="D852" s="119">
        <v>452</v>
      </c>
      <c r="E852" s="119"/>
      <c r="F852" s="368" t="s">
        <v>639</v>
      </c>
      <c r="G852" s="137" t="e">
        <f>G853</f>
        <v>#REF!</v>
      </c>
      <c r="H852" s="370" t="e">
        <f>H853</f>
        <v>#REF!</v>
      </c>
      <c r="I852" s="137" t="e">
        <f>I853</f>
        <v>#REF!</v>
      </c>
      <c r="J852" s="137" t="e">
        <f>J853</f>
        <v>#REF!</v>
      </c>
      <c r="K852" s="137" t="e">
        <f>K853</f>
        <v>#REF!</v>
      </c>
      <c r="L852" s="137" t="e">
        <f t="shared" si="419"/>
        <v>#REF!</v>
      </c>
      <c r="M852" s="137" t="e">
        <f t="shared" si="420"/>
        <v>#REF!</v>
      </c>
      <c r="N852" s="137" t="e">
        <f t="shared" ref="N852:X852" si="422">N853</f>
        <v>#REF!</v>
      </c>
      <c r="O852" s="137" t="e">
        <f t="shared" si="422"/>
        <v>#REF!</v>
      </c>
      <c r="P852" s="137" t="e">
        <f t="shared" si="422"/>
        <v>#REF!</v>
      </c>
      <c r="Q852" s="393" t="e">
        <f t="shared" si="422"/>
        <v>#REF!</v>
      </c>
      <c r="R852" s="137" t="e">
        <f t="shared" si="422"/>
        <v>#REF!</v>
      </c>
      <c r="S852" s="137" t="e">
        <f t="shared" si="422"/>
        <v>#REF!</v>
      </c>
      <c r="T852" s="137" t="e">
        <f t="shared" si="422"/>
        <v>#REF!</v>
      </c>
      <c r="U852" s="371" t="e">
        <f t="shared" si="422"/>
        <v>#REF!</v>
      </c>
      <c r="V852" s="371" t="e">
        <f t="shared" si="422"/>
        <v>#REF!</v>
      </c>
      <c r="W852" s="371" t="e">
        <f t="shared" si="422"/>
        <v>#REF!</v>
      </c>
      <c r="X852" s="371" t="e">
        <f t="shared" si="422"/>
        <v>#REF!</v>
      </c>
      <c r="Y852" s="372"/>
      <c r="Z852" s="372"/>
      <c r="AA852" s="372"/>
      <c r="AB852" s="372"/>
      <c r="AC852" s="372"/>
      <c r="AD852" s="372"/>
      <c r="AE852" s="372"/>
      <c r="AF852" s="372"/>
      <c r="AG852" s="372"/>
      <c r="AH852" s="372"/>
      <c r="AI852" s="372"/>
      <c r="AJ852" s="372"/>
      <c r="AK852" s="372"/>
      <c r="AL852" s="372"/>
    </row>
    <row r="853" spans="1:38" ht="21" hidden="1" customHeight="1" x14ac:dyDescent="0.25">
      <c r="A853" s="80"/>
      <c r="B853" s="80"/>
      <c r="C853" s="80"/>
      <c r="D853" s="80"/>
      <c r="E853" s="80">
        <v>4521</v>
      </c>
      <c r="F853" s="81" t="s">
        <v>639</v>
      </c>
      <c r="G853" s="82" t="e">
        <f>SUMIF(#REF!,funkcijska!E853,#REF!)</f>
        <v>#REF!</v>
      </c>
      <c r="H853" s="82" t="e">
        <f>SUMIF(#REF!,funkcijska!$E853,#REF!)</f>
        <v>#REF!</v>
      </c>
      <c r="I853" s="82" t="e">
        <f>SUMIF(#REF!,funkcijska!$E853,#REF!)</f>
        <v>#REF!</v>
      </c>
      <c r="J853" s="82" t="e">
        <f>SUMIF(#REF!,funkcijska!$E853,#REF!)</f>
        <v>#REF!</v>
      </c>
      <c r="K853" s="82" t="e">
        <f>SUMIF(#REF!,funkcijska!$E853,#REF!)</f>
        <v>#REF!</v>
      </c>
      <c r="L853" s="82" t="e">
        <f t="shared" si="419"/>
        <v>#REF!</v>
      </c>
      <c r="M853" s="82" t="e">
        <f t="shared" si="420"/>
        <v>#REF!</v>
      </c>
      <c r="N853" s="82" t="e">
        <f>SUMIF(#REF!,funkcijska!$E853,#REF!)</f>
        <v>#REF!</v>
      </c>
      <c r="O853" s="82" t="e">
        <f>SUMIF(#REF!,funkcijska!$E853,#REF!)</f>
        <v>#REF!</v>
      </c>
      <c r="P853" s="82" t="e">
        <f>SUMIF(#REF!,funkcijska!$E853,#REF!)</f>
        <v>#REF!</v>
      </c>
      <c r="Q853" s="386" t="e">
        <f>SUMIF(#REF!,funkcijska!$E853,#REF!)</f>
        <v>#REF!</v>
      </c>
      <c r="R853" s="82" t="e">
        <f>SUMIF(#REF!,funkcijska!$E853,#REF!)</f>
        <v>#REF!</v>
      </c>
      <c r="S853" s="82" t="e">
        <f>SUMIF(#REF!,funkcijska!$E853,#REF!)</f>
        <v>#REF!</v>
      </c>
      <c r="T853" s="82" t="e">
        <f>SUMIF(#REF!,funkcijska!$E$117,#REF!)</f>
        <v>#REF!</v>
      </c>
      <c r="U853" s="357" t="e">
        <f>SUMIF(#REF!,funkcijska!$E853,#REF!)</f>
        <v>#REF!</v>
      </c>
      <c r="V853" s="357" t="e">
        <f>SUMIF(#REF!,funkcijska!$E853,#REF!)+SUMIF(#REF!,funkcijska!$E853,#REF!)</f>
        <v>#REF!</v>
      </c>
      <c r="W853" s="357" t="e">
        <f>SUMIF(#REF!,funkcijska!$E853,#REF!)+SUMIF(#REF!,funkcijska!$E853,#REF!)</f>
        <v>#REF!</v>
      </c>
      <c r="X853" s="357" t="e">
        <f>SUMIF(#REF!,funkcijska!$E853,#REF!)+SUMIF(#REF!,funkcijska!$E853,#REF!)</f>
        <v>#REF!</v>
      </c>
      <c r="AD853" s="60"/>
      <c r="AE853" s="60"/>
      <c r="AF853" s="60"/>
      <c r="AG853" s="60"/>
      <c r="AH853" s="60"/>
      <c r="AI853" s="60"/>
      <c r="AJ853" s="60"/>
      <c r="AK853" s="60"/>
      <c r="AL853" s="60"/>
    </row>
    <row r="854" spans="1:38" x14ac:dyDescent="0.25">
      <c r="A854" s="123"/>
      <c r="B854" s="123"/>
      <c r="C854" s="123"/>
      <c r="D854" s="123"/>
      <c r="E854" s="123"/>
    </row>
    <row r="855" spans="1:38" x14ac:dyDescent="0.25">
      <c r="A855" s="123"/>
      <c r="B855" s="123"/>
      <c r="C855" s="123"/>
      <c r="D855" s="123"/>
      <c r="E855" s="123"/>
    </row>
    <row r="856" spans="1:38" x14ac:dyDescent="0.25">
      <c r="A856" s="123"/>
      <c r="B856" s="123"/>
      <c r="C856" s="123"/>
      <c r="D856" s="123"/>
      <c r="E856" s="123"/>
    </row>
    <row r="857" spans="1:38" x14ac:dyDescent="0.25">
      <c r="A857" s="123"/>
      <c r="B857" s="123"/>
      <c r="C857" s="123"/>
      <c r="D857" s="123"/>
      <c r="E857" s="123"/>
    </row>
    <row r="858" spans="1:38" x14ac:dyDescent="0.25">
      <c r="A858" s="123"/>
      <c r="B858" s="123"/>
      <c r="C858" s="123"/>
      <c r="D858" s="123"/>
      <c r="E858" s="123"/>
    </row>
    <row r="859" spans="1:38" x14ac:dyDescent="0.25">
      <c r="A859" s="123"/>
      <c r="B859" s="123"/>
      <c r="C859" s="123"/>
      <c r="D859" s="123"/>
      <c r="E859" s="123"/>
    </row>
    <row r="860" spans="1:38" x14ac:dyDescent="0.25">
      <c r="A860" s="123"/>
      <c r="B860" s="123"/>
      <c r="C860" s="123"/>
      <c r="D860" s="123"/>
      <c r="E860" s="123"/>
    </row>
    <row r="861" spans="1:38" x14ac:dyDescent="0.25">
      <c r="A861" s="123"/>
      <c r="B861" s="123"/>
      <c r="C861" s="123"/>
      <c r="D861" s="123"/>
      <c r="E861" s="123"/>
    </row>
    <row r="862" spans="1:38" x14ac:dyDescent="0.25">
      <c r="A862" s="123"/>
      <c r="B862" s="123"/>
      <c r="C862" s="123"/>
      <c r="D862" s="123"/>
      <c r="E862" s="123"/>
    </row>
    <row r="863" spans="1:38" x14ac:dyDescent="0.25">
      <c r="A863" s="123"/>
      <c r="B863" s="123"/>
      <c r="C863" s="123"/>
      <c r="D863" s="123"/>
      <c r="E863" s="123"/>
    </row>
    <row r="864" spans="1:38" x14ac:dyDescent="0.25">
      <c r="A864" s="123"/>
      <c r="B864" s="123"/>
      <c r="C864" s="123"/>
      <c r="D864" s="123"/>
      <c r="E864" s="123"/>
    </row>
    <row r="865" spans="1:5" x14ac:dyDescent="0.25">
      <c r="A865" s="123"/>
      <c r="B865" s="123"/>
      <c r="C865" s="123"/>
      <c r="D865" s="123"/>
      <c r="E865" s="123"/>
    </row>
    <row r="866" spans="1:5" x14ac:dyDescent="0.25">
      <c r="A866" s="123"/>
      <c r="B866" s="123"/>
      <c r="C866" s="123"/>
      <c r="D866" s="123"/>
      <c r="E866" s="123"/>
    </row>
    <row r="867" spans="1:5" x14ac:dyDescent="0.25">
      <c r="A867" s="123"/>
      <c r="B867" s="123"/>
      <c r="C867" s="123"/>
      <c r="D867" s="123"/>
      <c r="E867" s="123"/>
    </row>
    <row r="868" spans="1:5" x14ac:dyDescent="0.25">
      <c r="A868" s="123"/>
      <c r="B868" s="123"/>
      <c r="C868" s="123"/>
      <c r="D868" s="123"/>
      <c r="E868" s="123"/>
    </row>
    <row r="869" spans="1:5" x14ac:dyDescent="0.25">
      <c r="A869" s="123"/>
      <c r="B869" s="123"/>
      <c r="C869" s="123"/>
      <c r="D869" s="123"/>
      <c r="E869" s="123"/>
    </row>
    <row r="870" spans="1:5" x14ac:dyDescent="0.25">
      <c r="A870" s="123"/>
      <c r="B870" s="123"/>
      <c r="C870" s="123"/>
      <c r="D870" s="123"/>
      <c r="E870" s="123"/>
    </row>
    <row r="871" spans="1:5" x14ac:dyDescent="0.25">
      <c r="A871" s="123"/>
      <c r="B871" s="123"/>
      <c r="C871" s="123"/>
      <c r="D871" s="123"/>
      <c r="E871" s="123"/>
    </row>
    <row r="872" spans="1:5" x14ac:dyDescent="0.25">
      <c r="A872" s="123"/>
      <c r="B872" s="123"/>
      <c r="C872" s="123"/>
      <c r="D872" s="123"/>
      <c r="E872" s="123"/>
    </row>
    <row r="873" spans="1:5" x14ac:dyDescent="0.25">
      <c r="A873" s="123"/>
      <c r="B873" s="123"/>
      <c r="C873" s="123"/>
      <c r="D873" s="123"/>
      <c r="E873" s="123"/>
    </row>
    <row r="874" spans="1:5" x14ac:dyDescent="0.25">
      <c r="A874" s="123"/>
      <c r="B874" s="123"/>
      <c r="C874" s="123"/>
      <c r="D874" s="123"/>
      <c r="E874" s="123"/>
    </row>
    <row r="875" spans="1:5" x14ac:dyDescent="0.25">
      <c r="A875" s="123"/>
      <c r="B875" s="123"/>
      <c r="C875" s="123"/>
      <c r="D875" s="123"/>
      <c r="E875" s="123"/>
    </row>
    <row r="876" spans="1:5" x14ac:dyDescent="0.25">
      <c r="A876" s="123"/>
      <c r="B876" s="123"/>
      <c r="C876" s="123"/>
      <c r="D876" s="123"/>
      <c r="E876" s="123"/>
    </row>
    <row r="877" spans="1:5" x14ac:dyDescent="0.25">
      <c r="A877" s="123"/>
      <c r="B877" s="123"/>
      <c r="C877" s="123"/>
      <c r="D877" s="123"/>
      <c r="E877" s="123"/>
    </row>
    <row r="878" spans="1:5" x14ac:dyDescent="0.25">
      <c r="A878" s="123"/>
      <c r="B878" s="123"/>
      <c r="C878" s="123"/>
      <c r="D878" s="123"/>
      <c r="E878" s="123"/>
    </row>
    <row r="879" spans="1:5" x14ac:dyDescent="0.25">
      <c r="A879" s="123"/>
      <c r="B879" s="123"/>
      <c r="C879" s="123"/>
      <c r="D879" s="123"/>
      <c r="E879" s="123"/>
    </row>
    <row r="880" spans="1:5" x14ac:dyDescent="0.25">
      <c r="A880" s="123"/>
      <c r="B880" s="123"/>
      <c r="C880" s="123"/>
      <c r="D880" s="123"/>
      <c r="E880" s="123"/>
    </row>
    <row r="881" spans="1:5" x14ac:dyDescent="0.25">
      <c r="A881" s="123"/>
      <c r="B881" s="123"/>
      <c r="C881" s="123"/>
      <c r="D881" s="123"/>
      <c r="E881" s="123"/>
    </row>
    <row r="882" spans="1:5" x14ac:dyDescent="0.25">
      <c r="A882" s="123"/>
      <c r="B882" s="123"/>
      <c r="C882" s="123"/>
      <c r="D882" s="123"/>
      <c r="E882" s="123"/>
    </row>
    <row r="883" spans="1:5" x14ac:dyDescent="0.25">
      <c r="A883" s="123"/>
      <c r="B883" s="123"/>
      <c r="C883" s="123"/>
      <c r="D883" s="123"/>
      <c r="E883" s="123"/>
    </row>
    <row r="884" spans="1:5" x14ac:dyDescent="0.25">
      <c r="A884" s="123"/>
      <c r="B884" s="123"/>
      <c r="C884" s="123"/>
      <c r="D884" s="123"/>
      <c r="E884" s="123"/>
    </row>
    <row r="885" spans="1:5" x14ac:dyDescent="0.25">
      <c r="A885" s="123"/>
      <c r="B885" s="123"/>
      <c r="C885" s="123"/>
      <c r="D885" s="123"/>
      <c r="E885" s="123"/>
    </row>
    <row r="886" spans="1:5" x14ac:dyDescent="0.25">
      <c r="A886" s="123"/>
      <c r="B886" s="123"/>
      <c r="C886" s="123"/>
      <c r="D886" s="123"/>
      <c r="E886" s="123"/>
    </row>
    <row r="887" spans="1:5" x14ac:dyDescent="0.25">
      <c r="A887" s="123"/>
      <c r="B887" s="123"/>
      <c r="C887" s="123"/>
      <c r="D887" s="123"/>
      <c r="E887" s="123"/>
    </row>
    <row r="888" spans="1:5" x14ac:dyDescent="0.25">
      <c r="A888" s="123"/>
      <c r="B888" s="123"/>
      <c r="C888" s="123"/>
      <c r="D888" s="123"/>
      <c r="E888" s="123"/>
    </row>
    <row r="889" spans="1:5" x14ac:dyDescent="0.25">
      <c r="A889" s="123"/>
      <c r="B889" s="123"/>
      <c r="C889" s="123"/>
      <c r="D889" s="123"/>
      <c r="E889" s="123"/>
    </row>
    <row r="890" spans="1:5" x14ac:dyDescent="0.25">
      <c r="A890" s="123"/>
      <c r="B890" s="123"/>
      <c r="C890" s="123"/>
      <c r="D890" s="123"/>
      <c r="E890" s="123"/>
    </row>
    <row r="891" spans="1:5" x14ac:dyDescent="0.25">
      <c r="A891" s="123"/>
      <c r="B891" s="123"/>
      <c r="C891" s="123"/>
      <c r="D891" s="123"/>
      <c r="E891" s="123"/>
    </row>
    <row r="892" spans="1:5" x14ac:dyDescent="0.25">
      <c r="A892" s="123"/>
      <c r="B892" s="123"/>
      <c r="C892" s="123"/>
      <c r="D892" s="123"/>
      <c r="E892" s="123"/>
    </row>
    <row r="893" spans="1:5" x14ac:dyDescent="0.25">
      <c r="A893" s="123"/>
      <c r="B893" s="123"/>
      <c r="C893" s="123"/>
      <c r="D893" s="123"/>
      <c r="E893" s="123"/>
    </row>
    <row r="894" spans="1:5" x14ac:dyDescent="0.25">
      <c r="A894" s="123"/>
      <c r="B894" s="123"/>
      <c r="C894" s="123"/>
      <c r="D894" s="123"/>
      <c r="E894" s="123"/>
    </row>
    <row r="895" spans="1:5" x14ac:dyDescent="0.25">
      <c r="A895" s="123"/>
      <c r="B895" s="123"/>
      <c r="C895" s="123"/>
      <c r="D895" s="123"/>
      <c r="E895" s="123"/>
    </row>
  </sheetData>
  <dataConsolidate/>
  <mergeCells count="1">
    <mergeCell ref="B1:X1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E81:E82 E66:E79 E12:E43 E45:E62 D44 E64 E141:E145 E84:E86 E88:E89 E96:E108 E91:E94 E443:E444 E428:E441 E374:E405 E407:E424 D406 E426 E472:E479 E446:E448 E450:E451 E458:E470 E453:E456 E330:E333 E315:E328 E261:E292 E294:E311 D293 E313 E361:E369 E335:E337 E339:E340 E347:E359 E342:E345 E218:E219 E203:E216 E149:E180 E182:E199 D181 E201 E247:E257 E221:E223 E225:E226 E233:E245 E228:E231 E135:E139 E110:E117 E119:E126 E128:E131 E593:E600 E602:E605 E555:E556 E540:E553 E486:E517 E519:E536 D518 E538 E584:E591 E558:E560 E562:E563 E570:E582 E565:E568 E628:E630 E610:E626 E705:E706 E690:E703 E636:E667 E669:E686 D668 E688 E734:E741 E708:E710 E712:E713 E720:E732 E715:E718 E817:E818 E802:E815 E748:E779 E781:E798 D780 E800 E846:E853 E820:E822 E824:E825 E832:E844 E827:E830">
      <formula1>0</formula1>
      <formula2>9999</formula2>
    </dataValidation>
  </dataValidations>
  <printOptions horizontalCentered="1"/>
  <pageMargins left="0.27559055118110237" right="0.19685039370078741" top="0.39370078740157483" bottom="0.43307086614173229" header="0.35433070866141736" footer="0.23622047244094491"/>
  <pageSetup paperSize="9" scale="65" fitToHeight="2" orientation="portrait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/>
  <dimension ref="A1:F25"/>
  <sheetViews>
    <sheetView workbookViewId="0">
      <selection activeCell="D15" sqref="D15"/>
    </sheetView>
  </sheetViews>
  <sheetFormatPr defaultRowHeight="12.75" x14ac:dyDescent="0.2"/>
  <cols>
    <col min="1" max="1" width="40.42578125" customWidth="1"/>
    <col min="2" max="2" width="16.28515625" customWidth="1"/>
    <col min="3" max="3" width="17.28515625" customWidth="1"/>
    <col min="4" max="4" width="18.5703125" customWidth="1"/>
    <col min="5" max="5" width="20.85546875" customWidth="1"/>
    <col min="6" max="6" width="14.85546875" customWidth="1"/>
  </cols>
  <sheetData>
    <row r="1" spans="1:6" ht="38.25" x14ac:dyDescent="0.2">
      <c r="A1" s="724" t="s">
        <v>93</v>
      </c>
      <c r="B1" s="723" t="s">
        <v>85</v>
      </c>
      <c r="C1" s="723" t="s">
        <v>86</v>
      </c>
      <c r="D1" s="723" t="s">
        <v>87</v>
      </c>
      <c r="E1" s="723" t="s">
        <v>88</v>
      </c>
      <c r="F1" s="722"/>
    </row>
    <row r="2" spans="1:6" x14ac:dyDescent="0.2">
      <c r="A2" s="724" t="s">
        <v>92</v>
      </c>
      <c r="B2" s="725"/>
      <c r="C2" s="725">
        <v>2337500</v>
      </c>
      <c r="D2" s="725"/>
      <c r="E2" s="725">
        <v>182041.34</v>
      </c>
    </row>
    <row r="3" spans="1:6" x14ac:dyDescent="0.2">
      <c r="A3" s="724" t="s">
        <v>90</v>
      </c>
      <c r="B3" s="725">
        <v>96000</v>
      </c>
      <c r="C3" s="725"/>
      <c r="D3" s="725">
        <v>4000</v>
      </c>
      <c r="E3" s="725"/>
    </row>
    <row r="4" spans="1:6" ht="13.5" thickBot="1" x14ac:dyDescent="0.25">
      <c r="A4" s="726" t="s">
        <v>91</v>
      </c>
      <c r="B4" s="727">
        <v>256700</v>
      </c>
      <c r="C4" s="727"/>
      <c r="D4" s="727">
        <v>36000</v>
      </c>
      <c r="E4" s="727"/>
    </row>
    <row r="6" spans="1:6" x14ac:dyDescent="0.2">
      <c r="A6" s="724" t="s">
        <v>94</v>
      </c>
    </row>
    <row r="8" spans="1:6" x14ac:dyDescent="0.2">
      <c r="A8" s="675" t="s">
        <v>89</v>
      </c>
    </row>
    <row r="9" spans="1:6" ht="15.75" x14ac:dyDescent="0.2">
      <c r="A9" t="s">
        <v>614</v>
      </c>
      <c r="E9" s="720">
        <v>309500</v>
      </c>
    </row>
    <row r="10" spans="1:6" ht="15.75" x14ac:dyDescent="0.2">
      <c r="A10" t="s">
        <v>287</v>
      </c>
      <c r="E10" s="720">
        <v>80000</v>
      </c>
    </row>
    <row r="11" spans="1:6" ht="15" x14ac:dyDescent="0.2">
      <c r="A11" t="s">
        <v>616</v>
      </c>
      <c r="E11" s="706">
        <v>160022</v>
      </c>
    </row>
    <row r="14" spans="1:6" x14ac:dyDescent="0.2">
      <c r="A14" s="675" t="s">
        <v>91</v>
      </c>
    </row>
    <row r="15" spans="1:6" ht="15" x14ac:dyDescent="0.2">
      <c r="A15" t="s">
        <v>478</v>
      </c>
      <c r="D15" s="721">
        <v>272500</v>
      </c>
    </row>
    <row r="21" spans="1:5" x14ac:dyDescent="0.2">
      <c r="B21" s="144">
        <f>B3+B4</f>
        <v>352700</v>
      </c>
      <c r="C21" s="144">
        <f>C2</f>
        <v>2337500</v>
      </c>
      <c r="D21" s="144">
        <f>D3+D4+D15</f>
        <v>312500</v>
      </c>
      <c r="E21" s="144">
        <f>E2+E9+E10+E11</f>
        <v>731563.34</v>
      </c>
    </row>
    <row r="23" spans="1:5" x14ac:dyDescent="0.2">
      <c r="A23" s="675" t="s">
        <v>95</v>
      </c>
    </row>
    <row r="24" spans="1:5" x14ac:dyDescent="0.2">
      <c r="D24" s="144">
        <v>130500</v>
      </c>
    </row>
    <row r="25" spans="1:5" x14ac:dyDescent="0.2">
      <c r="D25" s="144">
        <f>D21+D24</f>
        <v>443000</v>
      </c>
    </row>
  </sheetData>
  <phoneticPr fontId="10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/>
  <dimension ref="A1:BE2680"/>
  <sheetViews>
    <sheetView showGridLines="0" topLeftCell="A2580" zoomScale="70" zoomScaleNormal="70" workbookViewId="0">
      <selection activeCell="H2597" sqref="H2597"/>
    </sheetView>
  </sheetViews>
  <sheetFormatPr defaultRowHeight="15" x14ac:dyDescent="0.2"/>
  <cols>
    <col min="1" max="1" width="3.140625" style="259" customWidth="1"/>
    <col min="2" max="3" width="5.42578125" style="6" customWidth="1"/>
    <col min="4" max="4" width="7.5703125" style="6" customWidth="1"/>
    <col min="5" max="5" width="8.140625" style="6" customWidth="1"/>
    <col min="6" max="6" width="7.42578125" style="149" customWidth="1"/>
    <col min="7" max="7" width="7.42578125" style="149" hidden="1" customWidth="1"/>
    <col min="8" max="8" width="57.28515625" style="253" customWidth="1"/>
    <col min="9" max="9" width="19.28515625" style="150" hidden="1" customWidth="1"/>
    <col min="10" max="10" width="18.85546875" style="150" hidden="1" customWidth="1"/>
    <col min="11" max="11" width="13.5703125" style="150" hidden="1" customWidth="1"/>
    <col min="12" max="12" width="18.85546875" style="150" hidden="1" customWidth="1"/>
    <col min="13" max="13" width="19.140625" style="150" hidden="1" customWidth="1"/>
    <col min="14" max="15" width="19.5703125" style="217" hidden="1" customWidth="1"/>
    <col min="16" max="16" width="19.5703125" style="348" hidden="1" customWidth="1"/>
    <col min="17" max="17" width="19.5703125" style="217" hidden="1" customWidth="1"/>
    <col min="18" max="19" width="19" style="217" hidden="1" customWidth="1"/>
    <col min="20" max="21" width="19.5703125" style="348" hidden="1" customWidth="1"/>
    <col min="22" max="25" width="19.5703125" style="217" hidden="1" customWidth="1"/>
    <col min="26" max="26" width="17.7109375" style="217" hidden="1" customWidth="1"/>
    <col min="27" max="27" width="19.5703125" style="217" hidden="1" customWidth="1"/>
    <col min="28" max="28" width="19.85546875" style="217" customWidth="1"/>
    <col min="29" max="29" width="18.140625" style="217" customWidth="1"/>
    <col min="30" max="31" width="15.85546875" style="217" customWidth="1"/>
    <col min="32" max="32" width="20.140625" style="217" customWidth="1"/>
    <col min="33" max="35" width="19.5703125" style="217" customWidth="1"/>
    <col min="36" max="37" width="17.140625" style="455" customWidth="1"/>
    <col min="38" max="38" width="15.140625" style="145" customWidth="1"/>
    <col min="39" max="39" width="11.5703125" style="146" bestFit="1" customWidth="1"/>
    <col min="40" max="16384" width="9.140625" style="146"/>
  </cols>
  <sheetData>
    <row r="1" spans="1:42" ht="17.25" customHeight="1" x14ac:dyDescent="0.2">
      <c r="B1" s="775"/>
      <c r="C1" s="776"/>
      <c r="D1" s="776"/>
      <c r="E1" s="776"/>
      <c r="F1" s="776"/>
      <c r="G1" s="776"/>
      <c r="H1" s="777"/>
      <c r="I1" s="4"/>
      <c r="J1" s="4"/>
      <c r="K1" s="4"/>
      <c r="L1" s="4"/>
      <c r="M1" s="4"/>
      <c r="N1" s="5"/>
      <c r="O1" s="5"/>
      <c r="P1" s="337"/>
      <c r="Q1" s="5"/>
      <c r="R1" s="5"/>
      <c r="S1" s="5"/>
      <c r="T1" s="337"/>
      <c r="U1" s="337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456"/>
      <c r="AK1" s="456"/>
    </row>
    <row r="2" spans="1:42" ht="24" customHeight="1" x14ac:dyDescent="0.2">
      <c r="AJ2" s="457"/>
      <c r="AK2" s="457"/>
    </row>
    <row r="3" spans="1:42" ht="18.75" customHeight="1" x14ac:dyDescent="0.2">
      <c r="B3" s="778" t="s">
        <v>509</v>
      </c>
      <c r="C3" s="778"/>
      <c r="D3" s="778"/>
      <c r="E3" s="778"/>
      <c r="F3" s="778"/>
      <c r="G3" s="778"/>
      <c r="H3" s="778"/>
      <c r="I3" s="778"/>
      <c r="J3" s="778"/>
      <c r="K3" s="778"/>
      <c r="L3" s="778"/>
      <c r="M3" s="778"/>
      <c r="N3" s="778"/>
      <c r="O3" s="778"/>
      <c r="P3" s="778"/>
      <c r="Q3" s="778"/>
      <c r="R3" s="778"/>
      <c r="S3" s="778"/>
      <c r="T3" s="778"/>
      <c r="U3" s="778"/>
      <c r="V3" s="778"/>
      <c r="W3" s="778"/>
      <c r="X3" s="778"/>
      <c r="Y3" s="778"/>
      <c r="Z3" s="778"/>
      <c r="AA3" s="778"/>
      <c r="AB3" s="778"/>
      <c r="AC3" s="778"/>
      <c r="AD3" s="778"/>
      <c r="AE3" s="778"/>
      <c r="AF3" s="778"/>
      <c r="AG3" s="778"/>
      <c r="AH3" s="778"/>
      <c r="AI3" s="778"/>
      <c r="AJ3" s="627"/>
      <c r="AK3" s="148"/>
    </row>
    <row r="4" spans="1:42" ht="20.25" customHeight="1" x14ac:dyDescent="0.2">
      <c r="B4" s="779"/>
      <c r="C4" s="780"/>
      <c r="D4" s="780"/>
      <c r="E4" s="781"/>
      <c r="F4" s="781"/>
      <c r="G4" s="781"/>
      <c r="H4" s="782"/>
      <c r="I4" s="780"/>
      <c r="J4" s="781"/>
      <c r="K4" s="781"/>
      <c r="L4" s="781"/>
      <c r="M4" s="781"/>
      <c r="N4" s="780"/>
      <c r="O4" s="780"/>
      <c r="P4" s="780"/>
      <c r="Q4" s="780"/>
      <c r="R4" s="780"/>
      <c r="S4" s="780"/>
      <c r="T4" s="3"/>
      <c r="U4" s="3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147"/>
      <c r="AK4" s="148"/>
    </row>
    <row r="5" spans="1:42" ht="29.25" customHeight="1" x14ac:dyDescent="0.2">
      <c r="B5" s="776" t="s">
        <v>113</v>
      </c>
      <c r="C5" s="776"/>
      <c r="D5" s="776"/>
      <c r="E5" s="776"/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776"/>
      <c r="Q5" s="776"/>
      <c r="R5" s="776"/>
      <c r="S5" s="776"/>
      <c r="T5" s="776"/>
      <c r="U5" s="776"/>
      <c r="V5" s="776"/>
      <c r="W5" s="776"/>
      <c r="X5" s="776"/>
      <c r="Y5" s="776"/>
      <c r="Z5" s="776"/>
      <c r="AA5" s="776"/>
      <c r="AB5" s="776"/>
      <c r="AC5" s="776"/>
      <c r="AD5" s="776"/>
      <c r="AE5" s="776"/>
      <c r="AF5" s="776"/>
      <c r="AG5" s="776"/>
      <c r="AH5" s="776"/>
      <c r="AI5" s="776"/>
      <c r="AJ5" s="456"/>
      <c r="AK5" s="456"/>
    </row>
    <row r="6" spans="1:42" ht="48" customHeight="1" x14ac:dyDescent="0.2">
      <c r="B6" s="598"/>
      <c r="C6" s="598"/>
      <c r="D6" s="598"/>
      <c r="E6" s="598"/>
      <c r="F6" s="598"/>
      <c r="G6" s="598"/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  <c r="AB6" s="598"/>
      <c r="AC6" s="598"/>
      <c r="AD6" s="598"/>
      <c r="AE6" s="598"/>
      <c r="AF6" s="598"/>
      <c r="AG6" s="598"/>
      <c r="AH6" s="598"/>
      <c r="AI6" s="598"/>
      <c r="AJ6" s="456"/>
      <c r="AK6" s="456"/>
    </row>
    <row r="7" spans="1:42" x14ac:dyDescent="0.2">
      <c r="I7" s="152"/>
      <c r="J7" s="152"/>
      <c r="K7" s="152"/>
      <c r="L7" s="152"/>
      <c r="M7" s="152"/>
      <c r="N7" s="153"/>
      <c r="O7" s="153"/>
      <c r="P7" s="338"/>
      <c r="Q7" s="153"/>
      <c r="R7" s="153"/>
      <c r="S7" s="153"/>
      <c r="T7" s="338"/>
      <c r="U7" s="338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458"/>
      <c r="AK7" s="458"/>
    </row>
    <row r="8" spans="1:42" ht="78" customHeight="1" x14ac:dyDescent="0.2">
      <c r="B8" s="154" t="s">
        <v>510</v>
      </c>
      <c r="C8" s="155" t="s">
        <v>511</v>
      </c>
      <c r="D8" s="155" t="s">
        <v>512</v>
      </c>
      <c r="E8" s="155" t="s">
        <v>513</v>
      </c>
      <c r="F8" s="155" t="s">
        <v>514</v>
      </c>
      <c r="G8" s="155" t="s">
        <v>515</v>
      </c>
      <c r="H8" s="254" t="s">
        <v>516</v>
      </c>
      <c r="I8" s="8" t="s">
        <v>489</v>
      </c>
      <c r="J8" s="8" t="s">
        <v>501</v>
      </c>
      <c r="K8" s="8" t="s">
        <v>482</v>
      </c>
      <c r="L8" s="8" t="s">
        <v>481</v>
      </c>
      <c r="M8" s="9" t="s">
        <v>869</v>
      </c>
      <c r="N8" s="9" t="s">
        <v>637</v>
      </c>
      <c r="O8" s="9" t="s">
        <v>417</v>
      </c>
      <c r="P8" s="321" t="s">
        <v>979</v>
      </c>
      <c r="Q8" s="9" t="s">
        <v>870</v>
      </c>
      <c r="R8" s="56" t="s">
        <v>488</v>
      </c>
      <c r="S8" s="9" t="s">
        <v>508</v>
      </c>
      <c r="T8" s="321" t="s">
        <v>384</v>
      </c>
      <c r="U8" s="321" t="s">
        <v>932</v>
      </c>
      <c r="V8" s="9" t="s">
        <v>676</v>
      </c>
      <c r="W8" s="9" t="s">
        <v>382</v>
      </c>
      <c r="X8" s="9" t="s">
        <v>383</v>
      </c>
      <c r="Y8" s="9" t="s">
        <v>771</v>
      </c>
      <c r="Z8" s="9" t="s">
        <v>482</v>
      </c>
      <c r="AA8" s="9" t="s">
        <v>979</v>
      </c>
      <c r="AB8" s="9" t="s">
        <v>380</v>
      </c>
      <c r="AC8" s="9" t="s">
        <v>376</v>
      </c>
      <c r="AD8" s="9" t="s">
        <v>482</v>
      </c>
      <c r="AE8" s="9" t="s">
        <v>979</v>
      </c>
      <c r="AF8" s="9" t="s">
        <v>772</v>
      </c>
      <c r="AG8" s="9" t="s">
        <v>377</v>
      </c>
      <c r="AH8" s="9" t="s">
        <v>378</v>
      </c>
      <c r="AI8" s="9" t="s">
        <v>379</v>
      </c>
      <c r="AJ8" s="459"/>
      <c r="AK8" s="459"/>
    </row>
    <row r="9" spans="1:42" ht="15.75" x14ac:dyDescent="0.2">
      <c r="B9" s="10">
        <v>1</v>
      </c>
      <c r="C9" s="10">
        <v>2</v>
      </c>
      <c r="D9" s="10">
        <v>3</v>
      </c>
      <c r="E9" s="10">
        <v>4</v>
      </c>
      <c r="F9" s="157">
        <v>5</v>
      </c>
      <c r="G9" s="157"/>
      <c r="H9" s="255">
        <v>6</v>
      </c>
      <c r="I9" s="10">
        <v>7</v>
      </c>
      <c r="J9" s="10">
        <v>8</v>
      </c>
      <c r="K9" s="10"/>
      <c r="L9" s="10">
        <v>9</v>
      </c>
      <c r="M9" s="158">
        <v>8</v>
      </c>
      <c r="N9" s="158">
        <v>9</v>
      </c>
      <c r="O9" s="158">
        <v>10</v>
      </c>
      <c r="P9" s="339">
        <v>11</v>
      </c>
      <c r="Q9" s="158"/>
      <c r="R9" s="158">
        <v>10</v>
      </c>
      <c r="S9" s="158">
        <v>11</v>
      </c>
      <c r="T9" s="339">
        <v>12</v>
      </c>
      <c r="U9" s="339">
        <v>7</v>
      </c>
      <c r="V9" s="158">
        <v>7</v>
      </c>
      <c r="W9" s="158">
        <v>14</v>
      </c>
      <c r="X9" s="158">
        <v>15</v>
      </c>
      <c r="Y9" s="158">
        <v>13</v>
      </c>
      <c r="Z9" s="158"/>
      <c r="AA9" s="158"/>
      <c r="AB9" s="158">
        <v>8</v>
      </c>
      <c r="AC9" s="158">
        <v>9</v>
      </c>
      <c r="AD9" s="158">
        <v>10</v>
      </c>
      <c r="AE9" s="158">
        <v>11</v>
      </c>
      <c r="AF9" s="158">
        <v>12</v>
      </c>
      <c r="AG9" s="669">
        <v>7</v>
      </c>
      <c r="AH9" s="669">
        <v>8</v>
      </c>
      <c r="AI9" s="669">
        <v>9</v>
      </c>
      <c r="AJ9" s="162" t="b">
        <f t="shared" ref="AJ9:AJ72" si="0">ISBLANK(E9)</f>
        <v>0</v>
      </c>
      <c r="AK9" s="162" t="str">
        <f t="shared" ref="AK9:AK72" si="1">IF(AJ9,"PRAZNO","PUNO")</f>
        <v>PUNO</v>
      </c>
    </row>
    <row r="10" spans="1:42" s="264" customFormat="1" ht="15.75" x14ac:dyDescent="0.2">
      <c r="A10" s="259"/>
      <c r="B10" s="159"/>
      <c r="C10" s="159"/>
      <c r="D10" s="159"/>
      <c r="E10" s="159"/>
      <c r="F10" s="159"/>
      <c r="G10" s="159"/>
      <c r="H10" s="11" t="s">
        <v>518</v>
      </c>
      <c r="I10" s="161" t="e">
        <f>I11+I180</f>
        <v>#REF!</v>
      </c>
      <c r="J10" s="161" t="e">
        <f>J11+J180</f>
        <v>#REF!</v>
      </c>
      <c r="K10" s="161" t="e">
        <f>ROUND(J10/I10*100,2)</f>
        <v>#REF!</v>
      </c>
      <c r="L10" s="161" t="e">
        <f>M10-I10</f>
        <v>#REF!</v>
      </c>
      <c r="M10" s="160" t="e">
        <f>M11+M180</f>
        <v>#REF!</v>
      </c>
      <c r="N10" s="160" t="e">
        <f>N11+N180</f>
        <v>#REF!</v>
      </c>
      <c r="O10" s="160" t="e">
        <f>O11+O180</f>
        <v>#REF!</v>
      </c>
      <c r="P10" s="350" t="e">
        <f>T10-N10</f>
        <v>#REF!</v>
      </c>
      <c r="Q10" s="160" t="e">
        <f t="shared" ref="Q10:Y10" si="2">Q11+Q180</f>
        <v>#REF!</v>
      </c>
      <c r="R10" s="160" t="e">
        <f t="shared" si="2"/>
        <v>#REF!</v>
      </c>
      <c r="S10" s="160" t="e">
        <f t="shared" si="2"/>
        <v>#REF!</v>
      </c>
      <c r="T10" s="191">
        <f t="shared" si="2"/>
        <v>8020703</v>
      </c>
      <c r="U10" s="191">
        <f t="shared" si="2"/>
        <v>7397214.1500000004</v>
      </c>
      <c r="V10" s="160">
        <f t="shared" si="2"/>
        <v>7652500</v>
      </c>
      <c r="W10" s="160" t="e">
        <f t="shared" si="2"/>
        <v>#REF!</v>
      </c>
      <c r="X10" s="160" t="e">
        <f t="shared" si="2"/>
        <v>#REF!</v>
      </c>
      <c r="Y10" s="160">
        <f t="shared" si="2"/>
        <v>1696527.5899999999</v>
      </c>
      <c r="Z10" s="160">
        <f>ROUND(Y10/V10*100,2)</f>
        <v>22.17</v>
      </c>
      <c r="AA10" s="160">
        <f>AB10-V10</f>
        <v>1849981</v>
      </c>
      <c r="AB10" s="160">
        <f>AB11+AB180</f>
        <v>9502481</v>
      </c>
      <c r="AC10" s="160">
        <f>AC11+AC180</f>
        <v>5390125.919999999</v>
      </c>
      <c r="AD10" s="160">
        <f>AC10/AB10*100</f>
        <v>56.723353827279411</v>
      </c>
      <c r="AE10" s="160">
        <f t="shared" ref="AE10:AE84" si="3">AF10-AB10</f>
        <v>-48100</v>
      </c>
      <c r="AF10" s="160">
        <f>AF11+AF180</f>
        <v>9454381</v>
      </c>
      <c r="AG10" s="160">
        <f>AG11+AG180</f>
        <v>6655900</v>
      </c>
      <c r="AH10" s="160">
        <f>AH11+AH180</f>
        <v>6794330</v>
      </c>
      <c r="AI10" s="160">
        <f>AI11+AI180</f>
        <v>6667400</v>
      </c>
      <c r="AJ10" s="162" t="b">
        <f t="shared" si="0"/>
        <v>1</v>
      </c>
      <c r="AK10" s="162" t="str">
        <f t="shared" si="1"/>
        <v>PRAZNO</v>
      </c>
      <c r="AL10" s="486"/>
    </row>
    <row r="11" spans="1:42" s="264" customFormat="1" ht="15.75" x14ac:dyDescent="0.2">
      <c r="A11" s="259"/>
      <c r="B11" s="159"/>
      <c r="C11" s="159"/>
      <c r="D11" s="159"/>
      <c r="E11" s="159"/>
      <c r="F11" s="159"/>
      <c r="G11" s="159"/>
      <c r="H11" s="11" t="s">
        <v>519</v>
      </c>
      <c r="I11" s="161" t="e">
        <f>I14+I127+I146+I164</f>
        <v>#REF!</v>
      </c>
      <c r="J11" s="161" t="e">
        <f>J14+J127+J146+J164</f>
        <v>#REF!</v>
      </c>
      <c r="K11" s="161" t="e">
        <f>ROUND(J11/I11*100,2)</f>
        <v>#REF!</v>
      </c>
      <c r="L11" s="161" t="e">
        <f t="shared" ref="L11:L83" si="4">M11-I11</f>
        <v>#REF!</v>
      </c>
      <c r="M11" s="160" t="e">
        <f>M14+M127+M146+M164</f>
        <v>#REF!</v>
      </c>
      <c r="N11" s="160" t="e">
        <f>N14+N127+N146+N164</f>
        <v>#REF!</v>
      </c>
      <c r="O11" s="160" t="e">
        <f>O14+O127+O146+O164</f>
        <v>#REF!</v>
      </c>
      <c r="P11" s="350" t="e">
        <f>T11-N11</f>
        <v>#REF!</v>
      </c>
      <c r="Q11" s="160" t="e">
        <f t="shared" ref="Q11:Y11" si="5">Q14+Q127+Q146+Q164</f>
        <v>#REF!</v>
      </c>
      <c r="R11" s="160" t="e">
        <f t="shared" si="5"/>
        <v>#REF!</v>
      </c>
      <c r="S11" s="160" t="e">
        <f t="shared" si="5"/>
        <v>#REF!</v>
      </c>
      <c r="T11" s="191">
        <f t="shared" si="5"/>
        <v>7737203</v>
      </c>
      <c r="U11" s="191">
        <f t="shared" si="5"/>
        <v>7113714.1500000004</v>
      </c>
      <c r="V11" s="160">
        <f t="shared" si="5"/>
        <v>7369000</v>
      </c>
      <c r="W11" s="160" t="e">
        <f t="shared" si="5"/>
        <v>#REF!</v>
      </c>
      <c r="X11" s="160" t="e">
        <f t="shared" si="5"/>
        <v>#REF!</v>
      </c>
      <c r="Y11" s="160">
        <f t="shared" si="5"/>
        <v>1607947.5899999999</v>
      </c>
      <c r="Z11" s="160">
        <f t="shared" ref="Z11:Z74" si="6">ROUND(Y11/V11*100,2)</f>
        <v>21.82</v>
      </c>
      <c r="AA11" s="160">
        <f>AB11-V11</f>
        <v>1849981</v>
      </c>
      <c r="AB11" s="160">
        <f>AB14+AB127+AB146+AB164</f>
        <v>9218981</v>
      </c>
      <c r="AC11" s="160">
        <f>AC14+AC127+AC146+AC164</f>
        <v>5177262.3999999994</v>
      </c>
      <c r="AD11" s="160">
        <f t="shared" ref="AD11:AD85" si="7">AC11/AB11*100</f>
        <v>56.158727304026321</v>
      </c>
      <c r="AE11" s="160">
        <f t="shared" si="3"/>
        <v>-48100</v>
      </c>
      <c r="AF11" s="160">
        <f>AF14+AF127+AF146+AF164</f>
        <v>9170881</v>
      </c>
      <c r="AG11" s="160">
        <f>AG14+AG127+AG146+AG164</f>
        <v>6363400</v>
      </c>
      <c r="AH11" s="160">
        <f>AH14+AH127+AH146+AH164</f>
        <v>6501830</v>
      </c>
      <c r="AI11" s="160">
        <f>AI14+AI127+AI146+AI164</f>
        <v>6374900</v>
      </c>
      <c r="AJ11" s="162" t="b">
        <f t="shared" si="0"/>
        <v>1</v>
      </c>
      <c r="AK11" s="162" t="str">
        <f t="shared" si="1"/>
        <v>PRAZNO</v>
      </c>
      <c r="AL11" s="263"/>
      <c r="AP11" s="499"/>
    </row>
    <row r="12" spans="1:42" s="264" customFormat="1" ht="15.75" x14ac:dyDescent="0.2">
      <c r="A12" s="259"/>
      <c r="B12" s="167"/>
      <c r="C12" s="167"/>
      <c r="D12" s="167"/>
      <c r="E12" s="167"/>
      <c r="F12" s="167"/>
      <c r="G12" s="167"/>
      <c r="H12" s="11" t="s">
        <v>520</v>
      </c>
      <c r="I12" s="161"/>
      <c r="J12" s="161"/>
      <c r="K12" s="161"/>
      <c r="L12" s="161"/>
      <c r="M12" s="160"/>
      <c r="N12" s="160"/>
      <c r="O12" s="160"/>
      <c r="P12" s="350"/>
      <c r="Q12" s="160"/>
      <c r="R12" s="160"/>
      <c r="S12" s="160"/>
      <c r="T12" s="191"/>
      <c r="U12" s="191"/>
      <c r="V12" s="160"/>
      <c r="W12" s="160"/>
      <c r="X12" s="160"/>
      <c r="Y12" s="160"/>
      <c r="Z12" s="160"/>
      <c r="AA12" s="160"/>
      <c r="AB12" s="160"/>
      <c r="AC12" s="160"/>
      <c r="AD12" s="160"/>
      <c r="AE12" s="160">
        <f t="shared" si="3"/>
        <v>0</v>
      </c>
      <c r="AF12" s="160"/>
      <c r="AG12" s="160"/>
      <c r="AH12" s="160"/>
      <c r="AI12" s="160"/>
      <c r="AJ12" s="162" t="b">
        <f t="shared" si="0"/>
        <v>1</v>
      </c>
      <c r="AK12" s="162" t="str">
        <f t="shared" si="1"/>
        <v>PRAZNO</v>
      </c>
      <c r="AL12" s="263"/>
    </row>
    <row r="13" spans="1:42" s="264" customFormat="1" ht="15.75" x14ac:dyDescent="0.2">
      <c r="A13" s="259"/>
      <c r="B13" s="167"/>
      <c r="C13" s="167"/>
      <c r="D13" s="167"/>
      <c r="E13" s="167"/>
      <c r="F13" s="167"/>
      <c r="G13" s="167"/>
      <c r="H13" s="11" t="s">
        <v>521</v>
      </c>
      <c r="I13" s="161"/>
      <c r="J13" s="161"/>
      <c r="K13" s="161"/>
      <c r="L13" s="161"/>
      <c r="M13" s="160"/>
      <c r="N13" s="160"/>
      <c r="O13" s="160"/>
      <c r="P13" s="350"/>
      <c r="Q13" s="160"/>
      <c r="R13" s="160"/>
      <c r="S13" s="160"/>
      <c r="T13" s="191"/>
      <c r="U13" s="191"/>
      <c r="V13" s="160"/>
      <c r="W13" s="160"/>
      <c r="X13" s="160"/>
      <c r="Y13" s="160"/>
      <c r="Z13" s="160"/>
      <c r="AA13" s="160"/>
      <c r="AB13" s="160"/>
      <c r="AC13" s="160"/>
      <c r="AD13" s="160"/>
      <c r="AE13" s="160">
        <f t="shared" si="3"/>
        <v>0</v>
      </c>
      <c r="AF13" s="160"/>
      <c r="AG13" s="160"/>
      <c r="AH13" s="160"/>
      <c r="AI13" s="160"/>
      <c r="AJ13" s="162" t="b">
        <f t="shared" si="0"/>
        <v>1</v>
      </c>
      <c r="AK13" s="162" t="str">
        <f t="shared" si="1"/>
        <v>PRAZNO</v>
      </c>
      <c r="AL13" s="263"/>
    </row>
    <row r="14" spans="1:42" s="264" customFormat="1" ht="31.5" x14ac:dyDescent="0.2">
      <c r="A14" s="259"/>
      <c r="B14" s="270"/>
      <c r="C14" s="270"/>
      <c r="D14" s="270"/>
      <c r="E14" s="270"/>
      <c r="F14" s="270"/>
      <c r="G14" s="260"/>
      <c r="H14" s="271" t="s">
        <v>522</v>
      </c>
      <c r="I14" s="272" t="e">
        <f>I15+I31+I48+I54+I60+I66+I84+I72+I115+I94+I109</f>
        <v>#REF!</v>
      </c>
      <c r="J14" s="272" t="e">
        <f>J15+J31+J48+J54+J60+J66+J84+J72+J115+J94+J109</f>
        <v>#REF!</v>
      </c>
      <c r="K14" s="272" t="e">
        <f>K15+#REF!+#REF!+K31+K48+K54+K60+K66+K84+K72</f>
        <v>#REF!</v>
      </c>
      <c r="L14" s="272" t="e">
        <f>L15+L31+L48+L54+L60+L66+L84+L72+L115+L94+L109</f>
        <v>#REF!</v>
      </c>
      <c r="M14" s="272" t="e">
        <f>M15+#REF!+#REF!+M31+M48+M54+M60+M66+M84+M72</f>
        <v>#REF!</v>
      </c>
      <c r="N14" s="272" t="e">
        <f>N15+#REF!+#REF!+N31+N48+N54+N60+N66+N84+N72+N94+N109+N115</f>
        <v>#REF!</v>
      </c>
      <c r="O14" s="272" t="e">
        <f>O15+#REF!+#REF!+O31+O48+O54+O60+O66+O84+O72+O94+O109+O115</f>
        <v>#REF!</v>
      </c>
      <c r="P14" s="275" t="e">
        <f>T14-N14</f>
        <v>#REF!</v>
      </c>
      <c r="Q14" s="272" t="e">
        <f>Q15+Q31+Q48+Q54+Q60+Q66+Q84+Q72+Q115+Q94+Q109</f>
        <v>#REF!</v>
      </c>
      <c r="R14" s="272" t="e">
        <f>R15+R31+R48+R54+R60+R66+R84+R72+R115+R94+R109</f>
        <v>#REF!</v>
      </c>
      <c r="S14" s="272" t="e">
        <f>S15+S31+S48+S54+S60+S66+S84+S72+S115+S94+S109</f>
        <v>#REF!</v>
      </c>
      <c r="T14" s="272">
        <f>T15+T31+T48+T54+T60+T66+T84+T72+T115+T94+T109+T42</f>
        <v>7538000</v>
      </c>
      <c r="U14" s="272">
        <f>U15+U31+U48+U54+U60+U66+U84+U72+U115+U94+U109+U42</f>
        <v>6953137.9400000004</v>
      </c>
      <c r="V14" s="272">
        <f>V15+V31+V48+V54+V60+V66+V84+V72+V115+V94+V109</f>
        <v>7189000</v>
      </c>
      <c r="W14" s="272" t="e">
        <f>W15+#REF!+#REF!+W31+W48+W54+W60+W66+W84+W72+W115+W94+W109</f>
        <v>#REF!</v>
      </c>
      <c r="X14" s="272" t="e">
        <f>X15+#REF!+#REF!+X31+X48+X54+X60+X66+X84+X72+X115+X94+X109</f>
        <v>#REF!</v>
      </c>
      <c r="Y14" s="272">
        <f>Y15+Y31+Y48+Y54+Y60+Y66+Y84+Y72+Y115+Y94+Y109</f>
        <v>1579505.8399999999</v>
      </c>
      <c r="Z14" s="272">
        <f>Z15+Z31+Z48+Z54+Z60+Z66+Z84+Z72+Z115+Z94+Z109</f>
        <v>378.53</v>
      </c>
      <c r="AA14" s="272">
        <f>AA15+AA31+AA48+AA54+AA60+AA66+AA84+AA72+AA115+AA94+AA109</f>
        <v>1799981</v>
      </c>
      <c r="AB14" s="272">
        <f>AB15+AB31+AB48+AB54+AB60+AB66+AB84+AB72+AB115+AB94+AB109</f>
        <v>8988981</v>
      </c>
      <c r="AC14" s="272">
        <f>AC15+AC31+AC48+AC54+AC60+AC66+AC84+AC72+AC115+AC94+AC109</f>
        <v>5034176.26</v>
      </c>
      <c r="AD14" s="272">
        <f t="shared" si="7"/>
        <v>56.003859169354122</v>
      </c>
      <c r="AE14" s="272">
        <f>AE15+AE31+AE48+AE54+AE60+AE66+AE84+AE72+AE115+AE94+AE109+AE121</f>
        <v>-48100</v>
      </c>
      <c r="AF14" s="272">
        <f>AF15+AF31+AF48+AF54+AF60+AF66+AF84+AF72+AF115+AF94+AF109+AF121</f>
        <v>8940881</v>
      </c>
      <c r="AG14" s="272">
        <f>AG15+AG31+AG48+AG54+AG60+AG66+AG84+AG72+AG115+AG94+AG109+AG121</f>
        <v>6131400</v>
      </c>
      <c r="AH14" s="272">
        <f>AH15+AH31+AH48+AH54+AH60+AH66+AH84+AH72+AH115+AH94+AH109+AH121</f>
        <v>6269830</v>
      </c>
      <c r="AI14" s="272">
        <f>AI15+AI31+AI48+AI54+AI60+AI66+AI84+AI72+AI115+AI94+AI109+AI121</f>
        <v>6140900</v>
      </c>
      <c r="AJ14" s="162" t="b">
        <f t="shared" si="0"/>
        <v>1</v>
      </c>
      <c r="AK14" s="162" t="str">
        <f t="shared" si="1"/>
        <v>PRAZNO</v>
      </c>
      <c r="AL14" s="263"/>
    </row>
    <row r="15" spans="1:42" s="264" customFormat="1" ht="31.5" x14ac:dyDescent="0.2">
      <c r="A15" s="259"/>
      <c r="B15" s="168"/>
      <c r="C15" s="168"/>
      <c r="D15" s="168"/>
      <c r="E15" s="168"/>
      <c r="F15" s="168"/>
      <c r="G15" s="168"/>
      <c r="H15" s="13" t="s">
        <v>523</v>
      </c>
      <c r="I15" s="169">
        <f>I17</f>
        <v>1423000</v>
      </c>
      <c r="J15" s="169">
        <f>J17</f>
        <v>1176320.6000000001</v>
      </c>
      <c r="K15" s="169">
        <f>ROUND(J15/I15*100,2)</f>
        <v>82.66</v>
      </c>
      <c r="L15" s="169">
        <f t="shared" si="4"/>
        <v>285314.58999999985</v>
      </c>
      <c r="M15" s="19">
        <f>M17</f>
        <v>1708314.5899999999</v>
      </c>
      <c r="N15" s="19">
        <f>N17</f>
        <v>1873000</v>
      </c>
      <c r="O15" s="19">
        <f>O17</f>
        <v>1099664.8800000001</v>
      </c>
      <c r="P15" s="53">
        <f>T15-N15</f>
        <v>95000</v>
      </c>
      <c r="Q15" s="19">
        <f t="shared" ref="Q15:X15" si="8">Q17</f>
        <v>1873000</v>
      </c>
      <c r="R15" s="19">
        <f t="shared" si="8"/>
        <v>1778500</v>
      </c>
      <c r="S15" s="19">
        <f t="shared" si="8"/>
        <v>1806000</v>
      </c>
      <c r="T15" s="53">
        <f t="shared" si="8"/>
        <v>1968000</v>
      </c>
      <c r="U15" s="53">
        <f>U17</f>
        <v>1900162.7400000002</v>
      </c>
      <c r="V15" s="19">
        <f t="shared" si="8"/>
        <v>1968000</v>
      </c>
      <c r="W15" s="19">
        <f t="shared" si="8"/>
        <v>1968000</v>
      </c>
      <c r="X15" s="19">
        <f t="shared" si="8"/>
        <v>2028000</v>
      </c>
      <c r="Y15" s="19">
        <f>Y17</f>
        <v>860316.33999999985</v>
      </c>
      <c r="Z15" s="19">
        <f t="shared" si="6"/>
        <v>43.72</v>
      </c>
      <c r="AA15" s="19">
        <f t="shared" ref="AA15:AA78" si="9">AB15-V15</f>
        <v>183500</v>
      </c>
      <c r="AB15" s="19">
        <f t="shared" ref="AB15:AI15" si="10">AB17</f>
        <v>2151500</v>
      </c>
      <c r="AC15" s="19">
        <f t="shared" si="10"/>
        <v>1441102.5000000002</v>
      </c>
      <c r="AD15" s="19">
        <f t="shared" si="7"/>
        <v>66.98129212177551</v>
      </c>
      <c r="AE15" s="19">
        <f t="shared" si="3"/>
        <v>0</v>
      </c>
      <c r="AF15" s="19">
        <f t="shared" si="10"/>
        <v>2151500</v>
      </c>
      <c r="AG15" s="19">
        <f t="shared" si="10"/>
        <v>2151500</v>
      </c>
      <c r="AH15" s="19">
        <f t="shared" si="10"/>
        <v>2151500</v>
      </c>
      <c r="AI15" s="19">
        <f t="shared" si="10"/>
        <v>2151500</v>
      </c>
      <c r="AJ15" s="162" t="b">
        <f t="shared" si="0"/>
        <v>1</v>
      </c>
      <c r="AK15" s="162" t="str">
        <f t="shared" si="1"/>
        <v>PRAZNO</v>
      </c>
      <c r="AL15" s="263"/>
    </row>
    <row r="16" spans="1:42" s="264" customFormat="1" ht="15.75" x14ac:dyDescent="0.2">
      <c r="A16" s="259"/>
      <c r="B16" s="260"/>
      <c r="C16" s="260"/>
      <c r="D16" s="260"/>
      <c r="E16" s="260"/>
      <c r="F16" s="260"/>
      <c r="G16" s="260"/>
      <c r="H16" s="440" t="s">
        <v>824</v>
      </c>
      <c r="I16" s="181"/>
      <c r="J16" s="181"/>
      <c r="K16" s="181"/>
      <c r="L16" s="181"/>
      <c r="M16" s="262"/>
      <c r="N16" s="262"/>
      <c r="O16" s="262"/>
      <c r="P16" s="342"/>
      <c r="Q16" s="262"/>
      <c r="R16" s="262"/>
      <c r="S16" s="262"/>
      <c r="T16" s="342"/>
      <c r="U16" s="342"/>
      <c r="V16" s="262">
        <f>V17</f>
        <v>1968000</v>
      </c>
      <c r="W16" s="262">
        <f>W17</f>
        <v>1968000</v>
      </c>
      <c r="X16" s="262">
        <f>X17</f>
        <v>2028000</v>
      </c>
      <c r="Y16" s="262">
        <f>Y17</f>
        <v>860316.33999999985</v>
      </c>
      <c r="Z16" s="262">
        <f t="shared" si="6"/>
        <v>43.72</v>
      </c>
      <c r="AA16" s="262">
        <f t="shared" si="9"/>
        <v>183500</v>
      </c>
      <c r="AB16" s="262">
        <f t="shared" ref="AB16:AI16" si="11">AB17</f>
        <v>2151500</v>
      </c>
      <c r="AC16" s="262">
        <f t="shared" si="11"/>
        <v>1441102.5000000002</v>
      </c>
      <c r="AD16" s="262">
        <f t="shared" si="7"/>
        <v>66.98129212177551</v>
      </c>
      <c r="AE16" s="262">
        <f t="shared" si="3"/>
        <v>0</v>
      </c>
      <c r="AF16" s="262">
        <f t="shared" si="11"/>
        <v>2151500</v>
      </c>
      <c r="AG16" s="262">
        <f t="shared" si="11"/>
        <v>2151500</v>
      </c>
      <c r="AH16" s="262">
        <f t="shared" si="11"/>
        <v>2151500</v>
      </c>
      <c r="AI16" s="262">
        <f t="shared" si="11"/>
        <v>2151500</v>
      </c>
      <c r="AJ16" s="162" t="b">
        <f t="shared" si="0"/>
        <v>1</v>
      </c>
      <c r="AK16" s="162" t="str">
        <f t="shared" si="1"/>
        <v>PRAZNO</v>
      </c>
      <c r="AL16" s="263"/>
    </row>
    <row r="17" spans="1:49" s="264" customFormat="1" ht="15.75" x14ac:dyDescent="0.2">
      <c r="A17" s="259"/>
      <c r="B17" s="172">
        <v>3</v>
      </c>
      <c r="C17" s="172"/>
      <c r="D17" s="172"/>
      <c r="E17" s="172"/>
      <c r="F17" s="172"/>
      <c r="G17" s="172"/>
      <c r="H17" s="14" t="s">
        <v>524</v>
      </c>
      <c r="I17" s="20">
        <f>I18</f>
        <v>1423000</v>
      </c>
      <c r="J17" s="20">
        <f>J18</f>
        <v>1176320.6000000001</v>
      </c>
      <c r="K17" s="20">
        <f>ROUND(J17/I17*100,2)</f>
        <v>82.66</v>
      </c>
      <c r="L17" s="20">
        <f t="shared" si="4"/>
        <v>285314.58999999985</v>
      </c>
      <c r="M17" s="20">
        <f>M18</f>
        <v>1708314.5899999999</v>
      </c>
      <c r="N17" s="20">
        <f t="shared" ref="N17:AI17" si="12">N18</f>
        <v>1873000</v>
      </c>
      <c r="O17" s="20">
        <f>O18</f>
        <v>1099664.8800000001</v>
      </c>
      <c r="P17" s="54">
        <f t="shared" ref="P17:P83" si="13">T17-N17</f>
        <v>95000</v>
      </c>
      <c r="Q17" s="20">
        <f t="shared" si="12"/>
        <v>1873000</v>
      </c>
      <c r="R17" s="20">
        <f t="shared" si="12"/>
        <v>1778500</v>
      </c>
      <c r="S17" s="20">
        <f t="shared" si="12"/>
        <v>1806000</v>
      </c>
      <c r="T17" s="55">
        <f t="shared" si="12"/>
        <v>1968000</v>
      </c>
      <c r="U17" s="55">
        <f t="shared" si="12"/>
        <v>1900162.7400000002</v>
      </c>
      <c r="V17" s="20">
        <f t="shared" si="12"/>
        <v>1968000</v>
      </c>
      <c r="W17" s="20">
        <f t="shared" si="12"/>
        <v>1968000</v>
      </c>
      <c r="X17" s="20">
        <f t="shared" si="12"/>
        <v>2028000</v>
      </c>
      <c r="Y17" s="20">
        <f t="shared" si="12"/>
        <v>860316.33999999985</v>
      </c>
      <c r="Z17" s="20">
        <f t="shared" si="6"/>
        <v>43.72</v>
      </c>
      <c r="AA17" s="20">
        <f t="shared" si="9"/>
        <v>183500</v>
      </c>
      <c r="AB17" s="20">
        <f t="shared" si="12"/>
        <v>2151500</v>
      </c>
      <c r="AC17" s="20">
        <f t="shared" si="12"/>
        <v>1441102.5000000002</v>
      </c>
      <c r="AD17" s="20">
        <f t="shared" si="7"/>
        <v>66.98129212177551</v>
      </c>
      <c r="AE17" s="20">
        <f t="shared" si="3"/>
        <v>0</v>
      </c>
      <c r="AF17" s="20">
        <f t="shared" si="12"/>
        <v>2151500</v>
      </c>
      <c r="AG17" s="20">
        <f t="shared" si="12"/>
        <v>2151500</v>
      </c>
      <c r="AH17" s="20">
        <f t="shared" si="12"/>
        <v>2151500</v>
      </c>
      <c r="AI17" s="20">
        <f t="shared" si="12"/>
        <v>2151500</v>
      </c>
      <c r="AJ17" s="162" t="b">
        <f t="shared" si="0"/>
        <v>1</v>
      </c>
      <c r="AK17" s="162" t="str">
        <f t="shared" si="1"/>
        <v>PRAZNO</v>
      </c>
      <c r="AL17" s="263"/>
    </row>
    <row r="18" spans="1:49" ht="15.75" x14ac:dyDescent="0.2">
      <c r="B18" s="175"/>
      <c r="C18" s="175">
        <v>32</v>
      </c>
      <c r="D18" s="175"/>
      <c r="E18" s="175"/>
      <c r="F18" s="175"/>
      <c r="G18" s="175"/>
      <c r="H18" s="15" t="s">
        <v>525</v>
      </c>
      <c r="I18" s="22">
        <f>I25+I23</f>
        <v>1423000</v>
      </c>
      <c r="J18" s="22">
        <f>J25+J23</f>
        <v>1176320.6000000001</v>
      </c>
      <c r="K18" s="22">
        <f>ROUND(J18/I18*100,2)</f>
        <v>82.66</v>
      </c>
      <c r="L18" s="22">
        <f t="shared" si="4"/>
        <v>285314.58999999985</v>
      </c>
      <c r="M18" s="22">
        <f>M25+M23</f>
        <v>1708314.5899999999</v>
      </c>
      <c r="N18" s="22">
        <f>N25+N23+N19</f>
        <v>1873000</v>
      </c>
      <c r="O18" s="22">
        <f>O25+O23+O19</f>
        <v>1099664.8800000001</v>
      </c>
      <c r="P18" s="204">
        <f t="shared" si="13"/>
        <v>95000</v>
      </c>
      <c r="Q18" s="22">
        <f t="shared" ref="Q18:X18" si="14">Q25+Q23+Q19</f>
        <v>1873000</v>
      </c>
      <c r="R18" s="22">
        <f t="shared" si="14"/>
        <v>1778500</v>
      </c>
      <c r="S18" s="22">
        <f t="shared" si="14"/>
        <v>1806000</v>
      </c>
      <c r="T18" s="38">
        <f t="shared" si="14"/>
        <v>1968000</v>
      </c>
      <c r="U18" s="38">
        <f>U25+U23+U19</f>
        <v>1900162.7400000002</v>
      </c>
      <c r="V18" s="22">
        <f t="shared" si="14"/>
        <v>1968000</v>
      </c>
      <c r="W18" s="22">
        <f t="shared" si="14"/>
        <v>1968000</v>
      </c>
      <c r="X18" s="22">
        <f t="shared" si="14"/>
        <v>2028000</v>
      </c>
      <c r="Y18" s="22">
        <f>Y25+Y23+Y19</f>
        <v>860316.33999999985</v>
      </c>
      <c r="Z18" s="22">
        <f t="shared" si="6"/>
        <v>43.72</v>
      </c>
      <c r="AA18" s="22">
        <f t="shared" si="9"/>
        <v>183500</v>
      </c>
      <c r="AB18" s="22">
        <f t="shared" ref="AB18:AI18" si="15">AB25+AB23+AB19</f>
        <v>2151500</v>
      </c>
      <c r="AC18" s="22">
        <f>AC25+AC23+AC19</f>
        <v>1441102.5000000002</v>
      </c>
      <c r="AD18" s="22">
        <f t="shared" si="7"/>
        <v>66.98129212177551</v>
      </c>
      <c r="AE18" s="22">
        <f t="shared" si="3"/>
        <v>0</v>
      </c>
      <c r="AF18" s="22">
        <f t="shared" si="15"/>
        <v>2151500</v>
      </c>
      <c r="AG18" s="22">
        <f t="shared" si="15"/>
        <v>2151500</v>
      </c>
      <c r="AH18" s="22">
        <f t="shared" si="15"/>
        <v>2151500</v>
      </c>
      <c r="AI18" s="22">
        <f t="shared" si="15"/>
        <v>2151500</v>
      </c>
      <c r="AJ18" s="162" t="b">
        <f t="shared" si="0"/>
        <v>1</v>
      </c>
      <c r="AK18" s="162" t="str">
        <f t="shared" si="1"/>
        <v>PRAZNO</v>
      </c>
      <c r="AM18" s="264"/>
    </row>
    <row r="19" spans="1:49" ht="15.75" x14ac:dyDescent="0.2">
      <c r="B19" s="175"/>
      <c r="C19" s="175"/>
      <c r="D19" s="175">
        <v>323</v>
      </c>
      <c r="E19" s="175"/>
      <c r="F19" s="176"/>
      <c r="G19" s="175"/>
      <c r="H19" s="16" t="s">
        <v>526</v>
      </c>
      <c r="I19" s="22"/>
      <c r="J19" s="22"/>
      <c r="K19" s="22"/>
      <c r="L19" s="22"/>
      <c r="M19" s="22"/>
      <c r="N19" s="22">
        <f>N22</f>
        <v>110000</v>
      </c>
      <c r="O19" s="22">
        <f>O22</f>
        <v>112328.61</v>
      </c>
      <c r="P19" s="204">
        <f t="shared" si="13"/>
        <v>50000</v>
      </c>
      <c r="Q19" s="22">
        <f t="shared" ref="Q19:X19" si="16">Q22</f>
        <v>110000</v>
      </c>
      <c r="R19" s="22">
        <f t="shared" si="16"/>
        <v>111000</v>
      </c>
      <c r="S19" s="22">
        <f t="shared" si="16"/>
        <v>115000</v>
      </c>
      <c r="T19" s="38">
        <f t="shared" si="16"/>
        <v>160000</v>
      </c>
      <c r="U19" s="38">
        <f>U22</f>
        <v>158239.85999999999</v>
      </c>
      <c r="V19" s="22">
        <f t="shared" si="16"/>
        <v>160000</v>
      </c>
      <c r="W19" s="22">
        <f t="shared" si="16"/>
        <v>160000</v>
      </c>
      <c r="X19" s="22">
        <f t="shared" si="16"/>
        <v>170000</v>
      </c>
      <c r="Y19" s="22">
        <f>Y22</f>
        <v>86629.72</v>
      </c>
      <c r="Z19" s="22">
        <f t="shared" si="6"/>
        <v>54.14</v>
      </c>
      <c r="AA19" s="22">
        <f t="shared" si="9"/>
        <v>50000</v>
      </c>
      <c r="AB19" s="22">
        <f t="shared" ref="AB19:AI19" si="17">AB22</f>
        <v>210000</v>
      </c>
      <c r="AC19" s="22">
        <f>AC22</f>
        <v>127768.6</v>
      </c>
      <c r="AD19" s="22">
        <f t="shared" si="7"/>
        <v>60.842190476190481</v>
      </c>
      <c r="AE19" s="22">
        <f t="shared" si="3"/>
        <v>0</v>
      </c>
      <c r="AF19" s="22">
        <f t="shared" si="17"/>
        <v>210000</v>
      </c>
      <c r="AG19" s="22">
        <f t="shared" si="17"/>
        <v>210000</v>
      </c>
      <c r="AH19" s="22">
        <f t="shared" si="17"/>
        <v>210000</v>
      </c>
      <c r="AI19" s="22">
        <f t="shared" si="17"/>
        <v>210000</v>
      </c>
      <c r="AJ19" s="162" t="b">
        <f t="shared" si="0"/>
        <v>1</v>
      </c>
      <c r="AK19" s="162" t="str">
        <f t="shared" si="1"/>
        <v>PRAZNO</v>
      </c>
      <c r="AM19" s="264"/>
    </row>
    <row r="20" spans="1:49" ht="15.75" x14ac:dyDescent="0.2">
      <c r="B20" s="175"/>
      <c r="C20" s="175"/>
      <c r="D20" s="175"/>
      <c r="E20" s="175">
        <v>3233</v>
      </c>
      <c r="F20" s="176" t="s">
        <v>527</v>
      </c>
      <c r="G20" s="175"/>
      <c r="H20" s="16" t="s">
        <v>528</v>
      </c>
      <c r="I20" s="22"/>
      <c r="J20" s="22"/>
      <c r="K20" s="22"/>
      <c r="L20" s="22"/>
      <c r="M20" s="22"/>
      <c r="N20" s="22"/>
      <c r="O20" s="22"/>
      <c r="P20" s="204"/>
      <c r="Q20" s="22"/>
      <c r="R20" s="22"/>
      <c r="S20" s="22"/>
      <c r="T20" s="38"/>
      <c r="U20" s="38"/>
      <c r="V20" s="22"/>
      <c r="W20" s="22"/>
      <c r="X20" s="22"/>
      <c r="Y20" s="22"/>
      <c r="Z20" s="22"/>
      <c r="AA20" s="22">
        <f t="shared" si="9"/>
        <v>0</v>
      </c>
      <c r="AB20" s="22"/>
      <c r="AC20" s="22"/>
      <c r="AD20" s="22" t="e">
        <f t="shared" si="7"/>
        <v>#DIV/0!</v>
      </c>
      <c r="AE20" s="22">
        <f t="shared" si="3"/>
        <v>0</v>
      </c>
      <c r="AF20" s="22"/>
      <c r="AG20" s="22"/>
      <c r="AH20" s="22"/>
      <c r="AI20" s="22"/>
      <c r="AJ20" s="162" t="b">
        <f t="shared" si="0"/>
        <v>0</v>
      </c>
      <c r="AK20" s="162" t="str">
        <f t="shared" si="1"/>
        <v>PUNO</v>
      </c>
      <c r="AM20" s="264"/>
    </row>
    <row r="21" spans="1:49" ht="15.75" x14ac:dyDescent="0.2">
      <c r="B21" s="175"/>
      <c r="C21" s="175"/>
      <c r="D21" s="175"/>
      <c r="E21" s="175">
        <v>3233</v>
      </c>
      <c r="F21" s="176" t="s">
        <v>527</v>
      </c>
      <c r="G21" s="175"/>
      <c r="H21" s="16" t="s">
        <v>529</v>
      </c>
      <c r="I21" s="22"/>
      <c r="J21" s="22"/>
      <c r="K21" s="22"/>
      <c r="L21" s="22"/>
      <c r="M21" s="22"/>
      <c r="N21" s="22"/>
      <c r="O21" s="22"/>
      <c r="P21" s="204"/>
      <c r="Q21" s="22"/>
      <c r="R21" s="22"/>
      <c r="S21" s="22"/>
      <c r="T21" s="38"/>
      <c r="U21" s="38"/>
      <c r="V21" s="22"/>
      <c r="W21" s="22"/>
      <c r="X21" s="22"/>
      <c r="Y21" s="22"/>
      <c r="Z21" s="22"/>
      <c r="AA21" s="22">
        <f t="shared" si="9"/>
        <v>0</v>
      </c>
      <c r="AB21" s="22"/>
      <c r="AC21" s="22"/>
      <c r="AD21" s="22" t="e">
        <f t="shared" si="7"/>
        <v>#DIV/0!</v>
      </c>
      <c r="AE21" s="22">
        <f t="shared" si="3"/>
        <v>0</v>
      </c>
      <c r="AF21" s="22"/>
      <c r="AG21" s="22"/>
      <c r="AH21" s="22"/>
      <c r="AI21" s="22"/>
      <c r="AJ21" s="162" t="b">
        <f t="shared" si="0"/>
        <v>0</v>
      </c>
      <c r="AK21" s="162" t="str">
        <f t="shared" si="1"/>
        <v>PUNO</v>
      </c>
      <c r="AM21" s="264"/>
    </row>
    <row r="22" spans="1:49" ht="34.5" customHeight="1" x14ac:dyDescent="0.2">
      <c r="B22" s="175"/>
      <c r="C22" s="175"/>
      <c r="D22" s="175"/>
      <c r="E22" s="175">
        <v>3233</v>
      </c>
      <c r="F22" s="176">
        <v>11</v>
      </c>
      <c r="G22" s="175"/>
      <c r="H22" s="23" t="s">
        <v>648</v>
      </c>
      <c r="I22" s="22"/>
      <c r="J22" s="22"/>
      <c r="K22" s="22"/>
      <c r="L22" s="22"/>
      <c r="M22" s="22"/>
      <c r="N22" s="22">
        <v>110000</v>
      </c>
      <c r="O22" s="22">
        <v>112328.61</v>
      </c>
      <c r="P22" s="204">
        <f t="shared" si="13"/>
        <v>50000</v>
      </c>
      <c r="Q22" s="22">
        <v>110000</v>
      </c>
      <c r="R22" s="22">
        <v>111000</v>
      </c>
      <c r="S22" s="22">
        <v>115000</v>
      </c>
      <c r="T22" s="38">
        <v>160000</v>
      </c>
      <c r="U22" s="38">
        <v>158239.85999999999</v>
      </c>
      <c r="V22" s="38">
        <v>160000</v>
      </c>
      <c r="W22" s="38">
        <v>160000</v>
      </c>
      <c r="X22" s="22">
        <v>170000</v>
      </c>
      <c r="Y22" s="38">
        <v>86629.72</v>
      </c>
      <c r="Z22" s="38">
        <f t="shared" si="6"/>
        <v>54.14</v>
      </c>
      <c r="AA22" s="38">
        <f t="shared" si="9"/>
        <v>50000</v>
      </c>
      <c r="AB22" s="38">
        <v>210000</v>
      </c>
      <c r="AC22" s="38">
        <v>127768.6</v>
      </c>
      <c r="AD22" s="38">
        <f t="shared" si="7"/>
        <v>60.842190476190481</v>
      </c>
      <c r="AE22" s="38">
        <f t="shared" si="3"/>
        <v>0</v>
      </c>
      <c r="AF22" s="38">
        <v>210000</v>
      </c>
      <c r="AG22" s="38">
        <v>210000</v>
      </c>
      <c r="AH22" s="38">
        <v>210000</v>
      </c>
      <c r="AI22" s="38">
        <v>210000</v>
      </c>
      <c r="AJ22" s="162" t="b">
        <f t="shared" si="0"/>
        <v>0</v>
      </c>
      <c r="AK22" s="162" t="str">
        <f t="shared" si="1"/>
        <v>PUNO</v>
      </c>
      <c r="AM22" s="264"/>
    </row>
    <row r="23" spans="1:49" ht="15.75" x14ac:dyDescent="0.2">
      <c r="B23" s="177"/>
      <c r="C23" s="177"/>
      <c r="D23" s="177">
        <v>324</v>
      </c>
      <c r="E23" s="177"/>
      <c r="F23" s="176"/>
      <c r="G23" s="176"/>
      <c r="H23" s="16" t="s">
        <v>530</v>
      </c>
      <c r="I23" s="18">
        <f>I24</f>
        <v>10000</v>
      </c>
      <c r="J23" s="178">
        <f>J24</f>
        <v>5038.21</v>
      </c>
      <c r="K23" s="178">
        <f t="shared" ref="K23:K29" si="18">ROUND(J23/I23*100,2)</f>
        <v>50.38</v>
      </c>
      <c r="L23" s="178">
        <f t="shared" si="4"/>
        <v>150898.96</v>
      </c>
      <c r="M23" s="178">
        <f>M24</f>
        <v>160898.96</v>
      </c>
      <c r="N23" s="178">
        <f>N24</f>
        <v>210000</v>
      </c>
      <c r="O23" s="178">
        <f>O24</f>
        <v>167055.09</v>
      </c>
      <c r="P23" s="204">
        <f t="shared" si="13"/>
        <v>50000</v>
      </c>
      <c r="Q23" s="178">
        <f t="shared" ref="Q23:Y23" si="19">Q24</f>
        <v>210000</v>
      </c>
      <c r="R23" s="178">
        <f t="shared" si="19"/>
        <v>145000</v>
      </c>
      <c r="S23" s="178">
        <f t="shared" si="19"/>
        <v>150000</v>
      </c>
      <c r="T23" s="266">
        <f t="shared" si="19"/>
        <v>260000</v>
      </c>
      <c r="U23" s="266">
        <f t="shared" si="19"/>
        <v>268752.98</v>
      </c>
      <c r="V23" s="178">
        <f t="shared" si="19"/>
        <v>260000</v>
      </c>
      <c r="W23" s="178">
        <f t="shared" si="19"/>
        <v>260000</v>
      </c>
      <c r="X23" s="178">
        <f t="shared" si="19"/>
        <v>270000</v>
      </c>
      <c r="Y23" s="178">
        <f t="shared" si="19"/>
        <v>136305.70000000001</v>
      </c>
      <c r="Z23" s="178">
        <f t="shared" si="6"/>
        <v>52.43</v>
      </c>
      <c r="AA23" s="178">
        <f t="shared" si="9"/>
        <v>70000</v>
      </c>
      <c r="AB23" s="178">
        <f t="shared" ref="AB23:AI23" si="20">AB24</f>
        <v>330000</v>
      </c>
      <c r="AC23" s="178">
        <f t="shared" si="20"/>
        <v>243396.07</v>
      </c>
      <c r="AD23" s="178">
        <f t="shared" si="7"/>
        <v>73.756384848484842</v>
      </c>
      <c r="AE23" s="178">
        <f t="shared" si="3"/>
        <v>0</v>
      </c>
      <c r="AF23" s="178">
        <f t="shared" si="20"/>
        <v>330000</v>
      </c>
      <c r="AG23" s="178">
        <f t="shared" si="20"/>
        <v>330000</v>
      </c>
      <c r="AH23" s="178">
        <f t="shared" si="20"/>
        <v>330000</v>
      </c>
      <c r="AI23" s="178">
        <f t="shared" si="20"/>
        <v>330000</v>
      </c>
      <c r="AJ23" s="162" t="b">
        <f t="shared" si="0"/>
        <v>1</v>
      </c>
      <c r="AK23" s="162" t="str">
        <f t="shared" si="1"/>
        <v>PRAZNO</v>
      </c>
      <c r="AL23" s="179"/>
      <c r="AM23" s="264"/>
      <c r="AN23" s="179"/>
      <c r="AO23" s="179"/>
      <c r="AP23" s="179"/>
      <c r="AQ23" s="179"/>
      <c r="AR23" s="179"/>
      <c r="AS23" s="179"/>
      <c r="AT23" s="179"/>
      <c r="AU23" s="179"/>
      <c r="AV23" s="179"/>
      <c r="AW23" s="179"/>
    </row>
    <row r="24" spans="1:49" ht="15.75" x14ac:dyDescent="0.2">
      <c r="B24" s="177"/>
      <c r="C24" s="177"/>
      <c r="D24" s="177"/>
      <c r="E24" s="177">
        <v>3241</v>
      </c>
      <c r="F24" s="176">
        <v>11</v>
      </c>
      <c r="G24" s="176"/>
      <c r="H24" s="16" t="s">
        <v>530</v>
      </c>
      <c r="I24" s="18">
        <v>10000</v>
      </c>
      <c r="J24" s="178">
        <v>5038.21</v>
      </c>
      <c r="K24" s="178">
        <f t="shared" si="18"/>
        <v>50.38</v>
      </c>
      <c r="L24" s="178">
        <f t="shared" si="4"/>
        <v>150898.96</v>
      </c>
      <c r="M24" s="178">
        <v>160898.96</v>
      </c>
      <c r="N24" s="178">
        <v>210000</v>
      </c>
      <c r="O24" s="178">
        <v>167055.09</v>
      </c>
      <c r="P24" s="204">
        <f t="shared" si="13"/>
        <v>50000</v>
      </c>
      <c r="Q24" s="178">
        <v>210000</v>
      </c>
      <c r="R24" s="178">
        <v>145000</v>
      </c>
      <c r="S24" s="178">
        <v>150000</v>
      </c>
      <c r="T24" s="266">
        <v>260000</v>
      </c>
      <c r="U24" s="266">
        <v>268752.98</v>
      </c>
      <c r="V24" s="266">
        <v>260000</v>
      </c>
      <c r="W24" s="266">
        <v>260000</v>
      </c>
      <c r="X24" s="178">
        <v>270000</v>
      </c>
      <c r="Y24" s="266">
        <v>136305.70000000001</v>
      </c>
      <c r="Z24" s="266">
        <f t="shared" si="6"/>
        <v>52.43</v>
      </c>
      <c r="AA24" s="266">
        <f t="shared" si="9"/>
        <v>70000</v>
      </c>
      <c r="AB24" s="266">
        <v>330000</v>
      </c>
      <c r="AC24" s="266">
        <v>243396.07</v>
      </c>
      <c r="AD24" s="266">
        <f t="shared" si="7"/>
        <v>73.756384848484842</v>
      </c>
      <c r="AE24" s="266">
        <f t="shared" si="3"/>
        <v>0</v>
      </c>
      <c r="AF24" s="266">
        <v>330000</v>
      </c>
      <c r="AG24" s="266">
        <v>330000</v>
      </c>
      <c r="AH24" s="266">
        <v>330000</v>
      </c>
      <c r="AI24" s="266">
        <v>330000</v>
      </c>
      <c r="AJ24" s="162" t="b">
        <f t="shared" si="0"/>
        <v>0</v>
      </c>
      <c r="AK24" s="162" t="str">
        <f t="shared" si="1"/>
        <v>PUNO</v>
      </c>
      <c r="AL24" s="179"/>
      <c r="AM24" s="264"/>
      <c r="AN24" s="179"/>
      <c r="AO24" s="179"/>
      <c r="AP24" s="179"/>
      <c r="AQ24" s="179"/>
      <c r="AR24" s="179"/>
      <c r="AS24" s="179"/>
      <c r="AT24" s="179"/>
      <c r="AU24" s="179"/>
      <c r="AV24" s="179"/>
      <c r="AW24" s="179"/>
    </row>
    <row r="25" spans="1:49" ht="15.75" x14ac:dyDescent="0.2">
      <c r="B25" s="177"/>
      <c r="C25" s="177"/>
      <c r="D25" s="177">
        <v>329</v>
      </c>
      <c r="E25" s="177"/>
      <c r="F25" s="180"/>
      <c r="G25" s="180"/>
      <c r="H25" s="16" t="s">
        <v>531</v>
      </c>
      <c r="I25" s="17">
        <f>SUM(I26:I29)</f>
        <v>1413000</v>
      </c>
      <c r="J25" s="181">
        <f>SUM(J26:J29)</f>
        <v>1171282.3900000001</v>
      </c>
      <c r="K25" s="181">
        <f t="shared" si="18"/>
        <v>82.89</v>
      </c>
      <c r="L25" s="181">
        <f t="shared" si="4"/>
        <v>134415.62999999989</v>
      </c>
      <c r="M25" s="181">
        <f>SUM(M26:M29)</f>
        <v>1547415.63</v>
      </c>
      <c r="N25" s="181">
        <f>SUM(N26:N29)</f>
        <v>1553000</v>
      </c>
      <c r="O25" s="181">
        <f>SUM(O26:O29)</f>
        <v>820281.18</v>
      </c>
      <c r="P25" s="204">
        <f t="shared" si="13"/>
        <v>-5000</v>
      </c>
      <c r="Q25" s="181">
        <f t="shared" ref="Q25:X25" si="21">SUM(Q26:Q29)</f>
        <v>1553000</v>
      </c>
      <c r="R25" s="181">
        <f t="shared" si="21"/>
        <v>1522500</v>
      </c>
      <c r="S25" s="181">
        <f t="shared" si="21"/>
        <v>1541000</v>
      </c>
      <c r="T25" s="307">
        <f t="shared" si="21"/>
        <v>1548000</v>
      </c>
      <c r="U25" s="307">
        <f>SUM(U26:U29)</f>
        <v>1473169.9000000001</v>
      </c>
      <c r="V25" s="181">
        <f>SUM(V26:V30)</f>
        <v>1548000</v>
      </c>
      <c r="W25" s="181">
        <f t="shared" si="21"/>
        <v>1548000</v>
      </c>
      <c r="X25" s="181">
        <f t="shared" si="21"/>
        <v>1588000</v>
      </c>
      <c r="Y25" s="181">
        <f>SUM(Y26:Y30)</f>
        <v>637380.91999999993</v>
      </c>
      <c r="Z25" s="181">
        <f t="shared" si="6"/>
        <v>41.17</v>
      </c>
      <c r="AA25" s="181">
        <f t="shared" si="9"/>
        <v>63500</v>
      </c>
      <c r="AB25" s="181">
        <f t="shared" ref="AB25:AI25" si="22">SUM(AB26:AB30)</f>
        <v>1611500</v>
      </c>
      <c r="AC25" s="181">
        <f t="shared" si="22"/>
        <v>1069937.83</v>
      </c>
      <c r="AD25" s="181">
        <f t="shared" si="7"/>
        <v>66.393908160099286</v>
      </c>
      <c r="AE25" s="181">
        <f t="shared" si="3"/>
        <v>0</v>
      </c>
      <c r="AF25" s="181">
        <f t="shared" si="22"/>
        <v>1611500</v>
      </c>
      <c r="AG25" s="181">
        <f t="shared" si="22"/>
        <v>1611500</v>
      </c>
      <c r="AH25" s="181">
        <f t="shared" si="22"/>
        <v>1611500</v>
      </c>
      <c r="AI25" s="181">
        <f t="shared" si="22"/>
        <v>1611500</v>
      </c>
      <c r="AJ25" s="162" t="b">
        <f t="shared" si="0"/>
        <v>1</v>
      </c>
      <c r="AK25" s="162" t="str">
        <f t="shared" si="1"/>
        <v>PRAZNO</v>
      </c>
      <c r="AM25" s="264"/>
    </row>
    <row r="26" spans="1:49" ht="30" x14ac:dyDescent="0.2">
      <c r="B26" s="177"/>
      <c r="C26" s="177"/>
      <c r="D26" s="177"/>
      <c r="E26" s="177">
        <v>3291</v>
      </c>
      <c r="F26" s="176">
        <v>11</v>
      </c>
      <c r="G26" s="176" t="s">
        <v>527</v>
      </c>
      <c r="H26" s="16" t="s">
        <v>532</v>
      </c>
      <c r="I26" s="18">
        <v>900000</v>
      </c>
      <c r="J26" s="182">
        <v>768070.18</v>
      </c>
      <c r="K26" s="182">
        <f t="shared" si="18"/>
        <v>85.34</v>
      </c>
      <c r="L26" s="182">
        <f t="shared" si="4"/>
        <v>67731.63</v>
      </c>
      <c r="M26" s="182">
        <v>967731.63</v>
      </c>
      <c r="N26" s="182">
        <v>980000</v>
      </c>
      <c r="O26" s="182">
        <v>532256.67000000004</v>
      </c>
      <c r="P26" s="204">
        <f t="shared" si="13"/>
        <v>0</v>
      </c>
      <c r="Q26" s="182">
        <v>980000</v>
      </c>
      <c r="R26" s="182">
        <v>985000</v>
      </c>
      <c r="S26" s="182">
        <v>992000</v>
      </c>
      <c r="T26" s="182">
        <v>980000</v>
      </c>
      <c r="U26" s="182">
        <v>924004.27</v>
      </c>
      <c r="V26" s="182">
        <v>980000</v>
      </c>
      <c r="W26" s="182">
        <v>980000</v>
      </c>
      <c r="X26" s="182">
        <v>1010000</v>
      </c>
      <c r="Y26" s="182">
        <v>321160.11</v>
      </c>
      <c r="Z26" s="182">
        <f t="shared" si="6"/>
        <v>32.770000000000003</v>
      </c>
      <c r="AA26" s="182">
        <f t="shared" si="9"/>
        <v>-60000</v>
      </c>
      <c r="AB26" s="182">
        <v>920000</v>
      </c>
      <c r="AC26" s="182">
        <v>557849.92000000004</v>
      </c>
      <c r="AD26" s="182">
        <f t="shared" si="7"/>
        <v>60.635860869565214</v>
      </c>
      <c r="AE26" s="182">
        <f t="shared" si="3"/>
        <v>0</v>
      </c>
      <c r="AF26" s="182">
        <v>920000</v>
      </c>
      <c r="AG26" s="182">
        <v>920000</v>
      </c>
      <c r="AH26" s="182">
        <v>920000</v>
      </c>
      <c r="AI26" s="182">
        <v>920000</v>
      </c>
      <c r="AJ26" s="162" t="b">
        <f t="shared" si="0"/>
        <v>0</v>
      </c>
      <c r="AK26" s="162" t="str">
        <f t="shared" si="1"/>
        <v>PUNO</v>
      </c>
      <c r="AM26" s="264"/>
    </row>
    <row r="27" spans="1:49" ht="15.75" x14ac:dyDescent="0.2">
      <c r="B27" s="177"/>
      <c r="C27" s="177"/>
      <c r="D27" s="177"/>
      <c r="E27" s="177">
        <v>3293</v>
      </c>
      <c r="F27" s="176">
        <v>11</v>
      </c>
      <c r="G27" s="176" t="s">
        <v>527</v>
      </c>
      <c r="H27" s="16" t="s">
        <v>533</v>
      </c>
      <c r="I27" s="18">
        <v>378000</v>
      </c>
      <c r="J27" s="178">
        <v>188592.38</v>
      </c>
      <c r="K27" s="178">
        <f t="shared" si="18"/>
        <v>49.89</v>
      </c>
      <c r="L27" s="178">
        <f t="shared" si="4"/>
        <v>-24444.200000000012</v>
      </c>
      <c r="M27" s="178">
        <v>353555.8</v>
      </c>
      <c r="N27" s="178">
        <v>378000</v>
      </c>
      <c r="O27" s="178">
        <v>135647.79</v>
      </c>
      <c r="P27" s="204">
        <f t="shared" si="13"/>
        <v>0</v>
      </c>
      <c r="Q27" s="178">
        <v>378000</v>
      </c>
      <c r="R27" s="178">
        <v>380000</v>
      </c>
      <c r="S27" s="178">
        <v>390000</v>
      </c>
      <c r="T27" s="266">
        <v>378000</v>
      </c>
      <c r="U27" s="266">
        <v>361481.58</v>
      </c>
      <c r="V27" s="266">
        <v>378000</v>
      </c>
      <c r="W27" s="266">
        <v>378000</v>
      </c>
      <c r="X27" s="266">
        <v>380000</v>
      </c>
      <c r="Y27" s="266">
        <v>143084.81</v>
      </c>
      <c r="Z27" s="266">
        <f t="shared" si="6"/>
        <v>37.85</v>
      </c>
      <c r="AA27" s="266">
        <f t="shared" si="9"/>
        <v>0</v>
      </c>
      <c r="AB27" s="266">
        <v>378000</v>
      </c>
      <c r="AC27" s="266">
        <v>283626.51</v>
      </c>
      <c r="AD27" s="266">
        <f t="shared" si="7"/>
        <v>75.033468253968266</v>
      </c>
      <c r="AE27" s="266">
        <f t="shared" si="3"/>
        <v>0</v>
      </c>
      <c r="AF27" s="686">
        <v>378000</v>
      </c>
      <c r="AG27" s="266">
        <v>378000</v>
      </c>
      <c r="AH27" s="266">
        <v>378000</v>
      </c>
      <c r="AI27" s="266">
        <v>378000</v>
      </c>
      <c r="AJ27" s="162" t="b">
        <f t="shared" si="0"/>
        <v>0</v>
      </c>
      <c r="AK27" s="162" t="str">
        <f t="shared" si="1"/>
        <v>PUNO</v>
      </c>
      <c r="AM27" s="264"/>
    </row>
    <row r="28" spans="1:49" ht="15.75" x14ac:dyDescent="0.2">
      <c r="B28" s="177"/>
      <c r="C28" s="177"/>
      <c r="D28" s="177"/>
      <c r="E28" s="177">
        <v>3294</v>
      </c>
      <c r="F28" s="176">
        <v>11</v>
      </c>
      <c r="G28" s="176" t="s">
        <v>527</v>
      </c>
      <c r="H28" s="16" t="s">
        <v>534</v>
      </c>
      <c r="I28" s="18">
        <v>65000</v>
      </c>
      <c r="J28" s="178">
        <v>26533.43</v>
      </c>
      <c r="K28" s="178">
        <f t="shared" si="18"/>
        <v>40.82</v>
      </c>
      <c r="L28" s="178">
        <f t="shared" si="4"/>
        <v>-9330.3499999999985</v>
      </c>
      <c r="M28" s="178">
        <v>55669.65</v>
      </c>
      <c r="N28" s="178">
        <v>65000</v>
      </c>
      <c r="O28" s="178">
        <v>29311.96</v>
      </c>
      <c r="P28" s="204">
        <f t="shared" si="13"/>
        <v>-5000</v>
      </c>
      <c r="Q28" s="178">
        <v>65000</v>
      </c>
      <c r="R28" s="178">
        <v>65500</v>
      </c>
      <c r="S28" s="178">
        <v>66000</v>
      </c>
      <c r="T28" s="266">
        <v>60000</v>
      </c>
      <c r="U28" s="266">
        <v>60602.49</v>
      </c>
      <c r="V28" s="266">
        <v>60000</v>
      </c>
      <c r="W28" s="266">
        <v>60000</v>
      </c>
      <c r="X28" s="178">
        <v>65000</v>
      </c>
      <c r="Y28" s="266">
        <v>39904.86</v>
      </c>
      <c r="Z28" s="266">
        <f t="shared" si="6"/>
        <v>66.510000000000005</v>
      </c>
      <c r="AA28" s="266">
        <f t="shared" si="9"/>
        <v>23500</v>
      </c>
      <c r="AB28" s="266">
        <f>62000+21500</f>
        <v>83500</v>
      </c>
      <c r="AC28" s="266">
        <v>52408.33</v>
      </c>
      <c r="AD28" s="266">
        <f t="shared" si="7"/>
        <v>62.764467065868267</v>
      </c>
      <c r="AE28" s="266">
        <f t="shared" si="3"/>
        <v>0</v>
      </c>
      <c r="AF28" s="266">
        <f>62000+21500</f>
        <v>83500</v>
      </c>
      <c r="AG28" s="266">
        <f>62000+21500</f>
        <v>83500</v>
      </c>
      <c r="AH28" s="266">
        <f>62000+21500</f>
        <v>83500</v>
      </c>
      <c r="AI28" s="266">
        <f>62000+21500</f>
        <v>83500</v>
      </c>
      <c r="AJ28" s="162" t="b">
        <f t="shared" si="0"/>
        <v>0</v>
      </c>
      <c r="AK28" s="162" t="str">
        <f t="shared" si="1"/>
        <v>PUNO</v>
      </c>
      <c r="AM28" s="264"/>
    </row>
    <row r="29" spans="1:49" ht="15.75" x14ac:dyDescent="0.2">
      <c r="B29" s="177"/>
      <c r="C29" s="177"/>
      <c r="D29" s="177"/>
      <c r="E29" s="177">
        <v>3299</v>
      </c>
      <c r="F29" s="176">
        <v>11</v>
      </c>
      <c r="G29" s="176" t="s">
        <v>527</v>
      </c>
      <c r="H29" s="16" t="s">
        <v>531</v>
      </c>
      <c r="I29" s="18">
        <v>70000</v>
      </c>
      <c r="J29" s="178">
        <v>188086.39999999999</v>
      </c>
      <c r="K29" s="178">
        <f t="shared" si="18"/>
        <v>268.69</v>
      </c>
      <c r="L29" s="178">
        <f t="shared" si="4"/>
        <v>100458.54999999999</v>
      </c>
      <c r="M29" s="178">
        <v>170458.55</v>
      </c>
      <c r="N29" s="178">
        <v>130000</v>
      </c>
      <c r="O29" s="178">
        <v>123064.76</v>
      </c>
      <c r="P29" s="204">
        <f t="shared" si="13"/>
        <v>0</v>
      </c>
      <c r="Q29" s="178">
        <v>130000</v>
      </c>
      <c r="R29" s="178">
        <v>92000</v>
      </c>
      <c r="S29" s="178">
        <v>93000</v>
      </c>
      <c r="T29" s="266">
        <v>130000</v>
      </c>
      <c r="U29" s="266">
        <v>127081.56</v>
      </c>
      <c r="V29" s="266">
        <v>130000</v>
      </c>
      <c r="W29" s="266">
        <v>130000</v>
      </c>
      <c r="X29" s="178">
        <v>133000</v>
      </c>
      <c r="Y29" s="266">
        <v>133231.14000000001</v>
      </c>
      <c r="Z29" s="266">
        <f t="shared" si="6"/>
        <v>102.49</v>
      </c>
      <c r="AA29" s="266">
        <f t="shared" si="9"/>
        <v>30000</v>
      </c>
      <c r="AB29" s="266">
        <v>160000</v>
      </c>
      <c r="AC29" s="266">
        <v>139886.37</v>
      </c>
      <c r="AD29" s="266">
        <f t="shared" si="7"/>
        <v>87.428981249999993</v>
      </c>
      <c r="AE29" s="266">
        <f t="shared" si="3"/>
        <v>0</v>
      </c>
      <c r="AF29" s="266">
        <v>160000</v>
      </c>
      <c r="AG29" s="266">
        <v>160000</v>
      </c>
      <c r="AH29" s="266">
        <v>160000</v>
      </c>
      <c r="AI29" s="266">
        <v>160000</v>
      </c>
      <c r="AJ29" s="162" t="b">
        <f t="shared" si="0"/>
        <v>0</v>
      </c>
      <c r="AK29" s="162" t="str">
        <f t="shared" si="1"/>
        <v>PUNO</v>
      </c>
      <c r="AM29" s="264"/>
    </row>
    <row r="30" spans="1:49" ht="32.25" customHeight="1" x14ac:dyDescent="0.2">
      <c r="B30" s="177"/>
      <c r="C30" s="177"/>
      <c r="D30" s="177"/>
      <c r="E30" s="177">
        <v>3299</v>
      </c>
      <c r="F30" s="180">
        <v>11</v>
      </c>
      <c r="G30" s="176"/>
      <c r="H30" s="16" t="s">
        <v>733</v>
      </c>
      <c r="I30" s="18"/>
      <c r="J30" s="18"/>
      <c r="K30" s="18"/>
      <c r="L30" s="18"/>
      <c r="M30" s="18"/>
      <c r="N30" s="18"/>
      <c r="O30" s="18"/>
      <c r="P30" s="204"/>
      <c r="Q30" s="18"/>
      <c r="R30" s="18"/>
      <c r="S30" s="18"/>
      <c r="T30" s="27"/>
      <c r="U30" s="27"/>
      <c r="V30" s="18">
        <v>0</v>
      </c>
      <c r="W30" s="18"/>
      <c r="X30" s="18">
        <v>0</v>
      </c>
      <c r="Y30" s="18">
        <v>0</v>
      </c>
      <c r="Z30" s="18" t="e">
        <f t="shared" si="6"/>
        <v>#DIV/0!</v>
      </c>
      <c r="AA30" s="18">
        <f>AB30-V30</f>
        <v>70000</v>
      </c>
      <c r="AB30" s="18">
        <v>70000</v>
      </c>
      <c r="AC30" s="18">
        <v>36166.699999999997</v>
      </c>
      <c r="AD30" s="18">
        <f t="shared" si="7"/>
        <v>51.666714285714278</v>
      </c>
      <c r="AE30" s="18">
        <f t="shared" si="3"/>
        <v>0</v>
      </c>
      <c r="AF30" s="700">
        <v>70000</v>
      </c>
      <c r="AG30" s="700">
        <v>70000</v>
      </c>
      <c r="AH30" s="700">
        <v>70000</v>
      </c>
      <c r="AI30" s="700">
        <v>70000</v>
      </c>
      <c r="AJ30" s="162" t="b">
        <f t="shared" si="0"/>
        <v>0</v>
      </c>
      <c r="AK30" s="162" t="str">
        <f t="shared" si="1"/>
        <v>PUNO</v>
      </c>
      <c r="AM30" s="264"/>
    </row>
    <row r="31" spans="1:49" s="264" customFormat="1" ht="31.5" x14ac:dyDescent="0.2">
      <c r="A31" s="259"/>
      <c r="B31" s="168"/>
      <c r="C31" s="168"/>
      <c r="D31" s="168"/>
      <c r="E31" s="168"/>
      <c r="F31" s="168"/>
      <c r="G31" s="168"/>
      <c r="H31" s="13" t="s">
        <v>535</v>
      </c>
      <c r="I31" s="181" t="e">
        <f>I33</f>
        <v>#REF!</v>
      </c>
      <c r="J31" s="181" t="e">
        <f>J33</f>
        <v>#REF!</v>
      </c>
      <c r="K31" s="181" t="e">
        <f>ROUND(J31/I31*100,2)</f>
        <v>#REF!</v>
      </c>
      <c r="L31" s="181" t="e">
        <f t="shared" si="4"/>
        <v>#REF!</v>
      </c>
      <c r="M31" s="262" t="e">
        <f>M33</f>
        <v>#REF!</v>
      </c>
      <c r="N31" s="262" t="e">
        <f>N33</f>
        <v>#REF!</v>
      </c>
      <c r="O31" s="262" t="e">
        <f>O33</f>
        <v>#REF!</v>
      </c>
      <c r="P31" s="342" t="e">
        <f t="shared" si="13"/>
        <v>#REF!</v>
      </c>
      <c r="Q31" s="262" t="e">
        <f t="shared" ref="Q31:X31" si="23">Q33</f>
        <v>#REF!</v>
      </c>
      <c r="R31" s="262" t="e">
        <f t="shared" si="23"/>
        <v>#REF!</v>
      </c>
      <c r="S31" s="262" t="e">
        <f t="shared" si="23"/>
        <v>#REF!</v>
      </c>
      <c r="T31" s="19">
        <f>T33+T38</f>
        <v>4120000</v>
      </c>
      <c r="U31" s="19">
        <f>U33+U38</f>
        <v>4034842.24</v>
      </c>
      <c r="V31" s="19">
        <f t="shared" si="23"/>
        <v>2500000</v>
      </c>
      <c r="W31" s="19">
        <f t="shared" si="23"/>
        <v>2700000</v>
      </c>
      <c r="X31" s="19">
        <f t="shared" si="23"/>
        <v>2700000</v>
      </c>
      <c r="Y31" s="19">
        <f>Y33</f>
        <v>0</v>
      </c>
      <c r="Z31" s="19">
        <f t="shared" si="6"/>
        <v>0</v>
      </c>
      <c r="AA31" s="19">
        <f t="shared" si="9"/>
        <v>1500000</v>
      </c>
      <c r="AB31" s="19">
        <f t="shared" ref="AB31:AI31" si="24">AB33</f>
        <v>4000000</v>
      </c>
      <c r="AC31" s="19">
        <f t="shared" si="24"/>
        <v>1499841.94</v>
      </c>
      <c r="AD31" s="19">
        <f t="shared" si="7"/>
        <v>37.496048500000001</v>
      </c>
      <c r="AE31" s="19">
        <f t="shared" si="3"/>
        <v>0</v>
      </c>
      <c r="AF31" s="19">
        <f t="shared" si="24"/>
        <v>4000000</v>
      </c>
      <c r="AG31" s="19">
        <f t="shared" si="24"/>
        <v>2500000</v>
      </c>
      <c r="AH31" s="19">
        <f t="shared" si="24"/>
        <v>2500000</v>
      </c>
      <c r="AI31" s="19">
        <f t="shared" si="24"/>
        <v>2500000</v>
      </c>
      <c r="AJ31" s="162" t="b">
        <f t="shared" si="0"/>
        <v>1</v>
      </c>
      <c r="AK31" s="162" t="str">
        <f t="shared" si="1"/>
        <v>PRAZNO</v>
      </c>
      <c r="AL31" s="263"/>
    </row>
    <row r="32" spans="1:49" s="264" customFormat="1" ht="15.75" x14ac:dyDescent="0.2">
      <c r="A32" s="259"/>
      <c r="B32" s="260"/>
      <c r="C32" s="260"/>
      <c r="D32" s="260"/>
      <c r="E32" s="260"/>
      <c r="F32" s="260"/>
      <c r="G32" s="260"/>
      <c r="H32" s="440" t="s">
        <v>824</v>
      </c>
      <c r="I32" s="181"/>
      <c r="J32" s="181"/>
      <c r="K32" s="181"/>
      <c r="L32" s="181"/>
      <c r="M32" s="262"/>
      <c r="N32" s="262"/>
      <c r="O32" s="262"/>
      <c r="P32" s="342"/>
      <c r="Q32" s="262"/>
      <c r="R32" s="262"/>
      <c r="S32" s="262"/>
      <c r="T32" s="262"/>
      <c r="U32" s="262"/>
      <c r="V32" s="262">
        <f>V33</f>
        <v>2500000</v>
      </c>
      <c r="W32" s="262">
        <f>W33</f>
        <v>2700000</v>
      </c>
      <c r="X32" s="262">
        <f>X33</f>
        <v>2700000</v>
      </c>
      <c r="Y32" s="262">
        <f>Y33</f>
        <v>0</v>
      </c>
      <c r="Z32" s="262">
        <f t="shared" si="6"/>
        <v>0</v>
      </c>
      <c r="AA32" s="262">
        <f t="shared" si="9"/>
        <v>1500000</v>
      </c>
      <c r="AB32" s="262">
        <f t="shared" ref="AB32:AI32" si="25">AB33</f>
        <v>4000000</v>
      </c>
      <c r="AC32" s="262">
        <f t="shared" si="25"/>
        <v>1499841.94</v>
      </c>
      <c r="AD32" s="262">
        <f t="shared" si="7"/>
        <v>37.496048500000001</v>
      </c>
      <c r="AE32" s="262">
        <f t="shared" si="3"/>
        <v>0</v>
      </c>
      <c r="AF32" s="262">
        <f t="shared" si="25"/>
        <v>4000000</v>
      </c>
      <c r="AG32" s="262">
        <f t="shared" si="25"/>
        <v>2500000</v>
      </c>
      <c r="AH32" s="262">
        <f t="shared" si="25"/>
        <v>2500000</v>
      </c>
      <c r="AI32" s="262">
        <f t="shared" si="25"/>
        <v>2500000</v>
      </c>
      <c r="AJ32" s="162" t="b">
        <f t="shared" si="0"/>
        <v>1</v>
      </c>
      <c r="AK32" s="162" t="str">
        <f t="shared" si="1"/>
        <v>PRAZNO</v>
      </c>
      <c r="AL32" s="263"/>
    </row>
    <row r="33" spans="1:39" s="264" customFormat="1" ht="15.75" x14ac:dyDescent="0.2">
      <c r="A33" s="259"/>
      <c r="B33" s="172">
        <v>3</v>
      </c>
      <c r="C33" s="172"/>
      <c r="D33" s="172"/>
      <c r="E33" s="172"/>
      <c r="F33" s="172"/>
      <c r="G33" s="172"/>
      <c r="H33" s="14" t="s">
        <v>524</v>
      </c>
      <c r="I33" s="181" t="e">
        <f t="shared" ref="I33:AI35" si="26">I34</f>
        <v>#REF!</v>
      </c>
      <c r="J33" s="181" t="e">
        <f t="shared" si="26"/>
        <v>#REF!</v>
      </c>
      <c r="K33" s="181" t="e">
        <f>ROUND(J33/I33*100,2)</f>
        <v>#REF!</v>
      </c>
      <c r="L33" s="181" t="e">
        <f t="shared" si="4"/>
        <v>#REF!</v>
      </c>
      <c r="M33" s="181" t="e">
        <f t="shared" si="26"/>
        <v>#REF!</v>
      </c>
      <c r="N33" s="181" t="e">
        <f t="shared" si="26"/>
        <v>#REF!</v>
      </c>
      <c r="O33" s="181" t="e">
        <f t="shared" si="26"/>
        <v>#REF!</v>
      </c>
      <c r="P33" s="343" t="e">
        <f t="shared" si="13"/>
        <v>#REF!</v>
      </c>
      <c r="Q33" s="181" t="e">
        <f t="shared" si="26"/>
        <v>#REF!</v>
      </c>
      <c r="R33" s="181" t="e">
        <f t="shared" si="26"/>
        <v>#REF!</v>
      </c>
      <c r="S33" s="181" t="e">
        <f t="shared" si="26"/>
        <v>#REF!</v>
      </c>
      <c r="T33" s="20">
        <f t="shared" si="26"/>
        <v>1800000</v>
      </c>
      <c r="U33" s="20">
        <f t="shared" si="26"/>
        <v>1714842.24</v>
      </c>
      <c r="V33" s="20">
        <f t="shared" si="26"/>
        <v>2500000</v>
      </c>
      <c r="W33" s="20">
        <f t="shared" si="26"/>
        <v>2700000</v>
      </c>
      <c r="X33" s="20">
        <f t="shared" si="26"/>
        <v>2700000</v>
      </c>
      <c r="Y33" s="20">
        <f t="shared" si="26"/>
        <v>0</v>
      </c>
      <c r="Z33" s="20">
        <f t="shared" si="6"/>
        <v>0</v>
      </c>
      <c r="AA33" s="20">
        <f t="shared" si="9"/>
        <v>1500000</v>
      </c>
      <c r="AB33" s="20">
        <f t="shared" si="26"/>
        <v>4000000</v>
      </c>
      <c r="AC33" s="20">
        <f t="shared" si="26"/>
        <v>1499841.94</v>
      </c>
      <c r="AD33" s="20">
        <f t="shared" si="7"/>
        <v>37.496048500000001</v>
      </c>
      <c r="AE33" s="20">
        <f t="shared" si="3"/>
        <v>0</v>
      </c>
      <c r="AF33" s="20">
        <f t="shared" si="26"/>
        <v>4000000</v>
      </c>
      <c r="AG33" s="20">
        <f t="shared" si="26"/>
        <v>2500000</v>
      </c>
      <c r="AH33" s="20">
        <f t="shared" si="26"/>
        <v>2500000</v>
      </c>
      <c r="AI33" s="20">
        <f t="shared" si="26"/>
        <v>2500000</v>
      </c>
      <c r="AJ33" s="162" t="b">
        <f t="shared" si="0"/>
        <v>1</v>
      </c>
      <c r="AK33" s="162" t="str">
        <f t="shared" si="1"/>
        <v>PRAZNO</v>
      </c>
      <c r="AL33" s="263"/>
    </row>
    <row r="34" spans="1:39" ht="18" customHeight="1" x14ac:dyDescent="0.2">
      <c r="B34" s="175"/>
      <c r="C34" s="175">
        <v>36</v>
      </c>
      <c r="D34" s="175"/>
      <c r="E34" s="175"/>
      <c r="F34" s="175"/>
      <c r="G34" s="175"/>
      <c r="H34" s="16" t="s">
        <v>751</v>
      </c>
      <c r="I34" s="22" t="e">
        <f t="shared" si="26"/>
        <v>#REF!</v>
      </c>
      <c r="J34" s="183" t="e">
        <f t="shared" si="26"/>
        <v>#REF!</v>
      </c>
      <c r="K34" s="183" t="e">
        <f>ROUND(J34/I34*100,2)</f>
        <v>#REF!</v>
      </c>
      <c r="L34" s="183" t="e">
        <f t="shared" si="4"/>
        <v>#REF!</v>
      </c>
      <c r="M34" s="183" t="e">
        <f t="shared" si="26"/>
        <v>#REF!</v>
      </c>
      <c r="N34" s="183" t="e">
        <f t="shared" si="26"/>
        <v>#REF!</v>
      </c>
      <c r="O34" s="183" t="e">
        <f t="shared" si="26"/>
        <v>#REF!</v>
      </c>
      <c r="P34" s="204" t="e">
        <f t="shared" si="13"/>
        <v>#REF!</v>
      </c>
      <c r="Q34" s="183" t="e">
        <f t="shared" si="26"/>
        <v>#REF!</v>
      </c>
      <c r="R34" s="183" t="e">
        <f t="shared" si="26"/>
        <v>#REF!</v>
      </c>
      <c r="S34" s="183" t="e">
        <f t="shared" si="26"/>
        <v>#REF!</v>
      </c>
      <c r="T34" s="183">
        <f t="shared" si="26"/>
        <v>1800000</v>
      </c>
      <c r="U34" s="183">
        <f t="shared" si="26"/>
        <v>1714842.24</v>
      </c>
      <c r="V34" s="183">
        <f t="shared" si="26"/>
        <v>2500000</v>
      </c>
      <c r="W34" s="183">
        <f t="shared" si="26"/>
        <v>2700000</v>
      </c>
      <c r="X34" s="183">
        <f t="shared" si="26"/>
        <v>2700000</v>
      </c>
      <c r="Y34" s="183">
        <f t="shared" si="26"/>
        <v>0</v>
      </c>
      <c r="Z34" s="183">
        <f t="shared" si="6"/>
        <v>0</v>
      </c>
      <c r="AA34" s="183">
        <f t="shared" si="9"/>
        <v>1500000</v>
      </c>
      <c r="AB34" s="183">
        <f t="shared" si="26"/>
        <v>4000000</v>
      </c>
      <c r="AC34" s="183">
        <f t="shared" si="26"/>
        <v>1499841.94</v>
      </c>
      <c r="AD34" s="183">
        <f t="shared" si="7"/>
        <v>37.496048500000001</v>
      </c>
      <c r="AE34" s="183">
        <f t="shared" si="3"/>
        <v>0</v>
      </c>
      <c r="AF34" s="183">
        <f t="shared" si="26"/>
        <v>4000000</v>
      </c>
      <c r="AG34" s="183">
        <f t="shared" si="26"/>
        <v>2500000</v>
      </c>
      <c r="AH34" s="183">
        <f t="shared" si="26"/>
        <v>2500000</v>
      </c>
      <c r="AI34" s="183">
        <f t="shared" si="26"/>
        <v>2500000</v>
      </c>
      <c r="AJ34" s="162" t="b">
        <f t="shared" si="0"/>
        <v>1</v>
      </c>
      <c r="AK34" s="162" t="str">
        <f t="shared" si="1"/>
        <v>PRAZNO</v>
      </c>
      <c r="AM34" s="264"/>
    </row>
    <row r="35" spans="1:39" ht="15.75" x14ac:dyDescent="0.2">
      <c r="B35" s="177"/>
      <c r="C35" s="177"/>
      <c r="D35" s="177">
        <v>363</v>
      </c>
      <c r="E35" s="177"/>
      <c r="F35" s="177"/>
      <c r="G35" s="177"/>
      <c r="H35" s="16" t="s">
        <v>536</v>
      </c>
      <c r="I35" s="17" t="e">
        <f>SUM(#REF!)</f>
        <v>#REF!</v>
      </c>
      <c r="J35" s="181" t="e">
        <f>SUM(#REF!)</f>
        <v>#REF!</v>
      </c>
      <c r="K35" s="181" t="e">
        <f>ROUND(J35/I35*100,2)</f>
        <v>#REF!</v>
      </c>
      <c r="L35" s="181" t="e">
        <f t="shared" si="4"/>
        <v>#REF!</v>
      </c>
      <c r="M35" s="181" t="e">
        <f>M36+#REF!</f>
        <v>#REF!</v>
      </c>
      <c r="N35" s="181" t="e">
        <f>N36+#REF!</f>
        <v>#REF!</v>
      </c>
      <c r="O35" s="181" t="e">
        <f>O36+#REF!</f>
        <v>#REF!</v>
      </c>
      <c r="P35" s="204" t="e">
        <f t="shared" si="13"/>
        <v>#REF!</v>
      </c>
      <c r="Q35" s="181" t="e">
        <f>Q36+#REF!</f>
        <v>#REF!</v>
      </c>
      <c r="R35" s="181" t="e">
        <f>SUM(#REF!)</f>
        <v>#REF!</v>
      </c>
      <c r="S35" s="181" t="e">
        <f>SUM(#REF!)</f>
        <v>#REF!</v>
      </c>
      <c r="T35" s="181">
        <f>T36</f>
        <v>1800000</v>
      </c>
      <c r="U35" s="181">
        <f>U36</f>
        <v>1714842.24</v>
      </c>
      <c r="V35" s="181">
        <f>V36</f>
        <v>2500000</v>
      </c>
      <c r="W35" s="181">
        <f t="shared" si="26"/>
        <v>2700000</v>
      </c>
      <c r="X35" s="181">
        <f t="shared" si="26"/>
        <v>2700000</v>
      </c>
      <c r="Y35" s="181">
        <f t="shared" si="26"/>
        <v>0</v>
      </c>
      <c r="Z35" s="181">
        <f t="shared" si="6"/>
        <v>0</v>
      </c>
      <c r="AA35" s="181">
        <f t="shared" si="9"/>
        <v>1500000</v>
      </c>
      <c r="AB35" s="181">
        <f>AB36</f>
        <v>4000000</v>
      </c>
      <c r="AC35" s="181">
        <f>AC36</f>
        <v>1499841.94</v>
      </c>
      <c r="AD35" s="181">
        <f t="shared" si="7"/>
        <v>37.496048500000001</v>
      </c>
      <c r="AE35" s="181">
        <f t="shared" si="3"/>
        <v>0</v>
      </c>
      <c r="AF35" s="181">
        <f>AF36</f>
        <v>4000000</v>
      </c>
      <c r="AG35" s="181">
        <f>AG36</f>
        <v>2500000</v>
      </c>
      <c r="AH35" s="181">
        <f>AH36</f>
        <v>2500000</v>
      </c>
      <c r="AI35" s="181">
        <f>AI36</f>
        <v>2500000</v>
      </c>
      <c r="AJ35" s="162" t="b">
        <f t="shared" si="0"/>
        <v>1</v>
      </c>
      <c r="AK35" s="162" t="str">
        <f t="shared" si="1"/>
        <v>PRAZNO</v>
      </c>
      <c r="AM35" s="264"/>
    </row>
    <row r="36" spans="1:39" ht="15.75" x14ac:dyDescent="0.2">
      <c r="B36" s="177"/>
      <c r="C36" s="177"/>
      <c r="D36" s="177"/>
      <c r="E36" s="177">
        <v>3632</v>
      </c>
      <c r="F36" s="177">
        <v>14</v>
      </c>
      <c r="G36" s="177"/>
      <c r="H36" s="16" t="s">
        <v>538</v>
      </c>
      <c r="I36" s="17"/>
      <c r="J36" s="181"/>
      <c r="K36" s="181"/>
      <c r="L36" s="181"/>
      <c r="M36" s="181">
        <v>0</v>
      </c>
      <c r="N36" s="181">
        <v>1800000</v>
      </c>
      <c r="O36" s="181">
        <v>525000</v>
      </c>
      <c r="P36" s="204">
        <f t="shared" si="13"/>
        <v>0</v>
      </c>
      <c r="Q36" s="181">
        <v>1800000</v>
      </c>
      <c r="R36" s="181"/>
      <c r="S36" s="181"/>
      <c r="T36" s="181">
        <v>1800000</v>
      </c>
      <c r="U36" s="181">
        <v>1714842.24</v>
      </c>
      <c r="V36" s="181">
        <f>3000000-500000</f>
        <v>2500000</v>
      </c>
      <c r="W36" s="181">
        <f>3200000-500000</f>
        <v>2700000</v>
      </c>
      <c r="X36" s="181">
        <f>3200000-500000</f>
        <v>2700000</v>
      </c>
      <c r="Y36" s="181">
        <v>0</v>
      </c>
      <c r="Z36" s="181">
        <f t="shared" si="6"/>
        <v>0</v>
      </c>
      <c r="AA36" s="181">
        <f t="shared" si="9"/>
        <v>1500000</v>
      </c>
      <c r="AB36" s="181">
        <v>4000000</v>
      </c>
      <c r="AC36" s="181">
        <v>1499841.94</v>
      </c>
      <c r="AD36" s="181">
        <f t="shared" si="7"/>
        <v>37.496048500000001</v>
      </c>
      <c r="AE36" s="181">
        <f t="shared" si="3"/>
        <v>0</v>
      </c>
      <c r="AF36" s="181">
        <v>4000000</v>
      </c>
      <c r="AG36" s="181">
        <v>2500000</v>
      </c>
      <c r="AH36" s="181">
        <v>2500000</v>
      </c>
      <c r="AI36" s="181">
        <v>2500000</v>
      </c>
      <c r="AJ36" s="162" t="b">
        <f t="shared" si="0"/>
        <v>0</v>
      </c>
      <c r="AK36" s="162" t="str">
        <f t="shared" si="1"/>
        <v>PUNO</v>
      </c>
      <c r="AM36" s="264"/>
    </row>
    <row r="37" spans="1:39" ht="15.75" x14ac:dyDescent="0.2">
      <c r="B37" s="177"/>
      <c r="C37" s="177"/>
      <c r="D37" s="177"/>
      <c r="E37" s="177"/>
      <c r="F37" s="177"/>
      <c r="G37" s="177"/>
      <c r="H37" s="440" t="s">
        <v>934</v>
      </c>
      <c r="I37" s="17"/>
      <c r="J37" s="181"/>
      <c r="K37" s="181"/>
      <c r="L37" s="181"/>
      <c r="M37" s="181"/>
      <c r="N37" s="181"/>
      <c r="O37" s="181"/>
      <c r="P37" s="204"/>
      <c r="Q37" s="181"/>
      <c r="R37" s="181"/>
      <c r="S37" s="181"/>
      <c r="T37" s="307"/>
      <c r="U37" s="307"/>
      <c r="V37" s="181"/>
      <c r="W37" s="181"/>
      <c r="X37" s="181"/>
      <c r="Y37" s="181"/>
      <c r="Z37" s="181"/>
      <c r="AA37" s="181"/>
      <c r="AB37" s="181"/>
      <c r="AC37" s="181"/>
      <c r="AD37" s="181"/>
      <c r="AE37" s="181"/>
      <c r="AF37" s="181"/>
      <c r="AG37" s="181"/>
      <c r="AH37" s="181"/>
      <c r="AI37" s="181"/>
      <c r="AJ37" s="162" t="b">
        <f t="shared" si="0"/>
        <v>1</v>
      </c>
      <c r="AK37" s="162" t="str">
        <f t="shared" si="1"/>
        <v>PRAZNO</v>
      </c>
      <c r="AM37" s="264"/>
    </row>
    <row r="38" spans="1:39" s="264" customFormat="1" ht="15.75" x14ac:dyDescent="0.2">
      <c r="A38" s="259"/>
      <c r="B38" s="172">
        <v>3</v>
      </c>
      <c r="C38" s="172"/>
      <c r="D38" s="172"/>
      <c r="E38" s="172"/>
      <c r="F38" s="172"/>
      <c r="G38" s="172"/>
      <c r="H38" s="14" t="s">
        <v>524</v>
      </c>
      <c r="I38" s="181"/>
      <c r="J38" s="181"/>
      <c r="K38" s="181"/>
      <c r="L38" s="181"/>
      <c r="M38" s="181"/>
      <c r="N38" s="181"/>
      <c r="O38" s="181"/>
      <c r="P38" s="343"/>
      <c r="Q38" s="181"/>
      <c r="R38" s="181"/>
      <c r="S38" s="181"/>
      <c r="T38" s="20">
        <f t="shared" ref="T38:U40" si="27">T39</f>
        <v>2320000</v>
      </c>
      <c r="U38" s="20">
        <f t="shared" si="27"/>
        <v>2320000</v>
      </c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162" t="b">
        <f t="shared" si="0"/>
        <v>1</v>
      </c>
      <c r="AK38" s="162" t="str">
        <f t="shared" si="1"/>
        <v>PRAZNO</v>
      </c>
      <c r="AL38" s="263"/>
    </row>
    <row r="39" spans="1:39" ht="18" customHeight="1" x14ac:dyDescent="0.2">
      <c r="B39" s="175"/>
      <c r="C39" s="175">
        <v>36</v>
      </c>
      <c r="D39" s="175"/>
      <c r="E39" s="175"/>
      <c r="F39" s="175"/>
      <c r="G39" s="175"/>
      <c r="H39" s="16" t="s">
        <v>751</v>
      </c>
      <c r="I39" s="22"/>
      <c r="J39" s="183"/>
      <c r="K39" s="183"/>
      <c r="L39" s="183"/>
      <c r="M39" s="183"/>
      <c r="N39" s="183"/>
      <c r="O39" s="183"/>
      <c r="P39" s="204"/>
      <c r="Q39" s="183"/>
      <c r="R39" s="183"/>
      <c r="S39" s="183"/>
      <c r="T39" s="183">
        <f t="shared" si="27"/>
        <v>2320000</v>
      </c>
      <c r="U39" s="183">
        <f t="shared" si="27"/>
        <v>2320000</v>
      </c>
      <c r="V39" s="183"/>
      <c r="W39" s="183"/>
      <c r="X39" s="183"/>
      <c r="Y39" s="183"/>
      <c r="Z39" s="183"/>
      <c r="AA39" s="183"/>
      <c r="AB39" s="183"/>
      <c r="AC39" s="183"/>
      <c r="AD39" s="183"/>
      <c r="AE39" s="183"/>
      <c r="AF39" s="183"/>
      <c r="AG39" s="183"/>
      <c r="AH39" s="183"/>
      <c r="AI39" s="183"/>
      <c r="AJ39" s="162" t="b">
        <f t="shared" si="0"/>
        <v>1</v>
      </c>
      <c r="AK39" s="162" t="str">
        <f t="shared" si="1"/>
        <v>PRAZNO</v>
      </c>
      <c r="AM39" s="264"/>
    </row>
    <row r="40" spans="1:39" ht="15.75" x14ac:dyDescent="0.2">
      <c r="B40" s="177"/>
      <c r="C40" s="177"/>
      <c r="D40" s="177">
        <v>363</v>
      </c>
      <c r="E40" s="177"/>
      <c r="F40" s="177"/>
      <c r="G40" s="177"/>
      <c r="H40" s="16" t="s">
        <v>536</v>
      </c>
      <c r="I40" s="17"/>
      <c r="J40" s="181"/>
      <c r="K40" s="181"/>
      <c r="L40" s="181"/>
      <c r="M40" s="181"/>
      <c r="N40" s="181"/>
      <c r="O40" s="181"/>
      <c r="P40" s="204"/>
      <c r="Q40" s="181"/>
      <c r="R40" s="181"/>
      <c r="S40" s="181"/>
      <c r="T40" s="181">
        <f t="shared" si="27"/>
        <v>2320000</v>
      </c>
      <c r="U40" s="181">
        <f t="shared" si="27"/>
        <v>2320000</v>
      </c>
      <c r="V40" s="181"/>
      <c r="W40" s="181"/>
      <c r="X40" s="181"/>
      <c r="Y40" s="181"/>
      <c r="Z40" s="181"/>
      <c r="AA40" s="181"/>
      <c r="AB40" s="181"/>
      <c r="AC40" s="181"/>
      <c r="AD40" s="181"/>
      <c r="AE40" s="181"/>
      <c r="AF40" s="181"/>
      <c r="AG40" s="181"/>
      <c r="AH40" s="181"/>
      <c r="AI40" s="181"/>
      <c r="AJ40" s="162" t="b">
        <f t="shared" si="0"/>
        <v>1</v>
      </c>
      <c r="AK40" s="162" t="str">
        <f t="shared" si="1"/>
        <v>PRAZNO</v>
      </c>
      <c r="AM40" s="264"/>
    </row>
    <row r="41" spans="1:39" ht="15.75" x14ac:dyDescent="0.2">
      <c r="B41" s="177"/>
      <c r="C41" s="177"/>
      <c r="D41" s="177"/>
      <c r="E41" s="177">
        <v>3632</v>
      </c>
      <c r="F41" s="177">
        <v>52</v>
      </c>
      <c r="G41" s="177"/>
      <c r="H41" s="16" t="s">
        <v>538</v>
      </c>
      <c r="I41" s="17"/>
      <c r="J41" s="181"/>
      <c r="K41" s="181"/>
      <c r="L41" s="181"/>
      <c r="M41" s="181"/>
      <c r="N41" s="181"/>
      <c r="O41" s="181"/>
      <c r="P41" s="204"/>
      <c r="Q41" s="181"/>
      <c r="R41" s="181"/>
      <c r="S41" s="181"/>
      <c r="T41" s="181">
        <v>2320000</v>
      </c>
      <c r="U41" s="181">
        <v>2320000</v>
      </c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62" t="b">
        <f t="shared" si="0"/>
        <v>0</v>
      </c>
      <c r="AK41" s="162" t="str">
        <f t="shared" si="1"/>
        <v>PUNO</v>
      </c>
      <c r="AM41" s="264"/>
    </row>
    <row r="42" spans="1:39" s="264" customFormat="1" ht="31.5" x14ac:dyDescent="0.2">
      <c r="A42" s="259"/>
      <c r="B42" s="168"/>
      <c r="C42" s="168"/>
      <c r="D42" s="168"/>
      <c r="E42" s="168"/>
      <c r="F42" s="168"/>
      <c r="G42" s="168"/>
      <c r="H42" s="13" t="s">
        <v>935</v>
      </c>
      <c r="I42" s="181"/>
      <c r="J42" s="181"/>
      <c r="K42" s="181"/>
      <c r="L42" s="181"/>
      <c r="M42" s="262"/>
      <c r="N42" s="262"/>
      <c r="O42" s="262"/>
      <c r="P42" s="342"/>
      <c r="Q42" s="262"/>
      <c r="R42" s="262"/>
      <c r="S42" s="262"/>
      <c r="T42" s="19">
        <f t="shared" ref="T42:U46" si="28">T43</f>
        <v>100000</v>
      </c>
      <c r="U42" s="19">
        <f t="shared" si="28"/>
        <v>100000</v>
      </c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62" t="b">
        <f t="shared" si="0"/>
        <v>1</v>
      </c>
      <c r="AK42" s="162" t="str">
        <f t="shared" si="1"/>
        <v>PRAZNO</v>
      </c>
      <c r="AL42" s="263"/>
    </row>
    <row r="43" spans="1:39" s="264" customFormat="1" ht="15.75" x14ac:dyDescent="0.2">
      <c r="A43" s="259"/>
      <c r="B43" s="168"/>
      <c r="C43" s="168"/>
      <c r="D43" s="168"/>
      <c r="E43" s="168"/>
      <c r="F43" s="168"/>
      <c r="G43" s="168"/>
      <c r="H43" s="13" t="s">
        <v>824</v>
      </c>
      <c r="I43" s="181"/>
      <c r="J43" s="181"/>
      <c r="K43" s="181"/>
      <c r="L43" s="181"/>
      <c r="M43" s="262"/>
      <c r="N43" s="262"/>
      <c r="O43" s="262"/>
      <c r="P43" s="342"/>
      <c r="Q43" s="262"/>
      <c r="R43" s="262"/>
      <c r="S43" s="262"/>
      <c r="T43" s="19">
        <f t="shared" si="28"/>
        <v>100000</v>
      </c>
      <c r="U43" s="19">
        <f t="shared" si="28"/>
        <v>100000</v>
      </c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62" t="b">
        <f t="shared" si="0"/>
        <v>1</v>
      </c>
      <c r="AK43" s="162" t="str">
        <f t="shared" si="1"/>
        <v>PRAZNO</v>
      </c>
      <c r="AL43" s="263"/>
    </row>
    <row r="44" spans="1:39" s="264" customFormat="1" ht="15.75" x14ac:dyDescent="0.2">
      <c r="A44" s="259"/>
      <c r="B44" s="260">
        <v>3</v>
      </c>
      <c r="C44" s="260"/>
      <c r="D44" s="260"/>
      <c r="E44" s="260"/>
      <c r="F44" s="260"/>
      <c r="G44" s="260"/>
      <c r="H44" s="440" t="s">
        <v>524</v>
      </c>
      <c r="I44" s="181"/>
      <c r="J44" s="181"/>
      <c r="K44" s="181"/>
      <c r="L44" s="181"/>
      <c r="M44" s="262"/>
      <c r="N44" s="262"/>
      <c r="O44" s="262"/>
      <c r="P44" s="342"/>
      <c r="Q44" s="262"/>
      <c r="R44" s="262"/>
      <c r="S44" s="262"/>
      <c r="T44" s="262">
        <f t="shared" si="28"/>
        <v>100000</v>
      </c>
      <c r="U44" s="262">
        <f t="shared" si="28"/>
        <v>100000</v>
      </c>
      <c r="V44" s="262"/>
      <c r="W44" s="262"/>
      <c r="X44" s="262"/>
      <c r="Y44" s="262"/>
      <c r="Z44" s="262"/>
      <c r="AA44" s="262"/>
      <c r="AB44" s="262"/>
      <c r="AC44" s="262"/>
      <c r="AD44" s="262"/>
      <c r="AE44" s="262"/>
      <c r="AF44" s="262"/>
      <c r="AG44" s="262"/>
      <c r="AH44" s="262"/>
      <c r="AI44" s="262"/>
      <c r="AJ44" s="162" t="b">
        <f t="shared" si="0"/>
        <v>1</v>
      </c>
      <c r="AK44" s="162" t="str">
        <f t="shared" si="1"/>
        <v>PRAZNO</v>
      </c>
      <c r="AL44" s="263"/>
    </row>
    <row r="45" spans="1:39" s="264" customFormat="1" ht="15.75" x14ac:dyDescent="0.2">
      <c r="A45" s="259"/>
      <c r="B45" s="172"/>
      <c r="C45" s="172">
        <v>38</v>
      </c>
      <c r="D45" s="172"/>
      <c r="E45" s="172"/>
      <c r="F45" s="172"/>
      <c r="G45" s="172"/>
      <c r="H45" s="14" t="s">
        <v>539</v>
      </c>
      <c r="I45" s="20"/>
      <c r="J45" s="20"/>
      <c r="K45" s="20"/>
      <c r="L45" s="20"/>
      <c r="M45" s="20"/>
      <c r="N45" s="20"/>
      <c r="O45" s="20"/>
      <c r="P45" s="54"/>
      <c r="Q45" s="20"/>
      <c r="R45" s="20"/>
      <c r="S45" s="20"/>
      <c r="T45" s="20">
        <f t="shared" si="28"/>
        <v>100000</v>
      </c>
      <c r="U45" s="20">
        <f t="shared" si="28"/>
        <v>100000</v>
      </c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162" t="b">
        <f t="shared" si="0"/>
        <v>1</v>
      </c>
      <c r="AK45" s="162" t="str">
        <f t="shared" si="1"/>
        <v>PRAZNO</v>
      </c>
      <c r="AL45" s="263"/>
    </row>
    <row r="46" spans="1:39" ht="15.75" x14ac:dyDescent="0.2">
      <c r="B46" s="177"/>
      <c r="C46" s="177"/>
      <c r="D46" s="177">
        <v>382</v>
      </c>
      <c r="E46" s="177"/>
      <c r="F46" s="177"/>
      <c r="G46" s="177"/>
      <c r="H46" s="16" t="s">
        <v>230</v>
      </c>
      <c r="I46" s="17"/>
      <c r="J46" s="181"/>
      <c r="K46" s="181"/>
      <c r="L46" s="181"/>
      <c r="M46" s="181"/>
      <c r="N46" s="181"/>
      <c r="O46" s="181"/>
      <c r="P46" s="204"/>
      <c r="Q46" s="181"/>
      <c r="R46" s="181"/>
      <c r="S46" s="181"/>
      <c r="T46" s="181">
        <f t="shared" si="28"/>
        <v>100000</v>
      </c>
      <c r="U46" s="181">
        <f t="shared" si="28"/>
        <v>100000</v>
      </c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62" t="b">
        <f t="shared" si="0"/>
        <v>1</v>
      </c>
      <c r="AK46" s="162" t="str">
        <f t="shared" si="1"/>
        <v>PRAZNO</v>
      </c>
      <c r="AM46" s="264"/>
    </row>
    <row r="47" spans="1:39" ht="15.75" x14ac:dyDescent="0.2">
      <c r="B47" s="177"/>
      <c r="C47" s="177"/>
      <c r="D47" s="177"/>
      <c r="E47" s="177">
        <v>3821</v>
      </c>
      <c r="F47" s="177">
        <v>14</v>
      </c>
      <c r="G47" s="177"/>
      <c r="H47" s="16" t="s">
        <v>1020</v>
      </c>
      <c r="I47" s="17"/>
      <c r="J47" s="181"/>
      <c r="K47" s="181"/>
      <c r="L47" s="181"/>
      <c r="M47" s="181"/>
      <c r="N47" s="181"/>
      <c r="O47" s="181"/>
      <c r="P47" s="204"/>
      <c r="Q47" s="181"/>
      <c r="R47" s="181"/>
      <c r="S47" s="181"/>
      <c r="T47" s="181">
        <v>100000</v>
      </c>
      <c r="U47" s="181">
        <v>100000</v>
      </c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62" t="b">
        <f t="shared" si="0"/>
        <v>0</v>
      </c>
      <c r="AK47" s="162" t="str">
        <f t="shared" si="1"/>
        <v>PUNO</v>
      </c>
      <c r="AM47" s="264"/>
    </row>
    <row r="48" spans="1:39" s="264" customFormat="1" ht="31.5" x14ac:dyDescent="0.2">
      <c r="A48" s="259"/>
      <c r="B48" s="168"/>
      <c r="C48" s="168"/>
      <c r="D48" s="168"/>
      <c r="E48" s="168"/>
      <c r="F48" s="168"/>
      <c r="G48" s="168"/>
      <c r="H48" s="13" t="s">
        <v>342</v>
      </c>
      <c r="I48" s="181">
        <f>I50</f>
        <v>500000</v>
      </c>
      <c r="J48" s="181">
        <f>J50</f>
        <v>384146.28</v>
      </c>
      <c r="K48" s="181">
        <f>ROUND(J48/I48*100,2)</f>
        <v>76.83</v>
      </c>
      <c r="L48" s="181">
        <f t="shared" si="4"/>
        <v>-8.0000000016298145E-2</v>
      </c>
      <c r="M48" s="262">
        <f>M50</f>
        <v>499999.92</v>
      </c>
      <c r="N48" s="262">
        <f>N50</f>
        <v>500000</v>
      </c>
      <c r="O48" s="262">
        <f>O50</f>
        <v>374999.94</v>
      </c>
      <c r="P48" s="342">
        <f t="shared" si="13"/>
        <v>15000</v>
      </c>
      <c r="Q48" s="262">
        <f t="shared" ref="Q48:X48" si="29">Q50</f>
        <v>500000</v>
      </c>
      <c r="R48" s="262">
        <f t="shared" si="29"/>
        <v>505000</v>
      </c>
      <c r="S48" s="262">
        <f t="shared" si="29"/>
        <v>510000</v>
      </c>
      <c r="T48" s="342">
        <f t="shared" si="29"/>
        <v>515000</v>
      </c>
      <c r="U48" s="342">
        <f>U50</f>
        <v>514634.04</v>
      </c>
      <c r="V48" s="19">
        <f t="shared" si="29"/>
        <v>515000</v>
      </c>
      <c r="W48" s="19">
        <f t="shared" si="29"/>
        <v>515000</v>
      </c>
      <c r="X48" s="19">
        <f t="shared" si="29"/>
        <v>545000</v>
      </c>
      <c r="Y48" s="19">
        <f>Y50</f>
        <v>0</v>
      </c>
      <c r="Z48" s="19">
        <f t="shared" si="6"/>
        <v>0</v>
      </c>
      <c r="AA48" s="19">
        <f t="shared" si="9"/>
        <v>0</v>
      </c>
      <c r="AB48" s="19">
        <f t="shared" ref="AB48:AI48" si="30">AB50</f>
        <v>515000</v>
      </c>
      <c r="AC48" s="19">
        <f t="shared" si="30"/>
        <v>386067.05</v>
      </c>
      <c r="AD48" s="19">
        <f t="shared" si="7"/>
        <v>74.964475728155335</v>
      </c>
      <c r="AE48" s="19">
        <f t="shared" si="3"/>
        <v>0</v>
      </c>
      <c r="AF48" s="19">
        <f t="shared" si="30"/>
        <v>515000</v>
      </c>
      <c r="AG48" s="19">
        <f t="shared" si="30"/>
        <v>515000</v>
      </c>
      <c r="AH48" s="19">
        <f t="shared" si="30"/>
        <v>515000</v>
      </c>
      <c r="AI48" s="19">
        <f t="shared" si="30"/>
        <v>515000</v>
      </c>
      <c r="AJ48" s="162" t="b">
        <f t="shared" si="0"/>
        <v>1</v>
      </c>
      <c r="AK48" s="162" t="str">
        <f t="shared" si="1"/>
        <v>PRAZNO</v>
      </c>
      <c r="AL48" s="263"/>
    </row>
    <row r="49" spans="1:39" s="264" customFormat="1" ht="15.75" x14ac:dyDescent="0.2">
      <c r="A49" s="259"/>
      <c r="B49" s="260"/>
      <c r="C49" s="260"/>
      <c r="D49" s="260"/>
      <c r="E49" s="260"/>
      <c r="F49" s="260"/>
      <c r="G49" s="260"/>
      <c r="H49" s="440" t="s">
        <v>824</v>
      </c>
      <c r="I49" s="181"/>
      <c r="J49" s="181"/>
      <c r="K49" s="181"/>
      <c r="L49" s="181"/>
      <c r="M49" s="262"/>
      <c r="N49" s="262"/>
      <c r="O49" s="262"/>
      <c r="P49" s="342"/>
      <c r="Q49" s="262"/>
      <c r="R49" s="262"/>
      <c r="S49" s="262"/>
      <c r="T49" s="342"/>
      <c r="U49" s="342"/>
      <c r="V49" s="262">
        <f>V50</f>
        <v>515000</v>
      </c>
      <c r="W49" s="262">
        <f>W50</f>
        <v>515000</v>
      </c>
      <c r="X49" s="262">
        <f>X50</f>
        <v>545000</v>
      </c>
      <c r="Y49" s="262">
        <f>Y50</f>
        <v>0</v>
      </c>
      <c r="Z49" s="262">
        <f t="shared" si="6"/>
        <v>0</v>
      </c>
      <c r="AA49" s="262">
        <f t="shared" si="9"/>
        <v>0</v>
      </c>
      <c r="AB49" s="262">
        <f t="shared" ref="AB49:AI49" si="31">AB50</f>
        <v>515000</v>
      </c>
      <c r="AC49" s="262">
        <f t="shared" si="31"/>
        <v>386067.05</v>
      </c>
      <c r="AD49" s="262">
        <f t="shared" si="7"/>
        <v>74.964475728155335</v>
      </c>
      <c r="AE49" s="262">
        <f t="shared" si="3"/>
        <v>0</v>
      </c>
      <c r="AF49" s="262">
        <f t="shared" si="31"/>
        <v>515000</v>
      </c>
      <c r="AG49" s="262">
        <f t="shared" si="31"/>
        <v>515000</v>
      </c>
      <c r="AH49" s="262">
        <f t="shared" si="31"/>
        <v>515000</v>
      </c>
      <c r="AI49" s="262">
        <f t="shared" si="31"/>
        <v>515000</v>
      </c>
      <c r="AJ49" s="162" t="b">
        <f t="shared" si="0"/>
        <v>1</v>
      </c>
      <c r="AK49" s="162" t="str">
        <f t="shared" si="1"/>
        <v>PRAZNO</v>
      </c>
      <c r="AL49" s="263"/>
    </row>
    <row r="50" spans="1:39" s="264" customFormat="1" ht="15.75" x14ac:dyDescent="0.2">
      <c r="A50" s="259"/>
      <c r="B50" s="172">
        <v>3</v>
      </c>
      <c r="C50" s="172"/>
      <c r="D50" s="172"/>
      <c r="E50" s="172"/>
      <c r="F50" s="172"/>
      <c r="G50" s="172"/>
      <c r="H50" s="14" t="s">
        <v>524</v>
      </c>
      <c r="I50" s="20">
        <f t="shared" ref="I50:AI52" si="32">I51</f>
        <v>500000</v>
      </c>
      <c r="J50" s="20">
        <f t="shared" si="32"/>
        <v>384146.28</v>
      </c>
      <c r="K50" s="20">
        <f>ROUND(J50/I50*100,2)</f>
        <v>76.83</v>
      </c>
      <c r="L50" s="20">
        <f t="shared" si="4"/>
        <v>-8.0000000016298145E-2</v>
      </c>
      <c r="M50" s="20">
        <f t="shared" si="32"/>
        <v>499999.92</v>
      </c>
      <c r="N50" s="20">
        <f t="shared" si="32"/>
        <v>500000</v>
      </c>
      <c r="O50" s="20">
        <f t="shared" si="32"/>
        <v>374999.94</v>
      </c>
      <c r="P50" s="54">
        <f t="shared" si="13"/>
        <v>15000</v>
      </c>
      <c r="Q50" s="20">
        <f t="shared" si="32"/>
        <v>500000</v>
      </c>
      <c r="R50" s="20">
        <f t="shared" si="32"/>
        <v>505000</v>
      </c>
      <c r="S50" s="20">
        <f t="shared" si="32"/>
        <v>510000</v>
      </c>
      <c r="T50" s="55">
        <f t="shared" si="32"/>
        <v>515000</v>
      </c>
      <c r="U50" s="55">
        <f t="shared" si="32"/>
        <v>514634.04</v>
      </c>
      <c r="V50" s="20">
        <f t="shared" si="32"/>
        <v>515000</v>
      </c>
      <c r="W50" s="20">
        <f t="shared" si="32"/>
        <v>515000</v>
      </c>
      <c r="X50" s="20">
        <f t="shared" si="32"/>
        <v>545000</v>
      </c>
      <c r="Y50" s="20">
        <f t="shared" si="32"/>
        <v>0</v>
      </c>
      <c r="Z50" s="20">
        <f t="shared" si="6"/>
        <v>0</v>
      </c>
      <c r="AA50" s="20">
        <f t="shared" si="9"/>
        <v>0</v>
      </c>
      <c r="AB50" s="20">
        <f t="shared" si="32"/>
        <v>515000</v>
      </c>
      <c r="AC50" s="20">
        <f t="shared" si="32"/>
        <v>386067.05</v>
      </c>
      <c r="AD50" s="20">
        <f t="shared" si="7"/>
        <v>74.964475728155335</v>
      </c>
      <c r="AE50" s="20">
        <f t="shared" si="3"/>
        <v>0</v>
      </c>
      <c r="AF50" s="20">
        <f t="shared" si="32"/>
        <v>515000</v>
      </c>
      <c r="AG50" s="20">
        <f t="shared" si="32"/>
        <v>515000</v>
      </c>
      <c r="AH50" s="20">
        <f t="shared" si="32"/>
        <v>515000</v>
      </c>
      <c r="AI50" s="20">
        <f t="shared" si="32"/>
        <v>515000</v>
      </c>
      <c r="AJ50" s="162" t="b">
        <f t="shared" si="0"/>
        <v>1</v>
      </c>
      <c r="AK50" s="162" t="str">
        <f t="shared" si="1"/>
        <v>PRAZNO</v>
      </c>
      <c r="AL50" s="263"/>
    </row>
    <row r="51" spans="1:39" ht="15" customHeight="1" x14ac:dyDescent="0.2">
      <c r="B51" s="175"/>
      <c r="C51" s="175">
        <v>38</v>
      </c>
      <c r="D51" s="175"/>
      <c r="E51" s="175"/>
      <c r="F51" s="175"/>
      <c r="G51" s="175"/>
      <c r="H51" s="23" t="s">
        <v>539</v>
      </c>
      <c r="I51" s="17">
        <f t="shared" si="32"/>
        <v>500000</v>
      </c>
      <c r="J51" s="17">
        <f t="shared" si="32"/>
        <v>384146.28</v>
      </c>
      <c r="K51" s="17">
        <f>ROUND(J51/I51*100,2)</f>
        <v>76.83</v>
      </c>
      <c r="L51" s="17">
        <f t="shared" si="4"/>
        <v>-8.0000000016298145E-2</v>
      </c>
      <c r="M51" s="17">
        <f t="shared" si="32"/>
        <v>499999.92</v>
      </c>
      <c r="N51" s="17">
        <f t="shared" si="32"/>
        <v>500000</v>
      </c>
      <c r="O51" s="17">
        <f t="shared" si="32"/>
        <v>374999.94</v>
      </c>
      <c r="P51" s="204">
        <f t="shared" si="13"/>
        <v>15000</v>
      </c>
      <c r="Q51" s="17">
        <f t="shared" si="32"/>
        <v>500000</v>
      </c>
      <c r="R51" s="17">
        <f t="shared" si="32"/>
        <v>505000</v>
      </c>
      <c r="S51" s="17">
        <f t="shared" si="32"/>
        <v>510000</v>
      </c>
      <c r="T51" s="26">
        <f t="shared" si="32"/>
        <v>515000</v>
      </c>
      <c r="U51" s="26">
        <f t="shared" si="32"/>
        <v>514634.04</v>
      </c>
      <c r="V51" s="17">
        <f t="shared" si="32"/>
        <v>515000</v>
      </c>
      <c r="W51" s="17">
        <f t="shared" si="32"/>
        <v>515000</v>
      </c>
      <c r="X51" s="17">
        <f t="shared" si="32"/>
        <v>545000</v>
      </c>
      <c r="Y51" s="17">
        <f t="shared" si="32"/>
        <v>0</v>
      </c>
      <c r="Z51" s="17">
        <f t="shared" si="6"/>
        <v>0</v>
      </c>
      <c r="AA51" s="17">
        <f t="shared" si="9"/>
        <v>0</v>
      </c>
      <c r="AB51" s="17">
        <f t="shared" si="32"/>
        <v>515000</v>
      </c>
      <c r="AC51" s="17">
        <f t="shared" si="32"/>
        <v>386067.05</v>
      </c>
      <c r="AD51" s="17">
        <f t="shared" si="7"/>
        <v>74.964475728155335</v>
      </c>
      <c r="AE51" s="17">
        <f t="shared" si="3"/>
        <v>0</v>
      </c>
      <c r="AF51" s="17">
        <f t="shared" si="32"/>
        <v>515000</v>
      </c>
      <c r="AG51" s="17">
        <f t="shared" si="32"/>
        <v>515000</v>
      </c>
      <c r="AH51" s="17">
        <f t="shared" si="32"/>
        <v>515000</v>
      </c>
      <c r="AI51" s="17">
        <f t="shared" si="32"/>
        <v>515000</v>
      </c>
      <c r="AJ51" s="162" t="b">
        <f t="shared" si="0"/>
        <v>1</v>
      </c>
      <c r="AK51" s="162" t="str">
        <f t="shared" si="1"/>
        <v>PRAZNO</v>
      </c>
      <c r="AM51" s="264"/>
    </row>
    <row r="52" spans="1:39" ht="15.75" x14ac:dyDescent="0.2">
      <c r="B52" s="177"/>
      <c r="C52" s="177"/>
      <c r="D52" s="177">
        <v>381</v>
      </c>
      <c r="E52" s="177"/>
      <c r="F52" s="177"/>
      <c r="G52" s="177"/>
      <c r="H52" s="16" t="s">
        <v>540</v>
      </c>
      <c r="I52" s="17">
        <f t="shared" si="32"/>
        <v>500000</v>
      </c>
      <c r="J52" s="17">
        <f t="shared" si="32"/>
        <v>384146.28</v>
      </c>
      <c r="K52" s="17">
        <f>ROUND(J52/I52*100,2)</f>
        <v>76.83</v>
      </c>
      <c r="L52" s="17">
        <f t="shared" si="4"/>
        <v>-8.0000000016298145E-2</v>
      </c>
      <c r="M52" s="17">
        <f t="shared" si="32"/>
        <v>499999.92</v>
      </c>
      <c r="N52" s="17">
        <f t="shared" si="32"/>
        <v>500000</v>
      </c>
      <c r="O52" s="17">
        <f t="shared" si="32"/>
        <v>374999.94</v>
      </c>
      <c r="P52" s="204">
        <f t="shared" si="13"/>
        <v>15000</v>
      </c>
      <c r="Q52" s="17">
        <f t="shared" si="32"/>
        <v>500000</v>
      </c>
      <c r="R52" s="17">
        <f t="shared" si="32"/>
        <v>505000</v>
      </c>
      <c r="S52" s="17">
        <f t="shared" si="32"/>
        <v>510000</v>
      </c>
      <c r="T52" s="26">
        <f t="shared" si="32"/>
        <v>515000</v>
      </c>
      <c r="U52" s="26">
        <f t="shared" si="32"/>
        <v>514634.04</v>
      </c>
      <c r="V52" s="17">
        <f t="shared" si="32"/>
        <v>515000</v>
      </c>
      <c r="W52" s="17">
        <f t="shared" si="32"/>
        <v>515000</v>
      </c>
      <c r="X52" s="17">
        <f t="shared" si="32"/>
        <v>545000</v>
      </c>
      <c r="Y52" s="17">
        <f t="shared" si="32"/>
        <v>0</v>
      </c>
      <c r="Z52" s="17">
        <f t="shared" si="6"/>
        <v>0</v>
      </c>
      <c r="AA52" s="17">
        <f t="shared" si="9"/>
        <v>0</v>
      </c>
      <c r="AB52" s="17">
        <f t="shared" si="32"/>
        <v>515000</v>
      </c>
      <c r="AC52" s="17">
        <f t="shared" si="32"/>
        <v>386067.05</v>
      </c>
      <c r="AD52" s="17">
        <f t="shared" si="7"/>
        <v>74.964475728155335</v>
      </c>
      <c r="AE52" s="17">
        <f t="shared" si="3"/>
        <v>0</v>
      </c>
      <c r="AF52" s="17">
        <f t="shared" si="32"/>
        <v>515000</v>
      </c>
      <c r="AG52" s="17">
        <f t="shared" si="32"/>
        <v>515000</v>
      </c>
      <c r="AH52" s="17">
        <f t="shared" si="32"/>
        <v>515000</v>
      </c>
      <c r="AI52" s="17">
        <f t="shared" si="32"/>
        <v>515000</v>
      </c>
      <c r="AJ52" s="162" t="b">
        <f t="shared" si="0"/>
        <v>1</v>
      </c>
      <c r="AK52" s="162" t="str">
        <f t="shared" si="1"/>
        <v>PRAZNO</v>
      </c>
      <c r="AM52" s="264"/>
    </row>
    <row r="53" spans="1:39" ht="15.75" x14ac:dyDescent="0.2">
      <c r="B53" s="177"/>
      <c r="C53" s="177"/>
      <c r="D53" s="177"/>
      <c r="E53" s="177">
        <v>3811</v>
      </c>
      <c r="F53" s="176">
        <v>11</v>
      </c>
      <c r="G53" s="176" t="s">
        <v>527</v>
      </c>
      <c r="H53" s="16" t="s">
        <v>250</v>
      </c>
      <c r="I53" s="18">
        <v>500000</v>
      </c>
      <c r="J53" s="178">
        <v>384146.28</v>
      </c>
      <c r="K53" s="178">
        <f>ROUND(J53/I53*100,2)</f>
        <v>76.83</v>
      </c>
      <c r="L53" s="178">
        <f t="shared" si="4"/>
        <v>-8.0000000016298145E-2</v>
      </c>
      <c r="M53" s="178">
        <v>499999.92</v>
      </c>
      <c r="N53" s="178">
        <v>500000</v>
      </c>
      <c r="O53" s="178">
        <v>374999.94</v>
      </c>
      <c r="P53" s="204">
        <f t="shared" si="13"/>
        <v>15000</v>
      </c>
      <c r="Q53" s="178">
        <v>500000</v>
      </c>
      <c r="R53" s="178">
        <v>505000</v>
      </c>
      <c r="S53" s="178">
        <v>510000</v>
      </c>
      <c r="T53" s="266">
        <v>515000</v>
      </c>
      <c r="U53" s="266">
        <v>514634.04</v>
      </c>
      <c r="V53" s="266">
        <v>515000</v>
      </c>
      <c r="W53" s="266">
        <v>515000</v>
      </c>
      <c r="X53" s="266">
        <v>545000</v>
      </c>
      <c r="Y53" s="266">
        <v>0</v>
      </c>
      <c r="Z53" s="266">
        <f t="shared" si="6"/>
        <v>0</v>
      </c>
      <c r="AA53" s="266">
        <f t="shared" si="9"/>
        <v>0</v>
      </c>
      <c r="AB53" s="266">
        <v>515000</v>
      </c>
      <c r="AC53" s="266">
        <v>386067.05</v>
      </c>
      <c r="AD53" s="266">
        <f t="shared" si="7"/>
        <v>74.964475728155335</v>
      </c>
      <c r="AE53" s="266">
        <f t="shared" si="3"/>
        <v>0</v>
      </c>
      <c r="AF53" s="266">
        <v>515000</v>
      </c>
      <c r="AG53" s="266">
        <v>515000</v>
      </c>
      <c r="AH53" s="266">
        <v>515000</v>
      </c>
      <c r="AI53" s="266">
        <v>515000</v>
      </c>
      <c r="AJ53" s="162" t="b">
        <f t="shared" si="0"/>
        <v>0</v>
      </c>
      <c r="AK53" s="162" t="str">
        <f t="shared" si="1"/>
        <v>PUNO</v>
      </c>
      <c r="AM53" s="264"/>
    </row>
    <row r="54" spans="1:39" s="264" customFormat="1" ht="15.75" x14ac:dyDescent="0.2">
      <c r="A54" s="259"/>
      <c r="B54" s="168"/>
      <c r="C54" s="168"/>
      <c r="D54" s="168"/>
      <c r="E54" s="168"/>
      <c r="F54" s="168"/>
      <c r="G54" s="168"/>
      <c r="H54" s="13" t="s">
        <v>541</v>
      </c>
      <c r="I54" s="181">
        <f>I56</f>
        <v>95000</v>
      </c>
      <c r="J54" s="181">
        <f>J56</f>
        <v>18000</v>
      </c>
      <c r="K54" s="181">
        <f>ROUND(J54/I54*100,2)</f>
        <v>18.95</v>
      </c>
      <c r="L54" s="181">
        <f t="shared" si="4"/>
        <v>-77000</v>
      </c>
      <c r="M54" s="262">
        <f>M56</f>
        <v>18000</v>
      </c>
      <c r="N54" s="262">
        <f>N56</f>
        <v>95000</v>
      </c>
      <c r="O54" s="262">
        <f>O56</f>
        <v>38000</v>
      </c>
      <c r="P54" s="342">
        <f t="shared" si="13"/>
        <v>0</v>
      </c>
      <c r="Q54" s="262">
        <f t="shared" ref="Q54:X54" si="33">Q56</f>
        <v>95000</v>
      </c>
      <c r="R54" s="262">
        <f t="shared" si="33"/>
        <v>96000</v>
      </c>
      <c r="S54" s="262">
        <f t="shared" si="33"/>
        <v>98000</v>
      </c>
      <c r="T54" s="342">
        <f t="shared" si="33"/>
        <v>95000</v>
      </c>
      <c r="U54" s="342">
        <f>U56</f>
        <v>41000</v>
      </c>
      <c r="V54" s="19">
        <f t="shared" si="33"/>
        <v>95000</v>
      </c>
      <c r="W54" s="19">
        <f t="shared" si="33"/>
        <v>95000</v>
      </c>
      <c r="X54" s="19">
        <f t="shared" si="33"/>
        <v>100000</v>
      </c>
      <c r="Y54" s="19">
        <f>Y56</f>
        <v>39000</v>
      </c>
      <c r="Z54" s="19">
        <f t="shared" si="6"/>
        <v>41.05</v>
      </c>
      <c r="AA54" s="19">
        <f t="shared" si="9"/>
        <v>0</v>
      </c>
      <c r="AB54" s="19">
        <f t="shared" ref="AB54:AI54" si="34">AB56</f>
        <v>95000</v>
      </c>
      <c r="AC54" s="19">
        <f t="shared" si="34"/>
        <v>58500</v>
      </c>
      <c r="AD54" s="19">
        <f t="shared" si="7"/>
        <v>61.578947368421055</v>
      </c>
      <c r="AE54" s="19">
        <f t="shared" si="3"/>
        <v>-25000</v>
      </c>
      <c r="AF54" s="19">
        <f t="shared" si="34"/>
        <v>70000</v>
      </c>
      <c r="AG54" s="19">
        <f t="shared" si="34"/>
        <v>95000</v>
      </c>
      <c r="AH54" s="19">
        <f t="shared" si="34"/>
        <v>95000</v>
      </c>
      <c r="AI54" s="19">
        <f t="shared" si="34"/>
        <v>95000</v>
      </c>
      <c r="AJ54" s="162" t="b">
        <f t="shared" si="0"/>
        <v>1</v>
      </c>
      <c r="AK54" s="162" t="str">
        <f t="shared" si="1"/>
        <v>PRAZNO</v>
      </c>
      <c r="AL54" s="263"/>
    </row>
    <row r="55" spans="1:39" s="264" customFormat="1" ht="15.75" x14ac:dyDescent="0.2">
      <c r="A55" s="259"/>
      <c r="B55" s="260"/>
      <c r="C55" s="260"/>
      <c r="D55" s="260"/>
      <c r="E55" s="260"/>
      <c r="F55" s="260"/>
      <c r="G55" s="260"/>
      <c r="H55" s="440" t="s">
        <v>824</v>
      </c>
      <c r="I55" s="181"/>
      <c r="J55" s="181"/>
      <c r="K55" s="181"/>
      <c r="L55" s="181"/>
      <c r="M55" s="262"/>
      <c r="N55" s="262"/>
      <c r="O55" s="262"/>
      <c r="P55" s="342"/>
      <c r="Q55" s="262"/>
      <c r="R55" s="262"/>
      <c r="S55" s="262"/>
      <c r="T55" s="342"/>
      <c r="U55" s="262">
        <f t="shared" ref="U55:AI55" si="35">U56</f>
        <v>41000</v>
      </c>
      <c r="V55" s="262">
        <f t="shared" si="35"/>
        <v>95000</v>
      </c>
      <c r="W55" s="262">
        <f t="shared" si="35"/>
        <v>95000</v>
      </c>
      <c r="X55" s="262">
        <f t="shared" si="35"/>
        <v>100000</v>
      </c>
      <c r="Y55" s="262">
        <f t="shared" si="35"/>
        <v>39000</v>
      </c>
      <c r="Z55" s="262">
        <f t="shared" si="35"/>
        <v>41.05</v>
      </c>
      <c r="AA55" s="262">
        <f t="shared" si="35"/>
        <v>0</v>
      </c>
      <c r="AB55" s="262">
        <f t="shared" si="35"/>
        <v>95000</v>
      </c>
      <c r="AC55" s="262">
        <f t="shared" si="35"/>
        <v>58500</v>
      </c>
      <c r="AD55" s="262">
        <f t="shared" si="7"/>
        <v>61.578947368421055</v>
      </c>
      <c r="AE55" s="262">
        <f t="shared" si="3"/>
        <v>-25000</v>
      </c>
      <c r="AF55" s="262">
        <f t="shared" si="35"/>
        <v>70000</v>
      </c>
      <c r="AG55" s="262">
        <f t="shared" si="35"/>
        <v>95000</v>
      </c>
      <c r="AH55" s="262">
        <f t="shared" si="35"/>
        <v>95000</v>
      </c>
      <c r="AI55" s="262">
        <f t="shared" si="35"/>
        <v>95000</v>
      </c>
      <c r="AJ55" s="162" t="b">
        <f t="shared" si="0"/>
        <v>1</v>
      </c>
      <c r="AK55" s="162" t="str">
        <f t="shared" si="1"/>
        <v>PRAZNO</v>
      </c>
      <c r="AL55" s="263"/>
    </row>
    <row r="56" spans="1:39" s="264" customFormat="1" ht="15.75" x14ac:dyDescent="0.2">
      <c r="A56" s="259"/>
      <c r="B56" s="172">
        <v>3</v>
      </c>
      <c r="C56" s="172"/>
      <c r="D56" s="172"/>
      <c r="E56" s="172"/>
      <c r="F56" s="172"/>
      <c r="G56" s="172"/>
      <c r="H56" s="14" t="s">
        <v>524</v>
      </c>
      <c r="I56" s="20">
        <f t="shared" ref="I56:AI58" si="36">I57</f>
        <v>95000</v>
      </c>
      <c r="J56" s="20">
        <f t="shared" si="36"/>
        <v>18000</v>
      </c>
      <c r="K56" s="20">
        <f>ROUND(J56/I56*100,2)</f>
        <v>18.95</v>
      </c>
      <c r="L56" s="20">
        <f t="shared" si="4"/>
        <v>-77000</v>
      </c>
      <c r="M56" s="20">
        <f t="shared" si="36"/>
        <v>18000</v>
      </c>
      <c r="N56" s="20">
        <f t="shared" si="36"/>
        <v>95000</v>
      </c>
      <c r="O56" s="20">
        <f t="shared" si="36"/>
        <v>38000</v>
      </c>
      <c r="P56" s="54">
        <f t="shared" si="13"/>
        <v>0</v>
      </c>
      <c r="Q56" s="20">
        <f t="shared" si="36"/>
        <v>95000</v>
      </c>
      <c r="R56" s="20">
        <f t="shared" si="36"/>
        <v>96000</v>
      </c>
      <c r="S56" s="20">
        <f t="shared" si="36"/>
        <v>98000</v>
      </c>
      <c r="T56" s="55">
        <f t="shared" si="36"/>
        <v>95000</v>
      </c>
      <c r="U56" s="55">
        <f t="shared" si="36"/>
        <v>41000</v>
      </c>
      <c r="V56" s="20">
        <f t="shared" si="36"/>
        <v>95000</v>
      </c>
      <c r="W56" s="20">
        <f t="shared" si="36"/>
        <v>95000</v>
      </c>
      <c r="X56" s="20">
        <f t="shared" si="36"/>
        <v>100000</v>
      </c>
      <c r="Y56" s="20">
        <f t="shared" si="36"/>
        <v>39000</v>
      </c>
      <c r="Z56" s="20">
        <f t="shared" si="6"/>
        <v>41.05</v>
      </c>
      <c r="AA56" s="20">
        <f t="shared" si="9"/>
        <v>0</v>
      </c>
      <c r="AB56" s="20">
        <f t="shared" si="36"/>
        <v>95000</v>
      </c>
      <c r="AC56" s="20">
        <f t="shared" si="36"/>
        <v>58500</v>
      </c>
      <c r="AD56" s="20">
        <f t="shared" si="7"/>
        <v>61.578947368421055</v>
      </c>
      <c r="AE56" s="20">
        <f t="shared" si="3"/>
        <v>-25000</v>
      </c>
      <c r="AF56" s="20">
        <f t="shared" si="36"/>
        <v>70000</v>
      </c>
      <c r="AG56" s="20">
        <f t="shared" si="36"/>
        <v>95000</v>
      </c>
      <c r="AH56" s="20">
        <f t="shared" si="36"/>
        <v>95000</v>
      </c>
      <c r="AI56" s="20">
        <f t="shared" si="36"/>
        <v>95000</v>
      </c>
      <c r="AJ56" s="162" t="b">
        <f t="shared" si="0"/>
        <v>1</v>
      </c>
      <c r="AK56" s="162" t="str">
        <f t="shared" si="1"/>
        <v>PRAZNO</v>
      </c>
      <c r="AL56" s="263"/>
    </row>
    <row r="57" spans="1:39" ht="15.75" x14ac:dyDescent="0.2">
      <c r="B57" s="177"/>
      <c r="C57" s="177">
        <v>38</v>
      </c>
      <c r="D57" s="177"/>
      <c r="E57" s="177"/>
      <c r="F57" s="177"/>
      <c r="G57" s="177"/>
      <c r="H57" s="16" t="s">
        <v>539</v>
      </c>
      <c r="I57" s="18">
        <f t="shared" si="36"/>
        <v>95000</v>
      </c>
      <c r="J57" s="18">
        <f t="shared" si="36"/>
        <v>18000</v>
      </c>
      <c r="K57" s="18">
        <f>ROUND(J57/I57*100,2)</f>
        <v>18.95</v>
      </c>
      <c r="L57" s="18">
        <f t="shared" si="4"/>
        <v>-77000</v>
      </c>
      <c r="M57" s="18">
        <f t="shared" si="36"/>
        <v>18000</v>
      </c>
      <c r="N57" s="18">
        <f t="shared" si="36"/>
        <v>95000</v>
      </c>
      <c r="O57" s="18">
        <f t="shared" si="36"/>
        <v>38000</v>
      </c>
      <c r="P57" s="204">
        <f t="shared" si="13"/>
        <v>0</v>
      </c>
      <c r="Q57" s="18">
        <f t="shared" si="36"/>
        <v>95000</v>
      </c>
      <c r="R57" s="18">
        <f t="shared" si="36"/>
        <v>96000</v>
      </c>
      <c r="S57" s="18">
        <f t="shared" si="36"/>
        <v>98000</v>
      </c>
      <c r="T57" s="27">
        <f t="shared" si="36"/>
        <v>95000</v>
      </c>
      <c r="U57" s="27">
        <f t="shared" si="36"/>
        <v>41000</v>
      </c>
      <c r="V57" s="18">
        <f t="shared" si="36"/>
        <v>95000</v>
      </c>
      <c r="W57" s="18">
        <f t="shared" si="36"/>
        <v>95000</v>
      </c>
      <c r="X57" s="18">
        <f t="shared" si="36"/>
        <v>100000</v>
      </c>
      <c r="Y57" s="18">
        <f t="shared" si="36"/>
        <v>39000</v>
      </c>
      <c r="Z57" s="18">
        <f t="shared" si="6"/>
        <v>41.05</v>
      </c>
      <c r="AA57" s="18">
        <f t="shared" si="9"/>
        <v>0</v>
      </c>
      <c r="AB57" s="18">
        <f t="shared" si="36"/>
        <v>95000</v>
      </c>
      <c r="AC57" s="18">
        <f t="shared" si="36"/>
        <v>58500</v>
      </c>
      <c r="AD57" s="18">
        <f t="shared" si="7"/>
        <v>61.578947368421055</v>
      </c>
      <c r="AE57" s="18">
        <f t="shared" si="3"/>
        <v>-25000</v>
      </c>
      <c r="AF57" s="18">
        <f t="shared" si="36"/>
        <v>70000</v>
      </c>
      <c r="AG57" s="18">
        <f t="shared" si="36"/>
        <v>95000</v>
      </c>
      <c r="AH57" s="18">
        <f t="shared" si="36"/>
        <v>95000</v>
      </c>
      <c r="AI57" s="18">
        <f t="shared" si="36"/>
        <v>95000</v>
      </c>
      <c r="AJ57" s="162" t="b">
        <f t="shared" si="0"/>
        <v>1</v>
      </c>
      <c r="AK57" s="162" t="str">
        <f t="shared" si="1"/>
        <v>PRAZNO</v>
      </c>
      <c r="AM57" s="264"/>
    </row>
    <row r="58" spans="1:39" ht="15.75" x14ac:dyDescent="0.2">
      <c r="B58" s="177"/>
      <c r="C58" s="177"/>
      <c r="D58" s="177">
        <v>381</v>
      </c>
      <c r="E58" s="177"/>
      <c r="F58" s="177"/>
      <c r="G58" s="177"/>
      <c r="H58" s="16" t="s">
        <v>540</v>
      </c>
      <c r="I58" s="18">
        <f t="shared" si="36"/>
        <v>95000</v>
      </c>
      <c r="J58" s="18">
        <f t="shared" si="36"/>
        <v>18000</v>
      </c>
      <c r="K58" s="18">
        <f>ROUND(J58/I58*100,2)</f>
        <v>18.95</v>
      </c>
      <c r="L58" s="18">
        <f t="shared" si="4"/>
        <v>-77000</v>
      </c>
      <c r="M58" s="18">
        <f t="shared" si="36"/>
        <v>18000</v>
      </c>
      <c r="N58" s="18">
        <f t="shared" si="36"/>
        <v>95000</v>
      </c>
      <c r="O58" s="18">
        <f t="shared" si="36"/>
        <v>38000</v>
      </c>
      <c r="P58" s="204">
        <f t="shared" si="13"/>
        <v>0</v>
      </c>
      <c r="Q58" s="18">
        <f t="shared" si="36"/>
        <v>95000</v>
      </c>
      <c r="R58" s="18">
        <f t="shared" si="36"/>
        <v>96000</v>
      </c>
      <c r="S58" s="18">
        <f t="shared" si="36"/>
        <v>98000</v>
      </c>
      <c r="T58" s="27">
        <f t="shared" si="36"/>
        <v>95000</v>
      </c>
      <c r="U58" s="27">
        <f t="shared" si="36"/>
        <v>41000</v>
      </c>
      <c r="V58" s="18">
        <f t="shared" si="36"/>
        <v>95000</v>
      </c>
      <c r="W58" s="18">
        <f t="shared" si="36"/>
        <v>95000</v>
      </c>
      <c r="X58" s="18">
        <f t="shared" si="36"/>
        <v>100000</v>
      </c>
      <c r="Y58" s="18">
        <f t="shared" si="36"/>
        <v>39000</v>
      </c>
      <c r="Z58" s="18">
        <f t="shared" si="6"/>
        <v>41.05</v>
      </c>
      <c r="AA58" s="18">
        <f t="shared" si="9"/>
        <v>0</v>
      </c>
      <c r="AB58" s="18">
        <f t="shared" si="36"/>
        <v>95000</v>
      </c>
      <c r="AC58" s="18">
        <f t="shared" si="36"/>
        <v>58500</v>
      </c>
      <c r="AD58" s="18">
        <f t="shared" si="7"/>
        <v>61.578947368421055</v>
      </c>
      <c r="AE58" s="18">
        <f t="shared" si="3"/>
        <v>-25000</v>
      </c>
      <c r="AF58" s="18">
        <f t="shared" si="36"/>
        <v>70000</v>
      </c>
      <c r="AG58" s="18">
        <f t="shared" si="36"/>
        <v>95000</v>
      </c>
      <c r="AH58" s="18">
        <f t="shared" si="36"/>
        <v>95000</v>
      </c>
      <c r="AI58" s="18">
        <f t="shared" si="36"/>
        <v>95000</v>
      </c>
      <c r="AJ58" s="162" t="b">
        <f t="shared" si="0"/>
        <v>1</v>
      </c>
      <c r="AK58" s="162" t="str">
        <f t="shared" si="1"/>
        <v>PRAZNO</v>
      </c>
      <c r="AM58" s="264"/>
    </row>
    <row r="59" spans="1:39" ht="15.75" x14ac:dyDescent="0.2">
      <c r="B59" s="177"/>
      <c r="C59" s="177"/>
      <c r="D59" s="177"/>
      <c r="E59" s="177">
        <v>3811</v>
      </c>
      <c r="F59" s="176">
        <v>11</v>
      </c>
      <c r="G59" s="176" t="s">
        <v>527</v>
      </c>
      <c r="H59" s="16" t="s">
        <v>253</v>
      </c>
      <c r="I59" s="18">
        <v>95000</v>
      </c>
      <c r="J59" s="18">
        <v>18000</v>
      </c>
      <c r="K59" s="18">
        <f>ROUND(J59/I59*100,2)</f>
        <v>18.95</v>
      </c>
      <c r="L59" s="18">
        <f t="shared" si="4"/>
        <v>-77000</v>
      </c>
      <c r="M59" s="18">
        <v>18000</v>
      </c>
      <c r="N59" s="18">
        <v>95000</v>
      </c>
      <c r="O59" s="18">
        <v>38000</v>
      </c>
      <c r="P59" s="204">
        <f t="shared" si="13"/>
        <v>0</v>
      </c>
      <c r="Q59" s="18">
        <v>95000</v>
      </c>
      <c r="R59" s="18">
        <v>96000</v>
      </c>
      <c r="S59" s="18">
        <v>98000</v>
      </c>
      <c r="T59" s="27">
        <v>95000</v>
      </c>
      <c r="U59" s="27">
        <v>41000</v>
      </c>
      <c r="V59" s="27">
        <v>95000</v>
      </c>
      <c r="W59" s="27">
        <v>95000</v>
      </c>
      <c r="X59" s="18">
        <v>100000</v>
      </c>
      <c r="Y59" s="27">
        <v>39000</v>
      </c>
      <c r="Z59" s="27">
        <f t="shared" si="6"/>
        <v>41.05</v>
      </c>
      <c r="AA59" s="27">
        <f t="shared" si="9"/>
        <v>0</v>
      </c>
      <c r="AB59" s="27">
        <v>95000</v>
      </c>
      <c r="AC59" s="27">
        <v>58500</v>
      </c>
      <c r="AD59" s="27">
        <f t="shared" si="7"/>
        <v>61.578947368421055</v>
      </c>
      <c r="AE59" s="27">
        <f t="shared" si="3"/>
        <v>-25000</v>
      </c>
      <c r="AF59" s="27">
        <v>70000</v>
      </c>
      <c r="AG59" s="27">
        <v>95000</v>
      </c>
      <c r="AH59" s="27">
        <v>95000</v>
      </c>
      <c r="AI59" s="27">
        <v>95000</v>
      </c>
      <c r="AJ59" s="162" t="b">
        <f t="shared" si="0"/>
        <v>0</v>
      </c>
      <c r="AK59" s="162" t="str">
        <f t="shared" si="1"/>
        <v>PUNO</v>
      </c>
      <c r="AM59" s="264"/>
    </row>
    <row r="60" spans="1:39" s="264" customFormat="1" ht="15.75" x14ac:dyDescent="0.2">
      <c r="A60" s="259"/>
      <c r="B60" s="168"/>
      <c r="C60" s="168"/>
      <c r="D60" s="168"/>
      <c r="E60" s="168"/>
      <c r="F60" s="168"/>
      <c r="G60" s="168"/>
      <c r="H60" s="13" t="s">
        <v>542</v>
      </c>
      <c r="I60" s="181">
        <f>I62</f>
        <v>150000</v>
      </c>
      <c r="J60" s="181">
        <f>J62</f>
        <v>118851</v>
      </c>
      <c r="K60" s="181">
        <f>ROUND(J60/I60*100,2)</f>
        <v>79.23</v>
      </c>
      <c r="L60" s="181">
        <f t="shared" si="4"/>
        <v>-3149</v>
      </c>
      <c r="M60" s="262">
        <f>M62</f>
        <v>146851</v>
      </c>
      <c r="N60" s="262">
        <f>N62</f>
        <v>150000</v>
      </c>
      <c r="O60" s="262">
        <f>O62</f>
        <v>104675</v>
      </c>
      <c r="P60" s="342">
        <f t="shared" si="13"/>
        <v>0</v>
      </c>
      <c r="Q60" s="262">
        <f t="shared" ref="Q60:X60" si="37">Q62</f>
        <v>150000</v>
      </c>
      <c r="R60" s="262">
        <f t="shared" si="37"/>
        <v>151000</v>
      </c>
      <c r="S60" s="262">
        <f t="shared" si="37"/>
        <v>152000</v>
      </c>
      <c r="T60" s="342">
        <f t="shared" si="37"/>
        <v>150000</v>
      </c>
      <c r="U60" s="342">
        <f>U62</f>
        <v>148485</v>
      </c>
      <c r="V60" s="19">
        <f t="shared" si="37"/>
        <v>150000</v>
      </c>
      <c r="W60" s="19">
        <f t="shared" si="37"/>
        <v>150000</v>
      </c>
      <c r="X60" s="19">
        <f t="shared" si="37"/>
        <v>154000</v>
      </c>
      <c r="Y60" s="19">
        <f>Y62</f>
        <v>51900</v>
      </c>
      <c r="Z60" s="19">
        <f t="shared" si="6"/>
        <v>34.6</v>
      </c>
      <c r="AA60" s="19">
        <f t="shared" si="9"/>
        <v>50000</v>
      </c>
      <c r="AB60" s="19">
        <f t="shared" ref="AB60:AI60" si="38">AB62</f>
        <v>200000</v>
      </c>
      <c r="AC60" s="19">
        <f t="shared" si="38"/>
        <v>96900</v>
      </c>
      <c r="AD60" s="19">
        <f t="shared" si="7"/>
        <v>48.449999999999996</v>
      </c>
      <c r="AE60" s="19">
        <f t="shared" si="3"/>
        <v>0</v>
      </c>
      <c r="AF60" s="19">
        <f t="shared" si="38"/>
        <v>200000</v>
      </c>
      <c r="AG60" s="19">
        <f t="shared" si="38"/>
        <v>200000</v>
      </c>
      <c r="AH60" s="19">
        <f t="shared" si="38"/>
        <v>200000</v>
      </c>
      <c r="AI60" s="19">
        <f t="shared" si="38"/>
        <v>200000</v>
      </c>
      <c r="AJ60" s="162" t="b">
        <f t="shared" si="0"/>
        <v>1</v>
      </c>
      <c r="AK60" s="162" t="str">
        <f t="shared" si="1"/>
        <v>PRAZNO</v>
      </c>
      <c r="AL60" s="263"/>
    </row>
    <row r="61" spans="1:39" s="264" customFormat="1" ht="15.75" x14ac:dyDescent="0.2">
      <c r="A61" s="259"/>
      <c r="B61" s="260"/>
      <c r="C61" s="260"/>
      <c r="D61" s="260"/>
      <c r="E61" s="260"/>
      <c r="F61" s="260"/>
      <c r="G61" s="260"/>
      <c r="H61" s="440" t="s">
        <v>824</v>
      </c>
      <c r="I61" s="181"/>
      <c r="J61" s="181"/>
      <c r="K61" s="181"/>
      <c r="L61" s="181"/>
      <c r="M61" s="262"/>
      <c r="N61" s="262"/>
      <c r="O61" s="262"/>
      <c r="P61" s="342"/>
      <c r="Q61" s="262"/>
      <c r="R61" s="262"/>
      <c r="S61" s="262"/>
      <c r="T61" s="342"/>
      <c r="U61" s="262">
        <f t="shared" ref="U61:AI61" si="39">U62</f>
        <v>148485</v>
      </c>
      <c r="V61" s="262">
        <f t="shared" si="39"/>
        <v>150000</v>
      </c>
      <c r="W61" s="262">
        <f t="shared" si="39"/>
        <v>150000</v>
      </c>
      <c r="X61" s="262">
        <f t="shared" si="39"/>
        <v>154000</v>
      </c>
      <c r="Y61" s="262">
        <f t="shared" si="39"/>
        <v>51900</v>
      </c>
      <c r="Z61" s="262">
        <f t="shared" si="39"/>
        <v>34.6</v>
      </c>
      <c r="AA61" s="262">
        <f t="shared" si="39"/>
        <v>50000</v>
      </c>
      <c r="AB61" s="262">
        <f t="shared" si="39"/>
        <v>200000</v>
      </c>
      <c r="AC61" s="262">
        <f t="shared" si="39"/>
        <v>96900</v>
      </c>
      <c r="AD61" s="262">
        <f t="shared" si="7"/>
        <v>48.449999999999996</v>
      </c>
      <c r="AE61" s="262">
        <f t="shared" si="3"/>
        <v>0</v>
      </c>
      <c r="AF61" s="262">
        <f t="shared" si="39"/>
        <v>200000</v>
      </c>
      <c r="AG61" s="262">
        <f t="shared" si="39"/>
        <v>200000</v>
      </c>
      <c r="AH61" s="262">
        <f t="shared" si="39"/>
        <v>200000</v>
      </c>
      <c r="AI61" s="262">
        <f t="shared" si="39"/>
        <v>200000</v>
      </c>
      <c r="AJ61" s="162" t="b">
        <f t="shared" si="0"/>
        <v>1</v>
      </c>
      <c r="AK61" s="162" t="str">
        <f t="shared" si="1"/>
        <v>PRAZNO</v>
      </c>
      <c r="AL61" s="263"/>
    </row>
    <row r="62" spans="1:39" s="264" customFormat="1" ht="15.75" x14ac:dyDescent="0.2">
      <c r="A62" s="259"/>
      <c r="B62" s="172">
        <v>3</v>
      </c>
      <c r="C62" s="172"/>
      <c r="D62" s="172"/>
      <c r="E62" s="172"/>
      <c r="F62" s="172"/>
      <c r="G62" s="172"/>
      <c r="H62" s="14" t="s">
        <v>524</v>
      </c>
      <c r="I62" s="181">
        <f t="shared" ref="I62:AI64" si="40">I63</f>
        <v>150000</v>
      </c>
      <c r="J62" s="181">
        <f t="shared" si="40"/>
        <v>118851</v>
      </c>
      <c r="K62" s="181">
        <f>ROUND(J62/I62*100,2)</f>
        <v>79.23</v>
      </c>
      <c r="L62" s="181">
        <f t="shared" si="4"/>
        <v>-3149</v>
      </c>
      <c r="M62" s="181">
        <f t="shared" si="40"/>
        <v>146851</v>
      </c>
      <c r="N62" s="181">
        <f t="shared" si="40"/>
        <v>150000</v>
      </c>
      <c r="O62" s="181">
        <f t="shared" si="40"/>
        <v>104675</v>
      </c>
      <c r="P62" s="343">
        <f t="shared" si="13"/>
        <v>0</v>
      </c>
      <c r="Q62" s="181">
        <f t="shared" si="40"/>
        <v>150000</v>
      </c>
      <c r="R62" s="181">
        <f t="shared" si="40"/>
        <v>151000</v>
      </c>
      <c r="S62" s="181">
        <f t="shared" si="40"/>
        <v>152000</v>
      </c>
      <c r="T62" s="307">
        <f t="shared" si="40"/>
        <v>150000</v>
      </c>
      <c r="U62" s="307">
        <f t="shared" si="40"/>
        <v>148485</v>
      </c>
      <c r="V62" s="20">
        <f t="shared" si="40"/>
        <v>150000</v>
      </c>
      <c r="W62" s="20">
        <f t="shared" si="40"/>
        <v>150000</v>
      </c>
      <c r="X62" s="20">
        <f t="shared" si="40"/>
        <v>154000</v>
      </c>
      <c r="Y62" s="20">
        <f t="shared" si="40"/>
        <v>51900</v>
      </c>
      <c r="Z62" s="20">
        <f t="shared" si="6"/>
        <v>34.6</v>
      </c>
      <c r="AA62" s="20">
        <f t="shared" si="9"/>
        <v>50000</v>
      </c>
      <c r="AB62" s="20">
        <f t="shared" si="40"/>
        <v>200000</v>
      </c>
      <c r="AC62" s="20">
        <f t="shared" si="40"/>
        <v>96900</v>
      </c>
      <c r="AD62" s="20">
        <f t="shared" si="7"/>
        <v>48.449999999999996</v>
      </c>
      <c r="AE62" s="20">
        <f t="shared" si="3"/>
        <v>0</v>
      </c>
      <c r="AF62" s="20">
        <f t="shared" si="40"/>
        <v>200000</v>
      </c>
      <c r="AG62" s="20">
        <f t="shared" si="40"/>
        <v>200000</v>
      </c>
      <c r="AH62" s="20">
        <f t="shared" si="40"/>
        <v>200000</v>
      </c>
      <c r="AI62" s="20">
        <f t="shared" si="40"/>
        <v>200000</v>
      </c>
      <c r="AJ62" s="162" t="b">
        <f t="shared" si="0"/>
        <v>1</v>
      </c>
      <c r="AK62" s="162" t="str">
        <f t="shared" si="1"/>
        <v>PRAZNO</v>
      </c>
      <c r="AL62" s="263"/>
    </row>
    <row r="63" spans="1:39" ht="15.75" x14ac:dyDescent="0.2">
      <c r="B63" s="177"/>
      <c r="C63" s="177">
        <v>38</v>
      </c>
      <c r="D63" s="177"/>
      <c r="E63" s="177"/>
      <c r="F63" s="177"/>
      <c r="G63" s="177"/>
      <c r="H63" s="16" t="s">
        <v>539</v>
      </c>
      <c r="I63" s="17">
        <f t="shared" si="40"/>
        <v>150000</v>
      </c>
      <c r="J63" s="17">
        <f t="shared" si="40"/>
        <v>118851</v>
      </c>
      <c r="K63" s="17">
        <f>ROUND(J63/I63*100,2)</f>
        <v>79.23</v>
      </c>
      <c r="L63" s="17">
        <f t="shared" si="4"/>
        <v>-3149</v>
      </c>
      <c r="M63" s="17">
        <f t="shared" si="40"/>
        <v>146851</v>
      </c>
      <c r="N63" s="17">
        <f t="shared" si="40"/>
        <v>150000</v>
      </c>
      <c r="O63" s="17">
        <f t="shared" si="40"/>
        <v>104675</v>
      </c>
      <c r="P63" s="204">
        <f t="shared" si="13"/>
        <v>0</v>
      </c>
      <c r="Q63" s="17">
        <f t="shared" si="40"/>
        <v>150000</v>
      </c>
      <c r="R63" s="17">
        <f t="shared" si="40"/>
        <v>151000</v>
      </c>
      <c r="S63" s="17">
        <f t="shared" si="40"/>
        <v>152000</v>
      </c>
      <c r="T63" s="26">
        <f t="shared" si="40"/>
        <v>150000</v>
      </c>
      <c r="U63" s="26">
        <f t="shared" si="40"/>
        <v>148485</v>
      </c>
      <c r="V63" s="17">
        <f t="shared" si="40"/>
        <v>150000</v>
      </c>
      <c r="W63" s="17">
        <f t="shared" si="40"/>
        <v>150000</v>
      </c>
      <c r="X63" s="17">
        <f t="shared" si="40"/>
        <v>154000</v>
      </c>
      <c r="Y63" s="17">
        <f t="shared" si="40"/>
        <v>51900</v>
      </c>
      <c r="Z63" s="17">
        <f t="shared" si="6"/>
        <v>34.6</v>
      </c>
      <c r="AA63" s="17">
        <f t="shared" si="9"/>
        <v>50000</v>
      </c>
      <c r="AB63" s="17">
        <f t="shared" si="40"/>
        <v>200000</v>
      </c>
      <c r="AC63" s="17">
        <f t="shared" si="40"/>
        <v>96900</v>
      </c>
      <c r="AD63" s="17">
        <f t="shared" si="7"/>
        <v>48.449999999999996</v>
      </c>
      <c r="AE63" s="17">
        <f t="shared" si="3"/>
        <v>0</v>
      </c>
      <c r="AF63" s="17">
        <f t="shared" si="40"/>
        <v>200000</v>
      </c>
      <c r="AG63" s="17">
        <f t="shared" si="40"/>
        <v>200000</v>
      </c>
      <c r="AH63" s="17">
        <f t="shared" si="40"/>
        <v>200000</v>
      </c>
      <c r="AI63" s="17">
        <f t="shared" si="40"/>
        <v>200000</v>
      </c>
      <c r="AJ63" s="162" t="b">
        <f t="shared" si="0"/>
        <v>1</v>
      </c>
      <c r="AK63" s="162" t="str">
        <f t="shared" si="1"/>
        <v>PRAZNO</v>
      </c>
      <c r="AM63" s="264"/>
    </row>
    <row r="64" spans="1:39" ht="15.75" x14ac:dyDescent="0.2">
      <c r="B64" s="177"/>
      <c r="C64" s="177"/>
      <c r="D64" s="177">
        <v>381</v>
      </c>
      <c r="E64" s="177"/>
      <c r="F64" s="177"/>
      <c r="G64" s="177"/>
      <c r="H64" s="16" t="s">
        <v>540</v>
      </c>
      <c r="I64" s="18">
        <f t="shared" si="40"/>
        <v>150000</v>
      </c>
      <c r="J64" s="18">
        <f t="shared" si="40"/>
        <v>118851</v>
      </c>
      <c r="K64" s="18">
        <f>ROUND(J64/I64*100,2)</f>
        <v>79.23</v>
      </c>
      <c r="L64" s="18">
        <f t="shared" si="4"/>
        <v>-3149</v>
      </c>
      <c r="M64" s="18">
        <f t="shared" si="40"/>
        <v>146851</v>
      </c>
      <c r="N64" s="18">
        <f t="shared" si="40"/>
        <v>150000</v>
      </c>
      <c r="O64" s="18">
        <f t="shared" si="40"/>
        <v>104675</v>
      </c>
      <c r="P64" s="204">
        <f t="shared" si="13"/>
        <v>0</v>
      </c>
      <c r="Q64" s="18">
        <f t="shared" si="40"/>
        <v>150000</v>
      </c>
      <c r="R64" s="18">
        <f t="shared" si="40"/>
        <v>151000</v>
      </c>
      <c r="S64" s="18">
        <f t="shared" si="40"/>
        <v>152000</v>
      </c>
      <c r="T64" s="27">
        <f t="shared" si="40"/>
        <v>150000</v>
      </c>
      <c r="U64" s="27">
        <f t="shared" si="40"/>
        <v>148485</v>
      </c>
      <c r="V64" s="18">
        <f t="shared" si="40"/>
        <v>150000</v>
      </c>
      <c r="W64" s="18">
        <f t="shared" si="40"/>
        <v>150000</v>
      </c>
      <c r="X64" s="18">
        <f t="shared" si="40"/>
        <v>154000</v>
      </c>
      <c r="Y64" s="18">
        <f t="shared" si="40"/>
        <v>51900</v>
      </c>
      <c r="Z64" s="18">
        <f t="shared" si="6"/>
        <v>34.6</v>
      </c>
      <c r="AA64" s="18">
        <f t="shared" si="9"/>
        <v>50000</v>
      </c>
      <c r="AB64" s="18">
        <f t="shared" si="40"/>
        <v>200000</v>
      </c>
      <c r="AC64" s="18">
        <f t="shared" si="40"/>
        <v>96900</v>
      </c>
      <c r="AD64" s="18">
        <f t="shared" si="7"/>
        <v>48.449999999999996</v>
      </c>
      <c r="AE64" s="18">
        <f t="shared" si="3"/>
        <v>0</v>
      </c>
      <c r="AF64" s="18">
        <f t="shared" si="40"/>
        <v>200000</v>
      </c>
      <c r="AG64" s="18">
        <f t="shared" si="40"/>
        <v>200000</v>
      </c>
      <c r="AH64" s="18">
        <f t="shared" si="40"/>
        <v>200000</v>
      </c>
      <c r="AI64" s="18">
        <f t="shared" si="40"/>
        <v>200000</v>
      </c>
      <c r="AJ64" s="162" t="b">
        <f t="shared" si="0"/>
        <v>1</v>
      </c>
      <c r="AK64" s="162" t="str">
        <f t="shared" si="1"/>
        <v>PRAZNO</v>
      </c>
      <c r="AM64" s="264"/>
    </row>
    <row r="65" spans="1:39" ht="15.75" x14ac:dyDescent="0.2">
      <c r="B65" s="177"/>
      <c r="C65" s="177"/>
      <c r="D65" s="177"/>
      <c r="E65" s="177">
        <v>3811</v>
      </c>
      <c r="F65" s="176">
        <v>11</v>
      </c>
      <c r="G65" s="176" t="s">
        <v>527</v>
      </c>
      <c r="H65" s="16" t="s">
        <v>254</v>
      </c>
      <c r="I65" s="18">
        <v>150000</v>
      </c>
      <c r="J65" s="178">
        <v>118851</v>
      </c>
      <c r="K65" s="178">
        <f>ROUND(J65/I65*100,2)</f>
        <v>79.23</v>
      </c>
      <c r="L65" s="178">
        <f t="shared" si="4"/>
        <v>-3149</v>
      </c>
      <c r="M65" s="178">
        <v>146851</v>
      </c>
      <c r="N65" s="178">
        <v>150000</v>
      </c>
      <c r="O65" s="178">
        <v>104675</v>
      </c>
      <c r="P65" s="204">
        <f t="shared" si="13"/>
        <v>0</v>
      </c>
      <c r="Q65" s="178">
        <v>150000</v>
      </c>
      <c r="R65" s="178">
        <v>151000</v>
      </c>
      <c r="S65" s="178">
        <v>152000</v>
      </c>
      <c r="T65" s="266">
        <v>150000</v>
      </c>
      <c r="U65" s="266">
        <v>148485</v>
      </c>
      <c r="V65" s="266">
        <v>150000</v>
      </c>
      <c r="W65" s="266">
        <v>150000</v>
      </c>
      <c r="X65" s="178">
        <v>154000</v>
      </c>
      <c r="Y65" s="266">
        <v>51900</v>
      </c>
      <c r="Z65" s="266">
        <f t="shared" si="6"/>
        <v>34.6</v>
      </c>
      <c r="AA65" s="266">
        <f t="shared" si="9"/>
        <v>50000</v>
      </c>
      <c r="AB65" s="266">
        <f>150000+50000</f>
        <v>200000</v>
      </c>
      <c r="AC65" s="266">
        <v>96900</v>
      </c>
      <c r="AD65" s="266">
        <f t="shared" si="7"/>
        <v>48.449999999999996</v>
      </c>
      <c r="AE65" s="266">
        <f t="shared" si="3"/>
        <v>0</v>
      </c>
      <c r="AF65" s="266">
        <f>150000+50000</f>
        <v>200000</v>
      </c>
      <c r="AG65" s="266">
        <f>150000+50000</f>
        <v>200000</v>
      </c>
      <c r="AH65" s="266">
        <f>150000+50000</f>
        <v>200000</v>
      </c>
      <c r="AI65" s="266">
        <f>150000+50000</f>
        <v>200000</v>
      </c>
      <c r="AJ65" s="162" t="b">
        <f t="shared" si="0"/>
        <v>0</v>
      </c>
      <c r="AK65" s="162" t="str">
        <f t="shared" si="1"/>
        <v>PUNO</v>
      </c>
      <c r="AM65" s="264"/>
    </row>
    <row r="66" spans="1:39" s="264" customFormat="1" ht="15.75" x14ac:dyDescent="0.2">
      <c r="A66" s="259"/>
      <c r="B66" s="168"/>
      <c r="C66" s="168"/>
      <c r="D66" s="168"/>
      <c r="E66" s="168"/>
      <c r="F66" s="168"/>
      <c r="G66" s="168"/>
      <c r="H66" s="13" t="s">
        <v>544</v>
      </c>
      <c r="I66" s="181">
        <f>I68</f>
        <v>350000</v>
      </c>
      <c r="J66" s="181">
        <f>J68</f>
        <v>0</v>
      </c>
      <c r="K66" s="181">
        <f>ROUND(J66/I66*100,2)</f>
        <v>0</v>
      </c>
      <c r="L66" s="181">
        <f t="shared" si="4"/>
        <v>-350000</v>
      </c>
      <c r="M66" s="262">
        <f>M68</f>
        <v>0</v>
      </c>
      <c r="N66" s="262">
        <f>N68</f>
        <v>350000</v>
      </c>
      <c r="O66" s="262">
        <f>O68</f>
        <v>0</v>
      </c>
      <c r="P66" s="342">
        <f t="shared" si="13"/>
        <v>0</v>
      </c>
      <c r="Q66" s="262">
        <f t="shared" ref="Q66:X66" si="41">Q68</f>
        <v>350000</v>
      </c>
      <c r="R66" s="262">
        <f t="shared" si="41"/>
        <v>360000</v>
      </c>
      <c r="S66" s="262">
        <f t="shared" si="41"/>
        <v>370000</v>
      </c>
      <c r="T66" s="342">
        <f t="shared" si="41"/>
        <v>350000</v>
      </c>
      <c r="U66" s="342">
        <f>U68</f>
        <v>0</v>
      </c>
      <c r="V66" s="19">
        <f t="shared" si="41"/>
        <v>350000</v>
      </c>
      <c r="W66" s="19">
        <f t="shared" si="41"/>
        <v>350000</v>
      </c>
      <c r="X66" s="19">
        <f t="shared" si="41"/>
        <v>355000</v>
      </c>
      <c r="Y66" s="19">
        <f>Y68</f>
        <v>0</v>
      </c>
      <c r="Z66" s="19">
        <f t="shared" si="6"/>
        <v>0</v>
      </c>
      <c r="AA66" s="19">
        <f t="shared" si="9"/>
        <v>0</v>
      </c>
      <c r="AB66" s="19">
        <f t="shared" ref="AB66:AI66" si="42">AB68</f>
        <v>350000</v>
      </c>
      <c r="AC66" s="19">
        <f t="shared" si="42"/>
        <v>0</v>
      </c>
      <c r="AD66" s="19">
        <f t="shared" si="7"/>
        <v>0</v>
      </c>
      <c r="AE66" s="19">
        <f t="shared" si="3"/>
        <v>0</v>
      </c>
      <c r="AF66" s="19">
        <f t="shared" si="42"/>
        <v>350000</v>
      </c>
      <c r="AG66" s="19">
        <f t="shared" si="42"/>
        <v>350000</v>
      </c>
      <c r="AH66" s="19">
        <f t="shared" si="42"/>
        <v>350000</v>
      </c>
      <c r="AI66" s="19">
        <f t="shared" si="42"/>
        <v>350000</v>
      </c>
      <c r="AJ66" s="162" t="b">
        <f t="shared" si="0"/>
        <v>1</v>
      </c>
      <c r="AK66" s="162" t="str">
        <f t="shared" si="1"/>
        <v>PRAZNO</v>
      </c>
      <c r="AL66" s="263"/>
    </row>
    <row r="67" spans="1:39" s="264" customFormat="1" ht="15.75" x14ac:dyDescent="0.2">
      <c r="A67" s="259"/>
      <c r="B67" s="260"/>
      <c r="C67" s="260"/>
      <c r="D67" s="260"/>
      <c r="E67" s="260"/>
      <c r="F67" s="260"/>
      <c r="G67" s="260"/>
      <c r="H67" s="440" t="s">
        <v>824</v>
      </c>
      <c r="I67" s="181"/>
      <c r="J67" s="181"/>
      <c r="K67" s="181"/>
      <c r="L67" s="181"/>
      <c r="M67" s="262"/>
      <c r="N67" s="262"/>
      <c r="O67" s="262"/>
      <c r="P67" s="342"/>
      <c r="Q67" s="262"/>
      <c r="R67" s="262"/>
      <c r="S67" s="262"/>
      <c r="T67" s="342"/>
      <c r="U67" s="342"/>
      <c r="V67" s="262">
        <f>V68</f>
        <v>350000</v>
      </c>
      <c r="W67" s="262">
        <f>W68</f>
        <v>350000</v>
      </c>
      <c r="X67" s="262">
        <f>X68</f>
        <v>355000</v>
      </c>
      <c r="Y67" s="262">
        <f>Y68</f>
        <v>0</v>
      </c>
      <c r="Z67" s="262">
        <f t="shared" si="6"/>
        <v>0</v>
      </c>
      <c r="AA67" s="262">
        <f t="shared" si="9"/>
        <v>0</v>
      </c>
      <c r="AB67" s="262">
        <f t="shared" ref="AB67:AI67" si="43">AB68</f>
        <v>350000</v>
      </c>
      <c r="AC67" s="262">
        <f t="shared" si="43"/>
        <v>0</v>
      </c>
      <c r="AD67" s="262">
        <f t="shared" si="7"/>
        <v>0</v>
      </c>
      <c r="AE67" s="262">
        <f t="shared" si="3"/>
        <v>0</v>
      </c>
      <c r="AF67" s="262">
        <f t="shared" si="43"/>
        <v>350000</v>
      </c>
      <c r="AG67" s="262">
        <f t="shared" si="43"/>
        <v>350000</v>
      </c>
      <c r="AH67" s="262">
        <f t="shared" si="43"/>
        <v>350000</v>
      </c>
      <c r="AI67" s="262">
        <f t="shared" si="43"/>
        <v>350000</v>
      </c>
      <c r="AJ67" s="162" t="b">
        <f t="shared" si="0"/>
        <v>1</v>
      </c>
      <c r="AK67" s="162" t="str">
        <f t="shared" si="1"/>
        <v>PRAZNO</v>
      </c>
      <c r="AL67" s="263"/>
    </row>
    <row r="68" spans="1:39" s="264" customFormat="1" ht="15.75" x14ac:dyDescent="0.2">
      <c r="A68" s="259"/>
      <c r="B68" s="172">
        <v>3</v>
      </c>
      <c r="C68" s="172"/>
      <c r="D68" s="172"/>
      <c r="E68" s="172"/>
      <c r="F68" s="172"/>
      <c r="G68" s="172"/>
      <c r="H68" s="14" t="s">
        <v>524</v>
      </c>
      <c r="I68" s="20">
        <f t="shared" ref="I68:AI70" si="44">I69</f>
        <v>350000</v>
      </c>
      <c r="J68" s="20">
        <f t="shared" si="44"/>
        <v>0</v>
      </c>
      <c r="K68" s="20">
        <f>ROUND(J68/I68*100,2)</f>
        <v>0</v>
      </c>
      <c r="L68" s="20">
        <f t="shared" si="4"/>
        <v>-350000</v>
      </c>
      <c r="M68" s="20">
        <f t="shared" si="44"/>
        <v>0</v>
      </c>
      <c r="N68" s="20">
        <f t="shared" si="44"/>
        <v>350000</v>
      </c>
      <c r="O68" s="20">
        <f t="shared" si="44"/>
        <v>0</v>
      </c>
      <c r="P68" s="54">
        <f t="shared" si="13"/>
        <v>0</v>
      </c>
      <c r="Q68" s="20">
        <f t="shared" si="44"/>
        <v>350000</v>
      </c>
      <c r="R68" s="20">
        <f t="shared" si="44"/>
        <v>360000</v>
      </c>
      <c r="S68" s="20">
        <f t="shared" si="44"/>
        <v>370000</v>
      </c>
      <c r="T68" s="55">
        <f t="shared" si="44"/>
        <v>350000</v>
      </c>
      <c r="U68" s="55">
        <f t="shared" si="44"/>
        <v>0</v>
      </c>
      <c r="V68" s="20">
        <f t="shared" si="44"/>
        <v>350000</v>
      </c>
      <c r="W68" s="20">
        <f t="shared" si="44"/>
        <v>350000</v>
      </c>
      <c r="X68" s="20">
        <f t="shared" si="44"/>
        <v>355000</v>
      </c>
      <c r="Y68" s="20">
        <f t="shared" si="44"/>
        <v>0</v>
      </c>
      <c r="Z68" s="20">
        <f t="shared" si="6"/>
        <v>0</v>
      </c>
      <c r="AA68" s="20">
        <f t="shared" si="9"/>
        <v>0</v>
      </c>
      <c r="AB68" s="20">
        <f t="shared" si="44"/>
        <v>350000</v>
      </c>
      <c r="AC68" s="20">
        <f t="shared" si="44"/>
        <v>0</v>
      </c>
      <c r="AD68" s="20">
        <f t="shared" si="7"/>
        <v>0</v>
      </c>
      <c r="AE68" s="20">
        <f t="shared" si="3"/>
        <v>0</v>
      </c>
      <c r="AF68" s="20">
        <f t="shared" si="44"/>
        <v>350000</v>
      </c>
      <c r="AG68" s="20">
        <f t="shared" si="44"/>
        <v>350000</v>
      </c>
      <c r="AH68" s="20">
        <f t="shared" si="44"/>
        <v>350000</v>
      </c>
      <c r="AI68" s="20">
        <f t="shared" si="44"/>
        <v>350000</v>
      </c>
      <c r="AJ68" s="162" t="b">
        <f t="shared" si="0"/>
        <v>1</v>
      </c>
      <c r="AK68" s="162" t="str">
        <f t="shared" si="1"/>
        <v>PRAZNO</v>
      </c>
      <c r="AL68" s="263"/>
    </row>
    <row r="69" spans="1:39" ht="15.75" customHeight="1" x14ac:dyDescent="0.2">
      <c r="B69" s="177"/>
      <c r="C69" s="177">
        <v>38</v>
      </c>
      <c r="D69" s="177"/>
      <c r="E69" s="177"/>
      <c r="F69" s="177"/>
      <c r="G69" s="177"/>
      <c r="H69" s="16" t="s">
        <v>539</v>
      </c>
      <c r="I69" s="17">
        <f t="shared" si="44"/>
        <v>350000</v>
      </c>
      <c r="J69" s="17">
        <f t="shared" si="44"/>
        <v>0</v>
      </c>
      <c r="K69" s="17">
        <f>ROUND(J69/I69*100,2)</f>
        <v>0</v>
      </c>
      <c r="L69" s="17">
        <f t="shared" si="4"/>
        <v>-350000</v>
      </c>
      <c r="M69" s="17">
        <f t="shared" si="44"/>
        <v>0</v>
      </c>
      <c r="N69" s="17">
        <f t="shared" si="44"/>
        <v>350000</v>
      </c>
      <c r="O69" s="17">
        <f t="shared" si="44"/>
        <v>0</v>
      </c>
      <c r="P69" s="204">
        <f t="shared" si="13"/>
        <v>0</v>
      </c>
      <c r="Q69" s="17">
        <f t="shared" si="44"/>
        <v>350000</v>
      </c>
      <c r="R69" s="17">
        <f t="shared" si="44"/>
        <v>360000</v>
      </c>
      <c r="S69" s="17">
        <f t="shared" si="44"/>
        <v>370000</v>
      </c>
      <c r="T69" s="26">
        <f t="shared" si="44"/>
        <v>350000</v>
      </c>
      <c r="U69" s="26">
        <f t="shared" si="44"/>
        <v>0</v>
      </c>
      <c r="V69" s="17">
        <f t="shared" si="44"/>
        <v>350000</v>
      </c>
      <c r="W69" s="17">
        <f t="shared" si="44"/>
        <v>350000</v>
      </c>
      <c r="X69" s="17">
        <f t="shared" si="44"/>
        <v>355000</v>
      </c>
      <c r="Y69" s="17">
        <f t="shared" si="44"/>
        <v>0</v>
      </c>
      <c r="Z69" s="17">
        <f t="shared" si="6"/>
        <v>0</v>
      </c>
      <c r="AA69" s="17">
        <f t="shared" si="9"/>
        <v>0</v>
      </c>
      <c r="AB69" s="17">
        <f t="shared" si="44"/>
        <v>350000</v>
      </c>
      <c r="AC69" s="17">
        <f t="shared" si="44"/>
        <v>0</v>
      </c>
      <c r="AD69" s="17">
        <f t="shared" si="7"/>
        <v>0</v>
      </c>
      <c r="AE69" s="17">
        <f t="shared" si="3"/>
        <v>0</v>
      </c>
      <c r="AF69" s="17">
        <f t="shared" si="44"/>
        <v>350000</v>
      </c>
      <c r="AG69" s="17">
        <f t="shared" si="44"/>
        <v>350000</v>
      </c>
      <c r="AH69" s="17">
        <f t="shared" si="44"/>
        <v>350000</v>
      </c>
      <c r="AI69" s="17">
        <f t="shared" si="44"/>
        <v>350000</v>
      </c>
      <c r="AJ69" s="162" t="b">
        <f t="shared" si="0"/>
        <v>1</v>
      </c>
      <c r="AK69" s="162" t="str">
        <f t="shared" si="1"/>
        <v>PRAZNO</v>
      </c>
      <c r="AM69" s="264"/>
    </row>
    <row r="70" spans="1:39" ht="15.75" x14ac:dyDescent="0.2">
      <c r="B70" s="177"/>
      <c r="C70" s="177"/>
      <c r="D70" s="177">
        <v>385</v>
      </c>
      <c r="E70" s="177"/>
      <c r="F70" s="177"/>
      <c r="G70" s="177"/>
      <c r="H70" s="16" t="s">
        <v>545</v>
      </c>
      <c r="I70" s="17">
        <f t="shared" si="44"/>
        <v>350000</v>
      </c>
      <c r="J70" s="17">
        <f t="shared" si="44"/>
        <v>0</v>
      </c>
      <c r="K70" s="17">
        <f>ROUND(J70/I70*100,2)</f>
        <v>0</v>
      </c>
      <c r="L70" s="17">
        <f t="shared" si="4"/>
        <v>-350000</v>
      </c>
      <c r="M70" s="17">
        <f t="shared" si="44"/>
        <v>0</v>
      </c>
      <c r="N70" s="17">
        <f t="shared" si="44"/>
        <v>350000</v>
      </c>
      <c r="O70" s="17">
        <f t="shared" si="44"/>
        <v>0</v>
      </c>
      <c r="P70" s="204">
        <f t="shared" si="13"/>
        <v>0</v>
      </c>
      <c r="Q70" s="17">
        <f t="shared" si="44"/>
        <v>350000</v>
      </c>
      <c r="R70" s="17">
        <f t="shared" si="44"/>
        <v>360000</v>
      </c>
      <c r="S70" s="17">
        <f t="shared" si="44"/>
        <v>370000</v>
      </c>
      <c r="T70" s="26">
        <f t="shared" si="44"/>
        <v>350000</v>
      </c>
      <c r="U70" s="26">
        <f t="shared" si="44"/>
        <v>0</v>
      </c>
      <c r="V70" s="17">
        <f t="shared" si="44"/>
        <v>350000</v>
      </c>
      <c r="W70" s="17">
        <f t="shared" si="44"/>
        <v>350000</v>
      </c>
      <c r="X70" s="17">
        <f t="shared" si="44"/>
        <v>355000</v>
      </c>
      <c r="Y70" s="17">
        <f t="shared" si="44"/>
        <v>0</v>
      </c>
      <c r="Z70" s="17">
        <f t="shared" si="6"/>
        <v>0</v>
      </c>
      <c r="AA70" s="17">
        <f t="shared" si="9"/>
        <v>0</v>
      </c>
      <c r="AB70" s="17">
        <f t="shared" si="44"/>
        <v>350000</v>
      </c>
      <c r="AC70" s="17">
        <f t="shared" si="44"/>
        <v>0</v>
      </c>
      <c r="AD70" s="17">
        <f t="shared" si="7"/>
        <v>0</v>
      </c>
      <c r="AE70" s="17">
        <f t="shared" si="3"/>
        <v>0</v>
      </c>
      <c r="AF70" s="17">
        <f t="shared" si="44"/>
        <v>350000</v>
      </c>
      <c r="AG70" s="17">
        <f t="shared" si="44"/>
        <v>350000</v>
      </c>
      <c r="AH70" s="17">
        <f t="shared" si="44"/>
        <v>350000</v>
      </c>
      <c r="AI70" s="17">
        <f t="shared" si="44"/>
        <v>350000</v>
      </c>
      <c r="AJ70" s="162" t="b">
        <f t="shared" si="0"/>
        <v>1</v>
      </c>
      <c r="AK70" s="162" t="str">
        <f t="shared" si="1"/>
        <v>PRAZNO</v>
      </c>
      <c r="AM70" s="264"/>
    </row>
    <row r="71" spans="1:39" ht="15.75" x14ac:dyDescent="0.2">
      <c r="B71" s="177"/>
      <c r="C71" s="177"/>
      <c r="D71" s="177"/>
      <c r="E71" s="177">
        <v>3851</v>
      </c>
      <c r="F71" s="176">
        <v>11</v>
      </c>
      <c r="G71" s="176" t="s">
        <v>527</v>
      </c>
      <c r="H71" s="16" t="s">
        <v>923</v>
      </c>
      <c r="I71" s="18">
        <v>350000</v>
      </c>
      <c r="J71" s="18">
        <v>0</v>
      </c>
      <c r="K71" s="18">
        <f>ROUND(J71/I71*100,2)</f>
        <v>0</v>
      </c>
      <c r="L71" s="18">
        <f t="shared" si="4"/>
        <v>-350000</v>
      </c>
      <c r="M71" s="18"/>
      <c r="N71" s="18">
        <v>350000</v>
      </c>
      <c r="O71" s="18">
        <v>0</v>
      </c>
      <c r="P71" s="204">
        <f t="shared" si="13"/>
        <v>0</v>
      </c>
      <c r="Q71" s="18">
        <v>350000</v>
      </c>
      <c r="R71" s="18">
        <v>360000</v>
      </c>
      <c r="S71" s="18">
        <v>370000</v>
      </c>
      <c r="T71" s="27">
        <v>350000</v>
      </c>
      <c r="U71" s="27">
        <v>0</v>
      </c>
      <c r="V71" s="27">
        <v>350000</v>
      </c>
      <c r="W71" s="27">
        <v>350000</v>
      </c>
      <c r="X71" s="18">
        <v>355000</v>
      </c>
      <c r="Y71" s="27">
        <v>0</v>
      </c>
      <c r="Z71" s="27">
        <f t="shared" si="6"/>
        <v>0</v>
      </c>
      <c r="AA71" s="27">
        <f t="shared" si="9"/>
        <v>0</v>
      </c>
      <c r="AB71" s="27">
        <v>350000</v>
      </c>
      <c r="AC71" s="27">
        <v>0</v>
      </c>
      <c r="AD71" s="27">
        <f t="shared" si="7"/>
        <v>0</v>
      </c>
      <c r="AE71" s="27">
        <f t="shared" si="3"/>
        <v>0</v>
      </c>
      <c r="AF71" s="27">
        <v>350000</v>
      </c>
      <c r="AG71" s="27">
        <v>350000</v>
      </c>
      <c r="AH71" s="27">
        <v>350000</v>
      </c>
      <c r="AI71" s="27">
        <v>350000</v>
      </c>
      <c r="AJ71" s="162" t="b">
        <f t="shared" si="0"/>
        <v>0</v>
      </c>
      <c r="AK71" s="162" t="str">
        <f t="shared" si="1"/>
        <v>PUNO</v>
      </c>
      <c r="AM71" s="264"/>
    </row>
    <row r="72" spans="1:39" s="171" customFormat="1" ht="31.5" x14ac:dyDescent="0.2">
      <c r="A72" s="259"/>
      <c r="B72" s="168"/>
      <c r="C72" s="168"/>
      <c r="D72" s="168"/>
      <c r="E72" s="168"/>
      <c r="F72" s="168"/>
      <c r="G72" s="168"/>
      <c r="H72" s="12" t="s">
        <v>114</v>
      </c>
      <c r="I72" s="169">
        <f t="shared" ref="I72:AI72" si="45">I73</f>
        <v>0</v>
      </c>
      <c r="J72" s="169">
        <f t="shared" si="45"/>
        <v>0</v>
      </c>
      <c r="K72" s="169">
        <f t="shared" si="45"/>
        <v>127994</v>
      </c>
      <c r="L72" s="169">
        <f t="shared" si="4"/>
        <v>127991.06</v>
      </c>
      <c r="M72" s="19">
        <f t="shared" si="45"/>
        <v>127991.06</v>
      </c>
      <c r="N72" s="19">
        <f t="shared" si="45"/>
        <v>0</v>
      </c>
      <c r="O72" s="19">
        <f t="shared" si="45"/>
        <v>0</v>
      </c>
      <c r="P72" s="303">
        <f t="shared" si="13"/>
        <v>0</v>
      </c>
      <c r="Q72" s="19">
        <f t="shared" si="45"/>
        <v>0</v>
      </c>
      <c r="R72" s="19">
        <f t="shared" si="45"/>
        <v>0</v>
      </c>
      <c r="S72" s="19">
        <f t="shared" si="45"/>
        <v>0</v>
      </c>
      <c r="T72" s="53">
        <f t="shared" si="45"/>
        <v>0</v>
      </c>
      <c r="U72" s="53">
        <f t="shared" si="45"/>
        <v>0</v>
      </c>
      <c r="V72" s="19">
        <f t="shared" si="45"/>
        <v>0</v>
      </c>
      <c r="W72" s="19">
        <f t="shared" si="45"/>
        <v>0</v>
      </c>
      <c r="X72" s="19">
        <f t="shared" si="45"/>
        <v>0</v>
      </c>
      <c r="Y72" s="19">
        <f t="shared" si="45"/>
        <v>0</v>
      </c>
      <c r="Z72" s="19"/>
      <c r="AA72" s="19">
        <f t="shared" si="9"/>
        <v>0</v>
      </c>
      <c r="AB72" s="19">
        <f t="shared" si="45"/>
        <v>0</v>
      </c>
      <c r="AC72" s="19">
        <f t="shared" si="45"/>
        <v>0</v>
      </c>
      <c r="AD72" s="19"/>
      <c r="AE72" s="19">
        <f t="shared" si="3"/>
        <v>0</v>
      </c>
      <c r="AF72" s="19">
        <f t="shared" si="45"/>
        <v>0</v>
      </c>
      <c r="AG72" s="19">
        <f t="shared" si="45"/>
        <v>0</v>
      </c>
      <c r="AH72" s="19">
        <f t="shared" si="45"/>
        <v>128930</v>
      </c>
      <c r="AI72" s="19">
        <f t="shared" si="45"/>
        <v>0</v>
      </c>
      <c r="AJ72" s="162" t="b">
        <f t="shared" si="0"/>
        <v>1</v>
      </c>
      <c r="AK72" s="162" t="str">
        <f t="shared" si="1"/>
        <v>PRAZNO</v>
      </c>
      <c r="AL72" s="170"/>
      <c r="AM72" s="264"/>
    </row>
    <row r="73" spans="1:39" s="174" customFormat="1" ht="15.75" x14ac:dyDescent="0.2">
      <c r="A73" s="259"/>
      <c r="B73" s="172">
        <v>3</v>
      </c>
      <c r="C73" s="172"/>
      <c r="D73" s="172"/>
      <c r="E73" s="172"/>
      <c r="F73" s="172"/>
      <c r="G73" s="172"/>
      <c r="H73" s="14" t="s">
        <v>524</v>
      </c>
      <c r="I73" s="20">
        <f t="shared" ref="I73:Y73" si="46">I74+I81</f>
        <v>0</v>
      </c>
      <c r="J73" s="20">
        <f t="shared" si="46"/>
        <v>0</v>
      </c>
      <c r="K73" s="20">
        <f t="shared" si="46"/>
        <v>127994</v>
      </c>
      <c r="L73" s="20">
        <f t="shared" si="4"/>
        <v>127991.06</v>
      </c>
      <c r="M73" s="20">
        <f t="shared" si="46"/>
        <v>127991.06</v>
      </c>
      <c r="N73" s="20">
        <f>N74+N81</f>
        <v>0</v>
      </c>
      <c r="O73" s="20">
        <f>O74+O81</f>
        <v>0</v>
      </c>
      <c r="P73" s="54">
        <f t="shared" si="13"/>
        <v>0</v>
      </c>
      <c r="Q73" s="20">
        <f>Q74+Q81</f>
        <v>0</v>
      </c>
      <c r="R73" s="20">
        <f t="shared" si="46"/>
        <v>0</v>
      </c>
      <c r="S73" s="20">
        <f t="shared" si="46"/>
        <v>0</v>
      </c>
      <c r="T73" s="55">
        <f t="shared" si="46"/>
        <v>0</v>
      </c>
      <c r="U73" s="55">
        <f t="shared" si="46"/>
        <v>0</v>
      </c>
      <c r="V73" s="20">
        <f t="shared" si="46"/>
        <v>0</v>
      </c>
      <c r="W73" s="20">
        <f t="shared" si="46"/>
        <v>0</v>
      </c>
      <c r="X73" s="20">
        <f t="shared" si="46"/>
        <v>0</v>
      </c>
      <c r="Y73" s="20">
        <f t="shared" si="46"/>
        <v>0</v>
      </c>
      <c r="Z73" s="20" t="e">
        <f t="shared" si="6"/>
        <v>#DIV/0!</v>
      </c>
      <c r="AA73" s="20">
        <f t="shared" si="9"/>
        <v>0</v>
      </c>
      <c r="AB73" s="20">
        <f t="shared" ref="AB73:AI73" si="47">AB74+AB81</f>
        <v>0</v>
      </c>
      <c r="AC73" s="20">
        <f t="shared" si="47"/>
        <v>0</v>
      </c>
      <c r="AD73" s="20"/>
      <c r="AE73" s="20">
        <f t="shared" si="3"/>
        <v>0</v>
      </c>
      <c r="AF73" s="20">
        <f t="shared" si="47"/>
        <v>0</v>
      </c>
      <c r="AG73" s="20">
        <f t="shared" si="47"/>
        <v>0</v>
      </c>
      <c r="AH73" s="20">
        <f t="shared" si="47"/>
        <v>128930</v>
      </c>
      <c r="AI73" s="20">
        <f t="shared" si="47"/>
        <v>0</v>
      </c>
      <c r="AJ73" s="162" t="b">
        <f t="shared" ref="AJ73:AJ136" si="48">ISBLANK(E73)</f>
        <v>1</v>
      </c>
      <c r="AK73" s="162" t="str">
        <f t="shared" ref="AK73:AK136" si="49">IF(AJ73,"PRAZNO","PUNO")</f>
        <v>PRAZNO</v>
      </c>
      <c r="AL73" s="173"/>
      <c r="AM73" s="264"/>
    </row>
    <row r="74" spans="1:39" ht="15.75" x14ac:dyDescent="0.2">
      <c r="B74" s="177"/>
      <c r="C74" s="177">
        <v>32</v>
      </c>
      <c r="D74" s="177"/>
      <c r="E74" s="177"/>
      <c r="F74" s="176"/>
      <c r="G74" s="176"/>
      <c r="H74" s="15" t="s">
        <v>525</v>
      </c>
      <c r="I74" s="18">
        <f t="shared" ref="I74:Y74" si="50">I75+I77+I79</f>
        <v>0</v>
      </c>
      <c r="J74" s="18">
        <f t="shared" si="50"/>
        <v>0</v>
      </c>
      <c r="K74" s="18">
        <f t="shared" si="50"/>
        <v>107746</v>
      </c>
      <c r="L74" s="18">
        <f t="shared" si="4"/>
        <v>107741.06</v>
      </c>
      <c r="M74" s="18">
        <f t="shared" si="50"/>
        <v>107741.06</v>
      </c>
      <c r="N74" s="18">
        <f>N75+N77+N79</f>
        <v>0</v>
      </c>
      <c r="O74" s="18">
        <f>O75+O77+O79</f>
        <v>0</v>
      </c>
      <c r="P74" s="204">
        <f t="shared" si="13"/>
        <v>0</v>
      </c>
      <c r="Q74" s="18">
        <f>Q75+Q77+Q79</f>
        <v>0</v>
      </c>
      <c r="R74" s="18">
        <f t="shared" si="50"/>
        <v>0</v>
      </c>
      <c r="S74" s="18">
        <f t="shared" si="50"/>
        <v>0</v>
      </c>
      <c r="T74" s="27">
        <f t="shared" si="50"/>
        <v>0</v>
      </c>
      <c r="U74" s="27">
        <f t="shared" si="50"/>
        <v>0</v>
      </c>
      <c r="V74" s="18">
        <f t="shared" si="50"/>
        <v>0</v>
      </c>
      <c r="W74" s="18">
        <f t="shared" si="50"/>
        <v>0</v>
      </c>
      <c r="X74" s="18">
        <f t="shared" si="50"/>
        <v>0</v>
      </c>
      <c r="Y74" s="18">
        <f t="shared" si="50"/>
        <v>0</v>
      </c>
      <c r="Z74" s="18" t="e">
        <f t="shared" si="6"/>
        <v>#DIV/0!</v>
      </c>
      <c r="AA74" s="18">
        <f t="shared" si="9"/>
        <v>0</v>
      </c>
      <c r="AB74" s="18">
        <f t="shared" ref="AB74:AI74" si="51">AB75+AB77+AB79</f>
        <v>0</v>
      </c>
      <c r="AC74" s="18">
        <f t="shared" si="51"/>
        <v>0</v>
      </c>
      <c r="AD74" s="18"/>
      <c r="AE74" s="18">
        <f t="shared" si="3"/>
        <v>0</v>
      </c>
      <c r="AF74" s="18">
        <f t="shared" si="51"/>
        <v>0</v>
      </c>
      <c r="AG74" s="18">
        <f t="shared" si="51"/>
        <v>0</v>
      </c>
      <c r="AH74" s="18">
        <f t="shared" si="51"/>
        <v>108680</v>
      </c>
      <c r="AI74" s="18">
        <f t="shared" si="51"/>
        <v>0</v>
      </c>
      <c r="AJ74" s="162" t="b">
        <f t="shared" si="48"/>
        <v>1</v>
      </c>
      <c r="AK74" s="162" t="str">
        <f t="shared" si="49"/>
        <v>PRAZNO</v>
      </c>
      <c r="AM74" s="264"/>
    </row>
    <row r="75" spans="1:39" ht="15.75" x14ac:dyDescent="0.2">
      <c r="B75" s="177"/>
      <c r="C75" s="177"/>
      <c r="D75" s="177">
        <v>322</v>
      </c>
      <c r="E75" s="177"/>
      <c r="F75" s="176"/>
      <c r="G75" s="176"/>
      <c r="H75" s="16" t="s">
        <v>547</v>
      </c>
      <c r="I75" s="18">
        <f t="shared" ref="I75:AI75" si="52">I76</f>
        <v>0</v>
      </c>
      <c r="J75" s="18">
        <f t="shared" si="52"/>
        <v>0</v>
      </c>
      <c r="K75" s="18">
        <f t="shared" si="52"/>
        <v>8205</v>
      </c>
      <c r="L75" s="18">
        <f t="shared" si="4"/>
        <v>8206.76</v>
      </c>
      <c r="M75" s="18">
        <f>M76</f>
        <v>8206.76</v>
      </c>
      <c r="N75" s="18">
        <f t="shared" si="52"/>
        <v>0</v>
      </c>
      <c r="O75" s="18">
        <f t="shared" si="52"/>
        <v>0</v>
      </c>
      <c r="P75" s="204">
        <f t="shared" si="13"/>
        <v>0</v>
      </c>
      <c r="Q75" s="18">
        <f t="shared" si="52"/>
        <v>0</v>
      </c>
      <c r="R75" s="18">
        <f t="shared" si="52"/>
        <v>0</v>
      </c>
      <c r="S75" s="18">
        <f t="shared" si="52"/>
        <v>0</v>
      </c>
      <c r="T75" s="27">
        <f t="shared" si="52"/>
        <v>0</v>
      </c>
      <c r="U75" s="27">
        <f t="shared" si="52"/>
        <v>0</v>
      </c>
      <c r="V75" s="18">
        <f t="shared" si="52"/>
        <v>0</v>
      </c>
      <c r="W75" s="18">
        <f t="shared" si="52"/>
        <v>0</v>
      </c>
      <c r="X75" s="18">
        <f t="shared" si="52"/>
        <v>0</v>
      </c>
      <c r="Y75" s="18">
        <f t="shared" si="52"/>
        <v>0</v>
      </c>
      <c r="Z75" s="18" t="e">
        <f t="shared" ref="Z75:Z138" si="53">ROUND(Y75/V75*100,2)</f>
        <v>#DIV/0!</v>
      </c>
      <c r="AA75" s="18">
        <f t="shared" si="9"/>
        <v>0</v>
      </c>
      <c r="AB75" s="18">
        <f t="shared" si="52"/>
        <v>0</v>
      </c>
      <c r="AC75" s="18">
        <f t="shared" si="52"/>
        <v>0</v>
      </c>
      <c r="AD75" s="18"/>
      <c r="AE75" s="18">
        <f t="shared" si="3"/>
        <v>0</v>
      </c>
      <c r="AF75" s="18">
        <f t="shared" si="52"/>
        <v>0</v>
      </c>
      <c r="AG75" s="18">
        <f t="shared" si="52"/>
        <v>0</v>
      </c>
      <c r="AH75" s="18">
        <f>AH76</f>
        <v>8300</v>
      </c>
      <c r="AI75" s="18">
        <f t="shared" si="52"/>
        <v>0</v>
      </c>
      <c r="AJ75" s="162" t="b">
        <f t="shared" si="48"/>
        <v>1</v>
      </c>
      <c r="AK75" s="162" t="str">
        <f t="shared" si="49"/>
        <v>PRAZNO</v>
      </c>
      <c r="AM75" s="264"/>
    </row>
    <row r="76" spans="1:39" ht="15.75" x14ac:dyDescent="0.2">
      <c r="B76" s="177"/>
      <c r="C76" s="177"/>
      <c r="D76" s="177"/>
      <c r="E76" s="177">
        <v>3221</v>
      </c>
      <c r="F76" s="176">
        <v>11</v>
      </c>
      <c r="G76" s="176"/>
      <c r="H76" s="16" t="s">
        <v>548</v>
      </c>
      <c r="I76" s="18">
        <v>0</v>
      </c>
      <c r="J76" s="18">
        <v>0</v>
      </c>
      <c r="K76" s="18">
        <v>8205</v>
      </c>
      <c r="L76" s="18">
        <f t="shared" si="4"/>
        <v>8206.76</v>
      </c>
      <c r="M76" s="18">
        <v>8206.76</v>
      </c>
      <c r="N76" s="18"/>
      <c r="O76" s="18"/>
      <c r="P76" s="204">
        <f t="shared" si="13"/>
        <v>0</v>
      </c>
      <c r="Q76" s="18"/>
      <c r="R76" s="18"/>
      <c r="S76" s="18"/>
      <c r="T76" s="27"/>
      <c r="U76" s="27"/>
      <c r="V76" s="18"/>
      <c r="W76" s="18"/>
      <c r="X76" s="18"/>
      <c r="Y76" s="18"/>
      <c r="Z76" s="18" t="e">
        <f t="shared" si="53"/>
        <v>#DIV/0!</v>
      </c>
      <c r="AA76" s="18">
        <f t="shared" si="9"/>
        <v>0</v>
      </c>
      <c r="AB76" s="18"/>
      <c r="AC76" s="18"/>
      <c r="AD76" s="18"/>
      <c r="AE76" s="18">
        <f t="shared" si="3"/>
        <v>0</v>
      </c>
      <c r="AF76" s="18"/>
      <c r="AG76" s="18"/>
      <c r="AH76" s="18">
        <v>8300</v>
      </c>
      <c r="AI76" s="18"/>
      <c r="AJ76" s="162" t="b">
        <f t="shared" si="48"/>
        <v>0</v>
      </c>
      <c r="AK76" s="162" t="str">
        <f t="shared" si="49"/>
        <v>PUNO</v>
      </c>
      <c r="AM76" s="264"/>
    </row>
    <row r="77" spans="1:39" ht="15.75" x14ac:dyDescent="0.2">
      <c r="B77" s="177"/>
      <c r="C77" s="177"/>
      <c r="D77" s="177">
        <v>323</v>
      </c>
      <c r="E77" s="177"/>
      <c r="F77" s="176"/>
      <c r="G77" s="176"/>
      <c r="H77" s="16" t="s">
        <v>526</v>
      </c>
      <c r="I77" s="18">
        <f t="shared" ref="I77:AI77" si="54">I78</f>
        <v>0</v>
      </c>
      <c r="J77" s="18">
        <f t="shared" si="54"/>
        <v>0</v>
      </c>
      <c r="K77" s="18">
        <f t="shared" si="54"/>
        <v>7388</v>
      </c>
      <c r="L77" s="18">
        <f t="shared" si="4"/>
        <v>7380</v>
      </c>
      <c r="M77" s="18">
        <f>M78</f>
        <v>7380</v>
      </c>
      <c r="N77" s="18">
        <f t="shared" si="54"/>
        <v>0</v>
      </c>
      <c r="O77" s="18">
        <f t="shared" si="54"/>
        <v>0</v>
      </c>
      <c r="P77" s="204">
        <f t="shared" si="13"/>
        <v>0</v>
      </c>
      <c r="Q77" s="18">
        <f t="shared" si="54"/>
        <v>0</v>
      </c>
      <c r="R77" s="18">
        <f t="shared" si="54"/>
        <v>0</v>
      </c>
      <c r="S77" s="18">
        <f t="shared" si="54"/>
        <v>0</v>
      </c>
      <c r="T77" s="27">
        <f t="shared" si="54"/>
        <v>0</v>
      </c>
      <c r="U77" s="27">
        <f t="shared" si="54"/>
        <v>0</v>
      </c>
      <c r="V77" s="18">
        <f t="shared" si="54"/>
        <v>0</v>
      </c>
      <c r="W77" s="18">
        <f t="shared" si="54"/>
        <v>0</v>
      </c>
      <c r="X77" s="18">
        <f t="shared" si="54"/>
        <v>0</v>
      </c>
      <c r="Y77" s="18">
        <f t="shared" si="54"/>
        <v>0</v>
      </c>
      <c r="Z77" s="18" t="e">
        <f t="shared" si="53"/>
        <v>#DIV/0!</v>
      </c>
      <c r="AA77" s="18">
        <f t="shared" si="9"/>
        <v>0</v>
      </c>
      <c r="AB77" s="18">
        <f t="shared" si="54"/>
        <v>0</v>
      </c>
      <c r="AC77" s="18">
        <f t="shared" si="54"/>
        <v>0</v>
      </c>
      <c r="AD77" s="18"/>
      <c r="AE77" s="18">
        <f t="shared" si="3"/>
        <v>0</v>
      </c>
      <c r="AF77" s="18">
        <f t="shared" si="54"/>
        <v>0</v>
      </c>
      <c r="AG77" s="18">
        <f t="shared" si="54"/>
        <v>0</v>
      </c>
      <c r="AH77" s="18">
        <f>AH78</f>
        <v>7380</v>
      </c>
      <c r="AI77" s="18">
        <f t="shared" si="54"/>
        <v>0</v>
      </c>
      <c r="AJ77" s="162" t="b">
        <f t="shared" si="48"/>
        <v>1</v>
      </c>
      <c r="AK77" s="162" t="str">
        <f t="shared" si="49"/>
        <v>PRAZNO</v>
      </c>
      <c r="AM77" s="264"/>
    </row>
    <row r="78" spans="1:39" ht="15.75" x14ac:dyDescent="0.2">
      <c r="B78" s="177"/>
      <c r="C78" s="177"/>
      <c r="D78" s="177"/>
      <c r="E78" s="177">
        <v>3233</v>
      </c>
      <c r="F78" s="176">
        <v>11</v>
      </c>
      <c r="G78" s="176"/>
      <c r="H78" s="16" t="s">
        <v>528</v>
      </c>
      <c r="I78" s="18">
        <v>0</v>
      </c>
      <c r="J78" s="18">
        <v>0</v>
      </c>
      <c r="K78" s="18">
        <v>7388</v>
      </c>
      <c r="L78" s="18">
        <f t="shared" si="4"/>
        <v>7380</v>
      </c>
      <c r="M78" s="18">
        <v>7380</v>
      </c>
      <c r="N78" s="18"/>
      <c r="O78" s="18"/>
      <c r="P78" s="204">
        <f t="shared" si="13"/>
        <v>0</v>
      </c>
      <c r="Q78" s="18"/>
      <c r="R78" s="18"/>
      <c r="S78" s="18"/>
      <c r="T78" s="27"/>
      <c r="U78" s="27"/>
      <c r="V78" s="18"/>
      <c r="W78" s="18"/>
      <c r="X78" s="18"/>
      <c r="Y78" s="18"/>
      <c r="Z78" s="18" t="e">
        <f t="shared" si="53"/>
        <v>#DIV/0!</v>
      </c>
      <c r="AA78" s="18">
        <f t="shared" si="9"/>
        <v>0</v>
      </c>
      <c r="AB78" s="18"/>
      <c r="AC78" s="18"/>
      <c r="AD78" s="18"/>
      <c r="AE78" s="18">
        <f t="shared" si="3"/>
        <v>0</v>
      </c>
      <c r="AF78" s="18"/>
      <c r="AG78" s="18"/>
      <c r="AH78" s="18">
        <v>7380</v>
      </c>
      <c r="AI78" s="18"/>
      <c r="AJ78" s="162" t="b">
        <f t="shared" si="48"/>
        <v>0</v>
      </c>
      <c r="AK78" s="162" t="str">
        <f t="shared" si="49"/>
        <v>PUNO</v>
      </c>
      <c r="AM78" s="264"/>
    </row>
    <row r="79" spans="1:39" ht="15.75" x14ac:dyDescent="0.2">
      <c r="B79" s="177"/>
      <c r="C79" s="177"/>
      <c r="D79" s="177">
        <v>329</v>
      </c>
      <c r="E79" s="177"/>
      <c r="F79" s="176"/>
      <c r="G79" s="176"/>
      <c r="H79" s="16" t="s">
        <v>531</v>
      </c>
      <c r="I79" s="18">
        <f t="shared" ref="I79:AI79" si="55">I80</f>
        <v>0</v>
      </c>
      <c r="J79" s="18">
        <f t="shared" si="55"/>
        <v>0</v>
      </c>
      <c r="K79" s="18">
        <f t="shared" si="55"/>
        <v>92153</v>
      </c>
      <c r="L79" s="18">
        <f t="shared" si="4"/>
        <v>92154.3</v>
      </c>
      <c r="M79" s="18">
        <f>M80</f>
        <v>92154.3</v>
      </c>
      <c r="N79" s="18">
        <f t="shared" si="55"/>
        <v>0</v>
      </c>
      <c r="O79" s="18">
        <f t="shared" si="55"/>
        <v>0</v>
      </c>
      <c r="P79" s="204">
        <f t="shared" si="13"/>
        <v>0</v>
      </c>
      <c r="Q79" s="18">
        <f t="shared" si="55"/>
        <v>0</v>
      </c>
      <c r="R79" s="18">
        <f t="shared" si="55"/>
        <v>0</v>
      </c>
      <c r="S79" s="18">
        <f t="shared" si="55"/>
        <v>0</v>
      </c>
      <c r="T79" s="27">
        <f t="shared" si="55"/>
        <v>0</v>
      </c>
      <c r="U79" s="27">
        <f t="shared" si="55"/>
        <v>0</v>
      </c>
      <c r="V79" s="18">
        <f t="shared" si="55"/>
        <v>0</v>
      </c>
      <c r="W79" s="18">
        <f t="shared" si="55"/>
        <v>0</v>
      </c>
      <c r="X79" s="18">
        <f t="shared" si="55"/>
        <v>0</v>
      </c>
      <c r="Y79" s="18">
        <f t="shared" si="55"/>
        <v>0</v>
      </c>
      <c r="Z79" s="18" t="e">
        <f t="shared" si="53"/>
        <v>#DIV/0!</v>
      </c>
      <c r="AA79" s="18">
        <f t="shared" ref="AA79:AA138" si="56">AB79-V79</f>
        <v>0</v>
      </c>
      <c r="AB79" s="18">
        <f t="shared" si="55"/>
        <v>0</v>
      </c>
      <c r="AC79" s="18">
        <f t="shared" si="55"/>
        <v>0</v>
      </c>
      <c r="AD79" s="18"/>
      <c r="AE79" s="18">
        <f t="shared" si="3"/>
        <v>0</v>
      </c>
      <c r="AF79" s="18">
        <f t="shared" si="55"/>
        <v>0</v>
      </c>
      <c r="AG79" s="18">
        <f t="shared" si="55"/>
        <v>0</v>
      </c>
      <c r="AH79" s="18">
        <f>AH80</f>
        <v>93000</v>
      </c>
      <c r="AI79" s="18">
        <f t="shared" si="55"/>
        <v>0</v>
      </c>
      <c r="AJ79" s="162" t="b">
        <f t="shared" si="48"/>
        <v>1</v>
      </c>
      <c r="AK79" s="162" t="str">
        <f t="shared" si="49"/>
        <v>PRAZNO</v>
      </c>
      <c r="AM79" s="264"/>
    </row>
    <row r="80" spans="1:39" ht="42.75" customHeight="1" x14ac:dyDescent="0.2">
      <c r="B80" s="177"/>
      <c r="C80" s="177"/>
      <c r="D80" s="177"/>
      <c r="E80" s="177">
        <v>3291</v>
      </c>
      <c r="F80" s="176">
        <v>11</v>
      </c>
      <c r="G80" s="176"/>
      <c r="H80" s="16" t="s">
        <v>926</v>
      </c>
      <c r="I80" s="18">
        <v>0</v>
      </c>
      <c r="J80" s="18">
        <v>0</v>
      </c>
      <c r="K80" s="18">
        <v>92153</v>
      </c>
      <c r="L80" s="18">
        <f t="shared" si="4"/>
        <v>92154.3</v>
      </c>
      <c r="M80" s="18">
        <v>92154.3</v>
      </c>
      <c r="N80" s="18"/>
      <c r="O80" s="18"/>
      <c r="P80" s="204">
        <f t="shared" si="13"/>
        <v>0</v>
      </c>
      <c r="Q80" s="18"/>
      <c r="R80" s="18"/>
      <c r="S80" s="18"/>
      <c r="T80" s="27"/>
      <c r="U80" s="27"/>
      <c r="V80" s="18"/>
      <c r="W80" s="18"/>
      <c r="X80" s="18"/>
      <c r="Y80" s="18"/>
      <c r="Z80" s="18" t="e">
        <f t="shared" si="53"/>
        <v>#DIV/0!</v>
      </c>
      <c r="AA80" s="18">
        <f t="shared" si="56"/>
        <v>0</v>
      </c>
      <c r="AB80" s="18"/>
      <c r="AC80" s="18"/>
      <c r="AD80" s="18"/>
      <c r="AE80" s="18">
        <f t="shared" si="3"/>
        <v>0</v>
      </c>
      <c r="AF80" s="18"/>
      <c r="AG80" s="18"/>
      <c r="AH80" s="18">
        <v>93000</v>
      </c>
      <c r="AI80" s="18"/>
      <c r="AJ80" s="162" t="b">
        <f t="shared" si="48"/>
        <v>0</v>
      </c>
      <c r="AK80" s="162" t="str">
        <f t="shared" si="49"/>
        <v>PUNO</v>
      </c>
      <c r="AM80" s="264"/>
    </row>
    <row r="81" spans="1:39" ht="15.75" x14ac:dyDescent="0.2">
      <c r="B81" s="177"/>
      <c r="C81" s="177">
        <v>38</v>
      </c>
      <c r="D81" s="177"/>
      <c r="E81" s="177"/>
      <c r="F81" s="176"/>
      <c r="G81" s="176"/>
      <c r="H81" s="16" t="s">
        <v>539</v>
      </c>
      <c r="I81" s="18">
        <f t="shared" ref="I81:K82" si="57">I82</f>
        <v>0</v>
      </c>
      <c r="J81" s="18">
        <f t="shared" si="57"/>
        <v>0</v>
      </c>
      <c r="K81" s="18">
        <f t="shared" si="57"/>
        <v>20248</v>
      </c>
      <c r="L81" s="18">
        <f t="shared" si="4"/>
        <v>20250</v>
      </c>
      <c r="M81" s="18">
        <f>M82</f>
        <v>20250</v>
      </c>
      <c r="N81" s="18">
        <f t="shared" ref="N81:AI82" si="58">N82</f>
        <v>0</v>
      </c>
      <c r="O81" s="18">
        <f>O82</f>
        <v>0</v>
      </c>
      <c r="P81" s="204">
        <f t="shared" si="13"/>
        <v>0</v>
      </c>
      <c r="Q81" s="18">
        <f t="shared" si="58"/>
        <v>0</v>
      </c>
      <c r="R81" s="18">
        <f t="shared" si="58"/>
        <v>0</v>
      </c>
      <c r="S81" s="18">
        <f t="shared" si="58"/>
        <v>0</v>
      </c>
      <c r="T81" s="27">
        <f t="shared" si="58"/>
        <v>0</v>
      </c>
      <c r="U81" s="27">
        <f t="shared" si="58"/>
        <v>0</v>
      </c>
      <c r="V81" s="18">
        <f t="shared" si="58"/>
        <v>0</v>
      </c>
      <c r="W81" s="18">
        <f t="shared" si="58"/>
        <v>0</v>
      </c>
      <c r="X81" s="18">
        <f t="shared" si="58"/>
        <v>0</v>
      </c>
      <c r="Y81" s="18">
        <f t="shared" si="58"/>
        <v>0</v>
      </c>
      <c r="Z81" s="18" t="e">
        <f t="shared" si="53"/>
        <v>#DIV/0!</v>
      </c>
      <c r="AA81" s="18">
        <f t="shared" si="56"/>
        <v>0</v>
      </c>
      <c r="AB81" s="18">
        <f t="shared" si="58"/>
        <v>0</v>
      </c>
      <c r="AC81" s="18">
        <f t="shared" si="58"/>
        <v>0</v>
      </c>
      <c r="AD81" s="18"/>
      <c r="AE81" s="18">
        <f t="shared" si="3"/>
        <v>0</v>
      </c>
      <c r="AF81" s="18">
        <f t="shared" si="58"/>
        <v>0</v>
      </c>
      <c r="AG81" s="18">
        <f t="shared" si="58"/>
        <v>0</v>
      </c>
      <c r="AH81" s="18">
        <f>AH82</f>
        <v>20250</v>
      </c>
      <c r="AI81" s="18">
        <f t="shared" si="58"/>
        <v>0</v>
      </c>
      <c r="AJ81" s="162" t="b">
        <f t="shared" si="48"/>
        <v>1</v>
      </c>
      <c r="AK81" s="162" t="str">
        <f t="shared" si="49"/>
        <v>PRAZNO</v>
      </c>
      <c r="AM81" s="264"/>
    </row>
    <row r="82" spans="1:39" ht="15.75" x14ac:dyDescent="0.2">
      <c r="B82" s="177"/>
      <c r="C82" s="177"/>
      <c r="D82" s="177">
        <v>381</v>
      </c>
      <c r="E82" s="177"/>
      <c r="F82" s="176"/>
      <c r="G82" s="176"/>
      <c r="H82" s="16" t="s">
        <v>540</v>
      </c>
      <c r="I82" s="18">
        <f t="shared" si="57"/>
        <v>0</v>
      </c>
      <c r="J82" s="18">
        <f t="shared" si="57"/>
        <v>0</v>
      </c>
      <c r="K82" s="18">
        <f t="shared" si="57"/>
        <v>20248</v>
      </c>
      <c r="L82" s="18">
        <f t="shared" si="4"/>
        <v>20250</v>
      </c>
      <c r="M82" s="18">
        <f>M83</f>
        <v>20250</v>
      </c>
      <c r="N82" s="18">
        <f t="shared" si="58"/>
        <v>0</v>
      </c>
      <c r="O82" s="18">
        <f>O83</f>
        <v>0</v>
      </c>
      <c r="P82" s="204">
        <f t="shared" si="13"/>
        <v>0</v>
      </c>
      <c r="Q82" s="18">
        <f t="shared" si="58"/>
        <v>0</v>
      </c>
      <c r="R82" s="18">
        <f t="shared" si="58"/>
        <v>0</v>
      </c>
      <c r="S82" s="18">
        <f t="shared" si="58"/>
        <v>0</v>
      </c>
      <c r="T82" s="27">
        <f t="shared" si="58"/>
        <v>0</v>
      </c>
      <c r="U82" s="27">
        <f t="shared" si="58"/>
        <v>0</v>
      </c>
      <c r="V82" s="18">
        <f t="shared" si="58"/>
        <v>0</v>
      </c>
      <c r="W82" s="18">
        <f t="shared" si="58"/>
        <v>0</v>
      </c>
      <c r="X82" s="18">
        <f t="shared" si="58"/>
        <v>0</v>
      </c>
      <c r="Y82" s="18">
        <f t="shared" si="58"/>
        <v>0</v>
      </c>
      <c r="Z82" s="18" t="e">
        <f t="shared" si="53"/>
        <v>#DIV/0!</v>
      </c>
      <c r="AA82" s="18">
        <f t="shared" si="56"/>
        <v>0</v>
      </c>
      <c r="AB82" s="18">
        <f t="shared" si="58"/>
        <v>0</v>
      </c>
      <c r="AC82" s="18">
        <f t="shared" si="58"/>
        <v>0</v>
      </c>
      <c r="AD82" s="18"/>
      <c r="AE82" s="18">
        <f t="shared" si="3"/>
        <v>0</v>
      </c>
      <c r="AF82" s="18">
        <f t="shared" si="58"/>
        <v>0</v>
      </c>
      <c r="AG82" s="18">
        <f t="shared" si="58"/>
        <v>0</v>
      </c>
      <c r="AH82" s="18">
        <f>AH83</f>
        <v>20250</v>
      </c>
      <c r="AI82" s="18">
        <f t="shared" si="58"/>
        <v>0</v>
      </c>
      <c r="AJ82" s="162" t="b">
        <f t="shared" si="48"/>
        <v>1</v>
      </c>
      <c r="AK82" s="162" t="str">
        <f t="shared" si="49"/>
        <v>PRAZNO</v>
      </c>
      <c r="AM82" s="264"/>
    </row>
    <row r="83" spans="1:39" ht="15.75" x14ac:dyDescent="0.2">
      <c r="B83" s="177"/>
      <c r="C83" s="177"/>
      <c r="D83" s="177"/>
      <c r="E83" s="177">
        <v>3811</v>
      </c>
      <c r="F83" s="176">
        <v>11</v>
      </c>
      <c r="G83" s="176"/>
      <c r="H83" s="16" t="s">
        <v>623</v>
      </c>
      <c r="I83" s="18">
        <v>0</v>
      </c>
      <c r="J83" s="18">
        <v>0</v>
      </c>
      <c r="K83" s="18">
        <v>20248</v>
      </c>
      <c r="L83" s="18">
        <f t="shared" si="4"/>
        <v>20250</v>
      </c>
      <c r="M83" s="18">
        <v>20250</v>
      </c>
      <c r="N83" s="18"/>
      <c r="O83" s="18"/>
      <c r="P83" s="204">
        <f t="shared" si="13"/>
        <v>0</v>
      </c>
      <c r="Q83" s="18"/>
      <c r="R83" s="18"/>
      <c r="S83" s="18"/>
      <c r="T83" s="27"/>
      <c r="U83" s="27"/>
      <c r="V83" s="18"/>
      <c r="W83" s="18"/>
      <c r="X83" s="18"/>
      <c r="Y83" s="18"/>
      <c r="Z83" s="18" t="e">
        <f t="shared" si="53"/>
        <v>#DIV/0!</v>
      </c>
      <c r="AA83" s="18">
        <f t="shared" si="56"/>
        <v>0</v>
      </c>
      <c r="AB83" s="18"/>
      <c r="AC83" s="18"/>
      <c r="AD83" s="18"/>
      <c r="AE83" s="18">
        <f t="shared" si="3"/>
        <v>0</v>
      </c>
      <c r="AF83" s="18"/>
      <c r="AG83" s="18"/>
      <c r="AH83" s="18">
        <v>20250</v>
      </c>
      <c r="AI83" s="18"/>
      <c r="AJ83" s="162" t="b">
        <f t="shared" si="48"/>
        <v>0</v>
      </c>
      <c r="AK83" s="162" t="str">
        <f t="shared" si="49"/>
        <v>PUNO</v>
      </c>
      <c r="AM83" s="264"/>
    </row>
    <row r="84" spans="1:39" s="264" customFormat="1" ht="15.75" x14ac:dyDescent="0.2">
      <c r="A84" s="259"/>
      <c r="B84" s="168"/>
      <c r="C84" s="168"/>
      <c r="D84" s="168"/>
      <c r="E84" s="168"/>
      <c r="F84" s="168"/>
      <c r="G84" s="168"/>
      <c r="H84" s="12" t="s">
        <v>550</v>
      </c>
      <c r="I84" s="181">
        <f>I86</f>
        <v>251000</v>
      </c>
      <c r="J84" s="181">
        <f>J86</f>
        <v>239766.12</v>
      </c>
      <c r="K84" s="181">
        <f>ROUND(J84/I84*100,2)</f>
        <v>95.52</v>
      </c>
      <c r="L84" s="181">
        <f>M84-I84</f>
        <v>-11233.880000000005</v>
      </c>
      <c r="M84" s="262">
        <f>M86</f>
        <v>239766.12</v>
      </c>
      <c r="N84" s="262">
        <f>N86</f>
        <v>240000</v>
      </c>
      <c r="O84" s="262">
        <f>O86</f>
        <v>214013.91999999998</v>
      </c>
      <c r="P84" s="342">
        <f>T84-N84</f>
        <v>0</v>
      </c>
      <c r="Q84" s="262">
        <f t="shared" ref="Q84:AG84" si="59">Q86</f>
        <v>240000</v>
      </c>
      <c r="R84" s="262">
        <f t="shared" si="59"/>
        <v>241000</v>
      </c>
      <c r="S84" s="262">
        <f t="shared" si="59"/>
        <v>242000</v>
      </c>
      <c r="T84" s="342">
        <f t="shared" si="59"/>
        <v>240000</v>
      </c>
      <c r="U84" s="19">
        <f t="shared" si="59"/>
        <v>214013.91999999998</v>
      </c>
      <c r="V84" s="19">
        <f t="shared" si="59"/>
        <v>240000</v>
      </c>
      <c r="W84" s="19">
        <f t="shared" si="59"/>
        <v>240000</v>
      </c>
      <c r="X84" s="19">
        <f t="shared" si="59"/>
        <v>242000</v>
      </c>
      <c r="Y84" s="19">
        <f t="shared" si="59"/>
        <v>200925.53</v>
      </c>
      <c r="Z84" s="19">
        <f t="shared" si="59"/>
        <v>177.19</v>
      </c>
      <c r="AA84" s="19">
        <f t="shared" si="59"/>
        <v>-39019</v>
      </c>
      <c r="AB84" s="19">
        <f t="shared" si="59"/>
        <v>200981</v>
      </c>
      <c r="AC84" s="19">
        <f t="shared" si="59"/>
        <v>200925.53</v>
      </c>
      <c r="AD84" s="19">
        <f t="shared" si="7"/>
        <v>99.972400376154951</v>
      </c>
      <c r="AE84" s="19">
        <f t="shared" si="3"/>
        <v>0</v>
      </c>
      <c r="AF84" s="19">
        <f t="shared" si="59"/>
        <v>200981</v>
      </c>
      <c r="AG84" s="19">
        <f t="shared" si="59"/>
        <v>233500</v>
      </c>
      <c r="AH84" s="19">
        <f>AH86</f>
        <v>243000</v>
      </c>
      <c r="AI84" s="19">
        <f>AI86</f>
        <v>243000</v>
      </c>
      <c r="AJ84" s="162" t="b">
        <f t="shared" si="48"/>
        <v>1</v>
      </c>
      <c r="AK84" s="162" t="str">
        <f t="shared" si="49"/>
        <v>PRAZNO</v>
      </c>
      <c r="AL84" s="263"/>
    </row>
    <row r="85" spans="1:39" s="264" customFormat="1" ht="15.75" x14ac:dyDescent="0.2">
      <c r="A85" s="259"/>
      <c r="B85" s="260"/>
      <c r="C85" s="260"/>
      <c r="D85" s="260"/>
      <c r="E85" s="260"/>
      <c r="F85" s="260"/>
      <c r="G85" s="260"/>
      <c r="H85" s="441" t="s">
        <v>824</v>
      </c>
      <c r="I85" s="181"/>
      <c r="J85" s="181"/>
      <c r="K85" s="181"/>
      <c r="L85" s="181"/>
      <c r="M85" s="262"/>
      <c r="N85" s="262"/>
      <c r="O85" s="262"/>
      <c r="P85" s="342"/>
      <c r="Q85" s="262"/>
      <c r="R85" s="262"/>
      <c r="S85" s="262"/>
      <c r="T85" s="342"/>
      <c r="U85" s="262">
        <f t="shared" ref="U85:AI85" si="60">U86</f>
        <v>214013.91999999998</v>
      </c>
      <c r="V85" s="262">
        <f t="shared" si="60"/>
        <v>240000</v>
      </c>
      <c r="W85" s="262">
        <f t="shared" si="60"/>
        <v>240000</v>
      </c>
      <c r="X85" s="262">
        <f t="shared" si="60"/>
        <v>242000</v>
      </c>
      <c r="Y85" s="262">
        <f t="shared" si="60"/>
        <v>200925.53</v>
      </c>
      <c r="Z85" s="262">
        <f t="shared" si="60"/>
        <v>177.19</v>
      </c>
      <c r="AA85" s="262">
        <f t="shared" si="60"/>
        <v>-39019</v>
      </c>
      <c r="AB85" s="262">
        <f t="shared" si="60"/>
        <v>200981</v>
      </c>
      <c r="AC85" s="262">
        <f t="shared" si="60"/>
        <v>200925.53</v>
      </c>
      <c r="AD85" s="262">
        <f t="shared" si="7"/>
        <v>99.972400376154951</v>
      </c>
      <c r="AE85" s="262">
        <f t="shared" ref="AE85:AE157" si="61">AF85-AB85</f>
        <v>0</v>
      </c>
      <c r="AF85" s="262">
        <f t="shared" si="60"/>
        <v>200981</v>
      </c>
      <c r="AG85" s="262">
        <f t="shared" si="60"/>
        <v>233500</v>
      </c>
      <c r="AH85" s="262">
        <f t="shared" si="60"/>
        <v>243000</v>
      </c>
      <c r="AI85" s="262">
        <f t="shared" si="60"/>
        <v>243000</v>
      </c>
      <c r="AJ85" s="162" t="b">
        <f t="shared" si="48"/>
        <v>1</v>
      </c>
      <c r="AK85" s="162" t="str">
        <f t="shared" si="49"/>
        <v>PRAZNO</v>
      </c>
      <c r="AL85" s="263"/>
    </row>
    <row r="86" spans="1:39" s="264" customFormat="1" ht="15.75" x14ac:dyDescent="0.2">
      <c r="A86" s="259"/>
      <c r="B86" s="172">
        <v>3</v>
      </c>
      <c r="C86" s="172"/>
      <c r="D86" s="172"/>
      <c r="E86" s="172"/>
      <c r="F86" s="172"/>
      <c r="G86" s="172"/>
      <c r="H86" s="14" t="s">
        <v>524</v>
      </c>
      <c r="I86" s="181">
        <f t="shared" ref="I86:AI86" si="62">I87</f>
        <v>251000</v>
      </c>
      <c r="J86" s="181">
        <f t="shared" si="62"/>
        <v>239766.12</v>
      </c>
      <c r="K86" s="181">
        <f t="shared" ref="K86:K93" si="63">ROUND(J86/I86*100,2)</f>
        <v>95.52</v>
      </c>
      <c r="L86" s="181">
        <f t="shared" ref="L86:L93" si="64">M86-I86</f>
        <v>-11233.880000000005</v>
      </c>
      <c r="M86" s="181">
        <f t="shared" si="62"/>
        <v>239766.12</v>
      </c>
      <c r="N86" s="181">
        <f t="shared" si="62"/>
        <v>240000</v>
      </c>
      <c r="O86" s="181">
        <f t="shared" si="62"/>
        <v>214013.91999999998</v>
      </c>
      <c r="P86" s="343">
        <f t="shared" ref="P86:P94" si="65">T86-N86</f>
        <v>0</v>
      </c>
      <c r="Q86" s="181">
        <f t="shared" si="62"/>
        <v>240000</v>
      </c>
      <c r="R86" s="181">
        <f t="shared" si="62"/>
        <v>241000</v>
      </c>
      <c r="S86" s="181">
        <f t="shared" si="62"/>
        <v>242000</v>
      </c>
      <c r="T86" s="307">
        <f t="shared" si="62"/>
        <v>240000</v>
      </c>
      <c r="U86" s="20">
        <f t="shared" si="62"/>
        <v>214013.91999999998</v>
      </c>
      <c r="V86" s="20">
        <f t="shared" si="62"/>
        <v>240000</v>
      </c>
      <c r="W86" s="20">
        <f t="shared" si="62"/>
        <v>240000</v>
      </c>
      <c r="X86" s="20">
        <f t="shared" si="62"/>
        <v>242000</v>
      </c>
      <c r="Y86" s="20">
        <f t="shared" si="62"/>
        <v>200925.53</v>
      </c>
      <c r="Z86" s="20">
        <f t="shared" si="62"/>
        <v>177.19</v>
      </c>
      <c r="AA86" s="20">
        <f t="shared" si="62"/>
        <v>-39019</v>
      </c>
      <c r="AB86" s="20">
        <f t="shared" si="62"/>
        <v>200981</v>
      </c>
      <c r="AC86" s="20">
        <f t="shared" si="62"/>
        <v>200925.53</v>
      </c>
      <c r="AD86" s="20">
        <f t="shared" ref="AD86:AD158" si="66">AC86/AB86*100</f>
        <v>99.972400376154951</v>
      </c>
      <c r="AE86" s="20">
        <f t="shared" si="61"/>
        <v>0</v>
      </c>
      <c r="AF86" s="20">
        <f t="shared" si="62"/>
        <v>200981</v>
      </c>
      <c r="AG86" s="20">
        <f t="shared" si="62"/>
        <v>233500</v>
      </c>
      <c r="AH86" s="20">
        <f t="shared" si="62"/>
        <v>243000</v>
      </c>
      <c r="AI86" s="20">
        <f t="shared" si="62"/>
        <v>243000</v>
      </c>
      <c r="AJ86" s="162" t="b">
        <f t="shared" si="48"/>
        <v>1</v>
      </c>
      <c r="AK86" s="162" t="str">
        <f t="shared" si="49"/>
        <v>PRAZNO</v>
      </c>
      <c r="AL86" s="263"/>
    </row>
    <row r="87" spans="1:39" ht="15.75" x14ac:dyDescent="0.2">
      <c r="B87" s="175"/>
      <c r="C87" s="175">
        <v>32</v>
      </c>
      <c r="D87" s="175"/>
      <c r="E87" s="175"/>
      <c r="F87" s="175"/>
      <c r="G87" s="175"/>
      <c r="H87" s="15" t="s">
        <v>525</v>
      </c>
      <c r="I87" s="22">
        <f>I88+I91</f>
        <v>251000</v>
      </c>
      <c r="J87" s="183">
        <f>J88+J91</f>
        <v>239766.12</v>
      </c>
      <c r="K87" s="183">
        <f t="shared" si="63"/>
        <v>95.52</v>
      </c>
      <c r="L87" s="183">
        <f t="shared" si="64"/>
        <v>-11233.880000000005</v>
      </c>
      <c r="M87" s="183">
        <f>M88+M91</f>
        <v>239766.12</v>
      </c>
      <c r="N87" s="183">
        <f>N88+N91</f>
        <v>240000</v>
      </c>
      <c r="O87" s="183">
        <f>O88+O91</f>
        <v>214013.91999999998</v>
      </c>
      <c r="P87" s="204">
        <f t="shared" si="65"/>
        <v>0</v>
      </c>
      <c r="Q87" s="183">
        <f t="shared" ref="Q87:AG87" si="67">Q88+Q91</f>
        <v>240000</v>
      </c>
      <c r="R87" s="183">
        <f t="shared" si="67"/>
        <v>241000</v>
      </c>
      <c r="S87" s="183">
        <f t="shared" si="67"/>
        <v>242000</v>
      </c>
      <c r="T87" s="340">
        <f t="shared" si="67"/>
        <v>240000</v>
      </c>
      <c r="U87" s="183">
        <f>U88+U91</f>
        <v>214013.91999999998</v>
      </c>
      <c r="V87" s="183">
        <f t="shared" si="67"/>
        <v>240000</v>
      </c>
      <c r="W87" s="183">
        <f t="shared" si="67"/>
        <v>240000</v>
      </c>
      <c r="X87" s="183">
        <f t="shared" si="67"/>
        <v>242000</v>
      </c>
      <c r="Y87" s="183">
        <f t="shared" si="67"/>
        <v>200925.53</v>
      </c>
      <c r="Z87" s="183">
        <f t="shared" si="67"/>
        <v>177.19</v>
      </c>
      <c r="AA87" s="183">
        <f t="shared" si="67"/>
        <v>-39019</v>
      </c>
      <c r="AB87" s="183">
        <f t="shared" si="67"/>
        <v>200981</v>
      </c>
      <c r="AC87" s="183">
        <f t="shared" si="67"/>
        <v>200925.53</v>
      </c>
      <c r="AD87" s="183">
        <f t="shared" si="66"/>
        <v>99.972400376154951</v>
      </c>
      <c r="AE87" s="183">
        <f t="shared" si="61"/>
        <v>0</v>
      </c>
      <c r="AF87" s="183">
        <f t="shared" si="67"/>
        <v>200981</v>
      </c>
      <c r="AG87" s="183">
        <f t="shared" si="67"/>
        <v>233500</v>
      </c>
      <c r="AH87" s="183">
        <f>AH88+AH91</f>
        <v>243000</v>
      </c>
      <c r="AI87" s="183">
        <f>AI88+AI91</f>
        <v>243000</v>
      </c>
      <c r="AJ87" s="162" t="b">
        <f t="shared" si="48"/>
        <v>1</v>
      </c>
      <c r="AK87" s="162" t="str">
        <f t="shared" si="49"/>
        <v>PRAZNO</v>
      </c>
      <c r="AM87" s="264"/>
    </row>
    <row r="88" spans="1:39" ht="15.75" x14ac:dyDescent="0.2">
      <c r="B88" s="177"/>
      <c r="C88" s="177"/>
      <c r="D88" s="177">
        <v>323</v>
      </c>
      <c r="E88" s="177"/>
      <c r="F88" s="177"/>
      <c r="G88" s="177"/>
      <c r="H88" s="16" t="s">
        <v>526</v>
      </c>
      <c r="I88" s="17">
        <f>SUM(I89:I90)</f>
        <v>77000</v>
      </c>
      <c r="J88" s="181">
        <f>SUM(J89:J90)</f>
        <v>68396.22</v>
      </c>
      <c r="K88" s="181">
        <f t="shared" si="63"/>
        <v>88.83</v>
      </c>
      <c r="L88" s="181">
        <f t="shared" si="64"/>
        <v>-8603.7799999999988</v>
      </c>
      <c r="M88" s="181">
        <f>SUM(M89:M90)</f>
        <v>68396.22</v>
      </c>
      <c r="N88" s="181">
        <f>SUM(N89:N90)</f>
        <v>75000</v>
      </c>
      <c r="O88" s="181">
        <f>SUM(O89:O90)</f>
        <v>67179.7</v>
      </c>
      <c r="P88" s="204">
        <f t="shared" si="65"/>
        <v>0</v>
      </c>
      <c r="Q88" s="181">
        <f t="shared" ref="Q88:X88" si="68">SUM(Q89:Q90)</f>
        <v>75000</v>
      </c>
      <c r="R88" s="181">
        <f t="shared" si="68"/>
        <v>68800</v>
      </c>
      <c r="S88" s="181">
        <f t="shared" si="68"/>
        <v>68900</v>
      </c>
      <c r="T88" s="307">
        <f t="shared" si="68"/>
        <v>75000</v>
      </c>
      <c r="U88" s="307">
        <f>SUM(U89:U90)</f>
        <v>67179.7</v>
      </c>
      <c r="V88" s="181">
        <f t="shared" si="68"/>
        <v>75000</v>
      </c>
      <c r="W88" s="181">
        <f t="shared" si="68"/>
        <v>75000</v>
      </c>
      <c r="X88" s="181">
        <f t="shared" si="68"/>
        <v>76000</v>
      </c>
      <c r="Y88" s="181">
        <f>SUM(Y89:Y90)</f>
        <v>76191.34</v>
      </c>
      <c r="Z88" s="181">
        <f t="shared" si="53"/>
        <v>101.59</v>
      </c>
      <c r="AA88" s="181">
        <f t="shared" si="56"/>
        <v>1192</v>
      </c>
      <c r="AB88" s="181">
        <f t="shared" ref="AB88:AG88" si="69">SUM(AB89:AB90)</f>
        <v>76192</v>
      </c>
      <c r="AC88" s="181">
        <f t="shared" si="69"/>
        <v>76191.34</v>
      </c>
      <c r="AD88" s="181">
        <f t="shared" si="66"/>
        <v>99.999133767324651</v>
      </c>
      <c r="AE88" s="181">
        <f t="shared" si="61"/>
        <v>0</v>
      </c>
      <c r="AF88" s="181">
        <f t="shared" si="69"/>
        <v>76192</v>
      </c>
      <c r="AG88" s="181">
        <f t="shared" si="69"/>
        <v>76500</v>
      </c>
      <c r="AH88" s="181">
        <f>SUM(AH89:AH90)</f>
        <v>85000</v>
      </c>
      <c r="AI88" s="181">
        <f>SUM(AI89:AI90)</f>
        <v>85000</v>
      </c>
      <c r="AJ88" s="162" t="b">
        <f t="shared" si="48"/>
        <v>1</v>
      </c>
      <c r="AK88" s="162" t="str">
        <f t="shared" si="49"/>
        <v>PRAZNO</v>
      </c>
      <c r="AM88" s="264"/>
    </row>
    <row r="89" spans="1:39" ht="15.75" x14ac:dyDescent="0.2">
      <c r="B89" s="177"/>
      <c r="C89" s="177"/>
      <c r="D89" s="177"/>
      <c r="E89" s="177">
        <v>3233</v>
      </c>
      <c r="F89" s="176">
        <v>11</v>
      </c>
      <c r="G89" s="176" t="s">
        <v>527</v>
      </c>
      <c r="H89" s="16" t="s">
        <v>528</v>
      </c>
      <c r="I89" s="18">
        <v>49000</v>
      </c>
      <c r="J89" s="178">
        <v>43388.25</v>
      </c>
      <c r="K89" s="178">
        <f t="shared" si="63"/>
        <v>88.55</v>
      </c>
      <c r="L89" s="178">
        <f t="shared" si="64"/>
        <v>-5611.75</v>
      </c>
      <c r="M89" s="178">
        <v>43388.25</v>
      </c>
      <c r="N89" s="178">
        <v>50000</v>
      </c>
      <c r="O89" s="178">
        <v>48717.2</v>
      </c>
      <c r="P89" s="204">
        <f t="shared" si="65"/>
        <v>0</v>
      </c>
      <c r="Q89" s="178">
        <v>50000</v>
      </c>
      <c r="R89" s="178">
        <v>43800</v>
      </c>
      <c r="S89" s="178">
        <v>43900</v>
      </c>
      <c r="T89" s="266">
        <v>50000</v>
      </c>
      <c r="U89" s="266">
        <v>48717.2</v>
      </c>
      <c r="V89" s="266">
        <v>50000</v>
      </c>
      <c r="W89" s="266">
        <v>50000</v>
      </c>
      <c r="X89" s="178">
        <v>51000</v>
      </c>
      <c r="Y89" s="266">
        <v>56500</v>
      </c>
      <c r="Z89" s="266">
        <f t="shared" si="53"/>
        <v>113</v>
      </c>
      <c r="AA89" s="266">
        <f t="shared" si="56"/>
        <v>6500</v>
      </c>
      <c r="AB89" s="266">
        <v>56500</v>
      </c>
      <c r="AC89" s="266">
        <v>56500</v>
      </c>
      <c r="AD89" s="266">
        <f t="shared" si="66"/>
        <v>100</v>
      </c>
      <c r="AE89" s="266">
        <f t="shared" si="61"/>
        <v>0</v>
      </c>
      <c r="AF89" s="266">
        <v>56500</v>
      </c>
      <c r="AG89" s="266">
        <v>56500</v>
      </c>
      <c r="AH89" s="266">
        <v>60000</v>
      </c>
      <c r="AI89" s="266">
        <v>60000</v>
      </c>
      <c r="AJ89" s="162" t="b">
        <f t="shared" si="48"/>
        <v>0</v>
      </c>
      <c r="AK89" s="162" t="str">
        <f t="shared" si="49"/>
        <v>PUNO</v>
      </c>
      <c r="AM89" s="264"/>
    </row>
    <row r="90" spans="1:39" ht="15.75" x14ac:dyDescent="0.2">
      <c r="B90" s="177"/>
      <c r="C90" s="177"/>
      <c r="D90" s="177"/>
      <c r="E90" s="177">
        <v>3239</v>
      </c>
      <c r="F90" s="176">
        <v>11</v>
      </c>
      <c r="G90" s="176" t="s">
        <v>527</v>
      </c>
      <c r="H90" s="16" t="s">
        <v>529</v>
      </c>
      <c r="I90" s="18">
        <v>28000</v>
      </c>
      <c r="J90" s="178">
        <v>25007.97</v>
      </c>
      <c r="K90" s="178">
        <f t="shared" si="63"/>
        <v>89.31</v>
      </c>
      <c r="L90" s="178">
        <f t="shared" si="64"/>
        <v>-2992.0299999999988</v>
      </c>
      <c r="M90" s="178">
        <v>25007.97</v>
      </c>
      <c r="N90" s="178">
        <v>25000</v>
      </c>
      <c r="O90" s="178">
        <v>18462.5</v>
      </c>
      <c r="P90" s="204">
        <f t="shared" si="65"/>
        <v>0</v>
      </c>
      <c r="Q90" s="178">
        <v>25000</v>
      </c>
      <c r="R90" s="178">
        <v>25000</v>
      </c>
      <c r="S90" s="178">
        <v>25000</v>
      </c>
      <c r="T90" s="266">
        <v>25000</v>
      </c>
      <c r="U90" s="266">
        <v>18462.5</v>
      </c>
      <c r="V90" s="266">
        <v>25000</v>
      </c>
      <c r="W90" s="266">
        <v>25000</v>
      </c>
      <c r="X90" s="266">
        <v>25000</v>
      </c>
      <c r="Y90" s="266">
        <v>19691.34</v>
      </c>
      <c r="Z90" s="266">
        <f t="shared" si="53"/>
        <v>78.77</v>
      </c>
      <c r="AA90" s="266">
        <f t="shared" si="56"/>
        <v>-5308</v>
      </c>
      <c r="AB90" s="266">
        <v>19692</v>
      </c>
      <c r="AC90" s="266">
        <v>19691.34</v>
      </c>
      <c r="AD90" s="266">
        <f t="shared" si="66"/>
        <v>99.99664838513101</v>
      </c>
      <c r="AE90" s="266">
        <f t="shared" si="61"/>
        <v>0</v>
      </c>
      <c r="AF90" s="266">
        <v>19692</v>
      </c>
      <c r="AG90" s="266">
        <v>20000</v>
      </c>
      <c r="AH90" s="266">
        <v>25000</v>
      </c>
      <c r="AI90" s="266">
        <v>25000</v>
      </c>
      <c r="AJ90" s="162" t="b">
        <f t="shared" si="48"/>
        <v>0</v>
      </c>
      <c r="AK90" s="162" t="str">
        <f t="shared" si="49"/>
        <v>PUNO</v>
      </c>
      <c r="AM90" s="264"/>
    </row>
    <row r="91" spans="1:39" ht="15.75" x14ac:dyDescent="0.2">
      <c r="B91" s="177"/>
      <c r="C91" s="177"/>
      <c r="D91" s="177">
        <v>329</v>
      </c>
      <c r="E91" s="177"/>
      <c r="F91" s="177"/>
      <c r="G91" s="177"/>
      <c r="H91" s="16" t="s">
        <v>531</v>
      </c>
      <c r="I91" s="17">
        <f>SUM(I92:I93)</f>
        <v>174000</v>
      </c>
      <c r="J91" s="181">
        <f>SUM(J92:J93)</f>
        <v>171369.9</v>
      </c>
      <c r="K91" s="181">
        <f t="shared" si="63"/>
        <v>98.49</v>
      </c>
      <c r="L91" s="181">
        <f t="shared" si="64"/>
        <v>-2630.1000000000058</v>
      </c>
      <c r="M91" s="181">
        <f>SUM(M92:M93)</f>
        <v>171369.9</v>
      </c>
      <c r="N91" s="181">
        <f>SUM(N92:N93)</f>
        <v>165000</v>
      </c>
      <c r="O91" s="181">
        <f>SUM(O92:O93)</f>
        <v>146834.22</v>
      </c>
      <c r="P91" s="204">
        <f t="shared" si="65"/>
        <v>0</v>
      </c>
      <c r="Q91" s="181">
        <f t="shared" ref="Q91:X91" si="70">SUM(Q92:Q93)</f>
        <v>165000</v>
      </c>
      <c r="R91" s="181">
        <f t="shared" si="70"/>
        <v>172200</v>
      </c>
      <c r="S91" s="181">
        <f t="shared" si="70"/>
        <v>173100</v>
      </c>
      <c r="T91" s="307">
        <f t="shared" si="70"/>
        <v>165000</v>
      </c>
      <c r="U91" s="307">
        <f>SUM(U92:U93)</f>
        <v>146834.22</v>
      </c>
      <c r="V91" s="181">
        <f t="shared" si="70"/>
        <v>165000</v>
      </c>
      <c r="W91" s="181">
        <f t="shared" si="70"/>
        <v>165000</v>
      </c>
      <c r="X91" s="181">
        <f t="shared" si="70"/>
        <v>166000</v>
      </c>
      <c r="Y91" s="181">
        <f>SUM(Y92:Y93)</f>
        <v>124734.19</v>
      </c>
      <c r="Z91" s="181">
        <f t="shared" si="53"/>
        <v>75.599999999999994</v>
      </c>
      <c r="AA91" s="181">
        <f t="shared" si="56"/>
        <v>-40211</v>
      </c>
      <c r="AB91" s="181">
        <f t="shared" ref="AB91:AI91" si="71">SUM(AB92:AB93)</f>
        <v>124789</v>
      </c>
      <c r="AC91" s="181">
        <f t="shared" si="71"/>
        <v>124734.19</v>
      </c>
      <c r="AD91" s="181">
        <f t="shared" si="66"/>
        <v>99.956077859426713</v>
      </c>
      <c r="AE91" s="181">
        <f t="shared" si="61"/>
        <v>0</v>
      </c>
      <c r="AF91" s="181">
        <f t="shared" si="71"/>
        <v>124789</v>
      </c>
      <c r="AG91" s="181">
        <f t="shared" si="71"/>
        <v>157000</v>
      </c>
      <c r="AH91" s="181">
        <f t="shared" si="71"/>
        <v>158000</v>
      </c>
      <c r="AI91" s="181">
        <f t="shared" si="71"/>
        <v>158000</v>
      </c>
      <c r="AJ91" s="162" t="b">
        <f t="shared" si="48"/>
        <v>1</v>
      </c>
      <c r="AK91" s="162" t="str">
        <f t="shared" si="49"/>
        <v>PRAZNO</v>
      </c>
      <c r="AM91" s="264"/>
    </row>
    <row r="92" spans="1:39" ht="15.75" x14ac:dyDescent="0.2">
      <c r="B92" s="177"/>
      <c r="C92" s="177"/>
      <c r="D92" s="177"/>
      <c r="E92" s="177">
        <v>3293</v>
      </c>
      <c r="F92" s="176">
        <v>11</v>
      </c>
      <c r="G92" s="176" t="s">
        <v>527</v>
      </c>
      <c r="H92" s="16" t="s">
        <v>533</v>
      </c>
      <c r="I92" s="18">
        <v>53000</v>
      </c>
      <c r="J92" s="178">
        <v>47204.5</v>
      </c>
      <c r="K92" s="178">
        <f t="shared" si="63"/>
        <v>89.07</v>
      </c>
      <c r="L92" s="178">
        <f t="shared" si="64"/>
        <v>-5795.5</v>
      </c>
      <c r="M92" s="178">
        <v>47204.5</v>
      </c>
      <c r="N92" s="178">
        <v>55000</v>
      </c>
      <c r="O92" s="178">
        <v>53362</v>
      </c>
      <c r="P92" s="204">
        <f t="shared" si="65"/>
        <v>0</v>
      </c>
      <c r="Q92" s="178">
        <v>55000</v>
      </c>
      <c r="R92" s="178">
        <v>47300</v>
      </c>
      <c r="S92" s="178">
        <v>47400</v>
      </c>
      <c r="T92" s="266">
        <v>55000</v>
      </c>
      <c r="U92" s="266">
        <v>53362</v>
      </c>
      <c r="V92" s="266">
        <v>55000</v>
      </c>
      <c r="W92" s="266">
        <v>55000</v>
      </c>
      <c r="X92" s="178">
        <v>56000</v>
      </c>
      <c r="Y92" s="266">
        <v>50305</v>
      </c>
      <c r="Z92" s="266">
        <f t="shared" si="53"/>
        <v>91.46</v>
      </c>
      <c r="AA92" s="266">
        <f t="shared" si="56"/>
        <v>-4641</v>
      </c>
      <c r="AB92" s="266">
        <v>50359</v>
      </c>
      <c r="AC92" s="266">
        <v>50305</v>
      </c>
      <c r="AD92" s="266">
        <f t="shared" si="66"/>
        <v>99.892769912031611</v>
      </c>
      <c r="AE92" s="266">
        <f t="shared" si="61"/>
        <v>0</v>
      </c>
      <c r="AF92" s="266">
        <v>50359</v>
      </c>
      <c r="AG92" s="266">
        <v>54000</v>
      </c>
      <c r="AH92" s="266">
        <v>55000</v>
      </c>
      <c r="AI92" s="266">
        <v>55000</v>
      </c>
      <c r="AJ92" s="162" t="b">
        <f t="shared" si="48"/>
        <v>0</v>
      </c>
      <c r="AK92" s="162" t="str">
        <f t="shared" si="49"/>
        <v>PUNO</v>
      </c>
      <c r="AM92" s="264"/>
    </row>
    <row r="93" spans="1:39" ht="30" customHeight="1" x14ac:dyDescent="0.2">
      <c r="B93" s="177"/>
      <c r="C93" s="177"/>
      <c r="D93" s="177"/>
      <c r="E93" s="177">
        <v>3299</v>
      </c>
      <c r="F93" s="176">
        <v>11</v>
      </c>
      <c r="G93" s="176" t="s">
        <v>527</v>
      </c>
      <c r="H93" s="16" t="s">
        <v>551</v>
      </c>
      <c r="I93" s="18">
        <v>121000</v>
      </c>
      <c r="J93" s="178">
        <v>124165.4</v>
      </c>
      <c r="K93" s="178">
        <f t="shared" si="63"/>
        <v>102.62</v>
      </c>
      <c r="L93" s="178">
        <f t="shared" si="64"/>
        <v>3165.3999999999942</v>
      </c>
      <c r="M93" s="178">
        <v>124165.4</v>
      </c>
      <c r="N93" s="178">
        <f>124400-6800-7600</f>
        <v>110000</v>
      </c>
      <c r="O93" s="178">
        <v>93472.22</v>
      </c>
      <c r="P93" s="204">
        <f t="shared" si="65"/>
        <v>0</v>
      </c>
      <c r="Q93" s="178">
        <f>124400-6800-7600</f>
        <v>110000</v>
      </c>
      <c r="R93" s="178">
        <v>124900</v>
      </c>
      <c r="S93" s="178">
        <v>125700</v>
      </c>
      <c r="T93" s="266">
        <v>110000</v>
      </c>
      <c r="U93" s="266">
        <v>93472.22</v>
      </c>
      <c r="V93" s="266">
        <v>110000</v>
      </c>
      <c r="W93" s="266">
        <v>110000</v>
      </c>
      <c r="X93" s="266">
        <v>110000</v>
      </c>
      <c r="Y93" s="266">
        <v>74429.19</v>
      </c>
      <c r="Z93" s="266">
        <f t="shared" si="53"/>
        <v>67.66</v>
      </c>
      <c r="AA93" s="266">
        <f t="shared" si="56"/>
        <v>-35570</v>
      </c>
      <c r="AB93" s="266">
        <v>74430</v>
      </c>
      <c r="AC93" s="266">
        <v>74429.19</v>
      </c>
      <c r="AD93" s="266">
        <f t="shared" si="66"/>
        <v>99.998911729141483</v>
      </c>
      <c r="AE93" s="266">
        <f t="shared" si="61"/>
        <v>0</v>
      </c>
      <c r="AF93" s="266">
        <v>74430</v>
      </c>
      <c r="AG93" s="266">
        <f>95000+8000</f>
        <v>103000</v>
      </c>
      <c r="AH93" s="266">
        <f>95000+8000</f>
        <v>103000</v>
      </c>
      <c r="AI93" s="266">
        <f>95000+8000</f>
        <v>103000</v>
      </c>
      <c r="AJ93" s="162" t="b">
        <f t="shared" si="48"/>
        <v>0</v>
      </c>
      <c r="AK93" s="162" t="str">
        <f t="shared" si="49"/>
        <v>PUNO</v>
      </c>
      <c r="AM93" s="264"/>
    </row>
    <row r="94" spans="1:39" s="264" customFormat="1" ht="15.75" x14ac:dyDescent="0.2">
      <c r="A94" s="259"/>
      <c r="B94" s="168"/>
      <c r="C94" s="168"/>
      <c r="D94" s="168"/>
      <c r="E94" s="168"/>
      <c r="F94" s="168"/>
      <c r="G94" s="168"/>
      <c r="H94" s="12" t="s">
        <v>877</v>
      </c>
      <c r="I94" s="181">
        <f>I96</f>
        <v>0</v>
      </c>
      <c r="J94" s="181">
        <f>J96</f>
        <v>0</v>
      </c>
      <c r="K94" s="181" t="e">
        <f>ROUND(J94/I94*100,2)</f>
        <v>#DIV/0!</v>
      </c>
      <c r="L94" s="181">
        <f>M94-I94</f>
        <v>0</v>
      </c>
      <c r="M94" s="262">
        <f>M96</f>
        <v>0</v>
      </c>
      <c r="N94" s="262">
        <f>N96</f>
        <v>0</v>
      </c>
      <c r="O94" s="262">
        <f>O96</f>
        <v>0</v>
      </c>
      <c r="P94" s="343">
        <f t="shared" si="65"/>
        <v>0</v>
      </c>
      <c r="Q94" s="262">
        <f t="shared" ref="Q94:X94" si="72">Q96</f>
        <v>0</v>
      </c>
      <c r="R94" s="262">
        <f t="shared" si="72"/>
        <v>1092000</v>
      </c>
      <c r="S94" s="262">
        <f t="shared" si="72"/>
        <v>0</v>
      </c>
      <c r="T94" s="342">
        <f t="shared" si="72"/>
        <v>0</v>
      </c>
      <c r="U94" s="342">
        <f>U96</f>
        <v>0</v>
      </c>
      <c r="V94" s="19">
        <f t="shared" si="72"/>
        <v>1305000</v>
      </c>
      <c r="W94" s="19">
        <f t="shared" si="72"/>
        <v>0</v>
      </c>
      <c r="X94" s="19">
        <f t="shared" si="72"/>
        <v>0</v>
      </c>
      <c r="Y94" s="19">
        <f>Y96</f>
        <v>403894.94</v>
      </c>
      <c r="Z94" s="19">
        <f t="shared" si="53"/>
        <v>30.95</v>
      </c>
      <c r="AA94" s="19">
        <f t="shared" si="56"/>
        <v>95100</v>
      </c>
      <c r="AB94" s="19">
        <f t="shared" ref="AB94:AI94" si="73">AB96</f>
        <v>1400100</v>
      </c>
      <c r="AC94" s="19">
        <f t="shared" si="73"/>
        <v>1301485.3500000001</v>
      </c>
      <c r="AD94" s="19">
        <f t="shared" si="66"/>
        <v>92.956599528605111</v>
      </c>
      <c r="AE94" s="19">
        <f t="shared" si="61"/>
        <v>-33100</v>
      </c>
      <c r="AF94" s="19">
        <f t="shared" si="73"/>
        <v>1367000</v>
      </c>
      <c r="AG94" s="19">
        <f t="shared" si="73"/>
        <v>0</v>
      </c>
      <c r="AH94" s="19">
        <f t="shared" si="73"/>
        <v>0</v>
      </c>
      <c r="AI94" s="19">
        <f t="shared" si="73"/>
        <v>0</v>
      </c>
      <c r="AJ94" s="162" t="b">
        <f t="shared" si="48"/>
        <v>1</v>
      </c>
      <c r="AK94" s="162" t="str">
        <f t="shared" si="49"/>
        <v>PRAZNO</v>
      </c>
      <c r="AL94" s="263"/>
    </row>
    <row r="95" spans="1:39" s="264" customFormat="1" ht="15.75" x14ac:dyDescent="0.2">
      <c r="A95" s="259"/>
      <c r="B95" s="260"/>
      <c r="C95" s="260"/>
      <c r="D95" s="260"/>
      <c r="E95" s="260"/>
      <c r="F95" s="260"/>
      <c r="G95" s="260"/>
      <c r="H95" s="441" t="s">
        <v>824</v>
      </c>
      <c r="I95" s="181"/>
      <c r="J95" s="181"/>
      <c r="K95" s="181"/>
      <c r="L95" s="181"/>
      <c r="M95" s="262"/>
      <c r="N95" s="262"/>
      <c r="O95" s="262"/>
      <c r="P95" s="343"/>
      <c r="Q95" s="262"/>
      <c r="R95" s="262"/>
      <c r="S95" s="262"/>
      <c r="T95" s="342"/>
      <c r="U95" s="342"/>
      <c r="V95" s="262">
        <f>V96</f>
        <v>1305000</v>
      </c>
      <c r="W95" s="262">
        <f>W96</f>
        <v>0</v>
      </c>
      <c r="X95" s="262">
        <f>X96</f>
        <v>0</v>
      </c>
      <c r="Y95" s="262">
        <f>Y96</f>
        <v>403894.94</v>
      </c>
      <c r="Z95" s="262">
        <f t="shared" si="53"/>
        <v>30.95</v>
      </c>
      <c r="AA95" s="262">
        <f t="shared" si="56"/>
        <v>95100</v>
      </c>
      <c r="AB95" s="262">
        <f t="shared" ref="AB95:AI95" si="74">AB96</f>
        <v>1400100</v>
      </c>
      <c r="AC95" s="262">
        <f t="shared" si="74"/>
        <v>1301485.3500000001</v>
      </c>
      <c r="AD95" s="262">
        <f t="shared" si="66"/>
        <v>92.956599528605111</v>
      </c>
      <c r="AE95" s="262">
        <f t="shared" si="61"/>
        <v>-33100</v>
      </c>
      <c r="AF95" s="262">
        <f t="shared" si="74"/>
        <v>1367000</v>
      </c>
      <c r="AG95" s="262">
        <f t="shared" si="74"/>
        <v>0</v>
      </c>
      <c r="AH95" s="262">
        <f t="shared" si="74"/>
        <v>0</v>
      </c>
      <c r="AI95" s="262">
        <f t="shared" si="74"/>
        <v>0</v>
      </c>
      <c r="AJ95" s="162" t="b">
        <f t="shared" si="48"/>
        <v>1</v>
      </c>
      <c r="AK95" s="162" t="str">
        <f t="shared" si="49"/>
        <v>PRAZNO</v>
      </c>
      <c r="AL95" s="263"/>
    </row>
    <row r="96" spans="1:39" s="264" customFormat="1" ht="15.75" x14ac:dyDescent="0.2">
      <c r="A96" s="259"/>
      <c r="B96" s="172">
        <v>3</v>
      </c>
      <c r="C96" s="172"/>
      <c r="D96" s="172"/>
      <c r="E96" s="172"/>
      <c r="F96" s="172"/>
      <c r="G96" s="172"/>
      <c r="H96" s="14" t="s">
        <v>524</v>
      </c>
      <c r="I96" s="181">
        <f>I97+I106</f>
        <v>0</v>
      </c>
      <c r="J96" s="181">
        <f>J97+J106</f>
        <v>0</v>
      </c>
      <c r="K96" s="181" t="e">
        <f t="shared" ref="K96:K108" si="75">ROUND(J96/I96*100,2)</f>
        <v>#DIV/0!</v>
      </c>
      <c r="L96" s="181">
        <f t="shared" ref="L96:L108" si="76">M96-I96</f>
        <v>0</v>
      </c>
      <c r="M96" s="181">
        <f>M97+M106</f>
        <v>0</v>
      </c>
      <c r="N96" s="181">
        <f>N97+N106</f>
        <v>0</v>
      </c>
      <c r="O96" s="181">
        <f>O97+O106</f>
        <v>0</v>
      </c>
      <c r="P96" s="343">
        <f t="shared" ref="P96:P108" si="77">T96-N96</f>
        <v>0</v>
      </c>
      <c r="Q96" s="181">
        <f t="shared" ref="Q96:X96" si="78">Q97+Q106</f>
        <v>0</v>
      </c>
      <c r="R96" s="181">
        <f t="shared" si="78"/>
        <v>1092000</v>
      </c>
      <c r="S96" s="181">
        <f t="shared" si="78"/>
        <v>0</v>
      </c>
      <c r="T96" s="307">
        <f t="shared" si="78"/>
        <v>0</v>
      </c>
      <c r="U96" s="307">
        <f>U97+U106</f>
        <v>0</v>
      </c>
      <c r="V96" s="20">
        <f t="shared" si="78"/>
        <v>1305000</v>
      </c>
      <c r="W96" s="20">
        <f t="shared" si="78"/>
        <v>0</v>
      </c>
      <c r="X96" s="20">
        <f t="shared" si="78"/>
        <v>0</v>
      </c>
      <c r="Y96" s="20">
        <f>Y97+Y106</f>
        <v>403894.94</v>
      </c>
      <c r="Z96" s="20">
        <f t="shared" si="53"/>
        <v>30.95</v>
      </c>
      <c r="AA96" s="20">
        <f t="shared" si="56"/>
        <v>95100</v>
      </c>
      <c r="AB96" s="20">
        <f t="shared" ref="AB96:AI96" si="79">AB97+AB106</f>
        <v>1400100</v>
      </c>
      <c r="AC96" s="20">
        <f t="shared" si="79"/>
        <v>1301485.3500000001</v>
      </c>
      <c r="AD96" s="20">
        <f t="shared" si="66"/>
        <v>92.956599528605111</v>
      </c>
      <c r="AE96" s="20">
        <f t="shared" si="61"/>
        <v>-33100</v>
      </c>
      <c r="AF96" s="20">
        <f t="shared" si="79"/>
        <v>1367000</v>
      </c>
      <c r="AG96" s="20">
        <f t="shared" si="79"/>
        <v>0</v>
      </c>
      <c r="AH96" s="20">
        <f t="shared" si="79"/>
        <v>0</v>
      </c>
      <c r="AI96" s="20">
        <f t="shared" si="79"/>
        <v>0</v>
      </c>
      <c r="AJ96" s="162" t="b">
        <f t="shared" si="48"/>
        <v>1</v>
      </c>
      <c r="AK96" s="162" t="str">
        <f t="shared" si="49"/>
        <v>PRAZNO</v>
      </c>
      <c r="AL96" s="263"/>
    </row>
    <row r="97" spans="1:39" ht="15.75" x14ac:dyDescent="0.2">
      <c r="B97" s="175"/>
      <c r="C97" s="175">
        <v>32</v>
      </c>
      <c r="D97" s="175"/>
      <c r="E97" s="175"/>
      <c r="F97" s="175"/>
      <c r="G97" s="175"/>
      <c r="H97" s="23" t="s">
        <v>525</v>
      </c>
      <c r="I97" s="203">
        <f>I98+I100+I102</f>
        <v>0</v>
      </c>
      <c r="J97" s="203">
        <f>J98+J100+J102</f>
        <v>0</v>
      </c>
      <c r="K97" s="203" t="e">
        <f t="shared" si="75"/>
        <v>#DIV/0!</v>
      </c>
      <c r="L97" s="203">
        <f t="shared" si="76"/>
        <v>0</v>
      </c>
      <c r="M97" s="203">
        <f>M98+M100+M102</f>
        <v>0</v>
      </c>
      <c r="N97" s="203">
        <f>N98+N100+N102</f>
        <v>0</v>
      </c>
      <c r="O97" s="203">
        <f>O98+O100+O102</f>
        <v>0</v>
      </c>
      <c r="P97" s="204">
        <f t="shared" si="77"/>
        <v>0</v>
      </c>
      <c r="Q97" s="203">
        <f t="shared" ref="Q97:X97" si="80">Q98+Q100+Q102</f>
        <v>0</v>
      </c>
      <c r="R97" s="203">
        <f t="shared" si="80"/>
        <v>892000</v>
      </c>
      <c r="S97" s="203">
        <f t="shared" si="80"/>
        <v>0</v>
      </c>
      <c r="T97" s="204">
        <f t="shared" si="80"/>
        <v>0</v>
      </c>
      <c r="U97" s="204">
        <f>U98+U100+U102</f>
        <v>0</v>
      </c>
      <c r="V97" s="203">
        <f t="shared" si="80"/>
        <v>1055000</v>
      </c>
      <c r="W97" s="203">
        <f t="shared" si="80"/>
        <v>0</v>
      </c>
      <c r="X97" s="203">
        <f t="shared" si="80"/>
        <v>0</v>
      </c>
      <c r="Y97" s="203">
        <f>Y98+Y100+Y102</f>
        <v>403894.94</v>
      </c>
      <c r="Z97" s="203">
        <f t="shared" si="53"/>
        <v>38.28</v>
      </c>
      <c r="AA97" s="203">
        <f t="shared" si="56"/>
        <v>32000</v>
      </c>
      <c r="AB97" s="203">
        <f t="shared" ref="AB97:AI97" si="81">AB98+AB100+AB102</f>
        <v>1087000</v>
      </c>
      <c r="AC97" s="203">
        <f t="shared" si="81"/>
        <v>988388.93</v>
      </c>
      <c r="AD97" s="203">
        <f t="shared" si="66"/>
        <v>90.928144434222631</v>
      </c>
      <c r="AE97" s="203">
        <f t="shared" si="61"/>
        <v>-33100</v>
      </c>
      <c r="AF97" s="203">
        <f t="shared" si="81"/>
        <v>1053900</v>
      </c>
      <c r="AG97" s="203">
        <f t="shared" si="81"/>
        <v>0</v>
      </c>
      <c r="AH97" s="203">
        <f t="shared" si="81"/>
        <v>0</v>
      </c>
      <c r="AI97" s="203">
        <f t="shared" si="81"/>
        <v>0</v>
      </c>
      <c r="AJ97" s="162" t="b">
        <f t="shared" si="48"/>
        <v>1</v>
      </c>
      <c r="AK97" s="162" t="str">
        <f t="shared" si="49"/>
        <v>PRAZNO</v>
      </c>
      <c r="AM97" s="264"/>
    </row>
    <row r="98" spans="1:39" ht="15.75" x14ac:dyDescent="0.2">
      <c r="B98" s="175"/>
      <c r="C98" s="175"/>
      <c r="D98" s="175">
        <v>322</v>
      </c>
      <c r="E98" s="175"/>
      <c r="F98" s="175"/>
      <c r="G98" s="175"/>
      <c r="H98" s="23" t="s">
        <v>547</v>
      </c>
      <c r="I98" s="203">
        <f>I99</f>
        <v>0</v>
      </c>
      <c r="J98" s="203">
        <f>J99</f>
        <v>0</v>
      </c>
      <c r="K98" s="203" t="e">
        <f t="shared" si="75"/>
        <v>#DIV/0!</v>
      </c>
      <c r="L98" s="203">
        <f t="shared" si="76"/>
        <v>0</v>
      </c>
      <c r="M98" s="203">
        <f>M99</f>
        <v>0</v>
      </c>
      <c r="N98" s="203">
        <f>N99</f>
        <v>0</v>
      </c>
      <c r="O98" s="203">
        <f>O99</f>
        <v>0</v>
      </c>
      <c r="P98" s="204">
        <f t="shared" si="77"/>
        <v>0</v>
      </c>
      <c r="Q98" s="203">
        <f t="shared" ref="Q98:AI98" si="82">Q99</f>
        <v>0</v>
      </c>
      <c r="R98" s="203">
        <f t="shared" si="82"/>
        <v>110000</v>
      </c>
      <c r="S98" s="203">
        <f t="shared" si="82"/>
        <v>0</v>
      </c>
      <c r="T98" s="204">
        <f t="shared" si="82"/>
        <v>0</v>
      </c>
      <c r="U98" s="204">
        <f t="shared" si="82"/>
        <v>0</v>
      </c>
      <c r="V98" s="203">
        <f t="shared" si="82"/>
        <v>150000</v>
      </c>
      <c r="W98" s="203">
        <f t="shared" si="82"/>
        <v>0</v>
      </c>
      <c r="X98" s="203">
        <f t="shared" si="82"/>
        <v>0</v>
      </c>
      <c r="Y98" s="203">
        <f t="shared" si="82"/>
        <v>5396.94</v>
      </c>
      <c r="Z98" s="203">
        <f t="shared" si="53"/>
        <v>3.6</v>
      </c>
      <c r="AA98" s="203">
        <f t="shared" si="56"/>
        <v>-40000</v>
      </c>
      <c r="AB98" s="203">
        <f t="shared" si="82"/>
        <v>110000</v>
      </c>
      <c r="AC98" s="203">
        <f t="shared" si="82"/>
        <v>94521.78</v>
      </c>
      <c r="AD98" s="203">
        <f t="shared" si="66"/>
        <v>85.92889090909091</v>
      </c>
      <c r="AE98" s="203">
        <f t="shared" si="61"/>
        <v>-15400</v>
      </c>
      <c r="AF98" s="203">
        <f t="shared" si="82"/>
        <v>94600</v>
      </c>
      <c r="AG98" s="203">
        <f t="shared" si="82"/>
        <v>0</v>
      </c>
      <c r="AH98" s="203">
        <f t="shared" si="82"/>
        <v>0</v>
      </c>
      <c r="AI98" s="203">
        <f t="shared" si="82"/>
        <v>0</v>
      </c>
      <c r="AJ98" s="162" t="b">
        <f t="shared" si="48"/>
        <v>1</v>
      </c>
      <c r="AK98" s="162" t="str">
        <f t="shared" si="49"/>
        <v>PRAZNO</v>
      </c>
      <c r="AM98" s="264"/>
    </row>
    <row r="99" spans="1:39" ht="15.75" x14ac:dyDescent="0.2">
      <c r="B99" s="177"/>
      <c r="C99" s="177"/>
      <c r="D99" s="177"/>
      <c r="E99" s="177">
        <v>3221</v>
      </c>
      <c r="F99" s="176">
        <v>11</v>
      </c>
      <c r="G99" s="176" t="s">
        <v>527</v>
      </c>
      <c r="H99" s="16" t="s">
        <v>548</v>
      </c>
      <c r="I99" s="17">
        <v>0</v>
      </c>
      <c r="J99" s="17"/>
      <c r="K99" s="17" t="e">
        <f t="shared" si="75"/>
        <v>#DIV/0!</v>
      </c>
      <c r="L99" s="17">
        <f t="shared" si="76"/>
        <v>0</v>
      </c>
      <c r="M99" s="17">
        <v>0</v>
      </c>
      <c r="N99" s="17">
        <v>0</v>
      </c>
      <c r="O99" s="17">
        <v>0</v>
      </c>
      <c r="P99" s="204">
        <f t="shared" si="77"/>
        <v>0</v>
      </c>
      <c r="Q99" s="17"/>
      <c r="R99" s="17">
        <v>110000</v>
      </c>
      <c r="S99" s="17"/>
      <c r="T99" s="26">
        <v>0</v>
      </c>
      <c r="U99" s="26"/>
      <c r="V99" s="17">
        <v>150000</v>
      </c>
      <c r="W99" s="17">
        <v>0</v>
      </c>
      <c r="X99" s="17">
        <v>0</v>
      </c>
      <c r="Y99" s="17">
        <v>5396.94</v>
      </c>
      <c r="Z99" s="17">
        <f t="shared" si="53"/>
        <v>3.6</v>
      </c>
      <c r="AA99" s="17">
        <f t="shared" si="56"/>
        <v>-40000</v>
      </c>
      <c r="AB99" s="17">
        <v>110000</v>
      </c>
      <c r="AC99" s="17">
        <v>94521.78</v>
      </c>
      <c r="AD99" s="17">
        <f t="shared" si="66"/>
        <v>85.92889090909091</v>
      </c>
      <c r="AE99" s="17">
        <f t="shared" si="61"/>
        <v>-15400</v>
      </c>
      <c r="AF99" s="17">
        <v>94600</v>
      </c>
      <c r="AG99" s="17">
        <v>0</v>
      </c>
      <c r="AH99" s="17">
        <v>0</v>
      </c>
      <c r="AI99" s="17">
        <v>0</v>
      </c>
      <c r="AJ99" s="162" t="b">
        <f t="shared" si="48"/>
        <v>0</v>
      </c>
      <c r="AK99" s="162" t="str">
        <f t="shared" si="49"/>
        <v>PUNO</v>
      </c>
      <c r="AM99" s="264"/>
    </row>
    <row r="100" spans="1:39" ht="15.75" x14ac:dyDescent="0.2">
      <c r="B100" s="175"/>
      <c r="C100" s="175"/>
      <c r="D100" s="175">
        <v>323</v>
      </c>
      <c r="E100" s="175"/>
      <c r="F100" s="175"/>
      <c r="G100" s="175"/>
      <c r="H100" s="16" t="s">
        <v>526</v>
      </c>
      <c r="I100" s="22">
        <f>I101</f>
        <v>0</v>
      </c>
      <c r="J100" s="22">
        <f>J101</f>
        <v>0</v>
      </c>
      <c r="K100" s="22" t="e">
        <f t="shared" si="75"/>
        <v>#DIV/0!</v>
      </c>
      <c r="L100" s="22">
        <f t="shared" si="76"/>
        <v>0</v>
      </c>
      <c r="M100" s="22">
        <f>M101</f>
        <v>0</v>
      </c>
      <c r="N100" s="22">
        <f>N101</f>
        <v>0</v>
      </c>
      <c r="O100" s="22">
        <f>O101</f>
        <v>0</v>
      </c>
      <c r="P100" s="204">
        <f t="shared" si="77"/>
        <v>0</v>
      </c>
      <c r="Q100" s="22">
        <f t="shared" ref="Q100:AI100" si="83">Q101</f>
        <v>0</v>
      </c>
      <c r="R100" s="22">
        <f t="shared" si="83"/>
        <v>20000</v>
      </c>
      <c r="S100" s="22">
        <f t="shared" si="83"/>
        <v>0</v>
      </c>
      <c r="T100" s="38">
        <f t="shared" si="83"/>
        <v>0</v>
      </c>
      <c r="U100" s="38">
        <f t="shared" si="83"/>
        <v>0</v>
      </c>
      <c r="V100" s="22">
        <f t="shared" si="83"/>
        <v>30000</v>
      </c>
      <c r="W100" s="22">
        <f t="shared" si="83"/>
        <v>0</v>
      </c>
      <c r="X100" s="22">
        <f t="shared" si="83"/>
        <v>0</v>
      </c>
      <c r="Y100" s="203">
        <f t="shared" si="83"/>
        <v>16500</v>
      </c>
      <c r="Z100" s="203">
        <f t="shared" si="53"/>
        <v>55</v>
      </c>
      <c r="AA100" s="22">
        <f t="shared" si="56"/>
        <v>-5000</v>
      </c>
      <c r="AB100" s="203">
        <f t="shared" si="83"/>
        <v>25000</v>
      </c>
      <c r="AC100" s="203">
        <f t="shared" si="83"/>
        <v>16500</v>
      </c>
      <c r="AD100" s="203">
        <f t="shared" si="66"/>
        <v>66</v>
      </c>
      <c r="AE100" s="203">
        <f t="shared" si="61"/>
        <v>-8500</v>
      </c>
      <c r="AF100" s="203">
        <f t="shared" si="83"/>
        <v>16500</v>
      </c>
      <c r="AG100" s="203">
        <f t="shared" si="83"/>
        <v>0</v>
      </c>
      <c r="AH100" s="203">
        <f t="shared" si="83"/>
        <v>0</v>
      </c>
      <c r="AI100" s="203">
        <f t="shared" si="83"/>
        <v>0</v>
      </c>
      <c r="AJ100" s="162" t="b">
        <f t="shared" si="48"/>
        <v>1</v>
      </c>
      <c r="AK100" s="162" t="str">
        <f t="shared" si="49"/>
        <v>PRAZNO</v>
      </c>
      <c r="AM100" s="264"/>
    </row>
    <row r="101" spans="1:39" ht="15.75" x14ac:dyDescent="0.2">
      <c r="B101" s="177"/>
      <c r="C101" s="177"/>
      <c r="D101" s="177"/>
      <c r="E101" s="177">
        <v>3233</v>
      </c>
      <c r="F101" s="176">
        <v>11</v>
      </c>
      <c r="G101" s="176" t="s">
        <v>527</v>
      </c>
      <c r="H101" s="16" t="s">
        <v>528</v>
      </c>
      <c r="I101" s="17">
        <v>0</v>
      </c>
      <c r="J101" s="17"/>
      <c r="K101" s="17" t="e">
        <f t="shared" si="75"/>
        <v>#DIV/0!</v>
      </c>
      <c r="L101" s="17">
        <f t="shared" si="76"/>
        <v>0</v>
      </c>
      <c r="M101" s="17">
        <v>0</v>
      </c>
      <c r="N101" s="17">
        <v>0</v>
      </c>
      <c r="O101" s="17">
        <v>0</v>
      </c>
      <c r="P101" s="204">
        <f t="shared" si="77"/>
        <v>0</v>
      </c>
      <c r="Q101" s="17"/>
      <c r="R101" s="17">
        <v>20000</v>
      </c>
      <c r="S101" s="17"/>
      <c r="T101" s="26">
        <v>0</v>
      </c>
      <c r="U101" s="26"/>
      <c r="V101" s="17">
        <v>30000</v>
      </c>
      <c r="W101" s="17">
        <v>0</v>
      </c>
      <c r="X101" s="17">
        <v>0</v>
      </c>
      <c r="Y101" s="17">
        <v>16500</v>
      </c>
      <c r="Z101" s="17">
        <f t="shared" si="53"/>
        <v>55</v>
      </c>
      <c r="AA101" s="17">
        <f t="shared" si="56"/>
        <v>-5000</v>
      </c>
      <c r="AB101" s="17">
        <v>25000</v>
      </c>
      <c r="AC101" s="17">
        <v>16500</v>
      </c>
      <c r="AD101" s="17">
        <f t="shared" si="66"/>
        <v>66</v>
      </c>
      <c r="AE101" s="17">
        <f t="shared" si="61"/>
        <v>-8500</v>
      </c>
      <c r="AF101" s="17">
        <v>16500</v>
      </c>
      <c r="AG101" s="17">
        <v>0</v>
      </c>
      <c r="AH101" s="17">
        <v>0</v>
      </c>
      <c r="AI101" s="17">
        <v>0</v>
      </c>
      <c r="AJ101" s="162" t="b">
        <f t="shared" si="48"/>
        <v>0</v>
      </c>
      <c r="AK101" s="162" t="str">
        <f t="shared" si="49"/>
        <v>PUNO</v>
      </c>
      <c r="AM101" s="264"/>
    </row>
    <row r="102" spans="1:39" ht="15.75" x14ac:dyDescent="0.2">
      <c r="B102" s="177"/>
      <c r="C102" s="177"/>
      <c r="D102" s="177">
        <v>329</v>
      </c>
      <c r="E102" s="177"/>
      <c r="F102" s="177"/>
      <c r="G102" s="177"/>
      <c r="H102" s="16" t="s">
        <v>531</v>
      </c>
      <c r="I102" s="17">
        <f>SUM(I103:I105)</f>
        <v>0</v>
      </c>
      <c r="J102" s="17">
        <f>SUM(J103:J105)</f>
        <v>0</v>
      </c>
      <c r="K102" s="17" t="e">
        <f t="shared" si="75"/>
        <v>#DIV/0!</v>
      </c>
      <c r="L102" s="17">
        <f t="shared" si="76"/>
        <v>0</v>
      </c>
      <c r="M102" s="17">
        <f>SUM(M103:M105)</f>
        <v>0</v>
      </c>
      <c r="N102" s="17">
        <f>SUM(N103:N105)</f>
        <v>0</v>
      </c>
      <c r="O102" s="17">
        <f>SUM(O103:O105)</f>
        <v>0</v>
      </c>
      <c r="P102" s="204">
        <f t="shared" si="77"/>
        <v>0</v>
      </c>
      <c r="Q102" s="17">
        <f t="shared" ref="Q102:X102" si="84">SUM(Q103:Q105)</f>
        <v>0</v>
      </c>
      <c r="R102" s="17">
        <f t="shared" si="84"/>
        <v>762000</v>
      </c>
      <c r="S102" s="17">
        <f t="shared" si="84"/>
        <v>0</v>
      </c>
      <c r="T102" s="26">
        <f t="shared" si="84"/>
        <v>0</v>
      </c>
      <c r="U102" s="26">
        <f>SUM(U103:U105)</f>
        <v>0</v>
      </c>
      <c r="V102" s="17">
        <f t="shared" si="84"/>
        <v>875000</v>
      </c>
      <c r="W102" s="17">
        <f t="shared" si="84"/>
        <v>0</v>
      </c>
      <c r="X102" s="17">
        <f t="shared" si="84"/>
        <v>0</v>
      </c>
      <c r="Y102" s="17">
        <f>SUM(Y103:Y105)</f>
        <v>381998</v>
      </c>
      <c r="Z102" s="17">
        <f t="shared" si="53"/>
        <v>43.66</v>
      </c>
      <c r="AA102" s="17">
        <f t="shared" si="56"/>
        <v>77000</v>
      </c>
      <c r="AB102" s="17">
        <f t="shared" ref="AB102:AI102" si="85">SUM(AB103:AB105)</f>
        <v>952000</v>
      </c>
      <c r="AC102" s="17">
        <f t="shared" si="85"/>
        <v>877367.15</v>
      </c>
      <c r="AD102" s="17">
        <f t="shared" si="66"/>
        <v>92.160414915966399</v>
      </c>
      <c r="AE102" s="17">
        <f t="shared" si="61"/>
        <v>-9200</v>
      </c>
      <c r="AF102" s="17">
        <f t="shared" si="85"/>
        <v>942800</v>
      </c>
      <c r="AG102" s="17">
        <f t="shared" si="85"/>
        <v>0</v>
      </c>
      <c r="AH102" s="17">
        <f t="shared" si="85"/>
        <v>0</v>
      </c>
      <c r="AI102" s="17">
        <f t="shared" si="85"/>
        <v>0</v>
      </c>
      <c r="AJ102" s="162" t="b">
        <f t="shared" si="48"/>
        <v>1</v>
      </c>
      <c r="AK102" s="162" t="str">
        <f t="shared" si="49"/>
        <v>PRAZNO</v>
      </c>
      <c r="AM102" s="264"/>
    </row>
    <row r="103" spans="1:39" ht="31.5" customHeight="1" x14ac:dyDescent="0.2">
      <c r="B103" s="177"/>
      <c r="C103" s="177"/>
      <c r="D103" s="177"/>
      <c r="E103" s="177">
        <v>3291</v>
      </c>
      <c r="F103" s="176">
        <v>11</v>
      </c>
      <c r="G103" s="176" t="s">
        <v>527</v>
      </c>
      <c r="H103" s="16" t="s">
        <v>532</v>
      </c>
      <c r="I103" s="17">
        <v>0</v>
      </c>
      <c r="J103" s="17"/>
      <c r="K103" s="17" t="e">
        <f t="shared" si="75"/>
        <v>#DIV/0!</v>
      </c>
      <c r="L103" s="17">
        <f t="shared" si="76"/>
        <v>0</v>
      </c>
      <c r="M103" s="17">
        <v>0</v>
      </c>
      <c r="N103" s="17">
        <v>0</v>
      </c>
      <c r="O103" s="17">
        <v>0</v>
      </c>
      <c r="P103" s="204">
        <f t="shared" si="77"/>
        <v>0</v>
      </c>
      <c r="Q103" s="17"/>
      <c r="R103" s="17">
        <v>750000</v>
      </c>
      <c r="S103" s="17"/>
      <c r="T103" s="26">
        <v>0</v>
      </c>
      <c r="U103" s="26"/>
      <c r="V103" s="17">
        <v>850000</v>
      </c>
      <c r="W103" s="17">
        <v>0</v>
      </c>
      <c r="X103" s="17">
        <v>0</v>
      </c>
      <c r="Y103" s="17">
        <v>381000</v>
      </c>
      <c r="Z103" s="17">
        <f t="shared" si="53"/>
        <v>44.82</v>
      </c>
      <c r="AA103" s="17">
        <f t="shared" si="56"/>
        <v>87000</v>
      </c>
      <c r="AB103" s="17">
        <v>937000</v>
      </c>
      <c r="AC103" s="17">
        <v>871582.62</v>
      </c>
      <c r="AD103" s="17">
        <f t="shared" si="66"/>
        <v>93.018422625400206</v>
      </c>
      <c r="AE103" s="17">
        <v>0</v>
      </c>
      <c r="AF103" s="17">
        <v>937000</v>
      </c>
      <c r="AG103" s="17">
        <v>0</v>
      </c>
      <c r="AH103" s="17">
        <v>0</v>
      </c>
      <c r="AI103" s="17">
        <v>0</v>
      </c>
      <c r="AJ103" s="162" t="b">
        <f t="shared" si="48"/>
        <v>0</v>
      </c>
      <c r="AK103" s="162" t="str">
        <f t="shared" si="49"/>
        <v>PUNO</v>
      </c>
      <c r="AM103" s="264"/>
    </row>
    <row r="104" spans="1:39" ht="15.75" x14ac:dyDescent="0.2">
      <c r="B104" s="177"/>
      <c r="C104" s="177"/>
      <c r="D104" s="177"/>
      <c r="E104" s="177">
        <v>3293</v>
      </c>
      <c r="F104" s="176">
        <v>11</v>
      </c>
      <c r="G104" s="176" t="s">
        <v>527</v>
      </c>
      <c r="H104" s="16" t="s">
        <v>533</v>
      </c>
      <c r="I104" s="17">
        <v>0</v>
      </c>
      <c r="J104" s="17"/>
      <c r="K104" s="17" t="e">
        <f t="shared" si="75"/>
        <v>#DIV/0!</v>
      </c>
      <c r="L104" s="17">
        <f t="shared" si="76"/>
        <v>0</v>
      </c>
      <c r="M104" s="17">
        <v>0</v>
      </c>
      <c r="N104" s="17">
        <v>0</v>
      </c>
      <c r="O104" s="17">
        <v>0</v>
      </c>
      <c r="P104" s="204">
        <f t="shared" si="77"/>
        <v>0</v>
      </c>
      <c r="Q104" s="17"/>
      <c r="R104" s="17">
        <v>10000</v>
      </c>
      <c r="S104" s="17"/>
      <c r="T104" s="26">
        <v>0</v>
      </c>
      <c r="U104" s="26"/>
      <c r="V104" s="17">
        <v>15000</v>
      </c>
      <c r="W104" s="17">
        <v>0</v>
      </c>
      <c r="X104" s="17">
        <v>0</v>
      </c>
      <c r="Y104" s="17">
        <v>998</v>
      </c>
      <c r="Z104" s="17">
        <f t="shared" si="53"/>
        <v>6.65</v>
      </c>
      <c r="AA104" s="17">
        <f t="shared" si="56"/>
        <v>-5000</v>
      </c>
      <c r="AB104" s="17">
        <v>10000</v>
      </c>
      <c r="AC104" s="17">
        <v>5086</v>
      </c>
      <c r="AD104" s="17">
        <f t="shared" si="66"/>
        <v>50.860000000000007</v>
      </c>
      <c r="AE104" s="17">
        <f t="shared" si="61"/>
        <v>-4900</v>
      </c>
      <c r="AF104" s="17">
        <v>5100</v>
      </c>
      <c r="AG104" s="17">
        <v>0</v>
      </c>
      <c r="AH104" s="17">
        <v>0</v>
      </c>
      <c r="AI104" s="17">
        <v>0</v>
      </c>
      <c r="AJ104" s="162" t="b">
        <f t="shared" si="48"/>
        <v>0</v>
      </c>
      <c r="AK104" s="162" t="str">
        <f t="shared" si="49"/>
        <v>PUNO</v>
      </c>
      <c r="AM104" s="264"/>
    </row>
    <row r="105" spans="1:39" ht="15.75" x14ac:dyDescent="0.2">
      <c r="B105" s="177"/>
      <c r="C105" s="177"/>
      <c r="D105" s="177"/>
      <c r="E105" s="177">
        <v>3299</v>
      </c>
      <c r="F105" s="176">
        <v>11</v>
      </c>
      <c r="G105" s="176" t="s">
        <v>527</v>
      </c>
      <c r="H105" s="16" t="s">
        <v>395</v>
      </c>
      <c r="I105" s="18">
        <v>0</v>
      </c>
      <c r="J105" s="18"/>
      <c r="K105" s="18" t="e">
        <f t="shared" si="75"/>
        <v>#DIV/0!</v>
      </c>
      <c r="L105" s="18">
        <f t="shared" si="76"/>
        <v>0</v>
      </c>
      <c r="M105" s="18">
        <v>0</v>
      </c>
      <c r="N105" s="18">
        <v>0</v>
      </c>
      <c r="O105" s="18">
        <v>0</v>
      </c>
      <c r="P105" s="204">
        <f t="shared" si="77"/>
        <v>0</v>
      </c>
      <c r="Q105" s="18"/>
      <c r="R105" s="18">
        <v>2000</v>
      </c>
      <c r="S105" s="18"/>
      <c r="T105" s="27">
        <v>0</v>
      </c>
      <c r="U105" s="27"/>
      <c r="V105" s="18">
        <v>10000</v>
      </c>
      <c r="W105" s="18">
        <v>0</v>
      </c>
      <c r="X105" s="18">
        <v>0</v>
      </c>
      <c r="Y105" s="18">
        <v>0</v>
      </c>
      <c r="Z105" s="18">
        <f t="shared" si="53"/>
        <v>0</v>
      </c>
      <c r="AA105" s="18">
        <f t="shared" si="56"/>
        <v>-5000</v>
      </c>
      <c r="AB105" s="18">
        <v>5000</v>
      </c>
      <c r="AC105" s="18">
        <v>698.53</v>
      </c>
      <c r="AD105" s="18">
        <f t="shared" si="66"/>
        <v>13.970599999999999</v>
      </c>
      <c r="AE105" s="18">
        <f t="shared" si="61"/>
        <v>-4300</v>
      </c>
      <c r="AF105" s="18">
        <v>700</v>
      </c>
      <c r="AG105" s="18">
        <v>0</v>
      </c>
      <c r="AH105" s="18">
        <v>0</v>
      </c>
      <c r="AI105" s="18">
        <v>0</v>
      </c>
      <c r="AJ105" s="162" t="b">
        <f t="shared" si="48"/>
        <v>0</v>
      </c>
      <c r="AK105" s="162" t="str">
        <f t="shared" si="49"/>
        <v>PUNO</v>
      </c>
      <c r="AM105" s="264"/>
    </row>
    <row r="106" spans="1:39" ht="15.75" x14ac:dyDescent="0.2">
      <c r="B106" s="177"/>
      <c r="C106" s="177">
        <v>38</v>
      </c>
      <c r="D106" s="177"/>
      <c r="E106" s="177"/>
      <c r="F106" s="177"/>
      <c r="G106" s="177"/>
      <c r="H106" s="16" t="s">
        <v>539</v>
      </c>
      <c r="I106" s="17">
        <f t="shared" ref="I106:AI107" si="86">I107</f>
        <v>0</v>
      </c>
      <c r="J106" s="17">
        <f t="shared" si="86"/>
        <v>0</v>
      </c>
      <c r="K106" s="17" t="e">
        <f t="shared" si="75"/>
        <v>#DIV/0!</v>
      </c>
      <c r="L106" s="17">
        <f t="shared" si="76"/>
        <v>0</v>
      </c>
      <c r="M106" s="17">
        <f t="shared" si="86"/>
        <v>0</v>
      </c>
      <c r="N106" s="17">
        <f t="shared" si="86"/>
        <v>0</v>
      </c>
      <c r="O106" s="17">
        <f t="shared" si="86"/>
        <v>0</v>
      </c>
      <c r="P106" s="204">
        <f t="shared" si="77"/>
        <v>0</v>
      </c>
      <c r="Q106" s="17">
        <f t="shared" si="86"/>
        <v>0</v>
      </c>
      <c r="R106" s="17">
        <f t="shared" si="86"/>
        <v>200000</v>
      </c>
      <c r="S106" s="17">
        <f t="shared" si="86"/>
        <v>0</v>
      </c>
      <c r="T106" s="26">
        <f t="shared" si="86"/>
        <v>0</v>
      </c>
      <c r="U106" s="26">
        <f t="shared" si="86"/>
        <v>0</v>
      </c>
      <c r="V106" s="17">
        <f t="shared" si="86"/>
        <v>250000</v>
      </c>
      <c r="W106" s="17">
        <f t="shared" si="86"/>
        <v>0</v>
      </c>
      <c r="X106" s="17">
        <f t="shared" si="86"/>
        <v>0</v>
      </c>
      <c r="Y106" s="17">
        <f t="shared" si="86"/>
        <v>0</v>
      </c>
      <c r="Z106" s="17">
        <f t="shared" si="53"/>
        <v>0</v>
      </c>
      <c r="AA106" s="17">
        <f t="shared" si="56"/>
        <v>63100</v>
      </c>
      <c r="AB106" s="17">
        <f t="shared" si="86"/>
        <v>313100</v>
      </c>
      <c r="AC106" s="17">
        <f t="shared" si="86"/>
        <v>313096.42</v>
      </c>
      <c r="AD106" s="17">
        <f t="shared" si="66"/>
        <v>99.998856595336946</v>
      </c>
      <c r="AE106" s="17">
        <f t="shared" si="61"/>
        <v>0</v>
      </c>
      <c r="AF106" s="17">
        <f t="shared" si="86"/>
        <v>313100</v>
      </c>
      <c r="AG106" s="17">
        <f t="shared" si="86"/>
        <v>0</v>
      </c>
      <c r="AH106" s="17">
        <f t="shared" si="86"/>
        <v>0</v>
      </c>
      <c r="AI106" s="17">
        <f t="shared" si="86"/>
        <v>0</v>
      </c>
      <c r="AJ106" s="162" t="b">
        <f t="shared" si="48"/>
        <v>1</v>
      </c>
      <c r="AK106" s="162" t="str">
        <f t="shared" si="49"/>
        <v>PRAZNO</v>
      </c>
      <c r="AM106" s="264"/>
    </row>
    <row r="107" spans="1:39" ht="15.75" x14ac:dyDescent="0.2">
      <c r="B107" s="177"/>
      <c r="C107" s="177"/>
      <c r="D107" s="177">
        <v>381</v>
      </c>
      <c r="E107" s="177"/>
      <c r="F107" s="177"/>
      <c r="G107" s="177"/>
      <c r="H107" s="16" t="s">
        <v>540</v>
      </c>
      <c r="I107" s="17">
        <f t="shared" si="86"/>
        <v>0</v>
      </c>
      <c r="J107" s="17">
        <f t="shared" si="86"/>
        <v>0</v>
      </c>
      <c r="K107" s="17" t="e">
        <f t="shared" si="75"/>
        <v>#DIV/0!</v>
      </c>
      <c r="L107" s="17">
        <f t="shared" si="76"/>
        <v>0</v>
      </c>
      <c r="M107" s="17">
        <f t="shared" si="86"/>
        <v>0</v>
      </c>
      <c r="N107" s="17">
        <f t="shared" si="86"/>
        <v>0</v>
      </c>
      <c r="O107" s="17">
        <f t="shared" si="86"/>
        <v>0</v>
      </c>
      <c r="P107" s="204">
        <f t="shared" si="77"/>
        <v>0</v>
      </c>
      <c r="Q107" s="17">
        <f t="shared" si="86"/>
        <v>0</v>
      </c>
      <c r="R107" s="17">
        <f t="shared" si="86"/>
        <v>200000</v>
      </c>
      <c r="S107" s="17">
        <f t="shared" si="86"/>
        <v>0</v>
      </c>
      <c r="T107" s="26">
        <f t="shared" si="86"/>
        <v>0</v>
      </c>
      <c r="U107" s="26">
        <f t="shared" si="86"/>
        <v>0</v>
      </c>
      <c r="V107" s="17">
        <f t="shared" si="86"/>
        <v>250000</v>
      </c>
      <c r="W107" s="17">
        <f t="shared" si="86"/>
        <v>0</v>
      </c>
      <c r="X107" s="17">
        <f t="shared" si="86"/>
        <v>0</v>
      </c>
      <c r="Y107" s="17">
        <f t="shared" si="86"/>
        <v>0</v>
      </c>
      <c r="Z107" s="17">
        <f t="shared" si="53"/>
        <v>0</v>
      </c>
      <c r="AA107" s="17">
        <f t="shared" si="56"/>
        <v>63100</v>
      </c>
      <c r="AB107" s="17">
        <f t="shared" si="86"/>
        <v>313100</v>
      </c>
      <c r="AC107" s="17">
        <f t="shared" si="86"/>
        <v>313096.42</v>
      </c>
      <c r="AD107" s="17">
        <f t="shared" si="66"/>
        <v>99.998856595336946</v>
      </c>
      <c r="AE107" s="17">
        <f t="shared" si="61"/>
        <v>0</v>
      </c>
      <c r="AF107" s="17">
        <f t="shared" si="86"/>
        <v>313100</v>
      </c>
      <c r="AG107" s="17">
        <f t="shared" si="86"/>
        <v>0</v>
      </c>
      <c r="AH107" s="17">
        <f t="shared" si="86"/>
        <v>0</v>
      </c>
      <c r="AI107" s="17">
        <f t="shared" si="86"/>
        <v>0</v>
      </c>
      <c r="AJ107" s="162" t="b">
        <f t="shared" si="48"/>
        <v>1</v>
      </c>
      <c r="AK107" s="162" t="str">
        <f t="shared" si="49"/>
        <v>PRAZNO</v>
      </c>
      <c r="AM107" s="264"/>
    </row>
    <row r="108" spans="1:39" ht="30" x14ac:dyDescent="0.2">
      <c r="B108" s="177"/>
      <c r="C108" s="177"/>
      <c r="D108" s="177"/>
      <c r="E108" s="177">
        <v>3811</v>
      </c>
      <c r="F108" s="176">
        <v>11</v>
      </c>
      <c r="G108" s="176" t="s">
        <v>527</v>
      </c>
      <c r="H108" s="16" t="s">
        <v>549</v>
      </c>
      <c r="I108" s="18">
        <v>0</v>
      </c>
      <c r="J108" s="18"/>
      <c r="K108" s="18" t="e">
        <f t="shared" si="75"/>
        <v>#DIV/0!</v>
      </c>
      <c r="L108" s="18">
        <f t="shared" si="76"/>
        <v>0</v>
      </c>
      <c r="M108" s="18">
        <v>0</v>
      </c>
      <c r="N108" s="18">
        <v>0</v>
      </c>
      <c r="O108" s="18">
        <v>0</v>
      </c>
      <c r="P108" s="204">
        <f t="shared" si="77"/>
        <v>0</v>
      </c>
      <c r="Q108" s="18"/>
      <c r="R108" s="18">
        <v>200000</v>
      </c>
      <c r="S108" s="18"/>
      <c r="T108" s="27">
        <v>0</v>
      </c>
      <c r="U108" s="27"/>
      <c r="V108" s="18">
        <v>250000</v>
      </c>
      <c r="W108" s="18">
        <v>0</v>
      </c>
      <c r="X108" s="18">
        <v>0</v>
      </c>
      <c r="Y108" s="18">
        <v>0</v>
      </c>
      <c r="Z108" s="18">
        <f t="shared" si="53"/>
        <v>0</v>
      </c>
      <c r="AA108" s="18">
        <f t="shared" si="56"/>
        <v>63100</v>
      </c>
      <c r="AB108" s="18">
        <v>313100</v>
      </c>
      <c r="AC108" s="18">
        <v>313096.42</v>
      </c>
      <c r="AD108" s="18">
        <f t="shared" si="66"/>
        <v>99.998856595336946</v>
      </c>
      <c r="AE108" s="18">
        <f t="shared" si="61"/>
        <v>0</v>
      </c>
      <c r="AF108" s="18">
        <v>313100</v>
      </c>
      <c r="AG108" s="18">
        <v>0</v>
      </c>
      <c r="AH108" s="18">
        <v>0</v>
      </c>
      <c r="AI108" s="18">
        <v>0</v>
      </c>
      <c r="AJ108" s="162" t="b">
        <f t="shared" si="48"/>
        <v>0</v>
      </c>
      <c r="AK108" s="162" t="str">
        <f t="shared" si="49"/>
        <v>PUNO</v>
      </c>
      <c r="AM108" s="264"/>
    </row>
    <row r="109" spans="1:39" s="447" customFormat="1" ht="36" customHeight="1" x14ac:dyDescent="0.25">
      <c r="A109" s="378"/>
      <c r="B109" s="168"/>
      <c r="C109" s="168"/>
      <c r="D109" s="168"/>
      <c r="E109" s="168"/>
      <c r="F109" s="322"/>
      <c r="G109" s="322"/>
      <c r="H109" s="13" t="s">
        <v>878</v>
      </c>
      <c r="I109" s="443"/>
      <c r="J109" s="443"/>
      <c r="K109" s="443"/>
      <c r="L109" s="443"/>
      <c r="M109" s="443"/>
      <c r="N109" s="443"/>
      <c r="O109" s="443"/>
      <c r="P109" s="445"/>
      <c r="Q109" s="443"/>
      <c r="R109" s="443"/>
      <c r="S109" s="443"/>
      <c r="T109" s="444"/>
      <c r="U109" s="308"/>
      <c r="V109" s="308">
        <f>V111</f>
        <v>20000</v>
      </c>
      <c r="W109" s="443">
        <f>W111</f>
        <v>20000</v>
      </c>
      <c r="X109" s="443">
        <f>X111</f>
        <v>20000</v>
      </c>
      <c r="Y109" s="308">
        <f>Y111</f>
        <v>0</v>
      </c>
      <c r="Z109" s="308">
        <f t="shared" si="53"/>
        <v>0</v>
      </c>
      <c r="AA109" s="308">
        <f t="shared" si="56"/>
        <v>0</v>
      </c>
      <c r="AB109" s="308">
        <f t="shared" ref="AB109:AI109" si="87">AB111</f>
        <v>20000</v>
      </c>
      <c r="AC109" s="308">
        <f>AC111</f>
        <v>10000</v>
      </c>
      <c r="AD109" s="308">
        <f t="shared" si="66"/>
        <v>50</v>
      </c>
      <c r="AE109" s="308">
        <f t="shared" si="61"/>
        <v>0</v>
      </c>
      <c r="AF109" s="308">
        <f t="shared" si="87"/>
        <v>20000</v>
      </c>
      <c r="AG109" s="308">
        <f t="shared" si="87"/>
        <v>20000</v>
      </c>
      <c r="AH109" s="308">
        <f t="shared" si="87"/>
        <v>20000</v>
      </c>
      <c r="AI109" s="308">
        <f t="shared" si="87"/>
        <v>20000</v>
      </c>
      <c r="AJ109" s="162" t="b">
        <f t="shared" si="48"/>
        <v>1</v>
      </c>
      <c r="AK109" s="162" t="str">
        <f t="shared" si="49"/>
        <v>PRAZNO</v>
      </c>
      <c r="AL109" s="446"/>
    </row>
    <row r="110" spans="1:39" s="447" customFormat="1" ht="15" customHeight="1" x14ac:dyDescent="0.25">
      <c r="A110" s="378"/>
      <c r="B110" s="260"/>
      <c r="C110" s="260"/>
      <c r="D110" s="260"/>
      <c r="E110" s="260"/>
      <c r="F110" s="442"/>
      <c r="G110" s="442"/>
      <c r="H110" s="440" t="s">
        <v>824</v>
      </c>
      <c r="I110" s="443"/>
      <c r="J110" s="443"/>
      <c r="K110" s="443"/>
      <c r="L110" s="443"/>
      <c r="M110" s="443"/>
      <c r="N110" s="443"/>
      <c r="O110" s="443"/>
      <c r="P110" s="445"/>
      <c r="Q110" s="443"/>
      <c r="R110" s="443"/>
      <c r="S110" s="443"/>
      <c r="T110" s="444"/>
      <c r="U110" s="443"/>
      <c r="V110" s="443">
        <f>V111</f>
        <v>20000</v>
      </c>
      <c r="W110" s="443">
        <f t="shared" ref="W110:X113" si="88">W111</f>
        <v>20000</v>
      </c>
      <c r="X110" s="443">
        <f>X111</f>
        <v>20000</v>
      </c>
      <c r="Y110" s="443">
        <f>Y111</f>
        <v>0</v>
      </c>
      <c r="Z110" s="443">
        <f t="shared" si="53"/>
        <v>0</v>
      </c>
      <c r="AA110" s="443">
        <f t="shared" si="56"/>
        <v>0</v>
      </c>
      <c r="AB110" s="443">
        <f t="shared" ref="AB110:AI113" si="89">AB111</f>
        <v>20000</v>
      </c>
      <c r="AC110" s="443">
        <f t="shared" si="89"/>
        <v>10000</v>
      </c>
      <c r="AD110" s="443">
        <f t="shared" si="66"/>
        <v>50</v>
      </c>
      <c r="AE110" s="443">
        <f t="shared" si="61"/>
        <v>0</v>
      </c>
      <c r="AF110" s="443">
        <f t="shared" si="89"/>
        <v>20000</v>
      </c>
      <c r="AG110" s="443">
        <f t="shared" si="89"/>
        <v>20000</v>
      </c>
      <c r="AH110" s="443">
        <f t="shared" si="89"/>
        <v>20000</v>
      </c>
      <c r="AI110" s="443">
        <f t="shared" si="89"/>
        <v>20000</v>
      </c>
      <c r="AJ110" s="162" t="b">
        <f t="shared" si="48"/>
        <v>1</v>
      </c>
      <c r="AK110" s="162" t="str">
        <f t="shared" si="49"/>
        <v>PRAZNO</v>
      </c>
      <c r="AL110" s="446"/>
    </row>
    <row r="111" spans="1:39" s="264" customFormat="1" ht="17.25" customHeight="1" x14ac:dyDescent="0.2">
      <c r="A111" s="259"/>
      <c r="B111" s="172">
        <v>3</v>
      </c>
      <c r="C111" s="172"/>
      <c r="D111" s="172"/>
      <c r="E111" s="172"/>
      <c r="F111" s="220"/>
      <c r="G111" s="220"/>
      <c r="H111" s="14" t="s">
        <v>524</v>
      </c>
      <c r="I111" s="184"/>
      <c r="J111" s="184"/>
      <c r="K111" s="184"/>
      <c r="L111" s="184"/>
      <c r="M111" s="184"/>
      <c r="N111" s="184"/>
      <c r="O111" s="184"/>
      <c r="P111" s="54"/>
      <c r="Q111" s="184"/>
      <c r="R111" s="184"/>
      <c r="S111" s="184"/>
      <c r="T111" s="185"/>
      <c r="U111" s="184"/>
      <c r="V111" s="184">
        <f>V112</f>
        <v>20000</v>
      </c>
      <c r="W111" s="184">
        <f t="shared" si="88"/>
        <v>20000</v>
      </c>
      <c r="X111" s="184">
        <f t="shared" si="88"/>
        <v>20000</v>
      </c>
      <c r="Y111" s="184">
        <f>Y112</f>
        <v>0</v>
      </c>
      <c r="Z111" s="184">
        <f t="shared" si="53"/>
        <v>0</v>
      </c>
      <c r="AA111" s="184">
        <f t="shared" si="56"/>
        <v>0</v>
      </c>
      <c r="AB111" s="184">
        <f t="shared" si="89"/>
        <v>20000</v>
      </c>
      <c r="AC111" s="184">
        <f t="shared" si="89"/>
        <v>10000</v>
      </c>
      <c r="AD111" s="184">
        <f t="shared" si="66"/>
        <v>50</v>
      </c>
      <c r="AE111" s="184">
        <f t="shared" si="61"/>
        <v>0</v>
      </c>
      <c r="AF111" s="184">
        <f t="shared" si="89"/>
        <v>20000</v>
      </c>
      <c r="AG111" s="184">
        <f t="shared" si="89"/>
        <v>20000</v>
      </c>
      <c r="AH111" s="184">
        <f t="shared" si="89"/>
        <v>20000</v>
      </c>
      <c r="AI111" s="184">
        <f t="shared" si="89"/>
        <v>20000</v>
      </c>
      <c r="AJ111" s="162" t="b">
        <f t="shared" si="48"/>
        <v>1</v>
      </c>
      <c r="AK111" s="162" t="str">
        <f t="shared" si="49"/>
        <v>PRAZNO</v>
      </c>
      <c r="AL111" s="263"/>
    </row>
    <row r="112" spans="1:39" ht="17.25" customHeight="1" x14ac:dyDescent="0.2">
      <c r="B112" s="177"/>
      <c r="C112" s="177">
        <v>38</v>
      </c>
      <c r="D112" s="177"/>
      <c r="E112" s="177"/>
      <c r="F112" s="176"/>
      <c r="G112" s="176"/>
      <c r="H112" s="16" t="s">
        <v>539</v>
      </c>
      <c r="I112" s="18"/>
      <c r="J112" s="178"/>
      <c r="K112" s="178"/>
      <c r="L112" s="178"/>
      <c r="M112" s="178"/>
      <c r="N112" s="178"/>
      <c r="O112" s="178"/>
      <c r="P112" s="204"/>
      <c r="Q112" s="178"/>
      <c r="R112" s="178"/>
      <c r="S112" s="178"/>
      <c r="T112" s="266"/>
      <c r="U112" s="266"/>
      <c r="V112" s="178">
        <f>V113</f>
        <v>20000</v>
      </c>
      <c r="W112" s="178">
        <f t="shared" si="88"/>
        <v>20000</v>
      </c>
      <c r="X112" s="178">
        <f t="shared" si="88"/>
        <v>20000</v>
      </c>
      <c r="Y112" s="178">
        <f>Y113</f>
        <v>0</v>
      </c>
      <c r="Z112" s="178">
        <f t="shared" si="53"/>
        <v>0</v>
      </c>
      <c r="AA112" s="178">
        <f t="shared" si="56"/>
        <v>0</v>
      </c>
      <c r="AB112" s="178">
        <f t="shared" si="89"/>
        <v>20000</v>
      </c>
      <c r="AC112" s="178">
        <f t="shared" si="89"/>
        <v>10000</v>
      </c>
      <c r="AD112" s="178">
        <f t="shared" si="66"/>
        <v>50</v>
      </c>
      <c r="AE112" s="178">
        <f t="shared" si="61"/>
        <v>0</v>
      </c>
      <c r="AF112" s="178">
        <f t="shared" si="89"/>
        <v>20000</v>
      </c>
      <c r="AG112" s="178">
        <f t="shared" si="89"/>
        <v>20000</v>
      </c>
      <c r="AH112" s="178">
        <f t="shared" si="89"/>
        <v>20000</v>
      </c>
      <c r="AI112" s="178">
        <f t="shared" si="89"/>
        <v>20000</v>
      </c>
      <c r="AJ112" s="162" t="b">
        <f t="shared" si="48"/>
        <v>1</v>
      </c>
      <c r="AK112" s="162" t="str">
        <f t="shared" si="49"/>
        <v>PRAZNO</v>
      </c>
      <c r="AM112" s="264"/>
    </row>
    <row r="113" spans="1:39" ht="17.25" customHeight="1" x14ac:dyDescent="0.2">
      <c r="B113" s="177"/>
      <c r="C113" s="177"/>
      <c r="D113" s="177">
        <v>381</v>
      </c>
      <c r="E113" s="177"/>
      <c r="F113" s="176"/>
      <c r="G113" s="176"/>
      <c r="H113" s="16" t="s">
        <v>540</v>
      </c>
      <c r="I113" s="18"/>
      <c r="J113" s="178"/>
      <c r="K113" s="178"/>
      <c r="L113" s="178"/>
      <c r="M113" s="178"/>
      <c r="N113" s="178"/>
      <c r="O113" s="178"/>
      <c r="P113" s="204"/>
      <c r="Q113" s="178"/>
      <c r="R113" s="178"/>
      <c r="S113" s="178"/>
      <c r="T113" s="266"/>
      <c r="U113" s="266"/>
      <c r="V113" s="178">
        <f>V114</f>
        <v>20000</v>
      </c>
      <c r="W113" s="178">
        <f t="shared" si="88"/>
        <v>20000</v>
      </c>
      <c r="X113" s="178">
        <f t="shared" si="88"/>
        <v>20000</v>
      </c>
      <c r="Y113" s="178">
        <f>Y114</f>
        <v>0</v>
      </c>
      <c r="Z113" s="178">
        <f t="shared" si="53"/>
        <v>0</v>
      </c>
      <c r="AA113" s="178">
        <f t="shared" si="56"/>
        <v>0</v>
      </c>
      <c r="AB113" s="178">
        <f t="shared" si="89"/>
        <v>20000</v>
      </c>
      <c r="AC113" s="178">
        <f t="shared" si="89"/>
        <v>10000</v>
      </c>
      <c r="AD113" s="178">
        <f t="shared" si="66"/>
        <v>50</v>
      </c>
      <c r="AE113" s="178">
        <f t="shared" si="61"/>
        <v>0</v>
      </c>
      <c r="AF113" s="178">
        <f t="shared" si="89"/>
        <v>20000</v>
      </c>
      <c r="AG113" s="178">
        <f t="shared" si="89"/>
        <v>20000</v>
      </c>
      <c r="AH113" s="178">
        <f t="shared" si="89"/>
        <v>20000</v>
      </c>
      <c r="AI113" s="178">
        <f t="shared" si="89"/>
        <v>20000</v>
      </c>
      <c r="AJ113" s="162" t="b">
        <f t="shared" si="48"/>
        <v>1</v>
      </c>
      <c r="AK113" s="162" t="str">
        <f t="shared" si="49"/>
        <v>PRAZNO</v>
      </c>
      <c r="AM113" s="264"/>
    </row>
    <row r="114" spans="1:39" ht="17.25" customHeight="1" x14ac:dyDescent="0.2">
      <c r="B114" s="177"/>
      <c r="C114" s="177"/>
      <c r="D114" s="177"/>
      <c r="E114" s="177">
        <v>3811</v>
      </c>
      <c r="F114" s="176">
        <v>11</v>
      </c>
      <c r="G114" s="176"/>
      <c r="H114" s="16" t="s">
        <v>215</v>
      </c>
      <c r="I114" s="18"/>
      <c r="J114" s="178"/>
      <c r="K114" s="178"/>
      <c r="L114" s="178"/>
      <c r="M114" s="178"/>
      <c r="N114" s="178"/>
      <c r="O114" s="178"/>
      <c r="P114" s="204"/>
      <c r="Q114" s="178"/>
      <c r="R114" s="178"/>
      <c r="S114" s="178"/>
      <c r="T114" s="266"/>
      <c r="U114" s="266"/>
      <c r="V114" s="178">
        <v>20000</v>
      </c>
      <c r="W114" s="178">
        <v>20000</v>
      </c>
      <c r="X114" s="178">
        <v>20000</v>
      </c>
      <c r="Y114" s="178">
        <v>0</v>
      </c>
      <c r="Z114" s="178">
        <f t="shared" si="53"/>
        <v>0</v>
      </c>
      <c r="AA114" s="178">
        <f t="shared" si="56"/>
        <v>0</v>
      </c>
      <c r="AB114" s="178">
        <v>20000</v>
      </c>
      <c r="AC114" s="178">
        <v>10000</v>
      </c>
      <c r="AD114" s="178">
        <f t="shared" si="66"/>
        <v>50</v>
      </c>
      <c r="AE114" s="178">
        <f t="shared" si="61"/>
        <v>0</v>
      </c>
      <c r="AF114" s="178">
        <v>20000</v>
      </c>
      <c r="AG114" s="178">
        <v>20000</v>
      </c>
      <c r="AH114" s="178">
        <v>20000</v>
      </c>
      <c r="AI114" s="178">
        <v>20000</v>
      </c>
      <c r="AJ114" s="162" t="b">
        <f t="shared" si="48"/>
        <v>0</v>
      </c>
      <c r="AK114" s="162" t="str">
        <f t="shared" si="49"/>
        <v>PUNO</v>
      </c>
      <c r="AM114" s="264"/>
    </row>
    <row r="115" spans="1:39" s="447" customFormat="1" ht="34.5" customHeight="1" x14ac:dyDescent="0.25">
      <c r="A115" s="378"/>
      <c r="B115" s="168"/>
      <c r="C115" s="168"/>
      <c r="D115" s="168"/>
      <c r="E115" s="168"/>
      <c r="F115" s="322"/>
      <c r="G115" s="322"/>
      <c r="H115" s="13" t="s">
        <v>251</v>
      </c>
      <c r="I115" s="308"/>
      <c r="J115" s="308"/>
      <c r="K115" s="308"/>
      <c r="L115" s="308"/>
      <c r="M115" s="308"/>
      <c r="N115" s="308"/>
      <c r="O115" s="308"/>
      <c r="P115" s="303"/>
      <c r="Q115" s="308"/>
      <c r="R115" s="308"/>
      <c r="S115" s="308"/>
      <c r="T115" s="323"/>
      <c r="U115" s="323"/>
      <c r="V115" s="308">
        <f>V117</f>
        <v>46000</v>
      </c>
      <c r="W115" s="308">
        <f>W117</f>
        <v>46000</v>
      </c>
      <c r="X115" s="308">
        <f>X117</f>
        <v>22000</v>
      </c>
      <c r="Y115" s="308">
        <f>Y117</f>
        <v>23469.03</v>
      </c>
      <c r="Z115" s="308">
        <f t="shared" si="53"/>
        <v>51.02</v>
      </c>
      <c r="AA115" s="308">
        <f t="shared" si="56"/>
        <v>10400</v>
      </c>
      <c r="AB115" s="308">
        <f t="shared" ref="AB115:AI115" si="90">AB117</f>
        <v>56400</v>
      </c>
      <c r="AC115" s="308">
        <f t="shared" si="90"/>
        <v>39353.89</v>
      </c>
      <c r="AD115" s="308">
        <f t="shared" si="66"/>
        <v>69.776400709219857</v>
      </c>
      <c r="AE115" s="308">
        <f t="shared" si="61"/>
        <v>0</v>
      </c>
      <c r="AF115" s="308">
        <f t="shared" si="90"/>
        <v>56400</v>
      </c>
      <c r="AG115" s="308">
        <f t="shared" si="90"/>
        <v>56400</v>
      </c>
      <c r="AH115" s="308">
        <f t="shared" si="90"/>
        <v>56400</v>
      </c>
      <c r="AI115" s="308">
        <f t="shared" si="90"/>
        <v>56400</v>
      </c>
      <c r="AJ115" s="162" t="b">
        <f t="shared" si="48"/>
        <v>1</v>
      </c>
      <c r="AK115" s="162" t="str">
        <f t="shared" si="49"/>
        <v>PRAZNO</v>
      </c>
      <c r="AL115" s="446"/>
    </row>
    <row r="116" spans="1:39" s="447" customFormat="1" ht="20.25" customHeight="1" x14ac:dyDescent="0.25">
      <c r="A116" s="378"/>
      <c r="B116" s="260"/>
      <c r="C116" s="260"/>
      <c r="D116" s="260"/>
      <c r="E116" s="260"/>
      <c r="F116" s="442"/>
      <c r="G116" s="442"/>
      <c r="H116" s="440" t="s">
        <v>824</v>
      </c>
      <c r="I116" s="443"/>
      <c r="J116" s="443"/>
      <c r="K116" s="443"/>
      <c r="L116" s="443"/>
      <c r="M116" s="443"/>
      <c r="N116" s="443"/>
      <c r="O116" s="443"/>
      <c r="P116" s="445"/>
      <c r="Q116" s="443"/>
      <c r="R116" s="443"/>
      <c r="S116" s="443"/>
      <c r="T116" s="444"/>
      <c r="U116" s="444"/>
      <c r="V116" s="443">
        <f t="shared" ref="V116:AI119" si="91">V117</f>
        <v>46000</v>
      </c>
      <c r="W116" s="443">
        <f t="shared" si="91"/>
        <v>46000</v>
      </c>
      <c r="X116" s="443">
        <f t="shared" si="91"/>
        <v>22000</v>
      </c>
      <c r="Y116" s="443">
        <f t="shared" si="91"/>
        <v>23469.03</v>
      </c>
      <c r="Z116" s="443">
        <f t="shared" si="53"/>
        <v>51.02</v>
      </c>
      <c r="AA116" s="443">
        <f t="shared" si="56"/>
        <v>10400</v>
      </c>
      <c r="AB116" s="443">
        <f t="shared" si="91"/>
        <v>56400</v>
      </c>
      <c r="AC116" s="443">
        <f t="shared" si="91"/>
        <v>39353.89</v>
      </c>
      <c r="AD116" s="443">
        <f t="shared" si="66"/>
        <v>69.776400709219857</v>
      </c>
      <c r="AE116" s="443">
        <f t="shared" si="61"/>
        <v>0</v>
      </c>
      <c r="AF116" s="443">
        <f t="shared" si="91"/>
        <v>56400</v>
      </c>
      <c r="AG116" s="443">
        <f t="shared" si="91"/>
        <v>56400</v>
      </c>
      <c r="AH116" s="443">
        <f t="shared" si="91"/>
        <v>56400</v>
      </c>
      <c r="AI116" s="443">
        <f t="shared" si="91"/>
        <v>56400</v>
      </c>
      <c r="AJ116" s="162" t="b">
        <f t="shared" si="48"/>
        <v>1</v>
      </c>
      <c r="AK116" s="162" t="str">
        <f t="shared" si="49"/>
        <v>PRAZNO</v>
      </c>
      <c r="AL116" s="446"/>
    </row>
    <row r="117" spans="1:39" s="264" customFormat="1" ht="17.25" customHeight="1" x14ac:dyDescent="0.2">
      <c r="A117" s="259"/>
      <c r="B117" s="172">
        <v>3</v>
      </c>
      <c r="C117" s="172"/>
      <c r="D117" s="172"/>
      <c r="E117" s="172"/>
      <c r="F117" s="220"/>
      <c r="G117" s="220"/>
      <c r="H117" s="14" t="s">
        <v>524</v>
      </c>
      <c r="I117" s="184"/>
      <c r="J117" s="184"/>
      <c r="K117" s="184"/>
      <c r="L117" s="184"/>
      <c r="M117" s="184"/>
      <c r="N117" s="184"/>
      <c r="O117" s="184"/>
      <c r="P117" s="54"/>
      <c r="Q117" s="184"/>
      <c r="R117" s="184"/>
      <c r="S117" s="184"/>
      <c r="T117" s="185"/>
      <c r="U117" s="185"/>
      <c r="V117" s="184">
        <f t="shared" si="91"/>
        <v>46000</v>
      </c>
      <c r="W117" s="184">
        <f t="shared" si="91"/>
        <v>46000</v>
      </c>
      <c r="X117" s="184">
        <f t="shared" si="91"/>
        <v>22000</v>
      </c>
      <c r="Y117" s="184">
        <f t="shared" si="91"/>
        <v>23469.03</v>
      </c>
      <c r="Z117" s="184">
        <f t="shared" si="53"/>
        <v>51.02</v>
      </c>
      <c r="AA117" s="184">
        <f t="shared" si="56"/>
        <v>10400</v>
      </c>
      <c r="AB117" s="184">
        <f t="shared" si="91"/>
        <v>56400</v>
      </c>
      <c r="AC117" s="184">
        <f t="shared" si="91"/>
        <v>39353.89</v>
      </c>
      <c r="AD117" s="184">
        <f t="shared" si="66"/>
        <v>69.776400709219857</v>
      </c>
      <c r="AE117" s="184">
        <f t="shared" si="61"/>
        <v>0</v>
      </c>
      <c r="AF117" s="184">
        <f t="shared" si="91"/>
        <v>56400</v>
      </c>
      <c r="AG117" s="184">
        <f t="shared" si="91"/>
        <v>56400</v>
      </c>
      <c r="AH117" s="184">
        <f t="shared" si="91"/>
        <v>56400</v>
      </c>
      <c r="AI117" s="184">
        <f t="shared" si="91"/>
        <v>56400</v>
      </c>
      <c r="AJ117" s="162" t="b">
        <f t="shared" si="48"/>
        <v>1</v>
      </c>
      <c r="AK117" s="162" t="str">
        <f t="shared" si="49"/>
        <v>PRAZNO</v>
      </c>
      <c r="AL117" s="263"/>
    </row>
    <row r="118" spans="1:39" ht="17.25" customHeight="1" x14ac:dyDescent="0.2">
      <c r="B118" s="177"/>
      <c r="C118" s="177">
        <v>38</v>
      </c>
      <c r="D118" s="177"/>
      <c r="E118" s="177"/>
      <c r="F118" s="176"/>
      <c r="G118" s="176"/>
      <c r="H118" s="16" t="s">
        <v>539</v>
      </c>
      <c r="I118" s="18"/>
      <c r="J118" s="178"/>
      <c r="K118" s="178"/>
      <c r="L118" s="178"/>
      <c r="M118" s="178"/>
      <c r="N118" s="178"/>
      <c r="O118" s="178"/>
      <c r="P118" s="204"/>
      <c r="Q118" s="178"/>
      <c r="R118" s="178"/>
      <c r="S118" s="178"/>
      <c r="T118" s="266"/>
      <c r="U118" s="266"/>
      <c r="V118" s="178">
        <f t="shared" si="91"/>
        <v>46000</v>
      </c>
      <c r="W118" s="178">
        <f t="shared" si="91"/>
        <v>46000</v>
      </c>
      <c r="X118" s="178">
        <f t="shared" si="91"/>
        <v>22000</v>
      </c>
      <c r="Y118" s="178">
        <f t="shared" si="91"/>
        <v>23469.03</v>
      </c>
      <c r="Z118" s="178">
        <f t="shared" si="53"/>
        <v>51.02</v>
      </c>
      <c r="AA118" s="178">
        <f t="shared" si="56"/>
        <v>10400</v>
      </c>
      <c r="AB118" s="178">
        <f t="shared" si="91"/>
        <v>56400</v>
      </c>
      <c r="AC118" s="178">
        <f t="shared" si="91"/>
        <v>39353.89</v>
      </c>
      <c r="AD118" s="178">
        <f t="shared" si="66"/>
        <v>69.776400709219857</v>
      </c>
      <c r="AE118" s="178">
        <f t="shared" si="61"/>
        <v>0</v>
      </c>
      <c r="AF118" s="178">
        <f t="shared" si="91"/>
        <v>56400</v>
      </c>
      <c r="AG118" s="178">
        <f t="shared" si="91"/>
        <v>56400</v>
      </c>
      <c r="AH118" s="178">
        <f t="shared" si="91"/>
        <v>56400</v>
      </c>
      <c r="AI118" s="178">
        <f t="shared" si="91"/>
        <v>56400</v>
      </c>
      <c r="AJ118" s="162" t="b">
        <f t="shared" si="48"/>
        <v>1</v>
      </c>
      <c r="AK118" s="162" t="str">
        <f t="shared" si="49"/>
        <v>PRAZNO</v>
      </c>
      <c r="AM118" s="264"/>
    </row>
    <row r="119" spans="1:39" ht="17.25" customHeight="1" x14ac:dyDescent="0.2">
      <c r="B119" s="177"/>
      <c r="C119" s="177"/>
      <c r="D119" s="177">
        <v>381</v>
      </c>
      <c r="E119" s="177"/>
      <c r="F119" s="176"/>
      <c r="G119" s="176"/>
      <c r="H119" s="16" t="s">
        <v>540</v>
      </c>
      <c r="I119" s="18"/>
      <c r="J119" s="178"/>
      <c r="K119" s="178"/>
      <c r="L119" s="178"/>
      <c r="M119" s="178"/>
      <c r="N119" s="178"/>
      <c r="O119" s="178"/>
      <c r="P119" s="204"/>
      <c r="Q119" s="178"/>
      <c r="R119" s="178"/>
      <c r="S119" s="178"/>
      <c r="T119" s="266"/>
      <c r="U119" s="266"/>
      <c r="V119" s="178">
        <f t="shared" si="91"/>
        <v>46000</v>
      </c>
      <c r="W119" s="178">
        <f t="shared" si="91"/>
        <v>46000</v>
      </c>
      <c r="X119" s="178">
        <f t="shared" si="91"/>
        <v>22000</v>
      </c>
      <c r="Y119" s="178">
        <f t="shared" si="91"/>
        <v>23469.03</v>
      </c>
      <c r="Z119" s="178">
        <f t="shared" si="53"/>
        <v>51.02</v>
      </c>
      <c r="AA119" s="178">
        <f t="shared" si="56"/>
        <v>10400</v>
      </c>
      <c r="AB119" s="178">
        <f t="shared" si="91"/>
        <v>56400</v>
      </c>
      <c r="AC119" s="178">
        <f t="shared" si="91"/>
        <v>39353.89</v>
      </c>
      <c r="AD119" s="178">
        <f t="shared" si="66"/>
        <v>69.776400709219857</v>
      </c>
      <c r="AE119" s="178">
        <f t="shared" si="61"/>
        <v>0</v>
      </c>
      <c r="AF119" s="178">
        <f t="shared" si="91"/>
        <v>56400</v>
      </c>
      <c r="AG119" s="178">
        <f t="shared" si="91"/>
        <v>56400</v>
      </c>
      <c r="AH119" s="178">
        <f t="shared" si="91"/>
        <v>56400</v>
      </c>
      <c r="AI119" s="178">
        <f t="shared" si="91"/>
        <v>56400</v>
      </c>
      <c r="AJ119" s="162" t="b">
        <f t="shared" si="48"/>
        <v>1</v>
      </c>
      <c r="AK119" s="162" t="str">
        <f t="shared" si="49"/>
        <v>PRAZNO</v>
      </c>
      <c r="AM119" s="264"/>
    </row>
    <row r="120" spans="1:39" ht="30.75" customHeight="1" x14ac:dyDescent="0.2">
      <c r="B120" s="177"/>
      <c r="C120" s="177"/>
      <c r="D120" s="177"/>
      <c r="E120" s="177">
        <v>3811</v>
      </c>
      <c r="F120" s="176">
        <v>11</v>
      </c>
      <c r="G120" s="176"/>
      <c r="H120" s="16" t="s">
        <v>252</v>
      </c>
      <c r="I120" s="18"/>
      <c r="J120" s="178"/>
      <c r="K120" s="178"/>
      <c r="L120" s="178"/>
      <c r="M120" s="178"/>
      <c r="N120" s="178"/>
      <c r="O120" s="178"/>
      <c r="P120" s="204"/>
      <c r="Q120" s="178"/>
      <c r="R120" s="178"/>
      <c r="S120" s="178"/>
      <c r="T120" s="266"/>
      <c r="U120" s="266"/>
      <c r="V120" s="178">
        <v>46000</v>
      </c>
      <c r="W120" s="178">
        <v>46000</v>
      </c>
      <c r="X120" s="178">
        <v>22000</v>
      </c>
      <c r="Y120" s="178">
        <v>23469.03</v>
      </c>
      <c r="Z120" s="178">
        <f t="shared" si="53"/>
        <v>51.02</v>
      </c>
      <c r="AA120" s="178">
        <f t="shared" si="56"/>
        <v>10400</v>
      </c>
      <c r="AB120" s="178">
        <v>56400</v>
      </c>
      <c r="AC120" s="178">
        <v>39353.89</v>
      </c>
      <c r="AD120" s="178">
        <f t="shared" si="66"/>
        <v>69.776400709219857</v>
      </c>
      <c r="AE120" s="178">
        <f t="shared" si="61"/>
        <v>0</v>
      </c>
      <c r="AF120" s="178">
        <v>56400</v>
      </c>
      <c r="AG120" s="178">
        <v>56400</v>
      </c>
      <c r="AH120" s="178">
        <v>56400</v>
      </c>
      <c r="AI120" s="178">
        <v>56400</v>
      </c>
      <c r="AJ120" s="162" t="b">
        <f t="shared" si="48"/>
        <v>0</v>
      </c>
      <c r="AK120" s="162" t="str">
        <f t="shared" si="49"/>
        <v>PUNO</v>
      </c>
      <c r="AM120" s="264"/>
    </row>
    <row r="121" spans="1:39" s="447" customFormat="1" ht="24" customHeight="1" x14ac:dyDescent="0.25">
      <c r="A121" s="378"/>
      <c r="B121" s="168"/>
      <c r="C121" s="168"/>
      <c r="D121" s="168"/>
      <c r="E121" s="168"/>
      <c r="F121" s="322"/>
      <c r="G121" s="322"/>
      <c r="H121" s="13" t="s">
        <v>319</v>
      </c>
      <c r="I121" s="308"/>
      <c r="J121" s="308"/>
      <c r="K121" s="308"/>
      <c r="L121" s="308"/>
      <c r="M121" s="308"/>
      <c r="N121" s="308"/>
      <c r="O121" s="308"/>
      <c r="P121" s="303"/>
      <c r="Q121" s="308"/>
      <c r="R121" s="308"/>
      <c r="S121" s="308"/>
      <c r="T121" s="323"/>
      <c r="U121" s="323"/>
      <c r="V121" s="308"/>
      <c r="W121" s="308"/>
      <c r="X121" s="308"/>
      <c r="Y121" s="308"/>
      <c r="Z121" s="308"/>
      <c r="AA121" s="308"/>
      <c r="AB121" s="308"/>
      <c r="AC121" s="308"/>
      <c r="AD121" s="308"/>
      <c r="AE121" s="308">
        <f t="shared" si="61"/>
        <v>10000</v>
      </c>
      <c r="AF121" s="308">
        <f t="shared" ref="AF121:AI125" si="92">AF122</f>
        <v>10000</v>
      </c>
      <c r="AG121" s="308">
        <f t="shared" si="92"/>
        <v>10000</v>
      </c>
      <c r="AH121" s="308">
        <f t="shared" si="92"/>
        <v>10000</v>
      </c>
      <c r="AI121" s="308">
        <f t="shared" si="92"/>
        <v>10000</v>
      </c>
      <c r="AJ121" s="162" t="b">
        <f t="shared" si="48"/>
        <v>1</v>
      </c>
      <c r="AK121" s="162" t="str">
        <f t="shared" si="49"/>
        <v>PRAZNO</v>
      </c>
      <c r="AL121" s="446"/>
    </row>
    <row r="122" spans="1:39" s="447" customFormat="1" ht="20.25" customHeight="1" x14ac:dyDescent="0.25">
      <c r="A122" s="378"/>
      <c r="B122" s="260"/>
      <c r="C122" s="260"/>
      <c r="D122" s="260"/>
      <c r="E122" s="260"/>
      <c r="F122" s="442"/>
      <c r="G122" s="442"/>
      <c r="H122" s="440" t="s">
        <v>824</v>
      </c>
      <c r="I122" s="443"/>
      <c r="J122" s="443"/>
      <c r="K122" s="443"/>
      <c r="L122" s="443"/>
      <c r="M122" s="443"/>
      <c r="N122" s="443"/>
      <c r="O122" s="443"/>
      <c r="P122" s="445"/>
      <c r="Q122" s="443"/>
      <c r="R122" s="443"/>
      <c r="S122" s="443"/>
      <c r="T122" s="444"/>
      <c r="U122" s="444"/>
      <c r="V122" s="443"/>
      <c r="W122" s="443"/>
      <c r="X122" s="443"/>
      <c r="Y122" s="443"/>
      <c r="Z122" s="443"/>
      <c r="AA122" s="443"/>
      <c r="AB122" s="443"/>
      <c r="AC122" s="443"/>
      <c r="AD122" s="443"/>
      <c r="AE122" s="443">
        <f t="shared" si="61"/>
        <v>10000</v>
      </c>
      <c r="AF122" s="443">
        <f t="shared" si="92"/>
        <v>10000</v>
      </c>
      <c r="AG122" s="443">
        <f t="shared" si="92"/>
        <v>10000</v>
      </c>
      <c r="AH122" s="443">
        <f t="shared" si="92"/>
        <v>10000</v>
      </c>
      <c r="AI122" s="443">
        <f t="shared" si="92"/>
        <v>10000</v>
      </c>
      <c r="AJ122" s="162" t="b">
        <f t="shared" si="48"/>
        <v>1</v>
      </c>
      <c r="AK122" s="162" t="str">
        <f t="shared" si="49"/>
        <v>PRAZNO</v>
      </c>
      <c r="AL122" s="446"/>
    </row>
    <row r="123" spans="1:39" s="264" customFormat="1" ht="17.25" customHeight="1" x14ac:dyDescent="0.2">
      <c r="A123" s="259"/>
      <c r="B123" s="172">
        <v>3</v>
      </c>
      <c r="C123" s="172"/>
      <c r="D123" s="172"/>
      <c r="E123" s="172"/>
      <c r="F123" s="220"/>
      <c r="G123" s="220"/>
      <c r="H123" s="14" t="s">
        <v>524</v>
      </c>
      <c r="I123" s="184"/>
      <c r="J123" s="184"/>
      <c r="K123" s="184"/>
      <c r="L123" s="184"/>
      <c r="M123" s="184"/>
      <c r="N123" s="184"/>
      <c r="O123" s="184"/>
      <c r="P123" s="54"/>
      <c r="Q123" s="184"/>
      <c r="R123" s="184"/>
      <c r="S123" s="184"/>
      <c r="T123" s="185"/>
      <c r="U123" s="185"/>
      <c r="V123" s="184"/>
      <c r="W123" s="184"/>
      <c r="X123" s="184"/>
      <c r="Y123" s="184"/>
      <c r="Z123" s="184"/>
      <c r="AA123" s="184"/>
      <c r="AB123" s="184"/>
      <c r="AC123" s="184"/>
      <c r="AD123" s="184"/>
      <c r="AE123" s="184">
        <f t="shared" si="61"/>
        <v>10000</v>
      </c>
      <c r="AF123" s="184">
        <f t="shared" si="92"/>
        <v>10000</v>
      </c>
      <c r="AG123" s="184">
        <f t="shared" si="92"/>
        <v>10000</v>
      </c>
      <c r="AH123" s="184">
        <f t="shared" si="92"/>
        <v>10000</v>
      </c>
      <c r="AI123" s="184">
        <f t="shared" si="92"/>
        <v>10000</v>
      </c>
      <c r="AJ123" s="162" t="b">
        <f t="shared" si="48"/>
        <v>1</v>
      </c>
      <c r="AK123" s="162" t="str">
        <f t="shared" si="49"/>
        <v>PRAZNO</v>
      </c>
      <c r="AL123" s="263"/>
    </row>
    <row r="124" spans="1:39" ht="17.25" customHeight="1" x14ac:dyDescent="0.2">
      <c r="B124" s="177"/>
      <c r="C124" s="177">
        <v>32</v>
      </c>
      <c r="D124" s="177"/>
      <c r="E124" s="177"/>
      <c r="F124" s="176"/>
      <c r="G124" s="176"/>
      <c r="H124" s="15" t="s">
        <v>525</v>
      </c>
      <c r="I124" s="18"/>
      <c r="J124" s="178"/>
      <c r="K124" s="178"/>
      <c r="L124" s="178"/>
      <c r="M124" s="178"/>
      <c r="N124" s="178"/>
      <c r="O124" s="178"/>
      <c r="P124" s="204"/>
      <c r="Q124" s="178"/>
      <c r="R124" s="178"/>
      <c r="S124" s="178"/>
      <c r="T124" s="266"/>
      <c r="U124" s="266"/>
      <c r="V124" s="178"/>
      <c r="W124" s="178"/>
      <c r="X124" s="178"/>
      <c r="Y124" s="178"/>
      <c r="Z124" s="178"/>
      <c r="AA124" s="178"/>
      <c r="AB124" s="178"/>
      <c r="AC124" s="178"/>
      <c r="AD124" s="178"/>
      <c r="AE124" s="178">
        <f t="shared" si="61"/>
        <v>10000</v>
      </c>
      <c r="AF124" s="178">
        <f t="shared" si="92"/>
        <v>10000</v>
      </c>
      <c r="AG124" s="178">
        <f t="shared" si="92"/>
        <v>10000</v>
      </c>
      <c r="AH124" s="178">
        <f t="shared" si="92"/>
        <v>10000</v>
      </c>
      <c r="AI124" s="178">
        <f t="shared" si="92"/>
        <v>10000</v>
      </c>
      <c r="AJ124" s="162" t="b">
        <f t="shared" si="48"/>
        <v>1</v>
      </c>
      <c r="AK124" s="162" t="str">
        <f t="shared" si="49"/>
        <v>PRAZNO</v>
      </c>
      <c r="AM124" s="264"/>
    </row>
    <row r="125" spans="1:39" ht="17.25" customHeight="1" x14ac:dyDescent="0.2">
      <c r="B125" s="177"/>
      <c r="C125" s="177"/>
      <c r="D125" s="177">
        <v>329</v>
      </c>
      <c r="E125" s="177"/>
      <c r="F125" s="176"/>
      <c r="G125" s="176"/>
      <c r="H125" s="16" t="s">
        <v>531</v>
      </c>
      <c r="I125" s="18"/>
      <c r="J125" s="178"/>
      <c r="K125" s="178"/>
      <c r="L125" s="178"/>
      <c r="M125" s="178"/>
      <c r="N125" s="178"/>
      <c r="O125" s="178"/>
      <c r="P125" s="204"/>
      <c r="Q125" s="178"/>
      <c r="R125" s="178"/>
      <c r="S125" s="178"/>
      <c r="T125" s="266"/>
      <c r="U125" s="266"/>
      <c r="V125" s="178"/>
      <c r="W125" s="178"/>
      <c r="X125" s="178"/>
      <c r="Y125" s="178"/>
      <c r="Z125" s="178"/>
      <c r="AA125" s="178"/>
      <c r="AB125" s="178"/>
      <c r="AC125" s="178"/>
      <c r="AD125" s="178"/>
      <c r="AE125" s="178">
        <f t="shared" si="61"/>
        <v>10000</v>
      </c>
      <c r="AF125" s="178">
        <f t="shared" si="92"/>
        <v>10000</v>
      </c>
      <c r="AG125" s="178">
        <f t="shared" si="92"/>
        <v>10000</v>
      </c>
      <c r="AH125" s="178">
        <f t="shared" si="92"/>
        <v>10000</v>
      </c>
      <c r="AI125" s="178">
        <f t="shared" si="92"/>
        <v>10000</v>
      </c>
      <c r="AJ125" s="162" t="b">
        <f t="shared" si="48"/>
        <v>1</v>
      </c>
      <c r="AK125" s="162" t="str">
        <f t="shared" si="49"/>
        <v>PRAZNO</v>
      </c>
      <c r="AM125" s="264"/>
    </row>
    <row r="126" spans="1:39" ht="30.75" customHeight="1" x14ac:dyDescent="0.2">
      <c r="B126" s="177"/>
      <c r="C126" s="177"/>
      <c r="D126" s="177"/>
      <c r="E126" s="177">
        <v>3299</v>
      </c>
      <c r="F126" s="176">
        <v>11</v>
      </c>
      <c r="G126" s="176"/>
      <c r="H126" s="16" t="s">
        <v>531</v>
      </c>
      <c r="I126" s="18"/>
      <c r="J126" s="178"/>
      <c r="K126" s="178"/>
      <c r="L126" s="178"/>
      <c r="M126" s="178"/>
      <c r="N126" s="178"/>
      <c r="O126" s="178"/>
      <c r="P126" s="204"/>
      <c r="Q126" s="178"/>
      <c r="R126" s="178"/>
      <c r="S126" s="178"/>
      <c r="T126" s="266"/>
      <c r="U126" s="266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>
        <f t="shared" si="61"/>
        <v>10000</v>
      </c>
      <c r="AF126" s="178">
        <v>10000</v>
      </c>
      <c r="AG126" s="178">
        <v>10000</v>
      </c>
      <c r="AH126" s="178">
        <v>10000</v>
      </c>
      <c r="AI126" s="178">
        <v>10000</v>
      </c>
      <c r="AJ126" s="162" t="b">
        <f t="shared" si="48"/>
        <v>0</v>
      </c>
      <c r="AK126" s="162" t="str">
        <f t="shared" si="49"/>
        <v>PUNO</v>
      </c>
      <c r="AM126" s="264"/>
    </row>
    <row r="127" spans="1:39" s="264" customFormat="1" ht="31.5" x14ac:dyDescent="0.2">
      <c r="A127" s="259"/>
      <c r="B127" s="270"/>
      <c r="C127" s="270"/>
      <c r="D127" s="270"/>
      <c r="E127" s="270"/>
      <c r="F127" s="270"/>
      <c r="G127" s="270"/>
      <c r="H127" s="271" t="s">
        <v>562</v>
      </c>
      <c r="I127" s="273" t="e">
        <f>I129</f>
        <v>#REF!</v>
      </c>
      <c r="J127" s="273" t="e">
        <f>J129</f>
        <v>#REF!</v>
      </c>
      <c r="K127" s="273" t="e">
        <f>ROUND(J127/I127*100,2)</f>
        <v>#REF!</v>
      </c>
      <c r="L127" s="273" t="e">
        <f>M127-I127</f>
        <v>#REF!</v>
      </c>
      <c r="M127" s="272" t="e">
        <f>M129</f>
        <v>#REF!</v>
      </c>
      <c r="N127" s="272" t="e">
        <f>N129</f>
        <v>#REF!</v>
      </c>
      <c r="O127" s="272" t="e">
        <f>O129</f>
        <v>#REF!</v>
      </c>
      <c r="P127" s="275" t="e">
        <f>T127-N127</f>
        <v>#REF!</v>
      </c>
      <c r="Q127" s="272" t="e">
        <f>Q129</f>
        <v>#REF!</v>
      </c>
      <c r="R127" s="272" t="e">
        <f>R129+#REF!</f>
        <v>#REF!</v>
      </c>
      <c r="S127" s="272" t="e">
        <f>S129+#REF!</f>
        <v>#REF!</v>
      </c>
      <c r="T127" s="272">
        <f t="shared" ref="T127:Y127" si="93">T129</f>
        <v>59203</v>
      </c>
      <c r="U127" s="272">
        <f t="shared" si="93"/>
        <v>72931.47</v>
      </c>
      <c r="V127" s="272">
        <f t="shared" si="93"/>
        <v>38000</v>
      </c>
      <c r="W127" s="272">
        <f t="shared" si="93"/>
        <v>38000</v>
      </c>
      <c r="X127" s="272">
        <f t="shared" si="93"/>
        <v>39000</v>
      </c>
      <c r="Y127" s="272">
        <f t="shared" si="93"/>
        <v>4146.1400000000003</v>
      </c>
      <c r="Z127" s="272">
        <f t="shared" si="53"/>
        <v>10.91</v>
      </c>
      <c r="AA127" s="272">
        <f t="shared" si="56"/>
        <v>0</v>
      </c>
      <c r="AB127" s="272">
        <f t="shared" ref="AB127:AI127" si="94">AB129</f>
        <v>38000</v>
      </c>
      <c r="AC127" s="272">
        <f t="shared" si="94"/>
        <v>4549.8900000000003</v>
      </c>
      <c r="AD127" s="272">
        <f t="shared" si="66"/>
        <v>11.973394736842106</v>
      </c>
      <c r="AE127" s="272">
        <f t="shared" si="61"/>
        <v>0</v>
      </c>
      <c r="AF127" s="272">
        <f t="shared" si="94"/>
        <v>38000</v>
      </c>
      <c r="AG127" s="272">
        <f t="shared" si="94"/>
        <v>40000</v>
      </c>
      <c r="AH127" s="272">
        <f t="shared" si="94"/>
        <v>40000</v>
      </c>
      <c r="AI127" s="272">
        <f t="shared" si="94"/>
        <v>40000</v>
      </c>
      <c r="AJ127" s="162" t="b">
        <f t="shared" si="48"/>
        <v>1</v>
      </c>
      <c r="AK127" s="162" t="str">
        <f t="shared" si="49"/>
        <v>PRAZNO</v>
      </c>
      <c r="AL127" s="263"/>
    </row>
    <row r="128" spans="1:39" s="264" customFormat="1" ht="35.25" customHeight="1" x14ac:dyDescent="0.2">
      <c r="A128" s="259"/>
      <c r="B128" s="168"/>
      <c r="C128" s="168"/>
      <c r="D128" s="168"/>
      <c r="E128" s="168"/>
      <c r="F128" s="168"/>
      <c r="G128" s="168"/>
      <c r="H128" s="12" t="s">
        <v>306</v>
      </c>
      <c r="I128" s="169"/>
      <c r="J128" s="169"/>
      <c r="K128" s="169"/>
      <c r="L128" s="169"/>
      <c r="M128" s="19"/>
      <c r="N128" s="19"/>
      <c r="O128" s="19"/>
      <c r="P128" s="53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62" t="b">
        <f t="shared" si="48"/>
        <v>1</v>
      </c>
      <c r="AK128" s="162" t="str">
        <f t="shared" si="49"/>
        <v>PRAZNO</v>
      </c>
      <c r="AL128" s="263"/>
    </row>
    <row r="129" spans="1:39" s="264" customFormat="1" ht="31.5" x14ac:dyDescent="0.2">
      <c r="A129" s="259"/>
      <c r="B129" s="168"/>
      <c r="C129" s="168"/>
      <c r="D129" s="168"/>
      <c r="E129" s="168"/>
      <c r="F129" s="168"/>
      <c r="G129" s="168"/>
      <c r="H129" s="13" t="s">
        <v>563</v>
      </c>
      <c r="I129" s="169" t="e">
        <f>I131</f>
        <v>#REF!</v>
      </c>
      <c r="J129" s="169" t="e">
        <f>J131</f>
        <v>#REF!</v>
      </c>
      <c r="K129" s="169" t="e">
        <f>ROUND(J129/I129*100,2)</f>
        <v>#REF!</v>
      </c>
      <c r="L129" s="169" t="e">
        <f>M129-I129</f>
        <v>#REF!</v>
      </c>
      <c r="M129" s="19" t="e">
        <f>M131</f>
        <v>#REF!</v>
      </c>
      <c r="N129" s="19" t="e">
        <f>N131</f>
        <v>#REF!</v>
      </c>
      <c r="O129" s="19" t="e">
        <f>O131</f>
        <v>#REF!</v>
      </c>
      <c r="P129" s="53" t="e">
        <f>T129-N129</f>
        <v>#REF!</v>
      </c>
      <c r="Q129" s="19" t="e">
        <f>Q131</f>
        <v>#REF!</v>
      </c>
      <c r="R129" s="19" t="e">
        <f>R131</f>
        <v>#REF!</v>
      </c>
      <c r="S129" s="19" t="e">
        <f>S131</f>
        <v>#REF!</v>
      </c>
      <c r="T129" s="19">
        <f t="shared" ref="T129:Y129" si="95">T131+T142</f>
        <v>59203</v>
      </c>
      <c r="U129" s="19">
        <f t="shared" si="95"/>
        <v>72931.47</v>
      </c>
      <c r="V129" s="19">
        <f t="shared" si="95"/>
        <v>38000</v>
      </c>
      <c r="W129" s="19">
        <f t="shared" si="95"/>
        <v>38000</v>
      </c>
      <c r="X129" s="19">
        <f t="shared" si="95"/>
        <v>39000</v>
      </c>
      <c r="Y129" s="19">
        <f t="shared" si="95"/>
        <v>4146.1400000000003</v>
      </c>
      <c r="Z129" s="19">
        <f t="shared" si="53"/>
        <v>10.91</v>
      </c>
      <c r="AA129" s="19">
        <f t="shared" si="56"/>
        <v>0</v>
      </c>
      <c r="AB129" s="19">
        <f>AB131+AB142</f>
        <v>38000</v>
      </c>
      <c r="AC129" s="19">
        <f>AC131+AC142</f>
        <v>4549.8900000000003</v>
      </c>
      <c r="AD129" s="19">
        <f t="shared" si="66"/>
        <v>11.973394736842106</v>
      </c>
      <c r="AE129" s="19">
        <f t="shared" si="61"/>
        <v>0</v>
      </c>
      <c r="AF129" s="19">
        <f>AF131+AF142</f>
        <v>38000</v>
      </c>
      <c r="AG129" s="19">
        <f>AG131+AG142</f>
        <v>40000</v>
      </c>
      <c r="AH129" s="19">
        <f>AH131+AH142</f>
        <v>40000</v>
      </c>
      <c r="AI129" s="19">
        <f>AI131+AI142</f>
        <v>40000</v>
      </c>
      <c r="AJ129" s="162" t="b">
        <f t="shared" si="48"/>
        <v>1</v>
      </c>
      <c r="AK129" s="162" t="str">
        <f t="shared" si="49"/>
        <v>PRAZNO</v>
      </c>
      <c r="AL129" s="263"/>
    </row>
    <row r="130" spans="1:39" s="264" customFormat="1" ht="15.75" x14ac:dyDescent="0.2">
      <c r="A130" s="259"/>
      <c r="B130" s="260"/>
      <c r="C130" s="260"/>
      <c r="D130" s="260"/>
      <c r="E130" s="260"/>
      <c r="F130" s="260"/>
      <c r="G130" s="260"/>
      <c r="H130" s="440" t="s">
        <v>825</v>
      </c>
      <c r="I130" s="181"/>
      <c r="J130" s="181"/>
      <c r="K130" s="181"/>
      <c r="L130" s="181"/>
      <c r="M130" s="262"/>
      <c r="N130" s="262"/>
      <c r="O130" s="262"/>
      <c r="P130" s="342"/>
      <c r="Q130" s="262"/>
      <c r="R130" s="262"/>
      <c r="S130" s="262"/>
      <c r="T130" s="342"/>
      <c r="U130" s="342"/>
      <c r="V130" s="262">
        <f>V131</f>
        <v>10000</v>
      </c>
      <c r="W130" s="262">
        <f>W131</f>
        <v>10000</v>
      </c>
      <c r="X130" s="262">
        <f>X131</f>
        <v>10000</v>
      </c>
      <c r="Y130" s="262">
        <f>Y131</f>
        <v>0</v>
      </c>
      <c r="Z130" s="262">
        <f t="shared" si="53"/>
        <v>0</v>
      </c>
      <c r="AA130" s="262">
        <f t="shared" si="56"/>
        <v>0</v>
      </c>
      <c r="AB130" s="262">
        <f t="shared" ref="AB130:AI130" si="96">AB131</f>
        <v>10000</v>
      </c>
      <c r="AC130" s="262">
        <f t="shared" si="96"/>
        <v>403.75</v>
      </c>
      <c r="AD130" s="262">
        <f t="shared" si="66"/>
        <v>4.0375000000000005</v>
      </c>
      <c r="AE130" s="262">
        <f t="shared" si="61"/>
        <v>0</v>
      </c>
      <c r="AF130" s="262">
        <f t="shared" si="96"/>
        <v>10000</v>
      </c>
      <c r="AG130" s="262">
        <f t="shared" si="96"/>
        <v>11000</v>
      </c>
      <c r="AH130" s="262">
        <f t="shared" si="96"/>
        <v>11000</v>
      </c>
      <c r="AI130" s="262">
        <f t="shared" si="96"/>
        <v>11000</v>
      </c>
      <c r="AJ130" s="162" t="b">
        <f t="shared" si="48"/>
        <v>1</v>
      </c>
      <c r="AK130" s="162" t="str">
        <f t="shared" si="49"/>
        <v>PRAZNO</v>
      </c>
      <c r="AL130" s="263"/>
    </row>
    <row r="131" spans="1:39" s="264" customFormat="1" ht="15.75" x14ac:dyDescent="0.2">
      <c r="A131" s="259"/>
      <c r="B131" s="172">
        <v>3</v>
      </c>
      <c r="C131" s="172"/>
      <c r="D131" s="172"/>
      <c r="E131" s="172"/>
      <c r="F131" s="172"/>
      <c r="G131" s="172"/>
      <c r="H131" s="14" t="s">
        <v>524</v>
      </c>
      <c r="I131" s="186" t="e">
        <f t="shared" ref="I131:AI131" si="97">I132</f>
        <v>#REF!</v>
      </c>
      <c r="J131" s="186" t="e">
        <f t="shared" si="97"/>
        <v>#REF!</v>
      </c>
      <c r="K131" s="186" t="e">
        <f t="shared" ref="K131:K138" si="98">ROUND(J131/I131*100,2)</f>
        <v>#REF!</v>
      </c>
      <c r="L131" s="186" t="e">
        <f t="shared" ref="L131:L138" si="99">M131-I131</f>
        <v>#REF!</v>
      </c>
      <c r="M131" s="186" t="e">
        <f t="shared" si="97"/>
        <v>#REF!</v>
      </c>
      <c r="N131" s="186" t="e">
        <f t="shared" si="97"/>
        <v>#REF!</v>
      </c>
      <c r="O131" s="186" t="e">
        <f t="shared" si="97"/>
        <v>#REF!</v>
      </c>
      <c r="P131" s="54" t="e">
        <f t="shared" ref="P131:P140" si="100">T131-N131</f>
        <v>#REF!</v>
      </c>
      <c r="Q131" s="186" t="e">
        <f t="shared" si="97"/>
        <v>#REF!</v>
      </c>
      <c r="R131" s="186" t="e">
        <f t="shared" si="97"/>
        <v>#REF!</v>
      </c>
      <c r="S131" s="186" t="e">
        <f t="shared" si="97"/>
        <v>#REF!</v>
      </c>
      <c r="T131" s="186">
        <f t="shared" si="97"/>
        <v>59203</v>
      </c>
      <c r="U131" s="186">
        <f t="shared" si="97"/>
        <v>45613.91</v>
      </c>
      <c r="V131" s="186">
        <f t="shared" si="97"/>
        <v>10000</v>
      </c>
      <c r="W131" s="186">
        <f t="shared" si="97"/>
        <v>10000</v>
      </c>
      <c r="X131" s="186">
        <f t="shared" si="97"/>
        <v>10000</v>
      </c>
      <c r="Y131" s="186">
        <f t="shared" si="97"/>
        <v>0</v>
      </c>
      <c r="Z131" s="186">
        <f t="shared" si="53"/>
        <v>0</v>
      </c>
      <c r="AA131" s="186">
        <f t="shared" si="56"/>
        <v>0</v>
      </c>
      <c r="AB131" s="186">
        <f t="shared" si="97"/>
        <v>10000</v>
      </c>
      <c r="AC131" s="186">
        <f t="shared" si="97"/>
        <v>403.75</v>
      </c>
      <c r="AD131" s="186">
        <f t="shared" si="66"/>
        <v>4.0375000000000005</v>
      </c>
      <c r="AE131" s="186">
        <f t="shared" si="61"/>
        <v>0</v>
      </c>
      <c r="AF131" s="186">
        <f t="shared" si="97"/>
        <v>10000</v>
      </c>
      <c r="AG131" s="186">
        <f t="shared" si="97"/>
        <v>11000</v>
      </c>
      <c r="AH131" s="186">
        <f t="shared" si="97"/>
        <v>11000</v>
      </c>
      <c r="AI131" s="186">
        <f t="shared" si="97"/>
        <v>11000</v>
      </c>
      <c r="AJ131" s="162" t="b">
        <f t="shared" si="48"/>
        <v>1</v>
      </c>
      <c r="AK131" s="162" t="str">
        <f t="shared" si="49"/>
        <v>PRAZNO</v>
      </c>
      <c r="AL131" s="263"/>
    </row>
    <row r="132" spans="1:39" ht="15.75" x14ac:dyDescent="0.2">
      <c r="B132" s="175"/>
      <c r="C132" s="175">
        <v>32</v>
      </c>
      <c r="D132" s="175"/>
      <c r="E132" s="175"/>
      <c r="F132" s="175"/>
      <c r="G132" s="175"/>
      <c r="H132" s="15" t="s">
        <v>525</v>
      </c>
      <c r="I132" s="187" t="e">
        <f>I135+I144+I133+#REF!</f>
        <v>#REF!</v>
      </c>
      <c r="J132" s="187" t="e">
        <f>J135+J144+J133+#REF!</f>
        <v>#REF!</v>
      </c>
      <c r="K132" s="187" t="e">
        <f t="shared" si="98"/>
        <v>#REF!</v>
      </c>
      <c r="L132" s="187" t="e">
        <f t="shared" si="99"/>
        <v>#REF!</v>
      </c>
      <c r="M132" s="187" t="e">
        <f>M135+M144+M133+#REF!</f>
        <v>#REF!</v>
      </c>
      <c r="N132" s="187" t="e">
        <f>N135+N144+N133+#REF!+N139</f>
        <v>#REF!</v>
      </c>
      <c r="O132" s="187" t="e">
        <f>#REF!+O139+O133+O135+O144</f>
        <v>#REF!</v>
      </c>
      <c r="P132" s="204" t="e">
        <f t="shared" si="100"/>
        <v>#REF!</v>
      </c>
      <c r="Q132" s="187" t="e">
        <f>Q135+Q144+Q133+#REF!+Q139</f>
        <v>#REF!</v>
      </c>
      <c r="R132" s="187" t="e">
        <f>R135+R144+R133+#REF!</f>
        <v>#REF!</v>
      </c>
      <c r="S132" s="187" t="e">
        <f>S135+S144+S133+#REF!</f>
        <v>#REF!</v>
      </c>
      <c r="T132" s="187">
        <f t="shared" ref="T132:Y132" si="101">T139+T133+T135</f>
        <v>59203</v>
      </c>
      <c r="U132" s="187">
        <f t="shared" si="101"/>
        <v>45613.91</v>
      </c>
      <c r="V132" s="187">
        <f t="shared" si="101"/>
        <v>10000</v>
      </c>
      <c r="W132" s="187">
        <f t="shared" si="101"/>
        <v>10000</v>
      </c>
      <c r="X132" s="187">
        <f t="shared" si="101"/>
        <v>10000</v>
      </c>
      <c r="Y132" s="187">
        <f t="shared" si="101"/>
        <v>0</v>
      </c>
      <c r="Z132" s="187">
        <f t="shared" si="53"/>
        <v>0</v>
      </c>
      <c r="AA132" s="187">
        <f t="shared" si="56"/>
        <v>0</v>
      </c>
      <c r="AB132" s="187">
        <f t="shared" ref="AB132:AI132" si="102">AB139+AB133+AB135</f>
        <v>10000</v>
      </c>
      <c r="AC132" s="187">
        <f t="shared" si="102"/>
        <v>403.75</v>
      </c>
      <c r="AD132" s="187">
        <f t="shared" si="66"/>
        <v>4.0375000000000005</v>
      </c>
      <c r="AE132" s="187">
        <f t="shared" si="61"/>
        <v>0</v>
      </c>
      <c r="AF132" s="187">
        <f t="shared" si="102"/>
        <v>10000</v>
      </c>
      <c r="AG132" s="187">
        <f t="shared" si="102"/>
        <v>11000</v>
      </c>
      <c r="AH132" s="187">
        <f t="shared" si="102"/>
        <v>11000</v>
      </c>
      <c r="AI132" s="187">
        <f t="shared" si="102"/>
        <v>11000</v>
      </c>
      <c r="AJ132" s="162" t="b">
        <f t="shared" si="48"/>
        <v>1</v>
      </c>
      <c r="AK132" s="162" t="str">
        <f t="shared" si="49"/>
        <v>PRAZNO</v>
      </c>
      <c r="AM132" s="264"/>
    </row>
    <row r="133" spans="1:39" ht="15.75" x14ac:dyDescent="0.2">
      <c r="B133" s="175"/>
      <c r="C133" s="175"/>
      <c r="D133" s="175">
        <v>322</v>
      </c>
      <c r="E133" s="175"/>
      <c r="F133" s="175"/>
      <c r="G133" s="175"/>
      <c r="H133" s="16" t="s">
        <v>547</v>
      </c>
      <c r="I133" s="187">
        <f>I134</f>
        <v>5000</v>
      </c>
      <c r="J133" s="187">
        <f>J134</f>
        <v>1613.56</v>
      </c>
      <c r="K133" s="187">
        <f t="shared" si="98"/>
        <v>32.270000000000003</v>
      </c>
      <c r="L133" s="187">
        <f t="shared" si="99"/>
        <v>-3386.44</v>
      </c>
      <c r="M133" s="187">
        <f>M134</f>
        <v>1613.56</v>
      </c>
      <c r="N133" s="187">
        <f>N134</f>
        <v>500</v>
      </c>
      <c r="O133" s="187">
        <f>O134</f>
        <v>0</v>
      </c>
      <c r="P133" s="204">
        <f t="shared" si="100"/>
        <v>0</v>
      </c>
      <c r="Q133" s="187">
        <f t="shared" ref="Q133:AI133" si="103">Q134</f>
        <v>500</v>
      </c>
      <c r="R133" s="187">
        <f t="shared" si="103"/>
        <v>4000</v>
      </c>
      <c r="S133" s="187">
        <f t="shared" si="103"/>
        <v>4000</v>
      </c>
      <c r="T133" s="188">
        <f t="shared" si="103"/>
        <v>500</v>
      </c>
      <c r="U133" s="188">
        <f t="shared" si="103"/>
        <v>418</v>
      </c>
      <c r="V133" s="187">
        <f t="shared" si="103"/>
        <v>500</v>
      </c>
      <c r="W133" s="187">
        <f t="shared" si="103"/>
        <v>500</v>
      </c>
      <c r="X133" s="187">
        <f t="shared" si="103"/>
        <v>500</v>
      </c>
      <c r="Y133" s="187">
        <f t="shared" si="103"/>
        <v>0</v>
      </c>
      <c r="Z133" s="187">
        <f t="shared" si="53"/>
        <v>0</v>
      </c>
      <c r="AA133" s="187">
        <f t="shared" si="56"/>
        <v>0</v>
      </c>
      <c r="AB133" s="187">
        <f t="shared" si="103"/>
        <v>500</v>
      </c>
      <c r="AC133" s="187">
        <f t="shared" si="103"/>
        <v>0</v>
      </c>
      <c r="AD133" s="187">
        <f t="shared" si="66"/>
        <v>0</v>
      </c>
      <c r="AE133" s="187">
        <f t="shared" si="61"/>
        <v>-200</v>
      </c>
      <c r="AF133" s="187">
        <f t="shared" si="103"/>
        <v>300</v>
      </c>
      <c r="AG133" s="187">
        <f t="shared" si="103"/>
        <v>500</v>
      </c>
      <c r="AH133" s="187">
        <f t="shared" si="103"/>
        <v>500</v>
      </c>
      <c r="AI133" s="187">
        <f t="shared" si="103"/>
        <v>500</v>
      </c>
      <c r="AJ133" s="162" t="b">
        <f t="shared" si="48"/>
        <v>1</v>
      </c>
      <c r="AK133" s="162" t="str">
        <f t="shared" si="49"/>
        <v>PRAZNO</v>
      </c>
      <c r="AM133" s="264"/>
    </row>
    <row r="134" spans="1:39" ht="15.75" x14ac:dyDescent="0.2">
      <c r="B134" s="177"/>
      <c r="C134" s="177"/>
      <c r="D134" s="177"/>
      <c r="E134" s="177">
        <v>3221</v>
      </c>
      <c r="F134" s="176">
        <v>11</v>
      </c>
      <c r="G134" s="176" t="s">
        <v>527</v>
      </c>
      <c r="H134" s="16" t="s">
        <v>548</v>
      </c>
      <c r="I134" s="18">
        <v>5000</v>
      </c>
      <c r="J134" s="178">
        <v>1613.56</v>
      </c>
      <c r="K134" s="178">
        <f t="shared" si="98"/>
        <v>32.270000000000003</v>
      </c>
      <c r="L134" s="178">
        <f t="shared" si="99"/>
        <v>-3386.44</v>
      </c>
      <c r="M134" s="178">
        <v>1613.56</v>
      </c>
      <c r="N134" s="178">
        <v>500</v>
      </c>
      <c r="O134" s="178">
        <v>0</v>
      </c>
      <c r="P134" s="204">
        <f t="shared" si="100"/>
        <v>0</v>
      </c>
      <c r="Q134" s="178">
        <v>500</v>
      </c>
      <c r="R134" s="178">
        <v>4000</v>
      </c>
      <c r="S134" s="178">
        <v>4000</v>
      </c>
      <c r="T134" s="266">
        <v>500</v>
      </c>
      <c r="U134" s="266">
        <v>418</v>
      </c>
      <c r="V134" s="178">
        <v>500</v>
      </c>
      <c r="W134" s="178">
        <v>500</v>
      </c>
      <c r="X134" s="178">
        <v>500</v>
      </c>
      <c r="Y134" s="178">
        <v>0</v>
      </c>
      <c r="Z134" s="178">
        <f t="shared" si="53"/>
        <v>0</v>
      </c>
      <c r="AA134" s="178">
        <f t="shared" si="56"/>
        <v>0</v>
      </c>
      <c r="AB134" s="178">
        <v>500</v>
      </c>
      <c r="AC134" s="178">
        <v>0</v>
      </c>
      <c r="AD134" s="178">
        <f t="shared" si="66"/>
        <v>0</v>
      </c>
      <c r="AE134" s="178">
        <f t="shared" si="61"/>
        <v>-200</v>
      </c>
      <c r="AF134" s="178">
        <v>300</v>
      </c>
      <c r="AG134" s="318">
        <v>500</v>
      </c>
      <c r="AH134" s="318">
        <v>500</v>
      </c>
      <c r="AI134" s="318">
        <v>500</v>
      </c>
      <c r="AJ134" s="162" t="b">
        <f t="shared" si="48"/>
        <v>0</v>
      </c>
      <c r="AK134" s="162" t="str">
        <f t="shared" si="49"/>
        <v>PUNO</v>
      </c>
      <c r="AM134" s="264"/>
    </row>
    <row r="135" spans="1:39" ht="15.75" x14ac:dyDescent="0.2">
      <c r="B135" s="177"/>
      <c r="C135" s="177"/>
      <c r="D135" s="177">
        <v>323</v>
      </c>
      <c r="E135" s="177"/>
      <c r="F135" s="177"/>
      <c r="G135" s="177"/>
      <c r="H135" s="16" t="s">
        <v>526</v>
      </c>
      <c r="I135" s="17">
        <f>SUM(I137:I138)</f>
        <v>50000</v>
      </c>
      <c r="J135" s="17">
        <f>SUM(J137:J138)</f>
        <v>50906.82</v>
      </c>
      <c r="K135" s="17">
        <f t="shared" si="98"/>
        <v>101.81</v>
      </c>
      <c r="L135" s="17">
        <f t="shared" si="99"/>
        <v>36358.179999999993</v>
      </c>
      <c r="M135" s="17">
        <f>SUM(M137:M138)</f>
        <v>86358.18</v>
      </c>
      <c r="N135" s="17">
        <f>SUM(N137:N138)</f>
        <v>57703</v>
      </c>
      <c r="O135" s="17">
        <f>SUM(O137:O138)</f>
        <v>30812.63</v>
      </c>
      <c r="P135" s="204">
        <f t="shared" si="100"/>
        <v>0</v>
      </c>
      <c r="Q135" s="17">
        <f t="shared" ref="Q135:X135" si="104">SUM(Q137:Q138)</f>
        <v>57703</v>
      </c>
      <c r="R135" s="17">
        <f t="shared" si="104"/>
        <v>50000</v>
      </c>
      <c r="S135" s="17">
        <f t="shared" si="104"/>
        <v>50000</v>
      </c>
      <c r="T135" s="26">
        <f t="shared" si="104"/>
        <v>57703</v>
      </c>
      <c r="U135" s="26">
        <f>SUM(U137:U138)</f>
        <v>45195.91</v>
      </c>
      <c r="V135" s="17">
        <f t="shared" si="104"/>
        <v>9000</v>
      </c>
      <c r="W135" s="17">
        <f t="shared" si="104"/>
        <v>9000</v>
      </c>
      <c r="X135" s="17">
        <f t="shared" si="104"/>
        <v>9000</v>
      </c>
      <c r="Y135" s="17">
        <f>SUM(Y137:Y138)</f>
        <v>0</v>
      </c>
      <c r="Z135" s="17">
        <f t="shared" si="53"/>
        <v>0</v>
      </c>
      <c r="AA135" s="17">
        <f t="shared" si="56"/>
        <v>0</v>
      </c>
      <c r="AB135" s="17">
        <f t="shared" ref="AB135:AI135" si="105">SUM(AB137:AB138)</f>
        <v>9000</v>
      </c>
      <c r="AC135" s="17">
        <f t="shared" si="105"/>
        <v>403.75</v>
      </c>
      <c r="AD135" s="17">
        <f t="shared" si="66"/>
        <v>4.4861111111111107</v>
      </c>
      <c r="AE135" s="17">
        <f>SUM(AE136:AE138)</f>
        <v>500</v>
      </c>
      <c r="AF135" s="17">
        <f>SUM(AF136:AF138)</f>
        <v>9500</v>
      </c>
      <c r="AG135" s="17">
        <f t="shared" si="105"/>
        <v>10000</v>
      </c>
      <c r="AH135" s="17">
        <f t="shared" si="105"/>
        <v>10000</v>
      </c>
      <c r="AI135" s="17">
        <f t="shared" si="105"/>
        <v>10000</v>
      </c>
      <c r="AJ135" s="162" t="b">
        <f t="shared" si="48"/>
        <v>1</v>
      </c>
      <c r="AK135" s="162" t="str">
        <f t="shared" si="49"/>
        <v>PRAZNO</v>
      </c>
      <c r="AM135" s="264"/>
    </row>
    <row r="136" spans="1:39" ht="15.75" x14ac:dyDescent="0.2">
      <c r="B136" s="177"/>
      <c r="C136" s="177"/>
      <c r="D136" s="177"/>
      <c r="E136" s="177">
        <v>3231</v>
      </c>
      <c r="F136" s="177">
        <v>11</v>
      </c>
      <c r="G136" s="177"/>
      <c r="H136" s="16" t="s">
        <v>206</v>
      </c>
      <c r="I136" s="17"/>
      <c r="J136" s="17"/>
      <c r="K136" s="17"/>
      <c r="L136" s="17"/>
      <c r="M136" s="17"/>
      <c r="N136" s="17"/>
      <c r="O136" s="17"/>
      <c r="P136" s="204"/>
      <c r="Q136" s="17"/>
      <c r="R136" s="17"/>
      <c r="S136" s="17"/>
      <c r="T136" s="26"/>
      <c r="U136" s="26"/>
      <c r="V136" s="17"/>
      <c r="W136" s="17"/>
      <c r="X136" s="17"/>
      <c r="Y136" s="17"/>
      <c r="Z136" s="17"/>
      <c r="AA136" s="17"/>
      <c r="AB136" s="17"/>
      <c r="AC136" s="17"/>
      <c r="AD136" s="17"/>
      <c r="AE136" s="178">
        <f>AF136-AB136</f>
        <v>7000</v>
      </c>
      <c r="AF136" s="178">
        <v>7000</v>
      </c>
      <c r="AG136" s="17"/>
      <c r="AH136" s="17"/>
      <c r="AI136" s="17"/>
      <c r="AJ136" s="162" t="b">
        <f t="shared" si="48"/>
        <v>0</v>
      </c>
      <c r="AK136" s="162" t="str">
        <f t="shared" si="49"/>
        <v>PUNO</v>
      </c>
      <c r="AM136" s="264"/>
    </row>
    <row r="137" spans="1:39" ht="15.75" x14ac:dyDescent="0.2">
      <c r="B137" s="177"/>
      <c r="C137" s="177"/>
      <c r="D137" s="177"/>
      <c r="E137" s="177">
        <v>3233</v>
      </c>
      <c r="F137" s="176">
        <v>11</v>
      </c>
      <c r="G137" s="176" t="s">
        <v>527</v>
      </c>
      <c r="H137" s="16" t="s">
        <v>528</v>
      </c>
      <c r="I137" s="18">
        <v>40000</v>
      </c>
      <c r="J137" s="178">
        <v>44065.15</v>
      </c>
      <c r="K137" s="178">
        <f t="shared" si="98"/>
        <v>110.16</v>
      </c>
      <c r="L137" s="178">
        <f t="shared" si="99"/>
        <v>25511.510000000002</v>
      </c>
      <c r="M137" s="178">
        <v>65511.51</v>
      </c>
      <c r="N137" s="178">
        <v>52703</v>
      </c>
      <c r="O137" s="178">
        <v>28437.63</v>
      </c>
      <c r="P137" s="204">
        <f t="shared" si="100"/>
        <v>0</v>
      </c>
      <c r="Q137" s="178">
        <v>52703</v>
      </c>
      <c r="R137" s="178">
        <v>40000</v>
      </c>
      <c r="S137" s="178">
        <v>40000</v>
      </c>
      <c r="T137" s="266">
        <v>52703</v>
      </c>
      <c r="U137" s="266">
        <v>42820.91</v>
      </c>
      <c r="V137" s="178">
        <v>6500</v>
      </c>
      <c r="W137" s="178">
        <v>6500</v>
      </c>
      <c r="X137" s="178">
        <v>6500</v>
      </c>
      <c r="Y137" s="178">
        <v>0</v>
      </c>
      <c r="Z137" s="178">
        <f t="shared" si="53"/>
        <v>0</v>
      </c>
      <c r="AA137" s="178">
        <f t="shared" si="56"/>
        <v>0</v>
      </c>
      <c r="AB137" s="178">
        <v>6500</v>
      </c>
      <c r="AC137" s="178">
        <v>403.75</v>
      </c>
      <c r="AD137" s="178">
        <f t="shared" si="66"/>
        <v>6.2115384615384617</v>
      </c>
      <c r="AE137" s="178">
        <f t="shared" si="61"/>
        <v>-4500</v>
      </c>
      <c r="AF137" s="178">
        <v>2000</v>
      </c>
      <c r="AG137" s="27">
        <v>5000</v>
      </c>
      <c r="AH137" s="27">
        <v>5000</v>
      </c>
      <c r="AI137" s="27">
        <v>5000</v>
      </c>
      <c r="AJ137" s="162" t="b">
        <f t="shared" ref="AJ137:AJ200" si="106">ISBLANK(E137)</f>
        <v>0</v>
      </c>
      <c r="AK137" s="162" t="str">
        <f t="shared" ref="AK137:AK200" si="107">IF(AJ137,"PRAZNO","PUNO")</f>
        <v>PUNO</v>
      </c>
      <c r="AM137" s="264"/>
    </row>
    <row r="138" spans="1:39" ht="15.75" x14ac:dyDescent="0.2">
      <c r="B138" s="177"/>
      <c r="C138" s="177"/>
      <c r="D138" s="177"/>
      <c r="E138" s="177">
        <v>3237</v>
      </c>
      <c r="F138" s="176">
        <v>11</v>
      </c>
      <c r="G138" s="176" t="s">
        <v>527</v>
      </c>
      <c r="H138" s="16" t="s">
        <v>566</v>
      </c>
      <c r="I138" s="18">
        <v>10000</v>
      </c>
      <c r="J138" s="178">
        <v>6841.67</v>
      </c>
      <c r="K138" s="178">
        <f t="shared" si="98"/>
        <v>68.42</v>
      </c>
      <c r="L138" s="178">
        <f t="shared" si="99"/>
        <v>10846.669999999998</v>
      </c>
      <c r="M138" s="178">
        <v>20846.669999999998</v>
      </c>
      <c r="N138" s="178">
        <v>5000</v>
      </c>
      <c r="O138" s="178">
        <v>2375</v>
      </c>
      <c r="P138" s="204">
        <f t="shared" si="100"/>
        <v>0</v>
      </c>
      <c r="Q138" s="178">
        <v>5000</v>
      </c>
      <c r="R138" s="178">
        <v>10000</v>
      </c>
      <c r="S138" s="178">
        <v>10000</v>
      </c>
      <c r="T138" s="266">
        <v>5000</v>
      </c>
      <c r="U138" s="266">
        <v>2375</v>
      </c>
      <c r="V138" s="178">
        <v>2500</v>
      </c>
      <c r="W138" s="178">
        <v>2500</v>
      </c>
      <c r="X138" s="178">
        <v>2500</v>
      </c>
      <c r="Y138" s="178">
        <v>0</v>
      </c>
      <c r="Z138" s="178">
        <f t="shared" si="53"/>
        <v>0</v>
      </c>
      <c r="AA138" s="178">
        <f t="shared" si="56"/>
        <v>0</v>
      </c>
      <c r="AB138" s="178">
        <v>2500</v>
      </c>
      <c r="AC138" s="178">
        <v>0</v>
      </c>
      <c r="AD138" s="178">
        <f t="shared" si="66"/>
        <v>0</v>
      </c>
      <c r="AE138" s="178">
        <f t="shared" si="61"/>
        <v>-2000</v>
      </c>
      <c r="AF138" s="178">
        <v>500</v>
      </c>
      <c r="AG138" s="27">
        <v>5000</v>
      </c>
      <c r="AH138" s="27">
        <v>5000</v>
      </c>
      <c r="AI138" s="27">
        <v>5000</v>
      </c>
      <c r="AJ138" s="162" t="b">
        <f t="shared" si="106"/>
        <v>0</v>
      </c>
      <c r="AK138" s="162" t="str">
        <f t="shared" si="107"/>
        <v>PUNO</v>
      </c>
      <c r="AM138" s="264"/>
    </row>
    <row r="139" spans="1:39" ht="15.75" x14ac:dyDescent="0.2">
      <c r="B139" s="177"/>
      <c r="C139" s="177"/>
      <c r="D139" s="177">
        <v>324</v>
      </c>
      <c r="E139" s="177"/>
      <c r="F139" s="176"/>
      <c r="G139" s="176"/>
      <c r="H139" s="16" t="s">
        <v>530</v>
      </c>
      <c r="I139" s="18"/>
      <c r="J139" s="178"/>
      <c r="K139" s="178"/>
      <c r="L139" s="178"/>
      <c r="M139" s="178"/>
      <c r="N139" s="178">
        <f>N140</f>
        <v>1000</v>
      </c>
      <c r="O139" s="178">
        <f>O140</f>
        <v>418</v>
      </c>
      <c r="P139" s="204">
        <f t="shared" si="100"/>
        <v>0</v>
      </c>
      <c r="Q139" s="178">
        <f>Q140</f>
        <v>1000</v>
      </c>
      <c r="R139" s="178"/>
      <c r="S139" s="178"/>
      <c r="T139" s="266">
        <f t="shared" ref="T139:Y139" si="108">T140</f>
        <v>1000</v>
      </c>
      <c r="U139" s="266">
        <f t="shared" si="108"/>
        <v>0</v>
      </c>
      <c r="V139" s="178">
        <f t="shared" si="108"/>
        <v>500</v>
      </c>
      <c r="W139" s="178">
        <f t="shared" si="108"/>
        <v>500</v>
      </c>
      <c r="X139" s="178">
        <f t="shared" si="108"/>
        <v>500</v>
      </c>
      <c r="Y139" s="178">
        <f t="shared" si="108"/>
        <v>0</v>
      </c>
      <c r="Z139" s="178">
        <f>ROUND(Y139/V139*100,2)</f>
        <v>0</v>
      </c>
      <c r="AA139" s="178">
        <f>AB139-V139</f>
        <v>0</v>
      </c>
      <c r="AB139" s="178">
        <f t="shared" ref="AB139:AI139" si="109">AB140</f>
        <v>500</v>
      </c>
      <c r="AC139" s="178">
        <f t="shared" si="109"/>
        <v>0</v>
      </c>
      <c r="AD139" s="178">
        <f t="shared" si="66"/>
        <v>0</v>
      </c>
      <c r="AE139" s="178">
        <f t="shared" si="61"/>
        <v>-300</v>
      </c>
      <c r="AF139" s="178">
        <f t="shared" si="109"/>
        <v>200</v>
      </c>
      <c r="AG139" s="178">
        <f t="shared" si="109"/>
        <v>500</v>
      </c>
      <c r="AH139" s="178">
        <f t="shared" si="109"/>
        <v>500</v>
      </c>
      <c r="AI139" s="178">
        <f t="shared" si="109"/>
        <v>500</v>
      </c>
      <c r="AJ139" s="162" t="b">
        <f t="shared" si="106"/>
        <v>1</v>
      </c>
      <c r="AK139" s="162" t="str">
        <f t="shared" si="107"/>
        <v>PRAZNO</v>
      </c>
      <c r="AM139" s="264"/>
    </row>
    <row r="140" spans="1:39" ht="15.75" x14ac:dyDescent="0.2">
      <c r="B140" s="177"/>
      <c r="C140" s="177"/>
      <c r="D140" s="177"/>
      <c r="E140" s="177">
        <v>3241</v>
      </c>
      <c r="F140" s="176">
        <v>11</v>
      </c>
      <c r="G140" s="176"/>
      <c r="H140" s="16" t="s">
        <v>530</v>
      </c>
      <c r="I140" s="18"/>
      <c r="J140" s="178"/>
      <c r="K140" s="178"/>
      <c r="L140" s="178"/>
      <c r="M140" s="178"/>
      <c r="N140" s="178">
        <v>1000</v>
      </c>
      <c r="O140" s="178">
        <v>418</v>
      </c>
      <c r="P140" s="204">
        <f t="shared" si="100"/>
        <v>0</v>
      </c>
      <c r="Q140" s="178">
        <v>1000</v>
      </c>
      <c r="R140" s="178"/>
      <c r="S140" s="178"/>
      <c r="T140" s="266">
        <v>1000</v>
      </c>
      <c r="U140" s="266"/>
      <c r="V140" s="178">
        <v>500</v>
      </c>
      <c r="W140" s="178">
        <v>500</v>
      </c>
      <c r="X140" s="178">
        <v>500</v>
      </c>
      <c r="Y140" s="178">
        <v>0</v>
      </c>
      <c r="Z140" s="178">
        <f>ROUND(Y140/V140*100,2)</f>
        <v>0</v>
      </c>
      <c r="AA140" s="178">
        <f>AB140-V140</f>
        <v>0</v>
      </c>
      <c r="AB140" s="178">
        <v>500</v>
      </c>
      <c r="AC140" s="178">
        <v>0</v>
      </c>
      <c r="AD140" s="178">
        <f t="shared" si="66"/>
        <v>0</v>
      </c>
      <c r="AE140" s="178">
        <f t="shared" si="61"/>
        <v>-300</v>
      </c>
      <c r="AF140" s="178">
        <v>200</v>
      </c>
      <c r="AG140" s="27">
        <v>500</v>
      </c>
      <c r="AH140" s="27">
        <v>500</v>
      </c>
      <c r="AI140" s="27">
        <v>500</v>
      </c>
      <c r="AJ140" s="162" t="b">
        <f t="shared" si="106"/>
        <v>0</v>
      </c>
      <c r="AK140" s="162" t="str">
        <f t="shared" si="107"/>
        <v>PUNO</v>
      </c>
      <c r="AM140" s="264"/>
    </row>
    <row r="141" spans="1:39" s="453" customFormat="1" ht="15.75" x14ac:dyDescent="0.25">
      <c r="A141" s="378"/>
      <c r="B141" s="260"/>
      <c r="C141" s="260"/>
      <c r="D141" s="260"/>
      <c r="E141" s="260"/>
      <c r="F141" s="448"/>
      <c r="G141" s="448"/>
      <c r="H141" s="440" t="s">
        <v>824</v>
      </c>
      <c r="I141" s="449"/>
      <c r="J141" s="443"/>
      <c r="K141" s="443"/>
      <c r="L141" s="443"/>
      <c r="M141" s="443"/>
      <c r="N141" s="443"/>
      <c r="O141" s="443"/>
      <c r="P141" s="451"/>
      <c r="Q141" s="443"/>
      <c r="R141" s="443"/>
      <c r="S141" s="443"/>
      <c r="T141" s="444"/>
      <c r="U141" s="443">
        <f t="shared" ref="U141:AI143" si="110">U142</f>
        <v>27317.56</v>
      </c>
      <c r="V141" s="443">
        <f t="shared" si="110"/>
        <v>28000</v>
      </c>
      <c r="W141" s="443">
        <f t="shared" si="110"/>
        <v>28000</v>
      </c>
      <c r="X141" s="443">
        <f t="shared" si="110"/>
        <v>29000</v>
      </c>
      <c r="Y141" s="443">
        <f t="shared" si="110"/>
        <v>4146.1400000000003</v>
      </c>
      <c r="Z141" s="443">
        <f t="shared" si="110"/>
        <v>14.81</v>
      </c>
      <c r="AA141" s="443">
        <f t="shared" si="110"/>
        <v>0</v>
      </c>
      <c r="AB141" s="443">
        <f t="shared" si="110"/>
        <v>28000</v>
      </c>
      <c r="AC141" s="443">
        <f t="shared" si="110"/>
        <v>4146.1400000000003</v>
      </c>
      <c r="AD141" s="443">
        <f t="shared" si="66"/>
        <v>14.807642857142858</v>
      </c>
      <c r="AE141" s="443">
        <f t="shared" si="61"/>
        <v>0</v>
      </c>
      <c r="AF141" s="443">
        <f t="shared" si="110"/>
        <v>28000</v>
      </c>
      <c r="AG141" s="443">
        <f t="shared" si="110"/>
        <v>29000</v>
      </c>
      <c r="AH141" s="443">
        <f t="shared" si="110"/>
        <v>29000</v>
      </c>
      <c r="AI141" s="443">
        <f t="shared" si="110"/>
        <v>29000</v>
      </c>
      <c r="AJ141" s="162" t="b">
        <f t="shared" si="106"/>
        <v>1</v>
      </c>
      <c r="AK141" s="162" t="str">
        <f t="shared" si="107"/>
        <v>PRAZNO</v>
      </c>
      <c r="AL141" s="452"/>
      <c r="AM141" s="447"/>
    </row>
    <row r="142" spans="1:39" s="264" customFormat="1" ht="15.75" x14ac:dyDescent="0.2">
      <c r="A142" s="259"/>
      <c r="B142" s="172">
        <v>3</v>
      </c>
      <c r="C142" s="172"/>
      <c r="D142" s="172"/>
      <c r="E142" s="172"/>
      <c r="F142" s="220"/>
      <c r="G142" s="220"/>
      <c r="H142" s="14" t="s">
        <v>524</v>
      </c>
      <c r="I142" s="184"/>
      <c r="J142" s="184"/>
      <c r="K142" s="184"/>
      <c r="L142" s="184"/>
      <c r="M142" s="184"/>
      <c r="N142" s="184"/>
      <c r="O142" s="184"/>
      <c r="P142" s="54"/>
      <c r="Q142" s="184"/>
      <c r="R142" s="184"/>
      <c r="S142" s="184"/>
      <c r="T142" s="185"/>
      <c r="U142" s="184">
        <f t="shared" si="110"/>
        <v>27317.56</v>
      </c>
      <c r="V142" s="184">
        <f t="shared" si="110"/>
        <v>28000</v>
      </c>
      <c r="W142" s="184">
        <f t="shared" si="110"/>
        <v>28000</v>
      </c>
      <c r="X142" s="184">
        <f t="shared" si="110"/>
        <v>29000</v>
      </c>
      <c r="Y142" s="184">
        <f t="shared" si="110"/>
        <v>4146.1400000000003</v>
      </c>
      <c r="Z142" s="184">
        <f t="shared" si="110"/>
        <v>14.81</v>
      </c>
      <c r="AA142" s="184">
        <f t="shared" si="110"/>
        <v>0</v>
      </c>
      <c r="AB142" s="184">
        <f t="shared" si="110"/>
        <v>28000</v>
      </c>
      <c r="AC142" s="184">
        <f t="shared" si="110"/>
        <v>4146.1400000000003</v>
      </c>
      <c r="AD142" s="184">
        <f t="shared" si="66"/>
        <v>14.807642857142858</v>
      </c>
      <c r="AE142" s="184">
        <f t="shared" si="61"/>
        <v>0</v>
      </c>
      <c r="AF142" s="184">
        <f t="shared" si="110"/>
        <v>28000</v>
      </c>
      <c r="AG142" s="184">
        <f t="shared" si="110"/>
        <v>29000</v>
      </c>
      <c r="AH142" s="184">
        <f t="shared" si="110"/>
        <v>29000</v>
      </c>
      <c r="AI142" s="184">
        <f t="shared" si="110"/>
        <v>29000</v>
      </c>
      <c r="AJ142" s="162" t="b">
        <f t="shared" si="106"/>
        <v>1</v>
      </c>
      <c r="AK142" s="162" t="str">
        <f t="shared" si="107"/>
        <v>PRAZNO</v>
      </c>
      <c r="AL142" s="263"/>
    </row>
    <row r="143" spans="1:39" ht="15.75" x14ac:dyDescent="0.2">
      <c r="B143" s="177"/>
      <c r="C143" s="177">
        <v>32</v>
      </c>
      <c r="D143" s="177"/>
      <c r="E143" s="177"/>
      <c r="F143" s="176"/>
      <c r="G143" s="176"/>
      <c r="H143" s="16" t="s">
        <v>525</v>
      </c>
      <c r="I143" s="18"/>
      <c r="J143" s="178"/>
      <c r="K143" s="178"/>
      <c r="L143" s="178"/>
      <c r="M143" s="178"/>
      <c r="N143" s="178"/>
      <c r="O143" s="178"/>
      <c r="P143" s="204"/>
      <c r="Q143" s="178"/>
      <c r="R143" s="178"/>
      <c r="S143" s="178"/>
      <c r="T143" s="266"/>
      <c r="U143" s="178">
        <f t="shared" si="110"/>
        <v>27317.56</v>
      </c>
      <c r="V143" s="178">
        <f t="shared" si="110"/>
        <v>28000</v>
      </c>
      <c r="W143" s="178">
        <f t="shared" si="110"/>
        <v>28000</v>
      </c>
      <c r="X143" s="178">
        <f t="shared" si="110"/>
        <v>29000</v>
      </c>
      <c r="Y143" s="178">
        <f t="shared" si="110"/>
        <v>4146.1400000000003</v>
      </c>
      <c r="Z143" s="178">
        <f t="shared" si="110"/>
        <v>14.81</v>
      </c>
      <c r="AA143" s="178">
        <f t="shared" si="110"/>
        <v>0</v>
      </c>
      <c r="AB143" s="178">
        <f t="shared" si="110"/>
        <v>28000</v>
      </c>
      <c r="AC143" s="178">
        <f t="shared" si="110"/>
        <v>4146.1400000000003</v>
      </c>
      <c r="AD143" s="178">
        <f t="shared" si="66"/>
        <v>14.807642857142858</v>
      </c>
      <c r="AE143" s="178">
        <f t="shared" si="61"/>
        <v>0</v>
      </c>
      <c r="AF143" s="178">
        <f t="shared" si="110"/>
        <v>28000</v>
      </c>
      <c r="AG143" s="178">
        <f t="shared" si="110"/>
        <v>29000</v>
      </c>
      <c r="AH143" s="178">
        <f t="shared" si="110"/>
        <v>29000</v>
      </c>
      <c r="AI143" s="178">
        <f t="shared" si="110"/>
        <v>29000</v>
      </c>
      <c r="AJ143" s="162" t="b">
        <f t="shared" si="106"/>
        <v>1</v>
      </c>
      <c r="AK143" s="162" t="str">
        <f t="shared" si="107"/>
        <v>PRAZNO</v>
      </c>
      <c r="AM143" s="264"/>
    </row>
    <row r="144" spans="1:39" ht="15.75" x14ac:dyDescent="0.2">
      <c r="B144" s="177"/>
      <c r="C144" s="177"/>
      <c r="D144" s="177">
        <v>329</v>
      </c>
      <c r="E144" s="177"/>
      <c r="F144" s="177"/>
      <c r="G144" s="177"/>
      <c r="H144" s="16" t="s">
        <v>531</v>
      </c>
      <c r="I144" s="17">
        <f>I145</f>
        <v>30000</v>
      </c>
      <c r="J144" s="17">
        <f>J145</f>
        <v>25553.09</v>
      </c>
      <c r="K144" s="17">
        <f>ROUND(J144/I144*100,2)</f>
        <v>85.18</v>
      </c>
      <c r="L144" s="17" t="e">
        <f>M144-I144</f>
        <v>#REF!</v>
      </c>
      <c r="M144" s="17" t="e">
        <f>#REF!</f>
        <v>#REF!</v>
      </c>
      <c r="N144" s="17">
        <f>N145</f>
        <v>28000</v>
      </c>
      <c r="O144" s="17">
        <f>O145</f>
        <v>27317.56</v>
      </c>
      <c r="P144" s="204">
        <f>T144-N144</f>
        <v>0</v>
      </c>
      <c r="Q144" s="17">
        <f t="shared" ref="Q144:AI144" si="111">Q145</f>
        <v>28000</v>
      </c>
      <c r="R144" s="17">
        <f t="shared" si="111"/>
        <v>29000</v>
      </c>
      <c r="S144" s="17">
        <f t="shared" si="111"/>
        <v>30000</v>
      </c>
      <c r="T144" s="26">
        <f t="shared" si="111"/>
        <v>28000</v>
      </c>
      <c r="U144" s="26">
        <f t="shared" si="111"/>
        <v>27317.56</v>
      </c>
      <c r="V144" s="17">
        <f t="shared" si="111"/>
        <v>28000</v>
      </c>
      <c r="W144" s="17">
        <f t="shared" si="111"/>
        <v>28000</v>
      </c>
      <c r="X144" s="17">
        <f t="shared" si="111"/>
        <v>29000</v>
      </c>
      <c r="Y144" s="17">
        <f t="shared" si="111"/>
        <v>4146.1400000000003</v>
      </c>
      <c r="Z144" s="17">
        <f t="shared" ref="Z144:Z207" si="112">ROUND(Y144/V144*100,2)</f>
        <v>14.81</v>
      </c>
      <c r="AA144" s="17">
        <f t="shared" ref="AA144:AA207" si="113">AB144-V144</f>
        <v>0</v>
      </c>
      <c r="AB144" s="17">
        <f t="shared" si="111"/>
        <v>28000</v>
      </c>
      <c r="AC144" s="17">
        <f t="shared" si="111"/>
        <v>4146.1400000000003</v>
      </c>
      <c r="AD144" s="17">
        <f t="shared" si="66"/>
        <v>14.807642857142858</v>
      </c>
      <c r="AE144" s="17">
        <f t="shared" si="61"/>
        <v>0</v>
      </c>
      <c r="AF144" s="17">
        <f t="shared" si="111"/>
        <v>28000</v>
      </c>
      <c r="AG144" s="17">
        <f t="shared" si="111"/>
        <v>29000</v>
      </c>
      <c r="AH144" s="17">
        <f t="shared" si="111"/>
        <v>29000</v>
      </c>
      <c r="AI144" s="17">
        <f t="shared" si="111"/>
        <v>29000</v>
      </c>
      <c r="AJ144" s="162" t="b">
        <f t="shared" si="106"/>
        <v>1</v>
      </c>
      <c r="AK144" s="162" t="str">
        <f t="shared" si="107"/>
        <v>PRAZNO</v>
      </c>
      <c r="AM144" s="264"/>
    </row>
    <row r="145" spans="1:39" ht="15.75" x14ac:dyDescent="0.2">
      <c r="B145" s="177"/>
      <c r="C145" s="177"/>
      <c r="D145" s="177"/>
      <c r="E145" s="177">
        <v>3294</v>
      </c>
      <c r="F145" s="176">
        <v>11</v>
      </c>
      <c r="G145" s="177"/>
      <c r="H145" s="16" t="s">
        <v>534</v>
      </c>
      <c r="I145" s="17">
        <v>30000</v>
      </c>
      <c r="J145" s="17">
        <v>25553.09</v>
      </c>
      <c r="K145" s="17">
        <f>ROUND(J145/I145*100,2)</f>
        <v>85.18</v>
      </c>
      <c r="L145" s="17" t="e">
        <f>#REF!-I145</f>
        <v>#REF!</v>
      </c>
      <c r="M145" s="17"/>
      <c r="N145" s="17">
        <v>28000</v>
      </c>
      <c r="O145" s="17">
        <v>27317.56</v>
      </c>
      <c r="P145" s="204">
        <f>T145-N145</f>
        <v>0</v>
      </c>
      <c r="Q145" s="17">
        <v>28000</v>
      </c>
      <c r="R145" s="17">
        <v>29000</v>
      </c>
      <c r="S145" s="17">
        <v>30000</v>
      </c>
      <c r="T145" s="26">
        <v>28000</v>
      </c>
      <c r="U145" s="26">
        <v>27317.56</v>
      </c>
      <c r="V145" s="26">
        <v>28000</v>
      </c>
      <c r="W145" s="26">
        <v>28000</v>
      </c>
      <c r="X145" s="17">
        <v>29000</v>
      </c>
      <c r="Y145" s="26">
        <v>4146.1400000000003</v>
      </c>
      <c r="Z145" s="26">
        <f t="shared" si="112"/>
        <v>14.81</v>
      </c>
      <c r="AA145" s="26">
        <f t="shared" si="113"/>
        <v>0</v>
      </c>
      <c r="AB145" s="26">
        <v>28000</v>
      </c>
      <c r="AC145" s="26">
        <v>4146.1400000000003</v>
      </c>
      <c r="AD145" s="26">
        <f t="shared" si="66"/>
        <v>14.807642857142858</v>
      </c>
      <c r="AE145" s="26">
        <f t="shared" si="61"/>
        <v>0</v>
      </c>
      <c r="AF145" s="26">
        <v>28000</v>
      </c>
      <c r="AG145" s="27">
        <v>29000</v>
      </c>
      <c r="AH145" s="27">
        <v>29000</v>
      </c>
      <c r="AI145" s="27">
        <v>29000</v>
      </c>
      <c r="AJ145" s="162" t="b">
        <f t="shared" si="106"/>
        <v>0</v>
      </c>
      <c r="AK145" s="162" t="str">
        <f t="shared" si="107"/>
        <v>PUNO</v>
      </c>
      <c r="AM145" s="264"/>
    </row>
    <row r="146" spans="1:39" s="264" customFormat="1" ht="15.75" x14ac:dyDescent="0.2">
      <c r="A146" s="259"/>
      <c r="B146" s="270"/>
      <c r="C146" s="270"/>
      <c r="D146" s="270"/>
      <c r="E146" s="270"/>
      <c r="F146" s="270"/>
      <c r="G146" s="270"/>
      <c r="H146" s="274" t="s">
        <v>762</v>
      </c>
      <c r="I146" s="273">
        <f>I148</f>
        <v>49000</v>
      </c>
      <c r="J146" s="273">
        <f>J148</f>
        <v>33191.85</v>
      </c>
      <c r="K146" s="273">
        <f>ROUND(J146/I146*100,2)</f>
        <v>67.739999999999995</v>
      </c>
      <c r="L146" s="273">
        <f>M146-I146</f>
        <v>-15808.150000000001</v>
      </c>
      <c r="M146" s="272">
        <f>M148</f>
        <v>33191.85</v>
      </c>
      <c r="N146" s="272">
        <f>N148</f>
        <v>70000</v>
      </c>
      <c r="O146" s="272">
        <f>O148</f>
        <v>11837</v>
      </c>
      <c r="P146" s="281">
        <f>T146-N146</f>
        <v>0</v>
      </c>
      <c r="Q146" s="272">
        <f t="shared" ref="Q146:X146" si="114">Q148</f>
        <v>70000</v>
      </c>
      <c r="R146" s="272">
        <f t="shared" si="114"/>
        <v>70000</v>
      </c>
      <c r="S146" s="272">
        <f t="shared" si="114"/>
        <v>71000</v>
      </c>
      <c r="T146" s="275">
        <f t="shared" si="114"/>
        <v>70000</v>
      </c>
      <c r="U146" s="275">
        <f>U148</f>
        <v>12437</v>
      </c>
      <c r="V146" s="272">
        <f t="shared" si="114"/>
        <v>71000</v>
      </c>
      <c r="W146" s="272">
        <f t="shared" si="114"/>
        <v>72000</v>
      </c>
      <c r="X146" s="272">
        <f t="shared" si="114"/>
        <v>73000</v>
      </c>
      <c r="Y146" s="272">
        <f>Y148</f>
        <v>0</v>
      </c>
      <c r="Z146" s="272">
        <f t="shared" si="112"/>
        <v>0</v>
      </c>
      <c r="AA146" s="272">
        <f t="shared" si="113"/>
        <v>0</v>
      </c>
      <c r="AB146" s="272">
        <f t="shared" ref="AB146:AI146" si="115">AB148</f>
        <v>71000</v>
      </c>
      <c r="AC146" s="272">
        <f t="shared" si="115"/>
        <v>33564.559999999998</v>
      </c>
      <c r="AD146" s="272">
        <f t="shared" si="66"/>
        <v>47.27402816901408</v>
      </c>
      <c r="AE146" s="272">
        <f t="shared" si="61"/>
        <v>0</v>
      </c>
      <c r="AF146" s="272">
        <f t="shared" si="115"/>
        <v>71000</v>
      </c>
      <c r="AG146" s="272">
        <f t="shared" si="115"/>
        <v>71000</v>
      </c>
      <c r="AH146" s="272">
        <f t="shared" si="115"/>
        <v>71000</v>
      </c>
      <c r="AI146" s="272">
        <f t="shared" si="115"/>
        <v>72000</v>
      </c>
      <c r="AJ146" s="162" t="b">
        <f t="shared" si="106"/>
        <v>1</v>
      </c>
      <c r="AK146" s="162" t="str">
        <f t="shared" si="107"/>
        <v>PRAZNO</v>
      </c>
      <c r="AL146" s="263"/>
    </row>
    <row r="147" spans="1:39" s="264" customFormat="1" ht="15.75" x14ac:dyDescent="0.2">
      <c r="A147" s="259"/>
      <c r="B147" s="168"/>
      <c r="C147" s="168"/>
      <c r="D147" s="168"/>
      <c r="E147" s="168"/>
      <c r="F147" s="168"/>
      <c r="G147" s="168"/>
      <c r="H147" s="13" t="s">
        <v>46</v>
      </c>
      <c r="I147" s="169"/>
      <c r="J147" s="169"/>
      <c r="K147" s="169"/>
      <c r="L147" s="169"/>
      <c r="M147" s="19"/>
      <c r="N147" s="19"/>
      <c r="O147" s="19"/>
      <c r="P147" s="205"/>
      <c r="Q147" s="19"/>
      <c r="R147" s="19"/>
      <c r="S147" s="19"/>
      <c r="T147" s="53"/>
      <c r="U147" s="53"/>
      <c r="V147" s="19"/>
      <c r="W147" s="19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62" t="b">
        <f t="shared" si="106"/>
        <v>1</v>
      </c>
      <c r="AK147" s="162" t="str">
        <f t="shared" si="107"/>
        <v>PRAZNO</v>
      </c>
      <c r="AL147" s="263"/>
    </row>
    <row r="148" spans="1:39" s="264" customFormat="1" ht="15.75" x14ac:dyDescent="0.2">
      <c r="A148" s="259"/>
      <c r="B148" s="168"/>
      <c r="C148" s="168"/>
      <c r="D148" s="168"/>
      <c r="E148" s="168"/>
      <c r="F148" s="168"/>
      <c r="G148" s="168"/>
      <c r="H148" s="13" t="s">
        <v>568</v>
      </c>
      <c r="I148" s="169">
        <f>I150</f>
        <v>49000</v>
      </c>
      <c r="J148" s="169">
        <f>J150</f>
        <v>33191.85</v>
      </c>
      <c r="K148" s="169">
        <f>ROUND(J148/I148*100,2)</f>
        <v>67.739999999999995</v>
      </c>
      <c r="L148" s="169">
        <f>M148-I148</f>
        <v>-15808.150000000001</v>
      </c>
      <c r="M148" s="19">
        <f>M150</f>
        <v>33191.85</v>
      </c>
      <c r="N148" s="19">
        <f>N150</f>
        <v>70000</v>
      </c>
      <c r="O148" s="19">
        <f>O150</f>
        <v>11837</v>
      </c>
      <c r="P148" s="205">
        <f>T148-N148</f>
        <v>0</v>
      </c>
      <c r="Q148" s="19">
        <f t="shared" ref="Q148:X148" si="116">Q150</f>
        <v>70000</v>
      </c>
      <c r="R148" s="19">
        <f t="shared" si="116"/>
        <v>70000</v>
      </c>
      <c r="S148" s="19">
        <f t="shared" si="116"/>
        <v>71000</v>
      </c>
      <c r="T148" s="53">
        <f t="shared" si="116"/>
        <v>70000</v>
      </c>
      <c r="U148" s="53">
        <f>U150</f>
        <v>12437</v>
      </c>
      <c r="V148" s="19">
        <f t="shared" si="116"/>
        <v>71000</v>
      </c>
      <c r="W148" s="19">
        <f t="shared" si="116"/>
        <v>72000</v>
      </c>
      <c r="X148" s="19">
        <f t="shared" si="116"/>
        <v>73000</v>
      </c>
      <c r="Y148" s="19">
        <f>Y150</f>
        <v>0</v>
      </c>
      <c r="Z148" s="19">
        <f t="shared" si="112"/>
        <v>0</v>
      </c>
      <c r="AA148" s="19">
        <f t="shared" si="113"/>
        <v>0</v>
      </c>
      <c r="AB148" s="19">
        <f t="shared" ref="AB148:AI148" si="117">AB150</f>
        <v>71000</v>
      </c>
      <c r="AC148" s="19">
        <f t="shared" si="117"/>
        <v>33564.559999999998</v>
      </c>
      <c r="AD148" s="19">
        <f t="shared" si="66"/>
        <v>47.27402816901408</v>
      </c>
      <c r="AE148" s="19">
        <f t="shared" si="61"/>
        <v>0</v>
      </c>
      <c r="AF148" s="19">
        <f t="shared" si="117"/>
        <v>71000</v>
      </c>
      <c r="AG148" s="19">
        <f t="shared" si="117"/>
        <v>71000</v>
      </c>
      <c r="AH148" s="19">
        <f t="shared" si="117"/>
        <v>71000</v>
      </c>
      <c r="AI148" s="19">
        <f t="shared" si="117"/>
        <v>72000</v>
      </c>
      <c r="AJ148" s="162" t="b">
        <f t="shared" si="106"/>
        <v>1</v>
      </c>
      <c r="AK148" s="162" t="str">
        <f t="shared" si="107"/>
        <v>PRAZNO</v>
      </c>
      <c r="AL148" s="263"/>
    </row>
    <row r="149" spans="1:39" s="264" customFormat="1" ht="15.75" x14ac:dyDescent="0.2">
      <c r="A149" s="259"/>
      <c r="B149" s="260"/>
      <c r="C149" s="260"/>
      <c r="D149" s="260"/>
      <c r="E149" s="260"/>
      <c r="F149" s="260"/>
      <c r="G149" s="260"/>
      <c r="H149" s="440" t="s">
        <v>824</v>
      </c>
      <c r="I149" s="181"/>
      <c r="J149" s="181"/>
      <c r="K149" s="181"/>
      <c r="L149" s="181"/>
      <c r="M149" s="262"/>
      <c r="N149" s="262"/>
      <c r="O149" s="262"/>
      <c r="P149" s="307"/>
      <c r="Q149" s="262"/>
      <c r="R149" s="262"/>
      <c r="S149" s="262"/>
      <c r="T149" s="342"/>
      <c r="U149" s="342"/>
      <c r="V149" s="262">
        <f>V150</f>
        <v>71000</v>
      </c>
      <c r="W149" s="262">
        <f>W150</f>
        <v>72000</v>
      </c>
      <c r="X149" s="262">
        <f>X150</f>
        <v>73000</v>
      </c>
      <c r="Y149" s="262">
        <f>Y150</f>
        <v>0</v>
      </c>
      <c r="Z149" s="262">
        <f t="shared" si="112"/>
        <v>0</v>
      </c>
      <c r="AA149" s="262">
        <f t="shared" si="113"/>
        <v>0</v>
      </c>
      <c r="AB149" s="262">
        <f t="shared" ref="AB149:AI149" si="118">AB150</f>
        <v>71000</v>
      </c>
      <c r="AC149" s="262">
        <f t="shared" si="118"/>
        <v>33564.559999999998</v>
      </c>
      <c r="AD149" s="262">
        <f t="shared" si="66"/>
        <v>47.27402816901408</v>
      </c>
      <c r="AE149" s="262">
        <f t="shared" si="61"/>
        <v>0</v>
      </c>
      <c r="AF149" s="262">
        <f t="shared" si="118"/>
        <v>71000</v>
      </c>
      <c r="AG149" s="262">
        <f t="shared" si="118"/>
        <v>71000</v>
      </c>
      <c r="AH149" s="262">
        <f t="shared" si="118"/>
        <v>71000</v>
      </c>
      <c r="AI149" s="262">
        <f t="shared" si="118"/>
        <v>72000</v>
      </c>
      <c r="AJ149" s="162" t="b">
        <f t="shared" si="106"/>
        <v>1</v>
      </c>
      <c r="AK149" s="162" t="str">
        <f t="shared" si="107"/>
        <v>PRAZNO</v>
      </c>
      <c r="AL149" s="263"/>
    </row>
    <row r="150" spans="1:39" s="264" customFormat="1" ht="15.75" x14ac:dyDescent="0.2">
      <c r="A150" s="259"/>
      <c r="B150" s="172">
        <v>3</v>
      </c>
      <c r="C150" s="172"/>
      <c r="D150" s="172"/>
      <c r="E150" s="172"/>
      <c r="F150" s="172"/>
      <c r="G150" s="172"/>
      <c r="H150" s="14" t="s">
        <v>524</v>
      </c>
      <c r="I150" s="184">
        <f t="shared" ref="I150:AI150" si="119">I151</f>
        <v>49000</v>
      </c>
      <c r="J150" s="184">
        <f t="shared" si="119"/>
        <v>33191.85</v>
      </c>
      <c r="K150" s="184">
        <f t="shared" ref="K150:K164" si="120">ROUND(J150/I150*100,2)</f>
        <v>67.739999999999995</v>
      </c>
      <c r="L150" s="184">
        <f t="shared" ref="L150:L164" si="121">M150-I150</f>
        <v>-15808.150000000001</v>
      </c>
      <c r="M150" s="184">
        <f t="shared" si="119"/>
        <v>33191.85</v>
      </c>
      <c r="N150" s="184">
        <f t="shared" si="119"/>
        <v>70000</v>
      </c>
      <c r="O150" s="184">
        <f t="shared" si="119"/>
        <v>11837</v>
      </c>
      <c r="P150" s="55">
        <f>T150-N150</f>
        <v>0</v>
      </c>
      <c r="Q150" s="184">
        <f t="shared" si="119"/>
        <v>70000</v>
      </c>
      <c r="R150" s="184">
        <f t="shared" si="119"/>
        <v>70000</v>
      </c>
      <c r="S150" s="184">
        <f t="shared" si="119"/>
        <v>71000</v>
      </c>
      <c r="T150" s="185">
        <f t="shared" si="119"/>
        <v>70000</v>
      </c>
      <c r="U150" s="185">
        <f t="shared" si="119"/>
        <v>12437</v>
      </c>
      <c r="V150" s="184">
        <f t="shared" si="119"/>
        <v>71000</v>
      </c>
      <c r="W150" s="184">
        <f t="shared" si="119"/>
        <v>72000</v>
      </c>
      <c r="X150" s="184">
        <f t="shared" si="119"/>
        <v>73000</v>
      </c>
      <c r="Y150" s="184">
        <f t="shared" si="119"/>
        <v>0</v>
      </c>
      <c r="Z150" s="184">
        <f t="shared" si="112"/>
        <v>0</v>
      </c>
      <c r="AA150" s="184">
        <f t="shared" si="113"/>
        <v>0</v>
      </c>
      <c r="AB150" s="184">
        <f t="shared" si="119"/>
        <v>71000</v>
      </c>
      <c r="AC150" s="184">
        <f t="shared" si="119"/>
        <v>33564.559999999998</v>
      </c>
      <c r="AD150" s="184">
        <f t="shared" si="66"/>
        <v>47.27402816901408</v>
      </c>
      <c r="AE150" s="184">
        <f t="shared" si="61"/>
        <v>0</v>
      </c>
      <c r="AF150" s="711">
        <f t="shared" si="119"/>
        <v>71000</v>
      </c>
      <c r="AG150" s="184">
        <f t="shared" si="119"/>
        <v>71000</v>
      </c>
      <c r="AH150" s="184">
        <f t="shared" si="119"/>
        <v>71000</v>
      </c>
      <c r="AI150" s="184">
        <f t="shared" si="119"/>
        <v>72000</v>
      </c>
      <c r="AJ150" s="162" t="b">
        <f t="shared" si="106"/>
        <v>1</v>
      </c>
      <c r="AK150" s="162" t="str">
        <f t="shared" si="107"/>
        <v>PRAZNO</v>
      </c>
      <c r="AL150" s="263"/>
    </row>
    <row r="151" spans="1:39" ht="15.75" x14ac:dyDescent="0.2">
      <c r="B151" s="314"/>
      <c r="C151" s="314">
        <v>32</v>
      </c>
      <c r="D151" s="314"/>
      <c r="E151" s="314"/>
      <c r="F151" s="314"/>
      <c r="G151" s="314"/>
      <c r="H151" s="39" t="s">
        <v>525</v>
      </c>
      <c r="I151" s="318">
        <f>I154+I160+I158</f>
        <v>49000</v>
      </c>
      <c r="J151" s="318">
        <f>J154+J160+J158</f>
        <v>33191.85</v>
      </c>
      <c r="K151" s="318">
        <f t="shared" si="120"/>
        <v>67.739999999999995</v>
      </c>
      <c r="L151" s="318">
        <f t="shared" si="121"/>
        <v>-15808.150000000001</v>
      </c>
      <c r="M151" s="318">
        <f>M154+M160+M158</f>
        <v>33191.85</v>
      </c>
      <c r="N151" s="318">
        <f>N154+N160+N158</f>
        <v>70000</v>
      </c>
      <c r="O151" s="318">
        <f>O154+O160+O158</f>
        <v>11837</v>
      </c>
      <c r="P151" s="26">
        <f>T151-N151</f>
        <v>0</v>
      </c>
      <c r="Q151" s="18">
        <f t="shared" ref="Q151:X151" si="122">Q154+Q160+Q158</f>
        <v>70000</v>
      </c>
      <c r="R151" s="18">
        <f t="shared" si="122"/>
        <v>70000</v>
      </c>
      <c r="S151" s="18">
        <f t="shared" si="122"/>
        <v>71000</v>
      </c>
      <c r="T151" s="319">
        <f t="shared" si="122"/>
        <v>70000</v>
      </c>
      <c r="U151" s="319">
        <f>U154+U160+U158</f>
        <v>12437</v>
      </c>
      <c r="V151" s="318">
        <f t="shared" si="122"/>
        <v>71000</v>
      </c>
      <c r="W151" s="318">
        <f t="shared" si="122"/>
        <v>72000</v>
      </c>
      <c r="X151" s="318">
        <f t="shared" si="122"/>
        <v>73000</v>
      </c>
      <c r="Y151" s="318">
        <f>Y154+Y160+Y158</f>
        <v>0</v>
      </c>
      <c r="Z151" s="318">
        <f t="shared" si="112"/>
        <v>0</v>
      </c>
      <c r="AA151" s="318">
        <f t="shared" si="113"/>
        <v>0</v>
      </c>
      <c r="AB151" s="318">
        <f>AB154+AB160+AB158</f>
        <v>71000</v>
      </c>
      <c r="AC151" s="318">
        <f>AC154+AC160+AC158</f>
        <v>33564.559999999998</v>
      </c>
      <c r="AD151" s="318">
        <f t="shared" si="66"/>
        <v>47.27402816901408</v>
      </c>
      <c r="AE151" s="318">
        <f t="shared" si="61"/>
        <v>0</v>
      </c>
      <c r="AF151" s="712">
        <f>AF154+AF160+AF158</f>
        <v>71000</v>
      </c>
      <c r="AG151" s="318">
        <f>AG154+AG160+AG158+AG152</f>
        <v>71000</v>
      </c>
      <c r="AH151" s="318">
        <f>AH154+AH160+AH158+AH152</f>
        <v>71000</v>
      </c>
      <c r="AI151" s="318">
        <f>AI154+AI160+AI158+AI152</f>
        <v>72000</v>
      </c>
      <c r="AJ151" s="162" t="b">
        <f t="shared" si="106"/>
        <v>1</v>
      </c>
      <c r="AK151" s="162" t="str">
        <f t="shared" si="107"/>
        <v>PRAZNO</v>
      </c>
      <c r="AM151" s="264"/>
    </row>
    <row r="152" spans="1:39" ht="15.75" x14ac:dyDescent="0.2">
      <c r="B152" s="314"/>
      <c r="C152" s="314"/>
      <c r="D152" s="314">
        <v>322</v>
      </c>
      <c r="E152" s="314"/>
      <c r="F152" s="314"/>
      <c r="G152" s="314"/>
      <c r="H152" s="16" t="s">
        <v>547</v>
      </c>
      <c r="I152" s="318"/>
      <c r="J152" s="318"/>
      <c r="K152" s="318"/>
      <c r="L152" s="318"/>
      <c r="M152" s="318"/>
      <c r="N152" s="318"/>
      <c r="O152" s="318"/>
      <c r="P152" s="26"/>
      <c r="Q152" s="18"/>
      <c r="R152" s="18"/>
      <c r="S152" s="18"/>
      <c r="T152" s="319"/>
      <c r="U152" s="319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712"/>
      <c r="AG152" s="318">
        <f>AG153</f>
        <v>0</v>
      </c>
      <c r="AH152" s="318">
        <f>AH153</f>
        <v>0</v>
      </c>
      <c r="AI152" s="318">
        <f>AI153</f>
        <v>0</v>
      </c>
      <c r="AJ152" s="162" t="b">
        <f t="shared" si="106"/>
        <v>1</v>
      </c>
      <c r="AK152" s="162" t="str">
        <f t="shared" si="107"/>
        <v>PRAZNO</v>
      </c>
      <c r="AM152" s="264"/>
    </row>
    <row r="153" spans="1:39" ht="15.75" x14ac:dyDescent="0.2">
      <c r="B153" s="314"/>
      <c r="C153" s="314"/>
      <c r="D153" s="314"/>
      <c r="E153" s="314">
        <v>3221</v>
      </c>
      <c r="F153" s="314">
        <v>11</v>
      </c>
      <c r="G153" s="314"/>
      <c r="H153" s="39" t="s">
        <v>548</v>
      </c>
      <c r="I153" s="318"/>
      <c r="J153" s="318"/>
      <c r="K153" s="318"/>
      <c r="L153" s="318"/>
      <c r="M153" s="318"/>
      <c r="N153" s="318"/>
      <c r="O153" s="318"/>
      <c r="P153" s="26"/>
      <c r="Q153" s="18"/>
      <c r="R153" s="18"/>
      <c r="S153" s="18"/>
      <c r="T153" s="319"/>
      <c r="U153" s="319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712"/>
      <c r="AG153" s="318"/>
      <c r="AH153" s="318"/>
      <c r="AI153" s="318"/>
      <c r="AJ153" s="162" t="b">
        <f t="shared" si="106"/>
        <v>0</v>
      </c>
      <c r="AK153" s="162" t="str">
        <f t="shared" si="107"/>
        <v>PUNO</v>
      </c>
      <c r="AM153" s="264"/>
    </row>
    <row r="154" spans="1:39" ht="15.75" x14ac:dyDescent="0.2">
      <c r="B154" s="177"/>
      <c r="C154" s="177"/>
      <c r="D154" s="177">
        <v>323</v>
      </c>
      <c r="E154" s="177"/>
      <c r="F154" s="177"/>
      <c r="G154" s="177"/>
      <c r="H154" s="16" t="s">
        <v>526</v>
      </c>
      <c r="I154" s="18">
        <f>SUM(I155:I157)</f>
        <v>40000</v>
      </c>
      <c r="J154" s="18">
        <f>SUM(J155:J157)</f>
        <v>27565.79</v>
      </c>
      <c r="K154" s="18">
        <f t="shared" si="120"/>
        <v>68.91</v>
      </c>
      <c r="L154" s="18">
        <f t="shared" si="121"/>
        <v>-12434.21</v>
      </c>
      <c r="M154" s="18">
        <f>SUM(M155:M157)</f>
        <v>27565.79</v>
      </c>
      <c r="N154" s="18">
        <f>SUM(N155:N157)</f>
        <v>56000</v>
      </c>
      <c r="O154" s="18">
        <f>SUM(O155:O157)</f>
        <v>11625</v>
      </c>
      <c r="P154" s="26">
        <f t="shared" ref="P154:P161" si="123">T154-N154</f>
        <v>0</v>
      </c>
      <c r="Q154" s="18">
        <f t="shared" ref="Q154:X154" si="124">SUM(Q155:Q157)</f>
        <v>56000</v>
      </c>
      <c r="R154" s="18">
        <f t="shared" si="124"/>
        <v>55000</v>
      </c>
      <c r="S154" s="18">
        <f t="shared" si="124"/>
        <v>56000</v>
      </c>
      <c r="T154" s="27">
        <f t="shared" si="124"/>
        <v>56000</v>
      </c>
      <c r="U154" s="27">
        <f>SUM(U155:U157)</f>
        <v>11625</v>
      </c>
      <c r="V154" s="18">
        <f t="shared" si="124"/>
        <v>60000</v>
      </c>
      <c r="W154" s="18">
        <f t="shared" si="124"/>
        <v>61000</v>
      </c>
      <c r="X154" s="18">
        <f t="shared" si="124"/>
        <v>62000</v>
      </c>
      <c r="Y154" s="18">
        <f>SUM(Y155:Y157)</f>
        <v>0</v>
      </c>
      <c r="Z154" s="18">
        <f t="shared" si="112"/>
        <v>0</v>
      </c>
      <c r="AA154" s="18">
        <f t="shared" si="113"/>
        <v>0</v>
      </c>
      <c r="AB154" s="18">
        <f>SUM(AB155:AB157)</f>
        <v>60000</v>
      </c>
      <c r="AC154" s="18">
        <f>SUM(AC155:AC157)</f>
        <v>25735.63</v>
      </c>
      <c r="AD154" s="18">
        <f t="shared" si="66"/>
        <v>42.892716666666672</v>
      </c>
      <c r="AE154" s="18">
        <f t="shared" si="61"/>
        <v>0</v>
      </c>
      <c r="AF154" s="706">
        <f>SUM(AF155:AF157)</f>
        <v>60000</v>
      </c>
      <c r="AG154" s="18">
        <f>SUM(AG155:AG157)</f>
        <v>60000</v>
      </c>
      <c r="AH154" s="18">
        <f>SUM(AH155:AH157)</f>
        <v>60000</v>
      </c>
      <c r="AI154" s="18">
        <f>SUM(AI155:AI157)</f>
        <v>60000</v>
      </c>
      <c r="AJ154" s="162" t="b">
        <f t="shared" si="106"/>
        <v>1</v>
      </c>
      <c r="AK154" s="162" t="str">
        <f t="shared" si="107"/>
        <v>PRAZNO</v>
      </c>
      <c r="AM154" s="264"/>
    </row>
    <row r="155" spans="1:39" ht="30" x14ac:dyDescent="0.2">
      <c r="B155" s="177"/>
      <c r="C155" s="177"/>
      <c r="D155" s="177"/>
      <c r="E155" s="177">
        <v>3231</v>
      </c>
      <c r="F155" s="176">
        <v>11</v>
      </c>
      <c r="G155" s="176" t="s">
        <v>527</v>
      </c>
      <c r="H155" s="16" t="s">
        <v>921</v>
      </c>
      <c r="I155" s="18">
        <v>5000</v>
      </c>
      <c r="J155" s="18">
        <v>6900</v>
      </c>
      <c r="K155" s="18">
        <f t="shared" si="120"/>
        <v>138</v>
      </c>
      <c r="L155" s="18">
        <f t="shared" si="121"/>
        <v>1900</v>
      </c>
      <c r="M155" s="18">
        <v>6900</v>
      </c>
      <c r="N155" s="18">
        <v>5000</v>
      </c>
      <c r="O155" s="18">
        <v>0</v>
      </c>
      <c r="P155" s="26">
        <f t="shared" si="123"/>
        <v>0</v>
      </c>
      <c r="Q155" s="18">
        <v>5000</v>
      </c>
      <c r="R155" s="18">
        <v>5000</v>
      </c>
      <c r="S155" s="18">
        <v>5000</v>
      </c>
      <c r="T155" s="27">
        <v>5000</v>
      </c>
      <c r="U155" s="27">
        <v>0</v>
      </c>
      <c r="V155" s="27">
        <v>8000</v>
      </c>
      <c r="W155" s="27">
        <v>8000</v>
      </c>
      <c r="X155" s="27">
        <v>8000</v>
      </c>
      <c r="Y155" s="27">
        <v>0</v>
      </c>
      <c r="Z155" s="27">
        <f t="shared" si="112"/>
        <v>0</v>
      </c>
      <c r="AA155" s="27">
        <f t="shared" si="113"/>
        <v>0</v>
      </c>
      <c r="AB155" s="27">
        <v>8000</v>
      </c>
      <c r="AC155" s="27">
        <v>2000</v>
      </c>
      <c r="AD155" s="27">
        <f t="shared" si="66"/>
        <v>25</v>
      </c>
      <c r="AE155" s="27">
        <f t="shared" si="61"/>
        <v>0</v>
      </c>
      <c r="AF155" s="706">
        <v>8000</v>
      </c>
      <c r="AG155" s="27">
        <v>8000</v>
      </c>
      <c r="AH155" s="27">
        <v>8000</v>
      </c>
      <c r="AI155" s="27">
        <v>8000</v>
      </c>
      <c r="AJ155" s="162" t="b">
        <f t="shared" si="106"/>
        <v>0</v>
      </c>
      <c r="AK155" s="162" t="str">
        <f t="shared" si="107"/>
        <v>PUNO</v>
      </c>
      <c r="AM155" s="264"/>
    </row>
    <row r="156" spans="1:39" ht="15.75" x14ac:dyDescent="0.2">
      <c r="B156" s="177"/>
      <c r="C156" s="177"/>
      <c r="D156" s="177"/>
      <c r="E156" s="177">
        <v>3233</v>
      </c>
      <c r="F156" s="176">
        <v>11</v>
      </c>
      <c r="G156" s="176" t="s">
        <v>527</v>
      </c>
      <c r="H156" s="16" t="s">
        <v>528</v>
      </c>
      <c r="I156" s="18">
        <v>14500</v>
      </c>
      <c r="J156" s="18">
        <v>4139.54</v>
      </c>
      <c r="K156" s="18">
        <f t="shared" si="120"/>
        <v>28.55</v>
      </c>
      <c r="L156" s="18">
        <f t="shared" si="121"/>
        <v>-10360.459999999999</v>
      </c>
      <c r="M156" s="18">
        <v>4139.54</v>
      </c>
      <c r="N156" s="18">
        <v>9000</v>
      </c>
      <c r="O156" s="18">
        <v>6000</v>
      </c>
      <c r="P156" s="26">
        <f t="shared" si="123"/>
        <v>0</v>
      </c>
      <c r="Q156" s="18">
        <v>9000</v>
      </c>
      <c r="R156" s="18">
        <v>30000</v>
      </c>
      <c r="S156" s="18">
        <v>31000</v>
      </c>
      <c r="T156" s="27">
        <v>9000</v>
      </c>
      <c r="U156" s="27">
        <v>6000</v>
      </c>
      <c r="V156" s="27">
        <v>22000</v>
      </c>
      <c r="W156" s="27">
        <v>23000</v>
      </c>
      <c r="X156" s="27">
        <v>23000</v>
      </c>
      <c r="Y156" s="27">
        <v>0</v>
      </c>
      <c r="Z156" s="27">
        <f t="shared" si="112"/>
        <v>0</v>
      </c>
      <c r="AA156" s="27">
        <f t="shared" si="113"/>
        <v>0</v>
      </c>
      <c r="AB156" s="27">
        <v>22000</v>
      </c>
      <c r="AC156" s="27">
        <v>1112.5</v>
      </c>
      <c r="AD156" s="27">
        <f t="shared" si="66"/>
        <v>5.0568181818181817</v>
      </c>
      <c r="AE156" s="27">
        <f t="shared" si="61"/>
        <v>0</v>
      </c>
      <c r="AF156" s="706">
        <v>22000</v>
      </c>
      <c r="AG156" s="27">
        <v>22000</v>
      </c>
      <c r="AH156" s="27">
        <v>22000</v>
      </c>
      <c r="AI156" s="27">
        <v>22000</v>
      </c>
      <c r="AJ156" s="162" t="b">
        <f t="shared" si="106"/>
        <v>0</v>
      </c>
      <c r="AK156" s="162" t="str">
        <f t="shared" si="107"/>
        <v>PUNO</v>
      </c>
      <c r="AM156" s="264"/>
    </row>
    <row r="157" spans="1:39" ht="30.75" customHeight="1" x14ac:dyDescent="0.2">
      <c r="B157" s="177"/>
      <c r="C157" s="177"/>
      <c r="D157" s="177"/>
      <c r="E157" s="177">
        <v>3237</v>
      </c>
      <c r="F157" s="176">
        <v>11</v>
      </c>
      <c r="G157" s="176" t="s">
        <v>527</v>
      </c>
      <c r="H157" s="16" t="s">
        <v>569</v>
      </c>
      <c r="I157" s="18">
        <v>20500</v>
      </c>
      <c r="J157" s="18">
        <v>16526.25</v>
      </c>
      <c r="K157" s="18">
        <f t="shared" si="120"/>
        <v>80.62</v>
      </c>
      <c r="L157" s="18">
        <f t="shared" si="121"/>
        <v>-3973.75</v>
      </c>
      <c r="M157" s="18">
        <v>16526.25</v>
      </c>
      <c r="N157" s="18">
        <v>42000</v>
      </c>
      <c r="O157" s="18">
        <v>5625</v>
      </c>
      <c r="P157" s="26">
        <f t="shared" si="123"/>
        <v>0</v>
      </c>
      <c r="Q157" s="18">
        <v>42000</v>
      </c>
      <c r="R157" s="18">
        <v>20000</v>
      </c>
      <c r="S157" s="18">
        <v>20000</v>
      </c>
      <c r="T157" s="27">
        <v>42000</v>
      </c>
      <c r="U157" s="27">
        <v>5625</v>
      </c>
      <c r="V157" s="27">
        <v>30000</v>
      </c>
      <c r="W157" s="27">
        <v>30000</v>
      </c>
      <c r="X157" s="18">
        <v>31000</v>
      </c>
      <c r="Y157" s="27">
        <v>0</v>
      </c>
      <c r="Z157" s="27">
        <f t="shared" si="112"/>
        <v>0</v>
      </c>
      <c r="AA157" s="27">
        <f t="shared" si="113"/>
        <v>0</v>
      </c>
      <c r="AB157" s="27">
        <v>30000</v>
      </c>
      <c r="AC157" s="27">
        <v>22623.13</v>
      </c>
      <c r="AD157" s="27">
        <f t="shared" si="66"/>
        <v>75.410433333333344</v>
      </c>
      <c r="AE157" s="27">
        <f t="shared" si="61"/>
        <v>0</v>
      </c>
      <c r="AF157" s="706">
        <v>30000</v>
      </c>
      <c r="AG157" s="27">
        <v>30000</v>
      </c>
      <c r="AH157" s="27">
        <v>30000</v>
      </c>
      <c r="AI157" s="27">
        <v>30000</v>
      </c>
      <c r="AJ157" s="162" t="b">
        <f t="shared" si="106"/>
        <v>0</v>
      </c>
      <c r="AK157" s="162" t="str">
        <f t="shared" si="107"/>
        <v>PUNO</v>
      </c>
      <c r="AM157" s="264"/>
    </row>
    <row r="158" spans="1:39" ht="15.75" x14ac:dyDescent="0.2">
      <c r="B158" s="177"/>
      <c r="C158" s="177"/>
      <c r="D158" s="177">
        <v>324</v>
      </c>
      <c r="E158" s="177"/>
      <c r="F158" s="176"/>
      <c r="G158" s="176"/>
      <c r="H158" s="16" t="s">
        <v>530</v>
      </c>
      <c r="I158" s="18">
        <f>I159</f>
        <v>3000</v>
      </c>
      <c r="J158" s="18">
        <f>J159</f>
        <v>2270.58</v>
      </c>
      <c r="K158" s="18">
        <f t="shared" si="120"/>
        <v>75.69</v>
      </c>
      <c r="L158" s="18">
        <f t="shared" si="121"/>
        <v>-729.42000000000007</v>
      </c>
      <c r="M158" s="18">
        <f>M159</f>
        <v>2270.58</v>
      </c>
      <c r="N158" s="18">
        <f>N159</f>
        <v>7000</v>
      </c>
      <c r="O158" s="18">
        <f>O159</f>
        <v>212</v>
      </c>
      <c r="P158" s="26">
        <f t="shared" si="123"/>
        <v>0</v>
      </c>
      <c r="Q158" s="18">
        <f t="shared" ref="Q158:AI158" si="125">Q159</f>
        <v>7000</v>
      </c>
      <c r="R158" s="18">
        <f t="shared" si="125"/>
        <v>8000</v>
      </c>
      <c r="S158" s="18">
        <f t="shared" si="125"/>
        <v>8000</v>
      </c>
      <c r="T158" s="27">
        <f t="shared" si="125"/>
        <v>7000</v>
      </c>
      <c r="U158" s="27">
        <f t="shared" si="125"/>
        <v>212</v>
      </c>
      <c r="V158" s="18">
        <f t="shared" si="125"/>
        <v>3000</v>
      </c>
      <c r="W158" s="18">
        <f t="shared" si="125"/>
        <v>3000</v>
      </c>
      <c r="X158" s="18">
        <f t="shared" si="125"/>
        <v>3000</v>
      </c>
      <c r="Y158" s="18">
        <f t="shared" si="125"/>
        <v>0</v>
      </c>
      <c r="Z158" s="18">
        <f t="shared" si="112"/>
        <v>0</v>
      </c>
      <c r="AA158" s="18">
        <f t="shared" si="113"/>
        <v>0</v>
      </c>
      <c r="AB158" s="18">
        <f t="shared" si="125"/>
        <v>3000</v>
      </c>
      <c r="AC158" s="18">
        <f t="shared" si="125"/>
        <v>0</v>
      </c>
      <c r="AD158" s="18">
        <f t="shared" si="66"/>
        <v>0</v>
      </c>
      <c r="AE158" s="18">
        <f t="shared" ref="AE158:AE222" si="126">AF158-AB158</f>
        <v>0</v>
      </c>
      <c r="AF158" s="706">
        <f t="shared" si="125"/>
        <v>3000</v>
      </c>
      <c r="AG158" s="18">
        <f t="shared" si="125"/>
        <v>3000</v>
      </c>
      <c r="AH158" s="18">
        <f t="shared" si="125"/>
        <v>3000</v>
      </c>
      <c r="AI158" s="18">
        <f t="shared" si="125"/>
        <v>3000</v>
      </c>
      <c r="AJ158" s="162" t="b">
        <f t="shared" si="106"/>
        <v>1</v>
      </c>
      <c r="AK158" s="162" t="str">
        <f t="shared" si="107"/>
        <v>PRAZNO</v>
      </c>
      <c r="AM158" s="264"/>
    </row>
    <row r="159" spans="1:39" ht="15.75" x14ac:dyDescent="0.2">
      <c r="B159" s="177"/>
      <c r="C159" s="177"/>
      <c r="D159" s="177"/>
      <c r="E159" s="177">
        <v>3241</v>
      </c>
      <c r="F159" s="176">
        <v>11</v>
      </c>
      <c r="G159" s="176"/>
      <c r="H159" s="16" t="s">
        <v>530</v>
      </c>
      <c r="I159" s="18">
        <v>3000</v>
      </c>
      <c r="J159" s="18">
        <v>2270.58</v>
      </c>
      <c r="K159" s="18">
        <f t="shared" si="120"/>
        <v>75.69</v>
      </c>
      <c r="L159" s="18">
        <f t="shared" si="121"/>
        <v>-729.42000000000007</v>
      </c>
      <c r="M159" s="18">
        <v>2270.58</v>
      </c>
      <c r="N159" s="18">
        <v>7000</v>
      </c>
      <c r="O159" s="18">
        <v>212</v>
      </c>
      <c r="P159" s="26">
        <f t="shared" si="123"/>
        <v>0</v>
      </c>
      <c r="Q159" s="18">
        <v>7000</v>
      </c>
      <c r="R159" s="18">
        <v>8000</v>
      </c>
      <c r="S159" s="18">
        <v>8000</v>
      </c>
      <c r="T159" s="27">
        <v>7000</v>
      </c>
      <c r="U159" s="27">
        <v>212</v>
      </c>
      <c r="V159" s="27">
        <v>3000</v>
      </c>
      <c r="W159" s="27">
        <v>3000</v>
      </c>
      <c r="X159" s="27">
        <v>3000</v>
      </c>
      <c r="Y159" s="27">
        <v>0</v>
      </c>
      <c r="Z159" s="27">
        <f t="shared" si="112"/>
        <v>0</v>
      </c>
      <c r="AA159" s="27">
        <f t="shared" si="113"/>
        <v>0</v>
      </c>
      <c r="AB159" s="27">
        <v>3000</v>
      </c>
      <c r="AC159" s="27">
        <v>0</v>
      </c>
      <c r="AD159" s="27">
        <f t="shared" ref="AD159:AD223" si="127">AC159/AB159*100</f>
        <v>0</v>
      </c>
      <c r="AE159" s="27">
        <f t="shared" si="126"/>
        <v>0</v>
      </c>
      <c r="AF159" s="706">
        <v>3000</v>
      </c>
      <c r="AG159" s="27">
        <v>3000</v>
      </c>
      <c r="AH159" s="27">
        <v>3000</v>
      </c>
      <c r="AI159" s="27">
        <v>3000</v>
      </c>
      <c r="AJ159" s="162" t="b">
        <f t="shared" si="106"/>
        <v>0</v>
      </c>
      <c r="AK159" s="162" t="str">
        <f t="shared" si="107"/>
        <v>PUNO</v>
      </c>
      <c r="AM159" s="264"/>
    </row>
    <row r="160" spans="1:39" ht="15.75" x14ac:dyDescent="0.2">
      <c r="B160" s="177"/>
      <c r="C160" s="177"/>
      <c r="D160" s="177">
        <v>329</v>
      </c>
      <c r="E160" s="177"/>
      <c r="F160" s="177"/>
      <c r="G160" s="177"/>
      <c r="H160" s="16" t="s">
        <v>531</v>
      </c>
      <c r="I160" s="18">
        <f>I163+I161</f>
        <v>6000</v>
      </c>
      <c r="J160" s="18">
        <f>J163+J161</f>
        <v>3355.48</v>
      </c>
      <c r="K160" s="18">
        <f t="shared" si="120"/>
        <v>55.92</v>
      </c>
      <c r="L160" s="18">
        <f t="shared" si="121"/>
        <v>-2644.52</v>
      </c>
      <c r="M160" s="18">
        <f>M163+M161</f>
        <v>3355.48</v>
      </c>
      <c r="N160" s="18">
        <f>N163+N161</f>
        <v>7000</v>
      </c>
      <c r="O160" s="18">
        <f>O163+O161</f>
        <v>0</v>
      </c>
      <c r="P160" s="26">
        <f t="shared" si="123"/>
        <v>0</v>
      </c>
      <c r="Q160" s="18">
        <f t="shared" ref="Q160:X160" si="128">Q163+Q161</f>
        <v>7000</v>
      </c>
      <c r="R160" s="18">
        <f t="shared" si="128"/>
        <v>7000</v>
      </c>
      <c r="S160" s="18">
        <f t="shared" si="128"/>
        <v>7000</v>
      </c>
      <c r="T160" s="27">
        <f t="shared" si="128"/>
        <v>7000</v>
      </c>
      <c r="U160" s="27">
        <f>U163+U161</f>
        <v>600</v>
      </c>
      <c r="V160" s="18">
        <f t="shared" si="128"/>
        <v>8000</v>
      </c>
      <c r="W160" s="18">
        <f t="shared" si="128"/>
        <v>8000</v>
      </c>
      <c r="X160" s="18">
        <f t="shared" si="128"/>
        <v>8000</v>
      </c>
      <c r="Y160" s="18">
        <f>Y163+Y161</f>
        <v>0</v>
      </c>
      <c r="Z160" s="18">
        <f t="shared" si="112"/>
        <v>0</v>
      </c>
      <c r="AA160" s="18">
        <f t="shared" si="113"/>
        <v>0</v>
      </c>
      <c r="AB160" s="18">
        <f>AB163+AB161</f>
        <v>8000</v>
      </c>
      <c r="AC160" s="18">
        <f>AC163+AC161</f>
        <v>7828.93</v>
      </c>
      <c r="AD160" s="18">
        <f t="shared" si="127"/>
        <v>97.861625000000004</v>
      </c>
      <c r="AE160" s="18">
        <f t="shared" si="126"/>
        <v>0</v>
      </c>
      <c r="AF160" s="706">
        <f>AF163+AF161</f>
        <v>8000</v>
      </c>
      <c r="AG160" s="18">
        <f>AG163+AG161</f>
        <v>8000</v>
      </c>
      <c r="AH160" s="18">
        <f>AH163+AH161</f>
        <v>8000</v>
      </c>
      <c r="AI160" s="18">
        <f>AI163+AI161</f>
        <v>9000</v>
      </c>
      <c r="AJ160" s="162" t="b">
        <f t="shared" si="106"/>
        <v>1</v>
      </c>
      <c r="AK160" s="162" t="str">
        <f t="shared" si="107"/>
        <v>PRAZNO</v>
      </c>
      <c r="AM160" s="264"/>
    </row>
    <row r="161" spans="1:39" ht="15.75" x14ac:dyDescent="0.2">
      <c r="B161" s="177"/>
      <c r="C161" s="177"/>
      <c r="D161" s="177"/>
      <c r="E161" s="177">
        <v>3293</v>
      </c>
      <c r="F161" s="176">
        <v>11</v>
      </c>
      <c r="G161" s="177"/>
      <c r="H161" s="16" t="s">
        <v>533</v>
      </c>
      <c r="I161" s="18">
        <v>3000</v>
      </c>
      <c r="J161" s="18">
        <v>2355.48</v>
      </c>
      <c r="K161" s="18">
        <f t="shared" si="120"/>
        <v>78.52</v>
      </c>
      <c r="L161" s="18">
        <f t="shared" si="121"/>
        <v>-644.52</v>
      </c>
      <c r="M161" s="18">
        <v>2355.48</v>
      </c>
      <c r="N161" s="18">
        <v>4000</v>
      </c>
      <c r="O161" s="18">
        <v>0</v>
      </c>
      <c r="P161" s="26">
        <f t="shared" si="123"/>
        <v>0</v>
      </c>
      <c r="Q161" s="18">
        <v>4000</v>
      </c>
      <c r="R161" s="18">
        <v>4000</v>
      </c>
      <c r="S161" s="18">
        <v>4000</v>
      </c>
      <c r="T161" s="27">
        <v>4000</v>
      </c>
      <c r="U161" s="27"/>
      <c r="V161" s="27">
        <v>4000</v>
      </c>
      <c r="W161" s="27">
        <v>4000</v>
      </c>
      <c r="X161" s="27">
        <v>4000</v>
      </c>
      <c r="Y161" s="27">
        <v>0</v>
      </c>
      <c r="Z161" s="27">
        <f t="shared" si="112"/>
        <v>0</v>
      </c>
      <c r="AA161" s="27">
        <f t="shared" si="113"/>
        <v>0</v>
      </c>
      <c r="AB161" s="27">
        <v>4000</v>
      </c>
      <c r="AC161" s="27">
        <v>1202</v>
      </c>
      <c r="AD161" s="27">
        <f t="shared" si="127"/>
        <v>30.049999999999997</v>
      </c>
      <c r="AE161" s="27">
        <f t="shared" si="126"/>
        <v>-2790</v>
      </c>
      <c r="AF161" s="706">
        <v>1210</v>
      </c>
      <c r="AG161" s="27">
        <v>4000</v>
      </c>
      <c r="AH161" s="27">
        <v>4000</v>
      </c>
      <c r="AI161" s="27">
        <v>4000</v>
      </c>
      <c r="AJ161" s="162" t="b">
        <f t="shared" si="106"/>
        <v>0</v>
      </c>
      <c r="AK161" s="162" t="str">
        <f t="shared" si="107"/>
        <v>PUNO</v>
      </c>
      <c r="AM161" s="264"/>
    </row>
    <row r="162" spans="1:39" ht="15.75" x14ac:dyDescent="0.2">
      <c r="B162" s="177"/>
      <c r="C162" s="177"/>
      <c r="D162" s="177"/>
      <c r="E162" s="177">
        <v>3294</v>
      </c>
      <c r="F162" s="176">
        <v>11</v>
      </c>
      <c r="G162" s="177"/>
      <c r="H162" s="16" t="s">
        <v>534</v>
      </c>
      <c r="I162" s="18"/>
      <c r="J162" s="18"/>
      <c r="K162" s="18"/>
      <c r="L162" s="18"/>
      <c r="M162" s="18"/>
      <c r="N162" s="18"/>
      <c r="O162" s="18"/>
      <c r="P162" s="26"/>
      <c r="Q162" s="18"/>
      <c r="R162" s="18"/>
      <c r="S162" s="18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162" t="b">
        <f t="shared" si="106"/>
        <v>0</v>
      </c>
      <c r="AK162" s="162" t="str">
        <f t="shared" si="107"/>
        <v>PUNO</v>
      </c>
      <c r="AM162" s="264"/>
    </row>
    <row r="163" spans="1:39" ht="15.75" x14ac:dyDescent="0.2">
      <c r="B163" s="177"/>
      <c r="C163" s="177"/>
      <c r="D163" s="177"/>
      <c r="E163" s="177">
        <v>3299</v>
      </c>
      <c r="F163" s="176">
        <v>11</v>
      </c>
      <c r="G163" s="176" t="s">
        <v>527</v>
      </c>
      <c r="H163" s="16" t="s">
        <v>531</v>
      </c>
      <c r="I163" s="18">
        <v>3000</v>
      </c>
      <c r="J163" s="18">
        <v>1000</v>
      </c>
      <c r="K163" s="18">
        <f t="shared" si="120"/>
        <v>33.33</v>
      </c>
      <c r="L163" s="18">
        <f t="shared" si="121"/>
        <v>-2000</v>
      </c>
      <c r="M163" s="18">
        <v>1000</v>
      </c>
      <c r="N163" s="18">
        <v>3000</v>
      </c>
      <c r="O163" s="18">
        <v>0</v>
      </c>
      <c r="P163" s="26">
        <f>T163-N163</f>
        <v>0</v>
      </c>
      <c r="Q163" s="18">
        <v>3000</v>
      </c>
      <c r="R163" s="18">
        <v>3000</v>
      </c>
      <c r="S163" s="18">
        <v>3000</v>
      </c>
      <c r="T163" s="27">
        <v>3000</v>
      </c>
      <c r="U163" s="27">
        <v>600</v>
      </c>
      <c r="V163" s="27">
        <v>4000</v>
      </c>
      <c r="W163" s="27">
        <v>4000</v>
      </c>
      <c r="X163" s="27">
        <v>4000</v>
      </c>
      <c r="Y163" s="27">
        <v>0</v>
      </c>
      <c r="Z163" s="27">
        <f t="shared" si="112"/>
        <v>0</v>
      </c>
      <c r="AA163" s="27">
        <f t="shared" si="113"/>
        <v>0</v>
      </c>
      <c r="AB163" s="27">
        <v>4000</v>
      </c>
      <c r="AC163" s="27">
        <v>6626.93</v>
      </c>
      <c r="AD163" s="27">
        <f t="shared" si="127"/>
        <v>165.67325000000002</v>
      </c>
      <c r="AE163" s="27">
        <f t="shared" si="126"/>
        <v>2790</v>
      </c>
      <c r="AF163" s="27">
        <v>6790</v>
      </c>
      <c r="AG163" s="27">
        <v>4000</v>
      </c>
      <c r="AH163" s="27">
        <v>4000</v>
      </c>
      <c r="AI163" s="27">
        <v>5000</v>
      </c>
      <c r="AJ163" s="162" t="b">
        <f t="shared" si="106"/>
        <v>0</v>
      </c>
      <c r="AK163" s="162" t="str">
        <f t="shared" si="107"/>
        <v>PUNO</v>
      </c>
      <c r="AM163" s="264"/>
    </row>
    <row r="164" spans="1:39" s="264" customFormat="1" ht="31.5" x14ac:dyDescent="0.2">
      <c r="A164" s="259"/>
      <c r="B164" s="270"/>
      <c r="C164" s="270"/>
      <c r="D164" s="270"/>
      <c r="E164" s="270"/>
      <c r="F164" s="270"/>
      <c r="G164" s="270"/>
      <c r="H164" s="274" t="s">
        <v>570</v>
      </c>
      <c r="I164" s="273">
        <f>I166</f>
        <v>49000</v>
      </c>
      <c r="J164" s="273">
        <f>J166</f>
        <v>38972.159999999996</v>
      </c>
      <c r="K164" s="273">
        <f t="shared" si="120"/>
        <v>79.540000000000006</v>
      </c>
      <c r="L164" s="273">
        <f t="shared" si="121"/>
        <v>-2096.0600000000049</v>
      </c>
      <c r="M164" s="272">
        <f>M166</f>
        <v>46903.939999999995</v>
      </c>
      <c r="N164" s="272">
        <f>N166</f>
        <v>70000</v>
      </c>
      <c r="O164" s="272">
        <f>O166</f>
        <v>30116.16</v>
      </c>
      <c r="P164" s="336">
        <f>T164-N164</f>
        <v>0</v>
      </c>
      <c r="Q164" s="272">
        <f t="shared" ref="Q164:X164" si="129">Q166</f>
        <v>70000</v>
      </c>
      <c r="R164" s="272">
        <f t="shared" si="129"/>
        <v>70000</v>
      </c>
      <c r="S164" s="272">
        <f t="shared" si="129"/>
        <v>71000</v>
      </c>
      <c r="T164" s="275">
        <f t="shared" si="129"/>
        <v>70000</v>
      </c>
      <c r="U164" s="275">
        <f>U166</f>
        <v>75207.739999999991</v>
      </c>
      <c r="V164" s="272">
        <f t="shared" si="129"/>
        <v>71000</v>
      </c>
      <c r="W164" s="272">
        <f t="shared" si="129"/>
        <v>72000</v>
      </c>
      <c r="X164" s="272">
        <f t="shared" si="129"/>
        <v>75000</v>
      </c>
      <c r="Y164" s="272">
        <f>Y166</f>
        <v>24295.61</v>
      </c>
      <c r="Z164" s="272">
        <f t="shared" si="112"/>
        <v>34.22</v>
      </c>
      <c r="AA164" s="272">
        <f t="shared" si="113"/>
        <v>50000</v>
      </c>
      <c r="AB164" s="272">
        <f t="shared" ref="AB164:AI164" si="130">AB166</f>
        <v>121000</v>
      </c>
      <c r="AC164" s="272">
        <f t="shared" si="130"/>
        <v>104971.69</v>
      </c>
      <c r="AD164" s="272">
        <f t="shared" si="127"/>
        <v>86.753462809917352</v>
      </c>
      <c r="AE164" s="272">
        <f t="shared" si="126"/>
        <v>0</v>
      </c>
      <c r="AF164" s="272">
        <f t="shared" si="130"/>
        <v>121000</v>
      </c>
      <c r="AG164" s="272">
        <f t="shared" si="130"/>
        <v>121000</v>
      </c>
      <c r="AH164" s="272">
        <f t="shared" si="130"/>
        <v>121000</v>
      </c>
      <c r="AI164" s="272">
        <f t="shared" si="130"/>
        <v>122000</v>
      </c>
      <c r="AJ164" s="162" t="b">
        <f t="shared" si="106"/>
        <v>1</v>
      </c>
      <c r="AK164" s="162" t="str">
        <f t="shared" si="107"/>
        <v>PRAZNO</v>
      </c>
      <c r="AL164" s="263"/>
    </row>
    <row r="165" spans="1:39" s="264" customFormat="1" ht="15.75" x14ac:dyDescent="0.2">
      <c r="A165" s="259"/>
      <c r="B165" s="168"/>
      <c r="C165" s="168"/>
      <c r="D165" s="168"/>
      <c r="E165" s="168"/>
      <c r="F165" s="168"/>
      <c r="G165" s="168"/>
      <c r="H165" s="13" t="s">
        <v>46</v>
      </c>
      <c r="I165" s="169"/>
      <c r="J165" s="169"/>
      <c r="K165" s="169"/>
      <c r="L165" s="169"/>
      <c r="M165" s="19"/>
      <c r="N165" s="19"/>
      <c r="O165" s="19"/>
      <c r="P165" s="205"/>
      <c r="Q165" s="19"/>
      <c r="R165" s="19"/>
      <c r="S165" s="19"/>
      <c r="T165" s="53"/>
      <c r="U165" s="53"/>
      <c r="V165" s="19"/>
      <c r="W165" s="19"/>
      <c r="X165" s="19"/>
      <c r="Y165" s="19"/>
      <c r="Z165" s="19"/>
      <c r="AA165" s="19"/>
      <c r="AB165" s="19"/>
      <c r="AC165" s="19"/>
      <c r="AD165" s="19"/>
      <c r="AE165" s="19">
        <f t="shared" si="126"/>
        <v>0</v>
      </c>
      <c r="AF165" s="19"/>
      <c r="AG165" s="19"/>
      <c r="AH165" s="19"/>
      <c r="AI165" s="19"/>
      <c r="AJ165" s="162" t="b">
        <f t="shared" si="106"/>
        <v>1</v>
      </c>
      <c r="AK165" s="162" t="str">
        <f t="shared" si="107"/>
        <v>PRAZNO</v>
      </c>
      <c r="AL165" s="263"/>
    </row>
    <row r="166" spans="1:39" s="264" customFormat="1" ht="15.75" x14ac:dyDescent="0.2">
      <c r="A166" s="259"/>
      <c r="B166" s="168"/>
      <c r="C166" s="168"/>
      <c r="D166" s="168"/>
      <c r="E166" s="168"/>
      <c r="F166" s="168"/>
      <c r="G166" s="168"/>
      <c r="H166" s="13" t="s">
        <v>571</v>
      </c>
      <c r="I166" s="169">
        <f>I168</f>
        <v>49000</v>
      </c>
      <c r="J166" s="169">
        <f>J168</f>
        <v>38972.159999999996</v>
      </c>
      <c r="K166" s="169">
        <f>ROUND(J166/I166*100,2)</f>
        <v>79.540000000000006</v>
      </c>
      <c r="L166" s="169">
        <f t="shared" ref="L166:L240" si="131">M166-I166</f>
        <v>-2096.0600000000049</v>
      </c>
      <c r="M166" s="19">
        <f>M168</f>
        <v>46903.939999999995</v>
      </c>
      <c r="N166" s="19">
        <f>N168</f>
        <v>70000</v>
      </c>
      <c r="O166" s="19">
        <f>O168</f>
        <v>30116.16</v>
      </c>
      <c r="P166" s="205">
        <f>T166-N166</f>
        <v>0</v>
      </c>
      <c r="Q166" s="19">
        <f t="shared" ref="Q166:X166" si="132">Q168</f>
        <v>70000</v>
      </c>
      <c r="R166" s="19">
        <f t="shared" si="132"/>
        <v>70000</v>
      </c>
      <c r="S166" s="19">
        <f t="shared" si="132"/>
        <v>71000</v>
      </c>
      <c r="T166" s="53">
        <f t="shared" si="132"/>
        <v>70000</v>
      </c>
      <c r="U166" s="53">
        <f>U168</f>
        <v>75207.739999999991</v>
      </c>
      <c r="V166" s="19">
        <f t="shared" si="132"/>
        <v>71000</v>
      </c>
      <c r="W166" s="19">
        <f t="shared" si="132"/>
        <v>72000</v>
      </c>
      <c r="X166" s="19">
        <f t="shared" si="132"/>
        <v>75000</v>
      </c>
      <c r="Y166" s="19">
        <f>Y168</f>
        <v>24295.61</v>
      </c>
      <c r="Z166" s="19">
        <f t="shared" si="112"/>
        <v>34.22</v>
      </c>
      <c r="AA166" s="19">
        <f t="shared" si="113"/>
        <v>50000</v>
      </c>
      <c r="AB166" s="19">
        <f t="shared" ref="AB166:AI166" si="133">AB168</f>
        <v>121000</v>
      </c>
      <c r="AC166" s="19">
        <f t="shared" si="133"/>
        <v>104971.69</v>
      </c>
      <c r="AD166" s="19">
        <f t="shared" si="127"/>
        <v>86.753462809917352</v>
      </c>
      <c r="AE166" s="19">
        <f t="shared" si="126"/>
        <v>0</v>
      </c>
      <c r="AF166" s="19">
        <f t="shared" si="133"/>
        <v>121000</v>
      </c>
      <c r="AG166" s="19">
        <f t="shared" si="133"/>
        <v>121000</v>
      </c>
      <c r="AH166" s="19">
        <f t="shared" si="133"/>
        <v>121000</v>
      </c>
      <c r="AI166" s="19">
        <f t="shared" si="133"/>
        <v>122000</v>
      </c>
      <c r="AJ166" s="162" t="b">
        <f t="shared" si="106"/>
        <v>1</v>
      </c>
      <c r="AK166" s="162" t="str">
        <f t="shared" si="107"/>
        <v>PRAZNO</v>
      </c>
      <c r="AL166" s="263"/>
    </row>
    <row r="167" spans="1:39" s="264" customFormat="1" ht="15.75" x14ac:dyDescent="0.2">
      <c r="A167" s="259"/>
      <c r="B167" s="260"/>
      <c r="C167" s="260"/>
      <c r="D167" s="260"/>
      <c r="E167" s="260"/>
      <c r="F167" s="260"/>
      <c r="G167" s="260"/>
      <c r="H167" s="440" t="s">
        <v>824</v>
      </c>
      <c r="I167" s="181"/>
      <c r="J167" s="181"/>
      <c r="K167" s="181"/>
      <c r="L167" s="181"/>
      <c r="M167" s="262"/>
      <c r="N167" s="262"/>
      <c r="O167" s="262"/>
      <c r="P167" s="307"/>
      <c r="Q167" s="262"/>
      <c r="R167" s="262"/>
      <c r="S167" s="262"/>
      <c r="T167" s="342"/>
      <c r="U167" s="342"/>
      <c r="V167" s="262">
        <f>V168</f>
        <v>71000</v>
      </c>
      <c r="W167" s="262">
        <f>W168</f>
        <v>72000</v>
      </c>
      <c r="X167" s="262">
        <f>X168</f>
        <v>75000</v>
      </c>
      <c r="Y167" s="262">
        <f>Y168</f>
        <v>24295.61</v>
      </c>
      <c r="Z167" s="262">
        <f t="shared" si="112"/>
        <v>34.22</v>
      </c>
      <c r="AA167" s="262">
        <f t="shared" si="113"/>
        <v>50000</v>
      </c>
      <c r="AB167" s="262">
        <f t="shared" ref="AB167:AI167" si="134">AB168</f>
        <v>121000</v>
      </c>
      <c r="AC167" s="262">
        <f t="shared" si="134"/>
        <v>104971.69</v>
      </c>
      <c r="AD167" s="262">
        <f t="shared" si="127"/>
        <v>86.753462809917352</v>
      </c>
      <c r="AE167" s="262">
        <f t="shared" si="126"/>
        <v>0</v>
      </c>
      <c r="AF167" s="262">
        <f t="shared" si="134"/>
        <v>121000</v>
      </c>
      <c r="AG167" s="262">
        <f t="shared" si="134"/>
        <v>121000</v>
      </c>
      <c r="AH167" s="262">
        <f t="shared" si="134"/>
        <v>121000</v>
      </c>
      <c r="AI167" s="262">
        <f t="shared" si="134"/>
        <v>122000</v>
      </c>
      <c r="AJ167" s="162" t="b">
        <f t="shared" si="106"/>
        <v>1</v>
      </c>
      <c r="AK167" s="162" t="str">
        <f t="shared" si="107"/>
        <v>PRAZNO</v>
      </c>
      <c r="AL167" s="263"/>
    </row>
    <row r="168" spans="1:39" s="264" customFormat="1" ht="15.75" x14ac:dyDescent="0.2">
      <c r="A168" s="259"/>
      <c r="B168" s="172">
        <v>3</v>
      </c>
      <c r="C168" s="172"/>
      <c r="D168" s="172"/>
      <c r="E168" s="172"/>
      <c r="F168" s="172"/>
      <c r="G168" s="172"/>
      <c r="H168" s="14" t="s">
        <v>524</v>
      </c>
      <c r="I168" s="184">
        <f t="shared" ref="I168:AI168" si="135">I169</f>
        <v>49000</v>
      </c>
      <c r="J168" s="184">
        <f t="shared" si="135"/>
        <v>38972.159999999996</v>
      </c>
      <c r="K168" s="184">
        <f t="shared" ref="K168:K230" si="136">ROUND(J168/I168*100,2)</f>
        <v>79.540000000000006</v>
      </c>
      <c r="L168" s="184">
        <f t="shared" si="131"/>
        <v>-2096.0600000000049</v>
      </c>
      <c r="M168" s="184">
        <f t="shared" si="135"/>
        <v>46903.939999999995</v>
      </c>
      <c r="N168" s="184">
        <f t="shared" si="135"/>
        <v>70000</v>
      </c>
      <c r="O168" s="184">
        <f t="shared" si="135"/>
        <v>30116.16</v>
      </c>
      <c r="P168" s="55">
        <f t="shared" ref="P168:P173" si="137">T168-N168</f>
        <v>0</v>
      </c>
      <c r="Q168" s="184">
        <f t="shared" si="135"/>
        <v>70000</v>
      </c>
      <c r="R168" s="184">
        <f t="shared" si="135"/>
        <v>70000</v>
      </c>
      <c r="S168" s="184">
        <f t="shared" si="135"/>
        <v>71000</v>
      </c>
      <c r="T168" s="185">
        <f t="shared" si="135"/>
        <v>70000</v>
      </c>
      <c r="U168" s="185">
        <f t="shared" si="135"/>
        <v>75207.739999999991</v>
      </c>
      <c r="V168" s="184">
        <f t="shared" si="135"/>
        <v>71000</v>
      </c>
      <c r="W168" s="184">
        <f t="shared" si="135"/>
        <v>72000</v>
      </c>
      <c r="X168" s="184">
        <f t="shared" si="135"/>
        <v>75000</v>
      </c>
      <c r="Y168" s="184">
        <f t="shared" si="135"/>
        <v>24295.61</v>
      </c>
      <c r="Z168" s="184">
        <f t="shared" si="112"/>
        <v>34.22</v>
      </c>
      <c r="AA168" s="184">
        <f t="shared" si="113"/>
        <v>50000</v>
      </c>
      <c r="AB168" s="184">
        <f t="shared" si="135"/>
        <v>121000</v>
      </c>
      <c r="AC168" s="184">
        <f t="shared" si="135"/>
        <v>104971.69</v>
      </c>
      <c r="AD168" s="184">
        <f t="shared" si="127"/>
        <v>86.753462809917352</v>
      </c>
      <c r="AE168" s="184">
        <f t="shared" si="126"/>
        <v>0</v>
      </c>
      <c r="AF168" s="184">
        <f t="shared" si="135"/>
        <v>121000</v>
      </c>
      <c r="AG168" s="184">
        <f t="shared" si="135"/>
        <v>121000</v>
      </c>
      <c r="AH168" s="184">
        <f t="shared" si="135"/>
        <v>121000</v>
      </c>
      <c r="AI168" s="184">
        <f t="shared" si="135"/>
        <v>122000</v>
      </c>
      <c r="AJ168" s="162" t="b">
        <f t="shared" si="106"/>
        <v>1</v>
      </c>
      <c r="AK168" s="162" t="str">
        <f t="shared" si="107"/>
        <v>PRAZNO</v>
      </c>
      <c r="AL168" s="263"/>
    </row>
    <row r="169" spans="1:39" ht="15.75" x14ac:dyDescent="0.2">
      <c r="B169" s="314"/>
      <c r="C169" s="314">
        <v>32</v>
      </c>
      <c r="D169" s="314"/>
      <c r="E169" s="314"/>
      <c r="F169" s="314"/>
      <c r="G169" s="314"/>
      <c r="H169" s="39" t="s">
        <v>525</v>
      </c>
      <c r="I169" s="318">
        <f>I170+I177+I175</f>
        <v>49000</v>
      </c>
      <c r="J169" s="318">
        <f>J170+J177+J175</f>
        <v>38972.159999999996</v>
      </c>
      <c r="K169" s="318">
        <f t="shared" si="136"/>
        <v>79.540000000000006</v>
      </c>
      <c r="L169" s="318">
        <f t="shared" si="131"/>
        <v>-2096.0600000000049</v>
      </c>
      <c r="M169" s="318">
        <f>M170+M177+M175</f>
        <v>46903.939999999995</v>
      </c>
      <c r="N169" s="318">
        <f>N170+N177+N175</f>
        <v>70000</v>
      </c>
      <c r="O169" s="318">
        <f>O170+O177+O175</f>
        <v>30116.16</v>
      </c>
      <c r="P169" s="26">
        <f t="shared" si="137"/>
        <v>0</v>
      </c>
      <c r="Q169" s="18">
        <f t="shared" ref="Q169:Y169" si="138">Q170+Q177+Q175</f>
        <v>70000</v>
      </c>
      <c r="R169" s="18">
        <f t="shared" si="138"/>
        <v>70000</v>
      </c>
      <c r="S169" s="18">
        <f t="shared" si="138"/>
        <v>71000</v>
      </c>
      <c r="T169" s="319">
        <f t="shared" si="138"/>
        <v>70000</v>
      </c>
      <c r="U169" s="319">
        <f>U170+U177+U175</f>
        <v>75207.739999999991</v>
      </c>
      <c r="V169" s="318">
        <f t="shared" si="138"/>
        <v>71000</v>
      </c>
      <c r="W169" s="318">
        <f t="shared" si="138"/>
        <v>72000</v>
      </c>
      <c r="X169" s="318">
        <f t="shared" si="138"/>
        <v>75000</v>
      </c>
      <c r="Y169" s="318">
        <f t="shared" si="138"/>
        <v>24295.61</v>
      </c>
      <c r="Z169" s="318">
        <f t="shared" si="112"/>
        <v>34.22</v>
      </c>
      <c r="AA169" s="318">
        <f t="shared" si="113"/>
        <v>50000</v>
      </c>
      <c r="AB169" s="318">
        <f t="shared" ref="AB169:AI169" si="139">AB170+AB177+AB175</f>
        <v>121000</v>
      </c>
      <c r="AC169" s="318">
        <f t="shared" si="139"/>
        <v>104971.69</v>
      </c>
      <c r="AD169" s="318">
        <f t="shared" si="127"/>
        <v>86.753462809917352</v>
      </c>
      <c r="AE169" s="318">
        <f t="shared" si="126"/>
        <v>0</v>
      </c>
      <c r="AF169" s="709">
        <f t="shared" si="139"/>
        <v>121000</v>
      </c>
      <c r="AG169" s="318">
        <f t="shared" si="139"/>
        <v>121000</v>
      </c>
      <c r="AH169" s="318">
        <f t="shared" si="139"/>
        <v>121000</v>
      </c>
      <c r="AI169" s="318">
        <f t="shared" si="139"/>
        <v>122000</v>
      </c>
      <c r="AJ169" s="162" t="b">
        <f t="shared" si="106"/>
        <v>1</v>
      </c>
      <c r="AK169" s="162" t="str">
        <f t="shared" si="107"/>
        <v>PRAZNO</v>
      </c>
      <c r="AM169" s="264"/>
    </row>
    <row r="170" spans="1:39" ht="15.75" x14ac:dyDescent="0.2">
      <c r="B170" s="177"/>
      <c r="C170" s="177"/>
      <c r="D170" s="177">
        <v>323</v>
      </c>
      <c r="E170" s="177"/>
      <c r="F170" s="177"/>
      <c r="G170" s="177"/>
      <c r="H170" s="16" t="s">
        <v>526</v>
      </c>
      <c r="I170" s="18">
        <f>SUM(I171:I173)</f>
        <v>39000</v>
      </c>
      <c r="J170" s="18">
        <f>SUM(J171:J173)</f>
        <v>34789.32</v>
      </c>
      <c r="K170" s="18">
        <f t="shared" si="136"/>
        <v>89.2</v>
      </c>
      <c r="L170" s="18">
        <f t="shared" si="131"/>
        <v>-2218.0800000000017</v>
      </c>
      <c r="M170" s="18">
        <f>SUM(M171:M173)</f>
        <v>36781.919999999998</v>
      </c>
      <c r="N170" s="18">
        <f>SUM(N171:N173)</f>
        <v>53000</v>
      </c>
      <c r="O170" s="18">
        <f>SUM(O171:O173)</f>
        <v>22292.1</v>
      </c>
      <c r="P170" s="26">
        <f t="shared" si="137"/>
        <v>-7000</v>
      </c>
      <c r="Q170" s="18">
        <f t="shared" ref="Q170:X170" si="140">SUM(Q171:Q173)</f>
        <v>53000</v>
      </c>
      <c r="R170" s="18">
        <f t="shared" si="140"/>
        <v>58000</v>
      </c>
      <c r="S170" s="18">
        <f t="shared" si="140"/>
        <v>59000</v>
      </c>
      <c r="T170" s="27">
        <f t="shared" si="140"/>
        <v>46000</v>
      </c>
      <c r="U170" s="27">
        <f>SUM(U171:U173)</f>
        <v>53429.599999999999</v>
      </c>
      <c r="V170" s="18">
        <f t="shared" si="140"/>
        <v>52000</v>
      </c>
      <c r="W170" s="18">
        <f t="shared" si="140"/>
        <v>53000</v>
      </c>
      <c r="X170" s="18">
        <f t="shared" si="140"/>
        <v>56000</v>
      </c>
      <c r="Y170" s="18">
        <f>SUM(Y171:Y174)</f>
        <v>19070.54</v>
      </c>
      <c r="Z170" s="18">
        <f t="shared" si="112"/>
        <v>36.67</v>
      </c>
      <c r="AA170" s="18">
        <f t="shared" si="113"/>
        <v>33000</v>
      </c>
      <c r="AB170" s="18">
        <f t="shared" ref="AB170:AI170" si="141">SUM(AB171:AB174)</f>
        <v>85000</v>
      </c>
      <c r="AC170" s="18">
        <f t="shared" si="141"/>
        <v>70423.59</v>
      </c>
      <c r="AD170" s="18">
        <f t="shared" si="127"/>
        <v>82.851282352941169</v>
      </c>
      <c r="AE170" s="18">
        <f t="shared" si="126"/>
        <v>0</v>
      </c>
      <c r="AF170" s="706">
        <f t="shared" si="141"/>
        <v>85000</v>
      </c>
      <c r="AG170" s="18">
        <f t="shared" si="141"/>
        <v>85000</v>
      </c>
      <c r="AH170" s="18">
        <f t="shared" si="141"/>
        <v>85000</v>
      </c>
      <c r="AI170" s="18">
        <f t="shared" si="141"/>
        <v>85000</v>
      </c>
      <c r="AJ170" s="162" t="b">
        <f t="shared" si="106"/>
        <v>1</v>
      </c>
      <c r="AK170" s="162" t="str">
        <f t="shared" si="107"/>
        <v>PRAZNO</v>
      </c>
      <c r="AM170" s="264"/>
    </row>
    <row r="171" spans="1:39" ht="30" x14ac:dyDescent="0.2">
      <c r="B171" s="177"/>
      <c r="C171" s="177"/>
      <c r="D171" s="177"/>
      <c r="E171" s="177">
        <v>3231</v>
      </c>
      <c r="F171" s="176">
        <v>11</v>
      </c>
      <c r="G171" s="177"/>
      <c r="H171" s="16" t="s">
        <v>921</v>
      </c>
      <c r="I171" s="18">
        <v>3000</v>
      </c>
      <c r="J171" s="18">
        <v>0</v>
      </c>
      <c r="K171" s="18">
        <f t="shared" si="136"/>
        <v>0</v>
      </c>
      <c r="L171" s="18">
        <f t="shared" si="131"/>
        <v>-3000</v>
      </c>
      <c r="M171" s="18"/>
      <c r="N171" s="18">
        <v>0</v>
      </c>
      <c r="O171" s="18">
        <v>0</v>
      </c>
      <c r="P171" s="26">
        <f t="shared" si="137"/>
        <v>0</v>
      </c>
      <c r="Q171" s="18">
        <v>0</v>
      </c>
      <c r="R171" s="18">
        <v>3000</v>
      </c>
      <c r="S171" s="18">
        <v>3000</v>
      </c>
      <c r="T171" s="27"/>
      <c r="U171" s="27"/>
      <c r="V171" s="18">
        <v>2000</v>
      </c>
      <c r="W171" s="18">
        <v>2000</v>
      </c>
      <c r="X171" s="18">
        <v>3000</v>
      </c>
      <c r="Y171" s="18">
        <v>0</v>
      </c>
      <c r="Z171" s="18">
        <f t="shared" si="112"/>
        <v>0</v>
      </c>
      <c r="AA171" s="18">
        <f t="shared" si="113"/>
        <v>0</v>
      </c>
      <c r="AB171" s="18">
        <v>2000</v>
      </c>
      <c r="AC171" s="18">
        <v>0</v>
      </c>
      <c r="AD171" s="18">
        <f t="shared" si="127"/>
        <v>0</v>
      </c>
      <c r="AE171" s="18">
        <f t="shared" si="126"/>
        <v>0</v>
      </c>
      <c r="AF171" s="706">
        <v>2000</v>
      </c>
      <c r="AG171" s="18">
        <v>2000</v>
      </c>
      <c r="AH171" s="18">
        <v>2000</v>
      </c>
      <c r="AI171" s="18">
        <v>2000</v>
      </c>
      <c r="AJ171" s="162" t="b">
        <f t="shared" si="106"/>
        <v>0</v>
      </c>
      <c r="AK171" s="162" t="str">
        <f t="shared" si="107"/>
        <v>PUNO</v>
      </c>
      <c r="AM171" s="264"/>
    </row>
    <row r="172" spans="1:39" ht="15.75" x14ac:dyDescent="0.2">
      <c r="B172" s="177"/>
      <c r="C172" s="177"/>
      <c r="D172" s="177"/>
      <c r="E172" s="177">
        <v>3233</v>
      </c>
      <c r="F172" s="176">
        <v>11</v>
      </c>
      <c r="G172" s="176" t="s">
        <v>527</v>
      </c>
      <c r="H172" s="16" t="s">
        <v>528</v>
      </c>
      <c r="I172" s="189">
        <v>16000</v>
      </c>
      <c r="J172" s="189">
        <v>20029.32</v>
      </c>
      <c r="K172" s="189">
        <f t="shared" si="136"/>
        <v>125.18</v>
      </c>
      <c r="L172" s="189">
        <f t="shared" si="131"/>
        <v>6021.9199999999983</v>
      </c>
      <c r="M172" s="189">
        <v>22021.919999999998</v>
      </c>
      <c r="N172" s="189">
        <v>50800</v>
      </c>
      <c r="O172" s="189">
        <v>22292.1</v>
      </c>
      <c r="P172" s="26">
        <f t="shared" si="137"/>
        <v>-7000</v>
      </c>
      <c r="Q172" s="189">
        <v>50800</v>
      </c>
      <c r="R172" s="189">
        <v>30000</v>
      </c>
      <c r="S172" s="189">
        <v>30000</v>
      </c>
      <c r="T172" s="190">
        <f>50800-7000</f>
        <v>43800</v>
      </c>
      <c r="U172" s="190">
        <v>50429.599999999999</v>
      </c>
      <c r="V172" s="190">
        <v>40000</v>
      </c>
      <c r="W172" s="190">
        <v>41000</v>
      </c>
      <c r="X172" s="189">
        <v>42000</v>
      </c>
      <c r="Y172" s="190">
        <v>18068.75</v>
      </c>
      <c r="Z172" s="190">
        <f t="shared" si="112"/>
        <v>45.17</v>
      </c>
      <c r="AA172" s="190">
        <f t="shared" si="113"/>
        <v>15000</v>
      </c>
      <c r="AB172" s="190">
        <f>40000+15000</f>
        <v>55000</v>
      </c>
      <c r="AC172" s="190">
        <v>40912.92</v>
      </c>
      <c r="AD172" s="190">
        <f t="shared" si="127"/>
        <v>74.38712727272727</v>
      </c>
      <c r="AE172" s="190">
        <f t="shared" si="126"/>
        <v>-5500</v>
      </c>
      <c r="AF172" s="710">
        <f>40000+15000-5500</f>
        <v>49500</v>
      </c>
      <c r="AG172" s="190">
        <f>40000+15000</f>
        <v>55000</v>
      </c>
      <c r="AH172" s="190">
        <f>40000+15000</f>
        <v>55000</v>
      </c>
      <c r="AI172" s="190">
        <f>40000+15000</f>
        <v>55000</v>
      </c>
      <c r="AJ172" s="162" t="b">
        <f t="shared" si="106"/>
        <v>0</v>
      </c>
      <c r="AK172" s="162" t="str">
        <f t="shared" si="107"/>
        <v>PUNO</v>
      </c>
      <c r="AM172" s="264"/>
    </row>
    <row r="173" spans="1:39" ht="15.75" x14ac:dyDescent="0.2">
      <c r="B173" s="177"/>
      <c r="C173" s="177"/>
      <c r="D173" s="177"/>
      <c r="E173" s="177">
        <v>3237</v>
      </c>
      <c r="F173" s="176">
        <v>11</v>
      </c>
      <c r="G173" s="176" t="s">
        <v>527</v>
      </c>
      <c r="H173" s="16" t="s">
        <v>566</v>
      </c>
      <c r="I173" s="18">
        <v>20000</v>
      </c>
      <c r="J173" s="18">
        <v>14760</v>
      </c>
      <c r="K173" s="18">
        <f t="shared" si="136"/>
        <v>73.8</v>
      </c>
      <c r="L173" s="18">
        <f t="shared" si="131"/>
        <v>-5240</v>
      </c>
      <c r="M173" s="18">
        <v>14760</v>
      </c>
      <c r="N173" s="18">
        <v>2200</v>
      </c>
      <c r="O173" s="18">
        <v>0</v>
      </c>
      <c r="P173" s="26">
        <f t="shared" si="137"/>
        <v>0</v>
      </c>
      <c r="Q173" s="18">
        <v>2200</v>
      </c>
      <c r="R173" s="18">
        <v>25000</v>
      </c>
      <c r="S173" s="18">
        <v>26000</v>
      </c>
      <c r="T173" s="27">
        <v>2200</v>
      </c>
      <c r="U173" s="27">
        <v>3000</v>
      </c>
      <c r="V173" s="27">
        <v>10000</v>
      </c>
      <c r="W173" s="27">
        <v>10000</v>
      </c>
      <c r="X173" s="27">
        <v>11000</v>
      </c>
      <c r="Y173" s="27">
        <v>1001.79</v>
      </c>
      <c r="Z173" s="27">
        <f t="shared" si="112"/>
        <v>10.02</v>
      </c>
      <c r="AA173" s="27">
        <f t="shared" si="113"/>
        <v>0</v>
      </c>
      <c r="AB173" s="27">
        <v>10000</v>
      </c>
      <c r="AC173" s="27">
        <v>6010.67</v>
      </c>
      <c r="AD173" s="27">
        <f t="shared" si="127"/>
        <v>60.106700000000004</v>
      </c>
      <c r="AE173" s="27">
        <f t="shared" si="126"/>
        <v>0</v>
      </c>
      <c r="AF173" s="706">
        <v>10000</v>
      </c>
      <c r="AG173" s="27">
        <v>7000</v>
      </c>
      <c r="AH173" s="27">
        <v>7000</v>
      </c>
      <c r="AI173" s="27">
        <v>7000</v>
      </c>
      <c r="AJ173" s="162" t="b">
        <f t="shared" si="106"/>
        <v>0</v>
      </c>
      <c r="AK173" s="162" t="str">
        <f t="shared" si="107"/>
        <v>PUNO</v>
      </c>
      <c r="AM173" s="264"/>
    </row>
    <row r="174" spans="1:39" ht="15.75" x14ac:dyDescent="0.2">
      <c r="B174" s="177"/>
      <c r="C174" s="177"/>
      <c r="D174" s="177"/>
      <c r="E174" s="177">
        <v>3239</v>
      </c>
      <c r="F174" s="176">
        <v>11</v>
      </c>
      <c r="G174" s="176"/>
      <c r="H174" s="16" t="s">
        <v>529</v>
      </c>
      <c r="I174" s="18"/>
      <c r="J174" s="18"/>
      <c r="K174" s="18"/>
      <c r="L174" s="18"/>
      <c r="M174" s="18"/>
      <c r="N174" s="18"/>
      <c r="O174" s="18"/>
      <c r="P174" s="26"/>
      <c r="Q174" s="18"/>
      <c r="R174" s="18"/>
      <c r="S174" s="18"/>
      <c r="T174" s="27"/>
      <c r="U174" s="27"/>
      <c r="V174" s="27"/>
      <c r="W174" s="27"/>
      <c r="X174" s="27"/>
      <c r="Y174" s="27">
        <v>0</v>
      </c>
      <c r="Z174" s="27"/>
      <c r="AA174" s="27">
        <f t="shared" si="113"/>
        <v>18000</v>
      </c>
      <c r="AB174" s="27">
        <v>18000</v>
      </c>
      <c r="AC174" s="27">
        <v>23500</v>
      </c>
      <c r="AD174" s="27">
        <f t="shared" si="127"/>
        <v>130.55555555555557</v>
      </c>
      <c r="AE174" s="27">
        <f t="shared" si="126"/>
        <v>5500</v>
      </c>
      <c r="AF174" s="706">
        <f>18000+5500</f>
        <v>23500</v>
      </c>
      <c r="AG174" s="27">
        <v>21000</v>
      </c>
      <c r="AH174" s="27">
        <v>21000</v>
      </c>
      <c r="AI174" s="27">
        <v>21000</v>
      </c>
      <c r="AJ174" s="162" t="b">
        <f t="shared" si="106"/>
        <v>0</v>
      </c>
      <c r="AK174" s="162" t="str">
        <f t="shared" si="107"/>
        <v>PUNO</v>
      </c>
      <c r="AM174" s="264"/>
    </row>
    <row r="175" spans="1:39" ht="15.75" x14ac:dyDescent="0.2">
      <c r="B175" s="177"/>
      <c r="C175" s="177"/>
      <c r="D175" s="177">
        <v>324</v>
      </c>
      <c r="E175" s="177"/>
      <c r="F175" s="176"/>
      <c r="G175" s="176"/>
      <c r="H175" s="16" t="s">
        <v>530</v>
      </c>
      <c r="I175" s="18">
        <f>I176</f>
        <v>3000</v>
      </c>
      <c r="J175" s="18">
        <f>J176</f>
        <v>1061.8399999999999</v>
      </c>
      <c r="K175" s="18">
        <f t="shared" si="136"/>
        <v>35.39</v>
      </c>
      <c r="L175" s="18">
        <f t="shared" si="131"/>
        <v>749.02</v>
      </c>
      <c r="M175" s="18">
        <f>M176</f>
        <v>3749.02</v>
      </c>
      <c r="N175" s="18">
        <f>N176</f>
        <v>1000</v>
      </c>
      <c r="O175" s="18">
        <f>O176</f>
        <v>0</v>
      </c>
      <c r="P175" s="26">
        <f>T175-N175</f>
        <v>7000</v>
      </c>
      <c r="Q175" s="18">
        <f t="shared" ref="Q175:AI175" si="142">Q176</f>
        <v>1000</v>
      </c>
      <c r="R175" s="18">
        <f t="shared" si="142"/>
        <v>5000</v>
      </c>
      <c r="S175" s="18">
        <f t="shared" si="142"/>
        <v>5000</v>
      </c>
      <c r="T175" s="27">
        <f t="shared" si="142"/>
        <v>8000</v>
      </c>
      <c r="U175" s="27">
        <f t="shared" si="142"/>
        <v>6619.42</v>
      </c>
      <c r="V175" s="18">
        <f t="shared" si="142"/>
        <v>3000</v>
      </c>
      <c r="W175" s="18">
        <f t="shared" si="142"/>
        <v>3000</v>
      </c>
      <c r="X175" s="18">
        <f t="shared" si="142"/>
        <v>3000</v>
      </c>
      <c r="Y175" s="18">
        <f t="shared" si="142"/>
        <v>339</v>
      </c>
      <c r="Z175" s="18">
        <f t="shared" si="112"/>
        <v>11.3</v>
      </c>
      <c r="AA175" s="18">
        <f t="shared" si="113"/>
        <v>0</v>
      </c>
      <c r="AB175" s="18">
        <f t="shared" si="142"/>
        <v>3000</v>
      </c>
      <c r="AC175" s="18">
        <f t="shared" si="142"/>
        <v>1548.1</v>
      </c>
      <c r="AD175" s="18">
        <f t="shared" si="127"/>
        <v>51.603333333333332</v>
      </c>
      <c r="AE175" s="18">
        <f t="shared" si="126"/>
        <v>0</v>
      </c>
      <c r="AF175" s="706">
        <f t="shared" si="142"/>
        <v>3000</v>
      </c>
      <c r="AG175" s="18">
        <f t="shared" si="142"/>
        <v>3000</v>
      </c>
      <c r="AH175" s="18">
        <f t="shared" si="142"/>
        <v>3000</v>
      </c>
      <c r="AI175" s="18">
        <f t="shared" si="142"/>
        <v>3500</v>
      </c>
      <c r="AJ175" s="162" t="b">
        <f t="shared" si="106"/>
        <v>1</v>
      </c>
      <c r="AK175" s="162" t="str">
        <f t="shared" si="107"/>
        <v>PRAZNO</v>
      </c>
      <c r="AM175" s="264"/>
    </row>
    <row r="176" spans="1:39" ht="15.75" x14ac:dyDescent="0.2">
      <c r="B176" s="177"/>
      <c r="C176" s="177"/>
      <c r="D176" s="177"/>
      <c r="E176" s="177">
        <v>3241</v>
      </c>
      <c r="F176" s="176">
        <v>11</v>
      </c>
      <c r="G176" s="176"/>
      <c r="H176" s="16" t="s">
        <v>530</v>
      </c>
      <c r="I176" s="18">
        <v>3000</v>
      </c>
      <c r="J176" s="18">
        <v>1061.8399999999999</v>
      </c>
      <c r="K176" s="18">
        <f t="shared" si="136"/>
        <v>35.39</v>
      </c>
      <c r="L176" s="18">
        <f t="shared" si="131"/>
        <v>749.02</v>
      </c>
      <c r="M176" s="18">
        <v>3749.02</v>
      </c>
      <c r="N176" s="18">
        <v>1000</v>
      </c>
      <c r="O176" s="18">
        <v>0</v>
      </c>
      <c r="P176" s="26">
        <f>T176-N176</f>
        <v>7000</v>
      </c>
      <c r="Q176" s="18">
        <v>1000</v>
      </c>
      <c r="R176" s="18">
        <v>5000</v>
      </c>
      <c r="S176" s="18">
        <v>5000</v>
      </c>
      <c r="T176" s="27">
        <v>8000</v>
      </c>
      <c r="U176" s="27">
        <v>6619.42</v>
      </c>
      <c r="V176" s="27">
        <v>3000</v>
      </c>
      <c r="W176" s="27">
        <v>3000</v>
      </c>
      <c r="X176" s="27">
        <v>3000</v>
      </c>
      <c r="Y176" s="27">
        <v>339</v>
      </c>
      <c r="Z176" s="27">
        <f t="shared" si="112"/>
        <v>11.3</v>
      </c>
      <c r="AA176" s="27">
        <f t="shared" si="113"/>
        <v>0</v>
      </c>
      <c r="AB176" s="27">
        <v>3000</v>
      </c>
      <c r="AC176" s="27">
        <v>1548.1</v>
      </c>
      <c r="AD176" s="27">
        <f t="shared" si="127"/>
        <v>51.603333333333332</v>
      </c>
      <c r="AE176" s="27">
        <f t="shared" si="126"/>
        <v>0</v>
      </c>
      <c r="AF176" s="706">
        <v>3000</v>
      </c>
      <c r="AG176" s="27">
        <v>3000</v>
      </c>
      <c r="AH176" s="27">
        <v>3000</v>
      </c>
      <c r="AI176" s="27">
        <v>3500</v>
      </c>
      <c r="AJ176" s="162" t="b">
        <f t="shared" si="106"/>
        <v>0</v>
      </c>
      <c r="AK176" s="162" t="str">
        <f t="shared" si="107"/>
        <v>PUNO</v>
      </c>
      <c r="AM176" s="264"/>
    </row>
    <row r="177" spans="1:39" ht="15.75" x14ac:dyDescent="0.2">
      <c r="B177" s="177"/>
      <c r="C177" s="177"/>
      <c r="D177" s="177">
        <v>329</v>
      </c>
      <c r="E177" s="177"/>
      <c r="F177" s="177"/>
      <c r="G177" s="177"/>
      <c r="H177" s="16" t="s">
        <v>531</v>
      </c>
      <c r="I177" s="18">
        <f>I179+I178</f>
        <v>7000</v>
      </c>
      <c r="J177" s="18">
        <f>J179+J178</f>
        <v>3121</v>
      </c>
      <c r="K177" s="18">
        <f t="shared" si="136"/>
        <v>44.59</v>
      </c>
      <c r="L177" s="18">
        <f t="shared" si="131"/>
        <v>-627</v>
      </c>
      <c r="M177" s="18">
        <f>M179+M178</f>
        <v>6373</v>
      </c>
      <c r="N177" s="18">
        <f>N179+N178</f>
        <v>16000</v>
      </c>
      <c r="O177" s="18">
        <f>O179+O178</f>
        <v>7824.06</v>
      </c>
      <c r="P177" s="26">
        <f t="shared" ref="P177:P245" si="143">T177-N177</f>
        <v>0</v>
      </c>
      <c r="Q177" s="18">
        <f t="shared" ref="Q177:X177" si="144">Q179+Q178</f>
        <v>16000</v>
      </c>
      <c r="R177" s="18">
        <f t="shared" si="144"/>
        <v>7000</v>
      </c>
      <c r="S177" s="18">
        <f t="shared" si="144"/>
        <v>7000</v>
      </c>
      <c r="T177" s="27">
        <f t="shared" si="144"/>
        <v>16000</v>
      </c>
      <c r="U177" s="27">
        <f>U179+U178</f>
        <v>15158.72</v>
      </c>
      <c r="V177" s="18">
        <f t="shared" si="144"/>
        <v>16000</v>
      </c>
      <c r="W177" s="18">
        <f t="shared" si="144"/>
        <v>16000</v>
      </c>
      <c r="X177" s="18">
        <f t="shared" si="144"/>
        <v>16000</v>
      </c>
      <c r="Y177" s="18">
        <f>Y179+Y178</f>
        <v>4886.07</v>
      </c>
      <c r="Z177" s="18">
        <f t="shared" si="112"/>
        <v>30.54</v>
      </c>
      <c r="AA177" s="18">
        <f t="shared" si="113"/>
        <v>17000</v>
      </c>
      <c r="AB177" s="18">
        <f t="shared" ref="AB177:AI177" si="145">AB179+AB178</f>
        <v>33000</v>
      </c>
      <c r="AC177" s="18">
        <f t="shared" si="145"/>
        <v>33000</v>
      </c>
      <c r="AD177" s="18">
        <f t="shared" si="127"/>
        <v>100</v>
      </c>
      <c r="AE177" s="18">
        <f t="shared" si="126"/>
        <v>0</v>
      </c>
      <c r="AF177" s="706">
        <f t="shared" si="145"/>
        <v>33000</v>
      </c>
      <c r="AG177" s="18">
        <f t="shared" si="145"/>
        <v>33000</v>
      </c>
      <c r="AH177" s="18">
        <f t="shared" si="145"/>
        <v>33000</v>
      </c>
      <c r="AI177" s="18">
        <f t="shared" si="145"/>
        <v>33500</v>
      </c>
      <c r="AJ177" s="162" t="b">
        <f t="shared" si="106"/>
        <v>1</v>
      </c>
      <c r="AK177" s="162" t="str">
        <f t="shared" si="107"/>
        <v>PRAZNO</v>
      </c>
      <c r="AM177" s="264"/>
    </row>
    <row r="178" spans="1:39" ht="15.75" x14ac:dyDescent="0.2">
      <c r="B178" s="177"/>
      <c r="C178" s="177"/>
      <c r="D178" s="177"/>
      <c r="E178" s="177">
        <v>3293</v>
      </c>
      <c r="F178" s="176">
        <v>11</v>
      </c>
      <c r="G178" s="177"/>
      <c r="H178" s="16" t="s">
        <v>533</v>
      </c>
      <c r="I178" s="18">
        <v>4000</v>
      </c>
      <c r="J178" s="18">
        <v>721</v>
      </c>
      <c r="K178" s="18">
        <f t="shared" si="136"/>
        <v>18.03</v>
      </c>
      <c r="L178" s="18">
        <f t="shared" si="131"/>
        <v>-27</v>
      </c>
      <c r="M178" s="18">
        <v>3973</v>
      </c>
      <c r="N178" s="18">
        <v>8000</v>
      </c>
      <c r="O178" s="18">
        <v>7304.06</v>
      </c>
      <c r="P178" s="26">
        <f t="shared" si="143"/>
        <v>5000</v>
      </c>
      <c r="Q178" s="18">
        <v>8000</v>
      </c>
      <c r="R178" s="18">
        <v>3000</v>
      </c>
      <c r="S178" s="18">
        <v>3000</v>
      </c>
      <c r="T178" s="27">
        <f>8000+5000</f>
        <v>13000</v>
      </c>
      <c r="U178" s="27">
        <v>12338.72</v>
      </c>
      <c r="V178" s="27">
        <v>8000</v>
      </c>
      <c r="W178" s="27">
        <v>8000</v>
      </c>
      <c r="X178" s="27">
        <v>8000</v>
      </c>
      <c r="Y178" s="27">
        <v>3011.07</v>
      </c>
      <c r="Z178" s="27">
        <f t="shared" si="112"/>
        <v>37.64</v>
      </c>
      <c r="AA178" s="27">
        <f t="shared" si="113"/>
        <v>3000</v>
      </c>
      <c r="AB178" s="27">
        <f>8000+3000</f>
        <v>11000</v>
      </c>
      <c r="AC178" s="27">
        <v>26125</v>
      </c>
      <c r="AD178" s="27">
        <f t="shared" si="127"/>
        <v>237.5</v>
      </c>
      <c r="AE178" s="27">
        <f t="shared" si="126"/>
        <v>15125</v>
      </c>
      <c r="AF178" s="706">
        <v>26125</v>
      </c>
      <c r="AG178" s="27">
        <v>26000</v>
      </c>
      <c r="AH178" s="27">
        <v>26000</v>
      </c>
      <c r="AI178" s="27">
        <v>26500</v>
      </c>
      <c r="AJ178" s="162" t="b">
        <f t="shared" si="106"/>
        <v>0</v>
      </c>
      <c r="AK178" s="162" t="str">
        <f t="shared" si="107"/>
        <v>PUNO</v>
      </c>
      <c r="AM178" s="264"/>
    </row>
    <row r="179" spans="1:39" ht="15.75" x14ac:dyDescent="0.2">
      <c r="B179" s="177"/>
      <c r="C179" s="177"/>
      <c r="D179" s="177"/>
      <c r="E179" s="177">
        <v>3299</v>
      </c>
      <c r="F179" s="176">
        <v>11</v>
      </c>
      <c r="G179" s="176" t="s">
        <v>527</v>
      </c>
      <c r="H179" s="16" t="s">
        <v>531</v>
      </c>
      <c r="I179" s="18">
        <v>3000</v>
      </c>
      <c r="J179" s="18">
        <v>2400</v>
      </c>
      <c r="K179" s="18">
        <f t="shared" si="136"/>
        <v>80</v>
      </c>
      <c r="L179" s="18">
        <f t="shared" si="131"/>
        <v>-600</v>
      </c>
      <c r="M179" s="18">
        <v>2400</v>
      </c>
      <c r="N179" s="18">
        <v>8000</v>
      </c>
      <c r="O179" s="18">
        <v>520</v>
      </c>
      <c r="P179" s="26">
        <f t="shared" si="143"/>
        <v>-5000</v>
      </c>
      <c r="Q179" s="18">
        <v>8000</v>
      </c>
      <c r="R179" s="18">
        <v>4000</v>
      </c>
      <c r="S179" s="18">
        <v>4000</v>
      </c>
      <c r="T179" s="27">
        <f>8000-5000</f>
        <v>3000</v>
      </c>
      <c r="U179" s="27">
        <v>2820</v>
      </c>
      <c r="V179" s="27">
        <v>8000</v>
      </c>
      <c r="W179" s="27">
        <v>8000</v>
      </c>
      <c r="X179" s="27">
        <v>8000</v>
      </c>
      <c r="Y179" s="27">
        <v>1875</v>
      </c>
      <c r="Z179" s="27">
        <f t="shared" si="112"/>
        <v>23.44</v>
      </c>
      <c r="AA179" s="27">
        <f t="shared" si="113"/>
        <v>14000</v>
      </c>
      <c r="AB179" s="27">
        <f>8000+2000+12000</f>
        <v>22000</v>
      </c>
      <c r="AC179" s="27">
        <v>6875</v>
      </c>
      <c r="AD179" s="27">
        <f t="shared" si="127"/>
        <v>31.25</v>
      </c>
      <c r="AE179" s="27">
        <f t="shared" si="126"/>
        <v>-15125</v>
      </c>
      <c r="AF179" s="27">
        <v>6875</v>
      </c>
      <c r="AG179" s="27">
        <v>7000</v>
      </c>
      <c r="AH179" s="27">
        <v>7000</v>
      </c>
      <c r="AI179" s="27">
        <v>7000</v>
      </c>
      <c r="AJ179" s="162" t="b">
        <f t="shared" si="106"/>
        <v>0</v>
      </c>
      <c r="AK179" s="162" t="str">
        <f t="shared" si="107"/>
        <v>PUNO</v>
      </c>
      <c r="AM179" s="264"/>
    </row>
    <row r="180" spans="1:39" s="264" customFormat="1" ht="15.75" x14ac:dyDescent="0.2">
      <c r="A180" s="259"/>
      <c r="B180" s="159"/>
      <c r="C180" s="159"/>
      <c r="D180" s="159"/>
      <c r="E180" s="159"/>
      <c r="F180" s="159"/>
      <c r="G180" s="159"/>
      <c r="H180" s="11" t="s">
        <v>572</v>
      </c>
      <c r="I180" s="161">
        <f t="shared" ref="I180:Y180" si="146">I182+I212+I220+I228</f>
        <v>248300</v>
      </c>
      <c r="J180" s="161">
        <f t="shared" si="146"/>
        <v>187335.9</v>
      </c>
      <c r="K180" s="161" t="e">
        <f t="shared" si="146"/>
        <v>#DIV/0!</v>
      </c>
      <c r="L180" s="161">
        <f t="shared" si="131"/>
        <v>12450</v>
      </c>
      <c r="M180" s="160">
        <f t="shared" si="146"/>
        <v>260750</v>
      </c>
      <c r="N180" s="160">
        <f>N182+N212+N220+N228</f>
        <v>283500</v>
      </c>
      <c r="O180" s="160">
        <f>O182+O212+O220+O228</f>
        <v>164417.13999999998</v>
      </c>
      <c r="P180" s="351">
        <f t="shared" si="143"/>
        <v>0</v>
      </c>
      <c r="Q180" s="160">
        <f>Q182+Q212+Q220+Q228</f>
        <v>283500</v>
      </c>
      <c r="R180" s="160">
        <f t="shared" si="146"/>
        <v>287400</v>
      </c>
      <c r="S180" s="160">
        <f t="shared" si="146"/>
        <v>291100</v>
      </c>
      <c r="T180" s="191">
        <f t="shared" si="146"/>
        <v>283500</v>
      </c>
      <c r="U180" s="191">
        <f t="shared" si="146"/>
        <v>283500</v>
      </c>
      <c r="V180" s="160">
        <f t="shared" si="146"/>
        <v>283500</v>
      </c>
      <c r="W180" s="160">
        <f t="shared" si="146"/>
        <v>283500</v>
      </c>
      <c r="X180" s="160">
        <f t="shared" si="146"/>
        <v>293200</v>
      </c>
      <c r="Y180" s="160">
        <f t="shared" si="146"/>
        <v>88580</v>
      </c>
      <c r="Z180" s="160">
        <f t="shared" si="112"/>
        <v>31.25</v>
      </c>
      <c r="AA180" s="160">
        <f t="shared" si="113"/>
        <v>0</v>
      </c>
      <c r="AB180" s="160">
        <f t="shared" ref="AB180:AG180" si="147">AB182+AB212+AB220+AB228</f>
        <v>283500</v>
      </c>
      <c r="AC180" s="160">
        <f t="shared" si="147"/>
        <v>212863.52</v>
      </c>
      <c r="AD180" s="160">
        <f t="shared" si="127"/>
        <v>75.084134038800698</v>
      </c>
      <c r="AE180" s="160">
        <f t="shared" si="126"/>
        <v>0</v>
      </c>
      <c r="AF180" s="160">
        <f t="shared" si="147"/>
        <v>283500</v>
      </c>
      <c r="AG180" s="160">
        <f t="shared" si="147"/>
        <v>292500</v>
      </c>
      <c r="AH180" s="160">
        <f>AH182+AH212+AH220+AH228</f>
        <v>292500</v>
      </c>
      <c r="AI180" s="160">
        <f>AI182+AI212+AI220+AI228</f>
        <v>292500</v>
      </c>
      <c r="AJ180" s="162" t="b">
        <f t="shared" si="106"/>
        <v>1</v>
      </c>
      <c r="AK180" s="162" t="str">
        <f t="shared" si="107"/>
        <v>PRAZNO</v>
      </c>
      <c r="AL180" s="263"/>
    </row>
    <row r="181" spans="1:39" s="264" customFormat="1" ht="15.75" x14ac:dyDescent="0.2">
      <c r="A181" s="259"/>
      <c r="B181" s="159"/>
      <c r="C181" s="159"/>
      <c r="D181" s="159"/>
      <c r="E181" s="159"/>
      <c r="F181" s="159"/>
      <c r="G181" s="159"/>
      <c r="H181" s="11" t="s">
        <v>573</v>
      </c>
      <c r="I181" s="161"/>
      <c r="J181" s="161"/>
      <c r="K181" s="161"/>
      <c r="L181" s="161"/>
      <c r="M181" s="160"/>
      <c r="N181" s="160"/>
      <c r="O181" s="160"/>
      <c r="P181" s="352"/>
      <c r="Q181" s="160"/>
      <c r="R181" s="160"/>
      <c r="S181" s="160"/>
      <c r="T181" s="191"/>
      <c r="U181" s="191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2" t="b">
        <f t="shared" si="106"/>
        <v>1</v>
      </c>
      <c r="AK181" s="162" t="str">
        <f t="shared" si="107"/>
        <v>PRAZNO</v>
      </c>
      <c r="AL181" s="263"/>
    </row>
    <row r="182" spans="1:39" s="264" customFormat="1" ht="15.75" x14ac:dyDescent="0.2">
      <c r="A182" s="259"/>
      <c r="B182" s="270"/>
      <c r="C182" s="270"/>
      <c r="D182" s="270"/>
      <c r="E182" s="270"/>
      <c r="F182" s="270"/>
      <c r="G182" s="270"/>
      <c r="H182" s="271" t="s">
        <v>195</v>
      </c>
      <c r="I182" s="273">
        <f>I184</f>
        <v>178500</v>
      </c>
      <c r="J182" s="273">
        <f>J184</f>
        <v>133950.06</v>
      </c>
      <c r="K182" s="273">
        <f t="shared" si="136"/>
        <v>75.040000000000006</v>
      </c>
      <c r="L182" s="273">
        <f t="shared" si="131"/>
        <v>0</v>
      </c>
      <c r="M182" s="272">
        <f>M184</f>
        <v>178500</v>
      </c>
      <c r="N182" s="272">
        <f>N184</f>
        <v>178500</v>
      </c>
      <c r="O182" s="272">
        <f>O184</f>
        <v>89363.87999999999</v>
      </c>
      <c r="P182" s="336">
        <f t="shared" si="143"/>
        <v>0</v>
      </c>
      <c r="Q182" s="272">
        <f t="shared" ref="Q182:X182" si="148">Q184</f>
        <v>178500</v>
      </c>
      <c r="R182" s="272">
        <f t="shared" si="148"/>
        <v>180000</v>
      </c>
      <c r="S182" s="272">
        <f t="shared" si="148"/>
        <v>181000</v>
      </c>
      <c r="T182" s="275">
        <f t="shared" si="148"/>
        <v>178500</v>
      </c>
      <c r="U182" s="275">
        <f>U184</f>
        <v>178500</v>
      </c>
      <c r="V182" s="272">
        <f t="shared" si="148"/>
        <v>178500</v>
      </c>
      <c r="W182" s="272">
        <f t="shared" si="148"/>
        <v>178500</v>
      </c>
      <c r="X182" s="272">
        <f t="shared" si="148"/>
        <v>184600</v>
      </c>
      <c r="Y182" s="272">
        <f>Y184</f>
        <v>44829.999999999993</v>
      </c>
      <c r="Z182" s="272">
        <f t="shared" si="112"/>
        <v>25.11</v>
      </c>
      <c r="AA182" s="272">
        <f t="shared" si="113"/>
        <v>0</v>
      </c>
      <c r="AB182" s="272">
        <f t="shared" ref="AB182:AG182" si="149">AB184</f>
        <v>178500</v>
      </c>
      <c r="AC182" s="272">
        <f t="shared" si="149"/>
        <v>134113.51999999999</v>
      </c>
      <c r="AD182" s="272">
        <f t="shared" si="127"/>
        <v>75.133624649859939</v>
      </c>
      <c r="AE182" s="272">
        <f t="shared" si="126"/>
        <v>0</v>
      </c>
      <c r="AF182" s="272">
        <f t="shared" si="149"/>
        <v>178500</v>
      </c>
      <c r="AG182" s="272">
        <f t="shared" si="149"/>
        <v>178500</v>
      </c>
      <c r="AH182" s="272">
        <f>AH184</f>
        <v>178500</v>
      </c>
      <c r="AI182" s="272">
        <f>AI184</f>
        <v>178500</v>
      </c>
      <c r="AJ182" s="162" t="b">
        <f t="shared" si="106"/>
        <v>1</v>
      </c>
      <c r="AK182" s="162" t="str">
        <f t="shared" si="107"/>
        <v>PRAZNO</v>
      </c>
      <c r="AL182" s="263"/>
    </row>
    <row r="183" spans="1:39" s="264" customFormat="1" ht="15.75" x14ac:dyDescent="0.2">
      <c r="A183" s="259"/>
      <c r="B183" s="168"/>
      <c r="C183" s="168"/>
      <c r="D183" s="168"/>
      <c r="E183" s="168"/>
      <c r="F183" s="168"/>
      <c r="G183" s="168"/>
      <c r="H183" s="13" t="s">
        <v>46</v>
      </c>
      <c r="I183" s="169"/>
      <c r="J183" s="169"/>
      <c r="K183" s="169"/>
      <c r="L183" s="169"/>
      <c r="M183" s="19"/>
      <c r="N183" s="19"/>
      <c r="O183" s="19"/>
      <c r="P183" s="205"/>
      <c r="Q183" s="19"/>
      <c r="R183" s="19"/>
      <c r="S183" s="19"/>
      <c r="T183" s="53"/>
      <c r="U183" s="53"/>
      <c r="V183" s="19"/>
      <c r="W183" s="19"/>
      <c r="X183" s="19"/>
      <c r="Y183" s="19"/>
      <c r="Z183" s="19"/>
      <c r="AA183" s="19"/>
      <c r="AB183" s="19"/>
      <c r="AC183" s="19"/>
      <c r="AD183" s="19"/>
      <c r="AE183" s="19"/>
      <c r="AF183" s="19"/>
      <c r="AG183" s="19"/>
      <c r="AH183" s="19"/>
      <c r="AI183" s="19"/>
      <c r="AJ183" s="162" t="b">
        <f t="shared" si="106"/>
        <v>1</v>
      </c>
      <c r="AK183" s="162" t="str">
        <f t="shared" si="107"/>
        <v>PRAZNO</v>
      </c>
      <c r="AL183" s="263"/>
    </row>
    <row r="184" spans="1:39" s="264" customFormat="1" ht="31.5" x14ac:dyDescent="0.2">
      <c r="A184" s="259"/>
      <c r="B184" s="168"/>
      <c r="C184" s="168"/>
      <c r="D184" s="168"/>
      <c r="E184" s="168"/>
      <c r="F184" s="168"/>
      <c r="G184" s="168"/>
      <c r="H184" s="13" t="s">
        <v>196</v>
      </c>
      <c r="I184" s="169">
        <f t="shared" ref="I184:X184" si="150">I186</f>
        <v>178500</v>
      </c>
      <c r="J184" s="169">
        <f t="shared" si="150"/>
        <v>133950.06</v>
      </c>
      <c r="K184" s="169">
        <f t="shared" si="136"/>
        <v>75.040000000000006</v>
      </c>
      <c r="L184" s="169">
        <f t="shared" si="131"/>
        <v>0</v>
      </c>
      <c r="M184" s="19">
        <f t="shared" si="150"/>
        <v>178500</v>
      </c>
      <c r="N184" s="19">
        <f t="shared" si="150"/>
        <v>178500</v>
      </c>
      <c r="O184" s="19">
        <f t="shared" si="150"/>
        <v>89363.87999999999</v>
      </c>
      <c r="P184" s="303">
        <f t="shared" si="143"/>
        <v>0</v>
      </c>
      <c r="Q184" s="19">
        <f t="shared" si="150"/>
        <v>178500</v>
      </c>
      <c r="R184" s="19">
        <f t="shared" si="150"/>
        <v>180000</v>
      </c>
      <c r="S184" s="19">
        <f t="shared" si="150"/>
        <v>181000</v>
      </c>
      <c r="T184" s="53">
        <f t="shared" si="150"/>
        <v>178500</v>
      </c>
      <c r="U184" s="53">
        <f>U186</f>
        <v>178500</v>
      </c>
      <c r="V184" s="19">
        <f t="shared" si="150"/>
        <v>178500</v>
      </c>
      <c r="W184" s="19">
        <f t="shared" si="150"/>
        <v>178500</v>
      </c>
      <c r="X184" s="19">
        <f t="shared" si="150"/>
        <v>184600</v>
      </c>
      <c r="Y184" s="19">
        <f>Y186</f>
        <v>44829.999999999993</v>
      </c>
      <c r="Z184" s="19">
        <f t="shared" si="112"/>
        <v>25.11</v>
      </c>
      <c r="AA184" s="19">
        <f t="shared" si="113"/>
        <v>0</v>
      </c>
      <c r="AB184" s="19">
        <f t="shared" ref="AB184:AG184" si="151">AB186</f>
        <v>178500</v>
      </c>
      <c r="AC184" s="19">
        <f t="shared" si="151"/>
        <v>134113.51999999999</v>
      </c>
      <c r="AD184" s="19">
        <f t="shared" si="127"/>
        <v>75.133624649859939</v>
      </c>
      <c r="AE184" s="19">
        <f t="shared" si="126"/>
        <v>0</v>
      </c>
      <c r="AF184" s="19">
        <f t="shared" si="151"/>
        <v>178500</v>
      </c>
      <c r="AG184" s="19">
        <f t="shared" si="151"/>
        <v>178500</v>
      </c>
      <c r="AH184" s="19">
        <f>AH186</f>
        <v>178500</v>
      </c>
      <c r="AI184" s="19">
        <f>AI186</f>
        <v>178500</v>
      </c>
      <c r="AJ184" s="162" t="b">
        <f t="shared" si="106"/>
        <v>1</v>
      </c>
      <c r="AK184" s="162" t="str">
        <f t="shared" si="107"/>
        <v>PRAZNO</v>
      </c>
      <c r="AL184" s="263"/>
    </row>
    <row r="185" spans="1:39" s="264" customFormat="1" ht="15.75" x14ac:dyDescent="0.2">
      <c r="A185" s="259"/>
      <c r="B185" s="260"/>
      <c r="C185" s="260"/>
      <c r="D185" s="260"/>
      <c r="E185" s="260"/>
      <c r="F185" s="260"/>
      <c r="G185" s="260"/>
      <c r="H185" s="440" t="s">
        <v>824</v>
      </c>
      <c r="I185" s="181"/>
      <c r="J185" s="181"/>
      <c r="K185" s="181"/>
      <c r="L185" s="181"/>
      <c r="M185" s="262"/>
      <c r="N185" s="262"/>
      <c r="O185" s="262"/>
      <c r="P185" s="445"/>
      <c r="Q185" s="262"/>
      <c r="R185" s="262"/>
      <c r="S185" s="262"/>
      <c r="T185" s="342"/>
      <c r="U185" s="342"/>
      <c r="V185" s="262">
        <f>V186</f>
        <v>178500</v>
      </c>
      <c r="W185" s="262">
        <f>W186</f>
        <v>178500</v>
      </c>
      <c r="X185" s="262">
        <f>X186</f>
        <v>184600</v>
      </c>
      <c r="Y185" s="262">
        <f>Y186</f>
        <v>44829.999999999993</v>
      </c>
      <c r="Z185" s="262">
        <f t="shared" si="112"/>
        <v>25.11</v>
      </c>
      <c r="AA185" s="262">
        <f t="shared" si="113"/>
        <v>0</v>
      </c>
      <c r="AB185" s="262">
        <f t="shared" ref="AB185:AI185" si="152">AB186</f>
        <v>178500</v>
      </c>
      <c r="AC185" s="262">
        <f t="shared" si="152"/>
        <v>134113.51999999999</v>
      </c>
      <c r="AD185" s="262">
        <f t="shared" si="127"/>
        <v>75.133624649859939</v>
      </c>
      <c r="AE185" s="262">
        <f t="shared" si="126"/>
        <v>0</v>
      </c>
      <c r="AF185" s="262">
        <f t="shared" si="152"/>
        <v>178500</v>
      </c>
      <c r="AG185" s="262">
        <f t="shared" si="152"/>
        <v>178500</v>
      </c>
      <c r="AH185" s="262">
        <f t="shared" si="152"/>
        <v>178500</v>
      </c>
      <c r="AI185" s="262">
        <f t="shared" si="152"/>
        <v>178500</v>
      </c>
      <c r="AJ185" s="162" t="b">
        <f t="shared" si="106"/>
        <v>1</v>
      </c>
      <c r="AK185" s="162" t="str">
        <f t="shared" si="107"/>
        <v>PRAZNO</v>
      </c>
      <c r="AL185" s="263"/>
    </row>
    <row r="186" spans="1:39" s="264" customFormat="1" ht="15.75" x14ac:dyDescent="0.2">
      <c r="A186" s="259"/>
      <c r="B186" s="172">
        <v>3</v>
      </c>
      <c r="C186" s="172"/>
      <c r="D186" s="172"/>
      <c r="E186" s="172"/>
      <c r="F186" s="172"/>
      <c r="G186" s="172"/>
      <c r="H186" s="14" t="s">
        <v>524</v>
      </c>
      <c r="I186" s="20">
        <f>I187+I195+I209</f>
        <v>178500</v>
      </c>
      <c r="J186" s="20">
        <f>J187+J195+J209</f>
        <v>133950.06</v>
      </c>
      <c r="K186" s="20">
        <f t="shared" si="136"/>
        <v>75.040000000000006</v>
      </c>
      <c r="L186" s="20">
        <f t="shared" si="131"/>
        <v>0</v>
      </c>
      <c r="M186" s="20">
        <f>M187+M195+M209</f>
        <v>178500</v>
      </c>
      <c r="N186" s="20">
        <f>N187+N195+N209</f>
        <v>178500</v>
      </c>
      <c r="O186" s="20">
        <f>O187+O195+O209</f>
        <v>89363.87999999999</v>
      </c>
      <c r="P186" s="55">
        <f t="shared" si="143"/>
        <v>0</v>
      </c>
      <c r="Q186" s="20">
        <f t="shared" ref="Q186:X186" si="153">Q187+Q195+Q209</f>
        <v>178500</v>
      </c>
      <c r="R186" s="20">
        <f t="shared" si="153"/>
        <v>180000</v>
      </c>
      <c r="S186" s="20">
        <f t="shared" si="153"/>
        <v>181000</v>
      </c>
      <c r="T186" s="55">
        <f t="shared" si="153"/>
        <v>178500</v>
      </c>
      <c r="U186" s="55">
        <f>U187+U195+U209</f>
        <v>178500</v>
      </c>
      <c r="V186" s="20">
        <f t="shared" si="153"/>
        <v>178500</v>
      </c>
      <c r="W186" s="20">
        <f t="shared" si="153"/>
        <v>178500</v>
      </c>
      <c r="X186" s="20">
        <f t="shared" si="153"/>
        <v>184600</v>
      </c>
      <c r="Y186" s="20">
        <f>Y187+Y195+Y209</f>
        <v>44829.999999999993</v>
      </c>
      <c r="Z186" s="20">
        <f t="shared" si="112"/>
        <v>25.11</v>
      </c>
      <c r="AA186" s="20">
        <f t="shared" si="113"/>
        <v>0</v>
      </c>
      <c r="AB186" s="20">
        <f t="shared" ref="AB186:AG186" si="154">AB187+AB195+AB209</f>
        <v>178500</v>
      </c>
      <c r="AC186" s="20">
        <f t="shared" si="154"/>
        <v>134113.51999999999</v>
      </c>
      <c r="AD186" s="20">
        <f t="shared" si="127"/>
        <v>75.133624649859939</v>
      </c>
      <c r="AE186" s="20">
        <f t="shared" si="126"/>
        <v>0</v>
      </c>
      <c r="AF186" s="20">
        <f t="shared" si="154"/>
        <v>178500</v>
      </c>
      <c r="AG186" s="20">
        <f t="shared" si="154"/>
        <v>178500</v>
      </c>
      <c r="AH186" s="20">
        <f>AH187+AH195+AH209</f>
        <v>178500</v>
      </c>
      <c r="AI186" s="20">
        <f>AI187+AI195+AI209</f>
        <v>178500</v>
      </c>
      <c r="AJ186" s="162" t="b">
        <f t="shared" si="106"/>
        <v>1</v>
      </c>
      <c r="AK186" s="162" t="str">
        <f t="shared" si="107"/>
        <v>PRAZNO</v>
      </c>
      <c r="AL186" s="263"/>
    </row>
    <row r="187" spans="1:39" ht="15.75" x14ac:dyDescent="0.2">
      <c r="B187" s="177"/>
      <c r="C187" s="177">
        <v>31</v>
      </c>
      <c r="D187" s="177"/>
      <c r="E187" s="177"/>
      <c r="F187" s="177"/>
      <c r="G187" s="177"/>
      <c r="H187" s="16" t="s">
        <v>197</v>
      </c>
      <c r="I187" s="17">
        <f>I188+I192+I190</f>
        <v>42070</v>
      </c>
      <c r="J187" s="17">
        <f>J188+J192+J190</f>
        <v>30337.78</v>
      </c>
      <c r="K187" s="17">
        <f t="shared" si="136"/>
        <v>72.11</v>
      </c>
      <c r="L187" s="17">
        <f t="shared" si="131"/>
        <v>247.0399999999936</v>
      </c>
      <c r="M187" s="17">
        <f>M188+M192+M190</f>
        <v>42317.039999999994</v>
      </c>
      <c r="N187" s="17">
        <f>N188+N192+N190</f>
        <v>42070</v>
      </c>
      <c r="O187" s="17">
        <f>O188+O192+O190</f>
        <v>20301.75</v>
      </c>
      <c r="P187" s="26">
        <f t="shared" si="143"/>
        <v>0</v>
      </c>
      <c r="Q187" s="17">
        <f t="shared" ref="Q187:X187" si="155">Q188+Q192+Q190</f>
        <v>42070</v>
      </c>
      <c r="R187" s="17">
        <f t="shared" si="155"/>
        <v>42070</v>
      </c>
      <c r="S187" s="17">
        <f t="shared" si="155"/>
        <v>42070</v>
      </c>
      <c r="T187" s="26">
        <f t="shared" si="155"/>
        <v>42070</v>
      </c>
      <c r="U187" s="26">
        <f>U188+U192+U190</f>
        <v>41570.689999999995</v>
      </c>
      <c r="V187" s="17">
        <f t="shared" si="155"/>
        <v>45254</v>
      </c>
      <c r="W187" s="17">
        <f t="shared" si="155"/>
        <v>45254</v>
      </c>
      <c r="X187" s="17">
        <f t="shared" si="155"/>
        <v>45254</v>
      </c>
      <c r="Y187" s="17">
        <f>Y188+Y192+Y190</f>
        <v>9808.9499999999989</v>
      </c>
      <c r="Z187" s="17">
        <f t="shared" si="112"/>
        <v>21.68</v>
      </c>
      <c r="AA187" s="17">
        <f t="shared" si="113"/>
        <v>0</v>
      </c>
      <c r="AB187" s="17">
        <f t="shared" ref="AB187:AG187" si="156">AB188+AB192+AB190</f>
        <v>45254</v>
      </c>
      <c r="AC187" s="17">
        <f t="shared" si="156"/>
        <v>30741.75</v>
      </c>
      <c r="AD187" s="17">
        <f t="shared" si="127"/>
        <v>67.931564060635523</v>
      </c>
      <c r="AE187" s="17">
        <f t="shared" si="126"/>
        <v>0</v>
      </c>
      <c r="AF187" s="17">
        <f t="shared" si="156"/>
        <v>45254</v>
      </c>
      <c r="AG187" s="17">
        <f t="shared" si="156"/>
        <v>45254</v>
      </c>
      <c r="AH187" s="17">
        <f>AH188+AH192+AH190</f>
        <v>45254</v>
      </c>
      <c r="AI187" s="17">
        <f>AI188+AI192+AI190</f>
        <v>45254</v>
      </c>
      <c r="AJ187" s="162" t="b">
        <f t="shared" si="106"/>
        <v>1</v>
      </c>
      <c r="AK187" s="162" t="str">
        <f t="shared" si="107"/>
        <v>PRAZNO</v>
      </c>
      <c r="AM187" s="264"/>
    </row>
    <row r="188" spans="1:39" ht="15.75" x14ac:dyDescent="0.2">
      <c r="B188" s="177"/>
      <c r="C188" s="177"/>
      <c r="D188" s="177">
        <v>311</v>
      </c>
      <c r="E188" s="177"/>
      <c r="F188" s="177"/>
      <c r="G188" s="177"/>
      <c r="H188" s="16" t="s">
        <v>915</v>
      </c>
      <c r="I188" s="17">
        <f>I189</f>
        <v>33700</v>
      </c>
      <c r="J188" s="17">
        <f>J189</f>
        <v>25544.16</v>
      </c>
      <c r="K188" s="17">
        <f t="shared" si="136"/>
        <v>75.8</v>
      </c>
      <c r="L188" s="17">
        <f t="shared" si="131"/>
        <v>358.87999999999738</v>
      </c>
      <c r="M188" s="17">
        <f>M189</f>
        <v>34058.879999999997</v>
      </c>
      <c r="N188" s="17">
        <f>N189</f>
        <v>33700</v>
      </c>
      <c r="O188" s="17">
        <f>O189</f>
        <v>17029.439999999999</v>
      </c>
      <c r="P188" s="26">
        <f t="shared" si="143"/>
        <v>0</v>
      </c>
      <c r="Q188" s="17">
        <f t="shared" ref="Q188:AI188" si="157">Q189</f>
        <v>33700</v>
      </c>
      <c r="R188" s="17">
        <f t="shared" si="157"/>
        <v>33700</v>
      </c>
      <c r="S188" s="17">
        <f t="shared" si="157"/>
        <v>33700</v>
      </c>
      <c r="T188" s="26">
        <f t="shared" si="157"/>
        <v>33700</v>
      </c>
      <c r="U188" s="26">
        <f t="shared" si="157"/>
        <v>33607.74</v>
      </c>
      <c r="V188" s="17">
        <f t="shared" si="157"/>
        <v>37200</v>
      </c>
      <c r="W188" s="17">
        <f t="shared" si="157"/>
        <v>37200</v>
      </c>
      <c r="X188" s="17">
        <f t="shared" si="157"/>
        <v>37200</v>
      </c>
      <c r="Y188" s="17">
        <f t="shared" si="157"/>
        <v>8514.7199999999993</v>
      </c>
      <c r="Z188" s="17">
        <f t="shared" si="112"/>
        <v>22.89</v>
      </c>
      <c r="AA188" s="17">
        <f t="shared" si="113"/>
        <v>0</v>
      </c>
      <c r="AB188" s="17">
        <f t="shared" si="157"/>
        <v>37200</v>
      </c>
      <c r="AC188" s="17">
        <f t="shared" si="157"/>
        <v>25840.03</v>
      </c>
      <c r="AD188" s="17">
        <f t="shared" si="127"/>
        <v>69.462446236559146</v>
      </c>
      <c r="AE188" s="17">
        <f t="shared" si="126"/>
        <v>0</v>
      </c>
      <c r="AF188" s="17">
        <f t="shared" si="157"/>
        <v>37200</v>
      </c>
      <c r="AG188" s="17">
        <f t="shared" si="157"/>
        <v>37200</v>
      </c>
      <c r="AH188" s="17">
        <f t="shared" si="157"/>
        <v>37200</v>
      </c>
      <c r="AI188" s="17">
        <f t="shared" si="157"/>
        <v>37200</v>
      </c>
      <c r="AJ188" s="162" t="b">
        <f t="shared" si="106"/>
        <v>1</v>
      </c>
      <c r="AK188" s="162" t="str">
        <f t="shared" si="107"/>
        <v>PRAZNO</v>
      </c>
      <c r="AM188" s="264"/>
    </row>
    <row r="189" spans="1:39" ht="15.75" x14ac:dyDescent="0.2">
      <c r="B189" s="177"/>
      <c r="C189" s="177"/>
      <c r="D189" s="177"/>
      <c r="E189" s="177">
        <v>3111</v>
      </c>
      <c r="F189" s="176">
        <v>11</v>
      </c>
      <c r="G189" s="176" t="s">
        <v>527</v>
      </c>
      <c r="H189" s="16" t="s">
        <v>199</v>
      </c>
      <c r="I189" s="17">
        <v>33700</v>
      </c>
      <c r="J189" s="181">
        <v>25544.16</v>
      </c>
      <c r="K189" s="181">
        <f t="shared" si="136"/>
        <v>75.8</v>
      </c>
      <c r="L189" s="181">
        <f t="shared" si="131"/>
        <v>358.87999999999738</v>
      </c>
      <c r="M189" s="181">
        <v>34058.879999999997</v>
      </c>
      <c r="N189" s="181">
        <v>33700</v>
      </c>
      <c r="O189" s="181">
        <v>17029.439999999999</v>
      </c>
      <c r="P189" s="26">
        <f t="shared" si="143"/>
        <v>0</v>
      </c>
      <c r="Q189" s="181">
        <v>33700</v>
      </c>
      <c r="R189" s="181">
        <v>33700</v>
      </c>
      <c r="S189" s="181">
        <v>33700</v>
      </c>
      <c r="T189" s="307">
        <v>33700</v>
      </c>
      <c r="U189" s="307">
        <v>33607.74</v>
      </c>
      <c r="V189" s="307">
        <v>37200</v>
      </c>
      <c r="W189" s="307">
        <v>37200</v>
      </c>
      <c r="X189" s="307">
        <v>37200</v>
      </c>
      <c r="Y189" s="307">
        <v>8514.7199999999993</v>
      </c>
      <c r="Z189" s="307">
        <f t="shared" si="112"/>
        <v>22.89</v>
      </c>
      <c r="AA189" s="307">
        <f t="shared" si="113"/>
        <v>0</v>
      </c>
      <c r="AB189" s="307">
        <v>37200</v>
      </c>
      <c r="AC189" s="307">
        <v>25840.03</v>
      </c>
      <c r="AD189" s="307">
        <f t="shared" si="127"/>
        <v>69.462446236559146</v>
      </c>
      <c r="AE189" s="307">
        <f t="shared" si="126"/>
        <v>0</v>
      </c>
      <c r="AF189" s="307">
        <v>37200</v>
      </c>
      <c r="AG189" s="307">
        <v>37200</v>
      </c>
      <c r="AH189" s="307">
        <v>37200</v>
      </c>
      <c r="AI189" s="307">
        <v>37200</v>
      </c>
      <c r="AJ189" s="162" t="b">
        <f t="shared" si="106"/>
        <v>0</v>
      </c>
      <c r="AK189" s="162" t="str">
        <f t="shared" si="107"/>
        <v>PUNO</v>
      </c>
      <c r="AM189" s="264"/>
    </row>
    <row r="190" spans="1:39" ht="15.75" x14ac:dyDescent="0.2">
      <c r="B190" s="177"/>
      <c r="C190" s="177"/>
      <c r="D190" s="177">
        <v>312</v>
      </c>
      <c r="E190" s="177"/>
      <c r="F190" s="177"/>
      <c r="G190" s="177"/>
      <c r="H190" s="16" t="s">
        <v>200</v>
      </c>
      <c r="I190" s="17">
        <f>I191</f>
        <v>2400</v>
      </c>
      <c r="J190" s="17">
        <f>J191</f>
        <v>400</v>
      </c>
      <c r="K190" s="17">
        <f t="shared" si="136"/>
        <v>16.670000000000002</v>
      </c>
      <c r="L190" s="17">
        <f t="shared" si="131"/>
        <v>0</v>
      </c>
      <c r="M190" s="17">
        <f>M191</f>
        <v>2400</v>
      </c>
      <c r="N190" s="17">
        <f>N191</f>
        <v>2400</v>
      </c>
      <c r="O190" s="17">
        <f>O191</f>
        <v>400</v>
      </c>
      <c r="P190" s="26">
        <f t="shared" si="143"/>
        <v>0</v>
      </c>
      <c r="Q190" s="17">
        <f t="shared" ref="Q190:AI190" si="158">Q191</f>
        <v>2400</v>
      </c>
      <c r="R190" s="17">
        <f t="shared" si="158"/>
        <v>2400</v>
      </c>
      <c r="S190" s="17">
        <f t="shared" si="158"/>
        <v>2400</v>
      </c>
      <c r="T190" s="26">
        <f t="shared" si="158"/>
        <v>2400</v>
      </c>
      <c r="U190" s="26">
        <f t="shared" si="158"/>
        <v>2400</v>
      </c>
      <c r="V190" s="17">
        <f t="shared" si="158"/>
        <v>2400</v>
      </c>
      <c r="W190" s="17">
        <f t="shared" si="158"/>
        <v>2400</v>
      </c>
      <c r="X190" s="17">
        <f t="shared" si="158"/>
        <v>2400</v>
      </c>
      <c r="Y190" s="17">
        <f t="shared" si="158"/>
        <v>0</v>
      </c>
      <c r="Z190" s="17">
        <f t="shared" si="112"/>
        <v>0</v>
      </c>
      <c r="AA190" s="17">
        <f t="shared" si="113"/>
        <v>0</v>
      </c>
      <c r="AB190" s="17">
        <f t="shared" si="158"/>
        <v>2400</v>
      </c>
      <c r="AC190" s="17">
        <f t="shared" si="158"/>
        <v>800</v>
      </c>
      <c r="AD190" s="17">
        <f t="shared" si="127"/>
        <v>33.333333333333329</v>
      </c>
      <c r="AE190" s="17">
        <f t="shared" si="126"/>
        <v>0</v>
      </c>
      <c r="AF190" s="17">
        <f t="shared" si="158"/>
        <v>2400</v>
      </c>
      <c r="AG190" s="17">
        <f t="shared" si="158"/>
        <v>2400</v>
      </c>
      <c r="AH190" s="17">
        <f t="shared" si="158"/>
        <v>2400</v>
      </c>
      <c r="AI190" s="17">
        <f t="shared" si="158"/>
        <v>2400</v>
      </c>
      <c r="AJ190" s="162" t="b">
        <f t="shared" si="106"/>
        <v>1</v>
      </c>
      <c r="AK190" s="162" t="str">
        <f t="shared" si="107"/>
        <v>PRAZNO</v>
      </c>
      <c r="AM190" s="264"/>
    </row>
    <row r="191" spans="1:39" ht="15.75" x14ac:dyDescent="0.2">
      <c r="B191" s="177"/>
      <c r="C191" s="177"/>
      <c r="D191" s="177"/>
      <c r="E191" s="177">
        <v>3121</v>
      </c>
      <c r="F191" s="176">
        <v>11</v>
      </c>
      <c r="G191" s="176" t="s">
        <v>527</v>
      </c>
      <c r="H191" s="16" t="s">
        <v>200</v>
      </c>
      <c r="I191" s="17">
        <v>2400</v>
      </c>
      <c r="J191" s="17">
        <v>400</v>
      </c>
      <c r="K191" s="17">
        <f t="shared" si="136"/>
        <v>16.670000000000002</v>
      </c>
      <c r="L191" s="17">
        <f t="shared" si="131"/>
        <v>0</v>
      </c>
      <c r="M191" s="17">
        <v>2400</v>
      </c>
      <c r="N191" s="17">
        <v>2400</v>
      </c>
      <c r="O191" s="17">
        <v>400</v>
      </c>
      <c r="P191" s="26">
        <f t="shared" si="143"/>
        <v>0</v>
      </c>
      <c r="Q191" s="17">
        <v>2400</v>
      </c>
      <c r="R191" s="17">
        <v>2400</v>
      </c>
      <c r="S191" s="17">
        <v>2400</v>
      </c>
      <c r="T191" s="26">
        <v>2400</v>
      </c>
      <c r="U191" s="26">
        <v>2400</v>
      </c>
      <c r="V191" s="26">
        <v>2400</v>
      </c>
      <c r="W191" s="26">
        <v>2400</v>
      </c>
      <c r="X191" s="17">
        <v>2400</v>
      </c>
      <c r="Y191" s="26">
        <v>0</v>
      </c>
      <c r="Z191" s="26">
        <f t="shared" si="112"/>
        <v>0</v>
      </c>
      <c r="AA191" s="26">
        <f t="shared" si="113"/>
        <v>0</v>
      </c>
      <c r="AB191" s="26">
        <v>2400</v>
      </c>
      <c r="AC191" s="26">
        <v>800</v>
      </c>
      <c r="AD191" s="26">
        <f t="shared" si="127"/>
        <v>33.333333333333329</v>
      </c>
      <c r="AE191" s="26">
        <f t="shared" si="126"/>
        <v>0</v>
      </c>
      <c r="AF191" s="26">
        <v>2400</v>
      </c>
      <c r="AG191" s="26">
        <v>2400</v>
      </c>
      <c r="AH191" s="26">
        <v>2400</v>
      </c>
      <c r="AI191" s="26">
        <v>2400</v>
      </c>
      <c r="AJ191" s="162" t="b">
        <f t="shared" si="106"/>
        <v>0</v>
      </c>
      <c r="AK191" s="162" t="str">
        <f t="shared" si="107"/>
        <v>PUNO</v>
      </c>
      <c r="AM191" s="264"/>
    </row>
    <row r="192" spans="1:39" ht="15.75" x14ac:dyDescent="0.2">
      <c r="B192" s="177"/>
      <c r="C192" s="177"/>
      <c r="D192" s="177">
        <v>313</v>
      </c>
      <c r="E192" s="177"/>
      <c r="F192" s="177"/>
      <c r="G192" s="177"/>
      <c r="H192" s="16" t="s">
        <v>201</v>
      </c>
      <c r="I192" s="17">
        <f>SUM(I193:I194)</f>
        <v>5970</v>
      </c>
      <c r="J192" s="17">
        <f>SUM(J193:J194)</f>
        <v>4393.62</v>
      </c>
      <c r="K192" s="17">
        <f t="shared" si="136"/>
        <v>73.59</v>
      </c>
      <c r="L192" s="17">
        <f t="shared" si="131"/>
        <v>-111.84000000000015</v>
      </c>
      <c r="M192" s="17">
        <f>SUM(M193:M194)</f>
        <v>5858.16</v>
      </c>
      <c r="N192" s="17">
        <f>SUM(N193:N194)</f>
        <v>5970</v>
      </c>
      <c r="O192" s="17">
        <f>SUM(O193:O194)</f>
        <v>2872.31</v>
      </c>
      <c r="P192" s="26">
        <f t="shared" si="143"/>
        <v>0</v>
      </c>
      <c r="Q192" s="17">
        <f t="shared" ref="Q192:X192" si="159">SUM(Q193:Q194)</f>
        <v>5970</v>
      </c>
      <c r="R192" s="17">
        <f t="shared" si="159"/>
        <v>5970</v>
      </c>
      <c r="S192" s="17">
        <f t="shared" si="159"/>
        <v>5970</v>
      </c>
      <c r="T192" s="26">
        <f t="shared" si="159"/>
        <v>5970</v>
      </c>
      <c r="U192" s="26">
        <f>SUM(U193:U194)</f>
        <v>5562.95</v>
      </c>
      <c r="V192" s="17">
        <f t="shared" si="159"/>
        <v>5654</v>
      </c>
      <c r="W192" s="17">
        <f t="shared" si="159"/>
        <v>5654</v>
      </c>
      <c r="X192" s="17">
        <f t="shared" si="159"/>
        <v>5654</v>
      </c>
      <c r="Y192" s="17">
        <f>SUM(Y193:Y194)</f>
        <v>1294.23</v>
      </c>
      <c r="Z192" s="17">
        <f t="shared" si="112"/>
        <v>22.89</v>
      </c>
      <c r="AA192" s="17">
        <f t="shared" si="113"/>
        <v>0</v>
      </c>
      <c r="AB192" s="17">
        <f t="shared" ref="AB192:AI192" si="160">SUM(AB193:AB194)</f>
        <v>5654</v>
      </c>
      <c r="AC192" s="17">
        <f t="shared" si="160"/>
        <v>4101.72</v>
      </c>
      <c r="AD192" s="17">
        <f t="shared" si="127"/>
        <v>72.545454545454547</v>
      </c>
      <c r="AE192" s="17">
        <f t="shared" si="126"/>
        <v>0</v>
      </c>
      <c r="AF192" s="17">
        <f t="shared" si="160"/>
        <v>5654</v>
      </c>
      <c r="AG192" s="17">
        <f t="shared" si="160"/>
        <v>5654</v>
      </c>
      <c r="AH192" s="17">
        <f t="shared" si="160"/>
        <v>5654</v>
      </c>
      <c r="AI192" s="17">
        <f t="shared" si="160"/>
        <v>5654</v>
      </c>
      <c r="AJ192" s="162" t="b">
        <f t="shared" si="106"/>
        <v>1</v>
      </c>
      <c r="AK192" s="162" t="str">
        <f t="shared" si="107"/>
        <v>PRAZNO</v>
      </c>
      <c r="AM192" s="264"/>
    </row>
    <row r="193" spans="2:39" ht="15.75" x14ac:dyDescent="0.2">
      <c r="B193" s="177"/>
      <c r="C193" s="177"/>
      <c r="D193" s="177"/>
      <c r="E193" s="177">
        <v>3132</v>
      </c>
      <c r="F193" s="176">
        <v>11</v>
      </c>
      <c r="G193" s="176" t="s">
        <v>527</v>
      </c>
      <c r="H193" s="16" t="s">
        <v>202</v>
      </c>
      <c r="I193" s="18">
        <v>5300</v>
      </c>
      <c r="J193" s="178">
        <v>3959.37</v>
      </c>
      <c r="K193" s="178">
        <f t="shared" si="136"/>
        <v>74.709999999999994</v>
      </c>
      <c r="L193" s="178">
        <f t="shared" si="131"/>
        <v>-20.840000000000146</v>
      </c>
      <c r="M193" s="178">
        <v>5279.16</v>
      </c>
      <c r="N193" s="178">
        <v>5300</v>
      </c>
      <c r="O193" s="178">
        <v>2582.81</v>
      </c>
      <c r="P193" s="26">
        <f t="shared" si="143"/>
        <v>0</v>
      </c>
      <c r="Q193" s="178">
        <v>5300</v>
      </c>
      <c r="R193" s="178">
        <v>5300</v>
      </c>
      <c r="S193" s="178">
        <v>5300</v>
      </c>
      <c r="T193" s="266">
        <v>5300</v>
      </c>
      <c r="U193" s="266">
        <v>4983.95</v>
      </c>
      <c r="V193" s="266">
        <v>5022</v>
      </c>
      <c r="W193" s="266">
        <v>5022</v>
      </c>
      <c r="X193" s="266">
        <v>5022</v>
      </c>
      <c r="Y193" s="266">
        <v>1149.48</v>
      </c>
      <c r="Z193" s="266">
        <f t="shared" si="112"/>
        <v>22.89</v>
      </c>
      <c r="AA193" s="266">
        <f t="shared" si="113"/>
        <v>0</v>
      </c>
      <c r="AB193" s="266">
        <v>5022</v>
      </c>
      <c r="AC193" s="266">
        <v>3660</v>
      </c>
      <c r="AD193" s="266">
        <f t="shared" si="127"/>
        <v>72.87933094384708</v>
      </c>
      <c r="AE193" s="266">
        <f t="shared" si="126"/>
        <v>0</v>
      </c>
      <c r="AF193" s="266">
        <v>5022</v>
      </c>
      <c r="AG193" s="266">
        <v>5022</v>
      </c>
      <c r="AH193" s="266">
        <v>5022</v>
      </c>
      <c r="AI193" s="266">
        <v>5022</v>
      </c>
      <c r="AJ193" s="162" t="b">
        <f t="shared" si="106"/>
        <v>0</v>
      </c>
      <c r="AK193" s="162" t="str">
        <f t="shared" si="107"/>
        <v>PUNO</v>
      </c>
      <c r="AM193" s="264"/>
    </row>
    <row r="194" spans="2:39" ht="30" x14ac:dyDescent="0.2">
      <c r="B194" s="177"/>
      <c r="C194" s="177"/>
      <c r="D194" s="177"/>
      <c r="E194" s="177">
        <v>3133</v>
      </c>
      <c r="F194" s="176">
        <v>11</v>
      </c>
      <c r="G194" s="176" t="s">
        <v>527</v>
      </c>
      <c r="H194" s="16" t="s">
        <v>203</v>
      </c>
      <c r="I194" s="18">
        <v>670</v>
      </c>
      <c r="J194" s="178">
        <v>434.25</v>
      </c>
      <c r="K194" s="178">
        <f t="shared" si="136"/>
        <v>64.81</v>
      </c>
      <c r="L194" s="178">
        <f t="shared" si="131"/>
        <v>-91</v>
      </c>
      <c r="M194" s="178">
        <v>579</v>
      </c>
      <c r="N194" s="178">
        <v>670</v>
      </c>
      <c r="O194" s="178">
        <v>289.5</v>
      </c>
      <c r="P194" s="26">
        <f t="shared" si="143"/>
        <v>0</v>
      </c>
      <c r="Q194" s="178">
        <v>670</v>
      </c>
      <c r="R194" s="178">
        <v>670</v>
      </c>
      <c r="S194" s="178">
        <v>670</v>
      </c>
      <c r="T194" s="266">
        <v>670</v>
      </c>
      <c r="U194" s="266">
        <v>579</v>
      </c>
      <c r="V194" s="266">
        <v>632</v>
      </c>
      <c r="W194" s="266">
        <v>632</v>
      </c>
      <c r="X194" s="266">
        <v>632</v>
      </c>
      <c r="Y194" s="266">
        <v>144.75</v>
      </c>
      <c r="Z194" s="266">
        <f t="shared" si="112"/>
        <v>22.9</v>
      </c>
      <c r="AA194" s="266">
        <f t="shared" si="113"/>
        <v>0</v>
      </c>
      <c r="AB194" s="266">
        <v>632</v>
      </c>
      <c r="AC194" s="266">
        <v>441.72</v>
      </c>
      <c r="AD194" s="266">
        <f t="shared" si="127"/>
        <v>69.892405063291136</v>
      </c>
      <c r="AE194" s="266">
        <f t="shared" si="126"/>
        <v>0</v>
      </c>
      <c r="AF194" s="266">
        <v>632</v>
      </c>
      <c r="AG194" s="266">
        <v>632</v>
      </c>
      <c r="AH194" s="266">
        <v>632</v>
      </c>
      <c r="AI194" s="266">
        <v>632</v>
      </c>
      <c r="AJ194" s="162" t="b">
        <f t="shared" si="106"/>
        <v>0</v>
      </c>
      <c r="AK194" s="162" t="str">
        <f t="shared" si="107"/>
        <v>PUNO</v>
      </c>
      <c r="AM194" s="264"/>
    </row>
    <row r="195" spans="2:39" ht="15.75" x14ac:dyDescent="0.2">
      <c r="B195" s="177"/>
      <c r="C195" s="177">
        <v>32</v>
      </c>
      <c r="D195" s="177"/>
      <c r="E195" s="177"/>
      <c r="F195" s="177"/>
      <c r="G195" s="177"/>
      <c r="H195" s="16" t="s">
        <v>525</v>
      </c>
      <c r="I195" s="17">
        <f>I196+I198+I202+I206</f>
        <v>133630</v>
      </c>
      <c r="J195" s="17">
        <f>J196+J198+J202+J206</f>
        <v>102020.59</v>
      </c>
      <c r="K195" s="17">
        <f t="shared" si="136"/>
        <v>76.349999999999994</v>
      </c>
      <c r="L195" s="17">
        <f t="shared" si="131"/>
        <v>-246.10999999998603</v>
      </c>
      <c r="M195" s="17">
        <f>M196+M198+M202+M206</f>
        <v>133383.89000000001</v>
      </c>
      <c r="N195" s="17">
        <f>N196+N198+N202+N206</f>
        <v>133630</v>
      </c>
      <c r="O195" s="17">
        <f>O196+O198+O202+O206</f>
        <v>67889.23</v>
      </c>
      <c r="P195" s="26">
        <f t="shared" si="143"/>
        <v>0</v>
      </c>
      <c r="Q195" s="17">
        <f t="shared" ref="Q195:X195" si="161">Q196+Q198+Q202+Q206</f>
        <v>133630</v>
      </c>
      <c r="R195" s="17">
        <f t="shared" si="161"/>
        <v>134930</v>
      </c>
      <c r="S195" s="17">
        <f t="shared" si="161"/>
        <v>135930</v>
      </c>
      <c r="T195" s="26">
        <f t="shared" si="161"/>
        <v>133630</v>
      </c>
      <c r="U195" s="26">
        <f>U196+U198+U202+U206</f>
        <v>134433.01</v>
      </c>
      <c r="V195" s="17">
        <f t="shared" si="161"/>
        <v>130446</v>
      </c>
      <c r="W195" s="17">
        <f t="shared" si="161"/>
        <v>130446</v>
      </c>
      <c r="X195" s="17">
        <f t="shared" si="161"/>
        <v>136346</v>
      </c>
      <c r="Y195" s="17">
        <f>Y196+Y198+Y202+Y206</f>
        <v>34508.35</v>
      </c>
      <c r="Z195" s="17">
        <f t="shared" si="112"/>
        <v>26.45</v>
      </c>
      <c r="AA195" s="17">
        <f t="shared" si="113"/>
        <v>0</v>
      </c>
      <c r="AB195" s="17">
        <f t="shared" ref="AB195:AG195" si="162">AB196+AB198+AB202+AB206</f>
        <v>130446</v>
      </c>
      <c r="AC195" s="17">
        <f t="shared" si="162"/>
        <v>101798.9</v>
      </c>
      <c r="AD195" s="17">
        <f t="shared" si="127"/>
        <v>78.039111969703939</v>
      </c>
      <c r="AE195" s="17">
        <f t="shared" si="126"/>
        <v>0</v>
      </c>
      <c r="AF195" s="17">
        <f t="shared" si="162"/>
        <v>130446</v>
      </c>
      <c r="AG195" s="17">
        <f t="shared" si="162"/>
        <v>130446</v>
      </c>
      <c r="AH195" s="17">
        <f>AH196+AH198+AH202+AH206</f>
        <v>130446</v>
      </c>
      <c r="AI195" s="17">
        <f>AI196+AI198+AI202+AI206</f>
        <v>130446</v>
      </c>
      <c r="AJ195" s="162" t="b">
        <f t="shared" si="106"/>
        <v>1</v>
      </c>
      <c r="AK195" s="162" t="str">
        <f t="shared" si="107"/>
        <v>PRAZNO</v>
      </c>
      <c r="AM195" s="264"/>
    </row>
    <row r="196" spans="2:39" ht="15.75" x14ac:dyDescent="0.2">
      <c r="B196" s="177"/>
      <c r="C196" s="177"/>
      <c r="D196" s="177">
        <v>321</v>
      </c>
      <c r="E196" s="177"/>
      <c r="F196" s="177"/>
      <c r="G196" s="177"/>
      <c r="H196" s="16" t="s">
        <v>564</v>
      </c>
      <c r="I196" s="17">
        <f>SUM(I197:I197)</f>
        <v>3500</v>
      </c>
      <c r="J196" s="17">
        <f>SUM(J197:J197)</f>
        <v>3203.32</v>
      </c>
      <c r="K196" s="17">
        <f t="shared" si="136"/>
        <v>91.52</v>
      </c>
      <c r="L196" s="17">
        <f t="shared" si="131"/>
        <v>-72.989999999999782</v>
      </c>
      <c r="M196" s="17">
        <f>SUM(M197:M197)</f>
        <v>3427.01</v>
      </c>
      <c r="N196" s="17">
        <f>SUM(N197:N197)</f>
        <v>3500</v>
      </c>
      <c r="O196" s="17">
        <f>SUM(O197:O197)</f>
        <v>1501</v>
      </c>
      <c r="P196" s="26">
        <f t="shared" si="143"/>
        <v>0</v>
      </c>
      <c r="Q196" s="17">
        <f t="shared" ref="Q196:AI196" si="163">SUM(Q197:Q197)</f>
        <v>3500</v>
      </c>
      <c r="R196" s="17">
        <f t="shared" si="163"/>
        <v>3480</v>
      </c>
      <c r="S196" s="17">
        <f t="shared" si="163"/>
        <v>4000</v>
      </c>
      <c r="T196" s="26">
        <f t="shared" si="163"/>
        <v>3500</v>
      </c>
      <c r="U196" s="26">
        <f t="shared" si="163"/>
        <v>3537.6</v>
      </c>
      <c r="V196" s="17">
        <f t="shared" si="163"/>
        <v>2000</v>
      </c>
      <c r="W196" s="17">
        <f t="shared" si="163"/>
        <v>2000</v>
      </c>
      <c r="X196" s="17">
        <f t="shared" si="163"/>
        <v>3000</v>
      </c>
      <c r="Y196" s="17">
        <f t="shared" si="163"/>
        <v>0</v>
      </c>
      <c r="Z196" s="17">
        <f t="shared" si="112"/>
        <v>0</v>
      </c>
      <c r="AA196" s="17">
        <f t="shared" si="113"/>
        <v>0</v>
      </c>
      <c r="AB196" s="17">
        <f t="shared" si="163"/>
        <v>2000</v>
      </c>
      <c r="AC196" s="17">
        <f t="shared" si="163"/>
        <v>2763</v>
      </c>
      <c r="AD196" s="17">
        <f t="shared" si="127"/>
        <v>138.15</v>
      </c>
      <c r="AE196" s="17">
        <f t="shared" si="126"/>
        <v>1000</v>
      </c>
      <c r="AF196" s="17">
        <f t="shared" si="163"/>
        <v>3000</v>
      </c>
      <c r="AG196" s="17">
        <f t="shared" si="163"/>
        <v>2000</v>
      </c>
      <c r="AH196" s="17">
        <f t="shared" si="163"/>
        <v>2000</v>
      </c>
      <c r="AI196" s="17">
        <f t="shared" si="163"/>
        <v>2000</v>
      </c>
      <c r="AJ196" s="162" t="b">
        <f t="shared" si="106"/>
        <v>1</v>
      </c>
      <c r="AK196" s="162" t="str">
        <f t="shared" si="107"/>
        <v>PRAZNO</v>
      </c>
      <c r="AM196" s="264"/>
    </row>
    <row r="197" spans="2:39" ht="15.75" x14ac:dyDescent="0.2">
      <c r="B197" s="177"/>
      <c r="C197" s="177"/>
      <c r="D197" s="177"/>
      <c r="E197" s="177">
        <v>3211</v>
      </c>
      <c r="F197" s="176">
        <v>11</v>
      </c>
      <c r="G197" s="176" t="s">
        <v>527</v>
      </c>
      <c r="H197" s="16" t="s">
        <v>565</v>
      </c>
      <c r="I197" s="18">
        <v>3500</v>
      </c>
      <c r="J197" s="178">
        <v>3203.32</v>
      </c>
      <c r="K197" s="178">
        <f t="shared" si="136"/>
        <v>91.52</v>
      </c>
      <c r="L197" s="178">
        <f t="shared" si="131"/>
        <v>-72.989999999999782</v>
      </c>
      <c r="M197" s="178">
        <v>3427.01</v>
      </c>
      <c r="N197" s="178">
        <v>3500</v>
      </c>
      <c r="O197" s="178">
        <v>1501</v>
      </c>
      <c r="P197" s="26">
        <f t="shared" si="143"/>
        <v>0</v>
      </c>
      <c r="Q197" s="178">
        <v>3500</v>
      </c>
      <c r="R197" s="178">
        <v>3480</v>
      </c>
      <c r="S197" s="178">
        <v>4000</v>
      </c>
      <c r="T197" s="266">
        <v>3500</v>
      </c>
      <c r="U197" s="266">
        <v>3537.6</v>
      </c>
      <c r="V197" s="266">
        <v>2000</v>
      </c>
      <c r="W197" s="266">
        <v>2000</v>
      </c>
      <c r="X197" s="178">
        <v>3000</v>
      </c>
      <c r="Y197" s="266">
        <v>0</v>
      </c>
      <c r="Z197" s="266">
        <f t="shared" si="112"/>
        <v>0</v>
      </c>
      <c r="AA197" s="266">
        <f t="shared" si="113"/>
        <v>0</v>
      </c>
      <c r="AB197" s="266">
        <v>2000</v>
      </c>
      <c r="AC197" s="266">
        <v>2763</v>
      </c>
      <c r="AD197" s="266">
        <f t="shared" si="127"/>
        <v>138.15</v>
      </c>
      <c r="AE197" s="266">
        <f t="shared" si="126"/>
        <v>1000</v>
      </c>
      <c r="AF197" s="266">
        <v>3000</v>
      </c>
      <c r="AG197" s="266">
        <v>2000</v>
      </c>
      <c r="AH197" s="266">
        <v>2000</v>
      </c>
      <c r="AI197" s="266">
        <v>2000</v>
      </c>
      <c r="AJ197" s="162" t="b">
        <f t="shared" si="106"/>
        <v>0</v>
      </c>
      <c r="AK197" s="162" t="str">
        <f t="shared" si="107"/>
        <v>PUNO</v>
      </c>
      <c r="AM197" s="264"/>
    </row>
    <row r="198" spans="2:39" ht="15.75" x14ac:dyDescent="0.2">
      <c r="B198" s="177"/>
      <c r="C198" s="177"/>
      <c r="D198" s="177">
        <v>322</v>
      </c>
      <c r="E198" s="177"/>
      <c r="F198" s="177"/>
      <c r="G198" s="177"/>
      <c r="H198" s="16" t="s">
        <v>547</v>
      </c>
      <c r="I198" s="17">
        <f>SUM(I199:I201)</f>
        <v>8430</v>
      </c>
      <c r="J198" s="17">
        <f>SUM(J199:J201)</f>
        <v>7073.93</v>
      </c>
      <c r="K198" s="17">
        <f t="shared" si="136"/>
        <v>83.91</v>
      </c>
      <c r="L198" s="17">
        <f t="shared" si="131"/>
        <v>-66.979999999999563</v>
      </c>
      <c r="M198" s="17">
        <f>SUM(M199:M201)</f>
        <v>8363.02</v>
      </c>
      <c r="N198" s="17">
        <f>SUM(N199:N201)</f>
        <v>8430</v>
      </c>
      <c r="O198" s="17">
        <f>SUM(O199:O201)</f>
        <v>3157.6099999999997</v>
      </c>
      <c r="P198" s="26">
        <f t="shared" si="143"/>
        <v>0</v>
      </c>
      <c r="Q198" s="17">
        <f t="shared" ref="Q198:X198" si="164">SUM(Q199:Q201)</f>
        <v>8430</v>
      </c>
      <c r="R198" s="17">
        <f t="shared" si="164"/>
        <v>9110</v>
      </c>
      <c r="S198" s="17">
        <f t="shared" si="164"/>
        <v>9110</v>
      </c>
      <c r="T198" s="26">
        <f t="shared" si="164"/>
        <v>8430</v>
      </c>
      <c r="U198" s="26">
        <f>SUM(U199:U201)</f>
        <v>8032.78</v>
      </c>
      <c r="V198" s="17">
        <f t="shared" si="164"/>
        <v>7680</v>
      </c>
      <c r="W198" s="17">
        <f t="shared" si="164"/>
        <v>7680</v>
      </c>
      <c r="X198" s="17">
        <f t="shared" si="164"/>
        <v>10000</v>
      </c>
      <c r="Y198" s="17">
        <f>SUM(Y199:Y201)</f>
        <v>5039.2299999999996</v>
      </c>
      <c r="Z198" s="17">
        <f t="shared" si="112"/>
        <v>65.61</v>
      </c>
      <c r="AA198" s="17">
        <f t="shared" si="113"/>
        <v>0</v>
      </c>
      <c r="AB198" s="17">
        <f t="shared" ref="AB198:AI198" si="165">SUM(AB199:AB201)</f>
        <v>7680</v>
      </c>
      <c r="AC198" s="17">
        <f t="shared" si="165"/>
        <v>7404.0399999999991</v>
      </c>
      <c r="AD198" s="17">
        <f t="shared" si="127"/>
        <v>96.406770833333326</v>
      </c>
      <c r="AE198" s="17">
        <f t="shared" si="126"/>
        <v>2000</v>
      </c>
      <c r="AF198" s="17">
        <f t="shared" si="165"/>
        <v>9680</v>
      </c>
      <c r="AG198" s="17">
        <f t="shared" si="165"/>
        <v>7680</v>
      </c>
      <c r="AH198" s="17">
        <f t="shared" si="165"/>
        <v>7680</v>
      </c>
      <c r="AI198" s="17">
        <f t="shared" si="165"/>
        <v>7680</v>
      </c>
      <c r="AJ198" s="162" t="b">
        <f t="shared" si="106"/>
        <v>1</v>
      </c>
      <c r="AK198" s="162" t="str">
        <f t="shared" si="107"/>
        <v>PRAZNO</v>
      </c>
      <c r="AM198" s="264"/>
    </row>
    <row r="199" spans="2:39" ht="15.75" x14ac:dyDescent="0.2">
      <c r="B199" s="177"/>
      <c r="C199" s="177"/>
      <c r="D199" s="177"/>
      <c r="E199" s="177">
        <v>3221</v>
      </c>
      <c r="F199" s="176">
        <v>11</v>
      </c>
      <c r="G199" s="176" t="s">
        <v>527</v>
      </c>
      <c r="H199" s="16" t="s">
        <v>548</v>
      </c>
      <c r="I199" s="18">
        <v>4430</v>
      </c>
      <c r="J199" s="178">
        <v>4235.43</v>
      </c>
      <c r="K199" s="178">
        <f t="shared" si="136"/>
        <v>95.61</v>
      </c>
      <c r="L199" s="178">
        <f t="shared" si="131"/>
        <v>-53.779999999999745</v>
      </c>
      <c r="M199" s="178">
        <v>4376.22</v>
      </c>
      <c r="N199" s="178">
        <v>4430</v>
      </c>
      <c r="O199" s="178">
        <v>1569.86</v>
      </c>
      <c r="P199" s="26">
        <f t="shared" si="143"/>
        <v>0</v>
      </c>
      <c r="Q199" s="178">
        <v>4430</v>
      </c>
      <c r="R199" s="178">
        <v>4430</v>
      </c>
      <c r="S199" s="178">
        <v>4430</v>
      </c>
      <c r="T199" s="266">
        <v>4430</v>
      </c>
      <c r="U199" s="266">
        <v>4205.1099999999997</v>
      </c>
      <c r="V199" s="266">
        <v>3000</v>
      </c>
      <c r="W199" s="266">
        <v>3000</v>
      </c>
      <c r="X199" s="178">
        <v>4500</v>
      </c>
      <c r="Y199" s="266">
        <v>3528.16</v>
      </c>
      <c r="Z199" s="266">
        <f t="shared" si="112"/>
        <v>117.61</v>
      </c>
      <c r="AA199" s="266">
        <f t="shared" si="113"/>
        <v>0</v>
      </c>
      <c r="AB199" s="266">
        <v>3000</v>
      </c>
      <c r="AC199" s="266">
        <v>4528.16</v>
      </c>
      <c r="AD199" s="266">
        <f t="shared" si="127"/>
        <v>150.93866666666668</v>
      </c>
      <c r="AE199" s="266">
        <f t="shared" si="126"/>
        <v>2000</v>
      </c>
      <c r="AF199" s="266">
        <f>3000+2000</f>
        <v>5000</v>
      </c>
      <c r="AG199" s="266">
        <v>3000</v>
      </c>
      <c r="AH199" s="266">
        <v>3000</v>
      </c>
      <c r="AI199" s="266">
        <v>3000</v>
      </c>
      <c r="AJ199" s="162" t="b">
        <f t="shared" si="106"/>
        <v>0</v>
      </c>
      <c r="AK199" s="162" t="str">
        <f t="shared" si="107"/>
        <v>PUNO</v>
      </c>
      <c r="AM199" s="264"/>
    </row>
    <row r="200" spans="2:39" ht="15.75" x14ac:dyDescent="0.2">
      <c r="B200" s="177"/>
      <c r="C200" s="177"/>
      <c r="D200" s="177"/>
      <c r="E200" s="177">
        <v>3223</v>
      </c>
      <c r="F200" s="176">
        <v>11</v>
      </c>
      <c r="G200" s="176" t="s">
        <v>527</v>
      </c>
      <c r="H200" s="16" t="s">
        <v>204</v>
      </c>
      <c r="I200" s="18">
        <v>3000</v>
      </c>
      <c r="J200" s="178">
        <v>2138.5100000000002</v>
      </c>
      <c r="K200" s="178">
        <f t="shared" si="136"/>
        <v>71.28</v>
      </c>
      <c r="L200" s="178">
        <f t="shared" si="131"/>
        <v>-13.190000000000055</v>
      </c>
      <c r="M200" s="178">
        <v>2986.81</v>
      </c>
      <c r="N200" s="178">
        <v>3000</v>
      </c>
      <c r="O200" s="178">
        <v>1587.75</v>
      </c>
      <c r="P200" s="26">
        <f t="shared" si="143"/>
        <v>0</v>
      </c>
      <c r="Q200" s="178">
        <v>3000</v>
      </c>
      <c r="R200" s="178">
        <v>3680</v>
      </c>
      <c r="S200" s="178">
        <v>3680</v>
      </c>
      <c r="T200" s="266">
        <v>3000</v>
      </c>
      <c r="U200" s="266">
        <v>2972.22</v>
      </c>
      <c r="V200" s="266">
        <v>3680</v>
      </c>
      <c r="W200" s="266">
        <v>3680</v>
      </c>
      <c r="X200" s="178">
        <v>4500</v>
      </c>
      <c r="Y200" s="266">
        <v>1019.67</v>
      </c>
      <c r="Z200" s="266">
        <f t="shared" si="112"/>
        <v>27.71</v>
      </c>
      <c r="AA200" s="266">
        <f t="shared" si="113"/>
        <v>0</v>
      </c>
      <c r="AB200" s="266">
        <v>3680</v>
      </c>
      <c r="AC200" s="266">
        <v>2384.48</v>
      </c>
      <c r="AD200" s="266">
        <f t="shared" si="127"/>
        <v>64.795652173913041</v>
      </c>
      <c r="AE200" s="266">
        <f t="shared" si="126"/>
        <v>0</v>
      </c>
      <c r="AF200" s="266">
        <v>3680</v>
      </c>
      <c r="AG200" s="266">
        <v>3680</v>
      </c>
      <c r="AH200" s="266">
        <v>3680</v>
      </c>
      <c r="AI200" s="266">
        <v>3680</v>
      </c>
      <c r="AJ200" s="162" t="b">
        <f t="shared" si="106"/>
        <v>0</v>
      </c>
      <c r="AK200" s="162" t="str">
        <f t="shared" si="107"/>
        <v>PUNO</v>
      </c>
      <c r="AM200" s="264"/>
    </row>
    <row r="201" spans="2:39" ht="15.75" x14ac:dyDescent="0.2">
      <c r="B201" s="177"/>
      <c r="C201" s="177"/>
      <c r="D201" s="177"/>
      <c r="E201" s="177">
        <v>3225</v>
      </c>
      <c r="F201" s="176">
        <v>11</v>
      </c>
      <c r="G201" s="176" t="s">
        <v>527</v>
      </c>
      <c r="H201" s="16" t="s">
        <v>642</v>
      </c>
      <c r="I201" s="18">
        <v>1000</v>
      </c>
      <c r="J201" s="178">
        <v>699.99</v>
      </c>
      <c r="K201" s="178">
        <f t="shared" si="136"/>
        <v>70</v>
      </c>
      <c r="L201" s="178">
        <f t="shared" si="131"/>
        <v>-9.9999999999909051E-3</v>
      </c>
      <c r="M201" s="178">
        <v>999.99</v>
      </c>
      <c r="N201" s="178">
        <v>1000</v>
      </c>
      <c r="O201" s="178">
        <v>0</v>
      </c>
      <c r="P201" s="26">
        <f t="shared" si="143"/>
        <v>0</v>
      </c>
      <c r="Q201" s="178">
        <v>1000</v>
      </c>
      <c r="R201" s="178">
        <v>1000</v>
      </c>
      <c r="S201" s="178">
        <v>1000</v>
      </c>
      <c r="T201" s="266">
        <v>1000</v>
      </c>
      <c r="U201" s="266">
        <v>855.45</v>
      </c>
      <c r="V201" s="266">
        <v>1000</v>
      </c>
      <c r="W201" s="266">
        <v>1000</v>
      </c>
      <c r="X201" s="178">
        <v>1000</v>
      </c>
      <c r="Y201" s="266">
        <v>491.4</v>
      </c>
      <c r="Z201" s="266">
        <f t="shared" si="112"/>
        <v>49.14</v>
      </c>
      <c r="AA201" s="266">
        <f t="shared" si="113"/>
        <v>0</v>
      </c>
      <c r="AB201" s="266">
        <v>1000</v>
      </c>
      <c r="AC201" s="266">
        <v>491.4</v>
      </c>
      <c r="AD201" s="266">
        <f t="shared" si="127"/>
        <v>49.14</v>
      </c>
      <c r="AE201" s="266">
        <f t="shared" si="126"/>
        <v>0</v>
      </c>
      <c r="AF201" s="266">
        <v>1000</v>
      </c>
      <c r="AG201" s="266">
        <v>1000</v>
      </c>
      <c r="AH201" s="266">
        <v>1000</v>
      </c>
      <c r="AI201" s="266">
        <v>1000</v>
      </c>
      <c r="AJ201" s="162" t="b">
        <f t="shared" ref="AJ201:AJ264" si="166">ISBLANK(E201)</f>
        <v>0</v>
      </c>
      <c r="AK201" s="162" t="str">
        <f t="shared" ref="AK201:AK264" si="167">IF(AJ201,"PRAZNO","PUNO")</f>
        <v>PUNO</v>
      </c>
      <c r="AM201" s="264"/>
    </row>
    <row r="202" spans="2:39" ht="15.75" x14ac:dyDescent="0.2">
      <c r="B202" s="177"/>
      <c r="C202" s="177"/>
      <c r="D202" s="177">
        <v>323</v>
      </c>
      <c r="E202" s="177"/>
      <c r="F202" s="177"/>
      <c r="G202" s="177"/>
      <c r="H202" s="16" t="s">
        <v>526</v>
      </c>
      <c r="I202" s="17">
        <f>SUM(I203:I205)</f>
        <v>33700</v>
      </c>
      <c r="J202" s="17">
        <f>SUM(J203:J205)</f>
        <v>24031.41</v>
      </c>
      <c r="K202" s="17">
        <f t="shared" si="136"/>
        <v>71.31</v>
      </c>
      <c r="L202" s="17">
        <f t="shared" si="131"/>
        <v>-122.58000000000175</v>
      </c>
      <c r="M202" s="17">
        <f>SUM(M203:M205)</f>
        <v>33577.42</v>
      </c>
      <c r="N202" s="17">
        <f>SUM(N203:N205)</f>
        <v>34900</v>
      </c>
      <c r="O202" s="17">
        <f>SUM(O203:O205)</f>
        <v>15899.91</v>
      </c>
      <c r="P202" s="26">
        <f t="shared" si="143"/>
        <v>0</v>
      </c>
      <c r="Q202" s="17">
        <f t="shared" ref="Q202:X202" si="168">SUM(Q203:Q205)</f>
        <v>34900</v>
      </c>
      <c r="R202" s="17">
        <f t="shared" si="168"/>
        <v>35000</v>
      </c>
      <c r="S202" s="17">
        <f t="shared" si="168"/>
        <v>35000</v>
      </c>
      <c r="T202" s="26">
        <f t="shared" si="168"/>
        <v>34900</v>
      </c>
      <c r="U202" s="26">
        <f>SUM(U203:U205)</f>
        <v>35901.660000000003</v>
      </c>
      <c r="V202" s="17">
        <f t="shared" si="168"/>
        <v>35100</v>
      </c>
      <c r="W202" s="17">
        <f t="shared" si="168"/>
        <v>35100</v>
      </c>
      <c r="X202" s="17">
        <f t="shared" si="168"/>
        <v>36400</v>
      </c>
      <c r="Y202" s="17">
        <f>SUM(Y203:Y205)</f>
        <v>6828.03</v>
      </c>
      <c r="Z202" s="17">
        <f t="shared" si="112"/>
        <v>19.45</v>
      </c>
      <c r="AA202" s="17">
        <f t="shared" si="113"/>
        <v>0</v>
      </c>
      <c r="AB202" s="17">
        <f t="shared" ref="AB202:AI202" si="169">SUM(AB203:AB205)</f>
        <v>35100</v>
      </c>
      <c r="AC202" s="17">
        <f t="shared" si="169"/>
        <v>30328.52</v>
      </c>
      <c r="AD202" s="17">
        <f t="shared" si="127"/>
        <v>86.406039886039892</v>
      </c>
      <c r="AE202" s="17">
        <f t="shared" si="126"/>
        <v>0</v>
      </c>
      <c r="AF202" s="17">
        <f t="shared" si="169"/>
        <v>35100</v>
      </c>
      <c r="AG202" s="17">
        <f t="shared" si="169"/>
        <v>35100</v>
      </c>
      <c r="AH202" s="17">
        <f t="shared" si="169"/>
        <v>35100</v>
      </c>
      <c r="AI202" s="17">
        <f t="shared" si="169"/>
        <v>35100</v>
      </c>
      <c r="AJ202" s="162" t="b">
        <f t="shared" si="166"/>
        <v>1</v>
      </c>
      <c r="AK202" s="162" t="str">
        <f t="shared" si="167"/>
        <v>PRAZNO</v>
      </c>
      <c r="AM202" s="264"/>
    </row>
    <row r="203" spans="2:39" ht="15.75" x14ac:dyDescent="0.2">
      <c r="B203" s="177"/>
      <c r="C203" s="177"/>
      <c r="D203" s="177"/>
      <c r="E203" s="177">
        <v>3231</v>
      </c>
      <c r="F203" s="176">
        <v>11</v>
      </c>
      <c r="G203" s="176" t="s">
        <v>527</v>
      </c>
      <c r="H203" s="16" t="s">
        <v>206</v>
      </c>
      <c r="I203" s="18">
        <v>14700</v>
      </c>
      <c r="J203" s="178">
        <v>9619.41</v>
      </c>
      <c r="K203" s="178">
        <f t="shared" si="136"/>
        <v>65.44</v>
      </c>
      <c r="L203" s="178">
        <f t="shared" si="131"/>
        <v>-122.57999999999993</v>
      </c>
      <c r="M203" s="178">
        <v>14577.42</v>
      </c>
      <c r="N203" s="178">
        <v>14700</v>
      </c>
      <c r="O203" s="178">
        <v>7099.91</v>
      </c>
      <c r="P203" s="26">
        <f t="shared" si="143"/>
        <v>0</v>
      </c>
      <c r="Q203" s="178">
        <v>14700</v>
      </c>
      <c r="R203" s="178">
        <v>14800</v>
      </c>
      <c r="S203" s="178">
        <v>14800</v>
      </c>
      <c r="T203" s="266">
        <v>14700</v>
      </c>
      <c r="U203" s="266">
        <v>15101.66</v>
      </c>
      <c r="V203" s="266">
        <v>13500</v>
      </c>
      <c r="W203" s="266">
        <v>13500</v>
      </c>
      <c r="X203" s="178">
        <v>14800</v>
      </c>
      <c r="Y203" s="266">
        <v>728.03</v>
      </c>
      <c r="Z203" s="266">
        <f t="shared" si="112"/>
        <v>5.39</v>
      </c>
      <c r="AA203" s="266">
        <f t="shared" si="113"/>
        <v>0</v>
      </c>
      <c r="AB203" s="266">
        <v>13500</v>
      </c>
      <c r="AC203" s="266">
        <v>11028.52</v>
      </c>
      <c r="AD203" s="266">
        <f t="shared" si="127"/>
        <v>81.692740740740746</v>
      </c>
      <c r="AE203" s="266">
        <f t="shared" si="126"/>
        <v>0</v>
      </c>
      <c r="AF203" s="266">
        <v>13500</v>
      </c>
      <c r="AG203" s="266">
        <v>13500</v>
      </c>
      <c r="AH203" s="266">
        <v>13500</v>
      </c>
      <c r="AI203" s="266">
        <v>13500</v>
      </c>
      <c r="AJ203" s="162" t="b">
        <f t="shared" si="166"/>
        <v>0</v>
      </c>
      <c r="AK203" s="162" t="str">
        <f t="shared" si="167"/>
        <v>PUNO</v>
      </c>
      <c r="AM203" s="264"/>
    </row>
    <row r="204" spans="2:39" ht="15.75" x14ac:dyDescent="0.2">
      <c r="B204" s="177"/>
      <c r="C204" s="177"/>
      <c r="D204" s="177"/>
      <c r="E204" s="177">
        <v>3235</v>
      </c>
      <c r="F204" s="176">
        <v>11</v>
      </c>
      <c r="G204" s="176" t="s">
        <v>527</v>
      </c>
      <c r="H204" s="16" t="s">
        <v>640</v>
      </c>
      <c r="I204" s="18">
        <v>12000</v>
      </c>
      <c r="J204" s="178">
        <v>9000</v>
      </c>
      <c r="K204" s="178">
        <f t="shared" si="136"/>
        <v>75</v>
      </c>
      <c r="L204" s="178">
        <f t="shared" si="131"/>
        <v>0</v>
      </c>
      <c r="M204" s="178">
        <v>12000</v>
      </c>
      <c r="N204" s="178">
        <v>12000</v>
      </c>
      <c r="O204" s="178">
        <v>4000</v>
      </c>
      <c r="P204" s="26">
        <f t="shared" si="143"/>
        <v>0</v>
      </c>
      <c r="Q204" s="178">
        <v>12000</v>
      </c>
      <c r="R204" s="178">
        <v>12000</v>
      </c>
      <c r="S204" s="178">
        <v>12000</v>
      </c>
      <c r="T204" s="266">
        <v>12000</v>
      </c>
      <c r="U204" s="266">
        <v>12000</v>
      </c>
      <c r="V204" s="266">
        <v>12000</v>
      </c>
      <c r="W204" s="266">
        <v>12000</v>
      </c>
      <c r="X204" s="178">
        <v>12000</v>
      </c>
      <c r="Y204" s="266">
        <v>3000</v>
      </c>
      <c r="Z204" s="266">
        <f t="shared" si="112"/>
        <v>25</v>
      </c>
      <c r="AA204" s="266">
        <f t="shared" si="113"/>
        <v>0</v>
      </c>
      <c r="AB204" s="266">
        <v>12000</v>
      </c>
      <c r="AC204" s="266">
        <v>12000</v>
      </c>
      <c r="AD204" s="266">
        <f t="shared" si="127"/>
        <v>100</v>
      </c>
      <c r="AE204" s="266">
        <f t="shared" si="126"/>
        <v>0</v>
      </c>
      <c r="AF204" s="266">
        <v>12000</v>
      </c>
      <c r="AG204" s="266">
        <v>12000</v>
      </c>
      <c r="AH204" s="266">
        <v>12000</v>
      </c>
      <c r="AI204" s="266">
        <v>12000</v>
      </c>
      <c r="AJ204" s="162" t="b">
        <f t="shared" si="166"/>
        <v>0</v>
      </c>
      <c r="AK204" s="162" t="str">
        <f t="shared" si="167"/>
        <v>PUNO</v>
      </c>
      <c r="AM204" s="264"/>
    </row>
    <row r="205" spans="2:39" ht="15.75" x14ac:dyDescent="0.2">
      <c r="B205" s="177"/>
      <c r="C205" s="177"/>
      <c r="D205" s="177"/>
      <c r="E205" s="177">
        <v>3237</v>
      </c>
      <c r="F205" s="176">
        <v>11</v>
      </c>
      <c r="G205" s="176" t="s">
        <v>527</v>
      </c>
      <c r="H205" s="16" t="s">
        <v>566</v>
      </c>
      <c r="I205" s="18">
        <v>7000</v>
      </c>
      <c r="J205" s="178">
        <v>5412</v>
      </c>
      <c r="K205" s="178">
        <f t="shared" si="136"/>
        <v>77.31</v>
      </c>
      <c r="L205" s="178">
        <f t="shared" si="131"/>
        <v>0</v>
      </c>
      <c r="M205" s="178">
        <v>7000</v>
      </c>
      <c r="N205" s="178">
        <v>8200</v>
      </c>
      <c r="O205" s="178">
        <v>4800</v>
      </c>
      <c r="P205" s="26">
        <f t="shared" si="143"/>
        <v>0</v>
      </c>
      <c r="Q205" s="178">
        <v>8200</v>
      </c>
      <c r="R205" s="178">
        <v>8200</v>
      </c>
      <c r="S205" s="178">
        <v>8200</v>
      </c>
      <c r="T205" s="266">
        <v>8200</v>
      </c>
      <c r="U205" s="266">
        <v>8800</v>
      </c>
      <c r="V205" s="266">
        <v>9600</v>
      </c>
      <c r="W205" s="266">
        <v>9600</v>
      </c>
      <c r="X205" s="266">
        <v>9600</v>
      </c>
      <c r="Y205" s="266">
        <v>3100</v>
      </c>
      <c r="Z205" s="266">
        <f t="shared" si="112"/>
        <v>32.29</v>
      </c>
      <c r="AA205" s="266">
        <f t="shared" si="113"/>
        <v>0</v>
      </c>
      <c r="AB205" s="266">
        <v>9600</v>
      </c>
      <c r="AC205" s="266">
        <v>7300</v>
      </c>
      <c r="AD205" s="266">
        <f t="shared" si="127"/>
        <v>76.041666666666657</v>
      </c>
      <c r="AE205" s="266">
        <f t="shared" si="126"/>
        <v>0</v>
      </c>
      <c r="AF205" s="266">
        <v>9600</v>
      </c>
      <c r="AG205" s="266">
        <v>9600</v>
      </c>
      <c r="AH205" s="266">
        <v>9600</v>
      </c>
      <c r="AI205" s="266">
        <v>9600</v>
      </c>
      <c r="AJ205" s="162" t="b">
        <f t="shared" si="166"/>
        <v>0</v>
      </c>
      <c r="AK205" s="162" t="str">
        <f t="shared" si="167"/>
        <v>PUNO</v>
      </c>
      <c r="AM205" s="264"/>
    </row>
    <row r="206" spans="2:39" ht="15.75" x14ac:dyDescent="0.2">
      <c r="B206" s="177"/>
      <c r="C206" s="177"/>
      <c r="D206" s="177">
        <v>329</v>
      </c>
      <c r="E206" s="177"/>
      <c r="F206" s="177"/>
      <c r="G206" s="177"/>
      <c r="H206" s="16" t="s">
        <v>531</v>
      </c>
      <c r="I206" s="17">
        <f>SUM(I207:I208)</f>
        <v>88000</v>
      </c>
      <c r="J206" s="17">
        <f>SUM(J207:J208)</f>
        <v>67711.929999999993</v>
      </c>
      <c r="K206" s="17">
        <f t="shared" si="136"/>
        <v>76.95</v>
      </c>
      <c r="L206" s="17">
        <f t="shared" si="131"/>
        <v>16.440000000002328</v>
      </c>
      <c r="M206" s="17">
        <f>SUM(M207:M208)</f>
        <v>88016.44</v>
      </c>
      <c r="N206" s="17">
        <f>SUM(N207:N208)</f>
        <v>86800</v>
      </c>
      <c r="O206" s="17">
        <f>SUM(O207:O208)</f>
        <v>47330.71</v>
      </c>
      <c r="P206" s="26">
        <f t="shared" si="143"/>
        <v>0</v>
      </c>
      <c r="Q206" s="17">
        <f t="shared" ref="Q206:X206" si="170">SUM(Q207:Q208)</f>
        <v>86800</v>
      </c>
      <c r="R206" s="17">
        <f t="shared" si="170"/>
        <v>87340</v>
      </c>
      <c r="S206" s="17">
        <f t="shared" si="170"/>
        <v>87820</v>
      </c>
      <c r="T206" s="26">
        <f t="shared" si="170"/>
        <v>86800</v>
      </c>
      <c r="U206" s="26">
        <f>SUM(U207:U208)</f>
        <v>86960.97</v>
      </c>
      <c r="V206" s="17">
        <f t="shared" si="170"/>
        <v>85666</v>
      </c>
      <c r="W206" s="17">
        <f t="shared" si="170"/>
        <v>85666</v>
      </c>
      <c r="X206" s="17">
        <f t="shared" si="170"/>
        <v>86946</v>
      </c>
      <c r="Y206" s="17">
        <f>SUM(Y207:Y208)</f>
        <v>22641.09</v>
      </c>
      <c r="Z206" s="17">
        <f t="shared" si="112"/>
        <v>26.43</v>
      </c>
      <c r="AA206" s="17">
        <f t="shared" si="113"/>
        <v>0</v>
      </c>
      <c r="AB206" s="17">
        <f t="shared" ref="AB206:AI206" si="171">SUM(AB207:AB208)</f>
        <v>85666</v>
      </c>
      <c r="AC206" s="17">
        <f t="shared" si="171"/>
        <v>61303.34</v>
      </c>
      <c r="AD206" s="17">
        <f t="shared" si="127"/>
        <v>71.560875960124207</v>
      </c>
      <c r="AE206" s="17">
        <f t="shared" si="126"/>
        <v>-3000</v>
      </c>
      <c r="AF206" s="17">
        <f t="shared" si="171"/>
        <v>82666</v>
      </c>
      <c r="AG206" s="17">
        <f t="shared" si="171"/>
        <v>85666</v>
      </c>
      <c r="AH206" s="17">
        <f t="shared" si="171"/>
        <v>85666</v>
      </c>
      <c r="AI206" s="17">
        <f t="shared" si="171"/>
        <v>85666</v>
      </c>
      <c r="AJ206" s="162" t="b">
        <f t="shared" si="166"/>
        <v>1</v>
      </c>
      <c r="AK206" s="162" t="str">
        <f t="shared" si="167"/>
        <v>PRAZNO</v>
      </c>
      <c r="AM206" s="264"/>
    </row>
    <row r="207" spans="2:39" ht="30" x14ac:dyDescent="0.2">
      <c r="B207" s="177"/>
      <c r="C207" s="177"/>
      <c r="D207" s="177"/>
      <c r="E207" s="177">
        <v>3291</v>
      </c>
      <c r="F207" s="176">
        <v>11</v>
      </c>
      <c r="G207" s="176" t="s">
        <v>527</v>
      </c>
      <c r="H207" s="16" t="s">
        <v>532</v>
      </c>
      <c r="I207" s="18">
        <v>74000</v>
      </c>
      <c r="J207" s="178">
        <v>56604.34</v>
      </c>
      <c r="K207" s="178">
        <f t="shared" si="136"/>
        <v>76.489999999999995</v>
      </c>
      <c r="L207" s="178">
        <f t="shared" si="131"/>
        <v>-90.149999999994179</v>
      </c>
      <c r="M207" s="178">
        <v>73909.850000000006</v>
      </c>
      <c r="N207" s="178">
        <v>71800</v>
      </c>
      <c r="O207" s="178">
        <v>37836.29</v>
      </c>
      <c r="P207" s="26">
        <f t="shared" si="143"/>
        <v>0</v>
      </c>
      <c r="Q207" s="178">
        <v>71800</v>
      </c>
      <c r="R207" s="178">
        <v>72340</v>
      </c>
      <c r="S207" s="178">
        <v>72820</v>
      </c>
      <c r="T207" s="266">
        <v>71800</v>
      </c>
      <c r="U207" s="266">
        <v>71840.38</v>
      </c>
      <c r="V207" s="266">
        <v>69666</v>
      </c>
      <c r="W207" s="266">
        <v>69666</v>
      </c>
      <c r="X207" s="178">
        <v>70946</v>
      </c>
      <c r="Y207" s="266">
        <v>17252</v>
      </c>
      <c r="Z207" s="266">
        <f t="shared" si="112"/>
        <v>24.76</v>
      </c>
      <c r="AA207" s="266">
        <f t="shared" si="113"/>
        <v>0</v>
      </c>
      <c r="AB207" s="266">
        <v>69666</v>
      </c>
      <c r="AC207" s="266">
        <v>53039</v>
      </c>
      <c r="AD207" s="266">
        <f t="shared" si="127"/>
        <v>76.133264433152476</v>
      </c>
      <c r="AE207" s="266">
        <f t="shared" si="126"/>
        <v>0</v>
      </c>
      <c r="AF207" s="266">
        <v>69666</v>
      </c>
      <c r="AG207" s="266">
        <v>69666</v>
      </c>
      <c r="AH207" s="266">
        <v>69666</v>
      </c>
      <c r="AI207" s="266">
        <v>69666</v>
      </c>
      <c r="AJ207" s="162" t="b">
        <f t="shared" si="166"/>
        <v>0</v>
      </c>
      <c r="AK207" s="162" t="str">
        <f t="shared" si="167"/>
        <v>PUNO</v>
      </c>
      <c r="AM207" s="264"/>
    </row>
    <row r="208" spans="2:39" ht="15.75" x14ac:dyDescent="0.2">
      <c r="B208" s="177"/>
      <c r="C208" s="177"/>
      <c r="D208" s="177"/>
      <c r="E208" s="177">
        <v>3293</v>
      </c>
      <c r="F208" s="176">
        <v>11</v>
      </c>
      <c r="G208" s="176" t="s">
        <v>527</v>
      </c>
      <c r="H208" s="16" t="s">
        <v>533</v>
      </c>
      <c r="I208" s="18">
        <v>14000</v>
      </c>
      <c r="J208" s="178">
        <v>11107.59</v>
      </c>
      <c r="K208" s="178">
        <f t="shared" si="136"/>
        <v>79.34</v>
      </c>
      <c r="L208" s="178">
        <f t="shared" si="131"/>
        <v>106.59000000000015</v>
      </c>
      <c r="M208" s="178">
        <v>14106.59</v>
      </c>
      <c r="N208" s="178">
        <v>15000</v>
      </c>
      <c r="O208" s="178">
        <v>9494.42</v>
      </c>
      <c r="P208" s="26">
        <f t="shared" si="143"/>
        <v>0</v>
      </c>
      <c r="Q208" s="178">
        <v>15000</v>
      </c>
      <c r="R208" s="178">
        <v>15000</v>
      </c>
      <c r="S208" s="178">
        <v>15000</v>
      </c>
      <c r="T208" s="266">
        <v>15000</v>
      </c>
      <c r="U208" s="266">
        <v>15120.59</v>
      </c>
      <c r="V208" s="266">
        <v>16000</v>
      </c>
      <c r="W208" s="266">
        <v>16000</v>
      </c>
      <c r="X208" s="266">
        <v>16000</v>
      </c>
      <c r="Y208" s="266">
        <v>5389.09</v>
      </c>
      <c r="Z208" s="266">
        <f t="shared" ref="Z208:Z271" si="172">ROUND(Y208/V208*100,2)</f>
        <v>33.68</v>
      </c>
      <c r="AA208" s="266">
        <f t="shared" ref="AA208:AA271" si="173">AB208-V208</f>
        <v>0</v>
      </c>
      <c r="AB208" s="266">
        <v>16000</v>
      </c>
      <c r="AC208" s="266">
        <v>8264.34</v>
      </c>
      <c r="AD208" s="266">
        <f t="shared" si="127"/>
        <v>51.652125000000005</v>
      </c>
      <c r="AE208" s="266">
        <f t="shared" si="126"/>
        <v>-3000</v>
      </c>
      <c r="AF208" s="266">
        <f>16000-1000-2000</f>
        <v>13000</v>
      </c>
      <c r="AG208" s="266">
        <v>16000</v>
      </c>
      <c r="AH208" s="266">
        <v>16000</v>
      </c>
      <c r="AI208" s="266">
        <v>16000</v>
      </c>
      <c r="AJ208" s="162" t="b">
        <f t="shared" si="166"/>
        <v>0</v>
      </c>
      <c r="AK208" s="162" t="str">
        <f t="shared" si="167"/>
        <v>PUNO</v>
      </c>
      <c r="AM208" s="264"/>
    </row>
    <row r="209" spans="1:39" ht="15.75" x14ac:dyDescent="0.2">
      <c r="B209" s="175"/>
      <c r="C209" s="175">
        <v>34</v>
      </c>
      <c r="D209" s="175"/>
      <c r="E209" s="175"/>
      <c r="F209" s="175"/>
      <c r="G209" s="175"/>
      <c r="H209" s="15" t="s">
        <v>208</v>
      </c>
      <c r="I209" s="192">
        <f t="shared" ref="I209:AI210" si="174">I210</f>
        <v>2800</v>
      </c>
      <c r="J209" s="192">
        <f t="shared" si="174"/>
        <v>1591.69</v>
      </c>
      <c r="K209" s="192">
        <f t="shared" si="136"/>
        <v>56.85</v>
      </c>
      <c r="L209" s="192">
        <f t="shared" si="131"/>
        <v>-0.92999999999983629</v>
      </c>
      <c r="M209" s="192">
        <f>M210</f>
        <v>2799.07</v>
      </c>
      <c r="N209" s="192">
        <f t="shared" si="174"/>
        <v>2800</v>
      </c>
      <c r="O209" s="192">
        <f t="shared" si="174"/>
        <v>1172.9000000000001</v>
      </c>
      <c r="P209" s="26">
        <f t="shared" si="143"/>
        <v>0</v>
      </c>
      <c r="Q209" s="192">
        <f t="shared" si="174"/>
        <v>2800</v>
      </c>
      <c r="R209" s="192">
        <f t="shared" si="174"/>
        <v>3000</v>
      </c>
      <c r="S209" s="192">
        <f t="shared" si="174"/>
        <v>3000</v>
      </c>
      <c r="T209" s="193">
        <f t="shared" si="174"/>
        <v>2800</v>
      </c>
      <c r="U209" s="193">
        <f t="shared" si="174"/>
        <v>2496.3000000000002</v>
      </c>
      <c r="V209" s="192">
        <f t="shared" si="174"/>
        <v>2800</v>
      </c>
      <c r="W209" s="192">
        <f t="shared" si="174"/>
        <v>2800</v>
      </c>
      <c r="X209" s="192">
        <f t="shared" si="174"/>
        <v>3000</v>
      </c>
      <c r="Y209" s="192">
        <f t="shared" si="174"/>
        <v>512.70000000000005</v>
      </c>
      <c r="Z209" s="192">
        <f t="shared" si="172"/>
        <v>18.309999999999999</v>
      </c>
      <c r="AA209" s="192">
        <f t="shared" si="173"/>
        <v>0</v>
      </c>
      <c r="AB209" s="192">
        <f t="shared" si="174"/>
        <v>2800</v>
      </c>
      <c r="AC209" s="192">
        <f t="shared" si="174"/>
        <v>1572.87</v>
      </c>
      <c r="AD209" s="192">
        <f t="shared" si="127"/>
        <v>56.173928571428569</v>
      </c>
      <c r="AE209" s="192">
        <f t="shared" si="126"/>
        <v>0</v>
      </c>
      <c r="AF209" s="192">
        <f t="shared" si="174"/>
        <v>2800</v>
      </c>
      <c r="AG209" s="192">
        <f t="shared" si="174"/>
        <v>2800</v>
      </c>
      <c r="AH209" s="192">
        <f t="shared" si="174"/>
        <v>2800</v>
      </c>
      <c r="AI209" s="192">
        <f t="shared" si="174"/>
        <v>2800</v>
      </c>
      <c r="AJ209" s="162" t="b">
        <f t="shared" si="166"/>
        <v>1</v>
      </c>
      <c r="AK209" s="162" t="str">
        <f t="shared" si="167"/>
        <v>PRAZNO</v>
      </c>
      <c r="AM209" s="264"/>
    </row>
    <row r="210" spans="1:39" ht="15.75" x14ac:dyDescent="0.2">
      <c r="B210" s="177"/>
      <c r="C210" s="177"/>
      <c r="D210" s="177">
        <v>343</v>
      </c>
      <c r="E210" s="177"/>
      <c r="F210" s="177"/>
      <c r="G210" s="177"/>
      <c r="H210" s="16" t="s">
        <v>209</v>
      </c>
      <c r="I210" s="17">
        <f t="shared" si="174"/>
        <v>2800</v>
      </c>
      <c r="J210" s="17">
        <f t="shared" si="174"/>
        <v>1591.69</v>
      </c>
      <c r="K210" s="17">
        <f t="shared" si="136"/>
        <v>56.85</v>
      </c>
      <c r="L210" s="17">
        <f t="shared" si="131"/>
        <v>-0.92999999999983629</v>
      </c>
      <c r="M210" s="17">
        <f>M211</f>
        <v>2799.07</v>
      </c>
      <c r="N210" s="17">
        <f t="shared" si="174"/>
        <v>2800</v>
      </c>
      <c r="O210" s="17">
        <f t="shared" si="174"/>
        <v>1172.9000000000001</v>
      </c>
      <c r="P210" s="26">
        <f t="shared" si="143"/>
        <v>0</v>
      </c>
      <c r="Q210" s="17">
        <f t="shared" si="174"/>
        <v>2800</v>
      </c>
      <c r="R210" s="17">
        <f t="shared" si="174"/>
        <v>3000</v>
      </c>
      <c r="S210" s="17">
        <f t="shared" si="174"/>
        <v>3000</v>
      </c>
      <c r="T210" s="26">
        <f t="shared" si="174"/>
        <v>2800</v>
      </c>
      <c r="U210" s="26">
        <f t="shared" si="174"/>
        <v>2496.3000000000002</v>
      </c>
      <c r="V210" s="26">
        <f t="shared" si="174"/>
        <v>2800</v>
      </c>
      <c r="W210" s="26">
        <f t="shared" si="174"/>
        <v>2800</v>
      </c>
      <c r="X210" s="17">
        <f t="shared" si="174"/>
        <v>3000</v>
      </c>
      <c r="Y210" s="26">
        <f t="shared" si="174"/>
        <v>512.70000000000005</v>
      </c>
      <c r="Z210" s="26">
        <f t="shared" si="172"/>
        <v>18.309999999999999</v>
      </c>
      <c r="AA210" s="26">
        <f t="shared" si="173"/>
        <v>0</v>
      </c>
      <c r="AB210" s="26">
        <f t="shared" si="174"/>
        <v>2800</v>
      </c>
      <c r="AC210" s="26">
        <f t="shared" si="174"/>
        <v>1572.87</v>
      </c>
      <c r="AD210" s="26">
        <f t="shared" si="127"/>
        <v>56.173928571428569</v>
      </c>
      <c r="AE210" s="26">
        <f t="shared" si="126"/>
        <v>0</v>
      </c>
      <c r="AF210" s="26">
        <f t="shared" si="174"/>
        <v>2800</v>
      </c>
      <c r="AG210" s="26">
        <f t="shared" si="174"/>
        <v>2800</v>
      </c>
      <c r="AH210" s="26">
        <f t="shared" si="174"/>
        <v>2800</v>
      </c>
      <c r="AI210" s="26">
        <f t="shared" si="174"/>
        <v>2800</v>
      </c>
      <c r="AJ210" s="162" t="b">
        <f t="shared" si="166"/>
        <v>1</v>
      </c>
      <c r="AK210" s="162" t="str">
        <f t="shared" si="167"/>
        <v>PRAZNO</v>
      </c>
      <c r="AM210" s="264"/>
    </row>
    <row r="211" spans="1:39" ht="15.75" x14ac:dyDescent="0.2">
      <c r="B211" s="177"/>
      <c r="C211" s="177"/>
      <c r="D211" s="177"/>
      <c r="E211" s="177">
        <v>3431</v>
      </c>
      <c r="F211" s="176">
        <v>11</v>
      </c>
      <c r="G211" s="176" t="s">
        <v>527</v>
      </c>
      <c r="H211" s="16" t="s">
        <v>211</v>
      </c>
      <c r="I211" s="18">
        <v>2800</v>
      </c>
      <c r="J211" s="178">
        <v>1591.69</v>
      </c>
      <c r="K211" s="178">
        <f t="shared" si="136"/>
        <v>56.85</v>
      </c>
      <c r="L211" s="178">
        <f t="shared" si="131"/>
        <v>-0.92999999999983629</v>
      </c>
      <c r="M211" s="178">
        <v>2799.07</v>
      </c>
      <c r="N211" s="178">
        <v>2800</v>
      </c>
      <c r="O211" s="178">
        <v>1172.9000000000001</v>
      </c>
      <c r="P211" s="26">
        <f t="shared" si="143"/>
        <v>0</v>
      </c>
      <c r="Q211" s="178">
        <v>2800</v>
      </c>
      <c r="R211" s="178">
        <v>3000</v>
      </c>
      <c r="S211" s="178">
        <v>3000</v>
      </c>
      <c r="T211" s="266">
        <v>2800</v>
      </c>
      <c r="U211" s="266">
        <v>2496.3000000000002</v>
      </c>
      <c r="V211" s="266">
        <v>2800</v>
      </c>
      <c r="W211" s="266">
        <v>2800</v>
      </c>
      <c r="X211" s="178">
        <v>3000</v>
      </c>
      <c r="Y211" s="266">
        <v>512.70000000000005</v>
      </c>
      <c r="Z211" s="266">
        <f t="shared" si="172"/>
        <v>18.309999999999999</v>
      </c>
      <c r="AA211" s="266">
        <f t="shared" si="173"/>
        <v>0</v>
      </c>
      <c r="AB211" s="266">
        <v>2800</v>
      </c>
      <c r="AC211" s="266">
        <v>1572.87</v>
      </c>
      <c r="AD211" s="266">
        <f t="shared" si="127"/>
        <v>56.173928571428569</v>
      </c>
      <c r="AE211" s="266">
        <f t="shared" si="126"/>
        <v>0</v>
      </c>
      <c r="AF211" s="266">
        <v>2800</v>
      </c>
      <c r="AG211" s="266">
        <v>2800</v>
      </c>
      <c r="AH211" s="266">
        <v>2800</v>
      </c>
      <c r="AI211" s="266">
        <v>2800</v>
      </c>
      <c r="AJ211" s="162" t="b">
        <f t="shared" si="166"/>
        <v>0</v>
      </c>
      <c r="AK211" s="162" t="str">
        <f t="shared" si="167"/>
        <v>PUNO</v>
      </c>
      <c r="AM211" s="264"/>
    </row>
    <row r="212" spans="1:39" s="264" customFormat="1" ht="15.75" x14ac:dyDescent="0.2">
      <c r="A212" s="259"/>
      <c r="B212" s="270"/>
      <c r="C212" s="270"/>
      <c r="D212" s="270"/>
      <c r="E212" s="270"/>
      <c r="F212" s="270"/>
      <c r="G212" s="270"/>
      <c r="H212" s="274" t="s">
        <v>213</v>
      </c>
      <c r="I212" s="273">
        <f>I214</f>
        <v>34900</v>
      </c>
      <c r="J212" s="273">
        <f>J214</f>
        <v>26175</v>
      </c>
      <c r="K212" s="273">
        <f t="shared" si="136"/>
        <v>75</v>
      </c>
      <c r="L212" s="273">
        <f t="shared" si="131"/>
        <v>0</v>
      </c>
      <c r="M212" s="272">
        <f>M214</f>
        <v>34900</v>
      </c>
      <c r="N212" s="272">
        <f>N214</f>
        <v>35000</v>
      </c>
      <c r="O212" s="272">
        <f>O214</f>
        <v>26250</v>
      </c>
      <c r="P212" s="336">
        <f t="shared" si="143"/>
        <v>0</v>
      </c>
      <c r="Q212" s="272">
        <f t="shared" ref="Q212:X212" si="175">Q214</f>
        <v>35000</v>
      </c>
      <c r="R212" s="272">
        <f t="shared" si="175"/>
        <v>35800</v>
      </c>
      <c r="S212" s="272">
        <f t="shared" si="175"/>
        <v>36700</v>
      </c>
      <c r="T212" s="275">
        <f t="shared" si="175"/>
        <v>35000</v>
      </c>
      <c r="U212" s="275">
        <f>U214</f>
        <v>35000</v>
      </c>
      <c r="V212" s="272">
        <f t="shared" si="175"/>
        <v>35000</v>
      </c>
      <c r="W212" s="272">
        <f t="shared" si="175"/>
        <v>35000</v>
      </c>
      <c r="X212" s="272">
        <f t="shared" si="175"/>
        <v>36200</v>
      </c>
      <c r="Y212" s="272">
        <f>Y214</f>
        <v>17500</v>
      </c>
      <c r="Z212" s="272">
        <f t="shared" si="172"/>
        <v>50</v>
      </c>
      <c r="AA212" s="272">
        <f t="shared" si="173"/>
        <v>0</v>
      </c>
      <c r="AB212" s="272">
        <f t="shared" ref="AB212:AI212" si="176">AB214</f>
        <v>35000</v>
      </c>
      <c r="AC212" s="272">
        <f t="shared" si="176"/>
        <v>26250</v>
      </c>
      <c r="AD212" s="272">
        <f t="shared" si="127"/>
        <v>75</v>
      </c>
      <c r="AE212" s="272">
        <f t="shared" si="126"/>
        <v>0</v>
      </c>
      <c r="AF212" s="272">
        <f t="shared" si="176"/>
        <v>35000</v>
      </c>
      <c r="AG212" s="272">
        <f t="shared" si="176"/>
        <v>38000</v>
      </c>
      <c r="AH212" s="272">
        <f t="shared" si="176"/>
        <v>38000</v>
      </c>
      <c r="AI212" s="272">
        <f t="shared" si="176"/>
        <v>38000</v>
      </c>
      <c r="AJ212" s="162" t="b">
        <f t="shared" si="166"/>
        <v>1</v>
      </c>
      <c r="AK212" s="162" t="str">
        <f t="shared" si="167"/>
        <v>PRAZNO</v>
      </c>
      <c r="AL212" s="263"/>
    </row>
    <row r="213" spans="1:39" s="264" customFormat="1" ht="15.75" x14ac:dyDescent="0.2">
      <c r="A213" s="259"/>
      <c r="B213" s="168"/>
      <c r="C213" s="168"/>
      <c r="D213" s="168"/>
      <c r="E213" s="168"/>
      <c r="F213" s="168"/>
      <c r="G213" s="168"/>
      <c r="H213" s="13" t="s">
        <v>46</v>
      </c>
      <c r="I213" s="169"/>
      <c r="J213" s="169"/>
      <c r="K213" s="169"/>
      <c r="L213" s="169"/>
      <c r="M213" s="19"/>
      <c r="N213" s="19"/>
      <c r="O213" s="19"/>
      <c r="P213" s="205"/>
      <c r="Q213" s="19"/>
      <c r="R213" s="19"/>
      <c r="S213" s="19"/>
      <c r="T213" s="53"/>
      <c r="U213" s="53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62" t="b">
        <f t="shared" si="166"/>
        <v>1</v>
      </c>
      <c r="AK213" s="162" t="str">
        <f t="shared" si="167"/>
        <v>PRAZNO</v>
      </c>
      <c r="AL213" s="263"/>
    </row>
    <row r="214" spans="1:39" s="264" customFormat="1" ht="31.5" x14ac:dyDescent="0.2">
      <c r="A214" s="259"/>
      <c r="B214" s="168"/>
      <c r="C214" s="168"/>
      <c r="D214" s="168"/>
      <c r="E214" s="168"/>
      <c r="F214" s="168"/>
      <c r="G214" s="168"/>
      <c r="H214" s="13" t="s">
        <v>214</v>
      </c>
      <c r="I214" s="169">
        <f>I216</f>
        <v>34900</v>
      </c>
      <c r="J214" s="169">
        <f>J216</f>
        <v>26175</v>
      </c>
      <c r="K214" s="169">
        <f t="shared" si="136"/>
        <v>75</v>
      </c>
      <c r="L214" s="169">
        <f t="shared" si="131"/>
        <v>0</v>
      </c>
      <c r="M214" s="19">
        <f>M216</f>
        <v>34900</v>
      </c>
      <c r="N214" s="19">
        <f>N216</f>
        <v>35000</v>
      </c>
      <c r="O214" s="19">
        <f>O216</f>
        <v>26250</v>
      </c>
      <c r="P214" s="303">
        <f t="shared" si="143"/>
        <v>0</v>
      </c>
      <c r="Q214" s="19">
        <f t="shared" ref="Q214:X214" si="177">Q216</f>
        <v>35000</v>
      </c>
      <c r="R214" s="19">
        <f t="shared" si="177"/>
        <v>35800</v>
      </c>
      <c r="S214" s="19">
        <f t="shared" si="177"/>
        <v>36700</v>
      </c>
      <c r="T214" s="53">
        <f t="shared" si="177"/>
        <v>35000</v>
      </c>
      <c r="U214" s="53">
        <f>U216</f>
        <v>35000</v>
      </c>
      <c r="V214" s="19">
        <f t="shared" si="177"/>
        <v>35000</v>
      </c>
      <c r="W214" s="19">
        <f t="shared" si="177"/>
        <v>35000</v>
      </c>
      <c r="X214" s="19">
        <f t="shared" si="177"/>
        <v>36200</v>
      </c>
      <c r="Y214" s="19">
        <f>Y216</f>
        <v>17500</v>
      </c>
      <c r="Z214" s="19">
        <f t="shared" si="172"/>
        <v>50</v>
      </c>
      <c r="AA214" s="19">
        <f t="shared" si="173"/>
        <v>0</v>
      </c>
      <c r="AB214" s="19">
        <f t="shared" ref="AB214:AI214" si="178">AB216</f>
        <v>35000</v>
      </c>
      <c r="AC214" s="19">
        <f t="shared" si="178"/>
        <v>26250</v>
      </c>
      <c r="AD214" s="19">
        <f t="shared" si="127"/>
        <v>75</v>
      </c>
      <c r="AE214" s="19">
        <f t="shared" si="126"/>
        <v>0</v>
      </c>
      <c r="AF214" s="19">
        <f t="shared" si="178"/>
        <v>35000</v>
      </c>
      <c r="AG214" s="19">
        <f t="shared" si="178"/>
        <v>38000</v>
      </c>
      <c r="AH214" s="19">
        <f t="shared" si="178"/>
        <v>38000</v>
      </c>
      <c r="AI214" s="19">
        <f t="shared" si="178"/>
        <v>38000</v>
      </c>
      <c r="AJ214" s="162" t="b">
        <f t="shared" si="166"/>
        <v>1</v>
      </c>
      <c r="AK214" s="162" t="str">
        <f t="shared" si="167"/>
        <v>PRAZNO</v>
      </c>
      <c r="AL214" s="263"/>
    </row>
    <row r="215" spans="1:39" s="264" customFormat="1" ht="15.75" x14ac:dyDescent="0.2">
      <c r="A215" s="259"/>
      <c r="B215" s="260"/>
      <c r="C215" s="260"/>
      <c r="D215" s="260"/>
      <c r="E215" s="260"/>
      <c r="F215" s="260"/>
      <c r="G215" s="260"/>
      <c r="H215" s="440" t="s">
        <v>824</v>
      </c>
      <c r="I215" s="181"/>
      <c r="J215" s="181"/>
      <c r="K215" s="181"/>
      <c r="L215" s="181"/>
      <c r="M215" s="262"/>
      <c r="N215" s="262"/>
      <c r="O215" s="262"/>
      <c r="P215" s="445"/>
      <c r="Q215" s="262"/>
      <c r="R215" s="262"/>
      <c r="S215" s="262"/>
      <c r="T215" s="342"/>
      <c r="U215" s="342"/>
      <c r="V215" s="262">
        <f>V216</f>
        <v>35000</v>
      </c>
      <c r="W215" s="262">
        <f>W216</f>
        <v>35000</v>
      </c>
      <c r="X215" s="262">
        <f>X216</f>
        <v>36200</v>
      </c>
      <c r="Y215" s="262">
        <f>Y216</f>
        <v>17500</v>
      </c>
      <c r="Z215" s="262">
        <f t="shared" si="172"/>
        <v>50</v>
      </c>
      <c r="AA215" s="262">
        <f t="shared" si="173"/>
        <v>0</v>
      </c>
      <c r="AB215" s="262">
        <f t="shared" ref="AB215:AI215" si="179">AB216</f>
        <v>35000</v>
      </c>
      <c r="AC215" s="262">
        <f t="shared" si="179"/>
        <v>26250</v>
      </c>
      <c r="AD215" s="262">
        <f t="shared" si="127"/>
        <v>75</v>
      </c>
      <c r="AE215" s="262">
        <f t="shared" si="126"/>
        <v>0</v>
      </c>
      <c r="AF215" s="262">
        <f t="shared" si="179"/>
        <v>35000</v>
      </c>
      <c r="AG215" s="262">
        <f t="shared" si="179"/>
        <v>38000</v>
      </c>
      <c r="AH215" s="262">
        <f t="shared" si="179"/>
        <v>38000</v>
      </c>
      <c r="AI215" s="262">
        <f t="shared" si="179"/>
        <v>38000</v>
      </c>
      <c r="AJ215" s="162" t="b">
        <f t="shared" si="166"/>
        <v>1</v>
      </c>
      <c r="AK215" s="162" t="str">
        <f t="shared" si="167"/>
        <v>PRAZNO</v>
      </c>
      <c r="AL215" s="263"/>
    </row>
    <row r="216" spans="1:39" s="264" customFormat="1" ht="15.75" x14ac:dyDescent="0.2">
      <c r="A216" s="259"/>
      <c r="B216" s="172">
        <v>3</v>
      </c>
      <c r="C216" s="172"/>
      <c r="D216" s="172"/>
      <c r="E216" s="172"/>
      <c r="F216" s="172"/>
      <c r="G216" s="172"/>
      <c r="H216" s="14" t="s">
        <v>524</v>
      </c>
      <c r="I216" s="20">
        <f t="shared" ref="I216:AI218" si="180">I217</f>
        <v>34900</v>
      </c>
      <c r="J216" s="20">
        <f t="shared" si="180"/>
        <v>26175</v>
      </c>
      <c r="K216" s="20">
        <f t="shared" si="136"/>
        <v>75</v>
      </c>
      <c r="L216" s="20">
        <f t="shared" si="131"/>
        <v>0</v>
      </c>
      <c r="M216" s="20">
        <f t="shared" si="180"/>
        <v>34900</v>
      </c>
      <c r="N216" s="20">
        <f t="shared" si="180"/>
        <v>35000</v>
      </c>
      <c r="O216" s="20">
        <f t="shared" si="180"/>
        <v>26250</v>
      </c>
      <c r="P216" s="55">
        <f t="shared" si="143"/>
        <v>0</v>
      </c>
      <c r="Q216" s="20">
        <f t="shared" si="180"/>
        <v>35000</v>
      </c>
      <c r="R216" s="20">
        <f t="shared" si="180"/>
        <v>35800</v>
      </c>
      <c r="S216" s="20">
        <f t="shared" si="180"/>
        <v>36700</v>
      </c>
      <c r="T216" s="55">
        <f t="shared" si="180"/>
        <v>35000</v>
      </c>
      <c r="U216" s="55">
        <f t="shared" si="180"/>
        <v>35000</v>
      </c>
      <c r="V216" s="20">
        <f t="shared" si="180"/>
        <v>35000</v>
      </c>
      <c r="W216" s="20">
        <f t="shared" si="180"/>
        <v>35000</v>
      </c>
      <c r="X216" s="20">
        <f t="shared" si="180"/>
        <v>36200</v>
      </c>
      <c r="Y216" s="20">
        <f t="shared" si="180"/>
        <v>17500</v>
      </c>
      <c r="Z216" s="20">
        <f t="shared" si="172"/>
        <v>50</v>
      </c>
      <c r="AA216" s="20">
        <f t="shared" si="173"/>
        <v>0</v>
      </c>
      <c r="AB216" s="20">
        <f t="shared" si="180"/>
        <v>35000</v>
      </c>
      <c r="AC216" s="20">
        <f t="shared" si="180"/>
        <v>26250</v>
      </c>
      <c r="AD216" s="20">
        <f t="shared" si="127"/>
        <v>75</v>
      </c>
      <c r="AE216" s="20">
        <f t="shared" si="126"/>
        <v>0</v>
      </c>
      <c r="AF216" s="20">
        <f t="shared" si="180"/>
        <v>35000</v>
      </c>
      <c r="AG216" s="20">
        <f t="shared" si="180"/>
        <v>38000</v>
      </c>
      <c r="AH216" s="20">
        <f t="shared" si="180"/>
        <v>38000</v>
      </c>
      <c r="AI216" s="20">
        <f t="shared" si="180"/>
        <v>38000</v>
      </c>
      <c r="AJ216" s="162" t="b">
        <f t="shared" si="166"/>
        <v>1</v>
      </c>
      <c r="AK216" s="162" t="str">
        <f t="shared" si="167"/>
        <v>PRAZNO</v>
      </c>
      <c r="AL216" s="263"/>
    </row>
    <row r="217" spans="1:39" ht="15.75" x14ac:dyDescent="0.2">
      <c r="B217" s="177"/>
      <c r="C217" s="177">
        <v>38</v>
      </c>
      <c r="D217" s="177"/>
      <c r="E217" s="177"/>
      <c r="F217" s="177"/>
      <c r="G217" s="177"/>
      <c r="H217" s="16" t="s">
        <v>539</v>
      </c>
      <c r="I217" s="17">
        <f t="shared" si="180"/>
        <v>34900</v>
      </c>
      <c r="J217" s="17">
        <f t="shared" si="180"/>
        <v>26175</v>
      </c>
      <c r="K217" s="17">
        <f t="shared" si="136"/>
        <v>75</v>
      </c>
      <c r="L217" s="17">
        <f t="shared" si="131"/>
        <v>0</v>
      </c>
      <c r="M217" s="17">
        <f t="shared" si="180"/>
        <v>34900</v>
      </c>
      <c r="N217" s="17">
        <f t="shared" si="180"/>
        <v>35000</v>
      </c>
      <c r="O217" s="17">
        <f t="shared" si="180"/>
        <v>26250</v>
      </c>
      <c r="P217" s="26">
        <f t="shared" si="143"/>
        <v>0</v>
      </c>
      <c r="Q217" s="17">
        <f t="shared" si="180"/>
        <v>35000</v>
      </c>
      <c r="R217" s="17">
        <f t="shared" si="180"/>
        <v>35800</v>
      </c>
      <c r="S217" s="17">
        <f t="shared" si="180"/>
        <v>36700</v>
      </c>
      <c r="T217" s="26">
        <f t="shared" si="180"/>
        <v>35000</v>
      </c>
      <c r="U217" s="26">
        <f t="shared" si="180"/>
        <v>35000</v>
      </c>
      <c r="V217" s="17">
        <f t="shared" si="180"/>
        <v>35000</v>
      </c>
      <c r="W217" s="17">
        <f t="shared" si="180"/>
        <v>35000</v>
      </c>
      <c r="X217" s="17">
        <f t="shared" si="180"/>
        <v>36200</v>
      </c>
      <c r="Y217" s="17">
        <f t="shared" si="180"/>
        <v>17500</v>
      </c>
      <c r="Z217" s="17">
        <f t="shared" si="172"/>
        <v>50</v>
      </c>
      <c r="AA217" s="17">
        <f t="shared" si="173"/>
        <v>0</v>
      </c>
      <c r="AB217" s="17">
        <f t="shared" si="180"/>
        <v>35000</v>
      </c>
      <c r="AC217" s="17">
        <f t="shared" si="180"/>
        <v>26250</v>
      </c>
      <c r="AD217" s="17">
        <f t="shared" si="127"/>
        <v>75</v>
      </c>
      <c r="AE217" s="17">
        <f t="shared" si="126"/>
        <v>0</v>
      </c>
      <c r="AF217" s="17">
        <f t="shared" si="180"/>
        <v>35000</v>
      </c>
      <c r="AG217" s="17">
        <f t="shared" si="180"/>
        <v>38000</v>
      </c>
      <c r="AH217" s="17">
        <f t="shared" si="180"/>
        <v>38000</v>
      </c>
      <c r="AI217" s="17">
        <f t="shared" si="180"/>
        <v>38000</v>
      </c>
      <c r="AJ217" s="162" t="b">
        <f t="shared" si="166"/>
        <v>1</v>
      </c>
      <c r="AK217" s="162" t="str">
        <f t="shared" si="167"/>
        <v>PRAZNO</v>
      </c>
      <c r="AM217" s="264"/>
    </row>
    <row r="218" spans="1:39" ht="15.75" x14ac:dyDescent="0.2">
      <c r="B218" s="177"/>
      <c r="C218" s="177"/>
      <c r="D218" s="177">
        <v>381</v>
      </c>
      <c r="E218" s="177"/>
      <c r="F218" s="177"/>
      <c r="G218" s="177"/>
      <c r="H218" s="16" t="s">
        <v>540</v>
      </c>
      <c r="I218" s="17">
        <f t="shared" si="180"/>
        <v>34900</v>
      </c>
      <c r="J218" s="17">
        <f t="shared" si="180"/>
        <v>26175</v>
      </c>
      <c r="K218" s="17">
        <f t="shared" si="136"/>
        <v>75</v>
      </c>
      <c r="L218" s="17">
        <f t="shared" si="131"/>
        <v>0</v>
      </c>
      <c r="M218" s="17">
        <f t="shared" si="180"/>
        <v>34900</v>
      </c>
      <c r="N218" s="17">
        <f t="shared" si="180"/>
        <v>35000</v>
      </c>
      <c r="O218" s="17">
        <f t="shared" si="180"/>
        <v>26250</v>
      </c>
      <c r="P218" s="26">
        <f t="shared" si="143"/>
        <v>0</v>
      </c>
      <c r="Q218" s="17">
        <f t="shared" si="180"/>
        <v>35000</v>
      </c>
      <c r="R218" s="17">
        <f t="shared" si="180"/>
        <v>35800</v>
      </c>
      <c r="S218" s="17">
        <f t="shared" si="180"/>
        <v>36700</v>
      </c>
      <c r="T218" s="26">
        <f t="shared" si="180"/>
        <v>35000</v>
      </c>
      <c r="U218" s="26">
        <f t="shared" si="180"/>
        <v>35000</v>
      </c>
      <c r="V218" s="17">
        <f t="shared" si="180"/>
        <v>35000</v>
      </c>
      <c r="W218" s="17">
        <f t="shared" si="180"/>
        <v>35000</v>
      </c>
      <c r="X218" s="17">
        <f t="shared" si="180"/>
        <v>36200</v>
      </c>
      <c r="Y218" s="17">
        <f t="shared" si="180"/>
        <v>17500</v>
      </c>
      <c r="Z218" s="17">
        <f t="shared" si="172"/>
        <v>50</v>
      </c>
      <c r="AA218" s="17">
        <f t="shared" si="173"/>
        <v>0</v>
      </c>
      <c r="AB218" s="17">
        <f t="shared" si="180"/>
        <v>35000</v>
      </c>
      <c r="AC218" s="17">
        <f t="shared" si="180"/>
        <v>26250</v>
      </c>
      <c r="AD218" s="17">
        <f t="shared" si="127"/>
        <v>75</v>
      </c>
      <c r="AE218" s="17">
        <f t="shared" si="126"/>
        <v>0</v>
      </c>
      <c r="AF218" s="17">
        <f t="shared" si="180"/>
        <v>35000</v>
      </c>
      <c r="AG218" s="17">
        <f t="shared" si="180"/>
        <v>38000</v>
      </c>
      <c r="AH218" s="17">
        <f t="shared" si="180"/>
        <v>38000</v>
      </c>
      <c r="AI218" s="17">
        <f t="shared" si="180"/>
        <v>38000</v>
      </c>
      <c r="AJ218" s="162" t="b">
        <f t="shared" si="166"/>
        <v>1</v>
      </c>
      <c r="AK218" s="162" t="str">
        <f t="shared" si="167"/>
        <v>PRAZNO</v>
      </c>
      <c r="AM218" s="264"/>
    </row>
    <row r="219" spans="1:39" ht="15.75" x14ac:dyDescent="0.2">
      <c r="B219" s="177"/>
      <c r="C219" s="177"/>
      <c r="D219" s="177"/>
      <c r="E219" s="177">
        <v>3811</v>
      </c>
      <c r="F219" s="176">
        <v>11</v>
      </c>
      <c r="G219" s="176" t="s">
        <v>527</v>
      </c>
      <c r="H219" s="16" t="s">
        <v>215</v>
      </c>
      <c r="I219" s="18">
        <v>34900</v>
      </c>
      <c r="J219" s="18">
        <v>26175</v>
      </c>
      <c r="K219" s="18">
        <f t="shared" si="136"/>
        <v>75</v>
      </c>
      <c r="L219" s="18">
        <f t="shared" si="131"/>
        <v>0</v>
      </c>
      <c r="M219" s="18">
        <v>34900</v>
      </c>
      <c r="N219" s="18">
        <v>35000</v>
      </c>
      <c r="O219" s="18">
        <v>26250</v>
      </c>
      <c r="P219" s="26">
        <f t="shared" si="143"/>
        <v>0</v>
      </c>
      <c r="Q219" s="18">
        <v>35000</v>
      </c>
      <c r="R219" s="18">
        <v>35800</v>
      </c>
      <c r="S219" s="18">
        <v>36700</v>
      </c>
      <c r="T219" s="27">
        <v>35000</v>
      </c>
      <c r="U219" s="27">
        <v>35000</v>
      </c>
      <c r="V219" s="27">
        <v>35000</v>
      </c>
      <c r="W219" s="27">
        <v>35000</v>
      </c>
      <c r="X219" s="18">
        <v>36200</v>
      </c>
      <c r="Y219" s="27">
        <v>17500</v>
      </c>
      <c r="Z219" s="27">
        <f t="shared" si="172"/>
        <v>50</v>
      </c>
      <c r="AA219" s="27">
        <f t="shared" si="173"/>
        <v>0</v>
      </c>
      <c r="AB219" s="27">
        <v>35000</v>
      </c>
      <c r="AC219" s="27">
        <v>26250</v>
      </c>
      <c r="AD219" s="27">
        <f t="shared" si="127"/>
        <v>75</v>
      </c>
      <c r="AE219" s="27">
        <f t="shared" si="126"/>
        <v>0</v>
      </c>
      <c r="AF219" s="27">
        <v>35000</v>
      </c>
      <c r="AG219" s="27">
        <v>38000</v>
      </c>
      <c r="AH219" s="27">
        <v>38000</v>
      </c>
      <c r="AI219" s="27">
        <v>38000</v>
      </c>
      <c r="AJ219" s="162" t="b">
        <f t="shared" si="166"/>
        <v>0</v>
      </c>
      <c r="AK219" s="162" t="str">
        <f t="shared" si="167"/>
        <v>PUNO</v>
      </c>
      <c r="AM219" s="264"/>
    </row>
    <row r="220" spans="1:39" s="264" customFormat="1" ht="15.75" x14ac:dyDescent="0.2">
      <c r="A220" s="259"/>
      <c r="B220" s="270"/>
      <c r="C220" s="270"/>
      <c r="D220" s="270"/>
      <c r="E220" s="270"/>
      <c r="F220" s="270"/>
      <c r="G220" s="270"/>
      <c r="H220" s="274" t="s">
        <v>216</v>
      </c>
      <c r="I220" s="273">
        <f>I222</f>
        <v>34900</v>
      </c>
      <c r="J220" s="273">
        <f>J222</f>
        <v>27210.84</v>
      </c>
      <c r="K220" s="273">
        <f t="shared" si="136"/>
        <v>77.97</v>
      </c>
      <c r="L220" s="273">
        <f t="shared" si="131"/>
        <v>0</v>
      </c>
      <c r="M220" s="272">
        <f>M222</f>
        <v>34900</v>
      </c>
      <c r="N220" s="272">
        <f>N222</f>
        <v>35000</v>
      </c>
      <c r="O220" s="272">
        <f>O222</f>
        <v>22553.26</v>
      </c>
      <c r="P220" s="336">
        <f t="shared" si="143"/>
        <v>0</v>
      </c>
      <c r="Q220" s="272">
        <f t="shared" ref="Q220:X220" si="181">Q222</f>
        <v>35000</v>
      </c>
      <c r="R220" s="272">
        <f t="shared" si="181"/>
        <v>35800</v>
      </c>
      <c r="S220" s="272">
        <f t="shared" si="181"/>
        <v>36700</v>
      </c>
      <c r="T220" s="275">
        <f t="shared" si="181"/>
        <v>35000</v>
      </c>
      <c r="U220" s="275">
        <f>U222</f>
        <v>35000</v>
      </c>
      <c r="V220" s="272">
        <f t="shared" si="181"/>
        <v>35000</v>
      </c>
      <c r="W220" s="272">
        <f t="shared" si="181"/>
        <v>35000</v>
      </c>
      <c r="X220" s="272">
        <f t="shared" si="181"/>
        <v>36200</v>
      </c>
      <c r="Y220" s="272">
        <f>Y222</f>
        <v>8750</v>
      </c>
      <c r="Z220" s="272">
        <f t="shared" si="172"/>
        <v>25</v>
      </c>
      <c r="AA220" s="272">
        <f t="shared" si="173"/>
        <v>0</v>
      </c>
      <c r="AB220" s="272">
        <f t="shared" ref="AB220:AI220" si="182">AB222</f>
        <v>35000</v>
      </c>
      <c r="AC220" s="272">
        <f t="shared" si="182"/>
        <v>26250</v>
      </c>
      <c r="AD220" s="272">
        <f t="shared" si="127"/>
        <v>75</v>
      </c>
      <c r="AE220" s="272">
        <f t="shared" si="126"/>
        <v>0</v>
      </c>
      <c r="AF220" s="272">
        <f t="shared" si="182"/>
        <v>35000</v>
      </c>
      <c r="AG220" s="272">
        <f t="shared" si="182"/>
        <v>38000</v>
      </c>
      <c r="AH220" s="272">
        <f t="shared" si="182"/>
        <v>38000</v>
      </c>
      <c r="AI220" s="272">
        <f t="shared" si="182"/>
        <v>38000</v>
      </c>
      <c r="AJ220" s="162" t="b">
        <f t="shared" si="166"/>
        <v>1</v>
      </c>
      <c r="AK220" s="162" t="str">
        <f t="shared" si="167"/>
        <v>PRAZNO</v>
      </c>
      <c r="AL220" s="263"/>
    </row>
    <row r="221" spans="1:39" s="264" customFormat="1" ht="15.75" x14ac:dyDescent="0.2">
      <c r="A221" s="259"/>
      <c r="B221" s="168"/>
      <c r="C221" s="168"/>
      <c r="D221" s="168"/>
      <c r="E221" s="168"/>
      <c r="F221" s="168"/>
      <c r="G221" s="168"/>
      <c r="H221" s="13" t="s">
        <v>46</v>
      </c>
      <c r="I221" s="169"/>
      <c r="J221" s="169"/>
      <c r="K221" s="169"/>
      <c r="L221" s="169"/>
      <c r="M221" s="19"/>
      <c r="N221" s="19"/>
      <c r="O221" s="19"/>
      <c r="P221" s="205"/>
      <c r="Q221" s="19"/>
      <c r="R221" s="19"/>
      <c r="S221" s="19"/>
      <c r="T221" s="53"/>
      <c r="U221" s="53"/>
      <c r="V221" s="19"/>
      <c r="W221" s="19"/>
      <c r="X221" s="19"/>
      <c r="Y221" s="19"/>
      <c r="Z221" s="19"/>
      <c r="AA221" s="19"/>
      <c r="AB221" s="19"/>
      <c r="AC221" s="19"/>
      <c r="AD221" s="19"/>
      <c r="AE221" s="19">
        <f t="shared" si="126"/>
        <v>0</v>
      </c>
      <c r="AF221" s="19"/>
      <c r="AG221" s="19"/>
      <c r="AH221" s="19"/>
      <c r="AI221" s="19"/>
      <c r="AJ221" s="162" t="b">
        <f t="shared" si="166"/>
        <v>1</v>
      </c>
      <c r="AK221" s="162" t="str">
        <f t="shared" si="167"/>
        <v>PRAZNO</v>
      </c>
      <c r="AL221" s="263"/>
    </row>
    <row r="222" spans="1:39" s="264" customFormat="1" ht="15.75" x14ac:dyDescent="0.2">
      <c r="A222" s="259"/>
      <c r="B222" s="168"/>
      <c r="C222" s="168"/>
      <c r="D222" s="168"/>
      <c r="E222" s="168"/>
      <c r="F222" s="168"/>
      <c r="G222" s="168"/>
      <c r="H222" s="13" t="s">
        <v>217</v>
      </c>
      <c r="I222" s="169">
        <f>I224</f>
        <v>34900</v>
      </c>
      <c r="J222" s="169">
        <f>J224</f>
        <v>27210.84</v>
      </c>
      <c r="K222" s="169">
        <f t="shared" si="136"/>
        <v>77.97</v>
      </c>
      <c r="L222" s="169">
        <f t="shared" si="131"/>
        <v>0</v>
      </c>
      <c r="M222" s="19">
        <f>M224</f>
        <v>34900</v>
      </c>
      <c r="N222" s="19">
        <f>N224</f>
        <v>35000</v>
      </c>
      <c r="O222" s="19">
        <f>O224</f>
        <v>22553.26</v>
      </c>
      <c r="P222" s="205">
        <f t="shared" si="143"/>
        <v>0</v>
      </c>
      <c r="Q222" s="19">
        <f t="shared" ref="Q222:X222" si="183">Q224</f>
        <v>35000</v>
      </c>
      <c r="R222" s="19">
        <f t="shared" si="183"/>
        <v>35800</v>
      </c>
      <c r="S222" s="19">
        <f t="shared" si="183"/>
        <v>36700</v>
      </c>
      <c r="T222" s="53">
        <f t="shared" si="183"/>
        <v>35000</v>
      </c>
      <c r="U222" s="53">
        <f>U224</f>
        <v>35000</v>
      </c>
      <c r="V222" s="19">
        <f t="shared" si="183"/>
        <v>35000</v>
      </c>
      <c r="W222" s="19">
        <f t="shared" si="183"/>
        <v>35000</v>
      </c>
      <c r="X222" s="19">
        <f t="shared" si="183"/>
        <v>36200</v>
      </c>
      <c r="Y222" s="19">
        <f>Y224</f>
        <v>8750</v>
      </c>
      <c r="Z222" s="19">
        <f t="shared" si="172"/>
        <v>25</v>
      </c>
      <c r="AA222" s="19">
        <f t="shared" si="173"/>
        <v>0</v>
      </c>
      <c r="AB222" s="19">
        <f t="shared" ref="AB222:AI222" si="184">AB224</f>
        <v>35000</v>
      </c>
      <c r="AC222" s="19">
        <f t="shared" si="184"/>
        <v>26250</v>
      </c>
      <c r="AD222" s="19">
        <f t="shared" si="127"/>
        <v>75</v>
      </c>
      <c r="AE222" s="19">
        <f t="shared" si="126"/>
        <v>0</v>
      </c>
      <c r="AF222" s="19">
        <f t="shared" si="184"/>
        <v>35000</v>
      </c>
      <c r="AG222" s="19">
        <f t="shared" si="184"/>
        <v>38000</v>
      </c>
      <c r="AH222" s="19">
        <f t="shared" si="184"/>
        <v>38000</v>
      </c>
      <c r="AI222" s="19">
        <f t="shared" si="184"/>
        <v>38000</v>
      </c>
      <c r="AJ222" s="162" t="b">
        <f t="shared" si="166"/>
        <v>1</v>
      </c>
      <c r="AK222" s="162" t="str">
        <f t="shared" si="167"/>
        <v>PRAZNO</v>
      </c>
      <c r="AL222" s="263"/>
    </row>
    <row r="223" spans="1:39" s="264" customFormat="1" ht="15.75" x14ac:dyDescent="0.2">
      <c r="A223" s="259"/>
      <c r="B223" s="260"/>
      <c r="C223" s="260"/>
      <c r="D223" s="260"/>
      <c r="E223" s="260"/>
      <c r="F223" s="260"/>
      <c r="G223" s="260"/>
      <c r="H223" s="440" t="s">
        <v>824</v>
      </c>
      <c r="I223" s="181"/>
      <c r="J223" s="181"/>
      <c r="K223" s="181"/>
      <c r="L223" s="181"/>
      <c r="M223" s="262"/>
      <c r="N223" s="262"/>
      <c r="O223" s="262"/>
      <c r="P223" s="307"/>
      <c r="Q223" s="262"/>
      <c r="R223" s="262"/>
      <c r="S223" s="262"/>
      <c r="T223" s="342"/>
      <c r="U223" s="342"/>
      <c r="V223" s="262">
        <f t="shared" ref="V223:AI226" si="185">V224</f>
        <v>35000</v>
      </c>
      <c r="W223" s="262">
        <f t="shared" si="185"/>
        <v>35000</v>
      </c>
      <c r="X223" s="262">
        <f t="shared" si="185"/>
        <v>36200</v>
      </c>
      <c r="Y223" s="262">
        <f t="shared" si="185"/>
        <v>8750</v>
      </c>
      <c r="Z223" s="262">
        <f t="shared" si="172"/>
        <v>25</v>
      </c>
      <c r="AA223" s="262">
        <f t="shared" si="173"/>
        <v>0</v>
      </c>
      <c r="AB223" s="262">
        <f t="shared" si="185"/>
        <v>35000</v>
      </c>
      <c r="AC223" s="262">
        <f t="shared" si="185"/>
        <v>26250</v>
      </c>
      <c r="AD223" s="262">
        <f t="shared" si="127"/>
        <v>75</v>
      </c>
      <c r="AE223" s="262">
        <f t="shared" ref="AE223:AE294" si="186">AF223-AB223</f>
        <v>0</v>
      </c>
      <c r="AF223" s="262">
        <f t="shared" si="185"/>
        <v>35000</v>
      </c>
      <c r="AG223" s="262">
        <f t="shared" si="185"/>
        <v>38000</v>
      </c>
      <c r="AH223" s="262">
        <f t="shared" si="185"/>
        <v>38000</v>
      </c>
      <c r="AI223" s="262">
        <f t="shared" si="185"/>
        <v>38000</v>
      </c>
      <c r="AJ223" s="162" t="b">
        <f t="shared" si="166"/>
        <v>1</v>
      </c>
      <c r="AK223" s="162" t="str">
        <f t="shared" si="167"/>
        <v>PRAZNO</v>
      </c>
      <c r="AL223" s="263"/>
    </row>
    <row r="224" spans="1:39" s="264" customFormat="1" ht="15.75" x14ac:dyDescent="0.2">
      <c r="A224" s="259"/>
      <c r="B224" s="172">
        <v>3</v>
      </c>
      <c r="C224" s="172"/>
      <c r="D224" s="172"/>
      <c r="E224" s="172"/>
      <c r="F224" s="172"/>
      <c r="G224" s="172"/>
      <c r="H224" s="14" t="s">
        <v>524</v>
      </c>
      <c r="I224" s="184">
        <f t="shared" ref="I224:J226" si="187">I225</f>
        <v>34900</v>
      </c>
      <c r="J224" s="184">
        <f t="shared" si="187"/>
        <v>27210.84</v>
      </c>
      <c r="K224" s="184">
        <f t="shared" si="136"/>
        <v>77.97</v>
      </c>
      <c r="L224" s="184">
        <f t="shared" si="131"/>
        <v>0</v>
      </c>
      <c r="M224" s="184">
        <f t="shared" ref="M224:O226" si="188">M225</f>
        <v>34900</v>
      </c>
      <c r="N224" s="184">
        <f t="shared" si="188"/>
        <v>35000</v>
      </c>
      <c r="O224" s="184">
        <f t="shared" si="188"/>
        <v>22553.26</v>
      </c>
      <c r="P224" s="55">
        <f t="shared" si="143"/>
        <v>0</v>
      </c>
      <c r="Q224" s="184">
        <f t="shared" ref="Q224:U226" si="189">Q225</f>
        <v>35000</v>
      </c>
      <c r="R224" s="184">
        <f t="shared" si="189"/>
        <v>35800</v>
      </c>
      <c r="S224" s="184">
        <f t="shared" si="189"/>
        <v>36700</v>
      </c>
      <c r="T224" s="185">
        <f t="shared" si="189"/>
        <v>35000</v>
      </c>
      <c r="U224" s="185">
        <f t="shared" si="189"/>
        <v>35000</v>
      </c>
      <c r="V224" s="184">
        <f t="shared" si="185"/>
        <v>35000</v>
      </c>
      <c r="W224" s="184">
        <f t="shared" si="185"/>
        <v>35000</v>
      </c>
      <c r="X224" s="184">
        <f t="shared" si="185"/>
        <v>36200</v>
      </c>
      <c r="Y224" s="184">
        <f t="shared" si="185"/>
        <v>8750</v>
      </c>
      <c r="Z224" s="184">
        <f t="shared" si="172"/>
        <v>25</v>
      </c>
      <c r="AA224" s="184">
        <f t="shared" si="173"/>
        <v>0</v>
      </c>
      <c r="AB224" s="184">
        <f t="shared" si="185"/>
        <v>35000</v>
      </c>
      <c r="AC224" s="184">
        <f t="shared" si="185"/>
        <v>26250</v>
      </c>
      <c r="AD224" s="184">
        <f t="shared" ref="AD224:AD294" si="190">AC224/AB224*100</f>
        <v>75</v>
      </c>
      <c r="AE224" s="184">
        <f t="shared" si="186"/>
        <v>0</v>
      </c>
      <c r="AF224" s="184">
        <f t="shared" si="185"/>
        <v>35000</v>
      </c>
      <c r="AG224" s="184">
        <f t="shared" si="185"/>
        <v>38000</v>
      </c>
      <c r="AH224" s="184">
        <f t="shared" si="185"/>
        <v>38000</v>
      </c>
      <c r="AI224" s="184">
        <f t="shared" si="185"/>
        <v>38000</v>
      </c>
      <c r="AJ224" s="162" t="b">
        <f t="shared" si="166"/>
        <v>1</v>
      </c>
      <c r="AK224" s="162" t="str">
        <f t="shared" si="167"/>
        <v>PRAZNO</v>
      </c>
      <c r="AL224" s="263"/>
    </row>
    <row r="225" spans="1:39" ht="15.75" x14ac:dyDescent="0.2">
      <c r="B225" s="177"/>
      <c r="C225" s="177">
        <v>38</v>
      </c>
      <c r="D225" s="177"/>
      <c r="E225" s="177"/>
      <c r="F225" s="177"/>
      <c r="G225" s="177"/>
      <c r="H225" s="16" t="s">
        <v>539</v>
      </c>
      <c r="I225" s="18">
        <f t="shared" si="187"/>
        <v>34900</v>
      </c>
      <c r="J225" s="18">
        <f t="shared" si="187"/>
        <v>27210.84</v>
      </c>
      <c r="K225" s="18">
        <f t="shared" si="136"/>
        <v>77.97</v>
      </c>
      <c r="L225" s="18">
        <f t="shared" si="131"/>
        <v>0</v>
      </c>
      <c r="M225" s="18">
        <f t="shared" si="188"/>
        <v>34900</v>
      </c>
      <c r="N225" s="18">
        <f t="shared" si="188"/>
        <v>35000</v>
      </c>
      <c r="O225" s="18">
        <f t="shared" si="188"/>
        <v>22553.26</v>
      </c>
      <c r="P225" s="26">
        <f t="shared" si="143"/>
        <v>0</v>
      </c>
      <c r="Q225" s="18">
        <f t="shared" si="189"/>
        <v>35000</v>
      </c>
      <c r="R225" s="18">
        <f t="shared" si="189"/>
        <v>35800</v>
      </c>
      <c r="S225" s="18">
        <f t="shared" si="189"/>
        <v>36700</v>
      </c>
      <c r="T225" s="27">
        <f t="shared" si="189"/>
        <v>35000</v>
      </c>
      <c r="U225" s="27">
        <f t="shared" si="189"/>
        <v>35000</v>
      </c>
      <c r="V225" s="18">
        <f t="shared" si="185"/>
        <v>35000</v>
      </c>
      <c r="W225" s="18">
        <f t="shared" si="185"/>
        <v>35000</v>
      </c>
      <c r="X225" s="18">
        <f t="shared" si="185"/>
        <v>36200</v>
      </c>
      <c r="Y225" s="18">
        <f t="shared" si="185"/>
        <v>8750</v>
      </c>
      <c r="Z225" s="18">
        <f t="shared" si="172"/>
        <v>25</v>
      </c>
      <c r="AA225" s="18">
        <f t="shared" si="173"/>
        <v>0</v>
      </c>
      <c r="AB225" s="18">
        <f t="shared" si="185"/>
        <v>35000</v>
      </c>
      <c r="AC225" s="18">
        <f t="shared" si="185"/>
        <v>26250</v>
      </c>
      <c r="AD225" s="18">
        <f t="shared" si="190"/>
        <v>75</v>
      </c>
      <c r="AE225" s="18">
        <f t="shared" si="186"/>
        <v>0</v>
      </c>
      <c r="AF225" s="18">
        <f t="shared" si="185"/>
        <v>35000</v>
      </c>
      <c r="AG225" s="18">
        <f t="shared" si="185"/>
        <v>38000</v>
      </c>
      <c r="AH225" s="18">
        <f t="shared" si="185"/>
        <v>38000</v>
      </c>
      <c r="AI225" s="18">
        <f t="shared" si="185"/>
        <v>38000</v>
      </c>
      <c r="AJ225" s="162" t="b">
        <f t="shared" si="166"/>
        <v>1</v>
      </c>
      <c r="AK225" s="162" t="str">
        <f t="shared" si="167"/>
        <v>PRAZNO</v>
      </c>
      <c r="AM225" s="264"/>
    </row>
    <row r="226" spans="1:39" ht="15.75" x14ac:dyDescent="0.2">
      <c r="B226" s="177"/>
      <c r="C226" s="177"/>
      <c r="D226" s="177">
        <v>381</v>
      </c>
      <c r="E226" s="177"/>
      <c r="F226" s="177"/>
      <c r="G226" s="177"/>
      <c r="H226" s="16" t="s">
        <v>540</v>
      </c>
      <c r="I226" s="18">
        <f t="shared" si="187"/>
        <v>34900</v>
      </c>
      <c r="J226" s="18">
        <f t="shared" si="187"/>
        <v>27210.84</v>
      </c>
      <c r="K226" s="18">
        <f t="shared" si="136"/>
        <v>77.97</v>
      </c>
      <c r="L226" s="18">
        <f t="shared" si="131"/>
        <v>0</v>
      </c>
      <c r="M226" s="18">
        <f t="shared" si="188"/>
        <v>34900</v>
      </c>
      <c r="N226" s="18">
        <f t="shared" si="188"/>
        <v>35000</v>
      </c>
      <c r="O226" s="18">
        <f t="shared" si="188"/>
        <v>22553.26</v>
      </c>
      <c r="P226" s="26">
        <f t="shared" si="143"/>
        <v>0</v>
      </c>
      <c r="Q226" s="18">
        <f t="shared" si="189"/>
        <v>35000</v>
      </c>
      <c r="R226" s="18">
        <f t="shared" si="189"/>
        <v>35800</v>
      </c>
      <c r="S226" s="18">
        <f t="shared" si="189"/>
        <v>36700</v>
      </c>
      <c r="T226" s="27">
        <f t="shared" si="189"/>
        <v>35000</v>
      </c>
      <c r="U226" s="27">
        <f t="shared" si="189"/>
        <v>35000</v>
      </c>
      <c r="V226" s="18">
        <f t="shared" si="185"/>
        <v>35000</v>
      </c>
      <c r="W226" s="18">
        <f t="shared" si="185"/>
        <v>35000</v>
      </c>
      <c r="X226" s="18">
        <f t="shared" si="185"/>
        <v>36200</v>
      </c>
      <c r="Y226" s="18">
        <f t="shared" si="185"/>
        <v>8750</v>
      </c>
      <c r="Z226" s="18">
        <f t="shared" si="172"/>
        <v>25</v>
      </c>
      <c r="AA226" s="18">
        <f t="shared" si="173"/>
        <v>0</v>
      </c>
      <c r="AB226" s="18">
        <f t="shared" si="185"/>
        <v>35000</v>
      </c>
      <c r="AC226" s="18">
        <f t="shared" si="185"/>
        <v>26250</v>
      </c>
      <c r="AD226" s="18">
        <f t="shared" si="190"/>
        <v>75</v>
      </c>
      <c r="AE226" s="18">
        <f t="shared" si="186"/>
        <v>0</v>
      </c>
      <c r="AF226" s="18">
        <f t="shared" si="185"/>
        <v>35000</v>
      </c>
      <c r="AG226" s="18">
        <f t="shared" si="185"/>
        <v>38000</v>
      </c>
      <c r="AH226" s="18">
        <f t="shared" si="185"/>
        <v>38000</v>
      </c>
      <c r="AI226" s="18">
        <f t="shared" si="185"/>
        <v>38000</v>
      </c>
      <c r="AJ226" s="162" t="b">
        <f t="shared" si="166"/>
        <v>1</v>
      </c>
      <c r="AK226" s="162" t="str">
        <f t="shared" si="167"/>
        <v>PRAZNO</v>
      </c>
      <c r="AM226" s="264"/>
    </row>
    <row r="227" spans="1:39" ht="15.75" x14ac:dyDescent="0.2">
      <c r="B227" s="177"/>
      <c r="C227" s="177"/>
      <c r="D227" s="177"/>
      <c r="E227" s="177">
        <v>3811</v>
      </c>
      <c r="F227" s="176">
        <v>11</v>
      </c>
      <c r="G227" s="176" t="s">
        <v>527</v>
      </c>
      <c r="H227" s="16" t="s">
        <v>215</v>
      </c>
      <c r="I227" s="18">
        <v>34900</v>
      </c>
      <c r="J227" s="18">
        <v>27210.84</v>
      </c>
      <c r="K227" s="18">
        <f t="shared" si="136"/>
        <v>77.97</v>
      </c>
      <c r="L227" s="18">
        <f t="shared" si="131"/>
        <v>0</v>
      </c>
      <c r="M227" s="18">
        <v>34900</v>
      </c>
      <c r="N227" s="18">
        <v>35000</v>
      </c>
      <c r="O227" s="18">
        <v>22553.26</v>
      </c>
      <c r="P227" s="26">
        <f t="shared" si="143"/>
        <v>0</v>
      </c>
      <c r="Q227" s="18">
        <v>35000</v>
      </c>
      <c r="R227" s="18">
        <v>35800</v>
      </c>
      <c r="S227" s="18">
        <v>36700</v>
      </c>
      <c r="T227" s="27">
        <v>35000</v>
      </c>
      <c r="U227" s="27">
        <v>35000</v>
      </c>
      <c r="V227" s="27">
        <v>35000</v>
      </c>
      <c r="W227" s="27">
        <v>35000</v>
      </c>
      <c r="X227" s="18">
        <v>36200</v>
      </c>
      <c r="Y227" s="27">
        <v>8750</v>
      </c>
      <c r="Z227" s="27">
        <f t="shared" si="172"/>
        <v>25</v>
      </c>
      <c r="AA227" s="27">
        <f t="shared" si="173"/>
        <v>0</v>
      </c>
      <c r="AB227" s="27">
        <v>35000</v>
      </c>
      <c r="AC227" s="27">
        <v>26250</v>
      </c>
      <c r="AD227" s="27">
        <f t="shared" si="190"/>
        <v>75</v>
      </c>
      <c r="AE227" s="27">
        <f t="shared" si="186"/>
        <v>0</v>
      </c>
      <c r="AF227" s="27">
        <v>35000</v>
      </c>
      <c r="AG227" s="27">
        <v>38000</v>
      </c>
      <c r="AH227" s="27">
        <v>38000</v>
      </c>
      <c r="AI227" s="27">
        <v>38000</v>
      </c>
      <c r="AJ227" s="162" t="b">
        <f t="shared" si="166"/>
        <v>0</v>
      </c>
      <c r="AK227" s="162" t="str">
        <f t="shared" si="167"/>
        <v>PUNO</v>
      </c>
      <c r="AM227" s="264"/>
    </row>
    <row r="228" spans="1:39" s="264" customFormat="1" ht="15.75" x14ac:dyDescent="0.2">
      <c r="A228" s="259"/>
      <c r="B228" s="270"/>
      <c r="C228" s="270"/>
      <c r="D228" s="270"/>
      <c r="E228" s="270"/>
      <c r="F228" s="270"/>
      <c r="G228" s="270"/>
      <c r="H228" s="274" t="s">
        <v>706</v>
      </c>
      <c r="I228" s="273">
        <f>I230</f>
        <v>0</v>
      </c>
      <c r="J228" s="273">
        <f>J230</f>
        <v>0</v>
      </c>
      <c r="K228" s="273" t="e">
        <f t="shared" si="136"/>
        <v>#DIV/0!</v>
      </c>
      <c r="L228" s="273">
        <f t="shared" si="131"/>
        <v>12450</v>
      </c>
      <c r="M228" s="272">
        <f>M230</f>
        <v>12450</v>
      </c>
      <c r="N228" s="272">
        <f>N230</f>
        <v>35000</v>
      </c>
      <c r="O228" s="272">
        <f>O230</f>
        <v>26250</v>
      </c>
      <c r="P228" s="336">
        <f t="shared" si="143"/>
        <v>0</v>
      </c>
      <c r="Q228" s="272">
        <f t="shared" ref="Q228:X228" si="191">Q230</f>
        <v>35000</v>
      </c>
      <c r="R228" s="272">
        <f t="shared" si="191"/>
        <v>35800</v>
      </c>
      <c r="S228" s="272">
        <f t="shared" si="191"/>
        <v>36700</v>
      </c>
      <c r="T228" s="275">
        <f t="shared" si="191"/>
        <v>35000</v>
      </c>
      <c r="U228" s="275">
        <f>U230</f>
        <v>35000</v>
      </c>
      <c r="V228" s="272">
        <f t="shared" si="191"/>
        <v>35000</v>
      </c>
      <c r="W228" s="272">
        <f t="shared" si="191"/>
        <v>35000</v>
      </c>
      <c r="X228" s="272">
        <f t="shared" si="191"/>
        <v>36200</v>
      </c>
      <c r="Y228" s="272">
        <f>Y230</f>
        <v>17500</v>
      </c>
      <c r="Z228" s="272">
        <f t="shared" si="172"/>
        <v>50</v>
      </c>
      <c r="AA228" s="272">
        <f t="shared" si="173"/>
        <v>0</v>
      </c>
      <c r="AB228" s="272">
        <f t="shared" ref="AB228:AI228" si="192">AB230</f>
        <v>35000</v>
      </c>
      <c r="AC228" s="272">
        <f t="shared" si="192"/>
        <v>26250</v>
      </c>
      <c r="AD228" s="272">
        <f t="shared" si="190"/>
        <v>75</v>
      </c>
      <c r="AE228" s="272">
        <f t="shared" si="186"/>
        <v>0</v>
      </c>
      <c r="AF228" s="272">
        <f t="shared" si="192"/>
        <v>35000</v>
      </c>
      <c r="AG228" s="272">
        <f t="shared" si="192"/>
        <v>38000</v>
      </c>
      <c r="AH228" s="272">
        <f t="shared" si="192"/>
        <v>38000</v>
      </c>
      <c r="AI228" s="272">
        <f t="shared" si="192"/>
        <v>38000</v>
      </c>
      <c r="AJ228" s="162" t="b">
        <f t="shared" si="166"/>
        <v>1</v>
      </c>
      <c r="AK228" s="162" t="str">
        <f t="shared" si="167"/>
        <v>PRAZNO</v>
      </c>
      <c r="AL228" s="263"/>
    </row>
    <row r="229" spans="1:39" s="264" customFormat="1" ht="15.75" x14ac:dyDescent="0.2">
      <c r="A229" s="259"/>
      <c r="B229" s="168"/>
      <c r="C229" s="168"/>
      <c r="D229" s="168"/>
      <c r="E229" s="168"/>
      <c r="F229" s="168"/>
      <c r="G229" s="168"/>
      <c r="H229" s="13" t="s">
        <v>46</v>
      </c>
      <c r="I229" s="169"/>
      <c r="J229" s="169"/>
      <c r="K229" s="169"/>
      <c r="L229" s="169"/>
      <c r="M229" s="19"/>
      <c r="N229" s="19"/>
      <c r="O229" s="19"/>
      <c r="P229" s="205"/>
      <c r="Q229" s="19"/>
      <c r="R229" s="19"/>
      <c r="S229" s="19"/>
      <c r="T229" s="53"/>
      <c r="U229" s="53"/>
      <c r="V229" s="19"/>
      <c r="W229" s="19"/>
      <c r="X229" s="19"/>
      <c r="Y229" s="19"/>
      <c r="Z229" s="19"/>
      <c r="AA229" s="19"/>
      <c r="AB229" s="19"/>
      <c r="AC229" s="19"/>
      <c r="AD229" s="19"/>
      <c r="AE229" s="19">
        <f t="shared" si="186"/>
        <v>0</v>
      </c>
      <c r="AF229" s="19"/>
      <c r="AG229" s="19"/>
      <c r="AH229" s="19"/>
      <c r="AI229" s="19"/>
      <c r="AJ229" s="162" t="b">
        <f t="shared" si="166"/>
        <v>1</v>
      </c>
      <c r="AK229" s="162" t="str">
        <f t="shared" si="167"/>
        <v>PRAZNO</v>
      </c>
      <c r="AL229" s="263"/>
    </row>
    <row r="230" spans="1:39" s="264" customFormat="1" ht="15.75" x14ac:dyDescent="0.2">
      <c r="A230" s="259"/>
      <c r="B230" s="168"/>
      <c r="C230" s="168"/>
      <c r="D230" s="168"/>
      <c r="E230" s="168"/>
      <c r="F230" s="168"/>
      <c r="G230" s="168"/>
      <c r="H230" s="13" t="s">
        <v>576</v>
      </c>
      <c r="I230" s="169">
        <f>I232</f>
        <v>0</v>
      </c>
      <c r="J230" s="169">
        <f>J232</f>
        <v>0</v>
      </c>
      <c r="K230" s="169" t="e">
        <f t="shared" si="136"/>
        <v>#DIV/0!</v>
      </c>
      <c r="L230" s="169">
        <f t="shared" si="131"/>
        <v>12450</v>
      </c>
      <c r="M230" s="19">
        <f>M232</f>
        <v>12450</v>
      </c>
      <c r="N230" s="19">
        <f>N232</f>
        <v>35000</v>
      </c>
      <c r="O230" s="19">
        <f>O232</f>
        <v>26250</v>
      </c>
      <c r="P230" s="303">
        <f t="shared" si="143"/>
        <v>0</v>
      </c>
      <c r="Q230" s="19">
        <f t="shared" ref="Q230:X230" si="193">Q232</f>
        <v>35000</v>
      </c>
      <c r="R230" s="19">
        <f t="shared" si="193"/>
        <v>35800</v>
      </c>
      <c r="S230" s="19">
        <f t="shared" si="193"/>
        <v>36700</v>
      </c>
      <c r="T230" s="53">
        <f t="shared" si="193"/>
        <v>35000</v>
      </c>
      <c r="U230" s="53">
        <f>U232</f>
        <v>35000</v>
      </c>
      <c r="V230" s="19">
        <f t="shared" si="193"/>
        <v>35000</v>
      </c>
      <c r="W230" s="19">
        <f t="shared" si="193"/>
        <v>35000</v>
      </c>
      <c r="X230" s="19">
        <f t="shared" si="193"/>
        <v>36200</v>
      </c>
      <c r="Y230" s="19">
        <f>Y232</f>
        <v>17500</v>
      </c>
      <c r="Z230" s="19">
        <f t="shared" si="172"/>
        <v>50</v>
      </c>
      <c r="AA230" s="19">
        <f t="shared" si="173"/>
        <v>0</v>
      </c>
      <c r="AB230" s="19">
        <f t="shared" ref="AB230:AI230" si="194">AB232</f>
        <v>35000</v>
      </c>
      <c r="AC230" s="19">
        <f t="shared" si="194"/>
        <v>26250</v>
      </c>
      <c r="AD230" s="19">
        <f t="shared" si="190"/>
        <v>75</v>
      </c>
      <c r="AE230" s="19">
        <f t="shared" si="186"/>
        <v>0</v>
      </c>
      <c r="AF230" s="19">
        <f t="shared" si="194"/>
        <v>35000</v>
      </c>
      <c r="AG230" s="19">
        <f t="shared" si="194"/>
        <v>38000</v>
      </c>
      <c r="AH230" s="19">
        <f t="shared" si="194"/>
        <v>38000</v>
      </c>
      <c r="AI230" s="19">
        <f t="shared" si="194"/>
        <v>38000</v>
      </c>
      <c r="AJ230" s="162" t="b">
        <f t="shared" si="166"/>
        <v>1</v>
      </c>
      <c r="AK230" s="162" t="str">
        <f t="shared" si="167"/>
        <v>PRAZNO</v>
      </c>
      <c r="AL230" s="263"/>
    </row>
    <row r="231" spans="1:39" s="264" customFormat="1" ht="15.75" x14ac:dyDescent="0.2">
      <c r="A231" s="259"/>
      <c r="B231" s="260"/>
      <c r="C231" s="260"/>
      <c r="D231" s="260"/>
      <c r="E231" s="260"/>
      <c r="F231" s="260"/>
      <c r="G231" s="260"/>
      <c r="H231" s="440" t="s">
        <v>824</v>
      </c>
      <c r="I231" s="181"/>
      <c r="J231" s="181"/>
      <c r="K231" s="181"/>
      <c r="L231" s="181"/>
      <c r="M231" s="262"/>
      <c r="N231" s="262"/>
      <c r="O231" s="262"/>
      <c r="P231" s="445"/>
      <c r="Q231" s="262"/>
      <c r="R231" s="262"/>
      <c r="S231" s="262"/>
      <c r="T231" s="342"/>
      <c r="U231" s="342"/>
      <c r="V231" s="262">
        <f t="shared" ref="V231:AI234" si="195">V232</f>
        <v>35000</v>
      </c>
      <c r="W231" s="262">
        <f t="shared" si="195"/>
        <v>35000</v>
      </c>
      <c r="X231" s="262">
        <f t="shared" si="195"/>
        <v>36200</v>
      </c>
      <c r="Y231" s="262">
        <f t="shared" si="195"/>
        <v>17500</v>
      </c>
      <c r="Z231" s="262">
        <f t="shared" si="172"/>
        <v>50</v>
      </c>
      <c r="AA231" s="262">
        <f t="shared" si="173"/>
        <v>0</v>
      </c>
      <c r="AB231" s="262">
        <f t="shared" si="195"/>
        <v>35000</v>
      </c>
      <c r="AC231" s="262">
        <f t="shared" si="195"/>
        <v>26250</v>
      </c>
      <c r="AD231" s="262">
        <f t="shared" si="190"/>
        <v>75</v>
      </c>
      <c r="AE231" s="262">
        <f t="shared" si="186"/>
        <v>0</v>
      </c>
      <c r="AF231" s="262">
        <f t="shared" si="195"/>
        <v>35000</v>
      </c>
      <c r="AG231" s="262">
        <f t="shared" si="195"/>
        <v>38000</v>
      </c>
      <c r="AH231" s="262">
        <f t="shared" si="195"/>
        <v>38000</v>
      </c>
      <c r="AI231" s="262">
        <f t="shared" si="195"/>
        <v>38000</v>
      </c>
      <c r="AJ231" s="162" t="b">
        <f t="shared" si="166"/>
        <v>1</v>
      </c>
      <c r="AK231" s="162" t="str">
        <f t="shared" si="167"/>
        <v>PRAZNO</v>
      </c>
      <c r="AL231" s="263"/>
    </row>
    <row r="232" spans="1:39" s="264" customFormat="1" ht="15.75" x14ac:dyDescent="0.2">
      <c r="A232" s="259"/>
      <c r="B232" s="172">
        <v>3</v>
      </c>
      <c r="C232" s="172"/>
      <c r="D232" s="172"/>
      <c r="E232" s="172"/>
      <c r="F232" s="172"/>
      <c r="G232" s="172"/>
      <c r="H232" s="14" t="s">
        <v>524</v>
      </c>
      <c r="I232" s="184">
        <f t="shared" ref="I232:J234" si="196">I233</f>
        <v>0</v>
      </c>
      <c r="J232" s="184">
        <f t="shared" si="196"/>
        <v>0</v>
      </c>
      <c r="K232" s="184" t="e">
        <f>ROUND(J232/I232*100,2)</f>
        <v>#DIV/0!</v>
      </c>
      <c r="L232" s="184">
        <f t="shared" si="131"/>
        <v>12450</v>
      </c>
      <c r="M232" s="184">
        <f t="shared" ref="M232:O234" si="197">M233</f>
        <v>12450</v>
      </c>
      <c r="N232" s="184">
        <f t="shared" si="197"/>
        <v>35000</v>
      </c>
      <c r="O232" s="184">
        <f t="shared" si="197"/>
        <v>26250</v>
      </c>
      <c r="P232" s="55">
        <f t="shared" si="143"/>
        <v>0</v>
      </c>
      <c r="Q232" s="184">
        <f t="shared" ref="Q232:U234" si="198">Q233</f>
        <v>35000</v>
      </c>
      <c r="R232" s="184">
        <f t="shared" si="198"/>
        <v>35800</v>
      </c>
      <c r="S232" s="184">
        <f t="shared" si="198"/>
        <v>36700</v>
      </c>
      <c r="T232" s="185">
        <f t="shared" si="198"/>
        <v>35000</v>
      </c>
      <c r="U232" s="185">
        <f t="shared" si="198"/>
        <v>35000</v>
      </c>
      <c r="V232" s="184">
        <f t="shared" si="195"/>
        <v>35000</v>
      </c>
      <c r="W232" s="184">
        <f t="shared" si="195"/>
        <v>35000</v>
      </c>
      <c r="X232" s="184">
        <f t="shared" si="195"/>
        <v>36200</v>
      </c>
      <c r="Y232" s="184">
        <f t="shared" si="195"/>
        <v>17500</v>
      </c>
      <c r="Z232" s="184">
        <f t="shared" si="172"/>
        <v>50</v>
      </c>
      <c r="AA232" s="184">
        <f t="shared" si="173"/>
        <v>0</v>
      </c>
      <c r="AB232" s="184">
        <f t="shared" si="195"/>
        <v>35000</v>
      </c>
      <c r="AC232" s="184">
        <f t="shared" si="195"/>
        <v>26250</v>
      </c>
      <c r="AD232" s="184">
        <f t="shared" si="190"/>
        <v>75</v>
      </c>
      <c r="AE232" s="184">
        <f t="shared" si="186"/>
        <v>0</v>
      </c>
      <c r="AF232" s="184">
        <f t="shared" si="195"/>
        <v>35000</v>
      </c>
      <c r="AG232" s="184">
        <f t="shared" si="195"/>
        <v>38000</v>
      </c>
      <c r="AH232" s="184">
        <f t="shared" si="195"/>
        <v>38000</v>
      </c>
      <c r="AI232" s="184">
        <f t="shared" si="195"/>
        <v>38000</v>
      </c>
      <c r="AJ232" s="162" t="b">
        <f t="shared" si="166"/>
        <v>1</v>
      </c>
      <c r="AK232" s="162" t="str">
        <f t="shared" si="167"/>
        <v>PRAZNO</v>
      </c>
      <c r="AL232" s="263"/>
    </row>
    <row r="233" spans="1:39" ht="15.75" x14ac:dyDescent="0.2">
      <c r="B233" s="177"/>
      <c r="C233" s="177">
        <v>38</v>
      </c>
      <c r="D233" s="177"/>
      <c r="E233" s="177"/>
      <c r="F233" s="177"/>
      <c r="G233" s="177"/>
      <c r="H233" s="16" t="s">
        <v>539</v>
      </c>
      <c r="I233" s="18">
        <f t="shared" si="196"/>
        <v>0</v>
      </c>
      <c r="J233" s="18">
        <f t="shared" si="196"/>
        <v>0</v>
      </c>
      <c r="K233" s="18" t="e">
        <f>ROUND(J233/I233*100,2)</f>
        <v>#DIV/0!</v>
      </c>
      <c r="L233" s="18">
        <f t="shared" si="131"/>
        <v>12450</v>
      </c>
      <c r="M233" s="18">
        <f t="shared" si="197"/>
        <v>12450</v>
      </c>
      <c r="N233" s="18">
        <f t="shared" si="197"/>
        <v>35000</v>
      </c>
      <c r="O233" s="18">
        <f t="shared" si="197"/>
        <v>26250</v>
      </c>
      <c r="P233" s="26">
        <f t="shared" si="143"/>
        <v>0</v>
      </c>
      <c r="Q233" s="18">
        <f t="shared" si="198"/>
        <v>35000</v>
      </c>
      <c r="R233" s="18">
        <f t="shared" si="198"/>
        <v>35800</v>
      </c>
      <c r="S233" s="18">
        <f t="shared" si="198"/>
        <v>36700</v>
      </c>
      <c r="T233" s="27">
        <f t="shared" si="198"/>
        <v>35000</v>
      </c>
      <c r="U233" s="27">
        <f t="shared" si="198"/>
        <v>35000</v>
      </c>
      <c r="V233" s="18">
        <f t="shared" si="195"/>
        <v>35000</v>
      </c>
      <c r="W233" s="18">
        <f t="shared" si="195"/>
        <v>35000</v>
      </c>
      <c r="X233" s="18">
        <f t="shared" si="195"/>
        <v>36200</v>
      </c>
      <c r="Y233" s="18">
        <f t="shared" si="195"/>
        <v>17500</v>
      </c>
      <c r="Z233" s="18">
        <f t="shared" si="172"/>
        <v>50</v>
      </c>
      <c r="AA233" s="18">
        <f t="shared" si="173"/>
        <v>0</v>
      </c>
      <c r="AB233" s="18">
        <f t="shared" si="195"/>
        <v>35000</v>
      </c>
      <c r="AC233" s="18">
        <f t="shared" si="195"/>
        <v>26250</v>
      </c>
      <c r="AD233" s="18">
        <f t="shared" si="190"/>
        <v>75</v>
      </c>
      <c r="AE233" s="18">
        <f t="shared" si="186"/>
        <v>0</v>
      </c>
      <c r="AF233" s="18">
        <f t="shared" si="195"/>
        <v>35000</v>
      </c>
      <c r="AG233" s="18">
        <f t="shared" si="195"/>
        <v>38000</v>
      </c>
      <c r="AH233" s="18">
        <f t="shared" si="195"/>
        <v>38000</v>
      </c>
      <c r="AI233" s="18">
        <f t="shared" si="195"/>
        <v>38000</v>
      </c>
      <c r="AJ233" s="162" t="b">
        <f t="shared" si="166"/>
        <v>1</v>
      </c>
      <c r="AK233" s="162" t="str">
        <f t="shared" si="167"/>
        <v>PRAZNO</v>
      </c>
      <c r="AM233" s="264"/>
    </row>
    <row r="234" spans="1:39" ht="15.75" x14ac:dyDescent="0.2">
      <c r="B234" s="177"/>
      <c r="C234" s="177"/>
      <c r="D234" s="177">
        <v>381</v>
      </c>
      <c r="E234" s="177"/>
      <c r="F234" s="177"/>
      <c r="G234" s="177"/>
      <c r="H234" s="16" t="s">
        <v>540</v>
      </c>
      <c r="I234" s="18">
        <f t="shared" si="196"/>
        <v>0</v>
      </c>
      <c r="J234" s="18">
        <f t="shared" si="196"/>
        <v>0</v>
      </c>
      <c r="K234" s="18" t="e">
        <f>ROUND(J234/I234*100,2)</f>
        <v>#DIV/0!</v>
      </c>
      <c r="L234" s="18">
        <f t="shared" si="131"/>
        <v>12450</v>
      </c>
      <c r="M234" s="18">
        <f t="shared" si="197"/>
        <v>12450</v>
      </c>
      <c r="N234" s="18">
        <f t="shared" si="197"/>
        <v>35000</v>
      </c>
      <c r="O234" s="18">
        <f t="shared" si="197"/>
        <v>26250</v>
      </c>
      <c r="P234" s="26">
        <f t="shared" si="143"/>
        <v>0</v>
      </c>
      <c r="Q234" s="18">
        <f t="shared" si="198"/>
        <v>35000</v>
      </c>
      <c r="R234" s="18">
        <f t="shared" si="198"/>
        <v>35800</v>
      </c>
      <c r="S234" s="18">
        <f t="shared" si="198"/>
        <v>36700</v>
      </c>
      <c r="T234" s="27">
        <f t="shared" si="198"/>
        <v>35000</v>
      </c>
      <c r="U234" s="27">
        <f t="shared" si="198"/>
        <v>35000</v>
      </c>
      <c r="V234" s="18">
        <f t="shared" si="195"/>
        <v>35000</v>
      </c>
      <c r="W234" s="18">
        <f t="shared" si="195"/>
        <v>35000</v>
      </c>
      <c r="X234" s="18">
        <f t="shared" si="195"/>
        <v>36200</v>
      </c>
      <c r="Y234" s="18">
        <f t="shared" si="195"/>
        <v>17500</v>
      </c>
      <c r="Z234" s="18">
        <f t="shared" si="172"/>
        <v>50</v>
      </c>
      <c r="AA234" s="18">
        <f t="shared" si="173"/>
        <v>0</v>
      </c>
      <c r="AB234" s="18">
        <f t="shared" si="195"/>
        <v>35000</v>
      </c>
      <c r="AC234" s="18">
        <f t="shared" si="195"/>
        <v>26250</v>
      </c>
      <c r="AD234" s="18">
        <f t="shared" si="190"/>
        <v>75</v>
      </c>
      <c r="AE234" s="18">
        <f t="shared" si="186"/>
        <v>0</v>
      </c>
      <c r="AF234" s="18">
        <f t="shared" si="195"/>
        <v>35000</v>
      </c>
      <c r="AG234" s="18">
        <f t="shared" si="195"/>
        <v>38000</v>
      </c>
      <c r="AH234" s="18">
        <f t="shared" si="195"/>
        <v>38000</v>
      </c>
      <c r="AI234" s="18">
        <f t="shared" si="195"/>
        <v>38000</v>
      </c>
      <c r="AJ234" s="162" t="b">
        <f t="shared" si="166"/>
        <v>1</v>
      </c>
      <c r="AK234" s="162" t="str">
        <f t="shared" si="167"/>
        <v>PRAZNO</v>
      </c>
      <c r="AM234" s="264"/>
    </row>
    <row r="235" spans="1:39" ht="15.75" x14ac:dyDescent="0.2">
      <c r="B235" s="177"/>
      <c r="C235" s="177"/>
      <c r="D235" s="177"/>
      <c r="E235" s="177">
        <v>3811</v>
      </c>
      <c r="F235" s="176">
        <v>11</v>
      </c>
      <c r="G235" s="176" t="s">
        <v>527</v>
      </c>
      <c r="H235" s="16" t="s">
        <v>215</v>
      </c>
      <c r="I235" s="18"/>
      <c r="J235" s="18"/>
      <c r="K235" s="18" t="e">
        <f>ROUND(J235/I235*100,2)</f>
        <v>#DIV/0!</v>
      </c>
      <c r="L235" s="18">
        <f t="shared" si="131"/>
        <v>12450</v>
      </c>
      <c r="M235" s="18">
        <v>12450</v>
      </c>
      <c r="N235" s="18">
        <v>35000</v>
      </c>
      <c r="O235" s="18">
        <v>26250</v>
      </c>
      <c r="P235" s="26">
        <f t="shared" si="143"/>
        <v>0</v>
      </c>
      <c r="Q235" s="18">
        <v>35000</v>
      </c>
      <c r="R235" s="18">
        <v>35800</v>
      </c>
      <c r="S235" s="18">
        <v>36700</v>
      </c>
      <c r="T235" s="27">
        <v>35000</v>
      </c>
      <c r="U235" s="27">
        <v>35000</v>
      </c>
      <c r="V235" s="27">
        <v>35000</v>
      </c>
      <c r="W235" s="27">
        <v>35000</v>
      </c>
      <c r="X235" s="18">
        <v>36200</v>
      </c>
      <c r="Y235" s="27">
        <v>17500</v>
      </c>
      <c r="Z235" s="27">
        <f t="shared" si="172"/>
        <v>50</v>
      </c>
      <c r="AA235" s="27">
        <f t="shared" si="173"/>
        <v>0</v>
      </c>
      <c r="AB235" s="27">
        <v>35000</v>
      </c>
      <c r="AC235" s="27">
        <v>26250</v>
      </c>
      <c r="AD235" s="27">
        <f t="shared" si="190"/>
        <v>75</v>
      </c>
      <c r="AE235" s="27">
        <f t="shared" si="186"/>
        <v>0</v>
      </c>
      <c r="AF235" s="27">
        <v>35000</v>
      </c>
      <c r="AG235" s="27">
        <v>38000</v>
      </c>
      <c r="AH235" s="27">
        <v>38000</v>
      </c>
      <c r="AI235" s="27">
        <v>38000</v>
      </c>
      <c r="AJ235" s="162" t="b">
        <f t="shared" si="166"/>
        <v>0</v>
      </c>
      <c r="AK235" s="162" t="str">
        <f t="shared" si="167"/>
        <v>PUNO</v>
      </c>
      <c r="AM235" s="264"/>
    </row>
    <row r="236" spans="1:39" s="264" customFormat="1" ht="15" customHeight="1" x14ac:dyDescent="0.2">
      <c r="A236" s="259"/>
      <c r="B236" s="194"/>
      <c r="C236" s="194"/>
      <c r="D236" s="194"/>
      <c r="E236" s="194"/>
      <c r="F236" s="194"/>
      <c r="G236" s="194"/>
      <c r="H236" s="679" t="s">
        <v>142</v>
      </c>
      <c r="I236" s="196"/>
      <c r="J236" s="196"/>
      <c r="K236" s="196"/>
      <c r="L236" s="196"/>
      <c r="M236" s="195" t="e">
        <f>M237+M350</f>
        <v>#REF!</v>
      </c>
      <c r="N236" s="195" t="e">
        <f>N237+N350</f>
        <v>#REF!</v>
      </c>
      <c r="O236" s="195" t="e">
        <f>O237+O350</f>
        <v>#REF!</v>
      </c>
      <c r="P236" s="351" t="e">
        <f t="shared" si="143"/>
        <v>#REF!</v>
      </c>
      <c r="Q236" s="195" t="e">
        <f>Q237+Q350</f>
        <v>#REF!</v>
      </c>
      <c r="R236" s="195" t="e">
        <f>R237+R350+#REF!</f>
        <v>#REF!</v>
      </c>
      <c r="S236" s="195" t="e">
        <f>S237+S350+#REF!</f>
        <v>#REF!</v>
      </c>
      <c r="T236" s="195">
        <f t="shared" ref="T236:Y236" si="199">T237+T350</f>
        <v>4447900</v>
      </c>
      <c r="U236" s="195">
        <f t="shared" si="199"/>
        <v>4479278.5999999996</v>
      </c>
      <c r="V236" s="195">
        <f t="shared" si="199"/>
        <v>4654701</v>
      </c>
      <c r="W236" s="195">
        <f t="shared" si="199"/>
        <v>4666327</v>
      </c>
      <c r="X236" s="195">
        <f t="shared" si="199"/>
        <v>4581000</v>
      </c>
      <c r="Y236" s="195">
        <f t="shared" si="199"/>
        <v>1537340.1600000001</v>
      </c>
      <c r="Z236" s="195">
        <f t="shared" si="172"/>
        <v>33.03</v>
      </c>
      <c r="AA236" s="195">
        <f t="shared" si="173"/>
        <v>121548</v>
      </c>
      <c r="AB236" s="195">
        <f>AB237+AB350</f>
        <v>4776249</v>
      </c>
      <c r="AC236" s="195">
        <f>AC237+AC350</f>
        <v>2922199.56</v>
      </c>
      <c r="AD236" s="195">
        <f t="shared" si="190"/>
        <v>61.181893155067925</v>
      </c>
      <c r="AE236" s="195">
        <f t="shared" si="186"/>
        <v>8000</v>
      </c>
      <c r="AF236" s="195">
        <f>AF237+AF350</f>
        <v>4784249</v>
      </c>
      <c r="AG236" s="195">
        <f>AG237+AG350</f>
        <v>4914777</v>
      </c>
      <c r="AH236" s="195">
        <f>AH237+AH350</f>
        <v>4673000</v>
      </c>
      <c r="AI236" s="195">
        <f>AI237+AI350</f>
        <v>4685300</v>
      </c>
      <c r="AJ236" s="162" t="b">
        <f t="shared" si="166"/>
        <v>1</v>
      </c>
      <c r="AK236" s="162" t="str">
        <f t="shared" si="167"/>
        <v>PRAZNO</v>
      </c>
      <c r="AL236" s="263"/>
    </row>
    <row r="237" spans="1:39" s="264" customFormat="1" ht="15.75" x14ac:dyDescent="0.2">
      <c r="A237" s="259"/>
      <c r="B237" s="194"/>
      <c r="C237" s="194"/>
      <c r="D237" s="194"/>
      <c r="E237" s="194"/>
      <c r="F237" s="194"/>
      <c r="G237" s="194"/>
      <c r="H237" s="21" t="s">
        <v>218</v>
      </c>
      <c r="I237" s="196" t="e">
        <f>I239+I350+#REF!</f>
        <v>#REF!</v>
      </c>
      <c r="J237" s="196" t="e">
        <f>J239+J350+#REF!</f>
        <v>#REF!</v>
      </c>
      <c r="K237" s="196" t="e">
        <f>ROUND(J237/I237*100,2)</f>
        <v>#REF!</v>
      </c>
      <c r="L237" s="196" t="e">
        <f t="shared" si="131"/>
        <v>#REF!</v>
      </c>
      <c r="M237" s="195" t="e">
        <f>M239</f>
        <v>#REF!</v>
      </c>
      <c r="N237" s="195" t="e">
        <f>N239</f>
        <v>#REF!</v>
      </c>
      <c r="O237" s="195" t="e">
        <f>O239</f>
        <v>#REF!</v>
      </c>
      <c r="P237" s="351" t="e">
        <f t="shared" si="143"/>
        <v>#REF!</v>
      </c>
      <c r="Q237" s="195" t="e">
        <f t="shared" ref="Q237:X237" si="200">Q239</f>
        <v>#REF!</v>
      </c>
      <c r="R237" s="195" t="e">
        <f t="shared" si="200"/>
        <v>#REF!</v>
      </c>
      <c r="S237" s="195" t="e">
        <f t="shared" si="200"/>
        <v>#REF!</v>
      </c>
      <c r="T237" s="195">
        <f>T239</f>
        <v>3572900</v>
      </c>
      <c r="U237" s="195">
        <f>U239</f>
        <v>3604778.6</v>
      </c>
      <c r="V237" s="195">
        <f t="shared" si="200"/>
        <v>3779701</v>
      </c>
      <c r="W237" s="195">
        <f t="shared" si="200"/>
        <v>3791327</v>
      </c>
      <c r="X237" s="195">
        <f t="shared" si="200"/>
        <v>3686000</v>
      </c>
      <c r="Y237" s="195">
        <f>Y239</f>
        <v>1331171.1600000001</v>
      </c>
      <c r="Z237" s="195">
        <f t="shared" si="172"/>
        <v>35.22</v>
      </c>
      <c r="AA237" s="195">
        <f t="shared" si="173"/>
        <v>21548</v>
      </c>
      <c r="AB237" s="195">
        <f>AB239</f>
        <v>3801249</v>
      </c>
      <c r="AC237" s="195">
        <f>AC239</f>
        <v>2428172.56</v>
      </c>
      <c r="AD237" s="195">
        <f t="shared" si="190"/>
        <v>63.878282112011078</v>
      </c>
      <c r="AE237" s="195">
        <f t="shared" si="186"/>
        <v>0</v>
      </c>
      <c r="AF237" s="195">
        <f>AF239</f>
        <v>3801249</v>
      </c>
      <c r="AG237" s="195">
        <f>AG239</f>
        <v>3939777</v>
      </c>
      <c r="AH237" s="195">
        <f>AH239</f>
        <v>3698000</v>
      </c>
      <c r="AI237" s="195">
        <f>AI239</f>
        <v>3710300</v>
      </c>
      <c r="AJ237" s="162" t="b">
        <f t="shared" si="166"/>
        <v>1</v>
      </c>
      <c r="AK237" s="162" t="str">
        <f t="shared" si="167"/>
        <v>PRAZNO</v>
      </c>
      <c r="AL237" s="263"/>
    </row>
    <row r="238" spans="1:39" s="264" customFormat="1" ht="15.75" x14ac:dyDescent="0.2">
      <c r="A238" s="259"/>
      <c r="B238" s="194"/>
      <c r="C238" s="194"/>
      <c r="D238" s="194"/>
      <c r="E238" s="194"/>
      <c r="F238" s="194"/>
      <c r="G238" s="194"/>
      <c r="H238" s="11" t="s">
        <v>520</v>
      </c>
      <c r="I238" s="196"/>
      <c r="J238" s="196"/>
      <c r="K238" s="196" t="e">
        <f>ROUND(J238/I238*100,2)</f>
        <v>#DIV/0!</v>
      </c>
      <c r="L238" s="196"/>
      <c r="M238" s="195"/>
      <c r="N238" s="195"/>
      <c r="O238" s="195"/>
      <c r="P238" s="353"/>
      <c r="Q238" s="195"/>
      <c r="R238" s="195"/>
      <c r="S238" s="195"/>
      <c r="T238" s="195"/>
      <c r="U238" s="195"/>
      <c r="V238" s="195"/>
      <c r="W238" s="195"/>
      <c r="X238" s="195"/>
      <c r="Y238" s="195"/>
      <c r="Z238" s="195"/>
      <c r="AA238" s="195"/>
      <c r="AB238" s="195"/>
      <c r="AC238" s="195"/>
      <c r="AD238" s="195"/>
      <c r="AE238" s="195">
        <f t="shared" si="186"/>
        <v>0</v>
      </c>
      <c r="AF238" s="195"/>
      <c r="AG238" s="195"/>
      <c r="AH238" s="195"/>
      <c r="AI238" s="195"/>
      <c r="AJ238" s="162" t="b">
        <f t="shared" si="166"/>
        <v>1</v>
      </c>
      <c r="AK238" s="162" t="str">
        <f t="shared" si="167"/>
        <v>PRAZNO</v>
      </c>
      <c r="AL238" s="263"/>
    </row>
    <row r="239" spans="1:39" s="264" customFormat="1" ht="15.75" x14ac:dyDescent="0.2">
      <c r="A239" s="259"/>
      <c r="B239" s="270"/>
      <c r="C239" s="270"/>
      <c r="D239" s="270"/>
      <c r="E239" s="270"/>
      <c r="F239" s="270"/>
      <c r="G239" s="270"/>
      <c r="H239" s="271" t="s">
        <v>707</v>
      </c>
      <c r="I239" s="273" t="e">
        <f>I240+I315+I266</f>
        <v>#REF!</v>
      </c>
      <c r="J239" s="273" t="e">
        <f>J240+J315+J266</f>
        <v>#REF!</v>
      </c>
      <c r="K239" s="273" t="e">
        <f>ROUND(J239/I239*100,2)</f>
        <v>#REF!</v>
      </c>
      <c r="L239" s="273" t="e">
        <f t="shared" si="131"/>
        <v>#REF!</v>
      </c>
      <c r="M239" s="272" t="e">
        <f>M240+M315+M266</f>
        <v>#REF!</v>
      </c>
      <c r="N239" s="272" t="e">
        <f>N240+N315+N266</f>
        <v>#REF!</v>
      </c>
      <c r="O239" s="272" t="e">
        <f>O240+O315+O266</f>
        <v>#REF!</v>
      </c>
      <c r="P239" s="336" t="e">
        <f t="shared" si="143"/>
        <v>#REF!</v>
      </c>
      <c r="Q239" s="272" t="e">
        <f>Q240+Q315+Q266</f>
        <v>#REF!</v>
      </c>
      <c r="R239" s="272" t="e">
        <f>R240+R315+R266</f>
        <v>#REF!</v>
      </c>
      <c r="S239" s="272" t="e">
        <f>S240+S315+S266</f>
        <v>#REF!</v>
      </c>
      <c r="T239" s="272">
        <f>T240+T315+T266+T279+T330+T343</f>
        <v>3572900</v>
      </c>
      <c r="U239" s="272">
        <f>U240+U315+U266+U279+U330+U343</f>
        <v>3604778.6</v>
      </c>
      <c r="V239" s="272">
        <f>V240+V315+V266+V279+V330</f>
        <v>3779701</v>
      </c>
      <c r="W239" s="272">
        <f>W240+W315+W266+W279+W330</f>
        <v>3791327</v>
      </c>
      <c r="X239" s="272">
        <f>X240+X315+X266+X279+X330</f>
        <v>3686000</v>
      </c>
      <c r="Y239" s="272">
        <f>Y240+Y315+Y266+Y279+Y330</f>
        <v>1331171.1600000001</v>
      </c>
      <c r="Z239" s="272">
        <f t="shared" si="172"/>
        <v>35.22</v>
      </c>
      <c r="AA239" s="272">
        <f t="shared" si="173"/>
        <v>21548</v>
      </c>
      <c r="AB239" s="272">
        <f>AB240+AB315+AB266+AB279+AB330+AB343</f>
        <v>3801249</v>
      </c>
      <c r="AC239" s="272">
        <f>AC240+AC315+AC266+AC279+AC330+AC343</f>
        <v>2428172.56</v>
      </c>
      <c r="AD239" s="272">
        <f t="shared" si="190"/>
        <v>63.878282112011078</v>
      </c>
      <c r="AE239" s="272">
        <f t="shared" si="186"/>
        <v>0</v>
      </c>
      <c r="AF239" s="272">
        <f>AF240+AF315+AF266+AF279+AF330+AF343</f>
        <v>3801249</v>
      </c>
      <c r="AG239" s="272">
        <f>AG240+AG315+AG266+AG279+AG330+AG343+AG273</f>
        <v>3939777</v>
      </c>
      <c r="AH239" s="272">
        <f>AH240+AH315+AH266+AH279+AH330+AH343+AH273</f>
        <v>3698000</v>
      </c>
      <c r="AI239" s="272">
        <f>AI240+AI315+AI266+AI279+AI330+AI343+AI273</f>
        <v>3710300</v>
      </c>
      <c r="AJ239" s="162" t="b">
        <f t="shared" si="166"/>
        <v>1</v>
      </c>
      <c r="AK239" s="162" t="str">
        <f t="shared" si="167"/>
        <v>PRAZNO</v>
      </c>
      <c r="AL239" s="263"/>
    </row>
    <row r="240" spans="1:39" s="264" customFormat="1" ht="15.75" x14ac:dyDescent="0.2">
      <c r="A240" s="259"/>
      <c r="B240" s="168"/>
      <c r="C240" s="168"/>
      <c r="D240" s="168"/>
      <c r="E240" s="168"/>
      <c r="F240" s="168"/>
      <c r="G240" s="168"/>
      <c r="H240" s="13" t="s">
        <v>577</v>
      </c>
      <c r="I240" s="169">
        <f>I242</f>
        <v>2895000</v>
      </c>
      <c r="J240" s="169">
        <f>J242</f>
        <v>1904195.44</v>
      </c>
      <c r="K240" s="169">
        <f>ROUND(J240/I240*100,2)</f>
        <v>65.78</v>
      </c>
      <c r="L240" s="169">
        <f t="shared" si="131"/>
        <v>-126545.26999999955</v>
      </c>
      <c r="M240" s="19">
        <f>M242</f>
        <v>2768454.7300000004</v>
      </c>
      <c r="N240" s="19">
        <f>N242</f>
        <v>3168500</v>
      </c>
      <c r="O240" s="19">
        <f>O242</f>
        <v>1970442.53</v>
      </c>
      <c r="P240" s="303">
        <f t="shared" si="143"/>
        <v>-23000</v>
      </c>
      <c r="Q240" s="19">
        <f t="shared" ref="Q240:X240" si="201">Q242</f>
        <v>3168500</v>
      </c>
      <c r="R240" s="19">
        <f t="shared" si="201"/>
        <v>3162400</v>
      </c>
      <c r="S240" s="19">
        <f t="shared" si="201"/>
        <v>3221500</v>
      </c>
      <c r="T240" s="53">
        <f t="shared" si="201"/>
        <v>3145500</v>
      </c>
      <c r="U240" s="53">
        <f>U242</f>
        <v>2949329.34</v>
      </c>
      <c r="V240" s="19">
        <f t="shared" si="201"/>
        <v>3136500</v>
      </c>
      <c r="W240" s="19">
        <f t="shared" si="201"/>
        <v>3136500</v>
      </c>
      <c r="X240" s="19">
        <f t="shared" si="201"/>
        <v>3232000</v>
      </c>
      <c r="Y240" s="19">
        <f>Y242</f>
        <v>1163909.02</v>
      </c>
      <c r="Z240" s="19">
        <f t="shared" si="172"/>
        <v>37.11</v>
      </c>
      <c r="AA240" s="19">
        <f t="shared" si="173"/>
        <v>-159400</v>
      </c>
      <c r="AB240" s="19">
        <f>AB242</f>
        <v>2977100</v>
      </c>
      <c r="AC240" s="19">
        <f>AC242</f>
        <v>2128385.58</v>
      </c>
      <c r="AD240" s="19">
        <f t="shared" si="190"/>
        <v>71.491907561049345</v>
      </c>
      <c r="AE240" s="19">
        <f t="shared" si="186"/>
        <v>0</v>
      </c>
      <c r="AF240" s="19">
        <f>AF242</f>
        <v>2977100</v>
      </c>
      <c r="AG240" s="19">
        <f>AG242</f>
        <v>3145200</v>
      </c>
      <c r="AH240" s="19">
        <f>AH242</f>
        <v>3128000</v>
      </c>
      <c r="AI240" s="19">
        <f>AI242</f>
        <v>3130300</v>
      </c>
      <c r="AJ240" s="162" t="b">
        <f t="shared" si="166"/>
        <v>1</v>
      </c>
      <c r="AK240" s="162" t="str">
        <f t="shared" si="167"/>
        <v>PRAZNO</v>
      </c>
      <c r="AL240" s="263"/>
    </row>
    <row r="241" spans="1:39" s="264" customFormat="1" ht="15.75" x14ac:dyDescent="0.2">
      <c r="A241" s="259"/>
      <c r="B241" s="260"/>
      <c r="C241" s="260"/>
      <c r="D241" s="260"/>
      <c r="E241" s="260"/>
      <c r="F241" s="260"/>
      <c r="G241" s="260"/>
      <c r="H241" s="440" t="s">
        <v>824</v>
      </c>
      <c r="I241" s="181"/>
      <c r="J241" s="181"/>
      <c r="K241" s="181"/>
      <c r="L241" s="181"/>
      <c r="M241" s="262"/>
      <c r="N241" s="262"/>
      <c r="O241" s="262"/>
      <c r="P241" s="445"/>
      <c r="Q241" s="262"/>
      <c r="R241" s="262"/>
      <c r="S241" s="262"/>
      <c r="T241" s="342"/>
      <c r="U241" s="262">
        <f t="shared" ref="U241:AA241" si="202">U242</f>
        <v>2949329.34</v>
      </c>
      <c r="V241" s="262">
        <f t="shared" si="202"/>
        <v>3136500</v>
      </c>
      <c r="W241" s="262">
        <f t="shared" si="202"/>
        <v>3136500</v>
      </c>
      <c r="X241" s="262">
        <f t="shared" si="202"/>
        <v>3232000</v>
      </c>
      <c r="Y241" s="262">
        <f t="shared" si="202"/>
        <v>1163909.02</v>
      </c>
      <c r="Z241" s="262">
        <f t="shared" si="202"/>
        <v>37.11</v>
      </c>
      <c r="AA241" s="262">
        <f t="shared" si="202"/>
        <v>-159400</v>
      </c>
      <c r="AB241" s="262">
        <f>AB242</f>
        <v>2977100</v>
      </c>
      <c r="AC241" s="262">
        <f>AC242</f>
        <v>2128385.58</v>
      </c>
      <c r="AD241" s="262">
        <f t="shared" si="190"/>
        <v>71.491907561049345</v>
      </c>
      <c r="AE241" s="262">
        <f t="shared" si="186"/>
        <v>0</v>
      </c>
      <c r="AF241" s="262">
        <f>AF242</f>
        <v>2977100</v>
      </c>
      <c r="AG241" s="262">
        <f>AG242</f>
        <v>3145200</v>
      </c>
      <c r="AH241" s="262">
        <f>AH242</f>
        <v>3128000</v>
      </c>
      <c r="AI241" s="262">
        <f>AI242</f>
        <v>3130300</v>
      </c>
      <c r="AJ241" s="162" t="b">
        <f t="shared" si="166"/>
        <v>1</v>
      </c>
      <c r="AK241" s="162" t="str">
        <f t="shared" si="167"/>
        <v>PRAZNO</v>
      </c>
      <c r="AL241" s="263"/>
    </row>
    <row r="242" spans="1:39" s="264" customFormat="1" ht="15.75" x14ac:dyDescent="0.2">
      <c r="A242" s="259"/>
      <c r="B242" s="172">
        <v>3</v>
      </c>
      <c r="C242" s="172"/>
      <c r="D242" s="172"/>
      <c r="E242" s="172"/>
      <c r="F242" s="172"/>
      <c r="G242" s="172"/>
      <c r="H242" s="14" t="s">
        <v>524</v>
      </c>
      <c r="I242" s="20">
        <f>I243+I252</f>
        <v>2895000</v>
      </c>
      <c r="J242" s="20">
        <f>J243+J252</f>
        <v>1904195.44</v>
      </c>
      <c r="K242" s="20">
        <f t="shared" ref="K242:K261" si="203">ROUND(J242/I242*100,2)</f>
        <v>65.78</v>
      </c>
      <c r="L242" s="20">
        <f t="shared" ref="L242:L270" si="204">M242-I242</f>
        <v>-126545.26999999955</v>
      </c>
      <c r="M242" s="20">
        <f>M243+M252</f>
        <v>2768454.7300000004</v>
      </c>
      <c r="N242" s="20">
        <f>N243+N252</f>
        <v>3168500</v>
      </c>
      <c r="O242" s="20">
        <f>O243+O252</f>
        <v>1970442.53</v>
      </c>
      <c r="P242" s="55">
        <f t="shared" si="143"/>
        <v>-23000</v>
      </c>
      <c r="Q242" s="20">
        <f t="shared" ref="Q242:X242" si="205">Q243+Q252</f>
        <v>3168500</v>
      </c>
      <c r="R242" s="20">
        <f t="shared" si="205"/>
        <v>3162400</v>
      </c>
      <c r="S242" s="20">
        <f t="shared" si="205"/>
        <v>3221500</v>
      </c>
      <c r="T242" s="55">
        <f t="shared" si="205"/>
        <v>3145500</v>
      </c>
      <c r="U242" s="55">
        <f>U243+U252</f>
        <v>2949329.34</v>
      </c>
      <c r="V242" s="20">
        <f t="shared" si="205"/>
        <v>3136500</v>
      </c>
      <c r="W242" s="20">
        <f t="shared" si="205"/>
        <v>3136500</v>
      </c>
      <c r="X242" s="20">
        <f t="shared" si="205"/>
        <v>3232000</v>
      </c>
      <c r="Y242" s="20">
        <f>Y243+Y252</f>
        <v>1163909.02</v>
      </c>
      <c r="Z242" s="20">
        <f t="shared" si="172"/>
        <v>37.11</v>
      </c>
      <c r="AA242" s="20">
        <f t="shared" si="173"/>
        <v>-159400</v>
      </c>
      <c r="AB242" s="20">
        <f>AB243+AB252</f>
        <v>2977100</v>
      </c>
      <c r="AC242" s="20">
        <f>AC243+AC252</f>
        <v>2128385.58</v>
      </c>
      <c r="AD242" s="20">
        <f t="shared" si="190"/>
        <v>71.491907561049345</v>
      </c>
      <c r="AE242" s="20">
        <f t="shared" si="186"/>
        <v>0</v>
      </c>
      <c r="AF242" s="20">
        <f>AF243+AF252</f>
        <v>2977100</v>
      </c>
      <c r="AG242" s="20">
        <f>AG243+AG252</f>
        <v>3145200</v>
      </c>
      <c r="AH242" s="20">
        <f>AH243+AH252</f>
        <v>3128000</v>
      </c>
      <c r="AI242" s="20">
        <f>AI243+AI252</f>
        <v>3130300</v>
      </c>
      <c r="AJ242" s="162" t="b">
        <f t="shared" si="166"/>
        <v>1</v>
      </c>
      <c r="AK242" s="162" t="str">
        <f t="shared" si="167"/>
        <v>PRAZNO</v>
      </c>
      <c r="AL242" s="263"/>
    </row>
    <row r="243" spans="1:39" ht="15.75" x14ac:dyDescent="0.2">
      <c r="B243" s="175"/>
      <c r="C243" s="175">
        <v>31</v>
      </c>
      <c r="D243" s="175"/>
      <c r="E243" s="175"/>
      <c r="F243" s="175"/>
      <c r="G243" s="175"/>
      <c r="H243" s="15" t="s">
        <v>197</v>
      </c>
      <c r="I243" s="22">
        <f>I244+I247+I249</f>
        <v>2525000</v>
      </c>
      <c r="J243" s="183">
        <f>J244+J247+J249</f>
        <v>1683936.89</v>
      </c>
      <c r="K243" s="183">
        <f t="shared" si="203"/>
        <v>66.69</v>
      </c>
      <c r="L243" s="183">
        <f t="shared" si="204"/>
        <v>-59127.639999999665</v>
      </c>
      <c r="M243" s="183">
        <f>M244+M247+M249</f>
        <v>2465872.3600000003</v>
      </c>
      <c r="N243" s="183">
        <f>N244+N247+N249</f>
        <v>2715000</v>
      </c>
      <c r="O243" s="183">
        <f>O244+O247+O249</f>
        <v>1726560.91</v>
      </c>
      <c r="P243" s="26">
        <f t="shared" si="143"/>
        <v>-13000</v>
      </c>
      <c r="Q243" s="183">
        <f t="shared" ref="Q243:X243" si="206">Q244+Q247+Q249</f>
        <v>2715000</v>
      </c>
      <c r="R243" s="183">
        <f t="shared" si="206"/>
        <v>2755000</v>
      </c>
      <c r="S243" s="183">
        <f t="shared" si="206"/>
        <v>2804000</v>
      </c>
      <c r="T243" s="340">
        <f t="shared" si="206"/>
        <v>2702000</v>
      </c>
      <c r="U243" s="340">
        <f>U244+U247+U249</f>
        <v>2591605.5</v>
      </c>
      <c r="V243" s="183">
        <f t="shared" si="206"/>
        <v>2693000</v>
      </c>
      <c r="W243" s="183">
        <f t="shared" si="206"/>
        <v>2693000</v>
      </c>
      <c r="X243" s="183">
        <f t="shared" si="206"/>
        <v>2772000</v>
      </c>
      <c r="Y243" s="183">
        <f>Y244+Y247+Y249</f>
        <v>1055828.58</v>
      </c>
      <c r="Z243" s="183">
        <f t="shared" si="172"/>
        <v>39.21</v>
      </c>
      <c r="AA243" s="183">
        <f t="shared" si="173"/>
        <v>-76400</v>
      </c>
      <c r="AB243" s="183">
        <f>AB244+AB247+AB249</f>
        <v>2616600</v>
      </c>
      <c r="AC243" s="183">
        <f>AC244+AC247+AC249</f>
        <v>1925877.23</v>
      </c>
      <c r="AD243" s="183">
        <f t="shared" si="190"/>
        <v>73.602278911564625</v>
      </c>
      <c r="AE243" s="183">
        <f t="shared" si="186"/>
        <v>7000</v>
      </c>
      <c r="AF243" s="183">
        <f>AF244+AF247+AF249</f>
        <v>2623600</v>
      </c>
      <c r="AG243" s="183">
        <f>AG244+AG247+AG249</f>
        <v>2740700</v>
      </c>
      <c r="AH243" s="183">
        <f>AH244+AH247+AH249</f>
        <v>2748500</v>
      </c>
      <c r="AI243" s="183">
        <f>AI244+AI247+AI249</f>
        <v>2750800</v>
      </c>
      <c r="AJ243" s="162" t="b">
        <f t="shared" si="166"/>
        <v>1</v>
      </c>
      <c r="AK243" s="162" t="str">
        <f t="shared" si="167"/>
        <v>PRAZNO</v>
      </c>
      <c r="AM243" s="264"/>
    </row>
    <row r="244" spans="1:39" ht="15.75" x14ac:dyDescent="0.2">
      <c r="B244" s="177"/>
      <c r="C244" s="177"/>
      <c r="D244" s="177">
        <v>311</v>
      </c>
      <c r="E244" s="177"/>
      <c r="F244" s="177"/>
      <c r="G244" s="177"/>
      <c r="H244" s="16" t="s">
        <v>915</v>
      </c>
      <c r="I244" s="17">
        <f>SUM(I245:I246)</f>
        <v>2074000</v>
      </c>
      <c r="J244" s="181">
        <f>SUM(J245:J246)</f>
        <v>1380805.92</v>
      </c>
      <c r="K244" s="181">
        <f t="shared" si="203"/>
        <v>66.58</v>
      </c>
      <c r="L244" s="181">
        <f t="shared" si="204"/>
        <v>-117944.72999999998</v>
      </c>
      <c r="M244" s="181">
        <f>SUM(M245:M246)</f>
        <v>1956055.27</v>
      </c>
      <c r="N244" s="181">
        <f>SUM(N245:N246)</f>
        <v>2240000</v>
      </c>
      <c r="O244" s="181">
        <f>SUM(O245:O246)</f>
        <v>1439381.28</v>
      </c>
      <c r="P244" s="26">
        <f t="shared" si="143"/>
        <v>0</v>
      </c>
      <c r="Q244" s="181">
        <f t="shared" ref="Q244:X244" si="207">SUM(Q245:Q246)</f>
        <v>2240000</v>
      </c>
      <c r="R244" s="181">
        <f t="shared" si="207"/>
        <v>2270000</v>
      </c>
      <c r="S244" s="181">
        <f t="shared" si="207"/>
        <v>2310000</v>
      </c>
      <c r="T244" s="307">
        <f t="shared" si="207"/>
        <v>2240000</v>
      </c>
      <c r="U244" s="307">
        <f>SUM(U245:U246)</f>
        <v>2154151.02</v>
      </c>
      <c r="V244" s="181">
        <f t="shared" si="207"/>
        <v>2241000</v>
      </c>
      <c r="W244" s="181">
        <f t="shared" si="207"/>
        <v>2241000</v>
      </c>
      <c r="X244" s="181">
        <f t="shared" si="207"/>
        <v>2302000</v>
      </c>
      <c r="Y244" s="181">
        <f>SUM(Y245:Y246)</f>
        <v>910208.22</v>
      </c>
      <c r="Z244" s="181">
        <f t="shared" si="172"/>
        <v>40.619999999999997</v>
      </c>
      <c r="AA244" s="181">
        <f t="shared" si="173"/>
        <v>-41000</v>
      </c>
      <c r="AB244" s="181">
        <f>SUM(AB245:AB246)</f>
        <v>2200000</v>
      </c>
      <c r="AC244" s="181">
        <f>SUM(AC245:AC246)</f>
        <v>1637133</v>
      </c>
      <c r="AD244" s="181">
        <f t="shared" si="190"/>
        <v>74.415136363636364</v>
      </c>
      <c r="AE244" s="181">
        <f t="shared" si="186"/>
        <v>7000</v>
      </c>
      <c r="AF244" s="181">
        <f>SUM(AF245:AF246)</f>
        <v>2207000</v>
      </c>
      <c r="AG244" s="181">
        <f>SUM(AG245:AG246)</f>
        <v>2305000</v>
      </c>
      <c r="AH244" s="181">
        <f>SUM(AH245:AH246)</f>
        <v>2310000</v>
      </c>
      <c r="AI244" s="181">
        <f>SUM(AI245:AI246)</f>
        <v>2315000</v>
      </c>
      <c r="AJ244" s="162" t="b">
        <f t="shared" si="166"/>
        <v>1</v>
      </c>
      <c r="AK244" s="162" t="str">
        <f t="shared" si="167"/>
        <v>PRAZNO</v>
      </c>
      <c r="AM244" s="264"/>
    </row>
    <row r="245" spans="1:39" ht="15.75" x14ac:dyDescent="0.2">
      <c r="B245" s="177"/>
      <c r="C245" s="177"/>
      <c r="D245" s="177"/>
      <c r="E245" s="177">
        <v>3111</v>
      </c>
      <c r="F245" s="176">
        <v>11</v>
      </c>
      <c r="G245" s="176" t="s">
        <v>527</v>
      </c>
      <c r="H245" s="16" t="s">
        <v>199</v>
      </c>
      <c r="I245" s="18">
        <v>2060000</v>
      </c>
      <c r="J245" s="178">
        <v>1372023.21</v>
      </c>
      <c r="K245" s="178">
        <f t="shared" si="203"/>
        <v>66.599999999999994</v>
      </c>
      <c r="L245" s="178">
        <f t="shared" si="204"/>
        <v>-115747.1399999999</v>
      </c>
      <c r="M245" s="178">
        <v>1944252.86</v>
      </c>
      <c r="N245" s="178">
        <v>2220000</v>
      </c>
      <c r="O245" s="178">
        <v>1425661.76</v>
      </c>
      <c r="P245" s="26">
        <f t="shared" si="143"/>
        <v>0</v>
      </c>
      <c r="Q245" s="178">
        <v>2220000</v>
      </c>
      <c r="R245" s="178">
        <f>2246000+10000</f>
        <v>2256000</v>
      </c>
      <c r="S245" s="178">
        <f>2286000+10000</f>
        <v>2296000</v>
      </c>
      <c r="T245" s="266">
        <v>2220000</v>
      </c>
      <c r="U245" s="266">
        <v>2134661.4700000002</v>
      </c>
      <c r="V245" s="178">
        <v>2220000</v>
      </c>
      <c r="W245" s="178">
        <v>2220000</v>
      </c>
      <c r="X245" s="178">
        <v>2280000</v>
      </c>
      <c r="Y245" s="178">
        <v>897510.46</v>
      </c>
      <c r="Z245" s="178">
        <f t="shared" si="172"/>
        <v>40.43</v>
      </c>
      <c r="AA245" s="178">
        <f t="shared" si="173"/>
        <v>-41000</v>
      </c>
      <c r="AB245" s="178">
        <v>2179000</v>
      </c>
      <c r="AC245" s="178">
        <v>1617367.1</v>
      </c>
      <c r="AD245" s="178">
        <f t="shared" si="190"/>
        <v>74.225199632859116</v>
      </c>
      <c r="AE245" s="178">
        <f t="shared" si="186"/>
        <v>0</v>
      </c>
      <c r="AF245" s="178">
        <v>2179000</v>
      </c>
      <c r="AG245" s="677">
        <f>190000*12</f>
        <v>2280000</v>
      </c>
      <c r="AH245" s="677">
        <f>190000*12+5000</f>
        <v>2285000</v>
      </c>
      <c r="AI245" s="677">
        <f>190000*12+10000</f>
        <v>2290000</v>
      </c>
      <c r="AJ245" s="162" t="b">
        <f t="shared" si="166"/>
        <v>0</v>
      </c>
      <c r="AK245" s="162" t="str">
        <f t="shared" si="167"/>
        <v>PUNO</v>
      </c>
      <c r="AM245" s="264"/>
    </row>
    <row r="246" spans="1:39" ht="15.75" x14ac:dyDescent="0.2">
      <c r="B246" s="177"/>
      <c r="C246" s="177"/>
      <c r="D246" s="177"/>
      <c r="E246" s="177">
        <v>3112</v>
      </c>
      <c r="F246" s="176">
        <v>11</v>
      </c>
      <c r="G246" s="176" t="s">
        <v>527</v>
      </c>
      <c r="H246" s="16" t="s">
        <v>219</v>
      </c>
      <c r="I246" s="18">
        <v>14000</v>
      </c>
      <c r="J246" s="178">
        <v>8782.7099999999991</v>
      </c>
      <c r="K246" s="178">
        <f t="shared" si="203"/>
        <v>62.73</v>
      </c>
      <c r="L246" s="178">
        <f t="shared" si="204"/>
        <v>-2197.59</v>
      </c>
      <c r="M246" s="178">
        <v>11802.41</v>
      </c>
      <c r="N246" s="178">
        <v>20000</v>
      </c>
      <c r="O246" s="178">
        <v>13719.52</v>
      </c>
      <c r="P246" s="26">
        <f t="shared" ref="P246:P272" si="208">T246-N246</f>
        <v>0</v>
      </c>
      <c r="Q246" s="178">
        <v>20000</v>
      </c>
      <c r="R246" s="178">
        <v>14000</v>
      </c>
      <c r="S246" s="178">
        <v>14000</v>
      </c>
      <c r="T246" s="266">
        <v>20000</v>
      </c>
      <c r="U246" s="266">
        <v>19489.55</v>
      </c>
      <c r="V246" s="178">
        <v>21000</v>
      </c>
      <c r="W246" s="178">
        <v>21000</v>
      </c>
      <c r="X246" s="178">
        <v>22000</v>
      </c>
      <c r="Y246" s="178">
        <v>12697.76</v>
      </c>
      <c r="Z246" s="178">
        <f t="shared" si="172"/>
        <v>60.47</v>
      </c>
      <c r="AA246" s="178">
        <f t="shared" si="173"/>
        <v>0</v>
      </c>
      <c r="AB246" s="178">
        <v>21000</v>
      </c>
      <c r="AC246" s="686">
        <v>19765.900000000001</v>
      </c>
      <c r="AD246" s="178">
        <f t="shared" si="190"/>
        <v>94.123333333333335</v>
      </c>
      <c r="AE246" s="178">
        <f t="shared" si="186"/>
        <v>7000</v>
      </c>
      <c r="AF246" s="178">
        <v>28000</v>
      </c>
      <c r="AG246" s="687">
        <v>25000</v>
      </c>
      <c r="AH246" s="687">
        <v>25000</v>
      </c>
      <c r="AI246" s="687">
        <v>25000</v>
      </c>
      <c r="AJ246" s="162" t="b">
        <f t="shared" si="166"/>
        <v>0</v>
      </c>
      <c r="AK246" s="162" t="str">
        <f t="shared" si="167"/>
        <v>PUNO</v>
      </c>
      <c r="AM246" s="264"/>
    </row>
    <row r="247" spans="1:39" ht="15.75" x14ac:dyDescent="0.2">
      <c r="B247" s="177"/>
      <c r="C247" s="177"/>
      <c r="D247" s="177">
        <v>312</v>
      </c>
      <c r="E247" s="177"/>
      <c r="F247" s="177"/>
      <c r="G247" s="177"/>
      <c r="H247" s="16" t="s">
        <v>200</v>
      </c>
      <c r="I247" s="17">
        <f>I248</f>
        <v>99000</v>
      </c>
      <c r="J247" s="181">
        <f>J248</f>
        <v>64251.44</v>
      </c>
      <c r="K247" s="181">
        <f t="shared" si="203"/>
        <v>64.900000000000006</v>
      </c>
      <c r="L247" s="181">
        <f t="shared" si="204"/>
        <v>72419.37</v>
      </c>
      <c r="M247" s="181">
        <f>M248</f>
        <v>171419.37</v>
      </c>
      <c r="N247" s="181">
        <f>N248</f>
        <v>86000</v>
      </c>
      <c r="O247" s="181">
        <f>O248</f>
        <v>49095.43</v>
      </c>
      <c r="P247" s="26">
        <f t="shared" si="208"/>
        <v>5000</v>
      </c>
      <c r="Q247" s="181">
        <f t="shared" ref="Q247:AI247" si="209">Q248</f>
        <v>86000</v>
      </c>
      <c r="R247" s="181">
        <f t="shared" si="209"/>
        <v>87000</v>
      </c>
      <c r="S247" s="181">
        <f t="shared" si="209"/>
        <v>89000</v>
      </c>
      <c r="T247" s="307">
        <f t="shared" si="209"/>
        <v>91000</v>
      </c>
      <c r="U247" s="307">
        <f t="shared" si="209"/>
        <v>90010.58</v>
      </c>
      <c r="V247" s="181">
        <f t="shared" si="209"/>
        <v>81000</v>
      </c>
      <c r="W247" s="181">
        <f t="shared" si="209"/>
        <v>81000</v>
      </c>
      <c r="X247" s="181">
        <f t="shared" si="209"/>
        <v>87000</v>
      </c>
      <c r="Y247" s="181">
        <f t="shared" si="209"/>
        <v>7559.54</v>
      </c>
      <c r="Z247" s="181">
        <f t="shared" si="172"/>
        <v>9.33</v>
      </c>
      <c r="AA247" s="181">
        <f t="shared" si="173"/>
        <v>0</v>
      </c>
      <c r="AB247" s="181">
        <f t="shared" si="209"/>
        <v>81000</v>
      </c>
      <c r="AC247" s="181">
        <f t="shared" si="209"/>
        <v>39463.93</v>
      </c>
      <c r="AD247" s="181">
        <f t="shared" si="190"/>
        <v>48.720901234567904</v>
      </c>
      <c r="AE247" s="181">
        <f t="shared" si="186"/>
        <v>0</v>
      </c>
      <c r="AF247" s="181">
        <f t="shared" si="209"/>
        <v>81000</v>
      </c>
      <c r="AG247" s="181">
        <f t="shared" si="209"/>
        <v>87000</v>
      </c>
      <c r="AH247" s="181">
        <f t="shared" si="209"/>
        <v>89000</v>
      </c>
      <c r="AI247" s="181">
        <f t="shared" si="209"/>
        <v>85000</v>
      </c>
      <c r="AJ247" s="162" t="b">
        <f t="shared" si="166"/>
        <v>1</v>
      </c>
      <c r="AK247" s="162" t="str">
        <f t="shared" si="167"/>
        <v>PRAZNO</v>
      </c>
      <c r="AM247" s="264"/>
    </row>
    <row r="248" spans="1:39" ht="15.75" x14ac:dyDescent="0.2">
      <c r="B248" s="177"/>
      <c r="C248" s="177"/>
      <c r="D248" s="177"/>
      <c r="E248" s="177">
        <v>3121</v>
      </c>
      <c r="F248" s="176">
        <v>11</v>
      </c>
      <c r="G248" s="176" t="s">
        <v>527</v>
      </c>
      <c r="H248" s="16" t="s">
        <v>200</v>
      </c>
      <c r="I248" s="18">
        <f>89000+10000</f>
        <v>99000</v>
      </c>
      <c r="J248" s="178">
        <v>64251.44</v>
      </c>
      <c r="K248" s="178">
        <f t="shared" si="203"/>
        <v>64.900000000000006</v>
      </c>
      <c r="L248" s="178">
        <f t="shared" si="204"/>
        <v>72419.37</v>
      </c>
      <c r="M248" s="178">
        <v>171419.37</v>
      </c>
      <c r="N248" s="178">
        <v>86000</v>
      </c>
      <c r="O248" s="178">
        <v>49095.43</v>
      </c>
      <c r="P248" s="26">
        <f t="shared" si="208"/>
        <v>5000</v>
      </c>
      <c r="Q248" s="178">
        <v>86000</v>
      </c>
      <c r="R248" s="178">
        <v>87000</v>
      </c>
      <c r="S248" s="178">
        <v>89000</v>
      </c>
      <c r="T248" s="266">
        <v>91000</v>
      </c>
      <c r="U248" s="266">
        <v>90010.58</v>
      </c>
      <c r="V248" s="178">
        <v>81000</v>
      </c>
      <c r="W248" s="178">
        <v>81000</v>
      </c>
      <c r="X248" s="178">
        <v>87000</v>
      </c>
      <c r="Y248" s="178">
        <v>7559.54</v>
      </c>
      <c r="Z248" s="178">
        <f t="shared" si="172"/>
        <v>9.33</v>
      </c>
      <c r="AA248" s="178">
        <f t="shared" si="173"/>
        <v>0</v>
      </c>
      <c r="AB248" s="178">
        <v>81000</v>
      </c>
      <c r="AC248" s="178">
        <v>39463.93</v>
      </c>
      <c r="AD248" s="178">
        <f t="shared" si="190"/>
        <v>48.720901234567904</v>
      </c>
      <c r="AE248" s="178">
        <f t="shared" si="186"/>
        <v>0</v>
      </c>
      <c r="AF248" s="178">
        <v>81000</v>
      </c>
      <c r="AG248" s="687">
        <v>87000</v>
      </c>
      <c r="AH248" s="687">
        <v>89000</v>
      </c>
      <c r="AI248" s="687">
        <v>85000</v>
      </c>
      <c r="AJ248" s="162" t="b">
        <f t="shared" si="166"/>
        <v>0</v>
      </c>
      <c r="AK248" s="162" t="str">
        <f t="shared" si="167"/>
        <v>PUNO</v>
      </c>
      <c r="AM248" s="264"/>
    </row>
    <row r="249" spans="1:39" ht="15.75" x14ac:dyDescent="0.2">
      <c r="B249" s="177"/>
      <c r="C249" s="177"/>
      <c r="D249" s="177">
        <v>313</v>
      </c>
      <c r="E249" s="177"/>
      <c r="F249" s="177"/>
      <c r="G249" s="177"/>
      <c r="H249" s="16" t="s">
        <v>201</v>
      </c>
      <c r="I249" s="17">
        <f>SUM(I250:I251)</f>
        <v>352000</v>
      </c>
      <c r="J249" s="181">
        <f>SUM(J250:J251)</f>
        <v>238879.53000000003</v>
      </c>
      <c r="K249" s="181">
        <f t="shared" si="203"/>
        <v>67.86</v>
      </c>
      <c r="L249" s="181">
        <f t="shared" si="204"/>
        <v>-13602.280000000028</v>
      </c>
      <c r="M249" s="181">
        <f>SUM(M250:M251)</f>
        <v>338397.72</v>
      </c>
      <c r="N249" s="181">
        <f>SUM(N250:N251)</f>
        <v>389000</v>
      </c>
      <c r="O249" s="181">
        <f>SUM(O250:O251)</f>
        <v>238084.19999999998</v>
      </c>
      <c r="P249" s="26">
        <f t="shared" si="208"/>
        <v>-18000</v>
      </c>
      <c r="Q249" s="181">
        <f t="shared" ref="Q249:X249" si="210">SUM(Q250:Q251)</f>
        <v>389000</v>
      </c>
      <c r="R249" s="181">
        <f t="shared" si="210"/>
        <v>398000</v>
      </c>
      <c r="S249" s="181">
        <f t="shared" si="210"/>
        <v>405000</v>
      </c>
      <c r="T249" s="307">
        <f t="shared" si="210"/>
        <v>371000</v>
      </c>
      <c r="U249" s="307">
        <f>SUM(U250:U251)</f>
        <v>347443.89999999997</v>
      </c>
      <c r="V249" s="181">
        <f t="shared" si="210"/>
        <v>371000</v>
      </c>
      <c r="W249" s="181">
        <f t="shared" si="210"/>
        <v>371000</v>
      </c>
      <c r="X249" s="181">
        <f t="shared" si="210"/>
        <v>383000</v>
      </c>
      <c r="Y249" s="181">
        <f>SUM(Y250:Y251)</f>
        <v>138060.82</v>
      </c>
      <c r="Z249" s="181">
        <f t="shared" si="172"/>
        <v>37.21</v>
      </c>
      <c r="AA249" s="181">
        <f t="shared" si="173"/>
        <v>-35400</v>
      </c>
      <c r="AB249" s="181">
        <f>SUM(AB250:AB251)</f>
        <v>335600</v>
      </c>
      <c r="AC249" s="181">
        <f>SUM(AC250:AC251)</f>
        <v>249280.3</v>
      </c>
      <c r="AD249" s="181">
        <f t="shared" si="190"/>
        <v>74.278992848629315</v>
      </c>
      <c r="AE249" s="181">
        <f t="shared" si="186"/>
        <v>0</v>
      </c>
      <c r="AF249" s="181">
        <f>SUM(AF250:AF251)</f>
        <v>335600</v>
      </c>
      <c r="AG249" s="181">
        <f>SUM(AG250:AG251)</f>
        <v>348700</v>
      </c>
      <c r="AH249" s="181">
        <f>SUM(AH250:AH251)</f>
        <v>349500</v>
      </c>
      <c r="AI249" s="181">
        <f>SUM(AI250:AI251)</f>
        <v>350800</v>
      </c>
      <c r="AJ249" s="162" t="b">
        <f t="shared" si="166"/>
        <v>1</v>
      </c>
      <c r="AK249" s="162" t="str">
        <f t="shared" si="167"/>
        <v>PRAZNO</v>
      </c>
      <c r="AM249" s="264"/>
    </row>
    <row r="250" spans="1:39" ht="15.75" x14ac:dyDescent="0.2">
      <c r="B250" s="177"/>
      <c r="C250" s="177"/>
      <c r="D250" s="177"/>
      <c r="E250" s="177">
        <v>3132</v>
      </c>
      <c r="F250" s="176">
        <v>11</v>
      </c>
      <c r="G250" s="176" t="s">
        <v>527</v>
      </c>
      <c r="H250" s="16" t="s">
        <v>202</v>
      </c>
      <c r="I250" s="18">
        <v>320000</v>
      </c>
      <c r="J250" s="178">
        <v>214024.95</v>
      </c>
      <c r="K250" s="178">
        <f t="shared" si="203"/>
        <v>66.88</v>
      </c>
      <c r="L250" s="178">
        <f t="shared" si="204"/>
        <v>-16811.340000000026</v>
      </c>
      <c r="M250" s="178">
        <v>303188.65999999997</v>
      </c>
      <c r="N250" s="178">
        <f>354000-6000</f>
        <v>348000</v>
      </c>
      <c r="O250" s="178">
        <v>212175.33</v>
      </c>
      <c r="P250" s="26">
        <f t="shared" si="208"/>
        <v>-18000</v>
      </c>
      <c r="Q250" s="178">
        <f>354000-6000</f>
        <v>348000</v>
      </c>
      <c r="R250" s="178">
        <v>357000</v>
      </c>
      <c r="S250" s="178">
        <v>363000</v>
      </c>
      <c r="T250" s="266">
        <v>330000</v>
      </c>
      <c r="U250" s="266">
        <v>308669.15999999997</v>
      </c>
      <c r="V250" s="266">
        <v>330000</v>
      </c>
      <c r="W250" s="266">
        <v>330000</v>
      </c>
      <c r="X250" s="178">
        <v>340000</v>
      </c>
      <c r="Y250" s="266">
        <v>121677.04</v>
      </c>
      <c r="Z250" s="266">
        <f t="shared" si="172"/>
        <v>36.869999999999997</v>
      </c>
      <c r="AA250" s="266">
        <f t="shared" si="173"/>
        <v>-34000</v>
      </c>
      <c r="AB250" s="266">
        <v>296000</v>
      </c>
      <c r="AC250" s="266">
        <v>219811.86</v>
      </c>
      <c r="AD250" s="266">
        <f t="shared" si="190"/>
        <v>74.26076351351351</v>
      </c>
      <c r="AE250" s="266">
        <f t="shared" si="186"/>
        <v>0</v>
      </c>
      <c r="AF250" s="266">
        <v>296000</v>
      </c>
      <c r="AG250" s="687">
        <v>307200</v>
      </c>
      <c r="AH250" s="687">
        <v>308000</v>
      </c>
      <c r="AI250" s="687">
        <v>309000</v>
      </c>
      <c r="AJ250" s="162" t="b">
        <f t="shared" si="166"/>
        <v>0</v>
      </c>
      <c r="AK250" s="162" t="str">
        <f t="shared" si="167"/>
        <v>PUNO</v>
      </c>
      <c r="AM250" s="264"/>
    </row>
    <row r="251" spans="1:39" ht="30" customHeight="1" x14ac:dyDescent="0.2">
      <c r="B251" s="177"/>
      <c r="C251" s="177"/>
      <c r="D251" s="177"/>
      <c r="E251" s="177">
        <v>3133</v>
      </c>
      <c r="F251" s="176">
        <v>11</v>
      </c>
      <c r="G251" s="176" t="s">
        <v>527</v>
      </c>
      <c r="H251" s="16" t="s">
        <v>203</v>
      </c>
      <c r="I251" s="18">
        <v>32000</v>
      </c>
      <c r="J251" s="178">
        <v>24854.58</v>
      </c>
      <c r="K251" s="178">
        <f t="shared" si="203"/>
        <v>77.67</v>
      </c>
      <c r="L251" s="178">
        <f t="shared" si="204"/>
        <v>3209.0599999999977</v>
      </c>
      <c r="M251" s="178">
        <v>35209.06</v>
      </c>
      <c r="N251" s="178">
        <v>41000</v>
      </c>
      <c r="O251" s="178">
        <v>25908.87</v>
      </c>
      <c r="P251" s="26">
        <f t="shared" si="208"/>
        <v>0</v>
      </c>
      <c r="Q251" s="178">
        <v>41000</v>
      </c>
      <c r="R251" s="178">
        <v>41000</v>
      </c>
      <c r="S251" s="178">
        <v>42000</v>
      </c>
      <c r="T251" s="266">
        <v>41000</v>
      </c>
      <c r="U251" s="266">
        <v>38774.74</v>
      </c>
      <c r="V251" s="178">
        <v>41000</v>
      </c>
      <c r="W251" s="178">
        <v>41000</v>
      </c>
      <c r="X251" s="178">
        <v>43000</v>
      </c>
      <c r="Y251" s="178">
        <v>16383.78</v>
      </c>
      <c r="Z251" s="178">
        <f t="shared" si="172"/>
        <v>39.96</v>
      </c>
      <c r="AA251" s="178">
        <f t="shared" si="173"/>
        <v>-1400</v>
      </c>
      <c r="AB251" s="178">
        <v>39600</v>
      </c>
      <c r="AC251" s="178">
        <v>29468.44</v>
      </c>
      <c r="AD251" s="178">
        <f t="shared" si="190"/>
        <v>74.415252525252512</v>
      </c>
      <c r="AE251" s="178">
        <f t="shared" si="186"/>
        <v>0</v>
      </c>
      <c r="AF251" s="178">
        <v>39600</v>
      </c>
      <c r="AG251" s="687">
        <v>41500</v>
      </c>
      <c r="AH251" s="687">
        <v>41500</v>
      </c>
      <c r="AI251" s="687">
        <v>41800</v>
      </c>
      <c r="AJ251" s="162" t="b">
        <f t="shared" si="166"/>
        <v>0</v>
      </c>
      <c r="AK251" s="162" t="str">
        <f t="shared" si="167"/>
        <v>PUNO</v>
      </c>
      <c r="AM251" s="264"/>
    </row>
    <row r="252" spans="1:39" ht="15.75" x14ac:dyDescent="0.2">
      <c r="B252" s="314"/>
      <c r="C252" s="314">
        <v>32</v>
      </c>
      <c r="D252" s="314"/>
      <c r="E252" s="314"/>
      <c r="F252" s="314"/>
      <c r="G252" s="314"/>
      <c r="H252" s="39" t="s">
        <v>525</v>
      </c>
      <c r="I252" s="315">
        <f>I253+I257+I264+I259</f>
        <v>370000</v>
      </c>
      <c r="J252" s="317">
        <f>J253+J257+J264+J259</f>
        <v>220258.55</v>
      </c>
      <c r="K252" s="317">
        <f t="shared" si="203"/>
        <v>59.53</v>
      </c>
      <c r="L252" s="317">
        <f t="shared" si="204"/>
        <v>-67417.629999999946</v>
      </c>
      <c r="M252" s="317">
        <f>M253+M257+M264+M259</f>
        <v>302582.37000000005</v>
      </c>
      <c r="N252" s="317">
        <f>N253+N257+N264+N259</f>
        <v>453500</v>
      </c>
      <c r="O252" s="317">
        <f>O253+O257+O264+O259</f>
        <v>243881.62000000002</v>
      </c>
      <c r="P252" s="26">
        <f t="shared" si="208"/>
        <v>-10000</v>
      </c>
      <c r="Q252" s="183">
        <f t="shared" ref="Q252:X252" si="211">Q253+Q257+Q264+Q259</f>
        <v>453500</v>
      </c>
      <c r="R252" s="183">
        <f t="shared" si="211"/>
        <v>407400</v>
      </c>
      <c r="S252" s="183">
        <f t="shared" si="211"/>
        <v>417500</v>
      </c>
      <c r="T252" s="341">
        <f t="shared" si="211"/>
        <v>443500</v>
      </c>
      <c r="U252" s="341">
        <f>U253+U257+U264+U259</f>
        <v>357723.84</v>
      </c>
      <c r="V252" s="317">
        <f t="shared" si="211"/>
        <v>443500</v>
      </c>
      <c r="W252" s="317">
        <f t="shared" si="211"/>
        <v>443500</v>
      </c>
      <c r="X252" s="317">
        <f t="shared" si="211"/>
        <v>460000</v>
      </c>
      <c r="Y252" s="317">
        <f>Y253+Y257+Y264+Y259</f>
        <v>108080.44</v>
      </c>
      <c r="Z252" s="317">
        <f t="shared" si="172"/>
        <v>24.37</v>
      </c>
      <c r="AA252" s="317">
        <f t="shared" si="173"/>
        <v>-83000</v>
      </c>
      <c r="AB252" s="317">
        <f>AB253+AB257+AB264+AB259</f>
        <v>360500</v>
      </c>
      <c r="AC252" s="317">
        <f>AC253+AC257+AC264+AC259</f>
        <v>202508.34999999998</v>
      </c>
      <c r="AD252" s="317">
        <f t="shared" si="190"/>
        <v>56.174299583911221</v>
      </c>
      <c r="AE252" s="317">
        <f t="shared" si="186"/>
        <v>-7000</v>
      </c>
      <c r="AF252" s="317">
        <f>AF253+AF257+AF264+AF259</f>
        <v>353500</v>
      </c>
      <c r="AG252" s="317">
        <f>AG253+AG257+AG264+AG259</f>
        <v>404500</v>
      </c>
      <c r="AH252" s="317">
        <f>AH253+AH257+AH264+AH259</f>
        <v>379500</v>
      </c>
      <c r="AI252" s="317">
        <f>AI253+AI257+AI264+AI259</f>
        <v>379500</v>
      </c>
      <c r="AJ252" s="162" t="b">
        <f t="shared" si="166"/>
        <v>1</v>
      </c>
      <c r="AK252" s="162" t="str">
        <f t="shared" si="167"/>
        <v>PRAZNO</v>
      </c>
      <c r="AM252" s="264"/>
    </row>
    <row r="253" spans="1:39" ht="15.75" x14ac:dyDescent="0.2">
      <c r="B253" s="177"/>
      <c r="C253" s="177"/>
      <c r="D253" s="177">
        <v>321</v>
      </c>
      <c r="E253" s="177"/>
      <c r="F253" s="177"/>
      <c r="G253" s="177"/>
      <c r="H253" s="16" t="s">
        <v>564</v>
      </c>
      <c r="I253" s="17">
        <f>SUM(I254:I256)</f>
        <v>207000</v>
      </c>
      <c r="J253" s="181">
        <f>SUM(J254:J256)</f>
        <v>111251.98999999999</v>
      </c>
      <c r="K253" s="181">
        <f t="shared" si="203"/>
        <v>53.74</v>
      </c>
      <c r="L253" s="181">
        <f t="shared" si="204"/>
        <v>-48468.789999999979</v>
      </c>
      <c r="M253" s="181">
        <f>SUM(M254:M256)</f>
        <v>158531.21000000002</v>
      </c>
      <c r="N253" s="181">
        <f>SUM(N254:N256)</f>
        <v>265500</v>
      </c>
      <c r="O253" s="181">
        <f>SUM(O254:O256)</f>
        <v>147221.45000000001</v>
      </c>
      <c r="P253" s="26">
        <f t="shared" si="208"/>
        <v>0</v>
      </c>
      <c r="Q253" s="181">
        <f t="shared" ref="Q253:X253" si="212">SUM(Q254:Q256)</f>
        <v>265500</v>
      </c>
      <c r="R253" s="181">
        <f t="shared" si="212"/>
        <v>219400</v>
      </c>
      <c r="S253" s="181">
        <f t="shared" si="212"/>
        <v>223500</v>
      </c>
      <c r="T253" s="307">
        <f t="shared" si="212"/>
        <v>265500</v>
      </c>
      <c r="U253" s="307">
        <f>SUM(U254:U256)</f>
        <v>212743.34</v>
      </c>
      <c r="V253" s="181">
        <f t="shared" si="212"/>
        <v>265500</v>
      </c>
      <c r="W253" s="181">
        <f t="shared" si="212"/>
        <v>265500</v>
      </c>
      <c r="X253" s="181">
        <f t="shared" si="212"/>
        <v>279000</v>
      </c>
      <c r="Y253" s="181">
        <f>SUM(Y254:Y256)</f>
        <v>69070.47</v>
      </c>
      <c r="Z253" s="181">
        <f t="shared" si="172"/>
        <v>26.02</v>
      </c>
      <c r="AA253" s="181">
        <f t="shared" si="173"/>
        <v>-57000</v>
      </c>
      <c r="AB253" s="181">
        <f>SUM(AB254:AB256)</f>
        <v>208500</v>
      </c>
      <c r="AC253" s="181">
        <f>SUM(AC254:AC256)</f>
        <v>124303.03</v>
      </c>
      <c r="AD253" s="181">
        <f t="shared" si="190"/>
        <v>59.617760191846529</v>
      </c>
      <c r="AE253" s="181">
        <f t="shared" si="186"/>
        <v>-4000</v>
      </c>
      <c r="AF253" s="181">
        <f>SUM(AF254:AF256)</f>
        <v>204500</v>
      </c>
      <c r="AG253" s="181">
        <f>SUM(AG254:AG256)</f>
        <v>227500</v>
      </c>
      <c r="AH253" s="181">
        <f>SUM(AH254:AH256)</f>
        <v>227500</v>
      </c>
      <c r="AI253" s="181">
        <f>SUM(AI254:AI256)</f>
        <v>227500</v>
      </c>
      <c r="AJ253" s="162" t="b">
        <f t="shared" si="166"/>
        <v>1</v>
      </c>
      <c r="AK253" s="162" t="str">
        <f t="shared" si="167"/>
        <v>PRAZNO</v>
      </c>
      <c r="AM253" s="264"/>
    </row>
    <row r="254" spans="1:39" ht="15.75" x14ac:dyDescent="0.2">
      <c r="B254" s="177"/>
      <c r="C254" s="177"/>
      <c r="D254" s="177"/>
      <c r="E254" s="177">
        <v>3211</v>
      </c>
      <c r="F254" s="176">
        <v>11</v>
      </c>
      <c r="G254" s="176" t="s">
        <v>527</v>
      </c>
      <c r="H254" s="16" t="s">
        <v>565</v>
      </c>
      <c r="I254" s="18">
        <v>120000</v>
      </c>
      <c r="J254" s="178">
        <v>64803.99</v>
      </c>
      <c r="K254" s="178">
        <f t="shared" si="203"/>
        <v>54</v>
      </c>
      <c r="L254" s="178">
        <f t="shared" si="204"/>
        <v>-31994.789999999994</v>
      </c>
      <c r="M254" s="178">
        <v>88005.21</v>
      </c>
      <c r="N254" s="178">
        <v>140000</v>
      </c>
      <c r="O254" s="178">
        <v>80093.55</v>
      </c>
      <c r="P254" s="26">
        <f t="shared" si="208"/>
        <v>0</v>
      </c>
      <c r="Q254" s="178">
        <v>140000</v>
      </c>
      <c r="R254" s="178">
        <v>121000</v>
      </c>
      <c r="S254" s="178">
        <v>122000</v>
      </c>
      <c r="T254" s="266">
        <v>140000</v>
      </c>
      <c r="U254" s="266">
        <v>110938.14</v>
      </c>
      <c r="V254" s="266">
        <v>140000</v>
      </c>
      <c r="W254" s="266">
        <v>140000</v>
      </c>
      <c r="X254" s="178">
        <v>150000</v>
      </c>
      <c r="Y254" s="266">
        <v>24990.47</v>
      </c>
      <c r="Z254" s="266">
        <f t="shared" si="172"/>
        <v>17.850000000000001</v>
      </c>
      <c r="AA254" s="266">
        <f t="shared" si="173"/>
        <v>-40000</v>
      </c>
      <c r="AB254" s="266">
        <v>100000</v>
      </c>
      <c r="AC254" s="266">
        <v>50815.93</v>
      </c>
      <c r="AD254" s="266">
        <f t="shared" si="190"/>
        <v>50.815929999999994</v>
      </c>
      <c r="AE254" s="266">
        <f t="shared" si="186"/>
        <v>0</v>
      </c>
      <c r="AF254" s="266">
        <v>100000</v>
      </c>
      <c r="AG254" s="266">
        <v>100000</v>
      </c>
      <c r="AH254" s="266">
        <v>100000</v>
      </c>
      <c r="AI254" s="266">
        <v>100000</v>
      </c>
      <c r="AJ254" s="162" t="b">
        <f t="shared" si="166"/>
        <v>0</v>
      </c>
      <c r="AK254" s="162" t="str">
        <f t="shared" si="167"/>
        <v>PUNO</v>
      </c>
      <c r="AM254" s="264"/>
    </row>
    <row r="255" spans="1:39" ht="15.75" x14ac:dyDescent="0.2">
      <c r="B255" s="177"/>
      <c r="C255" s="177"/>
      <c r="D255" s="177"/>
      <c r="E255" s="177">
        <v>3212</v>
      </c>
      <c r="F255" s="176">
        <v>11</v>
      </c>
      <c r="G255" s="176" t="s">
        <v>527</v>
      </c>
      <c r="H255" s="16" t="s">
        <v>220</v>
      </c>
      <c r="I255" s="18">
        <v>84000</v>
      </c>
      <c r="J255" s="178">
        <v>43548</v>
      </c>
      <c r="K255" s="178">
        <f t="shared" si="203"/>
        <v>51.84</v>
      </c>
      <c r="L255" s="178">
        <f t="shared" si="204"/>
        <v>-18414</v>
      </c>
      <c r="M255" s="178">
        <v>65586</v>
      </c>
      <c r="N255" s="178">
        <v>112000</v>
      </c>
      <c r="O255" s="178">
        <v>60024.9</v>
      </c>
      <c r="P255" s="26">
        <f t="shared" si="208"/>
        <v>0</v>
      </c>
      <c r="Q255" s="178">
        <v>112000</v>
      </c>
      <c r="R255" s="178">
        <v>93400</v>
      </c>
      <c r="S255" s="178">
        <v>95500</v>
      </c>
      <c r="T255" s="266">
        <v>112000</v>
      </c>
      <c r="U255" s="266">
        <v>89939.7</v>
      </c>
      <c r="V255" s="266">
        <v>112000</v>
      </c>
      <c r="W255" s="266">
        <v>112000</v>
      </c>
      <c r="X255" s="178">
        <v>115000</v>
      </c>
      <c r="Y255" s="266">
        <v>41845</v>
      </c>
      <c r="Z255" s="266">
        <f t="shared" si="172"/>
        <v>37.36</v>
      </c>
      <c r="AA255" s="266">
        <f t="shared" si="173"/>
        <v>-17000</v>
      </c>
      <c r="AB255" s="266">
        <v>95000</v>
      </c>
      <c r="AC255" s="266">
        <v>69014.600000000006</v>
      </c>
      <c r="AD255" s="266">
        <f t="shared" si="190"/>
        <v>72.646947368421053</v>
      </c>
      <c r="AE255" s="266">
        <f t="shared" si="186"/>
        <v>-2000</v>
      </c>
      <c r="AF255" s="266">
        <f>95000-2000</f>
        <v>93000</v>
      </c>
      <c r="AG255" s="687">
        <v>114000</v>
      </c>
      <c r="AH255" s="687">
        <v>114000</v>
      </c>
      <c r="AI255" s="687">
        <v>114000</v>
      </c>
      <c r="AJ255" s="162" t="b">
        <f t="shared" si="166"/>
        <v>0</v>
      </c>
      <c r="AK255" s="162" t="str">
        <f t="shared" si="167"/>
        <v>PUNO</v>
      </c>
      <c r="AM255" s="264"/>
    </row>
    <row r="256" spans="1:39" ht="15.75" x14ac:dyDescent="0.2">
      <c r="B256" s="177"/>
      <c r="C256" s="177"/>
      <c r="D256" s="177"/>
      <c r="E256" s="177">
        <v>3213</v>
      </c>
      <c r="F256" s="176">
        <v>11</v>
      </c>
      <c r="G256" s="176" t="s">
        <v>527</v>
      </c>
      <c r="H256" s="16" t="s">
        <v>221</v>
      </c>
      <c r="I256" s="18">
        <v>3000</v>
      </c>
      <c r="J256" s="178">
        <v>2900</v>
      </c>
      <c r="K256" s="178">
        <f t="shared" si="203"/>
        <v>96.67</v>
      </c>
      <c r="L256" s="178">
        <f t="shared" si="204"/>
        <v>1940</v>
      </c>
      <c r="M256" s="178">
        <v>4940</v>
      </c>
      <c r="N256" s="178">
        <f>5000+6000+2500</f>
        <v>13500</v>
      </c>
      <c r="O256" s="178">
        <v>7103</v>
      </c>
      <c r="P256" s="26">
        <f t="shared" si="208"/>
        <v>0</v>
      </c>
      <c r="Q256" s="178">
        <f>5000+6000+2500</f>
        <v>13500</v>
      </c>
      <c r="R256" s="178">
        <v>5000</v>
      </c>
      <c r="S256" s="178">
        <v>6000</v>
      </c>
      <c r="T256" s="266">
        <v>13500</v>
      </c>
      <c r="U256" s="266">
        <v>11865.5</v>
      </c>
      <c r="V256" s="266">
        <v>13500</v>
      </c>
      <c r="W256" s="266">
        <v>13500</v>
      </c>
      <c r="X256" s="266">
        <v>14000</v>
      </c>
      <c r="Y256" s="266">
        <v>2235</v>
      </c>
      <c r="Z256" s="266">
        <f t="shared" si="172"/>
        <v>16.559999999999999</v>
      </c>
      <c r="AA256" s="266">
        <f t="shared" si="173"/>
        <v>0</v>
      </c>
      <c r="AB256" s="266">
        <v>13500</v>
      </c>
      <c r="AC256" s="266">
        <v>4472.5</v>
      </c>
      <c r="AD256" s="266">
        <f t="shared" si="190"/>
        <v>33.129629629629633</v>
      </c>
      <c r="AE256" s="266">
        <f t="shared" si="186"/>
        <v>-2000</v>
      </c>
      <c r="AF256" s="266">
        <v>11500</v>
      </c>
      <c r="AG256" s="687">
        <v>13500</v>
      </c>
      <c r="AH256" s="687">
        <v>13500</v>
      </c>
      <c r="AI256" s="687">
        <v>13500</v>
      </c>
      <c r="AJ256" s="162" t="b">
        <f t="shared" si="166"/>
        <v>0</v>
      </c>
      <c r="AK256" s="162" t="str">
        <f t="shared" si="167"/>
        <v>PUNO</v>
      </c>
      <c r="AM256" s="264"/>
    </row>
    <row r="257" spans="1:49" ht="15.75" x14ac:dyDescent="0.2">
      <c r="B257" s="177"/>
      <c r="C257" s="177"/>
      <c r="D257" s="177">
        <v>322</v>
      </c>
      <c r="E257" s="177"/>
      <c r="F257" s="177"/>
      <c r="G257" s="177"/>
      <c r="H257" s="16" t="s">
        <v>547</v>
      </c>
      <c r="I257" s="17">
        <f>I258</f>
        <v>63000</v>
      </c>
      <c r="J257" s="181">
        <f>J258</f>
        <v>55119.01</v>
      </c>
      <c r="K257" s="181">
        <f t="shared" si="203"/>
        <v>87.49</v>
      </c>
      <c r="L257" s="181">
        <f t="shared" si="204"/>
        <v>-329.30000000000291</v>
      </c>
      <c r="M257" s="181">
        <f>M258</f>
        <v>62670.7</v>
      </c>
      <c r="N257" s="181">
        <f>N258</f>
        <v>84000</v>
      </c>
      <c r="O257" s="181">
        <f>O258</f>
        <v>33585.660000000003</v>
      </c>
      <c r="P257" s="26">
        <f t="shared" si="208"/>
        <v>-10000</v>
      </c>
      <c r="Q257" s="181">
        <f t="shared" ref="Q257:AI257" si="213">Q258</f>
        <v>84000</v>
      </c>
      <c r="R257" s="181">
        <f t="shared" si="213"/>
        <v>85000</v>
      </c>
      <c r="S257" s="181">
        <f t="shared" si="213"/>
        <v>88000</v>
      </c>
      <c r="T257" s="307">
        <f t="shared" si="213"/>
        <v>74000</v>
      </c>
      <c r="U257" s="307">
        <f t="shared" si="213"/>
        <v>52820.86</v>
      </c>
      <c r="V257" s="181">
        <f t="shared" si="213"/>
        <v>74000</v>
      </c>
      <c r="W257" s="181">
        <f t="shared" si="213"/>
        <v>74000</v>
      </c>
      <c r="X257" s="181">
        <f t="shared" si="213"/>
        <v>75000</v>
      </c>
      <c r="Y257" s="181">
        <f t="shared" si="213"/>
        <v>16915.77</v>
      </c>
      <c r="Z257" s="181">
        <f t="shared" si="172"/>
        <v>22.86</v>
      </c>
      <c r="AA257" s="181">
        <f t="shared" si="173"/>
        <v>-20000</v>
      </c>
      <c r="AB257" s="181">
        <f t="shared" si="213"/>
        <v>54000</v>
      </c>
      <c r="AC257" s="181">
        <f t="shared" si="213"/>
        <v>33368.18</v>
      </c>
      <c r="AD257" s="181">
        <f t="shared" si="190"/>
        <v>61.792925925925921</v>
      </c>
      <c r="AE257" s="181">
        <f t="shared" si="186"/>
        <v>-1000</v>
      </c>
      <c r="AF257" s="181">
        <f t="shared" si="213"/>
        <v>53000</v>
      </c>
      <c r="AG257" s="181">
        <f t="shared" si="213"/>
        <v>54000</v>
      </c>
      <c r="AH257" s="181">
        <f t="shared" si="213"/>
        <v>54000</v>
      </c>
      <c r="AI257" s="181">
        <f t="shared" si="213"/>
        <v>54000</v>
      </c>
      <c r="AJ257" s="162" t="b">
        <f t="shared" si="166"/>
        <v>1</v>
      </c>
      <c r="AK257" s="162" t="str">
        <f t="shared" si="167"/>
        <v>PRAZNO</v>
      </c>
      <c r="AM257" s="264"/>
    </row>
    <row r="258" spans="1:49" ht="15.75" x14ac:dyDescent="0.2">
      <c r="B258" s="177"/>
      <c r="C258" s="177"/>
      <c r="D258" s="177"/>
      <c r="E258" s="177">
        <v>3221</v>
      </c>
      <c r="F258" s="176">
        <v>11</v>
      </c>
      <c r="G258" s="176" t="s">
        <v>527</v>
      </c>
      <c r="H258" s="16" t="s">
        <v>548</v>
      </c>
      <c r="I258" s="18">
        <v>63000</v>
      </c>
      <c r="J258" s="178">
        <v>55119.01</v>
      </c>
      <c r="K258" s="178">
        <f t="shared" si="203"/>
        <v>87.49</v>
      </c>
      <c r="L258" s="178">
        <f t="shared" si="204"/>
        <v>-329.30000000000291</v>
      </c>
      <c r="M258" s="178">
        <v>62670.7</v>
      </c>
      <c r="N258" s="178">
        <v>84000</v>
      </c>
      <c r="O258" s="178">
        <v>33585.660000000003</v>
      </c>
      <c r="P258" s="26">
        <f t="shared" si="208"/>
        <v>-10000</v>
      </c>
      <c r="Q258" s="178">
        <v>84000</v>
      </c>
      <c r="R258" s="178">
        <v>85000</v>
      </c>
      <c r="S258" s="178">
        <v>88000</v>
      </c>
      <c r="T258" s="266">
        <v>74000</v>
      </c>
      <c r="U258" s="266">
        <v>52820.86</v>
      </c>
      <c r="V258" s="266">
        <v>74000</v>
      </c>
      <c r="W258" s="266">
        <v>74000</v>
      </c>
      <c r="X258" s="178">
        <v>75000</v>
      </c>
      <c r="Y258" s="266">
        <v>16915.77</v>
      </c>
      <c r="Z258" s="266">
        <f t="shared" si="172"/>
        <v>22.86</v>
      </c>
      <c r="AA258" s="266">
        <f t="shared" si="173"/>
        <v>-20000</v>
      </c>
      <c r="AB258" s="266">
        <v>54000</v>
      </c>
      <c r="AC258" s="266">
        <v>33368.18</v>
      </c>
      <c r="AD258" s="266">
        <f t="shared" si="190"/>
        <v>61.792925925925921</v>
      </c>
      <c r="AE258" s="266">
        <f t="shared" si="186"/>
        <v>-1000</v>
      </c>
      <c r="AF258" s="266">
        <v>53000</v>
      </c>
      <c r="AG258" s="266">
        <v>54000</v>
      </c>
      <c r="AH258" s="266">
        <v>54000</v>
      </c>
      <c r="AI258" s="266">
        <v>54000</v>
      </c>
      <c r="AJ258" s="162" t="b">
        <f t="shared" si="166"/>
        <v>0</v>
      </c>
      <c r="AK258" s="162" t="str">
        <f t="shared" si="167"/>
        <v>PUNO</v>
      </c>
      <c r="AM258" s="264"/>
    </row>
    <row r="259" spans="1:49" ht="15.75" x14ac:dyDescent="0.2">
      <c r="B259" s="177"/>
      <c r="C259" s="177"/>
      <c r="D259" s="177">
        <v>323</v>
      </c>
      <c r="E259" s="177"/>
      <c r="F259" s="177"/>
      <c r="G259" s="177"/>
      <c r="H259" s="16" t="s">
        <v>526</v>
      </c>
      <c r="I259" s="17">
        <f>SUM(I260:I261)</f>
        <v>96000</v>
      </c>
      <c r="J259" s="181">
        <f>SUM(J260:J261)</f>
        <v>51565.55</v>
      </c>
      <c r="K259" s="181">
        <f t="shared" si="203"/>
        <v>53.71</v>
      </c>
      <c r="L259" s="181">
        <f t="shared" si="204"/>
        <v>-18711.800000000003</v>
      </c>
      <c r="M259" s="181">
        <f>SUM(M260:M261)</f>
        <v>77288.2</v>
      </c>
      <c r="N259" s="181">
        <f>SUM(N260:N261)</f>
        <v>96000</v>
      </c>
      <c r="O259" s="181">
        <f>SUM(O260:O261)</f>
        <v>60069.87</v>
      </c>
      <c r="P259" s="26">
        <f t="shared" si="208"/>
        <v>0</v>
      </c>
      <c r="Q259" s="181">
        <f t="shared" ref="Q259:X259" si="214">SUM(Q260:Q261)</f>
        <v>96000</v>
      </c>
      <c r="R259" s="181">
        <f t="shared" si="214"/>
        <v>98000</v>
      </c>
      <c r="S259" s="181">
        <f t="shared" si="214"/>
        <v>100000</v>
      </c>
      <c r="T259" s="307">
        <f t="shared" si="214"/>
        <v>96000</v>
      </c>
      <c r="U259" s="307">
        <f>SUM(U260:U261)</f>
        <v>88455.63</v>
      </c>
      <c r="V259" s="181">
        <f t="shared" si="214"/>
        <v>96000</v>
      </c>
      <c r="W259" s="181">
        <f t="shared" si="214"/>
        <v>96000</v>
      </c>
      <c r="X259" s="181">
        <f t="shared" si="214"/>
        <v>97000</v>
      </c>
      <c r="Y259" s="181">
        <f>SUM(Y260:Y261)</f>
        <v>21210.17</v>
      </c>
      <c r="Z259" s="181">
        <f t="shared" si="172"/>
        <v>22.09</v>
      </c>
      <c r="AA259" s="181">
        <f t="shared" si="173"/>
        <v>-6000</v>
      </c>
      <c r="AB259" s="181">
        <f>SUM(AB260:AB261)</f>
        <v>90000</v>
      </c>
      <c r="AC259" s="181">
        <f>SUM(AC260:AC261)</f>
        <v>41856.89</v>
      </c>
      <c r="AD259" s="181">
        <f t="shared" si="190"/>
        <v>46.507655555555552</v>
      </c>
      <c r="AE259" s="181">
        <f t="shared" si="186"/>
        <v>0</v>
      </c>
      <c r="AF259" s="181">
        <f>SUM(AF260:AF261)</f>
        <v>90000</v>
      </c>
      <c r="AG259" s="181">
        <f>SUM(AG260:AG263)</f>
        <v>115000</v>
      </c>
      <c r="AH259" s="181">
        <f>SUM(AH260:AH263)</f>
        <v>90000</v>
      </c>
      <c r="AI259" s="181">
        <f>SUM(AI260:AI263)</f>
        <v>90000</v>
      </c>
      <c r="AJ259" s="162" t="b">
        <f t="shared" si="166"/>
        <v>1</v>
      </c>
      <c r="AK259" s="162" t="str">
        <f t="shared" si="167"/>
        <v>PRAZNO</v>
      </c>
      <c r="AM259" s="264"/>
    </row>
    <row r="260" spans="1:49" ht="15.75" x14ac:dyDescent="0.2">
      <c r="B260" s="177"/>
      <c r="C260" s="177"/>
      <c r="D260" s="177"/>
      <c r="E260" s="177">
        <v>3231</v>
      </c>
      <c r="F260" s="176">
        <v>11</v>
      </c>
      <c r="G260" s="176" t="s">
        <v>527</v>
      </c>
      <c r="H260" s="16" t="s">
        <v>206</v>
      </c>
      <c r="I260" s="18">
        <v>76000</v>
      </c>
      <c r="J260" s="178">
        <v>51565.55</v>
      </c>
      <c r="K260" s="178">
        <f t="shared" si="203"/>
        <v>67.849999999999994</v>
      </c>
      <c r="L260" s="178">
        <f t="shared" si="204"/>
        <v>1288.1999999999971</v>
      </c>
      <c r="M260" s="178">
        <v>77288.2</v>
      </c>
      <c r="N260" s="178">
        <v>76000</v>
      </c>
      <c r="O260" s="178">
        <v>41319.870000000003</v>
      </c>
      <c r="P260" s="26">
        <f t="shared" si="208"/>
        <v>0</v>
      </c>
      <c r="Q260" s="178">
        <v>76000</v>
      </c>
      <c r="R260" s="178">
        <v>77000</v>
      </c>
      <c r="S260" s="178">
        <v>78000</v>
      </c>
      <c r="T260" s="266">
        <v>76000</v>
      </c>
      <c r="U260" s="266">
        <v>69705.63</v>
      </c>
      <c r="V260" s="266">
        <v>76000</v>
      </c>
      <c r="W260" s="266">
        <v>76000</v>
      </c>
      <c r="X260" s="178">
        <v>77000</v>
      </c>
      <c r="Y260" s="266">
        <v>21210.17</v>
      </c>
      <c r="Z260" s="266">
        <f t="shared" si="172"/>
        <v>27.91</v>
      </c>
      <c r="AA260" s="266">
        <f t="shared" si="173"/>
        <v>-6000</v>
      </c>
      <c r="AB260" s="266">
        <v>70000</v>
      </c>
      <c r="AC260" s="266">
        <v>40952.89</v>
      </c>
      <c r="AD260" s="266">
        <f t="shared" si="190"/>
        <v>58.504128571428573</v>
      </c>
      <c r="AE260" s="266">
        <f t="shared" si="186"/>
        <v>0</v>
      </c>
      <c r="AF260" s="266">
        <v>70000</v>
      </c>
      <c r="AG260" s="266">
        <v>70000</v>
      </c>
      <c r="AH260" s="266">
        <v>70000</v>
      </c>
      <c r="AI260" s="266">
        <v>70000</v>
      </c>
      <c r="AJ260" s="162" t="b">
        <f t="shared" si="166"/>
        <v>0</v>
      </c>
      <c r="AK260" s="162" t="str">
        <f t="shared" si="167"/>
        <v>PUNO</v>
      </c>
      <c r="AM260" s="264"/>
    </row>
    <row r="261" spans="1:49" ht="27.75" customHeight="1" x14ac:dyDescent="0.2">
      <c r="B261" s="177"/>
      <c r="C261" s="177"/>
      <c r="D261" s="177"/>
      <c r="E261" s="177">
        <v>3237</v>
      </c>
      <c r="F261" s="176">
        <v>11</v>
      </c>
      <c r="G261" s="176"/>
      <c r="H261" s="16" t="s">
        <v>222</v>
      </c>
      <c r="I261" s="18">
        <v>20000</v>
      </c>
      <c r="J261" s="178">
        <v>0</v>
      </c>
      <c r="K261" s="178">
        <f t="shared" si="203"/>
        <v>0</v>
      </c>
      <c r="L261" s="178">
        <f t="shared" si="204"/>
        <v>-20000</v>
      </c>
      <c r="M261" s="178">
        <v>0</v>
      </c>
      <c r="N261" s="178">
        <v>20000</v>
      </c>
      <c r="O261" s="178">
        <v>18750</v>
      </c>
      <c r="P261" s="26">
        <f t="shared" si="208"/>
        <v>0</v>
      </c>
      <c r="Q261" s="178">
        <v>20000</v>
      </c>
      <c r="R261" s="178">
        <v>21000</v>
      </c>
      <c r="S261" s="178">
        <v>22000</v>
      </c>
      <c r="T261" s="266">
        <v>20000</v>
      </c>
      <c r="U261" s="266">
        <v>18750</v>
      </c>
      <c r="V261" s="266">
        <v>20000</v>
      </c>
      <c r="W261" s="266">
        <v>20000</v>
      </c>
      <c r="X261" s="266">
        <v>20000</v>
      </c>
      <c r="Y261" s="266">
        <v>0</v>
      </c>
      <c r="Z261" s="266">
        <f t="shared" si="172"/>
        <v>0</v>
      </c>
      <c r="AA261" s="266">
        <f t="shared" si="173"/>
        <v>0</v>
      </c>
      <c r="AB261" s="266">
        <v>20000</v>
      </c>
      <c r="AC261" s="266">
        <v>904</v>
      </c>
      <c r="AD261" s="266">
        <f t="shared" si="190"/>
        <v>4.5199999999999996</v>
      </c>
      <c r="AE261" s="266">
        <f t="shared" si="186"/>
        <v>0</v>
      </c>
      <c r="AF261" s="266">
        <v>20000</v>
      </c>
      <c r="AG261" s="266">
        <v>20000</v>
      </c>
      <c r="AH261" s="266">
        <v>20000</v>
      </c>
      <c r="AI261" s="266">
        <v>20000</v>
      </c>
      <c r="AJ261" s="162" t="b">
        <f t="shared" si="166"/>
        <v>0</v>
      </c>
      <c r="AK261" s="162" t="str">
        <f t="shared" si="167"/>
        <v>PUNO</v>
      </c>
      <c r="AM261" s="264"/>
    </row>
    <row r="262" spans="1:49" ht="27.75" customHeight="1" x14ac:dyDescent="0.2">
      <c r="B262" s="177"/>
      <c r="C262" s="177"/>
      <c r="D262" s="177"/>
      <c r="E262" s="177">
        <v>3237</v>
      </c>
      <c r="F262" s="176">
        <v>11</v>
      </c>
      <c r="G262" s="176"/>
      <c r="H262" s="16" t="s">
        <v>107</v>
      </c>
      <c r="I262" s="18"/>
      <c r="J262" s="178"/>
      <c r="K262" s="178"/>
      <c r="L262" s="178"/>
      <c r="M262" s="178"/>
      <c r="N262" s="178"/>
      <c r="O262" s="178"/>
      <c r="P262" s="26"/>
      <c r="Q262" s="178"/>
      <c r="R262" s="178"/>
      <c r="S262" s="178"/>
      <c r="T262" s="266"/>
      <c r="U262" s="266"/>
      <c r="V262" s="266"/>
      <c r="W262" s="266"/>
      <c r="X262" s="266"/>
      <c r="Y262" s="266"/>
      <c r="Z262" s="266"/>
      <c r="AA262" s="266"/>
      <c r="AB262" s="266"/>
      <c r="AC262" s="266"/>
      <c r="AD262" s="266"/>
      <c r="AE262" s="266"/>
      <c r="AF262" s="266"/>
      <c r="AG262" s="266">
        <v>10000</v>
      </c>
      <c r="AH262" s="266">
        <v>0</v>
      </c>
      <c r="AI262" s="266">
        <v>0</v>
      </c>
      <c r="AJ262" s="162" t="b">
        <f t="shared" si="166"/>
        <v>0</v>
      </c>
      <c r="AK262" s="162" t="str">
        <f t="shared" si="167"/>
        <v>PUNO</v>
      </c>
      <c r="AM262" s="264"/>
    </row>
    <row r="263" spans="1:49" ht="27.75" customHeight="1" x14ac:dyDescent="0.2">
      <c r="B263" s="177"/>
      <c r="C263" s="177"/>
      <c r="D263" s="177"/>
      <c r="E263" s="177">
        <v>3237</v>
      </c>
      <c r="F263" s="176">
        <v>11</v>
      </c>
      <c r="G263" s="176"/>
      <c r="H263" s="16" t="s">
        <v>108</v>
      </c>
      <c r="I263" s="18"/>
      <c r="J263" s="178"/>
      <c r="K263" s="178"/>
      <c r="L263" s="178"/>
      <c r="M263" s="178"/>
      <c r="N263" s="178"/>
      <c r="O263" s="178"/>
      <c r="P263" s="26"/>
      <c r="Q263" s="178"/>
      <c r="R263" s="178"/>
      <c r="S263" s="178"/>
      <c r="T263" s="266"/>
      <c r="U263" s="266"/>
      <c r="V263" s="266"/>
      <c r="W263" s="266"/>
      <c r="X263" s="266"/>
      <c r="Y263" s="266"/>
      <c r="Z263" s="266"/>
      <c r="AA263" s="266"/>
      <c r="AB263" s="266"/>
      <c r="AC263" s="266"/>
      <c r="AD263" s="266"/>
      <c r="AE263" s="266"/>
      <c r="AF263" s="266"/>
      <c r="AG263" s="266">
        <v>15000</v>
      </c>
      <c r="AH263" s="266">
        <v>0</v>
      </c>
      <c r="AI263" s="266">
        <v>0</v>
      </c>
      <c r="AJ263" s="162" t="b">
        <f t="shared" si="166"/>
        <v>0</v>
      </c>
      <c r="AK263" s="162" t="str">
        <f t="shared" si="167"/>
        <v>PUNO</v>
      </c>
      <c r="AM263" s="264"/>
    </row>
    <row r="264" spans="1:49" ht="15.75" x14ac:dyDescent="0.2">
      <c r="B264" s="177"/>
      <c r="C264" s="177"/>
      <c r="D264" s="177">
        <v>329</v>
      </c>
      <c r="E264" s="177"/>
      <c r="F264" s="177"/>
      <c r="G264" s="177"/>
      <c r="H264" s="16" t="s">
        <v>531</v>
      </c>
      <c r="I264" s="17">
        <f>I265</f>
        <v>4000</v>
      </c>
      <c r="J264" s="181">
        <f>J265</f>
        <v>2322</v>
      </c>
      <c r="K264" s="181">
        <f>ROUND(J264/I264*100,2)</f>
        <v>58.05</v>
      </c>
      <c r="L264" s="181">
        <f t="shared" si="204"/>
        <v>92.260000000000218</v>
      </c>
      <c r="M264" s="181">
        <f>M265</f>
        <v>4092.26</v>
      </c>
      <c r="N264" s="181">
        <f>N265</f>
        <v>8000</v>
      </c>
      <c r="O264" s="181">
        <f>O265</f>
        <v>3004.64</v>
      </c>
      <c r="P264" s="26">
        <f t="shared" si="208"/>
        <v>0</v>
      </c>
      <c r="Q264" s="181">
        <f t="shared" ref="Q264:AI264" si="215">Q265</f>
        <v>8000</v>
      </c>
      <c r="R264" s="181">
        <f t="shared" si="215"/>
        <v>5000</v>
      </c>
      <c r="S264" s="181">
        <f t="shared" si="215"/>
        <v>6000</v>
      </c>
      <c r="T264" s="307">
        <f t="shared" si="215"/>
        <v>8000</v>
      </c>
      <c r="U264" s="307">
        <f t="shared" si="215"/>
        <v>3704.01</v>
      </c>
      <c r="V264" s="181">
        <f t="shared" si="215"/>
        <v>8000</v>
      </c>
      <c r="W264" s="181">
        <f t="shared" si="215"/>
        <v>8000</v>
      </c>
      <c r="X264" s="181">
        <f t="shared" si="215"/>
        <v>9000</v>
      </c>
      <c r="Y264" s="181">
        <f t="shared" si="215"/>
        <v>884.03</v>
      </c>
      <c r="Z264" s="181">
        <f t="shared" si="172"/>
        <v>11.05</v>
      </c>
      <c r="AA264" s="181">
        <f t="shared" si="173"/>
        <v>0</v>
      </c>
      <c r="AB264" s="181">
        <f t="shared" si="215"/>
        <v>8000</v>
      </c>
      <c r="AC264" s="181">
        <f t="shared" si="215"/>
        <v>2980.25</v>
      </c>
      <c r="AD264" s="181">
        <f t="shared" si="190"/>
        <v>37.253124999999997</v>
      </c>
      <c r="AE264" s="181">
        <f t="shared" si="186"/>
        <v>-2000</v>
      </c>
      <c r="AF264" s="181">
        <f t="shared" si="215"/>
        <v>6000</v>
      </c>
      <c r="AG264" s="181">
        <f t="shared" si="215"/>
        <v>8000</v>
      </c>
      <c r="AH264" s="181">
        <f t="shared" si="215"/>
        <v>8000</v>
      </c>
      <c r="AI264" s="181">
        <f t="shared" si="215"/>
        <v>8000</v>
      </c>
      <c r="AJ264" s="162" t="b">
        <f t="shared" si="166"/>
        <v>1</v>
      </c>
      <c r="AK264" s="162" t="str">
        <f t="shared" si="167"/>
        <v>PRAZNO</v>
      </c>
      <c r="AM264" s="264"/>
    </row>
    <row r="265" spans="1:49" ht="15.75" x14ac:dyDescent="0.2">
      <c r="B265" s="177"/>
      <c r="C265" s="177"/>
      <c r="D265" s="177"/>
      <c r="E265" s="177">
        <v>3299</v>
      </c>
      <c r="F265" s="176">
        <v>11</v>
      </c>
      <c r="G265" s="176" t="s">
        <v>527</v>
      </c>
      <c r="H265" s="16" t="s">
        <v>531</v>
      </c>
      <c r="I265" s="18">
        <v>4000</v>
      </c>
      <c r="J265" s="178">
        <v>2322</v>
      </c>
      <c r="K265" s="178">
        <f>ROUND(J265/I265*100,2)</f>
        <v>58.05</v>
      </c>
      <c r="L265" s="178">
        <f t="shared" si="204"/>
        <v>92.260000000000218</v>
      </c>
      <c r="M265" s="178">
        <v>4092.26</v>
      </c>
      <c r="N265" s="178">
        <v>8000</v>
      </c>
      <c r="O265" s="178">
        <v>3004.64</v>
      </c>
      <c r="P265" s="26">
        <f t="shared" si="208"/>
        <v>0</v>
      </c>
      <c r="Q265" s="178">
        <v>8000</v>
      </c>
      <c r="R265" s="178">
        <v>5000</v>
      </c>
      <c r="S265" s="178">
        <v>6000</v>
      </c>
      <c r="T265" s="266">
        <v>8000</v>
      </c>
      <c r="U265" s="266">
        <v>3704.01</v>
      </c>
      <c r="V265" s="266">
        <v>8000</v>
      </c>
      <c r="W265" s="266">
        <v>8000</v>
      </c>
      <c r="X265" s="178">
        <v>9000</v>
      </c>
      <c r="Y265" s="266">
        <v>884.03</v>
      </c>
      <c r="Z265" s="266">
        <f t="shared" si="172"/>
        <v>11.05</v>
      </c>
      <c r="AA265" s="266">
        <f t="shared" si="173"/>
        <v>0</v>
      </c>
      <c r="AB265" s="266">
        <v>8000</v>
      </c>
      <c r="AC265" s="266">
        <v>2980.25</v>
      </c>
      <c r="AD265" s="266">
        <f t="shared" si="190"/>
        <v>37.253124999999997</v>
      </c>
      <c r="AE265" s="266">
        <f t="shared" si="186"/>
        <v>-2000</v>
      </c>
      <c r="AF265" s="266">
        <v>6000</v>
      </c>
      <c r="AG265" s="266">
        <v>8000</v>
      </c>
      <c r="AH265" s="266">
        <v>8000</v>
      </c>
      <c r="AI265" s="266">
        <v>8000</v>
      </c>
      <c r="AJ265" s="162" t="b">
        <f t="shared" ref="AJ265:AJ328" si="216">ISBLANK(E265)</f>
        <v>0</v>
      </c>
      <c r="AK265" s="162" t="str">
        <f t="shared" ref="AK265:AK328" si="217">IF(AJ265,"PRAZNO","PUNO")</f>
        <v>PUNO</v>
      </c>
      <c r="AM265" s="264"/>
    </row>
    <row r="266" spans="1:49" s="264" customFormat="1" ht="15.75" x14ac:dyDescent="0.2">
      <c r="A266" s="259"/>
      <c r="B266" s="168"/>
      <c r="C266" s="168"/>
      <c r="D266" s="168"/>
      <c r="E266" s="168"/>
      <c r="F266" s="168"/>
      <c r="G266" s="168"/>
      <c r="H266" s="12" t="s">
        <v>578</v>
      </c>
      <c r="I266" s="169">
        <f>I268</f>
        <v>50000</v>
      </c>
      <c r="J266" s="169">
        <f>J268</f>
        <v>81550.240000000005</v>
      </c>
      <c r="K266" s="169">
        <f>ROUND(J266/I266*100,2)</f>
        <v>163.1</v>
      </c>
      <c r="L266" s="169">
        <f t="shared" si="204"/>
        <v>59843.8</v>
      </c>
      <c r="M266" s="19">
        <f>M268</f>
        <v>109843.8</v>
      </c>
      <c r="N266" s="19">
        <f>N268</f>
        <v>400000</v>
      </c>
      <c r="O266" s="19">
        <f>O268</f>
        <v>246271.3</v>
      </c>
      <c r="P266" s="303">
        <f t="shared" si="208"/>
        <v>0</v>
      </c>
      <c r="Q266" s="19">
        <f t="shared" ref="Q266:X266" si="218">Q268</f>
        <v>400000</v>
      </c>
      <c r="R266" s="19">
        <f t="shared" si="218"/>
        <v>400000</v>
      </c>
      <c r="S266" s="19">
        <f t="shared" si="218"/>
        <v>400000</v>
      </c>
      <c r="T266" s="53">
        <f t="shared" si="218"/>
        <v>400000</v>
      </c>
      <c r="U266" s="53">
        <f>U268</f>
        <v>420031.22000000003</v>
      </c>
      <c r="V266" s="19">
        <f t="shared" si="218"/>
        <v>448300</v>
      </c>
      <c r="W266" s="19">
        <f t="shared" si="218"/>
        <v>442000</v>
      </c>
      <c r="X266" s="19">
        <f t="shared" si="218"/>
        <v>444000</v>
      </c>
      <c r="Y266" s="19">
        <f>Y268</f>
        <v>149294.88</v>
      </c>
      <c r="Z266" s="19">
        <f t="shared" si="172"/>
        <v>33.299999999999997</v>
      </c>
      <c r="AA266" s="19">
        <f t="shared" si="173"/>
        <v>0</v>
      </c>
      <c r="AB266" s="19">
        <f>AB268</f>
        <v>448300</v>
      </c>
      <c r="AC266" s="19">
        <f>AC268</f>
        <v>262494.83999999997</v>
      </c>
      <c r="AD266" s="19">
        <f t="shared" si="190"/>
        <v>58.553388356011595</v>
      </c>
      <c r="AE266" s="19">
        <f t="shared" si="186"/>
        <v>0</v>
      </c>
      <c r="AF266" s="19">
        <f>AF268</f>
        <v>448300</v>
      </c>
      <c r="AG266" s="19">
        <f>AG268</f>
        <v>448000</v>
      </c>
      <c r="AH266" s="19">
        <f>AH268</f>
        <v>448000</v>
      </c>
      <c r="AI266" s="19">
        <f>AI268</f>
        <v>448000</v>
      </c>
      <c r="AJ266" s="162" t="b">
        <f t="shared" si="216"/>
        <v>1</v>
      </c>
      <c r="AK266" s="162" t="str">
        <f t="shared" si="217"/>
        <v>PRAZNO</v>
      </c>
      <c r="AL266" s="263"/>
    </row>
    <row r="267" spans="1:49" s="264" customFormat="1" ht="15.75" x14ac:dyDescent="0.2">
      <c r="A267" s="259"/>
      <c r="B267" s="260"/>
      <c r="C267" s="260"/>
      <c r="D267" s="260"/>
      <c r="E267" s="260"/>
      <c r="F267" s="260"/>
      <c r="G267" s="260"/>
      <c r="H267" s="441" t="s">
        <v>824</v>
      </c>
      <c r="I267" s="181"/>
      <c r="J267" s="181"/>
      <c r="K267" s="181"/>
      <c r="L267" s="181"/>
      <c r="M267" s="262"/>
      <c r="N267" s="262"/>
      <c r="O267" s="262"/>
      <c r="P267" s="445"/>
      <c r="Q267" s="262"/>
      <c r="R267" s="262"/>
      <c r="S267" s="262"/>
      <c r="T267" s="342"/>
      <c r="U267" s="262">
        <f t="shared" ref="U267:AA267" si="219">U268</f>
        <v>420031.22000000003</v>
      </c>
      <c r="V267" s="262">
        <f t="shared" si="219"/>
        <v>448300</v>
      </c>
      <c r="W267" s="262">
        <f t="shared" si="219"/>
        <v>442000</v>
      </c>
      <c r="X267" s="262">
        <f t="shared" si="219"/>
        <v>444000</v>
      </c>
      <c r="Y267" s="262">
        <f t="shared" si="219"/>
        <v>149294.88</v>
      </c>
      <c r="Z267" s="262">
        <f t="shared" si="219"/>
        <v>33.299999999999997</v>
      </c>
      <c r="AA267" s="262">
        <f t="shared" si="219"/>
        <v>0</v>
      </c>
      <c r="AB267" s="262">
        <f>AB268</f>
        <v>448300</v>
      </c>
      <c r="AC267" s="262">
        <f>AC268</f>
        <v>262494.83999999997</v>
      </c>
      <c r="AD267" s="262">
        <f t="shared" si="190"/>
        <v>58.553388356011595</v>
      </c>
      <c r="AE267" s="262">
        <f t="shared" si="186"/>
        <v>0</v>
      </c>
      <c r="AF267" s="262">
        <f>AF268</f>
        <v>448300</v>
      </c>
      <c r="AG267" s="262">
        <f>AG268</f>
        <v>448000</v>
      </c>
      <c r="AH267" s="262">
        <f>AH268</f>
        <v>448000</v>
      </c>
      <c r="AI267" s="262">
        <f>AI268</f>
        <v>448000</v>
      </c>
      <c r="AJ267" s="162" t="b">
        <f t="shared" si="216"/>
        <v>1</v>
      </c>
      <c r="AK267" s="162" t="str">
        <f t="shared" si="217"/>
        <v>PRAZNO</v>
      </c>
      <c r="AL267" s="263"/>
    </row>
    <row r="268" spans="1:49" s="264" customFormat="1" ht="15.75" x14ac:dyDescent="0.2">
      <c r="A268" s="259"/>
      <c r="B268" s="172">
        <v>3</v>
      </c>
      <c r="C268" s="172"/>
      <c r="D268" s="172"/>
      <c r="E268" s="172"/>
      <c r="F268" s="172"/>
      <c r="G268" s="172"/>
      <c r="H268" s="14" t="s">
        <v>524</v>
      </c>
      <c r="I268" s="20">
        <f t="shared" ref="I268:AI269" si="220">I269</f>
        <v>50000</v>
      </c>
      <c r="J268" s="20">
        <f t="shared" si="220"/>
        <v>81550.240000000005</v>
      </c>
      <c r="K268" s="20">
        <f>ROUND(J268/I268*100,2)</f>
        <v>163.1</v>
      </c>
      <c r="L268" s="20">
        <f t="shared" si="204"/>
        <v>59843.8</v>
      </c>
      <c r="M268" s="20">
        <f t="shared" si="220"/>
        <v>109843.8</v>
      </c>
      <c r="N268" s="20">
        <f t="shared" si="220"/>
        <v>400000</v>
      </c>
      <c r="O268" s="20">
        <f t="shared" si="220"/>
        <v>246271.3</v>
      </c>
      <c r="P268" s="55">
        <f t="shared" si="208"/>
        <v>0</v>
      </c>
      <c r="Q268" s="20">
        <f t="shared" si="220"/>
        <v>400000</v>
      </c>
      <c r="R268" s="20">
        <f t="shared" si="220"/>
        <v>400000</v>
      </c>
      <c r="S268" s="20">
        <f t="shared" si="220"/>
        <v>400000</v>
      </c>
      <c r="T268" s="55">
        <f t="shared" si="220"/>
        <v>400000</v>
      </c>
      <c r="U268" s="55">
        <f t="shared" si="220"/>
        <v>420031.22000000003</v>
      </c>
      <c r="V268" s="20">
        <f t="shared" si="220"/>
        <v>448300</v>
      </c>
      <c r="W268" s="20">
        <f t="shared" si="220"/>
        <v>442000</v>
      </c>
      <c r="X268" s="20">
        <f t="shared" si="220"/>
        <v>444000</v>
      </c>
      <c r="Y268" s="20">
        <f t="shared" si="220"/>
        <v>149294.88</v>
      </c>
      <c r="Z268" s="20">
        <f t="shared" si="172"/>
        <v>33.299999999999997</v>
      </c>
      <c r="AA268" s="20">
        <f t="shared" si="173"/>
        <v>0</v>
      </c>
      <c r="AB268" s="20">
        <f t="shared" si="220"/>
        <v>448300</v>
      </c>
      <c r="AC268" s="20">
        <f t="shared" si="220"/>
        <v>262494.83999999997</v>
      </c>
      <c r="AD268" s="20">
        <f t="shared" si="190"/>
        <v>58.553388356011595</v>
      </c>
      <c r="AE268" s="20">
        <f t="shared" si="186"/>
        <v>0</v>
      </c>
      <c r="AF268" s="20">
        <f t="shared" si="220"/>
        <v>448300</v>
      </c>
      <c r="AG268" s="20">
        <f t="shared" si="220"/>
        <v>448000</v>
      </c>
      <c r="AH268" s="20">
        <f t="shared" si="220"/>
        <v>448000</v>
      </c>
      <c r="AI268" s="20">
        <f t="shared" si="220"/>
        <v>448000</v>
      </c>
      <c r="AJ268" s="162" t="b">
        <f t="shared" si="216"/>
        <v>1</v>
      </c>
      <c r="AK268" s="162" t="str">
        <f t="shared" si="217"/>
        <v>PRAZNO</v>
      </c>
      <c r="AL268" s="263"/>
    </row>
    <row r="269" spans="1:49" ht="15.75" x14ac:dyDescent="0.2">
      <c r="B269" s="175"/>
      <c r="C269" s="175">
        <v>32</v>
      </c>
      <c r="D269" s="175"/>
      <c r="E269" s="175"/>
      <c r="F269" s="175"/>
      <c r="G269" s="175"/>
      <c r="H269" s="15" t="s">
        <v>525</v>
      </c>
      <c r="I269" s="22">
        <f t="shared" si="220"/>
        <v>50000</v>
      </c>
      <c r="J269" s="183">
        <f t="shared" si="220"/>
        <v>81550.240000000005</v>
      </c>
      <c r="K269" s="183">
        <f>ROUND(J269/I269*100,2)</f>
        <v>163.1</v>
      </c>
      <c r="L269" s="183">
        <f t="shared" si="204"/>
        <v>59843.8</v>
      </c>
      <c r="M269" s="183">
        <f t="shared" si="220"/>
        <v>109843.8</v>
      </c>
      <c r="N269" s="183">
        <f t="shared" si="220"/>
        <v>400000</v>
      </c>
      <c r="O269" s="183">
        <f t="shared" si="220"/>
        <v>246271.3</v>
      </c>
      <c r="P269" s="26">
        <f t="shared" si="208"/>
        <v>0</v>
      </c>
      <c r="Q269" s="183">
        <f t="shared" si="220"/>
        <v>400000</v>
      </c>
      <c r="R269" s="183">
        <f t="shared" si="220"/>
        <v>400000</v>
      </c>
      <c r="S269" s="183">
        <f t="shared" si="220"/>
        <v>400000</v>
      </c>
      <c r="T269" s="340">
        <f t="shared" si="220"/>
        <v>400000</v>
      </c>
      <c r="U269" s="340">
        <f t="shared" si="220"/>
        <v>420031.22000000003</v>
      </c>
      <c r="V269" s="183">
        <f t="shared" si="220"/>
        <v>448300</v>
      </c>
      <c r="W269" s="183">
        <f t="shared" si="220"/>
        <v>442000</v>
      </c>
      <c r="X269" s="183">
        <f t="shared" si="220"/>
        <v>444000</v>
      </c>
      <c r="Y269" s="183">
        <f t="shared" si="220"/>
        <v>149294.88</v>
      </c>
      <c r="Z269" s="183">
        <f t="shared" si="172"/>
        <v>33.299999999999997</v>
      </c>
      <c r="AA269" s="183">
        <f t="shared" si="173"/>
        <v>0</v>
      </c>
      <c r="AB269" s="183">
        <f t="shared" si="220"/>
        <v>448300</v>
      </c>
      <c r="AC269" s="183">
        <f t="shared" si="220"/>
        <v>262494.83999999997</v>
      </c>
      <c r="AD269" s="183">
        <f t="shared" si="190"/>
        <v>58.553388356011595</v>
      </c>
      <c r="AE269" s="183">
        <f t="shared" si="186"/>
        <v>0</v>
      </c>
      <c r="AF269" s="183">
        <f t="shared" si="220"/>
        <v>448300</v>
      </c>
      <c r="AG269" s="183">
        <f t="shared" si="220"/>
        <v>448000</v>
      </c>
      <c r="AH269" s="183">
        <f t="shared" si="220"/>
        <v>448000</v>
      </c>
      <c r="AI269" s="183">
        <f t="shared" si="220"/>
        <v>448000</v>
      </c>
      <c r="AJ269" s="162" t="b">
        <f t="shared" si="216"/>
        <v>1</v>
      </c>
      <c r="AK269" s="162" t="str">
        <f t="shared" si="217"/>
        <v>PRAZNO</v>
      </c>
      <c r="AM269" s="264"/>
    </row>
    <row r="270" spans="1:49" ht="15.75" x14ac:dyDescent="0.2">
      <c r="B270" s="177"/>
      <c r="C270" s="177"/>
      <c r="D270" s="177">
        <v>323</v>
      </c>
      <c r="E270" s="177"/>
      <c r="F270" s="180"/>
      <c r="G270" s="180"/>
      <c r="H270" s="16" t="s">
        <v>526</v>
      </c>
      <c r="I270" s="17">
        <f>SUM(I271:I272)</f>
        <v>50000</v>
      </c>
      <c r="J270" s="181">
        <f>SUM(J271:J272)</f>
        <v>81550.240000000005</v>
      </c>
      <c r="K270" s="181">
        <f>ROUND(J270/I270*100,2)</f>
        <v>163.1</v>
      </c>
      <c r="L270" s="181">
        <f t="shared" si="204"/>
        <v>59843.8</v>
      </c>
      <c r="M270" s="181">
        <f>SUM(M271:M272)</f>
        <v>109843.8</v>
      </c>
      <c r="N270" s="181">
        <f>SUM(N271:N272)</f>
        <v>400000</v>
      </c>
      <c r="O270" s="181">
        <f>SUM(O271:O272)</f>
        <v>246271.3</v>
      </c>
      <c r="P270" s="26">
        <f t="shared" si="208"/>
        <v>0</v>
      </c>
      <c r="Q270" s="181">
        <f t="shared" ref="Q270:X270" si="221">SUM(Q271:Q272)</f>
        <v>400000</v>
      </c>
      <c r="R270" s="181">
        <f t="shared" si="221"/>
        <v>400000</v>
      </c>
      <c r="S270" s="181">
        <f t="shared" si="221"/>
        <v>400000</v>
      </c>
      <c r="T270" s="307">
        <f t="shared" si="221"/>
        <v>400000</v>
      </c>
      <c r="U270" s="307">
        <f>SUM(U271:U272)</f>
        <v>420031.22000000003</v>
      </c>
      <c r="V270" s="181">
        <f t="shared" si="221"/>
        <v>448300</v>
      </c>
      <c r="W270" s="181">
        <f t="shared" si="221"/>
        <v>442000</v>
      </c>
      <c r="X270" s="181">
        <f t="shared" si="221"/>
        <v>444000</v>
      </c>
      <c r="Y270" s="181">
        <f>SUM(Y271:Y272)</f>
        <v>149294.88</v>
      </c>
      <c r="Z270" s="181">
        <f t="shared" si="172"/>
        <v>33.299999999999997</v>
      </c>
      <c r="AA270" s="181">
        <f t="shared" si="173"/>
        <v>0</v>
      </c>
      <c r="AB270" s="181">
        <f>SUM(AB271:AB272)</f>
        <v>448300</v>
      </c>
      <c r="AC270" s="181">
        <f>SUM(AC271:AC272)</f>
        <v>262494.83999999997</v>
      </c>
      <c r="AD270" s="181">
        <f t="shared" si="190"/>
        <v>58.553388356011595</v>
      </c>
      <c r="AE270" s="181">
        <f t="shared" si="186"/>
        <v>0</v>
      </c>
      <c r="AF270" s="181">
        <f>SUM(AF271:AF272)</f>
        <v>448300</v>
      </c>
      <c r="AG270" s="181">
        <f>SUM(AG271:AG272)</f>
        <v>448000</v>
      </c>
      <c r="AH270" s="181">
        <f>SUM(AH271:AH272)</f>
        <v>448000</v>
      </c>
      <c r="AI270" s="181">
        <f>SUM(AI271:AI272)</f>
        <v>448000</v>
      </c>
      <c r="AJ270" s="162" t="b">
        <f t="shared" si="216"/>
        <v>1</v>
      </c>
      <c r="AK270" s="162" t="str">
        <f t="shared" si="217"/>
        <v>PRAZNO</v>
      </c>
      <c r="AM270" s="264"/>
    </row>
    <row r="271" spans="1:49" ht="15.75" x14ac:dyDescent="0.2">
      <c r="B271" s="177"/>
      <c r="C271" s="177"/>
      <c r="D271" s="177"/>
      <c r="E271" s="177">
        <v>3233</v>
      </c>
      <c r="F271" s="176">
        <v>11</v>
      </c>
      <c r="G271" s="176" t="s">
        <v>527</v>
      </c>
      <c r="H271" s="16" t="s">
        <v>528</v>
      </c>
      <c r="I271" s="18">
        <v>0</v>
      </c>
      <c r="J271" s="178">
        <v>6396</v>
      </c>
      <c r="K271" s="178" t="e">
        <f>ROUND(J271/I271*100,2)</f>
        <v>#DIV/0!</v>
      </c>
      <c r="L271" s="178">
        <f>M271-I271</f>
        <v>34689.56</v>
      </c>
      <c r="M271" s="178">
        <v>34689.56</v>
      </c>
      <c r="N271" s="178">
        <v>312000</v>
      </c>
      <c r="O271" s="178">
        <v>203829.63</v>
      </c>
      <c r="P271" s="26">
        <f t="shared" si="208"/>
        <v>10000</v>
      </c>
      <c r="Q271" s="178">
        <v>312000</v>
      </c>
      <c r="R271" s="178">
        <v>315000</v>
      </c>
      <c r="S271" s="178">
        <v>318000</v>
      </c>
      <c r="T271" s="266">
        <f>312000+10000</f>
        <v>322000</v>
      </c>
      <c r="U271" s="266">
        <v>335298.21000000002</v>
      </c>
      <c r="V271" s="266">
        <f>312000+40000+8300</f>
        <v>360300</v>
      </c>
      <c r="W271" s="266">
        <f>312000+40000</f>
        <v>352000</v>
      </c>
      <c r="X271" s="266">
        <f>312000+40000</f>
        <v>352000</v>
      </c>
      <c r="Y271" s="266">
        <v>108999.88</v>
      </c>
      <c r="Z271" s="266">
        <f t="shared" si="172"/>
        <v>30.25</v>
      </c>
      <c r="AA271" s="266">
        <f t="shared" si="173"/>
        <v>0</v>
      </c>
      <c r="AB271" s="266">
        <f>312000+40000+8300</f>
        <v>360300</v>
      </c>
      <c r="AC271" s="266">
        <v>222199.84</v>
      </c>
      <c r="AD271" s="266">
        <f t="shared" si="190"/>
        <v>61.670785456563969</v>
      </c>
      <c r="AE271" s="266">
        <f t="shared" si="186"/>
        <v>0</v>
      </c>
      <c r="AF271" s="266">
        <f>312000+40000+8300</f>
        <v>360300</v>
      </c>
      <c r="AG271" s="266">
        <v>360000</v>
      </c>
      <c r="AH271" s="266">
        <v>360000</v>
      </c>
      <c r="AI271" s="266">
        <v>360000</v>
      </c>
      <c r="AJ271" s="162" t="b">
        <f t="shared" si="216"/>
        <v>0</v>
      </c>
      <c r="AK271" s="162" t="str">
        <f t="shared" si="217"/>
        <v>PUNO</v>
      </c>
      <c r="AM271" s="264"/>
    </row>
    <row r="272" spans="1:49" ht="15.75" x14ac:dyDescent="0.2">
      <c r="B272" s="177"/>
      <c r="C272" s="177"/>
      <c r="D272" s="177"/>
      <c r="E272" s="177">
        <v>3239</v>
      </c>
      <c r="F272" s="176">
        <v>11</v>
      </c>
      <c r="G272" s="176" t="s">
        <v>527</v>
      </c>
      <c r="H272" s="23" t="s">
        <v>34</v>
      </c>
      <c r="I272" s="18">
        <v>50000</v>
      </c>
      <c r="J272" s="178">
        <v>75154.240000000005</v>
      </c>
      <c r="K272" s="178">
        <f>ROUND(J272/I272*100,2)</f>
        <v>150.31</v>
      </c>
      <c r="L272" s="178">
        <f>M272-I272</f>
        <v>25154.240000000005</v>
      </c>
      <c r="M272" s="178">
        <v>75154.240000000005</v>
      </c>
      <c r="N272" s="178">
        <f>132000-44000</f>
        <v>88000</v>
      </c>
      <c r="O272" s="178">
        <v>42441.67</v>
      </c>
      <c r="P272" s="26">
        <f t="shared" si="208"/>
        <v>-10000</v>
      </c>
      <c r="Q272" s="178">
        <f>132000-44000</f>
        <v>88000</v>
      </c>
      <c r="R272" s="178">
        <f>135000-50000</f>
        <v>85000</v>
      </c>
      <c r="S272" s="178">
        <f>138000-56000</f>
        <v>82000</v>
      </c>
      <c r="T272" s="266">
        <f>88000-10000</f>
        <v>78000</v>
      </c>
      <c r="U272" s="266">
        <v>84733.01</v>
      </c>
      <c r="V272" s="266">
        <v>88000</v>
      </c>
      <c r="W272" s="178">
        <v>90000</v>
      </c>
      <c r="X272" s="178">
        <v>92000</v>
      </c>
      <c r="Y272" s="266">
        <v>40295</v>
      </c>
      <c r="Z272" s="266">
        <f t="shared" ref="Z272:Z342" si="222">ROUND(Y272/V272*100,2)</f>
        <v>45.79</v>
      </c>
      <c r="AA272" s="266">
        <f t="shared" ref="AA272:AA322" si="223">AB272-V272</f>
        <v>0</v>
      </c>
      <c r="AB272" s="266">
        <v>88000</v>
      </c>
      <c r="AC272" s="266">
        <v>40295</v>
      </c>
      <c r="AD272" s="266">
        <f t="shared" si="190"/>
        <v>45.789772727272727</v>
      </c>
      <c r="AE272" s="266">
        <f t="shared" si="186"/>
        <v>0</v>
      </c>
      <c r="AF272" s="266">
        <v>88000</v>
      </c>
      <c r="AG272" s="266">
        <v>88000</v>
      </c>
      <c r="AH272" s="266">
        <v>88000</v>
      </c>
      <c r="AI272" s="266">
        <v>88000</v>
      </c>
      <c r="AJ272" s="162" t="b">
        <f t="shared" si="216"/>
        <v>0</v>
      </c>
      <c r="AK272" s="162" t="str">
        <f t="shared" si="217"/>
        <v>PUNO</v>
      </c>
      <c r="AL272" s="179"/>
      <c r="AM272" s="264"/>
      <c r="AN272" s="179"/>
      <c r="AO272" s="179"/>
      <c r="AP272" s="179"/>
      <c r="AQ272" s="179"/>
      <c r="AR272" s="179"/>
      <c r="AS272" s="179"/>
      <c r="AT272" s="179"/>
      <c r="AU272" s="179"/>
      <c r="AV272" s="179"/>
      <c r="AW272" s="179"/>
    </row>
    <row r="273" spans="1:39" s="447" customFormat="1" ht="15.75" x14ac:dyDescent="0.25">
      <c r="A273" s="378"/>
      <c r="B273" s="168"/>
      <c r="C273" s="168"/>
      <c r="D273" s="168"/>
      <c r="E273" s="168"/>
      <c r="F273" s="322"/>
      <c r="G273" s="322"/>
      <c r="H273" s="12" t="s">
        <v>242</v>
      </c>
      <c r="I273" s="308"/>
      <c r="J273" s="308"/>
      <c r="K273" s="308"/>
      <c r="L273" s="308"/>
      <c r="M273" s="308"/>
      <c r="N273" s="308"/>
      <c r="O273" s="308"/>
      <c r="P273" s="53"/>
      <c r="Q273" s="308"/>
      <c r="R273" s="308"/>
      <c r="S273" s="308"/>
      <c r="T273" s="323"/>
      <c r="U273" s="323">
        <f>U274</f>
        <v>0</v>
      </c>
      <c r="V273" s="323"/>
      <c r="W273" s="323"/>
      <c r="X273" s="323"/>
      <c r="Y273" s="323"/>
      <c r="Z273" s="323"/>
      <c r="AA273" s="323"/>
      <c r="AB273" s="323"/>
      <c r="AC273" s="323"/>
      <c r="AD273" s="323"/>
      <c r="AE273" s="323"/>
      <c r="AF273" s="323"/>
      <c r="AG273" s="323">
        <f t="shared" ref="AG273:AI277" si="224">AG274</f>
        <v>40000</v>
      </c>
      <c r="AH273" s="323">
        <f t="shared" si="224"/>
        <v>20000</v>
      </c>
      <c r="AI273" s="323">
        <f t="shared" si="224"/>
        <v>20000</v>
      </c>
      <c r="AJ273" s="162" t="b">
        <f t="shared" si="216"/>
        <v>1</v>
      </c>
      <c r="AK273" s="162" t="str">
        <f t="shared" si="217"/>
        <v>PRAZNO</v>
      </c>
      <c r="AL273" s="446"/>
    </row>
    <row r="274" spans="1:39" ht="15.75" x14ac:dyDescent="0.2">
      <c r="B274" s="681"/>
      <c r="C274" s="681"/>
      <c r="D274" s="681"/>
      <c r="E274" s="681"/>
      <c r="F274" s="681"/>
      <c r="G274" s="681"/>
      <c r="H274" s="440" t="s">
        <v>824</v>
      </c>
      <c r="I274" s="18"/>
      <c r="J274" s="18"/>
      <c r="K274" s="18"/>
      <c r="L274" s="18"/>
      <c r="M274" s="18"/>
      <c r="N274" s="18"/>
      <c r="O274" s="18"/>
      <c r="P274" s="26"/>
      <c r="Q274" s="18"/>
      <c r="R274" s="18"/>
      <c r="S274" s="18"/>
      <c r="T274" s="27"/>
      <c r="U274" s="27">
        <f>U275</f>
        <v>0</v>
      </c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>
        <f t="shared" si="224"/>
        <v>40000</v>
      </c>
      <c r="AH274" s="27">
        <f t="shared" si="224"/>
        <v>20000</v>
      </c>
      <c r="AI274" s="27">
        <f t="shared" si="224"/>
        <v>20000</v>
      </c>
      <c r="AJ274" s="162" t="b">
        <f t="shared" si="216"/>
        <v>1</v>
      </c>
      <c r="AK274" s="162" t="str">
        <f t="shared" si="217"/>
        <v>PRAZNO</v>
      </c>
      <c r="AM274" s="264"/>
    </row>
    <row r="275" spans="1:39" s="264" customFormat="1" ht="15.75" x14ac:dyDescent="0.2">
      <c r="A275" s="259"/>
      <c r="B275" s="172">
        <v>3</v>
      </c>
      <c r="C275" s="172"/>
      <c r="D275" s="172"/>
      <c r="E275" s="172"/>
      <c r="F275" s="220"/>
      <c r="G275" s="220"/>
      <c r="H275" s="14" t="s">
        <v>524</v>
      </c>
      <c r="I275" s="184"/>
      <c r="J275" s="184"/>
      <c r="K275" s="184"/>
      <c r="L275" s="184"/>
      <c r="M275" s="184"/>
      <c r="N275" s="184"/>
      <c r="O275" s="184"/>
      <c r="P275" s="55"/>
      <c r="Q275" s="184"/>
      <c r="R275" s="184"/>
      <c r="S275" s="184"/>
      <c r="T275" s="185"/>
      <c r="U275" s="185">
        <f>U276</f>
        <v>0</v>
      </c>
      <c r="V275" s="185"/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>
        <f t="shared" si="224"/>
        <v>40000</v>
      </c>
      <c r="AH275" s="185">
        <f t="shared" si="224"/>
        <v>20000</v>
      </c>
      <c r="AI275" s="185">
        <f t="shared" si="224"/>
        <v>20000</v>
      </c>
      <c r="AJ275" s="162" t="b">
        <f t="shared" si="216"/>
        <v>1</v>
      </c>
      <c r="AK275" s="162" t="str">
        <f t="shared" si="217"/>
        <v>PRAZNO</v>
      </c>
      <c r="AL275" s="263"/>
    </row>
    <row r="276" spans="1:39" ht="15.75" x14ac:dyDescent="0.2">
      <c r="B276" s="177"/>
      <c r="C276" s="177">
        <v>32</v>
      </c>
      <c r="D276" s="177"/>
      <c r="E276" s="177"/>
      <c r="F276" s="176"/>
      <c r="G276" s="176"/>
      <c r="H276" s="16" t="s">
        <v>525</v>
      </c>
      <c r="I276" s="18"/>
      <c r="J276" s="18"/>
      <c r="K276" s="18"/>
      <c r="L276" s="18"/>
      <c r="M276" s="18"/>
      <c r="N276" s="18"/>
      <c r="O276" s="18"/>
      <c r="P276" s="26"/>
      <c r="Q276" s="18"/>
      <c r="R276" s="18"/>
      <c r="S276" s="18"/>
      <c r="T276" s="27"/>
      <c r="U276" s="27">
        <f>U277</f>
        <v>0</v>
      </c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>
        <f t="shared" si="224"/>
        <v>40000</v>
      </c>
      <c r="AH276" s="27">
        <f t="shared" si="224"/>
        <v>20000</v>
      </c>
      <c r="AI276" s="27">
        <f t="shared" si="224"/>
        <v>20000</v>
      </c>
      <c r="AJ276" s="162" t="b">
        <f t="shared" si="216"/>
        <v>1</v>
      </c>
      <c r="AK276" s="162" t="str">
        <f t="shared" si="217"/>
        <v>PRAZNO</v>
      </c>
      <c r="AM276" s="264"/>
    </row>
    <row r="277" spans="1:39" ht="15.75" x14ac:dyDescent="0.2">
      <c r="B277" s="681"/>
      <c r="C277" s="681"/>
      <c r="D277" s="681">
        <v>323</v>
      </c>
      <c r="E277" s="681"/>
      <c r="F277" s="681"/>
      <c r="G277" s="681"/>
      <c r="H277" s="16" t="s">
        <v>526</v>
      </c>
      <c r="I277" s="18"/>
      <c r="J277" s="18"/>
      <c r="K277" s="18"/>
      <c r="L277" s="18"/>
      <c r="M277" s="18"/>
      <c r="N277" s="18"/>
      <c r="O277" s="18"/>
      <c r="P277" s="26"/>
      <c r="Q277" s="18"/>
      <c r="R277" s="18"/>
      <c r="S277" s="18"/>
      <c r="T277" s="27"/>
      <c r="U277" s="27">
        <f>U278</f>
        <v>0</v>
      </c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>
        <f t="shared" si="224"/>
        <v>40000</v>
      </c>
      <c r="AH277" s="27">
        <f t="shared" si="224"/>
        <v>20000</v>
      </c>
      <c r="AI277" s="27">
        <f t="shared" si="224"/>
        <v>20000</v>
      </c>
      <c r="AJ277" s="162" t="b">
        <f t="shared" si="216"/>
        <v>1</v>
      </c>
      <c r="AK277" s="162" t="str">
        <f t="shared" si="217"/>
        <v>PRAZNO</v>
      </c>
      <c r="AM277" s="264"/>
    </row>
    <row r="278" spans="1:39" ht="15.75" x14ac:dyDescent="0.2">
      <c r="B278" s="681"/>
      <c r="C278" s="681"/>
      <c r="D278" s="681"/>
      <c r="E278" s="681">
        <v>3237</v>
      </c>
      <c r="F278" s="292">
        <v>11</v>
      </c>
      <c r="G278" s="292" t="s">
        <v>527</v>
      </c>
      <c r="H278" s="16" t="s">
        <v>566</v>
      </c>
      <c r="I278" s="18"/>
      <c r="J278" s="18"/>
      <c r="K278" s="18"/>
      <c r="L278" s="18"/>
      <c r="M278" s="18"/>
      <c r="N278" s="18"/>
      <c r="O278" s="18"/>
      <c r="P278" s="26"/>
      <c r="Q278" s="18"/>
      <c r="R278" s="18"/>
      <c r="S278" s="18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>
        <v>40000</v>
      </c>
      <c r="AH278" s="27">
        <v>20000</v>
      </c>
      <c r="AI278" s="27">
        <v>20000</v>
      </c>
      <c r="AJ278" s="162" t="b">
        <f t="shared" si="216"/>
        <v>0</v>
      </c>
      <c r="AK278" s="162" t="str">
        <f t="shared" si="217"/>
        <v>PUNO</v>
      </c>
      <c r="AM278" s="264"/>
    </row>
    <row r="279" spans="1:39" s="447" customFormat="1" ht="15.75" x14ac:dyDescent="0.25">
      <c r="A279" s="378"/>
      <c r="B279" s="168"/>
      <c r="C279" s="168"/>
      <c r="D279" s="168"/>
      <c r="E279" s="168"/>
      <c r="F279" s="322"/>
      <c r="G279" s="322"/>
      <c r="H279" s="13" t="s">
        <v>182</v>
      </c>
      <c r="I279" s="308"/>
      <c r="J279" s="308"/>
      <c r="K279" s="308"/>
      <c r="L279" s="308"/>
      <c r="M279" s="308"/>
      <c r="N279" s="308"/>
      <c r="O279" s="308"/>
      <c r="P279" s="53"/>
      <c r="Q279" s="308"/>
      <c r="R279" s="308"/>
      <c r="S279" s="308"/>
      <c r="T279" s="323"/>
      <c r="U279" s="323"/>
      <c r="V279" s="323">
        <f>V281+V302</f>
        <v>82302</v>
      </c>
      <c r="W279" s="323">
        <f>W281+W302</f>
        <v>57405</v>
      </c>
      <c r="X279" s="323">
        <f>X281+X302</f>
        <v>0</v>
      </c>
      <c r="Y279" s="323">
        <f>Y281+Y302</f>
        <v>0</v>
      </c>
      <c r="Z279" s="323">
        <f t="shared" si="222"/>
        <v>0</v>
      </c>
      <c r="AA279" s="323">
        <f t="shared" si="223"/>
        <v>-20338</v>
      </c>
      <c r="AB279" s="323">
        <f>AB281+AB302</f>
        <v>61964</v>
      </c>
      <c r="AC279" s="323">
        <f>AC281+AC302</f>
        <v>495.35</v>
      </c>
      <c r="AD279" s="323">
        <f t="shared" si="190"/>
        <v>0.79941578981343997</v>
      </c>
      <c r="AE279" s="323">
        <f t="shared" si="186"/>
        <v>0</v>
      </c>
      <c r="AF279" s="323">
        <f>AF281+AF302</f>
        <v>61964</v>
      </c>
      <c r="AG279" s="323">
        <f>AG281+AG302</f>
        <v>78564</v>
      </c>
      <c r="AH279" s="323">
        <f>AH281+AH302</f>
        <v>0</v>
      </c>
      <c r="AI279" s="323">
        <f>AI281+AI302</f>
        <v>0</v>
      </c>
      <c r="AJ279" s="162" t="b">
        <f t="shared" si="216"/>
        <v>1</v>
      </c>
      <c r="AK279" s="162" t="str">
        <f t="shared" si="217"/>
        <v>PRAZNO</v>
      </c>
      <c r="AL279" s="446"/>
    </row>
    <row r="280" spans="1:39" s="447" customFormat="1" ht="15.75" x14ac:dyDescent="0.25">
      <c r="A280" s="378"/>
      <c r="B280" s="260"/>
      <c r="C280" s="260"/>
      <c r="D280" s="260"/>
      <c r="E280" s="260"/>
      <c r="F280" s="442"/>
      <c r="G280" s="442"/>
      <c r="H280" s="440" t="s">
        <v>824</v>
      </c>
      <c r="I280" s="443"/>
      <c r="J280" s="443"/>
      <c r="K280" s="443"/>
      <c r="L280" s="443"/>
      <c r="M280" s="443"/>
      <c r="N280" s="443"/>
      <c r="O280" s="443"/>
      <c r="P280" s="342"/>
      <c r="Q280" s="443"/>
      <c r="R280" s="443"/>
      <c r="S280" s="443"/>
      <c r="T280" s="444"/>
      <c r="U280" s="444"/>
      <c r="V280" s="444">
        <f>V281</f>
        <v>12344</v>
      </c>
      <c r="W280" s="444">
        <f>W281</f>
        <v>8611</v>
      </c>
      <c r="X280" s="444">
        <f>X281</f>
        <v>0</v>
      </c>
      <c r="Y280" s="444">
        <f>Y281</f>
        <v>0</v>
      </c>
      <c r="Z280" s="444">
        <f t="shared" si="222"/>
        <v>0</v>
      </c>
      <c r="AA280" s="444">
        <f t="shared" si="223"/>
        <v>-2997</v>
      </c>
      <c r="AB280" s="444">
        <f>AB281</f>
        <v>9347</v>
      </c>
      <c r="AC280" s="444">
        <f>AC281</f>
        <v>495.35</v>
      </c>
      <c r="AD280" s="444">
        <f t="shared" si="190"/>
        <v>5.2995613565850013</v>
      </c>
      <c r="AE280" s="444">
        <f t="shared" si="186"/>
        <v>0</v>
      </c>
      <c r="AF280" s="444">
        <f>AF281</f>
        <v>9347</v>
      </c>
      <c r="AG280" s="444">
        <f>AG281</f>
        <v>11789</v>
      </c>
      <c r="AH280" s="444">
        <f>AH281</f>
        <v>0</v>
      </c>
      <c r="AI280" s="444">
        <f>AI281</f>
        <v>0</v>
      </c>
      <c r="AJ280" s="162" t="b">
        <f t="shared" si="216"/>
        <v>1</v>
      </c>
      <c r="AK280" s="162" t="str">
        <f t="shared" si="217"/>
        <v>PRAZNO</v>
      </c>
      <c r="AL280" s="446"/>
    </row>
    <row r="281" spans="1:39" s="264" customFormat="1" ht="15.75" x14ac:dyDescent="0.2">
      <c r="A281" s="259"/>
      <c r="B281" s="172">
        <v>3</v>
      </c>
      <c r="C281" s="172"/>
      <c r="D281" s="172"/>
      <c r="E281" s="172"/>
      <c r="F281" s="220"/>
      <c r="G281" s="220"/>
      <c r="H281" s="14" t="s">
        <v>524</v>
      </c>
      <c r="I281" s="184"/>
      <c r="J281" s="184"/>
      <c r="K281" s="184"/>
      <c r="L281" s="184"/>
      <c r="M281" s="184"/>
      <c r="N281" s="184"/>
      <c r="O281" s="184"/>
      <c r="P281" s="55"/>
      <c r="Q281" s="184"/>
      <c r="R281" s="184"/>
      <c r="S281" s="184"/>
      <c r="T281" s="185"/>
      <c r="U281" s="185"/>
      <c r="V281" s="185">
        <f>V282+V288</f>
        <v>12344</v>
      </c>
      <c r="W281" s="185">
        <f>W282+W288</f>
        <v>8611</v>
      </c>
      <c r="X281" s="185">
        <f>X282+X288</f>
        <v>0</v>
      </c>
      <c r="Y281" s="185">
        <f>Y282+Y288</f>
        <v>0</v>
      </c>
      <c r="Z281" s="185">
        <f t="shared" si="222"/>
        <v>0</v>
      </c>
      <c r="AA281" s="185">
        <f t="shared" si="223"/>
        <v>-2997</v>
      </c>
      <c r="AB281" s="185">
        <f>AB282+AB288</f>
        <v>9347</v>
      </c>
      <c r="AC281" s="185">
        <f>AC282+AC288</f>
        <v>495.35</v>
      </c>
      <c r="AD281" s="185">
        <f t="shared" si="190"/>
        <v>5.2995613565850013</v>
      </c>
      <c r="AE281" s="185">
        <f t="shared" si="186"/>
        <v>0</v>
      </c>
      <c r="AF281" s="185">
        <f>AF282+AF288</f>
        <v>9347</v>
      </c>
      <c r="AG281" s="185">
        <f>AG282+AG288</f>
        <v>11789</v>
      </c>
      <c r="AH281" s="185">
        <f>AH282+AH288</f>
        <v>0</v>
      </c>
      <c r="AI281" s="185">
        <f>AI282+AI288</f>
        <v>0</v>
      </c>
      <c r="AJ281" s="162" t="b">
        <f t="shared" si="216"/>
        <v>1</v>
      </c>
      <c r="AK281" s="162" t="str">
        <f t="shared" si="217"/>
        <v>PRAZNO</v>
      </c>
      <c r="AL281" s="263"/>
    </row>
    <row r="282" spans="1:39" ht="15.75" x14ac:dyDescent="0.2">
      <c r="B282" s="177"/>
      <c r="C282" s="177">
        <v>31</v>
      </c>
      <c r="D282" s="177"/>
      <c r="E282" s="177"/>
      <c r="F282" s="176"/>
      <c r="G282" s="176"/>
      <c r="H282" s="16" t="s">
        <v>197</v>
      </c>
      <c r="I282" s="18"/>
      <c r="J282" s="18"/>
      <c r="K282" s="18"/>
      <c r="L282" s="18"/>
      <c r="M282" s="18"/>
      <c r="N282" s="18"/>
      <c r="O282" s="18"/>
      <c r="P282" s="26"/>
      <c r="Q282" s="18"/>
      <c r="R282" s="18"/>
      <c r="S282" s="18"/>
      <c r="T282" s="27"/>
      <c r="U282" s="27"/>
      <c r="V282" s="27">
        <f>V283+V285</f>
        <v>4738</v>
      </c>
      <c r="W282" s="27">
        <f>W283+W285</f>
        <v>2335</v>
      </c>
      <c r="X282" s="27">
        <f>X283+X285</f>
        <v>0</v>
      </c>
      <c r="Y282" s="27">
        <f>Y283+Y285</f>
        <v>0</v>
      </c>
      <c r="Z282" s="27">
        <f t="shared" si="222"/>
        <v>0</v>
      </c>
      <c r="AA282" s="27">
        <f t="shared" si="223"/>
        <v>-1666</v>
      </c>
      <c r="AB282" s="27">
        <f>AB283+AB285</f>
        <v>3072</v>
      </c>
      <c r="AC282" s="27">
        <f>AC283+AC285</f>
        <v>0</v>
      </c>
      <c r="AD282" s="27">
        <f t="shared" si="190"/>
        <v>0</v>
      </c>
      <c r="AE282" s="27">
        <f t="shared" si="186"/>
        <v>0</v>
      </c>
      <c r="AF282" s="27">
        <f>AF283+AF285</f>
        <v>3072</v>
      </c>
      <c r="AG282" s="27">
        <f>AG283+AG285</f>
        <v>4122</v>
      </c>
      <c r="AH282" s="27">
        <f>AH283+AH285</f>
        <v>0</v>
      </c>
      <c r="AI282" s="27">
        <f>AI283+AI285</f>
        <v>0</v>
      </c>
      <c r="AJ282" s="162" t="b">
        <f t="shared" si="216"/>
        <v>1</v>
      </c>
      <c r="AK282" s="162" t="str">
        <f t="shared" si="217"/>
        <v>PRAZNO</v>
      </c>
      <c r="AM282" s="264"/>
    </row>
    <row r="283" spans="1:39" ht="15.75" x14ac:dyDescent="0.2">
      <c r="B283" s="177"/>
      <c r="C283" s="177"/>
      <c r="D283" s="177">
        <v>311</v>
      </c>
      <c r="E283" s="177"/>
      <c r="F283" s="176"/>
      <c r="G283" s="176"/>
      <c r="H283" s="16" t="s">
        <v>915</v>
      </c>
      <c r="I283" s="18"/>
      <c r="J283" s="18"/>
      <c r="K283" s="18"/>
      <c r="L283" s="18"/>
      <c r="M283" s="18"/>
      <c r="N283" s="18"/>
      <c r="O283" s="18"/>
      <c r="P283" s="26"/>
      <c r="Q283" s="18"/>
      <c r="R283" s="18"/>
      <c r="S283" s="18"/>
      <c r="T283" s="27"/>
      <c r="U283" s="27"/>
      <c r="V283" s="27">
        <f>V284</f>
        <v>4075</v>
      </c>
      <c r="W283" s="27">
        <f>W284</f>
        <v>2008</v>
      </c>
      <c r="X283" s="27">
        <f>X284</f>
        <v>0</v>
      </c>
      <c r="Y283" s="27">
        <f>Y284</f>
        <v>0</v>
      </c>
      <c r="Z283" s="27">
        <f t="shared" si="222"/>
        <v>0</v>
      </c>
      <c r="AA283" s="27">
        <f t="shared" si="223"/>
        <v>-1475</v>
      </c>
      <c r="AB283" s="27">
        <f>AB284</f>
        <v>2600</v>
      </c>
      <c r="AC283" s="27">
        <f>AC284</f>
        <v>0</v>
      </c>
      <c r="AD283" s="27">
        <f t="shared" si="190"/>
        <v>0</v>
      </c>
      <c r="AE283" s="27">
        <f t="shared" si="186"/>
        <v>0</v>
      </c>
      <c r="AF283" s="27">
        <f>AF284</f>
        <v>2600</v>
      </c>
      <c r="AG283" s="27">
        <f>AG284</f>
        <v>3540</v>
      </c>
      <c r="AH283" s="27">
        <f>AH284</f>
        <v>0</v>
      </c>
      <c r="AI283" s="27">
        <f>AI284</f>
        <v>0</v>
      </c>
      <c r="AJ283" s="162" t="b">
        <f t="shared" si="216"/>
        <v>1</v>
      </c>
      <c r="AK283" s="162" t="str">
        <f t="shared" si="217"/>
        <v>PRAZNO</v>
      </c>
      <c r="AM283" s="264"/>
    </row>
    <row r="284" spans="1:39" ht="15.75" x14ac:dyDescent="0.2">
      <c r="B284" s="177"/>
      <c r="C284" s="177"/>
      <c r="D284" s="177"/>
      <c r="E284" s="177">
        <v>3111</v>
      </c>
      <c r="F284" s="176">
        <v>11</v>
      </c>
      <c r="G284" s="176"/>
      <c r="H284" s="16" t="s">
        <v>199</v>
      </c>
      <c r="I284" s="18"/>
      <c r="J284" s="18"/>
      <c r="K284" s="18"/>
      <c r="L284" s="18"/>
      <c r="M284" s="18"/>
      <c r="N284" s="18"/>
      <c r="O284" s="18"/>
      <c r="P284" s="26"/>
      <c r="Q284" s="18"/>
      <c r="R284" s="18"/>
      <c r="S284" s="18"/>
      <c r="T284" s="27"/>
      <c r="U284" s="27"/>
      <c r="V284" s="27">
        <v>4075</v>
      </c>
      <c r="W284" s="27">
        <v>2008</v>
      </c>
      <c r="X284" s="27">
        <v>0</v>
      </c>
      <c r="Y284" s="27">
        <v>0</v>
      </c>
      <c r="Z284" s="27">
        <f t="shared" si="222"/>
        <v>0</v>
      </c>
      <c r="AA284" s="27">
        <f t="shared" si="223"/>
        <v>-1475</v>
      </c>
      <c r="AB284" s="27">
        <v>2600</v>
      </c>
      <c r="AC284" s="27">
        <v>0</v>
      </c>
      <c r="AD284" s="27">
        <f t="shared" si="190"/>
        <v>0</v>
      </c>
      <c r="AE284" s="27">
        <f t="shared" si="186"/>
        <v>0</v>
      </c>
      <c r="AF284" s="27">
        <v>2600</v>
      </c>
      <c r="AG284" s="27">
        <v>3540</v>
      </c>
      <c r="AH284" s="27"/>
      <c r="AI284" s="27"/>
      <c r="AJ284" s="162" t="b">
        <f t="shared" si="216"/>
        <v>0</v>
      </c>
      <c r="AK284" s="162" t="str">
        <f t="shared" si="217"/>
        <v>PUNO</v>
      </c>
      <c r="AM284" s="264"/>
    </row>
    <row r="285" spans="1:39" ht="15.75" x14ac:dyDescent="0.2">
      <c r="B285" s="177"/>
      <c r="C285" s="177"/>
      <c r="D285" s="177">
        <v>313</v>
      </c>
      <c r="E285" s="177"/>
      <c r="F285" s="176"/>
      <c r="G285" s="176"/>
      <c r="H285" s="16" t="s">
        <v>201</v>
      </c>
      <c r="I285" s="18"/>
      <c r="J285" s="18"/>
      <c r="K285" s="18"/>
      <c r="L285" s="18"/>
      <c r="M285" s="18"/>
      <c r="N285" s="18"/>
      <c r="O285" s="18"/>
      <c r="P285" s="26"/>
      <c r="Q285" s="18"/>
      <c r="R285" s="18"/>
      <c r="S285" s="18"/>
      <c r="T285" s="27"/>
      <c r="U285" s="27"/>
      <c r="V285" s="27">
        <f>SUM(V286:V287)</f>
        <v>663</v>
      </c>
      <c r="W285" s="27">
        <f>SUM(W286:W287)</f>
        <v>327</v>
      </c>
      <c r="X285" s="27">
        <f>SUM(X286:X287)</f>
        <v>0</v>
      </c>
      <c r="Y285" s="27">
        <f>SUM(Y286:Y287)</f>
        <v>0</v>
      </c>
      <c r="Z285" s="27">
        <f t="shared" si="222"/>
        <v>0</v>
      </c>
      <c r="AA285" s="27">
        <f t="shared" si="223"/>
        <v>-191</v>
      </c>
      <c r="AB285" s="27">
        <f>SUM(AB286:AB287)</f>
        <v>472</v>
      </c>
      <c r="AC285" s="27">
        <f>SUM(AC286:AC287)</f>
        <v>0</v>
      </c>
      <c r="AD285" s="27">
        <f t="shared" si="190"/>
        <v>0</v>
      </c>
      <c r="AE285" s="27">
        <f t="shared" si="186"/>
        <v>0</v>
      </c>
      <c r="AF285" s="27">
        <f>SUM(AF286:AF287)</f>
        <v>472</v>
      </c>
      <c r="AG285" s="27">
        <f>SUM(AG286:AG287)</f>
        <v>582</v>
      </c>
      <c r="AH285" s="27">
        <f>SUM(AH286:AH287)</f>
        <v>0</v>
      </c>
      <c r="AI285" s="27">
        <f>SUM(AI286:AI287)</f>
        <v>0</v>
      </c>
      <c r="AJ285" s="162" t="b">
        <f t="shared" si="216"/>
        <v>1</v>
      </c>
      <c r="AK285" s="162" t="str">
        <f t="shared" si="217"/>
        <v>PRAZNO</v>
      </c>
      <c r="AM285" s="264"/>
    </row>
    <row r="286" spans="1:39" ht="15.75" x14ac:dyDescent="0.2">
      <c r="B286" s="177"/>
      <c r="C286" s="177"/>
      <c r="D286" s="177"/>
      <c r="E286" s="177">
        <v>3132</v>
      </c>
      <c r="F286" s="176">
        <v>11</v>
      </c>
      <c r="G286" s="176"/>
      <c r="H286" s="16" t="s">
        <v>202</v>
      </c>
      <c r="I286" s="18"/>
      <c r="J286" s="18"/>
      <c r="K286" s="18"/>
      <c r="L286" s="18"/>
      <c r="M286" s="18"/>
      <c r="N286" s="18"/>
      <c r="O286" s="18"/>
      <c r="P286" s="26"/>
      <c r="Q286" s="18"/>
      <c r="R286" s="18"/>
      <c r="S286" s="18"/>
      <c r="T286" s="27"/>
      <c r="U286" s="27"/>
      <c r="V286" s="27">
        <v>592</v>
      </c>
      <c r="W286" s="27">
        <v>292</v>
      </c>
      <c r="X286" s="27">
        <v>0</v>
      </c>
      <c r="Y286" s="27">
        <v>0</v>
      </c>
      <c r="Z286" s="27">
        <f t="shared" si="222"/>
        <v>0</v>
      </c>
      <c r="AA286" s="27">
        <f t="shared" si="223"/>
        <v>-191</v>
      </c>
      <c r="AB286" s="27">
        <f>400+1</f>
        <v>401</v>
      </c>
      <c r="AC286" s="27">
        <v>0</v>
      </c>
      <c r="AD286" s="27">
        <f t="shared" si="190"/>
        <v>0</v>
      </c>
      <c r="AE286" s="27">
        <f t="shared" si="186"/>
        <v>0</v>
      </c>
      <c r="AF286" s="27">
        <f>400+1</f>
        <v>401</v>
      </c>
      <c r="AG286" s="27">
        <v>520</v>
      </c>
      <c r="AH286" s="27"/>
      <c r="AI286" s="27"/>
      <c r="AJ286" s="162" t="b">
        <f t="shared" si="216"/>
        <v>0</v>
      </c>
      <c r="AK286" s="162" t="str">
        <f t="shared" si="217"/>
        <v>PUNO</v>
      </c>
      <c r="AM286" s="264"/>
    </row>
    <row r="287" spans="1:39" ht="30" x14ac:dyDescent="0.2">
      <c r="B287" s="177"/>
      <c r="C287" s="177"/>
      <c r="D287" s="177"/>
      <c r="E287" s="177">
        <v>3133</v>
      </c>
      <c r="F287" s="176">
        <v>11</v>
      </c>
      <c r="G287" s="176"/>
      <c r="H287" s="16" t="s">
        <v>704</v>
      </c>
      <c r="I287" s="18"/>
      <c r="J287" s="18"/>
      <c r="K287" s="18"/>
      <c r="L287" s="18"/>
      <c r="M287" s="18"/>
      <c r="N287" s="18"/>
      <c r="O287" s="18"/>
      <c r="P287" s="26"/>
      <c r="Q287" s="18"/>
      <c r="R287" s="18"/>
      <c r="S287" s="18"/>
      <c r="T287" s="27"/>
      <c r="U287" s="27"/>
      <c r="V287" s="27">
        <v>71</v>
      </c>
      <c r="W287" s="27">
        <v>35</v>
      </c>
      <c r="X287" s="27">
        <v>0</v>
      </c>
      <c r="Y287" s="27">
        <v>0</v>
      </c>
      <c r="Z287" s="27">
        <f t="shared" si="222"/>
        <v>0</v>
      </c>
      <c r="AA287" s="27">
        <f t="shared" si="223"/>
        <v>0</v>
      </c>
      <c r="AB287" s="27">
        <v>71</v>
      </c>
      <c r="AC287" s="27">
        <v>0</v>
      </c>
      <c r="AD287" s="27">
        <f t="shared" si="190"/>
        <v>0</v>
      </c>
      <c r="AE287" s="27">
        <f t="shared" si="186"/>
        <v>0</v>
      </c>
      <c r="AF287" s="27">
        <v>71</v>
      </c>
      <c r="AG287" s="27">
        <v>62</v>
      </c>
      <c r="AH287" s="27"/>
      <c r="AI287" s="27"/>
      <c r="AJ287" s="162" t="b">
        <f t="shared" si="216"/>
        <v>0</v>
      </c>
      <c r="AK287" s="162" t="str">
        <f t="shared" si="217"/>
        <v>PUNO</v>
      </c>
      <c r="AM287" s="264"/>
    </row>
    <row r="288" spans="1:39" ht="15.75" x14ac:dyDescent="0.2">
      <c r="B288" s="177"/>
      <c r="C288" s="177">
        <v>32</v>
      </c>
      <c r="D288" s="177"/>
      <c r="E288" s="177"/>
      <c r="F288" s="176"/>
      <c r="G288" s="176"/>
      <c r="H288" s="16" t="s">
        <v>525</v>
      </c>
      <c r="I288" s="18"/>
      <c r="J288" s="18"/>
      <c r="K288" s="18"/>
      <c r="L288" s="18"/>
      <c r="M288" s="18"/>
      <c r="N288" s="18"/>
      <c r="O288" s="18"/>
      <c r="P288" s="26"/>
      <c r="Q288" s="18"/>
      <c r="R288" s="18"/>
      <c r="S288" s="18"/>
      <c r="T288" s="27"/>
      <c r="U288" s="27"/>
      <c r="V288" s="27">
        <f>V289+V293</f>
        <v>7606</v>
      </c>
      <c r="W288" s="27">
        <f>W289+W291+W293+W297+W299</f>
        <v>6276</v>
      </c>
      <c r="X288" s="27">
        <f>X289+X291+X293+X297+X299</f>
        <v>0</v>
      </c>
      <c r="Y288" s="27">
        <f>Y289+Y293</f>
        <v>0</v>
      </c>
      <c r="Z288" s="27">
        <f t="shared" si="222"/>
        <v>0</v>
      </c>
      <c r="AA288" s="27">
        <f t="shared" si="223"/>
        <v>-1331</v>
      </c>
      <c r="AB288" s="27">
        <f>AB289+AB293+AB291+AB297+AB299</f>
        <v>6275</v>
      </c>
      <c r="AC288" s="27">
        <f>AC289+AC293+AC291+AC297+AC299</f>
        <v>495.35</v>
      </c>
      <c r="AD288" s="27">
        <f t="shared" si="190"/>
        <v>7.89402390438247</v>
      </c>
      <c r="AE288" s="27">
        <f t="shared" si="186"/>
        <v>0</v>
      </c>
      <c r="AF288" s="27">
        <f>AF289+AF293+AF291+AF297+AF299</f>
        <v>6275</v>
      </c>
      <c r="AG288" s="27">
        <f>AG289+AG293+AG291+AG297+AG299</f>
        <v>7667</v>
      </c>
      <c r="AH288" s="27">
        <f>AH289+AH293+AH291+AH297+AH299</f>
        <v>0</v>
      </c>
      <c r="AI288" s="27">
        <f>AI289+AI293+AI291+AI297+AI299</f>
        <v>0</v>
      </c>
      <c r="AJ288" s="162" t="b">
        <f t="shared" si="216"/>
        <v>1</v>
      </c>
      <c r="AK288" s="162" t="str">
        <f t="shared" si="217"/>
        <v>PRAZNO</v>
      </c>
      <c r="AM288" s="264"/>
    </row>
    <row r="289" spans="1:39" ht="15.75" x14ac:dyDescent="0.2">
      <c r="B289" s="177"/>
      <c r="C289" s="177"/>
      <c r="D289" s="177">
        <v>321</v>
      </c>
      <c r="E289" s="177"/>
      <c r="F289" s="176"/>
      <c r="G289" s="176"/>
      <c r="H289" s="16" t="s">
        <v>564</v>
      </c>
      <c r="I289" s="18"/>
      <c r="J289" s="18"/>
      <c r="K289" s="18"/>
      <c r="L289" s="18"/>
      <c r="M289" s="18"/>
      <c r="N289" s="18"/>
      <c r="O289" s="18"/>
      <c r="P289" s="26"/>
      <c r="Q289" s="18"/>
      <c r="R289" s="18"/>
      <c r="S289" s="18"/>
      <c r="T289" s="27"/>
      <c r="U289" s="27"/>
      <c r="V289" s="27">
        <f>SUM(V290:V290)</f>
        <v>2847</v>
      </c>
      <c r="W289" s="27">
        <f>SUM(W290:W290)</f>
        <v>2706</v>
      </c>
      <c r="X289" s="27">
        <f>SUM(X290:X290)</f>
        <v>0</v>
      </c>
      <c r="Y289" s="27">
        <f>SUM(Y290:Y290)</f>
        <v>0</v>
      </c>
      <c r="Z289" s="27">
        <f t="shared" si="222"/>
        <v>0</v>
      </c>
      <c r="AA289" s="27">
        <f t="shared" si="223"/>
        <v>-777</v>
      </c>
      <c r="AB289" s="27">
        <f>SUM(AB290:AB290)</f>
        <v>2070</v>
      </c>
      <c r="AC289" s="27">
        <f>SUM(AC290:AC290)</f>
        <v>495.35</v>
      </c>
      <c r="AD289" s="27">
        <f t="shared" si="190"/>
        <v>23.929951690821259</v>
      </c>
      <c r="AE289" s="27">
        <f t="shared" si="186"/>
        <v>0</v>
      </c>
      <c r="AF289" s="27">
        <f>SUM(AF290:AF290)</f>
        <v>2070</v>
      </c>
      <c r="AG289" s="27">
        <f>SUM(AG290:AG290)</f>
        <v>3511</v>
      </c>
      <c r="AH289" s="27">
        <f>SUM(AH290:AH290)</f>
        <v>0</v>
      </c>
      <c r="AI289" s="27">
        <f>SUM(AI290:AI290)</f>
        <v>0</v>
      </c>
      <c r="AJ289" s="162" t="b">
        <f t="shared" si="216"/>
        <v>1</v>
      </c>
      <c r="AK289" s="162" t="str">
        <f t="shared" si="217"/>
        <v>PRAZNO</v>
      </c>
      <c r="AM289" s="264"/>
    </row>
    <row r="290" spans="1:39" ht="15.75" x14ac:dyDescent="0.2">
      <c r="B290" s="177"/>
      <c r="C290" s="177"/>
      <c r="D290" s="177"/>
      <c r="E290" s="177">
        <v>3211</v>
      </c>
      <c r="F290" s="176">
        <v>11</v>
      </c>
      <c r="G290" s="176"/>
      <c r="H290" s="16" t="s">
        <v>565</v>
      </c>
      <c r="I290" s="18"/>
      <c r="J290" s="18"/>
      <c r="K290" s="18"/>
      <c r="L290" s="18"/>
      <c r="M290" s="18"/>
      <c r="N290" s="18"/>
      <c r="O290" s="18"/>
      <c r="P290" s="26"/>
      <c r="Q290" s="18"/>
      <c r="R290" s="18"/>
      <c r="S290" s="18"/>
      <c r="T290" s="27"/>
      <c r="U290" s="27"/>
      <c r="V290" s="27">
        <v>2847</v>
      </c>
      <c r="W290" s="27">
        <v>2706</v>
      </c>
      <c r="X290" s="27">
        <v>0</v>
      </c>
      <c r="Y290" s="27">
        <v>0</v>
      </c>
      <c r="Z290" s="27">
        <f t="shared" si="222"/>
        <v>0</v>
      </c>
      <c r="AA290" s="27">
        <f t="shared" si="223"/>
        <v>-777</v>
      </c>
      <c r="AB290" s="27">
        <v>2070</v>
      </c>
      <c r="AC290" s="27">
        <v>495.35</v>
      </c>
      <c r="AD290" s="27">
        <f t="shared" si="190"/>
        <v>23.929951690821259</v>
      </c>
      <c r="AE290" s="27">
        <f t="shared" si="186"/>
        <v>0</v>
      </c>
      <c r="AF290" s="27">
        <v>2070</v>
      </c>
      <c r="AG290" s="27">
        <v>3511</v>
      </c>
      <c r="AH290" s="27"/>
      <c r="AI290" s="27"/>
      <c r="AJ290" s="162" t="b">
        <f t="shared" si="216"/>
        <v>0</v>
      </c>
      <c r="AK290" s="162" t="str">
        <f t="shared" si="217"/>
        <v>PUNO</v>
      </c>
      <c r="AM290" s="264"/>
    </row>
    <row r="291" spans="1:39" ht="15.75" x14ac:dyDescent="0.2">
      <c r="B291" s="177"/>
      <c r="C291" s="177"/>
      <c r="D291" s="177">
        <v>322</v>
      </c>
      <c r="E291" s="177"/>
      <c r="F291" s="176"/>
      <c r="G291" s="176"/>
      <c r="H291" s="16" t="s">
        <v>547</v>
      </c>
      <c r="I291" s="18"/>
      <c r="J291" s="18"/>
      <c r="K291" s="18"/>
      <c r="L291" s="18"/>
      <c r="M291" s="18"/>
      <c r="N291" s="18"/>
      <c r="O291" s="18"/>
      <c r="P291" s="26"/>
      <c r="Q291" s="18"/>
      <c r="R291" s="18"/>
      <c r="S291" s="18"/>
      <c r="T291" s="27"/>
      <c r="U291" s="27"/>
      <c r="V291" s="27">
        <f>V292</f>
        <v>0</v>
      </c>
      <c r="W291" s="27">
        <f>W292</f>
        <v>0</v>
      </c>
      <c r="X291" s="27">
        <f>X292</f>
        <v>0</v>
      </c>
      <c r="Y291" s="27">
        <f>Y292</f>
        <v>0</v>
      </c>
      <c r="Z291" s="27" t="e">
        <f t="shared" si="222"/>
        <v>#DIV/0!</v>
      </c>
      <c r="AA291" s="27">
        <f t="shared" si="223"/>
        <v>0</v>
      </c>
      <c r="AB291" s="27">
        <f>AB292</f>
        <v>0</v>
      </c>
      <c r="AC291" s="27">
        <f>AC292</f>
        <v>0</v>
      </c>
      <c r="AD291" s="27"/>
      <c r="AE291" s="27">
        <f t="shared" si="186"/>
        <v>0</v>
      </c>
      <c r="AF291" s="27">
        <f>AF292</f>
        <v>0</v>
      </c>
      <c r="AG291" s="27">
        <f>AG292</f>
        <v>0</v>
      </c>
      <c r="AH291" s="27">
        <f>AH292</f>
        <v>0</v>
      </c>
      <c r="AI291" s="27">
        <f>AI292</f>
        <v>0</v>
      </c>
      <c r="AJ291" s="162" t="b">
        <f t="shared" si="216"/>
        <v>1</v>
      </c>
      <c r="AK291" s="162" t="str">
        <f t="shared" si="217"/>
        <v>PRAZNO</v>
      </c>
      <c r="AM291" s="264"/>
    </row>
    <row r="292" spans="1:39" ht="15.75" x14ac:dyDescent="0.2">
      <c r="B292" s="177"/>
      <c r="C292" s="177"/>
      <c r="D292" s="177"/>
      <c r="E292" s="177">
        <v>3221</v>
      </c>
      <c r="F292" s="176">
        <v>51</v>
      </c>
      <c r="G292" s="176"/>
      <c r="H292" s="16" t="s">
        <v>548</v>
      </c>
      <c r="I292" s="18"/>
      <c r="J292" s="18"/>
      <c r="K292" s="18"/>
      <c r="L292" s="18"/>
      <c r="M292" s="18"/>
      <c r="N292" s="18"/>
      <c r="O292" s="18"/>
      <c r="P292" s="26"/>
      <c r="Q292" s="18"/>
      <c r="R292" s="18"/>
      <c r="S292" s="18"/>
      <c r="T292" s="27"/>
      <c r="U292" s="27"/>
      <c r="V292" s="27">
        <v>0</v>
      </c>
      <c r="W292" s="27"/>
      <c r="X292" s="27"/>
      <c r="Y292" s="27">
        <v>0</v>
      </c>
      <c r="Z292" s="27" t="e">
        <f t="shared" si="222"/>
        <v>#DIV/0!</v>
      </c>
      <c r="AA292" s="27">
        <f t="shared" si="223"/>
        <v>0</v>
      </c>
      <c r="AB292" s="27">
        <v>0</v>
      </c>
      <c r="AC292" s="27">
        <v>0</v>
      </c>
      <c r="AD292" s="27"/>
      <c r="AE292" s="27">
        <f t="shared" si="186"/>
        <v>0</v>
      </c>
      <c r="AF292" s="27">
        <v>0</v>
      </c>
      <c r="AG292" s="27">
        <v>0</v>
      </c>
      <c r="AH292" s="27">
        <v>0</v>
      </c>
      <c r="AI292" s="27">
        <v>0</v>
      </c>
      <c r="AJ292" s="162" t="b">
        <f t="shared" si="216"/>
        <v>0</v>
      </c>
      <c r="AK292" s="162" t="str">
        <f t="shared" si="217"/>
        <v>PUNO</v>
      </c>
      <c r="AM292" s="264"/>
    </row>
    <row r="293" spans="1:39" ht="15.75" x14ac:dyDescent="0.2">
      <c r="B293" s="177"/>
      <c r="C293" s="177"/>
      <c r="D293" s="177">
        <v>323</v>
      </c>
      <c r="E293" s="177"/>
      <c r="F293" s="176"/>
      <c r="G293" s="176"/>
      <c r="H293" s="16" t="s">
        <v>526</v>
      </c>
      <c r="I293" s="18"/>
      <c r="J293" s="18"/>
      <c r="K293" s="18"/>
      <c r="L293" s="18"/>
      <c r="M293" s="18"/>
      <c r="N293" s="18"/>
      <c r="O293" s="18"/>
      <c r="P293" s="26"/>
      <c r="Q293" s="18"/>
      <c r="R293" s="18"/>
      <c r="S293" s="18"/>
      <c r="T293" s="27"/>
      <c r="U293" s="27"/>
      <c r="V293" s="27">
        <f>SUM(V294:V296)</f>
        <v>4759</v>
      </c>
      <c r="W293" s="27">
        <f>SUM(W294:W296)</f>
        <v>3570</v>
      </c>
      <c r="X293" s="27">
        <f>SUM(X294:X296)</f>
        <v>0</v>
      </c>
      <c r="Y293" s="27">
        <f>SUM(Y294:Y296)</f>
        <v>0</v>
      </c>
      <c r="Z293" s="27">
        <f t="shared" si="222"/>
        <v>0</v>
      </c>
      <c r="AA293" s="27">
        <f t="shared" si="223"/>
        <v>-554</v>
      </c>
      <c r="AB293" s="27">
        <f>SUM(AB294:AB296)</f>
        <v>4205</v>
      </c>
      <c r="AC293" s="27">
        <f>SUM(AC294:AC296)</f>
        <v>0</v>
      </c>
      <c r="AD293" s="27">
        <f t="shared" si="190"/>
        <v>0</v>
      </c>
      <c r="AE293" s="27">
        <f t="shared" si="186"/>
        <v>0</v>
      </c>
      <c r="AF293" s="27">
        <f>SUM(AF294:AF296)</f>
        <v>4205</v>
      </c>
      <c r="AG293" s="27">
        <f>SUM(AG294:AG296)</f>
        <v>4156</v>
      </c>
      <c r="AH293" s="27">
        <f>SUM(AH294:AH296)</f>
        <v>0</v>
      </c>
      <c r="AI293" s="27">
        <f>SUM(AI294:AI296)</f>
        <v>0</v>
      </c>
      <c r="AJ293" s="162" t="b">
        <f t="shared" si="216"/>
        <v>1</v>
      </c>
      <c r="AK293" s="162" t="str">
        <f t="shared" si="217"/>
        <v>PRAZNO</v>
      </c>
      <c r="AM293" s="264"/>
    </row>
    <row r="294" spans="1:39" ht="15.75" x14ac:dyDescent="0.2">
      <c r="B294" s="177"/>
      <c r="C294" s="177"/>
      <c r="D294" s="177"/>
      <c r="E294" s="177">
        <v>3231</v>
      </c>
      <c r="F294" s="176">
        <v>11</v>
      </c>
      <c r="G294" s="176"/>
      <c r="H294" s="16" t="s">
        <v>341</v>
      </c>
      <c r="I294" s="18"/>
      <c r="J294" s="18"/>
      <c r="K294" s="18"/>
      <c r="L294" s="18"/>
      <c r="M294" s="18"/>
      <c r="N294" s="18"/>
      <c r="O294" s="18"/>
      <c r="P294" s="26"/>
      <c r="Q294" s="18"/>
      <c r="R294" s="18"/>
      <c r="S294" s="18"/>
      <c r="T294" s="27"/>
      <c r="U294" s="27"/>
      <c r="V294" s="27">
        <v>340</v>
      </c>
      <c r="W294" s="27">
        <v>0</v>
      </c>
      <c r="X294" s="27">
        <v>0</v>
      </c>
      <c r="Y294" s="27">
        <v>0</v>
      </c>
      <c r="Z294" s="27">
        <f t="shared" si="222"/>
        <v>0</v>
      </c>
      <c r="AA294" s="27">
        <f t="shared" si="223"/>
        <v>0</v>
      </c>
      <c r="AB294" s="27">
        <v>340</v>
      </c>
      <c r="AC294" s="27">
        <v>0</v>
      </c>
      <c r="AD294" s="27">
        <f t="shared" si="190"/>
        <v>0</v>
      </c>
      <c r="AE294" s="27">
        <f t="shared" si="186"/>
        <v>0</v>
      </c>
      <c r="AF294" s="27">
        <v>340</v>
      </c>
      <c r="AG294" s="27">
        <v>0</v>
      </c>
      <c r="AH294" s="27"/>
      <c r="AI294" s="27"/>
      <c r="AJ294" s="162" t="b">
        <f t="shared" si="216"/>
        <v>0</v>
      </c>
      <c r="AK294" s="162" t="str">
        <f t="shared" si="217"/>
        <v>PUNO</v>
      </c>
      <c r="AM294" s="264"/>
    </row>
    <row r="295" spans="1:39" ht="15.75" x14ac:dyDescent="0.2">
      <c r="B295" s="177"/>
      <c r="C295" s="177"/>
      <c r="D295" s="177"/>
      <c r="E295" s="177">
        <v>3233</v>
      </c>
      <c r="F295" s="176">
        <v>51</v>
      </c>
      <c r="G295" s="176"/>
      <c r="H295" s="16" t="s">
        <v>528</v>
      </c>
      <c r="I295" s="18"/>
      <c r="J295" s="18"/>
      <c r="K295" s="18"/>
      <c r="L295" s="18"/>
      <c r="M295" s="18"/>
      <c r="N295" s="18"/>
      <c r="O295" s="18"/>
      <c r="P295" s="26"/>
      <c r="Q295" s="18"/>
      <c r="R295" s="18"/>
      <c r="S295" s="18"/>
      <c r="T295" s="27"/>
      <c r="U295" s="27"/>
      <c r="V295" s="27">
        <v>0</v>
      </c>
      <c r="W295" s="27"/>
      <c r="X295" s="27"/>
      <c r="Y295" s="27"/>
      <c r="Z295" s="27" t="e">
        <f t="shared" si="222"/>
        <v>#DIV/0!</v>
      </c>
      <c r="AA295" s="27">
        <f t="shared" si="223"/>
        <v>0</v>
      </c>
      <c r="AB295" s="27">
        <v>0</v>
      </c>
      <c r="AC295" s="27"/>
      <c r="AD295" s="27"/>
      <c r="AE295" s="27">
        <f t="shared" ref="AE295:AE365" si="225">AF295-AB295</f>
        <v>0</v>
      </c>
      <c r="AF295" s="27">
        <v>0</v>
      </c>
      <c r="AG295" s="27">
        <v>0</v>
      </c>
      <c r="AH295" s="27"/>
      <c r="AI295" s="27"/>
      <c r="AJ295" s="162" t="b">
        <f t="shared" si="216"/>
        <v>0</v>
      </c>
      <c r="AK295" s="162" t="str">
        <f t="shared" si="217"/>
        <v>PUNO</v>
      </c>
      <c r="AM295" s="264"/>
    </row>
    <row r="296" spans="1:39" ht="15.75" x14ac:dyDescent="0.2">
      <c r="B296" s="177"/>
      <c r="C296" s="177"/>
      <c r="D296" s="177"/>
      <c r="E296" s="177">
        <v>3237</v>
      </c>
      <c r="F296" s="176">
        <v>11</v>
      </c>
      <c r="G296" s="176"/>
      <c r="H296" s="16" t="s">
        <v>566</v>
      </c>
      <c r="I296" s="18"/>
      <c r="J296" s="18"/>
      <c r="K296" s="18"/>
      <c r="L296" s="18"/>
      <c r="M296" s="18"/>
      <c r="N296" s="18"/>
      <c r="O296" s="18"/>
      <c r="P296" s="26"/>
      <c r="Q296" s="18"/>
      <c r="R296" s="18"/>
      <c r="S296" s="18"/>
      <c r="T296" s="27"/>
      <c r="U296" s="27"/>
      <c r="V296" s="27">
        <v>4419</v>
      </c>
      <c r="W296" s="27">
        <v>3570</v>
      </c>
      <c r="X296" s="27">
        <v>0</v>
      </c>
      <c r="Y296" s="27">
        <v>0</v>
      </c>
      <c r="Z296" s="27">
        <f t="shared" si="222"/>
        <v>0</v>
      </c>
      <c r="AA296" s="27">
        <f t="shared" si="223"/>
        <v>-554</v>
      </c>
      <c r="AB296" s="27">
        <v>3865</v>
      </c>
      <c r="AC296" s="27">
        <v>0</v>
      </c>
      <c r="AD296" s="27">
        <f t="shared" ref="AD296:AD359" si="226">AC296/AB296*100</f>
        <v>0</v>
      </c>
      <c r="AE296" s="27">
        <f t="shared" si="225"/>
        <v>0</v>
      </c>
      <c r="AF296" s="27">
        <v>3865</v>
      </c>
      <c r="AG296" s="27">
        <v>4156</v>
      </c>
      <c r="AH296" s="27"/>
      <c r="AI296" s="27"/>
      <c r="AJ296" s="162" t="b">
        <f t="shared" si="216"/>
        <v>0</v>
      </c>
      <c r="AK296" s="162" t="str">
        <f t="shared" si="217"/>
        <v>PUNO</v>
      </c>
      <c r="AM296" s="264"/>
    </row>
    <row r="297" spans="1:39" ht="15.75" x14ac:dyDescent="0.2">
      <c r="B297" s="177"/>
      <c r="C297" s="177"/>
      <c r="D297" s="177">
        <v>324</v>
      </c>
      <c r="E297" s="177"/>
      <c r="F297" s="176"/>
      <c r="G297" s="176"/>
      <c r="H297" s="16" t="s">
        <v>530</v>
      </c>
      <c r="I297" s="18"/>
      <c r="J297" s="18"/>
      <c r="K297" s="18"/>
      <c r="L297" s="18"/>
      <c r="M297" s="18"/>
      <c r="N297" s="18"/>
      <c r="O297" s="18"/>
      <c r="P297" s="26"/>
      <c r="Q297" s="18"/>
      <c r="R297" s="18"/>
      <c r="S297" s="18"/>
      <c r="T297" s="27"/>
      <c r="U297" s="27"/>
      <c r="V297" s="27">
        <f>V298</f>
        <v>0</v>
      </c>
      <c r="W297" s="27">
        <f>W298</f>
        <v>0</v>
      </c>
      <c r="X297" s="27">
        <f>X298</f>
        <v>0</v>
      </c>
      <c r="Y297" s="27">
        <f>Y298</f>
        <v>0</v>
      </c>
      <c r="Z297" s="27" t="e">
        <f t="shared" si="222"/>
        <v>#DIV/0!</v>
      </c>
      <c r="AA297" s="27">
        <f t="shared" si="223"/>
        <v>0</v>
      </c>
      <c r="AB297" s="27">
        <f>AB298</f>
        <v>0</v>
      </c>
      <c r="AC297" s="27">
        <f>AC298</f>
        <v>0</v>
      </c>
      <c r="AD297" s="27"/>
      <c r="AE297" s="27">
        <f t="shared" si="225"/>
        <v>0</v>
      </c>
      <c r="AF297" s="27">
        <f>AF298</f>
        <v>0</v>
      </c>
      <c r="AG297" s="27">
        <f>AG298</f>
        <v>0</v>
      </c>
      <c r="AH297" s="27">
        <f>AH298</f>
        <v>0</v>
      </c>
      <c r="AI297" s="27">
        <f>AI298</f>
        <v>0</v>
      </c>
      <c r="AJ297" s="162" t="b">
        <f t="shared" si="216"/>
        <v>1</v>
      </c>
      <c r="AK297" s="162" t="str">
        <f t="shared" si="217"/>
        <v>PRAZNO</v>
      </c>
      <c r="AM297" s="264"/>
    </row>
    <row r="298" spans="1:39" ht="15.75" x14ac:dyDescent="0.2">
      <c r="B298" s="177"/>
      <c r="C298" s="177"/>
      <c r="D298" s="177"/>
      <c r="E298" s="177">
        <v>3241</v>
      </c>
      <c r="F298" s="176">
        <v>51</v>
      </c>
      <c r="G298" s="176"/>
      <c r="H298" s="16" t="s">
        <v>530</v>
      </c>
      <c r="I298" s="18"/>
      <c r="J298" s="18"/>
      <c r="K298" s="18"/>
      <c r="L298" s="18"/>
      <c r="M298" s="18"/>
      <c r="N298" s="18"/>
      <c r="O298" s="18"/>
      <c r="P298" s="26"/>
      <c r="Q298" s="18"/>
      <c r="R298" s="18"/>
      <c r="S298" s="18"/>
      <c r="T298" s="27"/>
      <c r="U298" s="27"/>
      <c r="V298" s="27">
        <v>0</v>
      </c>
      <c r="W298" s="27">
        <v>0</v>
      </c>
      <c r="X298" s="27">
        <v>0</v>
      </c>
      <c r="Y298" s="27">
        <v>0</v>
      </c>
      <c r="Z298" s="27" t="e">
        <f t="shared" si="222"/>
        <v>#DIV/0!</v>
      </c>
      <c r="AA298" s="27">
        <f t="shared" si="223"/>
        <v>0</v>
      </c>
      <c r="AB298" s="27">
        <v>0</v>
      </c>
      <c r="AC298" s="27"/>
      <c r="AD298" s="27"/>
      <c r="AE298" s="27">
        <f t="shared" si="225"/>
        <v>0</v>
      </c>
      <c r="AF298" s="27">
        <v>0</v>
      </c>
      <c r="AG298" s="27">
        <v>0</v>
      </c>
      <c r="AH298" s="27">
        <v>0</v>
      </c>
      <c r="AI298" s="27">
        <v>0</v>
      </c>
      <c r="AJ298" s="162" t="b">
        <f t="shared" si="216"/>
        <v>0</v>
      </c>
      <c r="AK298" s="162" t="str">
        <f t="shared" si="217"/>
        <v>PUNO</v>
      </c>
      <c r="AM298" s="264"/>
    </row>
    <row r="299" spans="1:39" ht="15.75" customHeight="1" x14ac:dyDescent="0.2">
      <c r="B299" s="177"/>
      <c r="C299" s="177"/>
      <c r="D299" s="177">
        <v>329</v>
      </c>
      <c r="E299" s="177"/>
      <c r="F299" s="176"/>
      <c r="G299" s="176"/>
      <c r="H299" s="16" t="s">
        <v>531</v>
      </c>
      <c r="I299" s="18"/>
      <c r="J299" s="18"/>
      <c r="K299" s="18"/>
      <c r="L299" s="18"/>
      <c r="M299" s="18"/>
      <c r="N299" s="18"/>
      <c r="O299" s="18"/>
      <c r="P299" s="26"/>
      <c r="Q299" s="18"/>
      <c r="R299" s="18"/>
      <c r="S299" s="18"/>
      <c r="T299" s="27"/>
      <c r="U299" s="27"/>
      <c r="V299" s="27">
        <f>V300</f>
        <v>0</v>
      </c>
      <c r="W299" s="27">
        <f>W300</f>
        <v>0</v>
      </c>
      <c r="X299" s="27">
        <f>X300</f>
        <v>0</v>
      </c>
      <c r="Y299" s="27">
        <f>Y300</f>
        <v>0</v>
      </c>
      <c r="Z299" s="27" t="e">
        <f t="shared" si="222"/>
        <v>#DIV/0!</v>
      </c>
      <c r="AA299" s="27">
        <f t="shared" si="223"/>
        <v>0</v>
      </c>
      <c r="AB299" s="27">
        <f>AB300</f>
        <v>0</v>
      </c>
      <c r="AC299" s="27">
        <f>AC300</f>
        <v>0</v>
      </c>
      <c r="AD299" s="27"/>
      <c r="AE299" s="27">
        <f t="shared" si="225"/>
        <v>0</v>
      </c>
      <c r="AF299" s="27">
        <f>AF300</f>
        <v>0</v>
      </c>
      <c r="AG299" s="27">
        <f>AG300</f>
        <v>0</v>
      </c>
      <c r="AH299" s="27">
        <f>AH300</f>
        <v>0</v>
      </c>
      <c r="AI299" s="27">
        <f>AI300</f>
        <v>0</v>
      </c>
      <c r="AJ299" s="162" t="b">
        <f t="shared" si="216"/>
        <v>1</v>
      </c>
      <c r="AK299" s="162" t="str">
        <f t="shared" si="217"/>
        <v>PRAZNO</v>
      </c>
      <c r="AM299" s="264"/>
    </row>
    <row r="300" spans="1:39" ht="15.75" customHeight="1" x14ac:dyDescent="0.2">
      <c r="B300" s="177"/>
      <c r="C300" s="177"/>
      <c r="D300" s="177"/>
      <c r="E300" s="177">
        <v>3293</v>
      </c>
      <c r="F300" s="176">
        <v>51</v>
      </c>
      <c r="G300" s="176"/>
      <c r="H300" s="16" t="s">
        <v>533</v>
      </c>
      <c r="I300" s="18"/>
      <c r="J300" s="18"/>
      <c r="K300" s="18"/>
      <c r="L300" s="18"/>
      <c r="M300" s="18"/>
      <c r="N300" s="18"/>
      <c r="O300" s="18"/>
      <c r="P300" s="26"/>
      <c r="Q300" s="18"/>
      <c r="R300" s="18"/>
      <c r="S300" s="18"/>
      <c r="T300" s="27"/>
      <c r="U300" s="27"/>
      <c r="V300" s="27">
        <v>0</v>
      </c>
      <c r="W300" s="27">
        <v>0</v>
      </c>
      <c r="X300" s="27">
        <v>0</v>
      </c>
      <c r="Y300" s="27">
        <v>0</v>
      </c>
      <c r="Z300" s="27" t="e">
        <f t="shared" si="222"/>
        <v>#DIV/0!</v>
      </c>
      <c r="AA300" s="27">
        <f t="shared" si="223"/>
        <v>0</v>
      </c>
      <c r="AB300" s="27">
        <v>0</v>
      </c>
      <c r="AC300" s="27"/>
      <c r="AD300" s="27"/>
      <c r="AE300" s="27">
        <f t="shared" si="225"/>
        <v>0</v>
      </c>
      <c r="AF300" s="27">
        <v>0</v>
      </c>
      <c r="AG300" s="27">
        <v>0</v>
      </c>
      <c r="AH300" s="27">
        <v>0</v>
      </c>
      <c r="AI300" s="27">
        <v>0</v>
      </c>
      <c r="AJ300" s="162" t="b">
        <f t="shared" si="216"/>
        <v>0</v>
      </c>
      <c r="AK300" s="162" t="str">
        <f t="shared" si="217"/>
        <v>PUNO</v>
      </c>
      <c r="AM300" s="264"/>
    </row>
    <row r="301" spans="1:39" s="453" customFormat="1" ht="15.75" customHeight="1" x14ac:dyDescent="0.25">
      <c r="A301" s="378"/>
      <c r="B301" s="260"/>
      <c r="C301" s="260"/>
      <c r="D301" s="260"/>
      <c r="E301" s="260"/>
      <c r="F301" s="448"/>
      <c r="G301" s="448"/>
      <c r="H301" s="440" t="s">
        <v>825</v>
      </c>
      <c r="I301" s="449"/>
      <c r="J301" s="449"/>
      <c r="K301" s="449"/>
      <c r="L301" s="449"/>
      <c r="M301" s="449"/>
      <c r="N301" s="449"/>
      <c r="O301" s="449"/>
      <c r="P301" s="202"/>
      <c r="Q301" s="449"/>
      <c r="R301" s="449"/>
      <c r="S301" s="449"/>
      <c r="T301" s="450"/>
      <c r="U301" s="450"/>
      <c r="V301" s="450">
        <f>V302</f>
        <v>69958</v>
      </c>
      <c r="W301" s="450">
        <f>W302</f>
        <v>48794</v>
      </c>
      <c r="X301" s="450">
        <f>X302</f>
        <v>0</v>
      </c>
      <c r="Y301" s="450">
        <f>Y302</f>
        <v>0</v>
      </c>
      <c r="Z301" s="450">
        <f t="shared" si="222"/>
        <v>0</v>
      </c>
      <c r="AA301" s="450">
        <f t="shared" si="223"/>
        <v>-17341</v>
      </c>
      <c r="AB301" s="450">
        <f>AB302</f>
        <v>52617</v>
      </c>
      <c r="AC301" s="450">
        <f>AC302</f>
        <v>0</v>
      </c>
      <c r="AD301" s="450">
        <f t="shared" si="226"/>
        <v>0</v>
      </c>
      <c r="AE301" s="450">
        <f t="shared" si="225"/>
        <v>0</v>
      </c>
      <c r="AF301" s="450">
        <f>AF302</f>
        <v>52617</v>
      </c>
      <c r="AG301" s="450">
        <f>AG302</f>
        <v>66775</v>
      </c>
      <c r="AH301" s="450">
        <f>AH302</f>
        <v>0</v>
      </c>
      <c r="AI301" s="450">
        <f>AI302</f>
        <v>0</v>
      </c>
      <c r="AJ301" s="162" t="b">
        <f t="shared" si="216"/>
        <v>1</v>
      </c>
      <c r="AK301" s="162" t="str">
        <f t="shared" si="217"/>
        <v>PRAZNO</v>
      </c>
      <c r="AL301" s="452"/>
      <c r="AM301" s="447"/>
    </row>
    <row r="302" spans="1:39" s="264" customFormat="1" ht="15.75" customHeight="1" x14ac:dyDescent="0.2">
      <c r="A302" s="259"/>
      <c r="B302" s="172">
        <v>3</v>
      </c>
      <c r="C302" s="172"/>
      <c r="D302" s="172"/>
      <c r="E302" s="172"/>
      <c r="F302" s="220"/>
      <c r="G302" s="220"/>
      <c r="H302" s="14" t="s">
        <v>524</v>
      </c>
      <c r="I302" s="184"/>
      <c r="J302" s="184"/>
      <c r="K302" s="184"/>
      <c r="L302" s="184"/>
      <c r="M302" s="184"/>
      <c r="N302" s="184"/>
      <c r="O302" s="184"/>
      <c r="P302" s="55"/>
      <c r="Q302" s="184"/>
      <c r="R302" s="184"/>
      <c r="S302" s="184"/>
      <c r="T302" s="185"/>
      <c r="U302" s="185"/>
      <c r="V302" s="185">
        <f>V303+V309</f>
        <v>69958</v>
      </c>
      <c r="W302" s="185">
        <f>W303+W309</f>
        <v>48794</v>
      </c>
      <c r="X302" s="185">
        <f>X303+X309</f>
        <v>0</v>
      </c>
      <c r="Y302" s="185">
        <f>Y303+Y309</f>
        <v>0</v>
      </c>
      <c r="Z302" s="185">
        <f t="shared" si="222"/>
        <v>0</v>
      </c>
      <c r="AA302" s="185">
        <f t="shared" si="223"/>
        <v>-17341</v>
      </c>
      <c r="AB302" s="185">
        <f>AB303+AB309</f>
        <v>52617</v>
      </c>
      <c r="AC302" s="185">
        <f>AC303+AC309</f>
        <v>0</v>
      </c>
      <c r="AD302" s="185">
        <f t="shared" si="226"/>
        <v>0</v>
      </c>
      <c r="AE302" s="185">
        <f t="shared" si="225"/>
        <v>0</v>
      </c>
      <c r="AF302" s="185">
        <f>AF303+AF309</f>
        <v>52617</v>
      </c>
      <c r="AG302" s="185">
        <f>AG303+AG309</f>
        <v>66775</v>
      </c>
      <c r="AH302" s="185">
        <f>AH303+AH309</f>
        <v>0</v>
      </c>
      <c r="AI302" s="185">
        <f>AI303+AI309</f>
        <v>0</v>
      </c>
      <c r="AJ302" s="162" t="b">
        <f t="shared" si="216"/>
        <v>1</v>
      </c>
      <c r="AK302" s="162" t="str">
        <f t="shared" si="217"/>
        <v>PRAZNO</v>
      </c>
      <c r="AL302" s="263"/>
    </row>
    <row r="303" spans="1:39" ht="15.75" customHeight="1" x14ac:dyDescent="0.2">
      <c r="B303" s="177"/>
      <c r="C303" s="177">
        <v>31</v>
      </c>
      <c r="D303" s="177"/>
      <c r="E303" s="177"/>
      <c r="F303" s="176"/>
      <c r="G303" s="176"/>
      <c r="H303" s="16" t="s">
        <v>197</v>
      </c>
      <c r="I303" s="18"/>
      <c r="J303" s="18"/>
      <c r="K303" s="18"/>
      <c r="L303" s="18"/>
      <c r="M303" s="18"/>
      <c r="N303" s="18"/>
      <c r="O303" s="18"/>
      <c r="P303" s="26"/>
      <c r="Q303" s="18"/>
      <c r="R303" s="18"/>
      <c r="S303" s="18"/>
      <c r="T303" s="27"/>
      <c r="U303" s="27"/>
      <c r="V303" s="27">
        <f>V304+V306</f>
        <v>26853</v>
      </c>
      <c r="W303" s="27">
        <f>W304+W306</f>
        <v>13236</v>
      </c>
      <c r="X303" s="27">
        <f>X304+X306</f>
        <v>0</v>
      </c>
      <c r="Y303" s="27">
        <f>Y304+Y306</f>
        <v>0</v>
      </c>
      <c r="Z303" s="27">
        <f t="shared" si="222"/>
        <v>0</v>
      </c>
      <c r="AA303" s="27">
        <f t="shared" si="223"/>
        <v>-9873</v>
      </c>
      <c r="AB303" s="27">
        <f>AB304+AB306</f>
        <v>16980</v>
      </c>
      <c r="AC303" s="27">
        <f>AC304+AC306</f>
        <v>0</v>
      </c>
      <c r="AD303" s="27">
        <f t="shared" si="226"/>
        <v>0</v>
      </c>
      <c r="AE303" s="27">
        <f t="shared" si="225"/>
        <v>0</v>
      </c>
      <c r="AF303" s="27">
        <f>AF304+AF306</f>
        <v>16980</v>
      </c>
      <c r="AG303" s="27">
        <f>AG304+AG306</f>
        <v>23330</v>
      </c>
      <c r="AH303" s="27">
        <f>AH304+AH306</f>
        <v>0</v>
      </c>
      <c r="AI303" s="27">
        <f>AI304+AI306</f>
        <v>0</v>
      </c>
      <c r="AJ303" s="162" t="b">
        <f t="shared" si="216"/>
        <v>1</v>
      </c>
      <c r="AK303" s="162" t="str">
        <f t="shared" si="217"/>
        <v>PRAZNO</v>
      </c>
      <c r="AM303" s="264"/>
    </row>
    <row r="304" spans="1:39" ht="15.75" customHeight="1" x14ac:dyDescent="0.2">
      <c r="B304" s="177"/>
      <c r="C304" s="177"/>
      <c r="D304" s="177">
        <v>311</v>
      </c>
      <c r="E304" s="177"/>
      <c r="F304" s="176"/>
      <c r="G304" s="176"/>
      <c r="H304" s="16" t="s">
        <v>915</v>
      </c>
      <c r="I304" s="18"/>
      <c r="J304" s="18"/>
      <c r="K304" s="18"/>
      <c r="L304" s="18"/>
      <c r="M304" s="18"/>
      <c r="N304" s="18"/>
      <c r="O304" s="18"/>
      <c r="P304" s="26"/>
      <c r="Q304" s="18"/>
      <c r="R304" s="18"/>
      <c r="S304" s="18"/>
      <c r="T304" s="27"/>
      <c r="U304" s="27"/>
      <c r="V304" s="27">
        <f>V305</f>
        <v>23093</v>
      </c>
      <c r="W304" s="27">
        <f>W305</f>
        <v>11382</v>
      </c>
      <c r="X304" s="27">
        <f>X305</f>
        <v>0</v>
      </c>
      <c r="Y304" s="27">
        <f>Y305</f>
        <v>0</v>
      </c>
      <c r="Z304" s="27">
        <f t="shared" si="222"/>
        <v>0</v>
      </c>
      <c r="AA304" s="27">
        <f t="shared" si="223"/>
        <v>-8493</v>
      </c>
      <c r="AB304" s="27">
        <f>AB305</f>
        <v>14600</v>
      </c>
      <c r="AC304" s="27">
        <f>AC305</f>
        <v>0</v>
      </c>
      <c r="AD304" s="27">
        <f t="shared" si="226"/>
        <v>0</v>
      </c>
      <c r="AE304" s="27">
        <f t="shared" si="225"/>
        <v>0</v>
      </c>
      <c r="AF304" s="27">
        <f>AF305</f>
        <v>14600</v>
      </c>
      <c r="AG304" s="27">
        <f>AG305</f>
        <v>20060</v>
      </c>
      <c r="AH304" s="27">
        <f>AH305</f>
        <v>0</v>
      </c>
      <c r="AI304" s="27">
        <f>AI305</f>
        <v>0</v>
      </c>
      <c r="AJ304" s="162" t="b">
        <f t="shared" si="216"/>
        <v>1</v>
      </c>
      <c r="AK304" s="162" t="str">
        <f t="shared" si="217"/>
        <v>PRAZNO</v>
      </c>
      <c r="AM304" s="264"/>
    </row>
    <row r="305" spans="1:39" ht="15.75" x14ac:dyDescent="0.2">
      <c r="B305" s="177"/>
      <c r="C305" s="177"/>
      <c r="D305" s="177"/>
      <c r="E305" s="177">
        <v>3111</v>
      </c>
      <c r="F305" s="176">
        <v>51</v>
      </c>
      <c r="G305" s="176"/>
      <c r="H305" s="16" t="s">
        <v>199</v>
      </c>
      <c r="I305" s="18"/>
      <c r="J305" s="18"/>
      <c r="K305" s="18"/>
      <c r="L305" s="18"/>
      <c r="M305" s="18"/>
      <c r="N305" s="18"/>
      <c r="O305" s="18"/>
      <c r="P305" s="26"/>
      <c r="Q305" s="18"/>
      <c r="R305" s="18"/>
      <c r="S305" s="18"/>
      <c r="T305" s="27"/>
      <c r="U305" s="27"/>
      <c r="V305" s="27">
        <v>23093</v>
      </c>
      <c r="W305" s="27">
        <v>11382</v>
      </c>
      <c r="X305" s="27">
        <v>0</v>
      </c>
      <c r="Y305" s="27">
        <v>0</v>
      </c>
      <c r="Z305" s="27">
        <f t="shared" si="222"/>
        <v>0</v>
      </c>
      <c r="AA305" s="27">
        <f t="shared" si="223"/>
        <v>-8493</v>
      </c>
      <c r="AB305" s="27">
        <v>14600</v>
      </c>
      <c r="AC305" s="27">
        <v>0</v>
      </c>
      <c r="AD305" s="27">
        <f t="shared" si="226"/>
        <v>0</v>
      </c>
      <c r="AE305" s="27">
        <f t="shared" si="225"/>
        <v>0</v>
      </c>
      <c r="AF305" s="27">
        <v>14600</v>
      </c>
      <c r="AG305" s="27">
        <v>20060</v>
      </c>
      <c r="AH305" s="27"/>
      <c r="AI305" s="27"/>
      <c r="AJ305" s="162" t="b">
        <f t="shared" si="216"/>
        <v>0</v>
      </c>
      <c r="AK305" s="162" t="str">
        <f t="shared" si="217"/>
        <v>PUNO</v>
      </c>
      <c r="AM305" s="264"/>
    </row>
    <row r="306" spans="1:39" ht="15.75" customHeight="1" x14ac:dyDescent="0.2">
      <c r="B306" s="177"/>
      <c r="C306" s="177"/>
      <c r="D306" s="177">
        <v>313</v>
      </c>
      <c r="E306" s="177"/>
      <c r="F306" s="176"/>
      <c r="G306" s="176"/>
      <c r="H306" s="16" t="s">
        <v>201</v>
      </c>
      <c r="I306" s="18"/>
      <c r="J306" s="18"/>
      <c r="K306" s="18"/>
      <c r="L306" s="18"/>
      <c r="M306" s="18"/>
      <c r="N306" s="18"/>
      <c r="O306" s="18"/>
      <c r="P306" s="26"/>
      <c r="Q306" s="18"/>
      <c r="R306" s="18"/>
      <c r="S306" s="18"/>
      <c r="T306" s="27"/>
      <c r="U306" s="27"/>
      <c r="V306" s="27">
        <f>V307+V308</f>
        <v>3760</v>
      </c>
      <c r="W306" s="27">
        <f>W307+W308</f>
        <v>1854</v>
      </c>
      <c r="X306" s="27">
        <f>X307+X308</f>
        <v>0</v>
      </c>
      <c r="Y306" s="27">
        <f>Y307+Y308</f>
        <v>0</v>
      </c>
      <c r="Z306" s="27">
        <f t="shared" si="222"/>
        <v>0</v>
      </c>
      <c r="AA306" s="27">
        <f t="shared" si="223"/>
        <v>-1380</v>
      </c>
      <c r="AB306" s="27">
        <f>AB307+AB308</f>
        <v>2380</v>
      </c>
      <c r="AC306" s="27">
        <f>AC307+AC308</f>
        <v>0</v>
      </c>
      <c r="AD306" s="27">
        <f t="shared" si="226"/>
        <v>0</v>
      </c>
      <c r="AE306" s="27">
        <f t="shared" si="225"/>
        <v>0</v>
      </c>
      <c r="AF306" s="27">
        <f>AF307+AF308</f>
        <v>2380</v>
      </c>
      <c r="AG306" s="27">
        <f>AG307+AG308</f>
        <v>3270</v>
      </c>
      <c r="AH306" s="27">
        <f>AH307+AH308</f>
        <v>0</v>
      </c>
      <c r="AI306" s="27">
        <f>AI307+AI308</f>
        <v>0</v>
      </c>
      <c r="AJ306" s="162" t="b">
        <f t="shared" si="216"/>
        <v>1</v>
      </c>
      <c r="AK306" s="162" t="str">
        <f t="shared" si="217"/>
        <v>PRAZNO</v>
      </c>
      <c r="AM306" s="264"/>
    </row>
    <row r="307" spans="1:39" ht="15.75" x14ac:dyDescent="0.2">
      <c r="B307" s="177"/>
      <c r="C307" s="177"/>
      <c r="D307" s="177"/>
      <c r="E307" s="177">
        <v>3132</v>
      </c>
      <c r="F307" s="176">
        <v>51</v>
      </c>
      <c r="G307" s="176"/>
      <c r="H307" s="16" t="s">
        <v>202</v>
      </c>
      <c r="I307" s="18"/>
      <c r="J307" s="18"/>
      <c r="K307" s="18"/>
      <c r="L307" s="18"/>
      <c r="M307" s="18"/>
      <c r="N307" s="18"/>
      <c r="O307" s="18"/>
      <c r="P307" s="26"/>
      <c r="Q307" s="18"/>
      <c r="R307" s="18"/>
      <c r="S307" s="18"/>
      <c r="T307" s="27"/>
      <c r="U307" s="27"/>
      <c r="V307" s="27">
        <v>3357</v>
      </c>
      <c r="W307" s="27">
        <v>1655</v>
      </c>
      <c r="X307" s="27">
        <v>0</v>
      </c>
      <c r="Y307" s="27">
        <v>0</v>
      </c>
      <c r="Z307" s="27">
        <f t="shared" si="222"/>
        <v>0</v>
      </c>
      <c r="AA307" s="27">
        <f t="shared" si="223"/>
        <v>-1232</v>
      </c>
      <c r="AB307" s="27">
        <v>2125</v>
      </c>
      <c r="AC307" s="27">
        <v>0</v>
      </c>
      <c r="AD307" s="27">
        <f t="shared" si="226"/>
        <v>0</v>
      </c>
      <c r="AE307" s="27">
        <f t="shared" si="225"/>
        <v>0</v>
      </c>
      <c r="AF307" s="27">
        <v>2125</v>
      </c>
      <c r="AG307" s="27">
        <v>2920</v>
      </c>
      <c r="AH307" s="27"/>
      <c r="AI307" s="27"/>
      <c r="AJ307" s="162" t="b">
        <f t="shared" si="216"/>
        <v>0</v>
      </c>
      <c r="AK307" s="162" t="str">
        <f t="shared" si="217"/>
        <v>PUNO</v>
      </c>
      <c r="AM307" s="264"/>
    </row>
    <row r="308" spans="1:39" ht="30" x14ac:dyDescent="0.2">
      <c r="B308" s="177"/>
      <c r="C308" s="177"/>
      <c r="D308" s="177"/>
      <c r="E308" s="177">
        <v>3133</v>
      </c>
      <c r="F308" s="176">
        <v>51</v>
      </c>
      <c r="G308" s="176"/>
      <c r="H308" s="16" t="s">
        <v>703</v>
      </c>
      <c r="I308" s="18"/>
      <c r="J308" s="18"/>
      <c r="K308" s="18"/>
      <c r="L308" s="18"/>
      <c r="M308" s="18"/>
      <c r="N308" s="18"/>
      <c r="O308" s="18"/>
      <c r="P308" s="26"/>
      <c r="Q308" s="18"/>
      <c r="R308" s="18"/>
      <c r="S308" s="18"/>
      <c r="T308" s="27"/>
      <c r="U308" s="27"/>
      <c r="V308" s="27">
        <v>403</v>
      </c>
      <c r="W308" s="27">
        <v>199</v>
      </c>
      <c r="X308" s="27">
        <v>0</v>
      </c>
      <c r="Y308" s="27">
        <v>0</v>
      </c>
      <c r="Z308" s="27">
        <f t="shared" si="222"/>
        <v>0</v>
      </c>
      <c r="AA308" s="27">
        <f t="shared" si="223"/>
        <v>-148</v>
      </c>
      <c r="AB308" s="27">
        <v>255</v>
      </c>
      <c r="AC308" s="27">
        <v>0</v>
      </c>
      <c r="AD308" s="27">
        <f t="shared" si="226"/>
        <v>0</v>
      </c>
      <c r="AE308" s="27">
        <f t="shared" si="225"/>
        <v>0</v>
      </c>
      <c r="AF308" s="27">
        <v>255</v>
      </c>
      <c r="AG308" s="27">
        <v>350</v>
      </c>
      <c r="AH308" s="27"/>
      <c r="AI308" s="27"/>
      <c r="AJ308" s="162" t="b">
        <f t="shared" si="216"/>
        <v>0</v>
      </c>
      <c r="AK308" s="162" t="str">
        <f t="shared" si="217"/>
        <v>PUNO</v>
      </c>
      <c r="AM308" s="264"/>
    </row>
    <row r="309" spans="1:39" ht="15.75" customHeight="1" x14ac:dyDescent="0.2">
      <c r="B309" s="177"/>
      <c r="C309" s="177">
        <v>32</v>
      </c>
      <c r="D309" s="177"/>
      <c r="E309" s="177"/>
      <c r="F309" s="176"/>
      <c r="G309" s="176"/>
      <c r="H309" s="16" t="s">
        <v>525</v>
      </c>
      <c r="I309" s="18"/>
      <c r="J309" s="18"/>
      <c r="K309" s="18"/>
      <c r="L309" s="18"/>
      <c r="M309" s="18"/>
      <c r="N309" s="18"/>
      <c r="O309" s="18"/>
      <c r="P309" s="26"/>
      <c r="Q309" s="18"/>
      <c r="R309" s="18"/>
      <c r="S309" s="18"/>
      <c r="T309" s="27"/>
      <c r="U309" s="27"/>
      <c r="V309" s="27">
        <f>V310+V312</f>
        <v>43105</v>
      </c>
      <c r="W309" s="27">
        <f>W310+W312</f>
        <v>35558</v>
      </c>
      <c r="X309" s="27">
        <f>X310+X312</f>
        <v>0</v>
      </c>
      <c r="Y309" s="27">
        <f>Y310+Y312</f>
        <v>0</v>
      </c>
      <c r="Z309" s="27">
        <f t="shared" si="222"/>
        <v>0</v>
      </c>
      <c r="AA309" s="27">
        <f t="shared" si="223"/>
        <v>-7468</v>
      </c>
      <c r="AB309" s="27">
        <f>AB310+AB312</f>
        <v>35637</v>
      </c>
      <c r="AC309" s="27">
        <f>AC310+AC312</f>
        <v>0</v>
      </c>
      <c r="AD309" s="27">
        <f t="shared" si="226"/>
        <v>0</v>
      </c>
      <c r="AE309" s="27">
        <f t="shared" si="225"/>
        <v>0</v>
      </c>
      <c r="AF309" s="27">
        <f>AF310+AF312</f>
        <v>35637</v>
      </c>
      <c r="AG309" s="27">
        <f>AG310+AG312</f>
        <v>43445</v>
      </c>
      <c r="AH309" s="27">
        <f>AH310+AH312</f>
        <v>0</v>
      </c>
      <c r="AI309" s="27">
        <f>AI310+AI312</f>
        <v>0</v>
      </c>
      <c r="AJ309" s="162" t="b">
        <f t="shared" si="216"/>
        <v>1</v>
      </c>
      <c r="AK309" s="162" t="str">
        <f t="shared" si="217"/>
        <v>PRAZNO</v>
      </c>
      <c r="AM309" s="264"/>
    </row>
    <row r="310" spans="1:39" ht="15.75" customHeight="1" x14ac:dyDescent="0.2">
      <c r="B310" s="177"/>
      <c r="C310" s="177"/>
      <c r="D310" s="177">
        <v>321</v>
      </c>
      <c r="E310" s="177"/>
      <c r="F310" s="176"/>
      <c r="G310" s="176"/>
      <c r="H310" s="16" t="s">
        <v>564</v>
      </c>
      <c r="I310" s="18"/>
      <c r="J310" s="18"/>
      <c r="K310" s="18"/>
      <c r="L310" s="18"/>
      <c r="M310" s="18"/>
      <c r="N310" s="18"/>
      <c r="O310" s="18"/>
      <c r="P310" s="26"/>
      <c r="Q310" s="18"/>
      <c r="R310" s="18"/>
      <c r="S310" s="18"/>
      <c r="T310" s="27"/>
      <c r="U310" s="27"/>
      <c r="V310" s="27">
        <f>V311</f>
        <v>16134</v>
      </c>
      <c r="W310" s="27">
        <f>W311</f>
        <v>15331</v>
      </c>
      <c r="X310" s="27">
        <f>X311</f>
        <v>0</v>
      </c>
      <c r="Y310" s="27">
        <f>Y311</f>
        <v>0</v>
      </c>
      <c r="Z310" s="27">
        <f t="shared" si="222"/>
        <v>0</v>
      </c>
      <c r="AA310" s="27">
        <f t="shared" si="223"/>
        <v>-4414</v>
      </c>
      <c r="AB310" s="27">
        <f>AB311</f>
        <v>11720</v>
      </c>
      <c r="AC310" s="27">
        <f>AC311</f>
        <v>0</v>
      </c>
      <c r="AD310" s="27">
        <f t="shared" si="226"/>
        <v>0</v>
      </c>
      <c r="AE310" s="27">
        <f t="shared" si="225"/>
        <v>0</v>
      </c>
      <c r="AF310" s="27">
        <f>AF311</f>
        <v>11720</v>
      </c>
      <c r="AG310" s="27">
        <f>AG311</f>
        <v>19895</v>
      </c>
      <c r="AH310" s="27">
        <f>AH311</f>
        <v>0</v>
      </c>
      <c r="AI310" s="27">
        <f>AI311</f>
        <v>0</v>
      </c>
      <c r="AJ310" s="162" t="b">
        <f t="shared" si="216"/>
        <v>1</v>
      </c>
      <c r="AK310" s="162" t="str">
        <f t="shared" si="217"/>
        <v>PRAZNO</v>
      </c>
      <c r="AM310" s="264"/>
    </row>
    <row r="311" spans="1:39" ht="15.75" x14ac:dyDescent="0.2">
      <c r="B311" s="177"/>
      <c r="C311" s="177"/>
      <c r="D311" s="177"/>
      <c r="E311" s="177">
        <v>3211</v>
      </c>
      <c r="F311" s="176">
        <v>51</v>
      </c>
      <c r="G311" s="176"/>
      <c r="H311" s="16" t="s">
        <v>565</v>
      </c>
      <c r="I311" s="18"/>
      <c r="J311" s="18"/>
      <c r="K311" s="18"/>
      <c r="L311" s="18"/>
      <c r="M311" s="18"/>
      <c r="N311" s="18"/>
      <c r="O311" s="18"/>
      <c r="P311" s="26"/>
      <c r="Q311" s="18"/>
      <c r="R311" s="18"/>
      <c r="S311" s="18"/>
      <c r="T311" s="27"/>
      <c r="U311" s="27"/>
      <c r="V311" s="27">
        <v>16134</v>
      </c>
      <c r="W311" s="27">
        <v>15331</v>
      </c>
      <c r="X311" s="27">
        <v>0</v>
      </c>
      <c r="Y311" s="27">
        <v>0</v>
      </c>
      <c r="Z311" s="27">
        <f t="shared" si="222"/>
        <v>0</v>
      </c>
      <c r="AA311" s="27">
        <f t="shared" si="223"/>
        <v>-4414</v>
      </c>
      <c r="AB311" s="27">
        <v>11720</v>
      </c>
      <c r="AC311" s="27">
        <v>0</v>
      </c>
      <c r="AD311" s="27">
        <f t="shared" si="226"/>
        <v>0</v>
      </c>
      <c r="AE311" s="27">
        <f t="shared" si="225"/>
        <v>0</v>
      </c>
      <c r="AF311" s="27">
        <v>11720</v>
      </c>
      <c r="AG311" s="27">
        <v>19895</v>
      </c>
      <c r="AH311" s="27"/>
      <c r="AI311" s="27"/>
      <c r="AJ311" s="162" t="b">
        <f t="shared" si="216"/>
        <v>0</v>
      </c>
      <c r="AK311" s="162" t="str">
        <f t="shared" si="217"/>
        <v>PUNO</v>
      </c>
      <c r="AM311" s="264"/>
    </row>
    <row r="312" spans="1:39" ht="15.75" customHeight="1" x14ac:dyDescent="0.2">
      <c r="B312" s="177"/>
      <c r="C312" s="177"/>
      <c r="D312" s="177">
        <v>323</v>
      </c>
      <c r="E312" s="177"/>
      <c r="F312" s="176"/>
      <c r="G312" s="176"/>
      <c r="H312" s="16" t="s">
        <v>526</v>
      </c>
      <c r="I312" s="18"/>
      <c r="J312" s="18"/>
      <c r="K312" s="18"/>
      <c r="L312" s="18"/>
      <c r="M312" s="18"/>
      <c r="N312" s="18"/>
      <c r="O312" s="18"/>
      <c r="P312" s="26"/>
      <c r="Q312" s="18"/>
      <c r="R312" s="18"/>
      <c r="S312" s="18"/>
      <c r="T312" s="27"/>
      <c r="U312" s="27"/>
      <c r="V312" s="27">
        <f>V313+V314</f>
        <v>26971</v>
      </c>
      <c r="W312" s="27">
        <f>W313+W314</f>
        <v>20227</v>
      </c>
      <c r="X312" s="27">
        <f>X313+X314</f>
        <v>0</v>
      </c>
      <c r="Y312" s="27">
        <f>Y313+Y314</f>
        <v>0</v>
      </c>
      <c r="Z312" s="27">
        <f t="shared" si="222"/>
        <v>0</v>
      </c>
      <c r="AA312" s="27">
        <f t="shared" si="223"/>
        <v>-3054</v>
      </c>
      <c r="AB312" s="27">
        <f>AB313+AB314</f>
        <v>23917</v>
      </c>
      <c r="AC312" s="27">
        <f>AC313+AC314</f>
        <v>0</v>
      </c>
      <c r="AD312" s="27">
        <f t="shared" si="226"/>
        <v>0</v>
      </c>
      <c r="AE312" s="27">
        <f t="shared" si="225"/>
        <v>0</v>
      </c>
      <c r="AF312" s="27">
        <f>AF313+AF314</f>
        <v>23917</v>
      </c>
      <c r="AG312" s="27">
        <f>AG313+AG314</f>
        <v>23550</v>
      </c>
      <c r="AH312" s="27">
        <f>AH313+AH314</f>
        <v>0</v>
      </c>
      <c r="AI312" s="27">
        <f>AI313+AI314</f>
        <v>0</v>
      </c>
      <c r="AJ312" s="162" t="b">
        <f t="shared" si="216"/>
        <v>1</v>
      </c>
      <c r="AK312" s="162" t="str">
        <f t="shared" si="217"/>
        <v>PRAZNO</v>
      </c>
      <c r="AM312" s="264"/>
    </row>
    <row r="313" spans="1:39" ht="15.75" x14ac:dyDescent="0.2">
      <c r="B313" s="177"/>
      <c r="C313" s="177"/>
      <c r="D313" s="177"/>
      <c r="E313" s="177">
        <v>3231</v>
      </c>
      <c r="F313" s="176">
        <v>51</v>
      </c>
      <c r="G313" s="176"/>
      <c r="H313" s="16" t="s">
        <v>341</v>
      </c>
      <c r="I313" s="18"/>
      <c r="J313" s="18"/>
      <c r="K313" s="18"/>
      <c r="L313" s="18"/>
      <c r="M313" s="18"/>
      <c r="N313" s="18"/>
      <c r="O313" s="18"/>
      <c r="P313" s="26"/>
      <c r="Q313" s="18"/>
      <c r="R313" s="18"/>
      <c r="S313" s="18"/>
      <c r="T313" s="27"/>
      <c r="U313" s="27"/>
      <c r="V313" s="27">
        <v>1927</v>
      </c>
      <c r="W313" s="27">
        <v>0</v>
      </c>
      <c r="X313" s="27">
        <v>0</v>
      </c>
      <c r="Y313" s="27">
        <v>0</v>
      </c>
      <c r="Z313" s="27">
        <f t="shared" si="222"/>
        <v>0</v>
      </c>
      <c r="AA313" s="27">
        <f t="shared" si="223"/>
        <v>0</v>
      </c>
      <c r="AB313" s="27">
        <v>1927</v>
      </c>
      <c r="AC313" s="27">
        <v>0</v>
      </c>
      <c r="AD313" s="27">
        <f t="shared" si="226"/>
        <v>0</v>
      </c>
      <c r="AE313" s="27">
        <f t="shared" si="225"/>
        <v>0</v>
      </c>
      <c r="AF313" s="27">
        <v>1927</v>
      </c>
      <c r="AG313" s="27">
        <v>0</v>
      </c>
      <c r="AH313" s="27"/>
      <c r="AI313" s="27"/>
      <c r="AJ313" s="162" t="b">
        <f t="shared" si="216"/>
        <v>0</v>
      </c>
      <c r="AK313" s="162" t="str">
        <f t="shared" si="217"/>
        <v>PUNO</v>
      </c>
      <c r="AM313" s="264"/>
    </row>
    <row r="314" spans="1:39" ht="15.75" x14ac:dyDescent="0.2">
      <c r="B314" s="177"/>
      <c r="C314" s="177"/>
      <c r="D314" s="177"/>
      <c r="E314" s="177">
        <v>3237</v>
      </c>
      <c r="F314" s="176">
        <v>51</v>
      </c>
      <c r="G314" s="176"/>
      <c r="H314" s="16" t="s">
        <v>566</v>
      </c>
      <c r="I314" s="18"/>
      <c r="J314" s="18"/>
      <c r="K314" s="18"/>
      <c r="L314" s="18"/>
      <c r="M314" s="18"/>
      <c r="N314" s="18"/>
      <c r="O314" s="18"/>
      <c r="P314" s="26"/>
      <c r="Q314" s="18"/>
      <c r="R314" s="18"/>
      <c r="S314" s="18"/>
      <c r="T314" s="27"/>
      <c r="U314" s="27"/>
      <c r="V314" s="27">
        <v>25044</v>
      </c>
      <c r="W314" s="27">
        <v>20227</v>
      </c>
      <c r="X314" s="27">
        <v>0</v>
      </c>
      <c r="Y314" s="27">
        <v>0</v>
      </c>
      <c r="Z314" s="27">
        <f t="shared" si="222"/>
        <v>0</v>
      </c>
      <c r="AA314" s="27">
        <f t="shared" si="223"/>
        <v>-3054</v>
      </c>
      <c r="AB314" s="27">
        <v>21990</v>
      </c>
      <c r="AC314" s="27">
        <v>0</v>
      </c>
      <c r="AD314" s="27">
        <f t="shared" si="226"/>
        <v>0</v>
      </c>
      <c r="AE314" s="27">
        <f t="shared" si="225"/>
        <v>0</v>
      </c>
      <c r="AF314" s="27">
        <v>21990</v>
      </c>
      <c r="AG314" s="27">
        <v>23550</v>
      </c>
      <c r="AH314" s="27"/>
      <c r="AI314" s="27"/>
      <c r="AJ314" s="162" t="b">
        <f t="shared" si="216"/>
        <v>0</v>
      </c>
      <c r="AK314" s="162" t="str">
        <f t="shared" si="217"/>
        <v>PUNO</v>
      </c>
      <c r="AM314" s="264"/>
    </row>
    <row r="315" spans="1:39" s="264" customFormat="1" ht="15.75" x14ac:dyDescent="0.2">
      <c r="A315" s="259"/>
      <c r="B315" s="168"/>
      <c r="C315" s="168"/>
      <c r="D315" s="168"/>
      <c r="E315" s="168"/>
      <c r="F315" s="168"/>
      <c r="G315" s="168"/>
      <c r="H315" s="12" t="s">
        <v>150</v>
      </c>
      <c r="I315" s="169" t="e">
        <f>I317</f>
        <v>#REF!</v>
      </c>
      <c r="J315" s="169" t="e">
        <f>J317</f>
        <v>#REF!</v>
      </c>
      <c r="K315" s="169" t="e">
        <f>ROUND(J315/I315*100,2)</f>
        <v>#REF!</v>
      </c>
      <c r="L315" s="169" t="e">
        <f>M315-I315</f>
        <v>#REF!</v>
      </c>
      <c r="M315" s="19" t="e">
        <f>M317</f>
        <v>#REF!</v>
      </c>
      <c r="N315" s="19" t="e">
        <f>N317</f>
        <v>#REF!</v>
      </c>
      <c r="O315" s="19" t="e">
        <f>O317</f>
        <v>#REF!</v>
      </c>
      <c r="P315" s="303" t="e">
        <f t="shared" ref="P315:P322" si="227">T315-N315</f>
        <v>#REF!</v>
      </c>
      <c r="Q315" s="19" t="e">
        <f>Q317</f>
        <v>#REF!</v>
      </c>
      <c r="R315" s="19" t="e">
        <f>R317</f>
        <v>#REF!</v>
      </c>
      <c r="S315" s="19" t="e">
        <f>S317</f>
        <v>#REF!</v>
      </c>
      <c r="T315" s="19">
        <f>T317+T326</f>
        <v>27400</v>
      </c>
      <c r="U315" s="19">
        <f t="shared" ref="U315:AA315" si="228">U317+U326</f>
        <v>235418.04</v>
      </c>
      <c r="V315" s="19">
        <f t="shared" si="228"/>
        <v>20000</v>
      </c>
      <c r="W315" s="19">
        <f t="shared" si="228"/>
        <v>10000</v>
      </c>
      <c r="X315" s="19">
        <f t="shared" si="228"/>
        <v>10000</v>
      </c>
      <c r="Y315" s="19">
        <f t="shared" si="228"/>
        <v>17967.259999999998</v>
      </c>
      <c r="Z315" s="19">
        <f t="shared" si="228"/>
        <v>89.84</v>
      </c>
      <c r="AA315" s="19">
        <f t="shared" si="228"/>
        <v>170000</v>
      </c>
      <c r="AB315" s="19">
        <f>AB317+AB326</f>
        <v>190000</v>
      </c>
      <c r="AC315" s="19">
        <f>AC317+AC326</f>
        <v>36796.79</v>
      </c>
      <c r="AD315" s="19">
        <f t="shared" si="226"/>
        <v>19.36673157894737</v>
      </c>
      <c r="AE315" s="19">
        <f t="shared" si="225"/>
        <v>0</v>
      </c>
      <c r="AF315" s="19">
        <f>AF317+AF326</f>
        <v>190000</v>
      </c>
      <c r="AG315" s="19">
        <f>AG317+AG326</f>
        <v>21000</v>
      </c>
      <c r="AH315" s="19">
        <f>AH317+AH326</f>
        <v>10000</v>
      </c>
      <c r="AI315" s="19">
        <f>AI317+AI326</f>
        <v>10000</v>
      </c>
      <c r="AJ315" s="162" t="b">
        <f t="shared" si="216"/>
        <v>1</v>
      </c>
      <c r="AK315" s="162" t="str">
        <f t="shared" si="217"/>
        <v>PRAZNO</v>
      </c>
      <c r="AL315" s="263"/>
    </row>
    <row r="316" spans="1:39" s="264" customFormat="1" ht="15.75" x14ac:dyDescent="0.2">
      <c r="A316" s="259"/>
      <c r="B316" s="260"/>
      <c r="C316" s="260"/>
      <c r="D316" s="260"/>
      <c r="E316" s="260"/>
      <c r="F316" s="260"/>
      <c r="G316" s="260"/>
      <c r="H316" s="441" t="s">
        <v>824</v>
      </c>
      <c r="I316" s="181"/>
      <c r="J316" s="181"/>
      <c r="K316" s="181"/>
      <c r="L316" s="181"/>
      <c r="M316" s="262"/>
      <c r="N316" s="262"/>
      <c r="O316" s="262"/>
      <c r="P316" s="445"/>
      <c r="Q316" s="262"/>
      <c r="R316" s="262"/>
      <c r="S316" s="262"/>
      <c r="T316" s="262">
        <f>T317</f>
        <v>27400</v>
      </c>
      <c r="U316" s="262">
        <f t="shared" ref="U316:AA316" si="229">U317</f>
        <v>201567.04</v>
      </c>
      <c r="V316" s="262">
        <f t="shared" si="229"/>
        <v>20000</v>
      </c>
      <c r="W316" s="262">
        <f t="shared" si="229"/>
        <v>10000</v>
      </c>
      <c r="X316" s="262">
        <f t="shared" si="229"/>
        <v>10000</v>
      </c>
      <c r="Y316" s="262">
        <f t="shared" si="229"/>
        <v>17967.259999999998</v>
      </c>
      <c r="Z316" s="262">
        <f t="shared" si="229"/>
        <v>89.84</v>
      </c>
      <c r="AA316" s="262">
        <f t="shared" si="229"/>
        <v>157000</v>
      </c>
      <c r="AB316" s="262">
        <f>AB317</f>
        <v>177000</v>
      </c>
      <c r="AC316" s="262">
        <f>AC317</f>
        <v>36796.79</v>
      </c>
      <c r="AD316" s="262">
        <f t="shared" si="226"/>
        <v>20.789146892655371</v>
      </c>
      <c r="AE316" s="262">
        <f t="shared" si="225"/>
        <v>0</v>
      </c>
      <c r="AF316" s="262">
        <f>AF317</f>
        <v>177000</v>
      </c>
      <c r="AG316" s="262">
        <f>AG317</f>
        <v>21000</v>
      </c>
      <c r="AH316" s="262">
        <f>AH317</f>
        <v>10000</v>
      </c>
      <c r="AI316" s="262">
        <f>AI317</f>
        <v>10000</v>
      </c>
      <c r="AJ316" s="162" t="b">
        <f t="shared" si="216"/>
        <v>1</v>
      </c>
      <c r="AK316" s="162" t="str">
        <f t="shared" si="217"/>
        <v>PRAZNO</v>
      </c>
      <c r="AL316" s="263"/>
    </row>
    <row r="317" spans="1:39" s="264" customFormat="1" ht="15.75" x14ac:dyDescent="0.2">
      <c r="A317" s="259"/>
      <c r="B317" s="172">
        <v>4</v>
      </c>
      <c r="C317" s="172"/>
      <c r="D317" s="172"/>
      <c r="E317" s="172"/>
      <c r="F317" s="172"/>
      <c r="G317" s="172"/>
      <c r="H317" s="14" t="s">
        <v>552</v>
      </c>
      <c r="I317" s="20" t="e">
        <f>I318</f>
        <v>#REF!</v>
      </c>
      <c r="J317" s="20" t="e">
        <f>J318</f>
        <v>#REF!</v>
      </c>
      <c r="K317" s="20" t="e">
        <f>ROUND(J317/I317*100,2)</f>
        <v>#REF!</v>
      </c>
      <c r="L317" s="20" t="e">
        <f>M317-I317</f>
        <v>#REF!</v>
      </c>
      <c r="M317" s="20" t="e">
        <f>M318</f>
        <v>#REF!</v>
      </c>
      <c r="N317" s="20" t="e">
        <f t="shared" ref="N317:AI317" si="230">N318</f>
        <v>#REF!</v>
      </c>
      <c r="O317" s="20" t="e">
        <f t="shared" si="230"/>
        <v>#REF!</v>
      </c>
      <c r="P317" s="55" t="e">
        <f t="shared" si="227"/>
        <v>#REF!</v>
      </c>
      <c r="Q317" s="20" t="e">
        <f t="shared" si="230"/>
        <v>#REF!</v>
      </c>
      <c r="R317" s="20" t="e">
        <f t="shared" si="230"/>
        <v>#REF!</v>
      </c>
      <c r="S317" s="20" t="e">
        <f t="shared" si="230"/>
        <v>#REF!</v>
      </c>
      <c r="T317" s="20">
        <f t="shared" si="230"/>
        <v>27400</v>
      </c>
      <c r="U317" s="20">
        <f t="shared" si="230"/>
        <v>201567.04</v>
      </c>
      <c r="V317" s="20">
        <f t="shared" si="230"/>
        <v>20000</v>
      </c>
      <c r="W317" s="20">
        <f t="shared" si="230"/>
        <v>10000</v>
      </c>
      <c r="X317" s="20">
        <f t="shared" si="230"/>
        <v>10000</v>
      </c>
      <c r="Y317" s="20">
        <f t="shared" si="230"/>
        <v>17967.259999999998</v>
      </c>
      <c r="Z317" s="20">
        <f t="shared" si="230"/>
        <v>89.84</v>
      </c>
      <c r="AA317" s="20">
        <f t="shared" si="230"/>
        <v>157000</v>
      </c>
      <c r="AB317" s="20">
        <f t="shared" si="230"/>
        <v>177000</v>
      </c>
      <c r="AC317" s="20">
        <f t="shared" si="230"/>
        <v>36796.79</v>
      </c>
      <c r="AD317" s="20">
        <f t="shared" si="226"/>
        <v>20.789146892655371</v>
      </c>
      <c r="AE317" s="20">
        <f t="shared" si="225"/>
        <v>0</v>
      </c>
      <c r="AF317" s="20">
        <f t="shared" si="230"/>
        <v>177000</v>
      </c>
      <c r="AG317" s="20">
        <f t="shared" si="230"/>
        <v>21000</v>
      </c>
      <c r="AH317" s="20">
        <f t="shared" si="230"/>
        <v>10000</v>
      </c>
      <c r="AI317" s="20">
        <f t="shared" si="230"/>
        <v>10000</v>
      </c>
      <c r="AJ317" s="162" t="b">
        <f t="shared" si="216"/>
        <v>1</v>
      </c>
      <c r="AK317" s="162" t="str">
        <f t="shared" si="217"/>
        <v>PRAZNO</v>
      </c>
      <c r="AL317" s="263"/>
    </row>
    <row r="318" spans="1:39" ht="16.5" customHeight="1" x14ac:dyDescent="0.2">
      <c r="B318" s="175"/>
      <c r="C318" s="175">
        <v>42</v>
      </c>
      <c r="D318" s="175"/>
      <c r="E318" s="175"/>
      <c r="F318" s="175"/>
      <c r="G318" s="175"/>
      <c r="H318" s="15" t="s">
        <v>212</v>
      </c>
      <c r="I318" s="22" t="e">
        <f>I319+#REF!</f>
        <v>#REF!</v>
      </c>
      <c r="J318" s="22" t="e">
        <f>J319+#REF!</f>
        <v>#REF!</v>
      </c>
      <c r="K318" s="22" t="e">
        <f>ROUND(J318/I318*100,2)</f>
        <v>#REF!</v>
      </c>
      <c r="L318" s="22" t="e">
        <f>M318-I318</f>
        <v>#REF!</v>
      </c>
      <c r="M318" s="22" t="e">
        <f>M319+#REF!</f>
        <v>#REF!</v>
      </c>
      <c r="N318" s="22" t="e">
        <f>N319+#REF!</f>
        <v>#REF!</v>
      </c>
      <c r="O318" s="22" t="e">
        <f>O319+#REF!</f>
        <v>#REF!</v>
      </c>
      <c r="P318" s="26" t="e">
        <f t="shared" si="227"/>
        <v>#REF!</v>
      </c>
      <c r="Q318" s="22" t="e">
        <f>Q319+#REF!</f>
        <v>#REF!</v>
      </c>
      <c r="R318" s="22" t="e">
        <f>R319+#REF!</f>
        <v>#REF!</v>
      </c>
      <c r="S318" s="22" t="e">
        <f>S319+#REF!</f>
        <v>#REF!</v>
      </c>
      <c r="T318" s="22">
        <f>T319+T323</f>
        <v>27400</v>
      </c>
      <c r="U318" s="22">
        <f t="shared" ref="U318:AA318" si="231">U319+U323</f>
        <v>201567.04</v>
      </c>
      <c r="V318" s="22">
        <f t="shared" si="231"/>
        <v>20000</v>
      </c>
      <c r="W318" s="22">
        <f t="shared" si="231"/>
        <v>10000</v>
      </c>
      <c r="X318" s="22">
        <f t="shared" si="231"/>
        <v>10000</v>
      </c>
      <c r="Y318" s="22">
        <f t="shared" si="231"/>
        <v>17967.259999999998</v>
      </c>
      <c r="Z318" s="22">
        <f t="shared" si="231"/>
        <v>89.84</v>
      </c>
      <c r="AA318" s="22">
        <f t="shared" si="231"/>
        <v>157000</v>
      </c>
      <c r="AB318" s="22">
        <f>AB319+AB323</f>
        <v>177000</v>
      </c>
      <c r="AC318" s="22">
        <f>AC319+AC323</f>
        <v>36796.79</v>
      </c>
      <c r="AD318" s="22">
        <f t="shared" si="226"/>
        <v>20.789146892655371</v>
      </c>
      <c r="AE318" s="22">
        <f t="shared" si="225"/>
        <v>0</v>
      </c>
      <c r="AF318" s="22">
        <f>AF319+AF323</f>
        <v>177000</v>
      </c>
      <c r="AG318" s="22">
        <f>AG319+AG323</f>
        <v>21000</v>
      </c>
      <c r="AH318" s="22">
        <f>AH319+AH323</f>
        <v>10000</v>
      </c>
      <c r="AI318" s="22">
        <f>AI319+AI323</f>
        <v>10000</v>
      </c>
      <c r="AJ318" s="162" t="b">
        <f t="shared" si="216"/>
        <v>1</v>
      </c>
      <c r="AK318" s="162" t="str">
        <f t="shared" si="217"/>
        <v>PRAZNO</v>
      </c>
      <c r="AM318" s="264"/>
    </row>
    <row r="319" spans="1:39" ht="15.75" x14ac:dyDescent="0.2">
      <c r="B319" s="177"/>
      <c r="C319" s="177"/>
      <c r="D319" s="177">
        <v>422</v>
      </c>
      <c r="E319" s="177"/>
      <c r="F319" s="177"/>
      <c r="G319" s="177"/>
      <c r="H319" s="16" t="s">
        <v>555</v>
      </c>
      <c r="I319" s="17">
        <f>I320</f>
        <v>27800</v>
      </c>
      <c r="J319" s="17">
        <f>J320</f>
        <v>17977.16</v>
      </c>
      <c r="K319" s="17">
        <f>ROUND(J319/I319*100,2)</f>
        <v>64.67</v>
      </c>
      <c r="L319" s="17">
        <f>M319-I319</f>
        <v>-8096.84</v>
      </c>
      <c r="M319" s="17">
        <f>M320</f>
        <v>19703.16</v>
      </c>
      <c r="N319" s="17">
        <f>N320+N321+N322</f>
        <v>25400</v>
      </c>
      <c r="O319" s="17">
        <f>O320+O321+O322</f>
        <v>13787.27</v>
      </c>
      <c r="P319" s="26">
        <f t="shared" si="227"/>
        <v>2000</v>
      </c>
      <c r="Q319" s="17">
        <f>Q320+Q321+Q322</f>
        <v>25400</v>
      </c>
      <c r="R319" s="17">
        <f>R320</f>
        <v>15000</v>
      </c>
      <c r="S319" s="17">
        <f>S320</f>
        <v>15000</v>
      </c>
      <c r="T319" s="26">
        <f t="shared" ref="T319:Y319" si="232">T320+T321+T322</f>
        <v>27400</v>
      </c>
      <c r="U319" s="26">
        <f t="shared" si="232"/>
        <v>21518.04</v>
      </c>
      <c r="V319" s="17">
        <f t="shared" si="232"/>
        <v>20000</v>
      </c>
      <c r="W319" s="17">
        <f t="shared" si="232"/>
        <v>10000</v>
      </c>
      <c r="X319" s="17">
        <f t="shared" si="232"/>
        <v>10000</v>
      </c>
      <c r="Y319" s="17">
        <f t="shared" si="232"/>
        <v>17967.259999999998</v>
      </c>
      <c r="Z319" s="17">
        <f t="shared" si="222"/>
        <v>89.84</v>
      </c>
      <c r="AA319" s="17">
        <f t="shared" si="223"/>
        <v>20000</v>
      </c>
      <c r="AB319" s="17">
        <f>AB320+AB321+AB322</f>
        <v>40000</v>
      </c>
      <c r="AC319" s="17">
        <f>AC320+AC321+AC322</f>
        <v>36796.79</v>
      </c>
      <c r="AD319" s="17">
        <f t="shared" si="226"/>
        <v>91.991974999999996</v>
      </c>
      <c r="AE319" s="17">
        <f t="shared" si="225"/>
        <v>0</v>
      </c>
      <c r="AF319" s="17">
        <f>AF320+AF321+AF322</f>
        <v>40000</v>
      </c>
      <c r="AG319" s="17">
        <f>AG320+AG321+AG322</f>
        <v>21000</v>
      </c>
      <c r="AH319" s="17">
        <f>AH320+AH321+AH322</f>
        <v>10000</v>
      </c>
      <c r="AI319" s="17">
        <f>AI320+AI321+AI322</f>
        <v>10000</v>
      </c>
      <c r="AJ319" s="162" t="b">
        <f t="shared" si="216"/>
        <v>1</v>
      </c>
      <c r="AK319" s="162" t="str">
        <f t="shared" si="217"/>
        <v>PRAZNO</v>
      </c>
      <c r="AM319" s="264"/>
    </row>
    <row r="320" spans="1:39" ht="15.75" x14ac:dyDescent="0.2">
      <c r="B320" s="177"/>
      <c r="C320" s="177"/>
      <c r="D320" s="177"/>
      <c r="E320" s="177">
        <v>4221</v>
      </c>
      <c r="F320" s="176">
        <v>11</v>
      </c>
      <c r="G320" s="176"/>
      <c r="H320" s="16" t="s">
        <v>558</v>
      </c>
      <c r="I320" s="18">
        <v>27800</v>
      </c>
      <c r="J320" s="18">
        <v>17977.16</v>
      </c>
      <c r="K320" s="18">
        <f>ROUND(J320/I320*100,2)</f>
        <v>64.67</v>
      </c>
      <c r="L320" s="18">
        <f>M320-I320</f>
        <v>-8096.84</v>
      </c>
      <c r="M320" s="18">
        <v>19703.16</v>
      </c>
      <c r="N320" s="18">
        <v>15000</v>
      </c>
      <c r="O320" s="18">
        <v>9451.27</v>
      </c>
      <c r="P320" s="26">
        <f t="shared" si="227"/>
        <v>5400</v>
      </c>
      <c r="Q320" s="18">
        <v>15000</v>
      </c>
      <c r="R320" s="18">
        <v>15000</v>
      </c>
      <c r="S320" s="18">
        <v>15000</v>
      </c>
      <c r="T320" s="266">
        <v>20400</v>
      </c>
      <c r="U320" s="266">
        <v>15241.17</v>
      </c>
      <c r="V320" s="178">
        <f>15000+5000</f>
        <v>20000</v>
      </c>
      <c r="W320" s="178">
        <v>10000</v>
      </c>
      <c r="X320" s="178">
        <v>10000</v>
      </c>
      <c r="Y320" s="178">
        <v>17967.259999999998</v>
      </c>
      <c r="Z320" s="178">
        <f>ROUND(Y320/V320*100,2)</f>
        <v>89.84</v>
      </c>
      <c r="AA320" s="178">
        <f t="shared" si="223"/>
        <v>20000</v>
      </c>
      <c r="AB320" s="178">
        <v>40000</v>
      </c>
      <c r="AC320" s="178">
        <v>36796.79</v>
      </c>
      <c r="AD320" s="178">
        <f t="shared" si="226"/>
        <v>91.991974999999996</v>
      </c>
      <c r="AE320" s="178">
        <f t="shared" si="225"/>
        <v>0</v>
      </c>
      <c r="AF320" s="178">
        <v>40000</v>
      </c>
      <c r="AG320" s="178">
        <v>21000</v>
      </c>
      <c r="AH320" s="178">
        <v>10000</v>
      </c>
      <c r="AI320" s="178">
        <v>10000</v>
      </c>
      <c r="AJ320" s="162" t="b">
        <f t="shared" si="216"/>
        <v>0</v>
      </c>
      <c r="AK320" s="162" t="str">
        <f t="shared" si="217"/>
        <v>PUNO</v>
      </c>
      <c r="AM320" s="264"/>
    </row>
    <row r="321" spans="1:39" ht="15.75" x14ac:dyDescent="0.2">
      <c r="B321" s="177"/>
      <c r="C321" s="177"/>
      <c r="D321" s="177"/>
      <c r="E321" s="177">
        <v>4222</v>
      </c>
      <c r="F321" s="176">
        <v>11</v>
      </c>
      <c r="G321" s="176"/>
      <c r="H321" s="16" t="s">
        <v>559</v>
      </c>
      <c r="I321" s="18"/>
      <c r="J321" s="18"/>
      <c r="K321" s="18"/>
      <c r="L321" s="18"/>
      <c r="M321" s="18"/>
      <c r="N321" s="18">
        <v>5000</v>
      </c>
      <c r="O321" s="18">
        <v>4336</v>
      </c>
      <c r="P321" s="26">
        <f t="shared" si="227"/>
        <v>2000</v>
      </c>
      <c r="Q321" s="18">
        <v>5000</v>
      </c>
      <c r="R321" s="18"/>
      <c r="S321" s="18"/>
      <c r="T321" s="27">
        <v>7000</v>
      </c>
      <c r="U321" s="27">
        <v>6276.87</v>
      </c>
      <c r="V321" s="18">
        <v>0</v>
      </c>
      <c r="W321" s="18">
        <v>0</v>
      </c>
      <c r="X321" s="18">
        <v>0</v>
      </c>
      <c r="Y321" s="18">
        <v>0</v>
      </c>
      <c r="Z321" s="178" t="e">
        <f t="shared" si="222"/>
        <v>#DIV/0!</v>
      </c>
      <c r="AA321" s="18">
        <f t="shared" si="223"/>
        <v>0</v>
      </c>
      <c r="AB321" s="18">
        <v>0</v>
      </c>
      <c r="AC321" s="18"/>
      <c r="AD321" s="18"/>
      <c r="AE321" s="18">
        <f t="shared" si="225"/>
        <v>0</v>
      </c>
      <c r="AF321" s="18">
        <v>0</v>
      </c>
      <c r="AG321" s="18"/>
      <c r="AH321" s="18">
        <v>0</v>
      </c>
      <c r="AI321" s="18">
        <v>0</v>
      </c>
      <c r="AJ321" s="162" t="b">
        <f t="shared" si="216"/>
        <v>0</v>
      </c>
      <c r="AK321" s="162" t="str">
        <f t="shared" si="217"/>
        <v>PUNO</v>
      </c>
      <c r="AM321" s="264"/>
    </row>
    <row r="322" spans="1:39" ht="15.75" x14ac:dyDescent="0.2">
      <c r="B322" s="177"/>
      <c r="C322" s="177"/>
      <c r="D322" s="177"/>
      <c r="E322" s="177">
        <v>4225</v>
      </c>
      <c r="F322" s="176">
        <v>11</v>
      </c>
      <c r="G322" s="176"/>
      <c r="H322" s="16" t="s">
        <v>844</v>
      </c>
      <c r="I322" s="18"/>
      <c r="J322" s="18"/>
      <c r="K322" s="18"/>
      <c r="L322" s="18"/>
      <c r="M322" s="18"/>
      <c r="N322" s="18">
        <v>5400</v>
      </c>
      <c r="O322" s="18">
        <v>0</v>
      </c>
      <c r="P322" s="26">
        <f t="shared" si="227"/>
        <v>-5400</v>
      </c>
      <c r="Q322" s="18">
        <v>5400</v>
      </c>
      <c r="R322" s="18"/>
      <c r="S322" s="18"/>
      <c r="T322" s="27">
        <v>0</v>
      </c>
      <c r="U322" s="27">
        <v>0</v>
      </c>
      <c r="V322" s="18">
        <v>0</v>
      </c>
      <c r="W322" s="18">
        <v>0</v>
      </c>
      <c r="X322" s="18">
        <v>0</v>
      </c>
      <c r="Y322" s="18">
        <v>0</v>
      </c>
      <c r="Z322" s="178" t="e">
        <f t="shared" si="222"/>
        <v>#DIV/0!</v>
      </c>
      <c r="AA322" s="18">
        <f t="shared" si="223"/>
        <v>0</v>
      </c>
      <c r="AB322" s="18">
        <v>0</v>
      </c>
      <c r="AC322" s="18"/>
      <c r="AD322" s="18"/>
      <c r="AE322" s="18">
        <f t="shared" si="225"/>
        <v>0</v>
      </c>
      <c r="AF322" s="18">
        <v>0</v>
      </c>
      <c r="AG322" s="18"/>
      <c r="AH322" s="18">
        <v>0</v>
      </c>
      <c r="AI322" s="18">
        <v>0</v>
      </c>
      <c r="AJ322" s="162" t="b">
        <f t="shared" si="216"/>
        <v>0</v>
      </c>
      <c r="AK322" s="162" t="str">
        <f t="shared" si="217"/>
        <v>PUNO</v>
      </c>
      <c r="AM322" s="264"/>
    </row>
    <row r="323" spans="1:39" ht="15.75" x14ac:dyDescent="0.2">
      <c r="B323" s="177"/>
      <c r="C323" s="177"/>
      <c r="D323" s="177">
        <v>423</v>
      </c>
      <c r="E323" s="177"/>
      <c r="F323" s="176"/>
      <c r="G323" s="176"/>
      <c r="H323" s="16" t="s">
        <v>223</v>
      </c>
      <c r="I323" s="18"/>
      <c r="J323" s="18"/>
      <c r="K323" s="18"/>
      <c r="L323" s="18"/>
      <c r="M323" s="18"/>
      <c r="N323" s="18"/>
      <c r="O323" s="18"/>
      <c r="P323" s="26"/>
      <c r="Q323" s="18"/>
      <c r="R323" s="18"/>
      <c r="S323" s="18"/>
      <c r="T323" s="27"/>
      <c r="U323" s="18">
        <f t="shared" ref="U323:AA323" si="233">U324</f>
        <v>180049</v>
      </c>
      <c r="V323" s="18">
        <f t="shared" si="233"/>
        <v>0</v>
      </c>
      <c r="W323" s="18">
        <f t="shared" si="233"/>
        <v>0</v>
      </c>
      <c r="X323" s="18">
        <f t="shared" si="233"/>
        <v>0</v>
      </c>
      <c r="Y323" s="18">
        <f t="shared" si="233"/>
        <v>0</v>
      </c>
      <c r="Z323" s="18">
        <f t="shared" si="233"/>
        <v>0</v>
      </c>
      <c r="AA323" s="18">
        <f t="shared" si="233"/>
        <v>137000</v>
      </c>
      <c r="AB323" s="18">
        <f>AB324</f>
        <v>137000</v>
      </c>
      <c r="AC323" s="18">
        <f>AC324</f>
        <v>0</v>
      </c>
      <c r="AD323" s="18">
        <f t="shared" si="226"/>
        <v>0</v>
      </c>
      <c r="AE323" s="18">
        <f t="shared" si="225"/>
        <v>0</v>
      </c>
      <c r="AF323" s="18">
        <f>AF324</f>
        <v>137000</v>
      </c>
      <c r="AG323" s="18">
        <f>AG324</f>
        <v>0</v>
      </c>
      <c r="AH323" s="18">
        <f>AH324</f>
        <v>0</v>
      </c>
      <c r="AI323" s="18">
        <f>AI324</f>
        <v>0</v>
      </c>
      <c r="AJ323" s="162" t="b">
        <f t="shared" si="216"/>
        <v>1</v>
      </c>
      <c r="AK323" s="162" t="str">
        <f t="shared" si="217"/>
        <v>PRAZNO</v>
      </c>
      <c r="AM323" s="264"/>
    </row>
    <row r="324" spans="1:39" ht="15.75" x14ac:dyDescent="0.2">
      <c r="B324" s="177"/>
      <c r="C324" s="177"/>
      <c r="D324" s="177"/>
      <c r="E324" s="177">
        <v>4231</v>
      </c>
      <c r="F324" s="176">
        <v>11</v>
      </c>
      <c r="G324" s="176"/>
      <c r="H324" s="16" t="s">
        <v>224</v>
      </c>
      <c r="I324" s="18"/>
      <c r="J324" s="18"/>
      <c r="K324" s="18"/>
      <c r="L324" s="18"/>
      <c r="M324" s="18"/>
      <c r="N324" s="18"/>
      <c r="O324" s="18"/>
      <c r="P324" s="26"/>
      <c r="Q324" s="18"/>
      <c r="R324" s="18"/>
      <c r="S324" s="18"/>
      <c r="T324" s="27"/>
      <c r="U324" s="27">
        <v>180049</v>
      </c>
      <c r="V324" s="18">
        <v>0</v>
      </c>
      <c r="W324" s="18"/>
      <c r="X324" s="18"/>
      <c r="Y324" s="18">
        <v>0</v>
      </c>
      <c r="Z324" s="178"/>
      <c r="AA324" s="18">
        <f t="shared" ref="AA324:AA387" si="234">AB324-V324</f>
        <v>137000</v>
      </c>
      <c r="AB324" s="18">
        <v>137000</v>
      </c>
      <c r="AC324" s="18">
        <v>0</v>
      </c>
      <c r="AD324" s="18">
        <f t="shared" si="226"/>
        <v>0</v>
      </c>
      <c r="AE324" s="18">
        <f t="shared" si="225"/>
        <v>0</v>
      </c>
      <c r="AF324" s="18">
        <v>137000</v>
      </c>
      <c r="AG324" s="18"/>
      <c r="AH324" s="18"/>
      <c r="AI324" s="18"/>
      <c r="AJ324" s="162" t="b">
        <f t="shared" si="216"/>
        <v>0</v>
      </c>
      <c r="AK324" s="162" t="str">
        <f t="shared" si="217"/>
        <v>PUNO</v>
      </c>
      <c r="AM324" s="264"/>
    </row>
    <row r="325" spans="1:39" ht="15.75" x14ac:dyDescent="0.2">
      <c r="B325" s="177"/>
      <c r="C325" s="177"/>
      <c r="D325" s="177"/>
      <c r="E325" s="177"/>
      <c r="F325" s="176"/>
      <c r="G325" s="176"/>
      <c r="H325" s="441" t="s">
        <v>826</v>
      </c>
      <c r="I325" s="18"/>
      <c r="J325" s="18"/>
      <c r="K325" s="18"/>
      <c r="L325" s="18"/>
      <c r="M325" s="18"/>
      <c r="N325" s="18"/>
      <c r="O325" s="18"/>
      <c r="P325" s="26"/>
      <c r="Q325" s="18"/>
      <c r="R325" s="18"/>
      <c r="S325" s="18"/>
      <c r="T325" s="27"/>
      <c r="U325" s="18">
        <f t="shared" ref="U325:AI328" si="235">U326</f>
        <v>33851</v>
      </c>
      <c r="V325" s="18">
        <f t="shared" si="235"/>
        <v>0</v>
      </c>
      <c r="W325" s="18">
        <f t="shared" si="235"/>
        <v>0</v>
      </c>
      <c r="X325" s="18">
        <f t="shared" si="235"/>
        <v>0</v>
      </c>
      <c r="Y325" s="18">
        <f t="shared" si="235"/>
        <v>0</v>
      </c>
      <c r="Z325" s="18">
        <f t="shared" si="235"/>
        <v>0</v>
      </c>
      <c r="AA325" s="18">
        <f t="shared" si="235"/>
        <v>13000</v>
      </c>
      <c r="AB325" s="18">
        <f t="shared" si="235"/>
        <v>13000</v>
      </c>
      <c r="AC325" s="18">
        <f t="shared" si="235"/>
        <v>0</v>
      </c>
      <c r="AD325" s="18">
        <f t="shared" si="226"/>
        <v>0</v>
      </c>
      <c r="AE325" s="18">
        <f t="shared" si="225"/>
        <v>0</v>
      </c>
      <c r="AF325" s="18">
        <f t="shared" si="235"/>
        <v>13000</v>
      </c>
      <c r="AG325" s="18">
        <f t="shared" si="235"/>
        <v>0</v>
      </c>
      <c r="AH325" s="18">
        <f t="shared" si="235"/>
        <v>0</v>
      </c>
      <c r="AI325" s="18">
        <f t="shared" si="235"/>
        <v>0</v>
      </c>
      <c r="AJ325" s="162" t="b">
        <f t="shared" si="216"/>
        <v>1</v>
      </c>
      <c r="AK325" s="162" t="str">
        <f t="shared" si="217"/>
        <v>PRAZNO</v>
      </c>
      <c r="AM325" s="264"/>
    </row>
    <row r="326" spans="1:39" s="264" customFormat="1" ht="15.75" x14ac:dyDescent="0.2">
      <c r="A326" s="259"/>
      <c r="B326" s="172">
        <v>4</v>
      </c>
      <c r="C326" s="172"/>
      <c r="D326" s="172"/>
      <c r="E326" s="172"/>
      <c r="F326" s="172"/>
      <c r="G326" s="172"/>
      <c r="H326" s="14" t="s">
        <v>552</v>
      </c>
      <c r="I326" s="20"/>
      <c r="J326" s="20"/>
      <c r="K326" s="20"/>
      <c r="L326" s="20"/>
      <c r="M326" s="20"/>
      <c r="N326" s="20"/>
      <c r="O326" s="20"/>
      <c r="P326" s="55"/>
      <c r="Q326" s="20"/>
      <c r="R326" s="20"/>
      <c r="S326" s="20"/>
      <c r="T326" s="55"/>
      <c r="U326" s="20">
        <f t="shared" si="235"/>
        <v>33851</v>
      </c>
      <c r="V326" s="20">
        <f t="shared" si="235"/>
        <v>0</v>
      </c>
      <c r="W326" s="20">
        <f t="shared" si="235"/>
        <v>0</v>
      </c>
      <c r="X326" s="20">
        <f t="shared" si="235"/>
        <v>0</v>
      </c>
      <c r="Y326" s="20">
        <f t="shared" si="235"/>
        <v>0</v>
      </c>
      <c r="Z326" s="20">
        <f t="shared" si="235"/>
        <v>0</v>
      </c>
      <c r="AA326" s="20">
        <f t="shared" si="235"/>
        <v>13000</v>
      </c>
      <c r="AB326" s="20">
        <f t="shared" si="235"/>
        <v>13000</v>
      </c>
      <c r="AC326" s="20">
        <f t="shared" si="235"/>
        <v>0</v>
      </c>
      <c r="AD326" s="20">
        <f t="shared" si="226"/>
        <v>0</v>
      </c>
      <c r="AE326" s="20">
        <f t="shared" si="225"/>
        <v>0</v>
      </c>
      <c r="AF326" s="20">
        <f t="shared" si="235"/>
        <v>13000</v>
      </c>
      <c r="AG326" s="20">
        <f t="shared" si="235"/>
        <v>0</v>
      </c>
      <c r="AH326" s="20">
        <f t="shared" si="235"/>
        <v>0</v>
      </c>
      <c r="AI326" s="20">
        <f t="shared" si="235"/>
        <v>0</v>
      </c>
      <c r="AJ326" s="162" t="b">
        <f t="shared" si="216"/>
        <v>1</v>
      </c>
      <c r="AK326" s="162" t="str">
        <f t="shared" si="217"/>
        <v>PRAZNO</v>
      </c>
      <c r="AL326" s="263"/>
    </row>
    <row r="327" spans="1:39" ht="15.75" x14ac:dyDescent="0.2">
      <c r="B327" s="177"/>
      <c r="C327" s="177">
        <v>42</v>
      </c>
      <c r="D327" s="177"/>
      <c r="E327" s="177"/>
      <c r="F327" s="176"/>
      <c r="G327" s="176"/>
      <c r="H327" s="15" t="s">
        <v>212</v>
      </c>
      <c r="I327" s="18"/>
      <c r="J327" s="18"/>
      <c r="K327" s="18"/>
      <c r="L327" s="18"/>
      <c r="M327" s="18"/>
      <c r="N327" s="18"/>
      <c r="O327" s="18"/>
      <c r="P327" s="26"/>
      <c r="Q327" s="18"/>
      <c r="R327" s="18"/>
      <c r="S327" s="18"/>
      <c r="T327" s="27"/>
      <c r="U327" s="18">
        <f t="shared" si="235"/>
        <v>33851</v>
      </c>
      <c r="V327" s="18">
        <f t="shared" si="235"/>
        <v>0</v>
      </c>
      <c r="W327" s="18">
        <f t="shared" si="235"/>
        <v>0</v>
      </c>
      <c r="X327" s="18">
        <f t="shared" si="235"/>
        <v>0</v>
      </c>
      <c r="Y327" s="18">
        <f t="shared" si="235"/>
        <v>0</v>
      </c>
      <c r="Z327" s="18">
        <f t="shared" si="235"/>
        <v>0</v>
      </c>
      <c r="AA327" s="18">
        <f t="shared" si="235"/>
        <v>13000</v>
      </c>
      <c r="AB327" s="18">
        <f t="shared" si="235"/>
        <v>13000</v>
      </c>
      <c r="AC327" s="18">
        <f t="shared" si="235"/>
        <v>0</v>
      </c>
      <c r="AD327" s="18">
        <f t="shared" si="226"/>
        <v>0</v>
      </c>
      <c r="AE327" s="18">
        <f t="shared" si="225"/>
        <v>0</v>
      </c>
      <c r="AF327" s="18">
        <f t="shared" si="235"/>
        <v>13000</v>
      </c>
      <c r="AG327" s="18">
        <f t="shared" si="235"/>
        <v>0</v>
      </c>
      <c r="AH327" s="18">
        <f t="shared" si="235"/>
        <v>0</v>
      </c>
      <c r="AI327" s="18">
        <f t="shared" si="235"/>
        <v>0</v>
      </c>
      <c r="AJ327" s="162" t="b">
        <f t="shared" si="216"/>
        <v>1</v>
      </c>
      <c r="AK327" s="162" t="str">
        <f t="shared" si="217"/>
        <v>PRAZNO</v>
      </c>
      <c r="AM327" s="264"/>
    </row>
    <row r="328" spans="1:39" ht="15.75" x14ac:dyDescent="0.2">
      <c r="B328" s="177"/>
      <c r="C328" s="177"/>
      <c r="D328" s="177">
        <v>423</v>
      </c>
      <c r="E328" s="177"/>
      <c r="F328" s="176"/>
      <c r="G328" s="176"/>
      <c r="H328" s="16" t="s">
        <v>223</v>
      </c>
      <c r="I328" s="18"/>
      <c r="J328" s="18"/>
      <c r="K328" s="18"/>
      <c r="L328" s="18"/>
      <c r="M328" s="18"/>
      <c r="N328" s="18"/>
      <c r="O328" s="18"/>
      <c r="P328" s="26"/>
      <c r="Q328" s="18"/>
      <c r="R328" s="18"/>
      <c r="S328" s="18"/>
      <c r="T328" s="27"/>
      <c r="U328" s="18">
        <f t="shared" si="235"/>
        <v>33851</v>
      </c>
      <c r="V328" s="18">
        <f t="shared" si="235"/>
        <v>0</v>
      </c>
      <c r="W328" s="18">
        <f t="shared" si="235"/>
        <v>0</v>
      </c>
      <c r="X328" s="18">
        <f t="shared" si="235"/>
        <v>0</v>
      </c>
      <c r="Y328" s="18">
        <f t="shared" si="235"/>
        <v>0</v>
      </c>
      <c r="Z328" s="18">
        <f t="shared" si="235"/>
        <v>0</v>
      </c>
      <c r="AA328" s="18">
        <f t="shared" si="235"/>
        <v>13000</v>
      </c>
      <c r="AB328" s="18">
        <f t="shared" si="235"/>
        <v>13000</v>
      </c>
      <c r="AC328" s="18">
        <f t="shared" si="235"/>
        <v>0</v>
      </c>
      <c r="AD328" s="18">
        <f t="shared" si="226"/>
        <v>0</v>
      </c>
      <c r="AE328" s="18">
        <f t="shared" si="225"/>
        <v>0</v>
      </c>
      <c r="AF328" s="18">
        <f t="shared" si="235"/>
        <v>13000</v>
      </c>
      <c r="AG328" s="18">
        <f t="shared" si="235"/>
        <v>0</v>
      </c>
      <c r="AH328" s="18">
        <f t="shared" si="235"/>
        <v>0</v>
      </c>
      <c r="AI328" s="18">
        <f t="shared" si="235"/>
        <v>0</v>
      </c>
      <c r="AJ328" s="162" t="b">
        <f t="shared" si="216"/>
        <v>1</v>
      </c>
      <c r="AK328" s="162" t="str">
        <f t="shared" si="217"/>
        <v>PRAZNO</v>
      </c>
      <c r="AM328" s="264"/>
    </row>
    <row r="329" spans="1:39" ht="15.75" x14ac:dyDescent="0.2">
      <c r="B329" s="177"/>
      <c r="C329" s="177"/>
      <c r="D329" s="177"/>
      <c r="E329" s="177">
        <v>4231</v>
      </c>
      <c r="F329" s="176">
        <v>72</v>
      </c>
      <c r="G329" s="176"/>
      <c r="H329" s="16" t="s">
        <v>224</v>
      </c>
      <c r="I329" s="18"/>
      <c r="J329" s="18"/>
      <c r="K329" s="18"/>
      <c r="L329" s="18"/>
      <c r="M329" s="18"/>
      <c r="N329" s="18"/>
      <c r="O329" s="18"/>
      <c r="P329" s="26"/>
      <c r="Q329" s="18"/>
      <c r="R329" s="18"/>
      <c r="S329" s="18"/>
      <c r="T329" s="27"/>
      <c r="U329" s="27">
        <v>33851</v>
      </c>
      <c r="V329" s="18">
        <v>0</v>
      </c>
      <c r="W329" s="18"/>
      <c r="X329" s="18"/>
      <c r="Y329" s="18">
        <v>0</v>
      </c>
      <c r="Z329" s="178"/>
      <c r="AA329" s="18">
        <f t="shared" si="234"/>
        <v>13000</v>
      </c>
      <c r="AB329" s="18">
        <v>13000</v>
      </c>
      <c r="AC329" s="18">
        <v>0</v>
      </c>
      <c r="AD329" s="18">
        <f t="shared" si="226"/>
        <v>0</v>
      </c>
      <c r="AE329" s="18">
        <f t="shared" si="225"/>
        <v>0</v>
      </c>
      <c r="AF329" s="18">
        <v>13000</v>
      </c>
      <c r="AG329" s="18"/>
      <c r="AH329" s="18"/>
      <c r="AI329" s="18"/>
      <c r="AJ329" s="162" t="b">
        <f t="shared" ref="AJ329:AJ392" si="236">ISBLANK(E329)</f>
        <v>0</v>
      </c>
      <c r="AK329" s="162" t="str">
        <f t="shared" ref="AK329:AK392" si="237">IF(AJ329,"PRAZNO","PUNO")</f>
        <v>PUNO</v>
      </c>
      <c r="AM329" s="264"/>
    </row>
    <row r="330" spans="1:39" s="447" customFormat="1" ht="21" customHeight="1" x14ac:dyDescent="0.25">
      <c r="A330" s="378"/>
      <c r="B330" s="168"/>
      <c r="C330" s="168"/>
      <c r="D330" s="168"/>
      <c r="E330" s="168"/>
      <c r="F330" s="322"/>
      <c r="G330" s="322"/>
      <c r="H330" s="13" t="s">
        <v>702</v>
      </c>
      <c r="I330" s="308"/>
      <c r="J330" s="308"/>
      <c r="K330" s="308"/>
      <c r="L330" s="308"/>
      <c r="M330" s="308"/>
      <c r="N330" s="308"/>
      <c r="O330" s="308"/>
      <c r="P330" s="53"/>
      <c r="Q330" s="308"/>
      <c r="R330" s="308"/>
      <c r="S330" s="308"/>
      <c r="T330" s="323"/>
      <c r="U330" s="323"/>
      <c r="V330" s="323">
        <f>V332+V338</f>
        <v>92599</v>
      </c>
      <c r="W330" s="323">
        <f>W332+W338</f>
        <v>145422</v>
      </c>
      <c r="X330" s="323">
        <f>X332+X338</f>
        <v>0</v>
      </c>
      <c r="Y330" s="323">
        <f>Y332+Y338</f>
        <v>0</v>
      </c>
      <c r="Z330" s="323">
        <f t="shared" si="222"/>
        <v>0</v>
      </c>
      <c r="AA330" s="323">
        <f t="shared" si="234"/>
        <v>31286</v>
      </c>
      <c r="AB330" s="323">
        <f>AB332+AB338</f>
        <v>123885</v>
      </c>
      <c r="AC330" s="323">
        <f>AC332+AC338</f>
        <v>0</v>
      </c>
      <c r="AD330" s="323">
        <f t="shared" si="226"/>
        <v>0</v>
      </c>
      <c r="AE330" s="323">
        <f t="shared" si="225"/>
        <v>0</v>
      </c>
      <c r="AF330" s="323">
        <f>AF332+AF338</f>
        <v>123885</v>
      </c>
      <c r="AG330" s="323">
        <f>AG332+AG338</f>
        <v>115013</v>
      </c>
      <c r="AH330" s="323">
        <f>AH332+AH338</f>
        <v>0</v>
      </c>
      <c r="AI330" s="323">
        <f>AI332+AI338</f>
        <v>0</v>
      </c>
      <c r="AJ330" s="162" t="b">
        <f t="shared" si="236"/>
        <v>1</v>
      </c>
      <c r="AK330" s="162" t="str">
        <f t="shared" si="237"/>
        <v>PRAZNO</v>
      </c>
      <c r="AL330" s="446"/>
    </row>
    <row r="331" spans="1:39" s="447" customFormat="1" ht="15.75" x14ac:dyDescent="0.25">
      <c r="A331" s="378"/>
      <c r="B331" s="260"/>
      <c r="C331" s="260"/>
      <c r="D331" s="260"/>
      <c r="E331" s="260"/>
      <c r="F331" s="442"/>
      <c r="G331" s="442"/>
      <c r="H331" s="440" t="s">
        <v>824</v>
      </c>
      <c r="I331" s="443"/>
      <c r="J331" s="443"/>
      <c r="K331" s="443"/>
      <c r="L331" s="443"/>
      <c r="M331" s="443"/>
      <c r="N331" s="443"/>
      <c r="O331" s="443"/>
      <c r="P331" s="342"/>
      <c r="Q331" s="443"/>
      <c r="R331" s="443"/>
      <c r="S331" s="443"/>
      <c r="T331" s="444"/>
      <c r="U331" s="444"/>
      <c r="V331" s="444">
        <f>V332</f>
        <v>13890</v>
      </c>
      <c r="W331" s="444">
        <f>W332</f>
        <v>21813</v>
      </c>
      <c r="X331" s="444">
        <f>X332</f>
        <v>0</v>
      </c>
      <c r="Y331" s="444">
        <f>Y332</f>
        <v>0</v>
      </c>
      <c r="Z331" s="444">
        <f t="shared" si="222"/>
        <v>0</v>
      </c>
      <c r="AA331" s="444">
        <f t="shared" si="234"/>
        <v>4695</v>
      </c>
      <c r="AB331" s="444">
        <f>AB332</f>
        <v>18585</v>
      </c>
      <c r="AC331" s="444">
        <f>AC332</f>
        <v>0</v>
      </c>
      <c r="AD331" s="444">
        <f t="shared" si="226"/>
        <v>0</v>
      </c>
      <c r="AE331" s="444">
        <f t="shared" si="225"/>
        <v>0</v>
      </c>
      <c r="AF331" s="444">
        <f>AF332</f>
        <v>18585</v>
      </c>
      <c r="AG331" s="444">
        <f>AG332</f>
        <v>17252</v>
      </c>
      <c r="AH331" s="444">
        <f>AH332</f>
        <v>0</v>
      </c>
      <c r="AI331" s="444">
        <f>AI332</f>
        <v>0</v>
      </c>
      <c r="AJ331" s="162" t="b">
        <f t="shared" si="236"/>
        <v>1</v>
      </c>
      <c r="AK331" s="162" t="str">
        <f t="shared" si="237"/>
        <v>PRAZNO</v>
      </c>
      <c r="AL331" s="446"/>
    </row>
    <row r="332" spans="1:39" s="264" customFormat="1" ht="15.75" x14ac:dyDescent="0.2">
      <c r="A332" s="259"/>
      <c r="B332" s="172">
        <v>4</v>
      </c>
      <c r="C332" s="172"/>
      <c r="D332" s="172"/>
      <c r="E332" s="172"/>
      <c r="F332" s="220"/>
      <c r="G332" s="220"/>
      <c r="H332" s="14" t="s">
        <v>552</v>
      </c>
      <c r="I332" s="184"/>
      <c r="J332" s="184"/>
      <c r="K332" s="184"/>
      <c r="L332" s="184"/>
      <c r="M332" s="184"/>
      <c r="N332" s="184"/>
      <c r="O332" s="184"/>
      <c r="P332" s="55"/>
      <c r="Q332" s="184"/>
      <c r="R332" s="184"/>
      <c r="S332" s="184"/>
      <c r="T332" s="185"/>
      <c r="U332" s="185"/>
      <c r="V332" s="185">
        <f t="shared" ref="V332:AI333" si="238">V333</f>
        <v>13890</v>
      </c>
      <c r="W332" s="185">
        <f t="shared" si="238"/>
        <v>21813</v>
      </c>
      <c r="X332" s="185">
        <f t="shared" si="238"/>
        <v>0</v>
      </c>
      <c r="Y332" s="185">
        <f t="shared" si="238"/>
        <v>0</v>
      </c>
      <c r="Z332" s="185">
        <f t="shared" si="222"/>
        <v>0</v>
      </c>
      <c r="AA332" s="185">
        <f t="shared" si="234"/>
        <v>4695</v>
      </c>
      <c r="AB332" s="185">
        <f t="shared" si="238"/>
        <v>18585</v>
      </c>
      <c r="AC332" s="185">
        <f t="shared" si="238"/>
        <v>0</v>
      </c>
      <c r="AD332" s="185">
        <f t="shared" si="226"/>
        <v>0</v>
      </c>
      <c r="AE332" s="185">
        <f t="shared" si="225"/>
        <v>0</v>
      </c>
      <c r="AF332" s="185">
        <f t="shared" si="238"/>
        <v>18585</v>
      </c>
      <c r="AG332" s="185">
        <f t="shared" si="238"/>
        <v>17252</v>
      </c>
      <c r="AH332" s="185">
        <f t="shared" si="238"/>
        <v>0</v>
      </c>
      <c r="AI332" s="185">
        <f t="shared" si="238"/>
        <v>0</v>
      </c>
      <c r="AJ332" s="162" t="b">
        <f t="shared" si="236"/>
        <v>1</v>
      </c>
      <c r="AK332" s="162" t="str">
        <f t="shared" si="237"/>
        <v>PRAZNO</v>
      </c>
      <c r="AL332" s="263"/>
    </row>
    <row r="333" spans="1:39" ht="15.75" x14ac:dyDescent="0.2">
      <c r="B333" s="177"/>
      <c r="C333" s="177">
        <v>42</v>
      </c>
      <c r="D333" s="177"/>
      <c r="E333" s="177"/>
      <c r="F333" s="176"/>
      <c r="G333" s="176"/>
      <c r="H333" s="16" t="s">
        <v>212</v>
      </c>
      <c r="I333" s="18"/>
      <c r="J333" s="18"/>
      <c r="K333" s="18"/>
      <c r="L333" s="18"/>
      <c r="M333" s="18"/>
      <c r="N333" s="18"/>
      <c r="O333" s="18"/>
      <c r="P333" s="26"/>
      <c r="Q333" s="18"/>
      <c r="R333" s="18"/>
      <c r="S333" s="18"/>
      <c r="T333" s="27"/>
      <c r="U333" s="27"/>
      <c r="V333" s="27">
        <f t="shared" si="238"/>
        <v>13890</v>
      </c>
      <c r="W333" s="27">
        <f t="shared" si="238"/>
        <v>21813</v>
      </c>
      <c r="X333" s="27">
        <f t="shared" si="238"/>
        <v>0</v>
      </c>
      <c r="Y333" s="27">
        <f t="shared" si="238"/>
        <v>0</v>
      </c>
      <c r="Z333" s="27">
        <f t="shared" si="222"/>
        <v>0</v>
      </c>
      <c r="AA333" s="27">
        <f t="shared" si="234"/>
        <v>4695</v>
      </c>
      <c r="AB333" s="27">
        <f t="shared" si="238"/>
        <v>18585</v>
      </c>
      <c r="AC333" s="27">
        <f t="shared" si="238"/>
        <v>0</v>
      </c>
      <c r="AD333" s="27">
        <f t="shared" si="226"/>
        <v>0</v>
      </c>
      <c r="AE333" s="27">
        <f t="shared" si="225"/>
        <v>0</v>
      </c>
      <c r="AF333" s="27">
        <f t="shared" si="238"/>
        <v>18585</v>
      </c>
      <c r="AG333" s="27">
        <f t="shared" si="238"/>
        <v>17252</v>
      </c>
      <c r="AH333" s="27">
        <f t="shared" si="238"/>
        <v>0</v>
      </c>
      <c r="AI333" s="27">
        <f t="shared" si="238"/>
        <v>0</v>
      </c>
      <c r="AJ333" s="162" t="b">
        <f t="shared" si="236"/>
        <v>1</v>
      </c>
      <c r="AK333" s="162" t="str">
        <f t="shared" si="237"/>
        <v>PRAZNO</v>
      </c>
      <c r="AM333" s="264"/>
    </row>
    <row r="334" spans="1:39" ht="15.75" x14ac:dyDescent="0.2">
      <c r="B334" s="177"/>
      <c r="C334" s="177"/>
      <c r="D334" s="177">
        <v>422</v>
      </c>
      <c r="E334" s="177"/>
      <c r="F334" s="176"/>
      <c r="G334" s="176"/>
      <c r="H334" s="16" t="s">
        <v>555</v>
      </c>
      <c r="I334" s="18"/>
      <c r="J334" s="18"/>
      <c r="K334" s="18"/>
      <c r="L334" s="18"/>
      <c r="M334" s="18"/>
      <c r="N334" s="18"/>
      <c r="O334" s="18"/>
      <c r="P334" s="26"/>
      <c r="Q334" s="18"/>
      <c r="R334" s="18"/>
      <c r="S334" s="18"/>
      <c r="T334" s="27"/>
      <c r="U334" s="27"/>
      <c r="V334" s="27">
        <f>SUM(V335:V336)</f>
        <v>13890</v>
      </c>
      <c r="W334" s="27">
        <f>SUM(W335:W336)</f>
        <v>21813</v>
      </c>
      <c r="X334" s="27">
        <f>SUM(X336:X336)</f>
        <v>0</v>
      </c>
      <c r="Y334" s="27">
        <f>SUM(Y335:Y336)</f>
        <v>0</v>
      </c>
      <c r="Z334" s="27">
        <f t="shared" si="222"/>
        <v>0</v>
      </c>
      <c r="AA334" s="27">
        <f t="shared" si="234"/>
        <v>4695</v>
      </c>
      <c r="AB334" s="27">
        <f>SUM(AB335:AB336)</f>
        <v>18585</v>
      </c>
      <c r="AC334" s="27">
        <f>SUM(AC335:AC336)</f>
        <v>0</v>
      </c>
      <c r="AD334" s="27">
        <f t="shared" si="226"/>
        <v>0</v>
      </c>
      <c r="AE334" s="27">
        <f t="shared" si="225"/>
        <v>0</v>
      </c>
      <c r="AF334" s="27">
        <f>SUM(AF335:AF336)</f>
        <v>18585</v>
      </c>
      <c r="AG334" s="27">
        <f>SUM(AG335:AG336)</f>
        <v>17252</v>
      </c>
      <c r="AH334" s="27">
        <f>SUM(AH335:AH336)</f>
        <v>0</v>
      </c>
      <c r="AI334" s="27">
        <f>SUM(AI335:AI336)</f>
        <v>0</v>
      </c>
      <c r="AJ334" s="162" t="b">
        <f t="shared" si="236"/>
        <v>1</v>
      </c>
      <c r="AK334" s="162" t="str">
        <f t="shared" si="237"/>
        <v>PRAZNO</v>
      </c>
      <c r="AM334" s="264"/>
    </row>
    <row r="335" spans="1:39" ht="15.75" x14ac:dyDescent="0.2">
      <c r="B335" s="177"/>
      <c r="C335" s="177"/>
      <c r="D335" s="177"/>
      <c r="E335" s="177">
        <v>4221</v>
      </c>
      <c r="F335" s="176">
        <v>11</v>
      </c>
      <c r="G335" s="176"/>
      <c r="H335" s="16" t="s">
        <v>558</v>
      </c>
      <c r="I335" s="18"/>
      <c r="J335" s="18"/>
      <c r="K335" s="18"/>
      <c r="L335" s="18"/>
      <c r="M335" s="18"/>
      <c r="N335" s="18"/>
      <c r="O335" s="18"/>
      <c r="P335" s="26"/>
      <c r="Q335" s="18"/>
      <c r="R335" s="18"/>
      <c r="S335" s="18"/>
      <c r="T335" s="27"/>
      <c r="U335" s="27"/>
      <c r="V335" s="27">
        <v>3623</v>
      </c>
      <c r="W335" s="27">
        <v>0</v>
      </c>
      <c r="X335" s="27">
        <v>0</v>
      </c>
      <c r="Y335" s="27">
        <v>0</v>
      </c>
      <c r="Z335" s="27">
        <f t="shared" si="222"/>
        <v>0</v>
      </c>
      <c r="AA335" s="27">
        <f t="shared" si="234"/>
        <v>2</v>
      </c>
      <c r="AB335" s="27">
        <v>3625</v>
      </c>
      <c r="AC335" s="27">
        <v>0</v>
      </c>
      <c r="AD335" s="27">
        <f t="shared" si="226"/>
        <v>0</v>
      </c>
      <c r="AE335" s="27">
        <f t="shared" si="225"/>
        <v>0</v>
      </c>
      <c r="AF335" s="27">
        <v>3625</v>
      </c>
      <c r="AG335" s="27">
        <v>0</v>
      </c>
      <c r="AH335" s="27">
        <v>0</v>
      </c>
      <c r="AI335" s="27">
        <v>0</v>
      </c>
      <c r="AJ335" s="162" t="b">
        <f t="shared" si="236"/>
        <v>0</v>
      </c>
      <c r="AK335" s="162" t="str">
        <f t="shared" si="237"/>
        <v>PUNO</v>
      </c>
      <c r="AM335" s="264"/>
    </row>
    <row r="336" spans="1:39" ht="15.75" x14ac:dyDescent="0.2">
      <c r="B336" s="177"/>
      <c r="C336" s="177"/>
      <c r="D336" s="177"/>
      <c r="E336" s="177">
        <v>4223</v>
      </c>
      <c r="F336" s="176">
        <v>11</v>
      </c>
      <c r="G336" s="176"/>
      <c r="H336" s="16" t="s">
        <v>628</v>
      </c>
      <c r="I336" s="18"/>
      <c r="J336" s="18"/>
      <c r="K336" s="18"/>
      <c r="L336" s="18"/>
      <c r="M336" s="18"/>
      <c r="N336" s="18"/>
      <c r="O336" s="18"/>
      <c r="P336" s="26"/>
      <c r="Q336" s="18"/>
      <c r="R336" s="18"/>
      <c r="S336" s="18"/>
      <c r="T336" s="27"/>
      <c r="U336" s="27"/>
      <c r="V336" s="27">
        <v>10267</v>
      </c>
      <c r="W336" s="27">
        <v>21813</v>
      </c>
      <c r="X336" s="27">
        <v>0</v>
      </c>
      <c r="Y336" s="27">
        <v>0</v>
      </c>
      <c r="Z336" s="27">
        <f t="shared" si="222"/>
        <v>0</v>
      </c>
      <c r="AA336" s="27">
        <f t="shared" si="234"/>
        <v>4693</v>
      </c>
      <c r="AB336" s="27">
        <v>14960</v>
      </c>
      <c r="AC336" s="27">
        <v>0</v>
      </c>
      <c r="AD336" s="27">
        <f t="shared" si="226"/>
        <v>0</v>
      </c>
      <c r="AE336" s="27">
        <f t="shared" si="225"/>
        <v>0</v>
      </c>
      <c r="AF336" s="27">
        <v>14960</v>
      </c>
      <c r="AG336" s="27">
        <v>17252</v>
      </c>
      <c r="AH336" s="27">
        <v>0</v>
      </c>
      <c r="AI336" s="27">
        <v>0</v>
      </c>
      <c r="AJ336" s="162" t="b">
        <f t="shared" si="236"/>
        <v>0</v>
      </c>
      <c r="AK336" s="162" t="str">
        <f t="shared" si="237"/>
        <v>PUNO</v>
      </c>
      <c r="AM336" s="264"/>
    </row>
    <row r="337" spans="1:39" s="453" customFormat="1" ht="15.75" x14ac:dyDescent="0.25">
      <c r="A337" s="378"/>
      <c r="B337" s="260"/>
      <c r="C337" s="260"/>
      <c r="D337" s="260"/>
      <c r="E337" s="260"/>
      <c r="F337" s="448"/>
      <c r="G337" s="448"/>
      <c r="H337" s="440" t="s">
        <v>825</v>
      </c>
      <c r="I337" s="449"/>
      <c r="J337" s="449"/>
      <c r="K337" s="449"/>
      <c r="L337" s="449"/>
      <c r="M337" s="449"/>
      <c r="N337" s="449"/>
      <c r="O337" s="449"/>
      <c r="P337" s="202"/>
      <c r="Q337" s="449"/>
      <c r="R337" s="449"/>
      <c r="S337" s="449"/>
      <c r="T337" s="450"/>
      <c r="U337" s="450"/>
      <c r="V337" s="450">
        <f t="shared" ref="V337:AI339" si="239">V338</f>
        <v>78709</v>
      </c>
      <c r="W337" s="450">
        <f t="shared" si="239"/>
        <v>123609</v>
      </c>
      <c r="X337" s="450">
        <f t="shared" si="239"/>
        <v>0</v>
      </c>
      <c r="Y337" s="450">
        <f t="shared" si="239"/>
        <v>0</v>
      </c>
      <c r="Z337" s="450">
        <f t="shared" si="222"/>
        <v>0</v>
      </c>
      <c r="AA337" s="450">
        <f t="shared" si="234"/>
        <v>26591</v>
      </c>
      <c r="AB337" s="450">
        <f t="shared" si="239"/>
        <v>105300</v>
      </c>
      <c r="AC337" s="450">
        <f t="shared" si="239"/>
        <v>0</v>
      </c>
      <c r="AD337" s="450">
        <f t="shared" si="226"/>
        <v>0</v>
      </c>
      <c r="AE337" s="450">
        <f t="shared" si="225"/>
        <v>0</v>
      </c>
      <c r="AF337" s="450">
        <f t="shared" si="239"/>
        <v>105300</v>
      </c>
      <c r="AG337" s="450">
        <f t="shared" si="239"/>
        <v>97761</v>
      </c>
      <c r="AH337" s="450">
        <f t="shared" si="239"/>
        <v>0</v>
      </c>
      <c r="AI337" s="450">
        <f t="shared" si="239"/>
        <v>0</v>
      </c>
      <c r="AJ337" s="162" t="b">
        <f t="shared" si="236"/>
        <v>1</v>
      </c>
      <c r="AK337" s="162" t="str">
        <f t="shared" si="237"/>
        <v>PRAZNO</v>
      </c>
      <c r="AL337" s="452"/>
      <c r="AM337" s="447"/>
    </row>
    <row r="338" spans="1:39" s="264" customFormat="1" ht="15.75" x14ac:dyDescent="0.2">
      <c r="A338" s="259"/>
      <c r="B338" s="172">
        <v>4</v>
      </c>
      <c r="C338" s="172"/>
      <c r="D338" s="172"/>
      <c r="E338" s="172"/>
      <c r="F338" s="220"/>
      <c r="G338" s="220"/>
      <c r="H338" s="14" t="s">
        <v>552</v>
      </c>
      <c r="I338" s="184"/>
      <c r="J338" s="184"/>
      <c r="K338" s="184"/>
      <c r="L338" s="184"/>
      <c r="M338" s="184"/>
      <c r="N338" s="184"/>
      <c r="O338" s="184"/>
      <c r="P338" s="55"/>
      <c r="Q338" s="184"/>
      <c r="R338" s="184"/>
      <c r="S338" s="184"/>
      <c r="T338" s="185"/>
      <c r="U338" s="185"/>
      <c r="V338" s="185">
        <f t="shared" si="239"/>
        <v>78709</v>
      </c>
      <c r="W338" s="185">
        <f t="shared" si="239"/>
        <v>123609</v>
      </c>
      <c r="X338" s="185">
        <f t="shared" si="239"/>
        <v>0</v>
      </c>
      <c r="Y338" s="185">
        <f t="shared" si="239"/>
        <v>0</v>
      </c>
      <c r="Z338" s="185">
        <f t="shared" si="222"/>
        <v>0</v>
      </c>
      <c r="AA338" s="185">
        <f t="shared" si="234"/>
        <v>26591</v>
      </c>
      <c r="AB338" s="185">
        <f t="shared" si="239"/>
        <v>105300</v>
      </c>
      <c r="AC338" s="185">
        <f t="shared" si="239"/>
        <v>0</v>
      </c>
      <c r="AD338" s="185">
        <f t="shared" si="226"/>
        <v>0</v>
      </c>
      <c r="AE338" s="185">
        <f t="shared" si="225"/>
        <v>0</v>
      </c>
      <c r="AF338" s="185">
        <f t="shared" si="239"/>
        <v>105300</v>
      </c>
      <c r="AG338" s="185">
        <f t="shared" si="239"/>
        <v>97761</v>
      </c>
      <c r="AH338" s="185">
        <f t="shared" si="239"/>
        <v>0</v>
      </c>
      <c r="AI338" s="185">
        <f t="shared" si="239"/>
        <v>0</v>
      </c>
      <c r="AJ338" s="162" t="b">
        <f t="shared" si="236"/>
        <v>1</v>
      </c>
      <c r="AK338" s="162" t="str">
        <f t="shared" si="237"/>
        <v>PRAZNO</v>
      </c>
      <c r="AL338" s="263"/>
    </row>
    <row r="339" spans="1:39" ht="15.75" x14ac:dyDescent="0.2">
      <c r="B339" s="177"/>
      <c r="C339" s="177">
        <v>42</v>
      </c>
      <c r="D339" s="177"/>
      <c r="E339" s="177"/>
      <c r="F339" s="176"/>
      <c r="G339" s="176"/>
      <c r="H339" s="16" t="s">
        <v>212</v>
      </c>
      <c r="I339" s="18"/>
      <c r="J339" s="18"/>
      <c r="K339" s="18"/>
      <c r="L339" s="18"/>
      <c r="M339" s="18"/>
      <c r="N339" s="18"/>
      <c r="O339" s="18"/>
      <c r="P339" s="26"/>
      <c r="Q339" s="18"/>
      <c r="R339" s="18"/>
      <c r="S339" s="18"/>
      <c r="T339" s="27"/>
      <c r="U339" s="27"/>
      <c r="V339" s="27">
        <f t="shared" si="239"/>
        <v>78709</v>
      </c>
      <c r="W339" s="27">
        <f t="shared" si="239"/>
        <v>123609</v>
      </c>
      <c r="X339" s="27">
        <f t="shared" si="239"/>
        <v>0</v>
      </c>
      <c r="Y339" s="27">
        <f t="shared" si="239"/>
        <v>0</v>
      </c>
      <c r="Z339" s="27">
        <f t="shared" si="222"/>
        <v>0</v>
      </c>
      <c r="AA339" s="27">
        <f t="shared" si="234"/>
        <v>26591</v>
      </c>
      <c r="AB339" s="27">
        <f t="shared" si="239"/>
        <v>105300</v>
      </c>
      <c r="AC339" s="27">
        <f t="shared" si="239"/>
        <v>0</v>
      </c>
      <c r="AD339" s="27">
        <f t="shared" si="226"/>
        <v>0</v>
      </c>
      <c r="AE339" s="27">
        <f t="shared" si="225"/>
        <v>0</v>
      </c>
      <c r="AF339" s="27">
        <f t="shared" si="239"/>
        <v>105300</v>
      </c>
      <c r="AG339" s="27">
        <f t="shared" si="239"/>
        <v>97761</v>
      </c>
      <c r="AH339" s="27">
        <f t="shared" si="239"/>
        <v>0</v>
      </c>
      <c r="AI339" s="27">
        <f t="shared" si="239"/>
        <v>0</v>
      </c>
      <c r="AJ339" s="162" t="b">
        <f t="shared" si="236"/>
        <v>1</v>
      </c>
      <c r="AK339" s="162" t="str">
        <f t="shared" si="237"/>
        <v>PRAZNO</v>
      </c>
      <c r="AM339" s="264"/>
    </row>
    <row r="340" spans="1:39" ht="15.75" x14ac:dyDescent="0.2">
      <c r="B340" s="177"/>
      <c r="C340" s="177"/>
      <c r="D340" s="177">
        <v>422</v>
      </c>
      <c r="E340" s="177"/>
      <c r="F340" s="176"/>
      <c r="G340" s="176"/>
      <c r="H340" s="16" t="s">
        <v>555</v>
      </c>
      <c r="I340" s="18"/>
      <c r="J340" s="18"/>
      <c r="K340" s="18"/>
      <c r="L340" s="18"/>
      <c r="M340" s="18"/>
      <c r="N340" s="18"/>
      <c r="O340" s="18"/>
      <c r="P340" s="26"/>
      <c r="Q340" s="18"/>
      <c r="R340" s="18"/>
      <c r="S340" s="18"/>
      <c r="T340" s="27"/>
      <c r="U340" s="27"/>
      <c r="V340" s="27">
        <f>SUM(V341:V342)</f>
        <v>78709</v>
      </c>
      <c r="W340" s="27">
        <f>SUM(W341:W342)</f>
        <v>123609</v>
      </c>
      <c r="X340" s="27">
        <f>SUM(X341:X342)</f>
        <v>0</v>
      </c>
      <c r="Y340" s="27">
        <f>SUM(Y341:Y342)</f>
        <v>0</v>
      </c>
      <c r="Z340" s="27">
        <f t="shared" si="222"/>
        <v>0</v>
      </c>
      <c r="AA340" s="27">
        <f t="shared" si="234"/>
        <v>26591</v>
      </c>
      <c r="AB340" s="27">
        <f>SUM(AB341:AB342)</f>
        <v>105300</v>
      </c>
      <c r="AC340" s="27">
        <f>SUM(AC341:AC342)</f>
        <v>0</v>
      </c>
      <c r="AD340" s="27">
        <f t="shared" si="226"/>
        <v>0</v>
      </c>
      <c r="AE340" s="27">
        <f t="shared" si="225"/>
        <v>0</v>
      </c>
      <c r="AF340" s="27">
        <f>SUM(AF341:AF342)</f>
        <v>105300</v>
      </c>
      <c r="AG340" s="27">
        <f>SUM(AG341:AG342)</f>
        <v>97761</v>
      </c>
      <c r="AH340" s="27">
        <f>SUM(AH341:AH342)</f>
        <v>0</v>
      </c>
      <c r="AI340" s="27">
        <f>SUM(AI341:AI342)</f>
        <v>0</v>
      </c>
      <c r="AJ340" s="162" t="b">
        <f t="shared" si="236"/>
        <v>1</v>
      </c>
      <c r="AK340" s="162" t="str">
        <f t="shared" si="237"/>
        <v>PRAZNO</v>
      </c>
      <c r="AM340" s="264"/>
    </row>
    <row r="341" spans="1:39" ht="15.75" x14ac:dyDescent="0.2">
      <c r="B341" s="177"/>
      <c r="C341" s="177"/>
      <c r="D341" s="177"/>
      <c r="E341" s="177">
        <v>4221</v>
      </c>
      <c r="F341" s="176">
        <v>51</v>
      </c>
      <c r="G341" s="176"/>
      <c r="H341" s="16" t="s">
        <v>558</v>
      </c>
      <c r="I341" s="18"/>
      <c r="J341" s="18"/>
      <c r="K341" s="18"/>
      <c r="L341" s="18"/>
      <c r="M341" s="18"/>
      <c r="N341" s="18"/>
      <c r="O341" s="18"/>
      <c r="P341" s="26"/>
      <c r="Q341" s="18"/>
      <c r="R341" s="18"/>
      <c r="S341" s="18"/>
      <c r="T341" s="27"/>
      <c r="U341" s="27"/>
      <c r="V341" s="27">
        <v>20531</v>
      </c>
      <c r="W341" s="27">
        <v>0</v>
      </c>
      <c r="X341" s="27">
        <v>0</v>
      </c>
      <c r="Y341" s="27">
        <v>0</v>
      </c>
      <c r="Z341" s="27">
        <f t="shared" si="222"/>
        <v>0</v>
      </c>
      <c r="AA341" s="27">
        <f t="shared" si="234"/>
        <v>9</v>
      </c>
      <c r="AB341" s="27">
        <v>20540</v>
      </c>
      <c r="AC341" s="27">
        <v>0</v>
      </c>
      <c r="AD341" s="27">
        <f t="shared" si="226"/>
        <v>0</v>
      </c>
      <c r="AE341" s="27">
        <f t="shared" si="225"/>
        <v>0</v>
      </c>
      <c r="AF341" s="27">
        <v>20540</v>
      </c>
      <c r="AG341" s="27">
        <v>0</v>
      </c>
      <c r="AH341" s="27">
        <v>0</v>
      </c>
      <c r="AI341" s="27">
        <v>0</v>
      </c>
      <c r="AJ341" s="162" t="b">
        <f t="shared" si="236"/>
        <v>0</v>
      </c>
      <c r="AK341" s="162" t="str">
        <f t="shared" si="237"/>
        <v>PUNO</v>
      </c>
      <c r="AM341" s="264"/>
    </row>
    <row r="342" spans="1:39" ht="15.75" x14ac:dyDescent="0.2">
      <c r="B342" s="177"/>
      <c r="C342" s="177"/>
      <c r="D342" s="177"/>
      <c r="E342" s="177">
        <v>4223</v>
      </c>
      <c r="F342" s="176">
        <v>51</v>
      </c>
      <c r="G342" s="176"/>
      <c r="H342" s="16" t="s">
        <v>628</v>
      </c>
      <c r="I342" s="18"/>
      <c r="J342" s="18"/>
      <c r="K342" s="18"/>
      <c r="L342" s="18"/>
      <c r="M342" s="18"/>
      <c r="N342" s="18"/>
      <c r="O342" s="18"/>
      <c r="P342" s="26"/>
      <c r="Q342" s="18"/>
      <c r="R342" s="18"/>
      <c r="S342" s="18"/>
      <c r="T342" s="27"/>
      <c r="U342" s="27"/>
      <c r="V342" s="27">
        <v>58178</v>
      </c>
      <c r="W342" s="27">
        <v>123609</v>
      </c>
      <c r="X342" s="27">
        <v>0</v>
      </c>
      <c r="Y342" s="27">
        <v>0</v>
      </c>
      <c r="Z342" s="27">
        <f t="shared" si="222"/>
        <v>0</v>
      </c>
      <c r="AA342" s="27">
        <f t="shared" si="234"/>
        <v>26582</v>
      </c>
      <c r="AB342" s="27">
        <v>84760</v>
      </c>
      <c r="AC342" s="27">
        <v>0</v>
      </c>
      <c r="AD342" s="27">
        <f t="shared" si="226"/>
        <v>0</v>
      </c>
      <c r="AE342" s="27">
        <f t="shared" si="225"/>
        <v>0</v>
      </c>
      <c r="AF342" s="27">
        <v>84760</v>
      </c>
      <c r="AG342" s="27">
        <v>97761</v>
      </c>
      <c r="AH342" s="27">
        <v>0</v>
      </c>
      <c r="AI342" s="27">
        <v>0</v>
      </c>
      <c r="AJ342" s="162" t="b">
        <f t="shared" si="236"/>
        <v>0</v>
      </c>
      <c r="AK342" s="162" t="str">
        <f t="shared" si="237"/>
        <v>PUNO</v>
      </c>
      <c r="AM342" s="264"/>
    </row>
    <row r="343" spans="1:39" s="264" customFormat="1" ht="15.75" x14ac:dyDescent="0.2">
      <c r="A343" s="483"/>
      <c r="B343" s="624"/>
      <c r="C343" s="624"/>
      <c r="D343" s="624"/>
      <c r="E343" s="624"/>
      <c r="F343" s="624"/>
      <c r="G343" s="624"/>
      <c r="H343" s="625" t="s">
        <v>310</v>
      </c>
      <c r="I343" s="205"/>
      <c r="J343" s="205"/>
      <c r="K343" s="205"/>
      <c r="L343" s="205"/>
      <c r="M343" s="53"/>
      <c r="N343" s="53"/>
      <c r="O343" s="53"/>
      <c r="P343" s="303"/>
      <c r="Q343" s="53"/>
      <c r="R343" s="53"/>
      <c r="S343" s="53"/>
      <c r="T343" s="53"/>
      <c r="U343" s="53"/>
      <c r="V343" s="53"/>
      <c r="W343" s="53"/>
      <c r="X343" s="53"/>
      <c r="Y343" s="53"/>
      <c r="Z343" s="53"/>
      <c r="AA343" s="53"/>
      <c r="AB343" s="53">
        <f t="shared" ref="AB343:AC347" si="240">AB344</f>
        <v>0</v>
      </c>
      <c r="AC343" s="53">
        <f t="shared" si="240"/>
        <v>0</v>
      </c>
      <c r="AD343" s="53"/>
      <c r="AE343" s="53">
        <f t="shared" ref="AE343:AI346" si="241">AE344</f>
        <v>0</v>
      </c>
      <c r="AF343" s="53">
        <f t="shared" si="241"/>
        <v>0</v>
      </c>
      <c r="AG343" s="53">
        <f t="shared" si="241"/>
        <v>92000</v>
      </c>
      <c r="AH343" s="53">
        <f t="shared" si="241"/>
        <v>92000</v>
      </c>
      <c r="AI343" s="53">
        <f t="shared" si="241"/>
        <v>102000</v>
      </c>
      <c r="AJ343" s="162" t="b">
        <f t="shared" si="236"/>
        <v>1</v>
      </c>
      <c r="AK343" s="162" t="str">
        <f t="shared" si="237"/>
        <v>PRAZNO</v>
      </c>
      <c r="AL343" s="626"/>
    </row>
    <row r="344" spans="1:39" s="264" customFormat="1" ht="15.75" x14ac:dyDescent="0.2">
      <c r="A344" s="259"/>
      <c r="B344" s="260"/>
      <c r="C344" s="260"/>
      <c r="D344" s="260"/>
      <c r="E344" s="260"/>
      <c r="F344" s="260"/>
      <c r="G344" s="260"/>
      <c r="H344" s="440" t="s">
        <v>824</v>
      </c>
      <c r="I344" s="181"/>
      <c r="J344" s="181"/>
      <c r="K344" s="181"/>
      <c r="L344" s="181"/>
      <c r="M344" s="262"/>
      <c r="N344" s="262"/>
      <c r="O344" s="262"/>
      <c r="P344" s="445"/>
      <c r="Q344" s="262"/>
      <c r="R344" s="262"/>
      <c r="S344" s="262"/>
      <c r="T344" s="342"/>
      <c r="U344" s="342"/>
      <c r="V344" s="262"/>
      <c r="W344" s="262"/>
      <c r="X344" s="262"/>
      <c r="Y344" s="262"/>
      <c r="Z344" s="262"/>
      <c r="AA344" s="262"/>
      <c r="AB344" s="262">
        <f t="shared" si="240"/>
        <v>0</v>
      </c>
      <c r="AC344" s="262">
        <f t="shared" si="240"/>
        <v>0</v>
      </c>
      <c r="AD344" s="262"/>
      <c r="AE344" s="262">
        <f t="shared" si="241"/>
        <v>0</v>
      </c>
      <c r="AF344" s="262">
        <f t="shared" si="241"/>
        <v>0</v>
      </c>
      <c r="AG344" s="262">
        <f t="shared" si="241"/>
        <v>92000</v>
      </c>
      <c r="AH344" s="262">
        <f t="shared" si="241"/>
        <v>92000</v>
      </c>
      <c r="AI344" s="262">
        <f t="shared" si="241"/>
        <v>102000</v>
      </c>
      <c r="AJ344" s="162" t="b">
        <f t="shared" si="236"/>
        <v>1</v>
      </c>
      <c r="AK344" s="162" t="str">
        <f t="shared" si="237"/>
        <v>PRAZNO</v>
      </c>
      <c r="AL344" s="263"/>
    </row>
    <row r="345" spans="1:39" s="264" customFormat="1" ht="15.75" x14ac:dyDescent="0.2">
      <c r="A345" s="259"/>
      <c r="B345" s="172">
        <v>3</v>
      </c>
      <c r="C345" s="172"/>
      <c r="D345" s="172"/>
      <c r="E345" s="172"/>
      <c r="F345" s="172"/>
      <c r="G345" s="172"/>
      <c r="H345" s="14" t="s">
        <v>524</v>
      </c>
      <c r="I345" s="20"/>
      <c r="J345" s="20"/>
      <c r="K345" s="20"/>
      <c r="L345" s="20"/>
      <c r="M345" s="20"/>
      <c r="N345" s="20"/>
      <c r="O345" s="20"/>
      <c r="P345" s="55"/>
      <c r="Q345" s="20"/>
      <c r="R345" s="20"/>
      <c r="S345" s="20"/>
      <c r="T345" s="55"/>
      <c r="U345" s="55"/>
      <c r="V345" s="20"/>
      <c r="W345" s="20"/>
      <c r="X345" s="20"/>
      <c r="Y345" s="20"/>
      <c r="Z345" s="20"/>
      <c r="AA345" s="20"/>
      <c r="AB345" s="20">
        <f t="shared" si="240"/>
        <v>0</v>
      </c>
      <c r="AC345" s="20">
        <f t="shared" si="240"/>
        <v>0</v>
      </c>
      <c r="AD345" s="20"/>
      <c r="AE345" s="20">
        <f t="shared" si="241"/>
        <v>0</v>
      </c>
      <c r="AF345" s="20">
        <f t="shared" si="241"/>
        <v>0</v>
      </c>
      <c r="AG345" s="20">
        <f t="shared" si="241"/>
        <v>92000</v>
      </c>
      <c r="AH345" s="20">
        <f t="shared" si="241"/>
        <v>92000</v>
      </c>
      <c r="AI345" s="20">
        <f t="shared" si="241"/>
        <v>102000</v>
      </c>
      <c r="AJ345" s="162" t="b">
        <f t="shared" si="236"/>
        <v>1</v>
      </c>
      <c r="AK345" s="162" t="str">
        <f t="shared" si="237"/>
        <v>PRAZNO</v>
      </c>
      <c r="AL345" s="263"/>
    </row>
    <row r="346" spans="1:39" ht="15.75" x14ac:dyDescent="0.2">
      <c r="B346" s="177"/>
      <c r="C346" s="177">
        <v>32</v>
      </c>
      <c r="D346" s="177"/>
      <c r="E346" s="177"/>
      <c r="F346" s="176"/>
      <c r="G346" s="176"/>
      <c r="H346" s="16" t="s">
        <v>525</v>
      </c>
      <c r="I346" s="18"/>
      <c r="J346" s="18"/>
      <c r="K346" s="18"/>
      <c r="L346" s="18"/>
      <c r="M346" s="18"/>
      <c r="N346" s="18"/>
      <c r="O346" s="18"/>
      <c r="P346" s="26"/>
      <c r="Q346" s="18"/>
      <c r="R346" s="18"/>
      <c r="S346" s="18"/>
      <c r="T346" s="27"/>
      <c r="U346" s="27"/>
      <c r="V346" s="27"/>
      <c r="W346" s="27"/>
      <c r="X346" s="27"/>
      <c r="Y346" s="27"/>
      <c r="Z346" s="27"/>
      <c r="AA346" s="27"/>
      <c r="AB346" s="27">
        <f t="shared" si="240"/>
        <v>0</v>
      </c>
      <c r="AC346" s="27">
        <f t="shared" si="240"/>
        <v>0</v>
      </c>
      <c r="AD346" s="27"/>
      <c r="AE346" s="27">
        <f t="shared" si="241"/>
        <v>0</v>
      </c>
      <c r="AF346" s="27">
        <f t="shared" si="241"/>
        <v>0</v>
      </c>
      <c r="AG346" s="27">
        <f t="shared" si="241"/>
        <v>92000</v>
      </c>
      <c r="AH346" s="27">
        <f t="shared" si="241"/>
        <v>92000</v>
      </c>
      <c r="AI346" s="27">
        <f t="shared" si="241"/>
        <v>102000</v>
      </c>
      <c r="AJ346" s="162" t="b">
        <f t="shared" si="236"/>
        <v>1</v>
      </c>
      <c r="AK346" s="162" t="str">
        <f t="shared" si="237"/>
        <v>PRAZNO</v>
      </c>
      <c r="AM346" s="264"/>
    </row>
    <row r="347" spans="1:39" ht="15.75" x14ac:dyDescent="0.2">
      <c r="B347" s="177"/>
      <c r="C347" s="177"/>
      <c r="D347" s="177">
        <v>329</v>
      </c>
      <c r="E347" s="177"/>
      <c r="F347" s="177"/>
      <c r="G347" s="177"/>
      <c r="H347" s="16" t="s">
        <v>531</v>
      </c>
      <c r="I347" s="18"/>
      <c r="J347" s="18"/>
      <c r="K347" s="18"/>
      <c r="L347" s="18"/>
      <c r="M347" s="18"/>
      <c r="N347" s="18"/>
      <c r="O347" s="18"/>
      <c r="P347" s="26"/>
      <c r="Q347" s="18"/>
      <c r="R347" s="18"/>
      <c r="S347" s="18"/>
      <c r="T347" s="27"/>
      <c r="U347" s="27"/>
      <c r="V347" s="27"/>
      <c r="W347" s="27"/>
      <c r="X347" s="27"/>
      <c r="Y347" s="27"/>
      <c r="Z347" s="27"/>
      <c r="AA347" s="27"/>
      <c r="AB347" s="27">
        <f t="shared" si="240"/>
        <v>0</v>
      </c>
      <c r="AC347" s="27">
        <f t="shared" si="240"/>
        <v>0</v>
      </c>
      <c r="AD347" s="27"/>
      <c r="AE347" s="27">
        <f>AE348</f>
        <v>0</v>
      </c>
      <c r="AF347" s="27">
        <f>AF348</f>
        <v>0</v>
      </c>
      <c r="AG347" s="27">
        <f>AG348+AG349</f>
        <v>92000</v>
      </c>
      <c r="AH347" s="27">
        <f>AH348+AH349</f>
        <v>92000</v>
      </c>
      <c r="AI347" s="27">
        <f>AI348+AI349</f>
        <v>102000</v>
      </c>
      <c r="AJ347" s="162" t="b">
        <f t="shared" si="236"/>
        <v>1</v>
      </c>
      <c r="AK347" s="162" t="str">
        <f t="shared" si="237"/>
        <v>PRAZNO</v>
      </c>
      <c r="AM347" s="264"/>
    </row>
    <row r="348" spans="1:39" ht="15.75" x14ac:dyDescent="0.2">
      <c r="B348" s="177"/>
      <c r="C348" s="177"/>
      <c r="D348" s="177"/>
      <c r="E348" s="177">
        <v>3294</v>
      </c>
      <c r="F348" s="176">
        <v>11</v>
      </c>
      <c r="G348" s="177"/>
      <c r="H348" s="16" t="s">
        <v>534</v>
      </c>
      <c r="I348" s="18"/>
      <c r="J348" s="18"/>
      <c r="K348" s="18"/>
      <c r="L348" s="18"/>
      <c r="M348" s="18"/>
      <c r="N348" s="18"/>
      <c r="O348" s="18"/>
      <c r="P348" s="26"/>
      <c r="Q348" s="18"/>
      <c r="R348" s="18"/>
      <c r="S348" s="18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>
        <v>12000</v>
      </c>
      <c r="AH348" s="27">
        <v>12000</v>
      </c>
      <c r="AI348" s="27">
        <v>12000</v>
      </c>
      <c r="AJ348" s="162" t="b">
        <f t="shared" si="236"/>
        <v>0</v>
      </c>
      <c r="AK348" s="162" t="str">
        <f t="shared" si="237"/>
        <v>PUNO</v>
      </c>
      <c r="AM348" s="264"/>
    </row>
    <row r="349" spans="1:39" ht="15.75" x14ac:dyDescent="0.2">
      <c r="B349" s="177"/>
      <c r="C349" s="177"/>
      <c r="D349" s="177"/>
      <c r="E349" s="177">
        <v>3299</v>
      </c>
      <c r="F349" s="176">
        <v>11</v>
      </c>
      <c r="G349" s="177"/>
      <c r="H349" s="16" t="s">
        <v>531</v>
      </c>
      <c r="I349" s="18"/>
      <c r="J349" s="18"/>
      <c r="K349" s="18"/>
      <c r="L349" s="18"/>
      <c r="M349" s="18"/>
      <c r="N349" s="18"/>
      <c r="O349" s="18"/>
      <c r="P349" s="26"/>
      <c r="Q349" s="18"/>
      <c r="R349" s="18"/>
      <c r="S349" s="18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>
        <v>80000</v>
      </c>
      <c r="AH349" s="27">
        <v>80000</v>
      </c>
      <c r="AI349" s="27">
        <v>90000</v>
      </c>
      <c r="AJ349" s="162" t="b">
        <f t="shared" si="236"/>
        <v>0</v>
      </c>
      <c r="AK349" s="162" t="str">
        <f t="shared" si="237"/>
        <v>PUNO</v>
      </c>
      <c r="AM349" s="264"/>
    </row>
    <row r="350" spans="1:39" s="264" customFormat="1" ht="15.75" x14ac:dyDescent="0.2">
      <c r="A350" s="259"/>
      <c r="B350" s="194"/>
      <c r="C350" s="194"/>
      <c r="D350" s="194"/>
      <c r="E350" s="194"/>
      <c r="F350" s="194"/>
      <c r="G350" s="194"/>
      <c r="H350" s="21" t="s">
        <v>225</v>
      </c>
      <c r="I350" s="196">
        <f>I352</f>
        <v>828040</v>
      </c>
      <c r="J350" s="196">
        <f>J352</f>
        <v>417820</v>
      </c>
      <c r="K350" s="196">
        <f>ROUND(J350/I350*100,2)</f>
        <v>50.46</v>
      </c>
      <c r="L350" s="196">
        <f>M350-I350</f>
        <v>-13280</v>
      </c>
      <c r="M350" s="195">
        <f>M352</f>
        <v>814760</v>
      </c>
      <c r="N350" s="195">
        <f>N352</f>
        <v>765000</v>
      </c>
      <c r="O350" s="195">
        <f>O352</f>
        <v>392007</v>
      </c>
      <c r="P350" s="351">
        <f>T350-N350</f>
        <v>110000</v>
      </c>
      <c r="Q350" s="195">
        <f t="shared" ref="Q350:X350" si="242">Q352</f>
        <v>765000</v>
      </c>
      <c r="R350" s="195">
        <f t="shared" si="242"/>
        <v>815000</v>
      </c>
      <c r="S350" s="195">
        <f t="shared" si="242"/>
        <v>823000</v>
      </c>
      <c r="T350" s="197">
        <f t="shared" si="242"/>
        <v>875000</v>
      </c>
      <c r="U350" s="197">
        <f>U352</f>
        <v>874500</v>
      </c>
      <c r="V350" s="195">
        <f t="shared" si="242"/>
        <v>875000</v>
      </c>
      <c r="W350" s="195">
        <f t="shared" si="242"/>
        <v>875000</v>
      </c>
      <c r="X350" s="195">
        <f t="shared" si="242"/>
        <v>895000</v>
      </c>
      <c r="Y350" s="195">
        <f>Y352</f>
        <v>206169</v>
      </c>
      <c r="Z350" s="195">
        <f t="shared" ref="Z350:Z413" si="243">ROUND(Y350/V350*100,2)</f>
        <v>23.56</v>
      </c>
      <c r="AA350" s="195">
        <f t="shared" si="234"/>
        <v>100000</v>
      </c>
      <c r="AB350" s="195">
        <f>AB352</f>
        <v>975000</v>
      </c>
      <c r="AC350" s="195">
        <f>AC352</f>
        <v>494027</v>
      </c>
      <c r="AD350" s="195">
        <f t="shared" si="226"/>
        <v>50.669435897435896</v>
      </c>
      <c r="AE350" s="195">
        <f t="shared" si="225"/>
        <v>8000</v>
      </c>
      <c r="AF350" s="195">
        <f>AF352</f>
        <v>983000</v>
      </c>
      <c r="AG350" s="195">
        <f>AG352</f>
        <v>975000</v>
      </c>
      <c r="AH350" s="195">
        <f>AH352</f>
        <v>975000</v>
      </c>
      <c r="AI350" s="195">
        <f>AI352</f>
        <v>975000</v>
      </c>
      <c r="AJ350" s="162" t="b">
        <f t="shared" si="236"/>
        <v>1</v>
      </c>
      <c r="AK350" s="162" t="str">
        <f t="shared" si="237"/>
        <v>PRAZNO</v>
      </c>
      <c r="AL350" s="263"/>
    </row>
    <row r="351" spans="1:39" s="264" customFormat="1" ht="15.75" x14ac:dyDescent="0.2">
      <c r="A351" s="259"/>
      <c r="B351" s="194"/>
      <c r="C351" s="194"/>
      <c r="D351" s="194"/>
      <c r="E351" s="194"/>
      <c r="F351" s="194"/>
      <c r="G351" s="194"/>
      <c r="H351" s="11" t="s">
        <v>226</v>
      </c>
      <c r="I351" s="196"/>
      <c r="J351" s="196"/>
      <c r="K351" s="196"/>
      <c r="L351" s="196"/>
      <c r="M351" s="195"/>
      <c r="N351" s="195"/>
      <c r="O351" s="195"/>
      <c r="P351" s="353"/>
      <c r="Q351" s="195"/>
      <c r="R351" s="195"/>
      <c r="S351" s="195"/>
      <c r="T351" s="197"/>
      <c r="U351" s="197"/>
      <c r="V351" s="195"/>
      <c r="W351" s="195"/>
      <c r="X351" s="195"/>
      <c r="Y351" s="195"/>
      <c r="Z351" s="195"/>
      <c r="AA351" s="195"/>
      <c r="AB351" s="195"/>
      <c r="AC351" s="195"/>
      <c r="AD351" s="195"/>
      <c r="AE351" s="195">
        <f t="shared" si="225"/>
        <v>0</v>
      </c>
      <c r="AF351" s="195"/>
      <c r="AG351" s="195"/>
      <c r="AH351" s="195"/>
      <c r="AI351" s="195"/>
      <c r="AJ351" s="162" t="b">
        <f t="shared" si="236"/>
        <v>1</v>
      </c>
      <c r="AK351" s="162" t="str">
        <f t="shared" si="237"/>
        <v>PRAZNO</v>
      </c>
      <c r="AL351" s="263"/>
    </row>
    <row r="352" spans="1:39" s="264" customFormat="1" ht="15.75" x14ac:dyDescent="0.2">
      <c r="A352" s="259"/>
      <c r="B352" s="270"/>
      <c r="C352" s="270"/>
      <c r="D352" s="270"/>
      <c r="E352" s="270"/>
      <c r="F352" s="270"/>
      <c r="G352" s="270"/>
      <c r="H352" s="274" t="s">
        <v>708</v>
      </c>
      <c r="I352" s="273">
        <f>I354+I366+I360</f>
        <v>828040</v>
      </c>
      <c r="J352" s="273">
        <f>J354+J366+J360</f>
        <v>417820</v>
      </c>
      <c r="K352" s="273">
        <f>ROUND(J352/I352*100,2)</f>
        <v>50.46</v>
      </c>
      <c r="L352" s="273">
        <f>M352-I352</f>
        <v>-13280</v>
      </c>
      <c r="M352" s="272">
        <f>M354+M366+M360</f>
        <v>814760</v>
      </c>
      <c r="N352" s="272">
        <f>N354+N366+N360</f>
        <v>765000</v>
      </c>
      <c r="O352" s="272">
        <f>O354+O366+O360</f>
        <v>392007</v>
      </c>
      <c r="P352" s="336">
        <f>T352-N352</f>
        <v>110000</v>
      </c>
      <c r="Q352" s="272">
        <f t="shared" ref="Q352:X352" si="244">Q354+Q366+Q360</f>
        <v>765000</v>
      </c>
      <c r="R352" s="272">
        <f t="shared" si="244"/>
        <v>815000</v>
      </c>
      <c r="S352" s="272">
        <f t="shared" si="244"/>
        <v>823000</v>
      </c>
      <c r="T352" s="275">
        <f t="shared" si="244"/>
        <v>875000</v>
      </c>
      <c r="U352" s="275">
        <f>U354+U366+U360</f>
        <v>874500</v>
      </c>
      <c r="V352" s="272">
        <f t="shared" si="244"/>
        <v>875000</v>
      </c>
      <c r="W352" s="272">
        <f t="shared" si="244"/>
        <v>875000</v>
      </c>
      <c r="X352" s="272">
        <f t="shared" si="244"/>
        <v>895000</v>
      </c>
      <c r="Y352" s="272">
        <f>Y354+Y366+Y360</f>
        <v>206169</v>
      </c>
      <c r="Z352" s="272">
        <f t="shared" si="243"/>
        <v>23.56</v>
      </c>
      <c r="AA352" s="272">
        <f t="shared" si="234"/>
        <v>100000</v>
      </c>
      <c r="AB352" s="272">
        <f>AB354+AB366+AB360</f>
        <v>975000</v>
      </c>
      <c r="AC352" s="272">
        <f>AC354+AC366+AC360</f>
        <v>494027</v>
      </c>
      <c r="AD352" s="272">
        <f t="shared" si="226"/>
        <v>50.669435897435896</v>
      </c>
      <c r="AE352" s="272">
        <f t="shared" si="225"/>
        <v>8000</v>
      </c>
      <c r="AF352" s="272">
        <f>AF354+AF366+AF360</f>
        <v>983000</v>
      </c>
      <c r="AG352" s="272">
        <f>AG354+AG366+AG360</f>
        <v>975000</v>
      </c>
      <c r="AH352" s="272">
        <f>AH354+AH366+AH360</f>
        <v>975000</v>
      </c>
      <c r="AI352" s="272">
        <f>AI354+AI366+AI360</f>
        <v>975000</v>
      </c>
      <c r="AJ352" s="162" t="b">
        <f t="shared" si="236"/>
        <v>1</v>
      </c>
      <c r="AK352" s="162" t="str">
        <f t="shared" si="237"/>
        <v>PRAZNO</v>
      </c>
      <c r="AL352" s="263"/>
    </row>
    <row r="353" spans="1:39" s="264" customFormat="1" ht="15.75" x14ac:dyDescent="0.2">
      <c r="A353" s="483"/>
      <c r="B353" s="624"/>
      <c r="C353" s="624"/>
      <c r="D353" s="624"/>
      <c r="E353" s="624"/>
      <c r="F353" s="624"/>
      <c r="G353" s="624"/>
      <c r="H353" s="625" t="s">
        <v>46</v>
      </c>
      <c r="I353" s="205"/>
      <c r="J353" s="205"/>
      <c r="K353" s="205"/>
      <c r="L353" s="205"/>
      <c r="M353" s="53"/>
      <c r="N353" s="53"/>
      <c r="O353" s="53"/>
      <c r="P353" s="205"/>
      <c r="Q353" s="53"/>
      <c r="R353" s="53"/>
      <c r="S353" s="53"/>
      <c r="T353" s="53"/>
      <c r="U353" s="53"/>
      <c r="V353" s="53"/>
      <c r="W353" s="53"/>
      <c r="X353" s="53"/>
      <c r="Y353" s="53"/>
      <c r="Z353" s="53"/>
      <c r="AA353" s="53"/>
      <c r="AB353" s="53"/>
      <c r="AC353" s="53"/>
      <c r="AD353" s="53"/>
      <c r="AE353" s="53">
        <f t="shared" si="225"/>
        <v>0</v>
      </c>
      <c r="AF353" s="53"/>
      <c r="AG353" s="53"/>
      <c r="AH353" s="53"/>
      <c r="AI353" s="53"/>
      <c r="AJ353" s="162" t="b">
        <f t="shared" si="236"/>
        <v>1</v>
      </c>
      <c r="AK353" s="162" t="str">
        <f t="shared" si="237"/>
        <v>PRAZNO</v>
      </c>
      <c r="AL353" s="626"/>
    </row>
    <row r="354" spans="1:39" s="264" customFormat="1" ht="31.5" x14ac:dyDescent="0.2">
      <c r="A354" s="483"/>
      <c r="B354" s="624"/>
      <c r="C354" s="624"/>
      <c r="D354" s="624"/>
      <c r="E354" s="624"/>
      <c r="F354" s="624"/>
      <c r="G354" s="624"/>
      <c r="H354" s="625" t="s">
        <v>579</v>
      </c>
      <c r="I354" s="205">
        <f>I356</f>
        <v>365760</v>
      </c>
      <c r="J354" s="205">
        <f>J356</f>
        <v>274320</v>
      </c>
      <c r="K354" s="205">
        <f t="shared" ref="K354:K417" si="245">ROUND(J354/I354*100,2)</f>
        <v>75</v>
      </c>
      <c r="L354" s="205">
        <f t="shared" ref="L354:L417" si="246">M354-I354</f>
        <v>0</v>
      </c>
      <c r="M354" s="53">
        <f>M356</f>
        <v>365760</v>
      </c>
      <c r="N354" s="53">
        <f>N356</f>
        <v>350000</v>
      </c>
      <c r="O354" s="53">
        <f>O356</f>
        <v>188007</v>
      </c>
      <c r="P354" s="303">
        <f t="shared" ref="P354:P371" si="247">T354-N354</f>
        <v>70000</v>
      </c>
      <c r="Q354" s="53">
        <f t="shared" ref="Q354:X354" si="248">Q356</f>
        <v>350000</v>
      </c>
      <c r="R354" s="53">
        <f t="shared" si="248"/>
        <v>360000</v>
      </c>
      <c r="S354" s="53">
        <f t="shared" si="248"/>
        <v>365000</v>
      </c>
      <c r="T354" s="53">
        <f t="shared" si="248"/>
        <v>420000</v>
      </c>
      <c r="U354" s="53">
        <f>U356</f>
        <v>420000</v>
      </c>
      <c r="V354" s="53">
        <f t="shared" si="248"/>
        <v>510000</v>
      </c>
      <c r="W354" s="53">
        <f t="shared" si="248"/>
        <v>510000</v>
      </c>
      <c r="X354" s="53">
        <f t="shared" si="248"/>
        <v>536000</v>
      </c>
      <c r="Y354" s="53">
        <f>Y356</f>
        <v>123569</v>
      </c>
      <c r="Z354" s="53">
        <f t="shared" si="243"/>
        <v>24.23</v>
      </c>
      <c r="AA354" s="53">
        <f t="shared" si="234"/>
        <v>60000</v>
      </c>
      <c r="AB354" s="53">
        <f>AB356</f>
        <v>570000</v>
      </c>
      <c r="AC354" s="53">
        <f>AC356</f>
        <v>321927</v>
      </c>
      <c r="AD354" s="53">
        <f t="shared" si="226"/>
        <v>56.478421052631575</v>
      </c>
      <c r="AE354" s="53">
        <f t="shared" si="225"/>
        <v>0</v>
      </c>
      <c r="AF354" s="53">
        <f>AF356</f>
        <v>570000</v>
      </c>
      <c r="AG354" s="53">
        <f>AG356</f>
        <v>570000</v>
      </c>
      <c r="AH354" s="53">
        <f>AH356</f>
        <v>570000</v>
      </c>
      <c r="AI354" s="53">
        <f>AI356</f>
        <v>570000</v>
      </c>
      <c r="AJ354" s="162" t="b">
        <f t="shared" si="236"/>
        <v>1</v>
      </c>
      <c r="AK354" s="162" t="str">
        <f t="shared" si="237"/>
        <v>PRAZNO</v>
      </c>
      <c r="AL354" s="626"/>
    </row>
    <row r="355" spans="1:39" s="264" customFormat="1" ht="15.75" x14ac:dyDescent="0.2">
      <c r="A355" s="259"/>
      <c r="B355" s="260"/>
      <c r="C355" s="260"/>
      <c r="D355" s="260"/>
      <c r="E355" s="260"/>
      <c r="F355" s="260"/>
      <c r="G355" s="260"/>
      <c r="H355" s="440" t="s">
        <v>824</v>
      </c>
      <c r="I355" s="181"/>
      <c r="J355" s="181"/>
      <c r="K355" s="181"/>
      <c r="L355" s="181"/>
      <c r="M355" s="262"/>
      <c r="N355" s="262"/>
      <c r="O355" s="262"/>
      <c r="P355" s="445"/>
      <c r="Q355" s="262"/>
      <c r="R355" s="262"/>
      <c r="S355" s="262"/>
      <c r="T355" s="342"/>
      <c r="U355" s="342"/>
      <c r="V355" s="262">
        <f>V356</f>
        <v>510000</v>
      </c>
      <c r="W355" s="262">
        <f>W356</f>
        <v>510000</v>
      </c>
      <c r="X355" s="262">
        <f>X356</f>
        <v>536000</v>
      </c>
      <c r="Y355" s="262">
        <f>Y356</f>
        <v>123569</v>
      </c>
      <c r="Z355" s="262">
        <f t="shared" si="243"/>
        <v>24.23</v>
      </c>
      <c r="AA355" s="262">
        <f t="shared" si="234"/>
        <v>60000</v>
      </c>
      <c r="AB355" s="262">
        <f>AB356</f>
        <v>570000</v>
      </c>
      <c r="AC355" s="262">
        <f>AC356</f>
        <v>321927</v>
      </c>
      <c r="AD355" s="262">
        <f t="shared" si="226"/>
        <v>56.478421052631575</v>
      </c>
      <c r="AE355" s="262">
        <f t="shared" si="225"/>
        <v>0</v>
      </c>
      <c r="AF355" s="262">
        <f>AF356</f>
        <v>570000</v>
      </c>
      <c r="AG355" s="262">
        <f>AG356</f>
        <v>570000</v>
      </c>
      <c r="AH355" s="262">
        <f>AH356</f>
        <v>570000</v>
      </c>
      <c r="AI355" s="262">
        <f>AI356</f>
        <v>570000</v>
      </c>
      <c r="AJ355" s="162" t="b">
        <f t="shared" si="236"/>
        <v>1</v>
      </c>
      <c r="AK355" s="162" t="str">
        <f t="shared" si="237"/>
        <v>PRAZNO</v>
      </c>
      <c r="AL355" s="263"/>
    </row>
    <row r="356" spans="1:39" s="264" customFormat="1" ht="15.75" x14ac:dyDescent="0.2">
      <c r="A356" s="259"/>
      <c r="B356" s="172">
        <v>3</v>
      </c>
      <c r="C356" s="172"/>
      <c r="D356" s="172"/>
      <c r="E356" s="172"/>
      <c r="F356" s="172"/>
      <c r="G356" s="172"/>
      <c r="H356" s="14" t="s">
        <v>524</v>
      </c>
      <c r="I356" s="20">
        <f t="shared" ref="I356:AI358" si="249">I357</f>
        <v>365760</v>
      </c>
      <c r="J356" s="20">
        <f t="shared" si="249"/>
        <v>274320</v>
      </c>
      <c r="K356" s="20">
        <f t="shared" si="245"/>
        <v>75</v>
      </c>
      <c r="L356" s="20">
        <f t="shared" si="246"/>
        <v>0</v>
      </c>
      <c r="M356" s="20">
        <f t="shared" si="249"/>
        <v>365760</v>
      </c>
      <c r="N356" s="20">
        <f t="shared" si="249"/>
        <v>350000</v>
      </c>
      <c r="O356" s="20">
        <f t="shared" si="249"/>
        <v>188007</v>
      </c>
      <c r="P356" s="55">
        <f t="shared" si="247"/>
        <v>70000</v>
      </c>
      <c r="Q356" s="20">
        <f t="shared" si="249"/>
        <v>350000</v>
      </c>
      <c r="R356" s="20">
        <f t="shared" si="249"/>
        <v>360000</v>
      </c>
      <c r="S356" s="20">
        <f t="shared" si="249"/>
        <v>365000</v>
      </c>
      <c r="T356" s="55">
        <f t="shared" si="249"/>
        <v>420000</v>
      </c>
      <c r="U356" s="55">
        <f t="shared" si="249"/>
        <v>420000</v>
      </c>
      <c r="V356" s="20">
        <f t="shared" si="249"/>
        <v>510000</v>
      </c>
      <c r="W356" s="20">
        <f t="shared" si="249"/>
        <v>510000</v>
      </c>
      <c r="X356" s="20">
        <f t="shared" si="249"/>
        <v>536000</v>
      </c>
      <c r="Y356" s="20">
        <f t="shared" si="249"/>
        <v>123569</v>
      </c>
      <c r="Z356" s="20">
        <f t="shared" si="243"/>
        <v>24.23</v>
      </c>
      <c r="AA356" s="20">
        <f t="shared" si="234"/>
        <v>60000</v>
      </c>
      <c r="AB356" s="20">
        <f t="shared" si="249"/>
        <v>570000</v>
      </c>
      <c r="AC356" s="20">
        <f t="shared" si="249"/>
        <v>321927</v>
      </c>
      <c r="AD356" s="20">
        <f t="shared" si="226"/>
        <v>56.478421052631575</v>
      </c>
      <c r="AE356" s="20">
        <f t="shared" si="225"/>
        <v>0</v>
      </c>
      <c r="AF356" s="20">
        <f t="shared" si="249"/>
        <v>570000</v>
      </c>
      <c r="AG356" s="20">
        <f t="shared" si="249"/>
        <v>570000</v>
      </c>
      <c r="AH356" s="20">
        <f t="shared" si="249"/>
        <v>570000</v>
      </c>
      <c r="AI356" s="20">
        <f t="shared" si="249"/>
        <v>570000</v>
      </c>
      <c r="AJ356" s="162" t="b">
        <f t="shared" si="236"/>
        <v>1</v>
      </c>
      <c r="AK356" s="162" t="str">
        <f t="shared" si="237"/>
        <v>PRAZNO</v>
      </c>
      <c r="AL356" s="263"/>
    </row>
    <row r="357" spans="1:39" ht="15.75" x14ac:dyDescent="0.2">
      <c r="B357" s="175"/>
      <c r="C357" s="175">
        <v>38</v>
      </c>
      <c r="D357" s="175"/>
      <c r="E357" s="175"/>
      <c r="F357" s="175"/>
      <c r="G357" s="175"/>
      <c r="H357" s="15" t="s">
        <v>539</v>
      </c>
      <c r="I357" s="22">
        <f t="shared" si="249"/>
        <v>365760</v>
      </c>
      <c r="J357" s="22">
        <f t="shared" si="249"/>
        <v>274320</v>
      </c>
      <c r="K357" s="22">
        <f t="shared" si="245"/>
        <v>75</v>
      </c>
      <c r="L357" s="22">
        <f t="shared" si="246"/>
        <v>0</v>
      </c>
      <c r="M357" s="22">
        <f t="shared" si="249"/>
        <v>365760</v>
      </c>
      <c r="N357" s="22">
        <f t="shared" si="249"/>
        <v>350000</v>
      </c>
      <c r="O357" s="22">
        <f t="shared" si="249"/>
        <v>188007</v>
      </c>
      <c r="P357" s="26">
        <f t="shared" si="247"/>
        <v>70000</v>
      </c>
      <c r="Q357" s="22">
        <f t="shared" si="249"/>
        <v>350000</v>
      </c>
      <c r="R357" s="22">
        <f t="shared" si="249"/>
        <v>360000</v>
      </c>
      <c r="S357" s="22">
        <f t="shared" si="249"/>
        <v>365000</v>
      </c>
      <c r="T357" s="38">
        <f t="shared" si="249"/>
        <v>420000</v>
      </c>
      <c r="U357" s="38">
        <f t="shared" si="249"/>
        <v>420000</v>
      </c>
      <c r="V357" s="22">
        <f t="shared" si="249"/>
        <v>510000</v>
      </c>
      <c r="W357" s="22">
        <f t="shared" si="249"/>
        <v>510000</v>
      </c>
      <c r="X357" s="22">
        <f t="shared" si="249"/>
        <v>536000</v>
      </c>
      <c r="Y357" s="22">
        <f t="shared" si="249"/>
        <v>123569</v>
      </c>
      <c r="Z357" s="22">
        <f t="shared" si="243"/>
        <v>24.23</v>
      </c>
      <c r="AA357" s="22">
        <f t="shared" si="234"/>
        <v>60000</v>
      </c>
      <c r="AB357" s="22">
        <f t="shared" si="249"/>
        <v>570000</v>
      </c>
      <c r="AC357" s="22">
        <f t="shared" si="249"/>
        <v>321927</v>
      </c>
      <c r="AD357" s="22">
        <f t="shared" si="226"/>
        <v>56.478421052631575</v>
      </c>
      <c r="AE357" s="22">
        <f t="shared" si="225"/>
        <v>0</v>
      </c>
      <c r="AF357" s="22">
        <f t="shared" si="249"/>
        <v>570000</v>
      </c>
      <c r="AG357" s="22">
        <f t="shared" si="249"/>
        <v>570000</v>
      </c>
      <c r="AH357" s="22">
        <f t="shared" si="249"/>
        <v>570000</v>
      </c>
      <c r="AI357" s="22">
        <f t="shared" si="249"/>
        <v>570000</v>
      </c>
      <c r="AJ357" s="162" t="b">
        <f t="shared" si="236"/>
        <v>1</v>
      </c>
      <c r="AK357" s="162" t="str">
        <f t="shared" si="237"/>
        <v>PRAZNO</v>
      </c>
      <c r="AM357" s="264"/>
    </row>
    <row r="358" spans="1:39" ht="15.75" x14ac:dyDescent="0.2">
      <c r="B358" s="177"/>
      <c r="C358" s="177"/>
      <c r="D358" s="177">
        <v>381</v>
      </c>
      <c r="E358" s="177"/>
      <c r="F358" s="177"/>
      <c r="G358" s="177"/>
      <c r="H358" s="16" t="s">
        <v>540</v>
      </c>
      <c r="I358" s="17">
        <f t="shared" si="249"/>
        <v>365760</v>
      </c>
      <c r="J358" s="17">
        <f t="shared" si="249"/>
        <v>274320</v>
      </c>
      <c r="K358" s="17">
        <f t="shared" si="245"/>
        <v>75</v>
      </c>
      <c r="L358" s="17">
        <f t="shared" si="246"/>
        <v>0</v>
      </c>
      <c r="M358" s="17">
        <f t="shared" si="249"/>
        <v>365760</v>
      </c>
      <c r="N358" s="17">
        <f t="shared" si="249"/>
        <v>350000</v>
      </c>
      <c r="O358" s="17">
        <f t="shared" si="249"/>
        <v>188007</v>
      </c>
      <c r="P358" s="26">
        <f t="shared" si="247"/>
        <v>70000</v>
      </c>
      <c r="Q358" s="17">
        <f t="shared" si="249"/>
        <v>350000</v>
      </c>
      <c r="R358" s="17">
        <f t="shared" si="249"/>
        <v>360000</v>
      </c>
      <c r="S358" s="17">
        <f t="shared" si="249"/>
        <v>365000</v>
      </c>
      <c r="T358" s="26">
        <f t="shared" si="249"/>
        <v>420000</v>
      </c>
      <c r="U358" s="26">
        <f t="shared" si="249"/>
        <v>420000</v>
      </c>
      <c r="V358" s="17">
        <f t="shared" si="249"/>
        <v>510000</v>
      </c>
      <c r="W358" s="17">
        <f t="shared" si="249"/>
        <v>510000</v>
      </c>
      <c r="X358" s="17">
        <f t="shared" si="249"/>
        <v>536000</v>
      </c>
      <c r="Y358" s="17">
        <f t="shared" si="249"/>
        <v>123569</v>
      </c>
      <c r="Z358" s="17">
        <f t="shared" si="243"/>
        <v>24.23</v>
      </c>
      <c r="AA358" s="17">
        <f t="shared" si="234"/>
        <v>60000</v>
      </c>
      <c r="AB358" s="17">
        <f t="shared" si="249"/>
        <v>570000</v>
      </c>
      <c r="AC358" s="17">
        <f t="shared" si="249"/>
        <v>321927</v>
      </c>
      <c r="AD358" s="17">
        <f t="shared" si="226"/>
        <v>56.478421052631575</v>
      </c>
      <c r="AE358" s="17">
        <f t="shared" si="225"/>
        <v>0</v>
      </c>
      <c r="AF358" s="17">
        <f t="shared" si="249"/>
        <v>570000</v>
      </c>
      <c r="AG358" s="17">
        <f t="shared" si="249"/>
        <v>570000</v>
      </c>
      <c r="AH358" s="17">
        <f t="shared" si="249"/>
        <v>570000</v>
      </c>
      <c r="AI358" s="17">
        <f t="shared" si="249"/>
        <v>570000</v>
      </c>
      <c r="AJ358" s="162" t="b">
        <f t="shared" si="236"/>
        <v>1</v>
      </c>
      <c r="AK358" s="162" t="str">
        <f t="shared" si="237"/>
        <v>PRAZNO</v>
      </c>
      <c r="AM358" s="264"/>
    </row>
    <row r="359" spans="1:39" ht="30" x14ac:dyDescent="0.2">
      <c r="B359" s="177"/>
      <c r="C359" s="177"/>
      <c r="D359" s="177"/>
      <c r="E359" s="177">
        <v>3811</v>
      </c>
      <c r="F359" s="176">
        <v>11</v>
      </c>
      <c r="G359" s="176" t="s">
        <v>228</v>
      </c>
      <c r="H359" s="16" t="s">
        <v>261</v>
      </c>
      <c r="I359" s="18">
        <v>365760</v>
      </c>
      <c r="J359" s="18">
        <v>274320</v>
      </c>
      <c r="K359" s="18">
        <f t="shared" si="245"/>
        <v>75</v>
      </c>
      <c r="L359" s="18">
        <f t="shared" si="246"/>
        <v>0</v>
      </c>
      <c r="M359" s="18">
        <v>365760</v>
      </c>
      <c r="N359" s="18">
        <v>350000</v>
      </c>
      <c r="O359" s="18">
        <v>188007</v>
      </c>
      <c r="P359" s="26">
        <f t="shared" si="247"/>
        <v>70000</v>
      </c>
      <c r="Q359" s="18">
        <v>350000</v>
      </c>
      <c r="R359" s="18">
        <v>360000</v>
      </c>
      <c r="S359" s="18">
        <v>365000</v>
      </c>
      <c r="T359" s="27">
        <v>420000</v>
      </c>
      <c r="U359" s="27">
        <v>420000</v>
      </c>
      <c r="V359" s="27">
        <v>510000</v>
      </c>
      <c r="W359" s="27">
        <v>510000</v>
      </c>
      <c r="X359" s="27">
        <v>536000</v>
      </c>
      <c r="Y359" s="27">
        <v>123569</v>
      </c>
      <c r="Z359" s="27">
        <f t="shared" si="243"/>
        <v>24.23</v>
      </c>
      <c r="AA359" s="27">
        <f t="shared" si="234"/>
        <v>60000</v>
      </c>
      <c r="AB359" s="27">
        <v>570000</v>
      </c>
      <c r="AC359" s="27">
        <v>321927</v>
      </c>
      <c r="AD359" s="27">
        <f t="shared" si="226"/>
        <v>56.478421052631575</v>
      </c>
      <c r="AE359" s="27">
        <f t="shared" si="225"/>
        <v>0</v>
      </c>
      <c r="AF359" s="27">
        <v>570000</v>
      </c>
      <c r="AG359" s="27">
        <v>570000</v>
      </c>
      <c r="AH359" s="27">
        <v>570000</v>
      </c>
      <c r="AI359" s="27">
        <v>570000</v>
      </c>
      <c r="AJ359" s="162" t="b">
        <f t="shared" si="236"/>
        <v>0</v>
      </c>
      <c r="AK359" s="162" t="str">
        <f t="shared" si="237"/>
        <v>PUNO</v>
      </c>
      <c r="AM359" s="264"/>
    </row>
    <row r="360" spans="1:39" s="264" customFormat="1" ht="15.75" x14ac:dyDescent="0.2">
      <c r="A360" s="483"/>
      <c r="B360" s="624"/>
      <c r="C360" s="624"/>
      <c r="D360" s="624"/>
      <c r="E360" s="624"/>
      <c r="F360" s="624"/>
      <c r="G360" s="624"/>
      <c r="H360" s="383" t="s">
        <v>580</v>
      </c>
      <c r="I360" s="205">
        <f>I362</f>
        <v>66040</v>
      </c>
      <c r="J360" s="205">
        <f>J362</f>
        <v>35000</v>
      </c>
      <c r="K360" s="205">
        <f t="shared" si="245"/>
        <v>53</v>
      </c>
      <c r="L360" s="205">
        <f t="shared" si="246"/>
        <v>-13040</v>
      </c>
      <c r="M360" s="53">
        <f>M362</f>
        <v>53000</v>
      </c>
      <c r="N360" s="53">
        <f>N362</f>
        <v>45000</v>
      </c>
      <c r="O360" s="53">
        <f>O362</f>
        <v>52000</v>
      </c>
      <c r="P360" s="303">
        <f t="shared" si="247"/>
        <v>20000</v>
      </c>
      <c r="Q360" s="53">
        <f t="shared" ref="Q360:X360" si="250">Q362</f>
        <v>45000</v>
      </c>
      <c r="R360" s="53">
        <f t="shared" si="250"/>
        <v>65000</v>
      </c>
      <c r="S360" s="53">
        <f t="shared" si="250"/>
        <v>66000</v>
      </c>
      <c r="T360" s="53">
        <f t="shared" si="250"/>
        <v>65000</v>
      </c>
      <c r="U360" s="53">
        <f>U362</f>
        <v>64500</v>
      </c>
      <c r="V360" s="53">
        <f t="shared" si="250"/>
        <v>65000</v>
      </c>
      <c r="W360" s="53">
        <f t="shared" si="250"/>
        <v>65000</v>
      </c>
      <c r="X360" s="53">
        <f t="shared" si="250"/>
        <v>65000</v>
      </c>
      <c r="Y360" s="53">
        <f>Y362</f>
        <v>16000</v>
      </c>
      <c r="Z360" s="53">
        <f t="shared" si="243"/>
        <v>24.62</v>
      </c>
      <c r="AA360" s="53">
        <f t="shared" si="234"/>
        <v>0</v>
      </c>
      <c r="AB360" s="53">
        <f>AB362</f>
        <v>65000</v>
      </c>
      <c r="AC360" s="53">
        <f>AC362</f>
        <v>52500</v>
      </c>
      <c r="AD360" s="53">
        <f t="shared" ref="AD360:AD423" si="251">AC360/AB360*100</f>
        <v>80.769230769230774</v>
      </c>
      <c r="AE360" s="53">
        <f t="shared" si="225"/>
        <v>8000</v>
      </c>
      <c r="AF360" s="53">
        <f>AF362</f>
        <v>73000</v>
      </c>
      <c r="AG360" s="53">
        <f>AG362</f>
        <v>65000</v>
      </c>
      <c r="AH360" s="53">
        <f>AH362</f>
        <v>65000</v>
      </c>
      <c r="AI360" s="53">
        <f>AI362</f>
        <v>65000</v>
      </c>
      <c r="AJ360" s="162" t="b">
        <f t="shared" si="236"/>
        <v>1</v>
      </c>
      <c r="AK360" s="162" t="str">
        <f t="shared" si="237"/>
        <v>PRAZNO</v>
      </c>
      <c r="AL360" s="626"/>
    </row>
    <row r="361" spans="1:39" s="264" customFormat="1" ht="15.75" x14ac:dyDescent="0.2">
      <c r="A361" s="259"/>
      <c r="B361" s="260"/>
      <c r="C361" s="260"/>
      <c r="D361" s="260"/>
      <c r="E361" s="260"/>
      <c r="F361" s="260"/>
      <c r="G361" s="260"/>
      <c r="H361" s="441" t="s">
        <v>824</v>
      </c>
      <c r="I361" s="181"/>
      <c r="J361" s="181"/>
      <c r="K361" s="181"/>
      <c r="L361" s="181"/>
      <c r="M361" s="262"/>
      <c r="N361" s="262"/>
      <c r="O361" s="262"/>
      <c r="P361" s="445"/>
      <c r="Q361" s="262"/>
      <c r="R361" s="262"/>
      <c r="S361" s="262"/>
      <c r="T361" s="342"/>
      <c r="U361" s="342"/>
      <c r="V361" s="262">
        <f>V362</f>
        <v>65000</v>
      </c>
      <c r="W361" s="262">
        <f>W362</f>
        <v>65000</v>
      </c>
      <c r="X361" s="262">
        <f>X362</f>
        <v>65000</v>
      </c>
      <c r="Y361" s="262">
        <f>Y362</f>
        <v>16000</v>
      </c>
      <c r="Z361" s="262">
        <f t="shared" si="243"/>
        <v>24.62</v>
      </c>
      <c r="AA361" s="262">
        <f t="shared" si="234"/>
        <v>0</v>
      </c>
      <c r="AB361" s="262">
        <f>AB362</f>
        <v>65000</v>
      </c>
      <c r="AC361" s="262">
        <f>AC362</f>
        <v>52500</v>
      </c>
      <c r="AD361" s="262">
        <f t="shared" si="251"/>
        <v>80.769230769230774</v>
      </c>
      <c r="AE361" s="262">
        <f t="shared" si="225"/>
        <v>8000</v>
      </c>
      <c r="AF361" s="262">
        <f>AF362</f>
        <v>73000</v>
      </c>
      <c r="AG361" s="262">
        <f>AG362</f>
        <v>65000</v>
      </c>
      <c r="AH361" s="262">
        <f>AH362</f>
        <v>65000</v>
      </c>
      <c r="AI361" s="262">
        <f>AI362</f>
        <v>65000</v>
      </c>
      <c r="AJ361" s="162" t="b">
        <f t="shared" si="236"/>
        <v>1</v>
      </c>
      <c r="AK361" s="162" t="str">
        <f t="shared" si="237"/>
        <v>PRAZNO</v>
      </c>
      <c r="AL361" s="263"/>
    </row>
    <row r="362" spans="1:39" s="264" customFormat="1" ht="15.75" x14ac:dyDescent="0.2">
      <c r="A362" s="259"/>
      <c r="B362" s="172">
        <v>3</v>
      </c>
      <c r="C362" s="172"/>
      <c r="D362" s="172"/>
      <c r="E362" s="172"/>
      <c r="F362" s="172"/>
      <c r="G362" s="172"/>
      <c r="H362" s="14" t="s">
        <v>524</v>
      </c>
      <c r="I362" s="20">
        <f t="shared" ref="I362:AI364" si="252">I363</f>
        <v>66040</v>
      </c>
      <c r="J362" s="20">
        <f t="shared" si="252"/>
        <v>35000</v>
      </c>
      <c r="K362" s="20">
        <f t="shared" si="245"/>
        <v>53</v>
      </c>
      <c r="L362" s="20">
        <f t="shared" si="246"/>
        <v>-13040</v>
      </c>
      <c r="M362" s="20">
        <f t="shared" si="252"/>
        <v>53000</v>
      </c>
      <c r="N362" s="20">
        <f t="shared" si="252"/>
        <v>45000</v>
      </c>
      <c r="O362" s="20">
        <f t="shared" si="252"/>
        <v>52000</v>
      </c>
      <c r="P362" s="55">
        <f t="shared" si="247"/>
        <v>20000</v>
      </c>
      <c r="Q362" s="20">
        <f t="shared" si="252"/>
        <v>45000</v>
      </c>
      <c r="R362" s="20">
        <f t="shared" si="252"/>
        <v>65000</v>
      </c>
      <c r="S362" s="20">
        <f t="shared" si="252"/>
        <v>66000</v>
      </c>
      <c r="T362" s="55">
        <f t="shared" si="252"/>
        <v>65000</v>
      </c>
      <c r="U362" s="55">
        <f t="shared" si="252"/>
        <v>64500</v>
      </c>
      <c r="V362" s="20">
        <f t="shared" si="252"/>
        <v>65000</v>
      </c>
      <c r="W362" s="20">
        <f t="shared" si="252"/>
        <v>65000</v>
      </c>
      <c r="X362" s="20">
        <f t="shared" si="252"/>
        <v>65000</v>
      </c>
      <c r="Y362" s="20">
        <f t="shared" si="252"/>
        <v>16000</v>
      </c>
      <c r="Z362" s="20">
        <f t="shared" si="243"/>
        <v>24.62</v>
      </c>
      <c r="AA362" s="20">
        <f t="shared" si="234"/>
        <v>0</v>
      </c>
      <c r="AB362" s="20">
        <f t="shared" si="252"/>
        <v>65000</v>
      </c>
      <c r="AC362" s="20">
        <f t="shared" si="252"/>
        <v>52500</v>
      </c>
      <c r="AD362" s="20">
        <f t="shared" si="251"/>
        <v>80.769230769230774</v>
      </c>
      <c r="AE362" s="20">
        <f t="shared" si="225"/>
        <v>8000</v>
      </c>
      <c r="AF362" s="20">
        <f t="shared" si="252"/>
        <v>73000</v>
      </c>
      <c r="AG362" s="20">
        <f t="shared" si="252"/>
        <v>65000</v>
      </c>
      <c r="AH362" s="20">
        <f t="shared" si="252"/>
        <v>65000</v>
      </c>
      <c r="AI362" s="20">
        <f t="shared" si="252"/>
        <v>65000</v>
      </c>
      <c r="AJ362" s="162" t="b">
        <f t="shared" si="236"/>
        <v>1</v>
      </c>
      <c r="AK362" s="162" t="str">
        <f t="shared" si="237"/>
        <v>PRAZNO</v>
      </c>
      <c r="AL362" s="263"/>
    </row>
    <row r="363" spans="1:39" ht="15.75" x14ac:dyDescent="0.2">
      <c r="B363" s="175"/>
      <c r="C363" s="175">
        <v>38</v>
      </c>
      <c r="D363" s="175"/>
      <c r="E363" s="175"/>
      <c r="F363" s="175"/>
      <c r="G363" s="175"/>
      <c r="H363" s="15" t="s">
        <v>539</v>
      </c>
      <c r="I363" s="22">
        <f t="shared" si="252"/>
        <v>66040</v>
      </c>
      <c r="J363" s="22">
        <f t="shared" si="252"/>
        <v>35000</v>
      </c>
      <c r="K363" s="22">
        <f t="shared" si="245"/>
        <v>53</v>
      </c>
      <c r="L363" s="22">
        <f t="shared" si="246"/>
        <v>-13040</v>
      </c>
      <c r="M363" s="22">
        <f t="shared" si="252"/>
        <v>53000</v>
      </c>
      <c r="N363" s="22">
        <f t="shared" si="252"/>
        <v>45000</v>
      </c>
      <c r="O363" s="22">
        <f t="shared" si="252"/>
        <v>52000</v>
      </c>
      <c r="P363" s="26">
        <f t="shared" si="247"/>
        <v>20000</v>
      </c>
      <c r="Q363" s="22">
        <f t="shared" si="252"/>
        <v>45000</v>
      </c>
      <c r="R363" s="22">
        <f t="shared" si="252"/>
        <v>65000</v>
      </c>
      <c r="S363" s="22">
        <f t="shared" si="252"/>
        <v>66000</v>
      </c>
      <c r="T363" s="38">
        <f t="shared" si="252"/>
        <v>65000</v>
      </c>
      <c r="U363" s="38">
        <f t="shared" si="252"/>
        <v>64500</v>
      </c>
      <c r="V363" s="22">
        <f t="shared" si="252"/>
        <v>65000</v>
      </c>
      <c r="W363" s="22">
        <f t="shared" si="252"/>
        <v>65000</v>
      </c>
      <c r="X363" s="22">
        <f t="shared" si="252"/>
        <v>65000</v>
      </c>
      <c r="Y363" s="22">
        <f t="shared" si="252"/>
        <v>16000</v>
      </c>
      <c r="Z363" s="22">
        <f t="shared" si="243"/>
        <v>24.62</v>
      </c>
      <c r="AA363" s="22">
        <f t="shared" si="234"/>
        <v>0</v>
      </c>
      <c r="AB363" s="22">
        <f t="shared" si="252"/>
        <v>65000</v>
      </c>
      <c r="AC363" s="22">
        <f t="shared" si="252"/>
        <v>52500</v>
      </c>
      <c r="AD363" s="22">
        <f t="shared" si="251"/>
        <v>80.769230769230774</v>
      </c>
      <c r="AE363" s="22">
        <f t="shared" si="225"/>
        <v>8000</v>
      </c>
      <c r="AF363" s="22">
        <f t="shared" si="252"/>
        <v>73000</v>
      </c>
      <c r="AG363" s="22">
        <f t="shared" si="252"/>
        <v>65000</v>
      </c>
      <c r="AH363" s="22">
        <f t="shared" si="252"/>
        <v>65000</v>
      </c>
      <c r="AI363" s="22">
        <f t="shared" si="252"/>
        <v>65000</v>
      </c>
      <c r="AJ363" s="162" t="b">
        <f t="shared" si="236"/>
        <v>1</v>
      </c>
      <c r="AK363" s="162" t="str">
        <f t="shared" si="237"/>
        <v>PRAZNO</v>
      </c>
      <c r="AM363" s="264"/>
    </row>
    <row r="364" spans="1:39" ht="15.75" x14ac:dyDescent="0.2">
      <c r="B364" s="177"/>
      <c r="C364" s="177"/>
      <c r="D364" s="177">
        <v>381</v>
      </c>
      <c r="E364" s="177"/>
      <c r="F364" s="177"/>
      <c r="G364" s="177"/>
      <c r="H364" s="16" t="s">
        <v>540</v>
      </c>
      <c r="I364" s="17">
        <f t="shared" si="252"/>
        <v>66040</v>
      </c>
      <c r="J364" s="17">
        <f t="shared" si="252"/>
        <v>35000</v>
      </c>
      <c r="K364" s="17">
        <f t="shared" si="245"/>
        <v>53</v>
      </c>
      <c r="L364" s="17">
        <f t="shared" si="246"/>
        <v>-13040</v>
      </c>
      <c r="M364" s="17">
        <f t="shared" si="252"/>
        <v>53000</v>
      </c>
      <c r="N364" s="17">
        <f t="shared" si="252"/>
        <v>45000</v>
      </c>
      <c r="O364" s="17">
        <f t="shared" si="252"/>
        <v>52000</v>
      </c>
      <c r="P364" s="26">
        <f t="shared" si="247"/>
        <v>20000</v>
      </c>
      <c r="Q364" s="17">
        <f t="shared" si="252"/>
        <v>45000</v>
      </c>
      <c r="R364" s="17">
        <f t="shared" si="252"/>
        <v>65000</v>
      </c>
      <c r="S364" s="17">
        <f t="shared" si="252"/>
        <v>66000</v>
      </c>
      <c r="T364" s="26">
        <f t="shared" si="252"/>
        <v>65000</v>
      </c>
      <c r="U364" s="26">
        <f t="shared" si="252"/>
        <v>64500</v>
      </c>
      <c r="V364" s="17">
        <f t="shared" si="252"/>
        <v>65000</v>
      </c>
      <c r="W364" s="17">
        <f t="shared" si="252"/>
        <v>65000</v>
      </c>
      <c r="X364" s="17">
        <f t="shared" si="252"/>
        <v>65000</v>
      </c>
      <c r="Y364" s="17">
        <f t="shared" si="252"/>
        <v>16000</v>
      </c>
      <c r="Z364" s="17">
        <f t="shared" si="243"/>
        <v>24.62</v>
      </c>
      <c r="AA364" s="17">
        <f t="shared" si="234"/>
        <v>0</v>
      </c>
      <c r="AB364" s="17">
        <f t="shared" si="252"/>
        <v>65000</v>
      </c>
      <c r="AC364" s="17">
        <f t="shared" si="252"/>
        <v>52500</v>
      </c>
      <c r="AD364" s="17">
        <f t="shared" si="251"/>
        <v>80.769230769230774</v>
      </c>
      <c r="AE364" s="17">
        <f t="shared" si="225"/>
        <v>8000</v>
      </c>
      <c r="AF364" s="17">
        <f t="shared" si="252"/>
        <v>73000</v>
      </c>
      <c r="AG364" s="17">
        <f t="shared" si="252"/>
        <v>65000</v>
      </c>
      <c r="AH364" s="17">
        <f t="shared" si="252"/>
        <v>65000</v>
      </c>
      <c r="AI364" s="17">
        <f t="shared" si="252"/>
        <v>65000</v>
      </c>
      <c r="AJ364" s="162" t="b">
        <f t="shared" si="236"/>
        <v>1</v>
      </c>
      <c r="AK364" s="162" t="str">
        <f t="shared" si="237"/>
        <v>PRAZNO</v>
      </c>
      <c r="AM364" s="264"/>
    </row>
    <row r="365" spans="1:39" ht="15.75" x14ac:dyDescent="0.2">
      <c r="B365" s="177"/>
      <c r="C365" s="177"/>
      <c r="D365" s="177"/>
      <c r="E365" s="177">
        <v>3811</v>
      </c>
      <c r="F365" s="176">
        <v>11</v>
      </c>
      <c r="G365" s="176" t="s">
        <v>228</v>
      </c>
      <c r="H365" s="16" t="s">
        <v>262</v>
      </c>
      <c r="I365" s="18">
        <v>66040</v>
      </c>
      <c r="J365" s="18">
        <v>35000</v>
      </c>
      <c r="K365" s="18">
        <f t="shared" si="245"/>
        <v>53</v>
      </c>
      <c r="L365" s="18">
        <f t="shared" si="246"/>
        <v>-13040</v>
      </c>
      <c r="M365" s="18">
        <v>53000</v>
      </c>
      <c r="N365" s="18">
        <v>45000</v>
      </c>
      <c r="O365" s="18">
        <v>52000</v>
      </c>
      <c r="P365" s="26">
        <f t="shared" si="247"/>
        <v>20000</v>
      </c>
      <c r="Q365" s="18">
        <v>45000</v>
      </c>
      <c r="R365" s="18">
        <v>65000</v>
      </c>
      <c r="S365" s="18">
        <v>66000</v>
      </c>
      <c r="T365" s="27">
        <v>65000</v>
      </c>
      <c r="U365" s="27">
        <v>64500</v>
      </c>
      <c r="V365" s="27">
        <v>65000</v>
      </c>
      <c r="W365" s="27">
        <v>65000</v>
      </c>
      <c r="X365" s="27">
        <v>65000</v>
      </c>
      <c r="Y365" s="27">
        <v>16000</v>
      </c>
      <c r="Z365" s="27">
        <f t="shared" si="243"/>
        <v>24.62</v>
      </c>
      <c r="AA365" s="27">
        <f t="shared" si="234"/>
        <v>0</v>
      </c>
      <c r="AB365" s="27">
        <v>65000</v>
      </c>
      <c r="AC365" s="27">
        <v>52500</v>
      </c>
      <c r="AD365" s="27">
        <f t="shared" si="251"/>
        <v>80.769230769230774</v>
      </c>
      <c r="AE365" s="27">
        <f t="shared" si="225"/>
        <v>8000</v>
      </c>
      <c r="AF365" s="27">
        <f>65000+8000</f>
        <v>73000</v>
      </c>
      <c r="AG365" s="27">
        <v>65000</v>
      </c>
      <c r="AH365" s="27">
        <v>65000</v>
      </c>
      <c r="AI365" s="27">
        <v>65000</v>
      </c>
      <c r="AJ365" s="162" t="b">
        <f t="shared" si="236"/>
        <v>0</v>
      </c>
      <c r="AK365" s="162" t="str">
        <f t="shared" si="237"/>
        <v>PUNO</v>
      </c>
      <c r="AM365" s="264"/>
    </row>
    <row r="366" spans="1:39" s="264" customFormat="1" ht="31.5" x14ac:dyDescent="0.2">
      <c r="A366" s="483"/>
      <c r="B366" s="624"/>
      <c r="C366" s="624"/>
      <c r="D366" s="624"/>
      <c r="E366" s="624"/>
      <c r="F366" s="624"/>
      <c r="G366" s="624"/>
      <c r="H366" s="625" t="s">
        <v>151</v>
      </c>
      <c r="I366" s="205">
        <f>I370</f>
        <v>396240</v>
      </c>
      <c r="J366" s="205">
        <f>J370</f>
        <v>108500</v>
      </c>
      <c r="K366" s="205">
        <f t="shared" si="245"/>
        <v>27.38</v>
      </c>
      <c r="L366" s="205">
        <f t="shared" si="246"/>
        <v>-240</v>
      </c>
      <c r="M366" s="53">
        <f>M370</f>
        <v>396000</v>
      </c>
      <c r="N366" s="53">
        <f>N370</f>
        <v>370000</v>
      </c>
      <c r="O366" s="53">
        <f>O370</f>
        <v>152000</v>
      </c>
      <c r="P366" s="303">
        <f t="shared" si="247"/>
        <v>20000</v>
      </c>
      <c r="Q366" s="53">
        <f t="shared" ref="Q366:X366" si="253">Q370</f>
        <v>370000</v>
      </c>
      <c r="R366" s="53">
        <f t="shared" si="253"/>
        <v>390000</v>
      </c>
      <c r="S366" s="53">
        <f t="shared" si="253"/>
        <v>392000</v>
      </c>
      <c r="T366" s="53">
        <f t="shared" si="253"/>
        <v>390000</v>
      </c>
      <c r="U366" s="53">
        <f>U370</f>
        <v>390000</v>
      </c>
      <c r="V366" s="53">
        <f t="shared" si="253"/>
        <v>300000</v>
      </c>
      <c r="W366" s="53">
        <f t="shared" si="253"/>
        <v>300000</v>
      </c>
      <c r="X366" s="53">
        <f t="shared" si="253"/>
        <v>294000</v>
      </c>
      <c r="Y366" s="53">
        <f>Y370</f>
        <v>66600</v>
      </c>
      <c r="Z366" s="53">
        <f t="shared" si="243"/>
        <v>22.2</v>
      </c>
      <c r="AA366" s="53">
        <f t="shared" si="234"/>
        <v>40000</v>
      </c>
      <c r="AB366" s="53">
        <f>AB368</f>
        <v>340000</v>
      </c>
      <c r="AC366" s="53">
        <f>AC368</f>
        <v>119600</v>
      </c>
      <c r="AD366" s="53">
        <f t="shared" si="251"/>
        <v>35.17647058823529</v>
      </c>
      <c r="AE366" s="53">
        <f t="shared" ref="AE366:AE429" si="254">AF366-AB366</f>
        <v>0</v>
      </c>
      <c r="AF366" s="53">
        <f>AF368</f>
        <v>340000</v>
      </c>
      <c r="AG366" s="53">
        <f>AG368</f>
        <v>340000</v>
      </c>
      <c r="AH366" s="53">
        <f>AH368</f>
        <v>340000</v>
      </c>
      <c r="AI366" s="53">
        <f>AI368</f>
        <v>340000</v>
      </c>
      <c r="AJ366" s="162" t="b">
        <f t="shared" si="236"/>
        <v>1</v>
      </c>
      <c r="AK366" s="162" t="str">
        <f t="shared" si="237"/>
        <v>PRAZNO</v>
      </c>
      <c r="AL366" s="626"/>
    </row>
    <row r="367" spans="1:39" s="264" customFormat="1" ht="15.75" x14ac:dyDescent="0.2">
      <c r="A367" s="259"/>
      <c r="B367" s="260"/>
      <c r="C367" s="260"/>
      <c r="D367" s="260"/>
      <c r="E367" s="260"/>
      <c r="F367" s="260"/>
      <c r="G367" s="260"/>
      <c r="H367" s="440" t="s">
        <v>824</v>
      </c>
      <c r="I367" s="181"/>
      <c r="J367" s="181"/>
      <c r="K367" s="181"/>
      <c r="L367" s="181"/>
      <c r="M367" s="262"/>
      <c r="N367" s="262"/>
      <c r="O367" s="262"/>
      <c r="P367" s="445"/>
      <c r="Q367" s="262"/>
      <c r="R367" s="262"/>
      <c r="S367" s="262"/>
      <c r="T367" s="342"/>
      <c r="U367" s="342"/>
      <c r="V367" s="262">
        <f>V368</f>
        <v>300000</v>
      </c>
      <c r="W367" s="262">
        <f>W368</f>
        <v>300000</v>
      </c>
      <c r="X367" s="262">
        <f>X368</f>
        <v>294000</v>
      </c>
      <c r="Y367" s="262">
        <f>Y368</f>
        <v>66600</v>
      </c>
      <c r="Z367" s="262">
        <f t="shared" si="243"/>
        <v>22.2</v>
      </c>
      <c r="AA367" s="262">
        <f t="shared" si="234"/>
        <v>40000</v>
      </c>
      <c r="AB367" s="262">
        <f>AB368</f>
        <v>340000</v>
      </c>
      <c r="AC367" s="262">
        <f>AC368</f>
        <v>119600</v>
      </c>
      <c r="AD367" s="262">
        <f t="shared" si="251"/>
        <v>35.17647058823529</v>
      </c>
      <c r="AE367" s="262">
        <f t="shared" si="254"/>
        <v>0</v>
      </c>
      <c r="AF367" s="262">
        <f>AF368</f>
        <v>340000</v>
      </c>
      <c r="AG367" s="262">
        <f>AG368</f>
        <v>340000</v>
      </c>
      <c r="AH367" s="262">
        <f>AH368</f>
        <v>340000</v>
      </c>
      <c r="AI367" s="262">
        <f>AI368</f>
        <v>340000</v>
      </c>
      <c r="AJ367" s="162" t="b">
        <f t="shared" si="236"/>
        <v>1</v>
      </c>
      <c r="AK367" s="162" t="str">
        <f t="shared" si="237"/>
        <v>PRAZNO</v>
      </c>
      <c r="AL367" s="263"/>
    </row>
    <row r="368" spans="1:39" s="264" customFormat="1" ht="15.75" x14ac:dyDescent="0.2">
      <c r="A368" s="259"/>
      <c r="B368" s="172">
        <v>3</v>
      </c>
      <c r="C368" s="172"/>
      <c r="D368" s="172"/>
      <c r="E368" s="172"/>
      <c r="F368" s="172"/>
      <c r="G368" s="172"/>
      <c r="H368" s="14" t="s">
        <v>524</v>
      </c>
      <c r="I368" s="20">
        <f t="shared" ref="I368:AI370" si="255">I369</f>
        <v>396240</v>
      </c>
      <c r="J368" s="20">
        <f t="shared" si="255"/>
        <v>108500</v>
      </c>
      <c r="K368" s="20">
        <f t="shared" si="245"/>
        <v>27.38</v>
      </c>
      <c r="L368" s="20">
        <f t="shared" si="246"/>
        <v>-240</v>
      </c>
      <c r="M368" s="20">
        <f t="shared" si="255"/>
        <v>396000</v>
      </c>
      <c r="N368" s="20">
        <f t="shared" si="255"/>
        <v>370000</v>
      </c>
      <c r="O368" s="20">
        <f t="shared" si="255"/>
        <v>152000</v>
      </c>
      <c r="P368" s="55">
        <f t="shared" si="247"/>
        <v>20000</v>
      </c>
      <c r="Q368" s="20">
        <f t="shared" si="255"/>
        <v>370000</v>
      </c>
      <c r="R368" s="20">
        <f t="shared" si="255"/>
        <v>390000</v>
      </c>
      <c r="S368" s="20">
        <f t="shared" si="255"/>
        <v>392000</v>
      </c>
      <c r="T368" s="55">
        <f t="shared" si="255"/>
        <v>390000</v>
      </c>
      <c r="U368" s="55">
        <f t="shared" si="255"/>
        <v>390000</v>
      </c>
      <c r="V368" s="20">
        <f t="shared" si="255"/>
        <v>300000</v>
      </c>
      <c r="W368" s="20">
        <f t="shared" si="255"/>
        <v>300000</v>
      </c>
      <c r="X368" s="20">
        <f t="shared" si="255"/>
        <v>294000</v>
      </c>
      <c r="Y368" s="20">
        <f t="shared" si="255"/>
        <v>66600</v>
      </c>
      <c r="Z368" s="20">
        <f t="shared" si="243"/>
        <v>22.2</v>
      </c>
      <c r="AA368" s="20">
        <f t="shared" si="234"/>
        <v>40000</v>
      </c>
      <c r="AB368" s="20">
        <f t="shared" si="255"/>
        <v>340000</v>
      </c>
      <c r="AC368" s="20">
        <f t="shared" si="255"/>
        <v>119600</v>
      </c>
      <c r="AD368" s="20">
        <f t="shared" si="251"/>
        <v>35.17647058823529</v>
      </c>
      <c r="AE368" s="20">
        <f t="shared" si="254"/>
        <v>0</v>
      </c>
      <c r="AF368" s="20">
        <f t="shared" si="255"/>
        <v>340000</v>
      </c>
      <c r="AG368" s="20">
        <f t="shared" si="255"/>
        <v>340000</v>
      </c>
      <c r="AH368" s="20">
        <f t="shared" si="255"/>
        <v>340000</v>
      </c>
      <c r="AI368" s="20">
        <f t="shared" si="255"/>
        <v>340000</v>
      </c>
      <c r="AJ368" s="162" t="b">
        <f t="shared" si="236"/>
        <v>1</v>
      </c>
      <c r="AK368" s="162" t="str">
        <f t="shared" si="237"/>
        <v>PRAZNO</v>
      </c>
      <c r="AL368" s="263"/>
    </row>
    <row r="369" spans="1:39" ht="15.75" x14ac:dyDescent="0.2">
      <c r="B369" s="175"/>
      <c r="C369" s="175">
        <v>38</v>
      </c>
      <c r="D369" s="175"/>
      <c r="E369" s="175"/>
      <c r="F369" s="175"/>
      <c r="G369" s="175"/>
      <c r="H369" s="15" t="s">
        <v>539</v>
      </c>
      <c r="I369" s="22">
        <f t="shared" si="255"/>
        <v>396240</v>
      </c>
      <c r="J369" s="22">
        <f t="shared" si="255"/>
        <v>108500</v>
      </c>
      <c r="K369" s="22">
        <f t="shared" si="245"/>
        <v>27.38</v>
      </c>
      <c r="L369" s="22">
        <f t="shared" si="246"/>
        <v>-240</v>
      </c>
      <c r="M369" s="22">
        <f t="shared" si="255"/>
        <v>396000</v>
      </c>
      <c r="N369" s="22">
        <f t="shared" si="255"/>
        <v>370000</v>
      </c>
      <c r="O369" s="22">
        <f t="shared" si="255"/>
        <v>152000</v>
      </c>
      <c r="P369" s="26">
        <f t="shared" si="247"/>
        <v>20000</v>
      </c>
      <c r="Q369" s="22">
        <f t="shared" si="255"/>
        <v>370000</v>
      </c>
      <c r="R369" s="22">
        <f t="shared" si="255"/>
        <v>390000</v>
      </c>
      <c r="S369" s="22">
        <f t="shared" si="255"/>
        <v>392000</v>
      </c>
      <c r="T369" s="38">
        <f t="shared" si="255"/>
        <v>390000</v>
      </c>
      <c r="U369" s="38">
        <f t="shared" si="255"/>
        <v>390000</v>
      </c>
      <c r="V369" s="22">
        <f t="shared" si="255"/>
        <v>300000</v>
      </c>
      <c r="W369" s="22">
        <f t="shared" si="255"/>
        <v>300000</v>
      </c>
      <c r="X369" s="22">
        <f t="shared" si="255"/>
        <v>294000</v>
      </c>
      <c r="Y369" s="22">
        <f t="shared" si="255"/>
        <v>66600</v>
      </c>
      <c r="Z369" s="22">
        <f t="shared" si="243"/>
        <v>22.2</v>
      </c>
      <c r="AA369" s="22">
        <f t="shared" si="234"/>
        <v>40000</v>
      </c>
      <c r="AB369" s="22">
        <f t="shared" si="255"/>
        <v>340000</v>
      </c>
      <c r="AC369" s="22">
        <f t="shared" si="255"/>
        <v>119600</v>
      </c>
      <c r="AD369" s="22">
        <f t="shared" si="251"/>
        <v>35.17647058823529</v>
      </c>
      <c r="AE369" s="22">
        <f t="shared" si="254"/>
        <v>0</v>
      </c>
      <c r="AF369" s="22">
        <f t="shared" si="255"/>
        <v>340000</v>
      </c>
      <c r="AG369" s="22">
        <f t="shared" si="255"/>
        <v>340000</v>
      </c>
      <c r="AH369" s="22">
        <f t="shared" si="255"/>
        <v>340000</v>
      </c>
      <c r="AI369" s="22">
        <f t="shared" si="255"/>
        <v>340000</v>
      </c>
      <c r="AJ369" s="162" t="b">
        <f t="shared" si="236"/>
        <v>1</v>
      </c>
      <c r="AK369" s="162" t="str">
        <f t="shared" si="237"/>
        <v>PRAZNO</v>
      </c>
      <c r="AM369" s="264"/>
    </row>
    <row r="370" spans="1:39" ht="15.75" x14ac:dyDescent="0.2">
      <c r="B370" s="177"/>
      <c r="C370" s="177"/>
      <c r="D370" s="177">
        <v>382</v>
      </c>
      <c r="E370" s="177"/>
      <c r="F370" s="177"/>
      <c r="G370" s="177"/>
      <c r="H370" s="16" t="s">
        <v>230</v>
      </c>
      <c r="I370" s="17">
        <f>I371</f>
        <v>396240</v>
      </c>
      <c r="J370" s="17">
        <f>J371</f>
        <v>108500</v>
      </c>
      <c r="K370" s="17">
        <f t="shared" si="245"/>
        <v>27.38</v>
      </c>
      <c r="L370" s="17">
        <f t="shared" si="246"/>
        <v>-240</v>
      </c>
      <c r="M370" s="17">
        <f>M371</f>
        <v>396000</v>
      </c>
      <c r="N370" s="17">
        <f>N371</f>
        <v>370000</v>
      </c>
      <c r="O370" s="17">
        <f>O371</f>
        <v>152000</v>
      </c>
      <c r="P370" s="26">
        <f t="shared" si="247"/>
        <v>20000</v>
      </c>
      <c r="Q370" s="17">
        <f t="shared" si="255"/>
        <v>370000</v>
      </c>
      <c r="R370" s="17">
        <f t="shared" si="255"/>
        <v>390000</v>
      </c>
      <c r="S370" s="17">
        <f t="shared" si="255"/>
        <v>392000</v>
      </c>
      <c r="T370" s="26">
        <f t="shared" si="255"/>
        <v>390000</v>
      </c>
      <c r="U370" s="26">
        <f t="shared" si="255"/>
        <v>390000</v>
      </c>
      <c r="V370" s="17">
        <f t="shared" si="255"/>
        <v>300000</v>
      </c>
      <c r="W370" s="17">
        <f t="shared" si="255"/>
        <v>300000</v>
      </c>
      <c r="X370" s="17">
        <f t="shared" si="255"/>
        <v>294000</v>
      </c>
      <c r="Y370" s="17">
        <f t="shared" si="255"/>
        <v>66600</v>
      </c>
      <c r="Z370" s="17">
        <f t="shared" si="243"/>
        <v>22.2</v>
      </c>
      <c r="AA370" s="17">
        <f t="shared" si="234"/>
        <v>40000</v>
      </c>
      <c r="AB370" s="17">
        <f t="shared" si="255"/>
        <v>340000</v>
      </c>
      <c r="AC370" s="17">
        <f t="shared" si="255"/>
        <v>119600</v>
      </c>
      <c r="AD370" s="17">
        <f t="shared" si="251"/>
        <v>35.17647058823529</v>
      </c>
      <c r="AE370" s="17">
        <f t="shared" si="254"/>
        <v>0</v>
      </c>
      <c r="AF370" s="17">
        <f t="shared" si="255"/>
        <v>340000</v>
      </c>
      <c r="AG370" s="17">
        <f t="shared" si="255"/>
        <v>340000</v>
      </c>
      <c r="AH370" s="17">
        <f t="shared" si="255"/>
        <v>340000</v>
      </c>
      <c r="AI370" s="17">
        <f t="shared" si="255"/>
        <v>340000</v>
      </c>
      <c r="AJ370" s="162" t="b">
        <f t="shared" si="236"/>
        <v>1</v>
      </c>
      <c r="AK370" s="162" t="str">
        <f t="shared" si="237"/>
        <v>PRAZNO</v>
      </c>
      <c r="AM370" s="264"/>
    </row>
    <row r="371" spans="1:39" ht="30" x14ac:dyDescent="0.2">
      <c r="B371" s="177"/>
      <c r="C371" s="177"/>
      <c r="D371" s="177"/>
      <c r="E371" s="177">
        <v>3821</v>
      </c>
      <c r="F371" s="176">
        <v>11</v>
      </c>
      <c r="G371" s="176" t="s">
        <v>228</v>
      </c>
      <c r="H371" s="16" t="s">
        <v>929</v>
      </c>
      <c r="I371" s="18">
        <v>396240</v>
      </c>
      <c r="J371" s="18">
        <v>108500</v>
      </c>
      <c r="K371" s="18">
        <f t="shared" si="245"/>
        <v>27.38</v>
      </c>
      <c r="L371" s="18">
        <f t="shared" si="246"/>
        <v>-240</v>
      </c>
      <c r="M371" s="18">
        <v>396000</v>
      </c>
      <c r="N371" s="18">
        <v>370000</v>
      </c>
      <c r="O371" s="18">
        <v>152000</v>
      </c>
      <c r="P371" s="26">
        <f t="shared" si="247"/>
        <v>20000</v>
      </c>
      <c r="Q371" s="18">
        <v>370000</v>
      </c>
      <c r="R371" s="18">
        <v>390000</v>
      </c>
      <c r="S371" s="18">
        <v>392000</v>
      </c>
      <c r="T371" s="27">
        <v>390000</v>
      </c>
      <c r="U371" s="27">
        <v>390000</v>
      </c>
      <c r="V371" s="27">
        <v>300000</v>
      </c>
      <c r="W371" s="27">
        <v>300000</v>
      </c>
      <c r="X371" s="27">
        <v>294000</v>
      </c>
      <c r="Y371" s="27">
        <v>66600</v>
      </c>
      <c r="Z371" s="27">
        <f t="shared" si="243"/>
        <v>22.2</v>
      </c>
      <c r="AA371" s="27">
        <f t="shared" si="234"/>
        <v>40000</v>
      </c>
      <c r="AB371" s="27">
        <v>340000</v>
      </c>
      <c r="AC371" s="27">
        <v>119600</v>
      </c>
      <c r="AD371" s="27">
        <f t="shared" si="251"/>
        <v>35.17647058823529</v>
      </c>
      <c r="AE371" s="27">
        <f t="shared" si="254"/>
        <v>0</v>
      </c>
      <c r="AF371" s="27">
        <v>340000</v>
      </c>
      <c r="AG371" s="27">
        <v>340000</v>
      </c>
      <c r="AH371" s="27">
        <v>340000</v>
      </c>
      <c r="AI371" s="27">
        <v>340000</v>
      </c>
      <c r="AJ371" s="162" t="b">
        <f t="shared" si="236"/>
        <v>0</v>
      </c>
      <c r="AK371" s="162" t="str">
        <f t="shared" si="237"/>
        <v>PUNO</v>
      </c>
      <c r="AM371" s="264"/>
    </row>
    <row r="372" spans="1:39" s="264" customFormat="1" ht="15.75" x14ac:dyDescent="0.2">
      <c r="A372" s="259"/>
      <c r="B372" s="194"/>
      <c r="C372" s="194"/>
      <c r="D372" s="194"/>
      <c r="E372" s="194"/>
      <c r="F372" s="194"/>
      <c r="G372" s="194"/>
      <c r="H372" s="21" t="s">
        <v>231</v>
      </c>
      <c r="I372" s="196">
        <f>I374</f>
        <v>1746800</v>
      </c>
      <c r="J372" s="196">
        <f>J374</f>
        <v>1158872.94</v>
      </c>
      <c r="K372" s="196">
        <f t="shared" si="245"/>
        <v>66.34</v>
      </c>
      <c r="L372" s="196">
        <f t="shared" si="246"/>
        <v>-292778.58000000007</v>
      </c>
      <c r="M372" s="195">
        <f>M374</f>
        <v>1454021.42</v>
      </c>
      <c r="N372" s="195" t="e">
        <f>N374</f>
        <v>#REF!</v>
      </c>
      <c r="O372" s="195">
        <f>O374</f>
        <v>794353.98</v>
      </c>
      <c r="P372" s="351" t="e">
        <f>T372-N372</f>
        <v>#REF!</v>
      </c>
      <c r="Q372" s="195" t="e">
        <f t="shared" ref="Q372:X372" si="256">Q374</f>
        <v>#REF!</v>
      </c>
      <c r="R372" s="195">
        <f t="shared" si="256"/>
        <v>1298000</v>
      </c>
      <c r="S372" s="195">
        <f t="shared" si="256"/>
        <v>1336100</v>
      </c>
      <c r="T372" s="195">
        <f t="shared" si="256"/>
        <v>1310200</v>
      </c>
      <c r="U372" s="195">
        <f>U374</f>
        <v>1213784.6599999999</v>
      </c>
      <c r="V372" s="195">
        <f t="shared" si="256"/>
        <v>1296600</v>
      </c>
      <c r="W372" s="195">
        <f t="shared" si="256"/>
        <v>1301600</v>
      </c>
      <c r="X372" s="195">
        <f t="shared" si="256"/>
        <v>1334000</v>
      </c>
      <c r="Y372" s="195">
        <f>Y374</f>
        <v>500873.38</v>
      </c>
      <c r="Z372" s="195">
        <f t="shared" si="243"/>
        <v>38.630000000000003</v>
      </c>
      <c r="AA372" s="195">
        <f t="shared" si="234"/>
        <v>-10500</v>
      </c>
      <c r="AB372" s="195">
        <f t="shared" ref="AB372:AG372" si="257">AB374</f>
        <v>1286100</v>
      </c>
      <c r="AC372" s="195">
        <f t="shared" si="257"/>
        <v>891213.58000000007</v>
      </c>
      <c r="AD372" s="195">
        <f t="shared" si="251"/>
        <v>69.295823030868519</v>
      </c>
      <c r="AE372" s="195">
        <f t="shared" si="254"/>
        <v>0</v>
      </c>
      <c r="AF372" s="195">
        <f t="shared" si="257"/>
        <v>1286100</v>
      </c>
      <c r="AG372" s="195">
        <f t="shared" si="257"/>
        <v>1350200</v>
      </c>
      <c r="AH372" s="195">
        <f>AH374</f>
        <v>1322900</v>
      </c>
      <c r="AI372" s="195">
        <f>AI374</f>
        <v>1333200</v>
      </c>
      <c r="AJ372" s="162" t="b">
        <f t="shared" si="236"/>
        <v>1</v>
      </c>
      <c r="AK372" s="162" t="str">
        <f t="shared" si="237"/>
        <v>PRAZNO</v>
      </c>
      <c r="AL372" s="486"/>
    </row>
    <row r="373" spans="1:39" s="264" customFormat="1" ht="15.75" x14ac:dyDescent="0.2">
      <c r="A373" s="259"/>
      <c r="B373" s="194"/>
      <c r="C373" s="194"/>
      <c r="D373" s="194"/>
      <c r="E373" s="194"/>
      <c r="F373" s="194"/>
      <c r="G373" s="194"/>
      <c r="H373" s="11" t="s">
        <v>573</v>
      </c>
      <c r="I373" s="196"/>
      <c r="J373" s="196"/>
      <c r="K373" s="196" t="e">
        <f t="shared" si="245"/>
        <v>#DIV/0!</v>
      </c>
      <c r="L373" s="196"/>
      <c r="M373" s="195"/>
      <c r="N373" s="195"/>
      <c r="O373" s="195"/>
      <c r="P373" s="353"/>
      <c r="Q373" s="195"/>
      <c r="R373" s="195"/>
      <c r="S373" s="195"/>
      <c r="T373" s="195"/>
      <c r="U373" s="195"/>
      <c r="V373" s="195"/>
      <c r="W373" s="195"/>
      <c r="X373" s="195"/>
      <c r="Y373" s="195"/>
      <c r="Z373" s="195"/>
      <c r="AA373" s="195"/>
      <c r="AB373" s="195"/>
      <c r="AC373" s="195"/>
      <c r="AD373" s="195"/>
      <c r="AE373" s="195">
        <f t="shared" si="254"/>
        <v>0</v>
      </c>
      <c r="AF373" s="195"/>
      <c r="AG373" s="195"/>
      <c r="AH373" s="195"/>
      <c r="AI373" s="195"/>
      <c r="AJ373" s="162" t="b">
        <f t="shared" si="236"/>
        <v>1</v>
      </c>
      <c r="AK373" s="162" t="str">
        <f t="shared" si="237"/>
        <v>PRAZNO</v>
      </c>
      <c r="AL373" s="263"/>
    </row>
    <row r="374" spans="1:39" s="264" customFormat="1" ht="15.75" x14ac:dyDescent="0.2">
      <c r="A374" s="259"/>
      <c r="B374" s="270"/>
      <c r="C374" s="270"/>
      <c r="D374" s="270"/>
      <c r="E374" s="270"/>
      <c r="F374" s="270"/>
      <c r="G374" s="270"/>
      <c r="H374" s="271" t="s">
        <v>236</v>
      </c>
      <c r="I374" s="273">
        <f>I375+I399</f>
        <v>1746800</v>
      </c>
      <c r="J374" s="273">
        <f>J375+J399</f>
        <v>1158872.94</v>
      </c>
      <c r="K374" s="273">
        <f t="shared" si="245"/>
        <v>66.34</v>
      </c>
      <c r="L374" s="273">
        <f t="shared" si="246"/>
        <v>-292778.58000000007</v>
      </c>
      <c r="M374" s="272">
        <f>M375+M399</f>
        <v>1454021.42</v>
      </c>
      <c r="N374" s="272" t="e">
        <f>N375+N399</f>
        <v>#REF!</v>
      </c>
      <c r="O374" s="272">
        <f>O375+O399</f>
        <v>794353.98</v>
      </c>
      <c r="P374" s="336" t="e">
        <f t="shared" ref="P374:P437" si="258">T374-N374</f>
        <v>#REF!</v>
      </c>
      <c r="Q374" s="272" t="e">
        <f t="shared" ref="Q374:X374" si="259">Q375+Q399</f>
        <v>#REF!</v>
      </c>
      <c r="R374" s="272">
        <f t="shared" si="259"/>
        <v>1298000</v>
      </c>
      <c r="S374" s="272">
        <f t="shared" si="259"/>
        <v>1336100</v>
      </c>
      <c r="T374" s="272">
        <f t="shared" si="259"/>
        <v>1310200</v>
      </c>
      <c r="U374" s="272">
        <f>U375+U399</f>
        <v>1213784.6599999999</v>
      </c>
      <c r="V374" s="272">
        <f t="shared" si="259"/>
        <v>1296600</v>
      </c>
      <c r="W374" s="272">
        <f t="shared" si="259"/>
        <v>1301600</v>
      </c>
      <c r="X374" s="272">
        <f t="shared" si="259"/>
        <v>1334000</v>
      </c>
      <c r="Y374" s="272">
        <f>Y375+Y399</f>
        <v>500873.38</v>
      </c>
      <c r="Z374" s="272">
        <f t="shared" si="243"/>
        <v>38.630000000000003</v>
      </c>
      <c r="AA374" s="272">
        <f t="shared" si="234"/>
        <v>-10500</v>
      </c>
      <c r="AB374" s="272">
        <f t="shared" ref="AB374:AG374" si="260">AB375+AB399</f>
        <v>1286100</v>
      </c>
      <c r="AC374" s="272">
        <f t="shared" si="260"/>
        <v>891213.58000000007</v>
      </c>
      <c r="AD374" s="272">
        <f t="shared" si="251"/>
        <v>69.295823030868519</v>
      </c>
      <c r="AE374" s="272">
        <f t="shared" si="254"/>
        <v>0</v>
      </c>
      <c r="AF374" s="272">
        <f t="shared" si="260"/>
        <v>1286100</v>
      </c>
      <c r="AG374" s="272">
        <f t="shared" si="260"/>
        <v>1350200</v>
      </c>
      <c r="AH374" s="272">
        <f>AH375+AH399</f>
        <v>1322900</v>
      </c>
      <c r="AI374" s="272">
        <f>AI375+AI399</f>
        <v>1333200</v>
      </c>
      <c r="AJ374" s="162" t="b">
        <f t="shared" si="236"/>
        <v>1</v>
      </c>
      <c r="AK374" s="162" t="str">
        <f t="shared" si="237"/>
        <v>PRAZNO</v>
      </c>
      <c r="AL374" s="263"/>
    </row>
    <row r="375" spans="1:39" s="264" customFormat="1" ht="15.75" x14ac:dyDescent="0.2">
      <c r="A375" s="259"/>
      <c r="B375" s="168"/>
      <c r="C375" s="168"/>
      <c r="D375" s="168"/>
      <c r="E375" s="168"/>
      <c r="F375" s="168"/>
      <c r="G375" s="168"/>
      <c r="H375" s="13" t="s">
        <v>237</v>
      </c>
      <c r="I375" s="169">
        <f>I377</f>
        <v>1738000</v>
      </c>
      <c r="J375" s="169">
        <f>J377</f>
        <v>1152127.23</v>
      </c>
      <c r="K375" s="169">
        <f t="shared" si="245"/>
        <v>66.290000000000006</v>
      </c>
      <c r="L375" s="169">
        <f t="shared" si="246"/>
        <v>-292700.29000000004</v>
      </c>
      <c r="M375" s="19">
        <f>M377</f>
        <v>1445299.71</v>
      </c>
      <c r="N375" s="19">
        <f>N377</f>
        <v>1298700</v>
      </c>
      <c r="O375" s="19">
        <f>O377</f>
        <v>791254.98</v>
      </c>
      <c r="P375" s="303">
        <f t="shared" si="258"/>
        <v>-7400</v>
      </c>
      <c r="Q375" s="19">
        <f t="shared" ref="Q375:X375" si="261">Q377</f>
        <v>1298700</v>
      </c>
      <c r="R375" s="19">
        <f t="shared" si="261"/>
        <v>1293000</v>
      </c>
      <c r="S375" s="19">
        <f t="shared" si="261"/>
        <v>1330100</v>
      </c>
      <c r="T375" s="19">
        <f t="shared" si="261"/>
        <v>1291300</v>
      </c>
      <c r="U375" s="19">
        <f>U377</f>
        <v>1198436.27</v>
      </c>
      <c r="V375" s="19">
        <f t="shared" si="261"/>
        <v>1286600</v>
      </c>
      <c r="W375" s="19">
        <f t="shared" si="261"/>
        <v>1296600</v>
      </c>
      <c r="X375" s="19">
        <f t="shared" si="261"/>
        <v>1329000</v>
      </c>
      <c r="Y375" s="19">
        <f>Y377</f>
        <v>496935.88</v>
      </c>
      <c r="Z375" s="19">
        <f t="shared" si="243"/>
        <v>38.619999999999997</v>
      </c>
      <c r="AA375" s="19">
        <f t="shared" si="234"/>
        <v>-13500</v>
      </c>
      <c r="AB375" s="19">
        <f t="shared" ref="AB375:AG375" si="262">AB377</f>
        <v>1273100</v>
      </c>
      <c r="AC375" s="19">
        <f t="shared" si="262"/>
        <v>878821.79</v>
      </c>
      <c r="AD375" s="19">
        <f t="shared" si="251"/>
        <v>69.030067551645587</v>
      </c>
      <c r="AE375" s="19">
        <f t="shared" si="254"/>
        <v>0</v>
      </c>
      <c r="AF375" s="19">
        <f t="shared" si="262"/>
        <v>1273100</v>
      </c>
      <c r="AG375" s="19">
        <f t="shared" si="262"/>
        <v>1327200</v>
      </c>
      <c r="AH375" s="19">
        <f>AH377</f>
        <v>1317900</v>
      </c>
      <c r="AI375" s="19">
        <f>AI377</f>
        <v>1328200</v>
      </c>
      <c r="AJ375" s="162" t="b">
        <f t="shared" si="236"/>
        <v>1</v>
      </c>
      <c r="AK375" s="162" t="str">
        <f t="shared" si="237"/>
        <v>PRAZNO</v>
      </c>
      <c r="AL375" s="263"/>
    </row>
    <row r="376" spans="1:39" s="264" customFormat="1" ht="15.75" x14ac:dyDescent="0.2">
      <c r="A376" s="259"/>
      <c r="B376" s="260"/>
      <c r="C376" s="260"/>
      <c r="D376" s="260"/>
      <c r="E376" s="260"/>
      <c r="F376" s="260"/>
      <c r="G376" s="260"/>
      <c r="H376" s="440" t="s">
        <v>824</v>
      </c>
      <c r="I376" s="181"/>
      <c r="J376" s="181"/>
      <c r="K376" s="181"/>
      <c r="L376" s="181"/>
      <c r="M376" s="262"/>
      <c r="N376" s="262"/>
      <c r="O376" s="262"/>
      <c r="P376" s="445"/>
      <c r="Q376" s="262"/>
      <c r="R376" s="262"/>
      <c r="S376" s="262"/>
      <c r="T376" s="342"/>
      <c r="U376" s="342"/>
      <c r="V376" s="262">
        <f>V377</f>
        <v>1286600</v>
      </c>
      <c r="W376" s="262">
        <f>W377</f>
        <v>1296600</v>
      </c>
      <c r="X376" s="262">
        <f>X377</f>
        <v>1329000</v>
      </c>
      <c r="Y376" s="262">
        <f>Y377</f>
        <v>496935.88</v>
      </c>
      <c r="Z376" s="262">
        <f t="shared" si="243"/>
        <v>38.619999999999997</v>
      </c>
      <c r="AA376" s="262">
        <f t="shared" si="234"/>
        <v>-13500</v>
      </c>
      <c r="AB376" s="262">
        <f t="shared" ref="AB376:AI376" si="263">AB377</f>
        <v>1273100</v>
      </c>
      <c r="AC376" s="262">
        <f t="shared" si="263"/>
        <v>878821.79</v>
      </c>
      <c r="AD376" s="262">
        <f t="shared" si="251"/>
        <v>69.030067551645587</v>
      </c>
      <c r="AE376" s="262">
        <f t="shared" si="254"/>
        <v>0</v>
      </c>
      <c r="AF376" s="262">
        <f t="shared" si="263"/>
        <v>1273100</v>
      </c>
      <c r="AG376" s="262">
        <f t="shared" si="263"/>
        <v>1327200</v>
      </c>
      <c r="AH376" s="262">
        <f t="shared" si="263"/>
        <v>1317900</v>
      </c>
      <c r="AI376" s="262">
        <f t="shared" si="263"/>
        <v>1328200</v>
      </c>
      <c r="AJ376" s="162" t="b">
        <f t="shared" si="236"/>
        <v>1</v>
      </c>
      <c r="AK376" s="162" t="str">
        <f t="shared" si="237"/>
        <v>PRAZNO</v>
      </c>
      <c r="AL376" s="263"/>
    </row>
    <row r="377" spans="1:39" s="264" customFormat="1" ht="15.75" x14ac:dyDescent="0.2">
      <c r="A377" s="259"/>
      <c r="B377" s="172">
        <v>3</v>
      </c>
      <c r="C377" s="172"/>
      <c r="D377" s="172"/>
      <c r="E377" s="172"/>
      <c r="F377" s="172"/>
      <c r="G377" s="172"/>
      <c r="H377" s="14" t="s">
        <v>524</v>
      </c>
      <c r="I377" s="20">
        <f>I378+I386</f>
        <v>1738000</v>
      </c>
      <c r="J377" s="20">
        <f>J378+J386</f>
        <v>1152127.23</v>
      </c>
      <c r="K377" s="20">
        <f t="shared" si="245"/>
        <v>66.290000000000006</v>
      </c>
      <c r="L377" s="20">
        <f t="shared" si="246"/>
        <v>-292700.29000000004</v>
      </c>
      <c r="M377" s="20">
        <f>M378+M386</f>
        <v>1445299.71</v>
      </c>
      <c r="N377" s="20">
        <f>N378+N386</f>
        <v>1298700</v>
      </c>
      <c r="O377" s="20">
        <f>O378+O386</f>
        <v>791254.98</v>
      </c>
      <c r="P377" s="55">
        <f t="shared" si="258"/>
        <v>-7400</v>
      </c>
      <c r="Q377" s="20">
        <f t="shared" ref="Q377:X377" si="264">Q378+Q386</f>
        <v>1298700</v>
      </c>
      <c r="R377" s="20">
        <f t="shared" si="264"/>
        <v>1293000</v>
      </c>
      <c r="S377" s="20">
        <f t="shared" si="264"/>
        <v>1330100</v>
      </c>
      <c r="T377" s="55">
        <f t="shared" si="264"/>
        <v>1291300</v>
      </c>
      <c r="U377" s="55">
        <f>U378+U386</f>
        <v>1198436.27</v>
      </c>
      <c r="V377" s="20">
        <f t="shared" si="264"/>
        <v>1286600</v>
      </c>
      <c r="W377" s="20">
        <f t="shared" si="264"/>
        <v>1296600</v>
      </c>
      <c r="X377" s="20">
        <f t="shared" si="264"/>
        <v>1329000</v>
      </c>
      <c r="Y377" s="20">
        <f>Y378+Y386</f>
        <v>496935.88</v>
      </c>
      <c r="Z377" s="20">
        <f t="shared" si="243"/>
        <v>38.619999999999997</v>
      </c>
      <c r="AA377" s="20">
        <f t="shared" si="234"/>
        <v>-13500</v>
      </c>
      <c r="AB377" s="20">
        <f t="shared" ref="AB377:AG377" si="265">AB378+AB386</f>
        <v>1273100</v>
      </c>
      <c r="AC377" s="20">
        <f t="shared" si="265"/>
        <v>878821.79</v>
      </c>
      <c r="AD377" s="20">
        <f t="shared" si="251"/>
        <v>69.030067551645587</v>
      </c>
      <c r="AE377" s="20">
        <f t="shared" si="254"/>
        <v>0</v>
      </c>
      <c r="AF377" s="20">
        <f t="shared" si="265"/>
        <v>1273100</v>
      </c>
      <c r="AG377" s="20">
        <f t="shared" si="265"/>
        <v>1327200</v>
      </c>
      <c r="AH377" s="20">
        <f>AH378+AH386</f>
        <v>1317900</v>
      </c>
      <c r="AI377" s="20">
        <f>AI378+AI386</f>
        <v>1328200</v>
      </c>
      <c r="AJ377" s="162" t="b">
        <f t="shared" si="236"/>
        <v>1</v>
      </c>
      <c r="AK377" s="162" t="str">
        <f t="shared" si="237"/>
        <v>PRAZNO</v>
      </c>
      <c r="AL377" s="263"/>
    </row>
    <row r="378" spans="1:39" ht="15.75" x14ac:dyDescent="0.2">
      <c r="B378" s="175"/>
      <c r="C378" s="175">
        <v>31</v>
      </c>
      <c r="D378" s="175"/>
      <c r="E378" s="175"/>
      <c r="F378" s="175"/>
      <c r="G378" s="175"/>
      <c r="H378" s="15" t="s">
        <v>197</v>
      </c>
      <c r="I378" s="22">
        <f>I379+I381+I383</f>
        <v>1561000</v>
      </c>
      <c r="J378" s="183">
        <f>J379+J381+J383</f>
        <v>1010334.1799999999</v>
      </c>
      <c r="K378" s="183">
        <f t="shared" si="245"/>
        <v>64.72</v>
      </c>
      <c r="L378" s="183">
        <f t="shared" si="246"/>
        <v>-313319.92999999993</v>
      </c>
      <c r="M378" s="183">
        <f>M379+M381+M383</f>
        <v>1247680.07</v>
      </c>
      <c r="N378" s="183">
        <f>N379+N381+N383</f>
        <v>1066700</v>
      </c>
      <c r="O378" s="183">
        <f>O379+O381+O383</f>
        <v>659681.31999999995</v>
      </c>
      <c r="P378" s="26">
        <f t="shared" si="258"/>
        <v>-10000</v>
      </c>
      <c r="Q378" s="183">
        <f t="shared" ref="Q378:X378" si="266">Q379+Q381+Q383</f>
        <v>1066700</v>
      </c>
      <c r="R378" s="183">
        <f t="shared" si="266"/>
        <v>1084000</v>
      </c>
      <c r="S378" s="183">
        <f t="shared" si="266"/>
        <v>1113000</v>
      </c>
      <c r="T378" s="340">
        <f t="shared" si="266"/>
        <v>1056700</v>
      </c>
      <c r="U378" s="340">
        <f>U379+U381+U383</f>
        <v>989953.03999999992</v>
      </c>
      <c r="V378" s="183">
        <f t="shared" si="266"/>
        <v>1036000</v>
      </c>
      <c r="W378" s="183">
        <f t="shared" si="266"/>
        <v>1046000</v>
      </c>
      <c r="X378" s="183">
        <f t="shared" si="266"/>
        <v>1073000</v>
      </c>
      <c r="Y378" s="183">
        <f>Y379+Y381+Y383</f>
        <v>388696.38</v>
      </c>
      <c r="Z378" s="183">
        <f t="shared" si="243"/>
        <v>37.520000000000003</v>
      </c>
      <c r="AA378" s="183">
        <f t="shared" si="234"/>
        <v>-49000</v>
      </c>
      <c r="AB378" s="183">
        <f t="shared" ref="AB378:AG378" si="267">AB379+AB381+AB383</f>
        <v>987000</v>
      </c>
      <c r="AC378" s="183">
        <f t="shared" si="267"/>
        <v>695943.25</v>
      </c>
      <c r="AD378" s="183">
        <f t="shared" si="251"/>
        <v>70.510967578520763</v>
      </c>
      <c r="AE378" s="183">
        <f t="shared" si="254"/>
        <v>0</v>
      </c>
      <c r="AF378" s="183">
        <f t="shared" si="267"/>
        <v>987000</v>
      </c>
      <c r="AG378" s="183">
        <f t="shared" si="267"/>
        <v>1043200</v>
      </c>
      <c r="AH378" s="183">
        <f>AH379+AH381+AH383</f>
        <v>1033900</v>
      </c>
      <c r="AI378" s="183">
        <f>AI379+AI381+AI383</f>
        <v>1044200</v>
      </c>
      <c r="AJ378" s="162" t="b">
        <f t="shared" si="236"/>
        <v>1</v>
      </c>
      <c r="AK378" s="162" t="str">
        <f t="shared" si="237"/>
        <v>PRAZNO</v>
      </c>
      <c r="AM378" s="264"/>
    </row>
    <row r="379" spans="1:39" ht="15.75" x14ac:dyDescent="0.2">
      <c r="B379" s="177"/>
      <c r="C379" s="177"/>
      <c r="D379" s="177">
        <v>311</v>
      </c>
      <c r="E379" s="177"/>
      <c r="F379" s="177"/>
      <c r="G379" s="177"/>
      <c r="H379" s="16" t="s">
        <v>915</v>
      </c>
      <c r="I379" s="17">
        <f>SUM(I380:I380)</f>
        <v>1119000</v>
      </c>
      <c r="J379" s="181">
        <f>SUM(J380:J380)</f>
        <v>651869.48</v>
      </c>
      <c r="K379" s="181">
        <f t="shared" si="245"/>
        <v>58.25</v>
      </c>
      <c r="L379" s="181">
        <f t="shared" si="246"/>
        <v>-273605.67000000004</v>
      </c>
      <c r="M379" s="181">
        <f>SUM(M380:M380)</f>
        <v>845394.33</v>
      </c>
      <c r="N379" s="181">
        <f>SUM(N380:N380)</f>
        <v>850000</v>
      </c>
      <c r="O379" s="181">
        <f>SUM(O380:O380)</f>
        <v>536104.41</v>
      </c>
      <c r="P379" s="26">
        <f t="shared" si="258"/>
        <v>0</v>
      </c>
      <c r="Q379" s="181">
        <f t="shared" ref="Q379:AI379" si="268">SUM(Q380:Q380)</f>
        <v>850000</v>
      </c>
      <c r="R379" s="181">
        <f t="shared" si="268"/>
        <v>871000</v>
      </c>
      <c r="S379" s="181">
        <f t="shared" si="268"/>
        <v>887000</v>
      </c>
      <c r="T379" s="307">
        <f t="shared" si="268"/>
        <v>850000</v>
      </c>
      <c r="U379" s="307">
        <f t="shared" si="268"/>
        <v>804730.6</v>
      </c>
      <c r="V379" s="181">
        <f t="shared" si="268"/>
        <v>850000</v>
      </c>
      <c r="W379" s="181">
        <f t="shared" si="268"/>
        <v>850000</v>
      </c>
      <c r="X379" s="181">
        <f t="shared" si="268"/>
        <v>872000</v>
      </c>
      <c r="Y379" s="181">
        <f t="shared" si="268"/>
        <v>334342.07</v>
      </c>
      <c r="Z379" s="181">
        <f t="shared" si="243"/>
        <v>39.33</v>
      </c>
      <c r="AA379" s="181">
        <f t="shared" si="234"/>
        <v>-38000</v>
      </c>
      <c r="AB379" s="181">
        <f t="shared" si="268"/>
        <v>812000</v>
      </c>
      <c r="AC379" s="181">
        <f t="shared" si="268"/>
        <v>583922.98</v>
      </c>
      <c r="AD379" s="181">
        <f t="shared" si="251"/>
        <v>71.911697044334971</v>
      </c>
      <c r="AE379" s="181">
        <f t="shared" si="254"/>
        <v>0</v>
      </c>
      <c r="AF379" s="181">
        <f t="shared" si="268"/>
        <v>812000</v>
      </c>
      <c r="AG379" s="181">
        <f t="shared" si="268"/>
        <v>844400</v>
      </c>
      <c r="AH379" s="181">
        <f t="shared" si="268"/>
        <v>849400</v>
      </c>
      <c r="AI379" s="181">
        <f t="shared" si="268"/>
        <v>854400</v>
      </c>
      <c r="AJ379" s="162" t="b">
        <f t="shared" si="236"/>
        <v>1</v>
      </c>
      <c r="AK379" s="162" t="str">
        <f t="shared" si="237"/>
        <v>PRAZNO</v>
      </c>
      <c r="AM379" s="264"/>
    </row>
    <row r="380" spans="1:39" ht="15.75" x14ac:dyDescent="0.2">
      <c r="B380" s="177"/>
      <c r="C380" s="177"/>
      <c r="D380" s="177"/>
      <c r="E380" s="177">
        <v>3111</v>
      </c>
      <c r="F380" s="176">
        <v>11</v>
      </c>
      <c r="G380" s="176" t="s">
        <v>527</v>
      </c>
      <c r="H380" s="16" t="s">
        <v>199</v>
      </c>
      <c r="I380" s="18">
        <v>1119000</v>
      </c>
      <c r="J380" s="178">
        <v>651869.48</v>
      </c>
      <c r="K380" s="178">
        <f t="shared" si="245"/>
        <v>58.25</v>
      </c>
      <c r="L380" s="178">
        <f t="shared" si="246"/>
        <v>-273605.67000000004</v>
      </c>
      <c r="M380" s="178">
        <v>845394.33</v>
      </c>
      <c r="N380" s="178">
        <v>850000</v>
      </c>
      <c r="O380" s="178">
        <v>536104.41</v>
      </c>
      <c r="P380" s="26">
        <f t="shared" si="258"/>
        <v>0</v>
      </c>
      <c r="Q380" s="178">
        <v>850000</v>
      </c>
      <c r="R380" s="178">
        <v>871000</v>
      </c>
      <c r="S380" s="178">
        <v>887000</v>
      </c>
      <c r="T380" s="266">
        <v>850000</v>
      </c>
      <c r="U380" s="266">
        <v>804730.6</v>
      </c>
      <c r="V380" s="266">
        <v>850000</v>
      </c>
      <c r="W380" s="266">
        <v>850000</v>
      </c>
      <c r="X380" s="178">
        <v>872000</v>
      </c>
      <c r="Y380" s="266">
        <v>334342.07</v>
      </c>
      <c r="Z380" s="266">
        <f t="shared" si="243"/>
        <v>39.33</v>
      </c>
      <c r="AA380" s="266">
        <f t="shared" si="234"/>
        <v>-38000</v>
      </c>
      <c r="AB380" s="266">
        <v>812000</v>
      </c>
      <c r="AC380" s="266">
        <v>583922.98</v>
      </c>
      <c r="AD380" s="266">
        <f t="shared" si="251"/>
        <v>71.911697044334971</v>
      </c>
      <c r="AE380" s="266">
        <f t="shared" si="254"/>
        <v>0</v>
      </c>
      <c r="AF380" s="266">
        <v>812000</v>
      </c>
      <c r="AG380" s="687">
        <f>830000+14400</f>
        <v>844400</v>
      </c>
      <c r="AH380" s="687">
        <f>835000+14400</f>
        <v>849400</v>
      </c>
      <c r="AI380" s="687">
        <f>840000+14400</f>
        <v>854400</v>
      </c>
      <c r="AJ380" s="162" t="b">
        <f t="shared" si="236"/>
        <v>0</v>
      </c>
      <c r="AK380" s="162" t="str">
        <f t="shared" si="237"/>
        <v>PUNO</v>
      </c>
      <c r="AM380" s="264"/>
    </row>
    <row r="381" spans="1:39" ht="15.75" x14ac:dyDescent="0.2">
      <c r="B381" s="177"/>
      <c r="C381" s="177"/>
      <c r="D381" s="177">
        <v>312</v>
      </c>
      <c r="E381" s="177"/>
      <c r="F381" s="177"/>
      <c r="G381" s="177"/>
      <c r="H381" s="16" t="s">
        <v>200</v>
      </c>
      <c r="I381" s="17">
        <f>I382</f>
        <v>247000</v>
      </c>
      <c r="J381" s="181">
        <f>J382</f>
        <v>245691.23</v>
      </c>
      <c r="K381" s="181">
        <f t="shared" si="245"/>
        <v>99.47</v>
      </c>
      <c r="L381" s="181">
        <f t="shared" si="246"/>
        <v>9032.4500000000116</v>
      </c>
      <c r="M381" s="181">
        <f>M382</f>
        <v>256032.45</v>
      </c>
      <c r="N381" s="181">
        <f>N382</f>
        <v>70000</v>
      </c>
      <c r="O381" s="181">
        <f>O382</f>
        <v>34867.199999999997</v>
      </c>
      <c r="P381" s="26">
        <f t="shared" si="258"/>
        <v>0</v>
      </c>
      <c r="Q381" s="181">
        <f t="shared" ref="Q381:AI381" si="269">Q382</f>
        <v>70000</v>
      </c>
      <c r="R381" s="181">
        <f t="shared" si="269"/>
        <v>60000</v>
      </c>
      <c r="S381" s="181">
        <f t="shared" si="269"/>
        <v>70000</v>
      </c>
      <c r="T381" s="307">
        <f t="shared" si="269"/>
        <v>70000</v>
      </c>
      <c r="U381" s="307">
        <f t="shared" si="269"/>
        <v>55412.95</v>
      </c>
      <c r="V381" s="181">
        <f t="shared" si="269"/>
        <v>50000</v>
      </c>
      <c r="W381" s="181">
        <f t="shared" si="269"/>
        <v>60000</v>
      </c>
      <c r="X381" s="181">
        <f t="shared" si="269"/>
        <v>60000</v>
      </c>
      <c r="Y381" s="181">
        <f t="shared" si="269"/>
        <v>3200</v>
      </c>
      <c r="Z381" s="181">
        <f t="shared" si="243"/>
        <v>6.4</v>
      </c>
      <c r="AA381" s="181">
        <f t="shared" si="234"/>
        <v>0</v>
      </c>
      <c r="AB381" s="181">
        <f t="shared" si="269"/>
        <v>50000</v>
      </c>
      <c r="AC381" s="181">
        <f t="shared" si="269"/>
        <v>22680</v>
      </c>
      <c r="AD381" s="181">
        <f t="shared" si="251"/>
        <v>45.36</v>
      </c>
      <c r="AE381" s="181">
        <f t="shared" si="254"/>
        <v>0</v>
      </c>
      <c r="AF381" s="181">
        <f t="shared" si="269"/>
        <v>50000</v>
      </c>
      <c r="AG381" s="688">
        <f t="shared" si="269"/>
        <v>69500</v>
      </c>
      <c r="AH381" s="688">
        <f t="shared" si="269"/>
        <v>54500</v>
      </c>
      <c r="AI381" s="688">
        <f t="shared" si="269"/>
        <v>59000</v>
      </c>
      <c r="AJ381" s="162" t="b">
        <f t="shared" si="236"/>
        <v>1</v>
      </c>
      <c r="AK381" s="162" t="str">
        <f t="shared" si="237"/>
        <v>PRAZNO</v>
      </c>
      <c r="AM381" s="264"/>
    </row>
    <row r="382" spans="1:39" ht="15.75" x14ac:dyDescent="0.2">
      <c r="B382" s="177"/>
      <c r="C382" s="177"/>
      <c r="D382" s="177"/>
      <c r="E382" s="177">
        <v>3121</v>
      </c>
      <c r="F382" s="176">
        <v>11</v>
      </c>
      <c r="G382" s="176" t="s">
        <v>527</v>
      </c>
      <c r="H382" s="16" t="s">
        <v>200</v>
      </c>
      <c r="I382" s="18">
        <v>247000</v>
      </c>
      <c r="J382" s="178">
        <v>245691.23</v>
      </c>
      <c r="K382" s="178">
        <f t="shared" si="245"/>
        <v>99.47</v>
      </c>
      <c r="L382" s="178">
        <f t="shared" si="246"/>
        <v>9032.4500000000116</v>
      </c>
      <c r="M382" s="178">
        <v>256032.45</v>
      </c>
      <c r="N382" s="178">
        <v>70000</v>
      </c>
      <c r="O382" s="178">
        <v>34867.199999999997</v>
      </c>
      <c r="P382" s="26">
        <f t="shared" si="258"/>
        <v>0</v>
      </c>
      <c r="Q382" s="178">
        <v>70000</v>
      </c>
      <c r="R382" s="178">
        <v>60000</v>
      </c>
      <c r="S382" s="178">
        <v>70000</v>
      </c>
      <c r="T382" s="266">
        <v>70000</v>
      </c>
      <c r="U382" s="266">
        <v>55412.95</v>
      </c>
      <c r="V382" s="178">
        <v>50000</v>
      </c>
      <c r="W382" s="178">
        <v>60000</v>
      </c>
      <c r="X382" s="178">
        <v>60000</v>
      </c>
      <c r="Y382" s="178">
        <v>3200</v>
      </c>
      <c r="Z382" s="178">
        <f t="shared" si="243"/>
        <v>6.4</v>
      </c>
      <c r="AA382" s="178">
        <f t="shared" si="234"/>
        <v>0</v>
      </c>
      <c r="AB382" s="178">
        <v>50000</v>
      </c>
      <c r="AC382" s="178">
        <v>22680</v>
      </c>
      <c r="AD382" s="178">
        <f t="shared" si="251"/>
        <v>45.36</v>
      </c>
      <c r="AE382" s="178">
        <f t="shared" si="254"/>
        <v>0</v>
      </c>
      <c r="AF382" s="178">
        <v>50000</v>
      </c>
      <c r="AG382" s="687">
        <v>69500</v>
      </c>
      <c r="AH382" s="687">
        <v>54500</v>
      </c>
      <c r="AI382" s="687">
        <v>59000</v>
      </c>
      <c r="AJ382" s="162" t="b">
        <f t="shared" si="236"/>
        <v>0</v>
      </c>
      <c r="AK382" s="162" t="str">
        <f t="shared" si="237"/>
        <v>PUNO</v>
      </c>
      <c r="AM382" s="264"/>
    </row>
    <row r="383" spans="1:39" ht="15.75" x14ac:dyDescent="0.2">
      <c r="B383" s="177"/>
      <c r="C383" s="177"/>
      <c r="D383" s="177">
        <v>313</v>
      </c>
      <c r="E383" s="177"/>
      <c r="F383" s="177"/>
      <c r="G383" s="177"/>
      <c r="H383" s="16" t="s">
        <v>201</v>
      </c>
      <c r="I383" s="17">
        <f>SUM(I384:I385)</f>
        <v>195000</v>
      </c>
      <c r="J383" s="181">
        <f>SUM(J384:J385)</f>
        <v>112773.47</v>
      </c>
      <c r="K383" s="181">
        <f t="shared" si="245"/>
        <v>57.83</v>
      </c>
      <c r="L383" s="181">
        <f t="shared" si="246"/>
        <v>-48746.709999999992</v>
      </c>
      <c r="M383" s="181">
        <f>SUM(M384:M385)</f>
        <v>146253.29</v>
      </c>
      <c r="N383" s="181">
        <f>SUM(N384:N385)</f>
        <v>146700</v>
      </c>
      <c r="O383" s="181">
        <f>SUM(O384:O385)</f>
        <v>88709.71</v>
      </c>
      <c r="P383" s="26">
        <f t="shared" si="258"/>
        <v>-10000</v>
      </c>
      <c r="Q383" s="181">
        <f>SUM(Q384:Q385)</f>
        <v>146700</v>
      </c>
      <c r="R383" s="181">
        <f>SUM(R384:R385)</f>
        <v>153000</v>
      </c>
      <c r="S383" s="181">
        <f>SUM(S384:S385)</f>
        <v>156000</v>
      </c>
      <c r="T383" s="307">
        <f t="shared" ref="T383:Y383" si="270">T384+T385</f>
        <v>136700</v>
      </c>
      <c r="U383" s="307">
        <f t="shared" si="270"/>
        <v>129809.48999999999</v>
      </c>
      <c r="V383" s="307">
        <f t="shared" si="270"/>
        <v>136000</v>
      </c>
      <c r="W383" s="307">
        <f t="shared" si="270"/>
        <v>136000</v>
      </c>
      <c r="X383" s="307">
        <f t="shared" si="270"/>
        <v>141000</v>
      </c>
      <c r="Y383" s="307">
        <f t="shared" si="270"/>
        <v>51154.310000000005</v>
      </c>
      <c r="Z383" s="307">
        <f t="shared" si="243"/>
        <v>37.61</v>
      </c>
      <c r="AA383" s="307">
        <f t="shared" si="234"/>
        <v>-11000</v>
      </c>
      <c r="AB383" s="307">
        <f t="shared" ref="AB383:AI383" si="271">AB384+AB385</f>
        <v>125000</v>
      </c>
      <c r="AC383" s="307">
        <f t="shared" si="271"/>
        <v>89340.27</v>
      </c>
      <c r="AD383" s="307">
        <f t="shared" si="251"/>
        <v>71.472216000000003</v>
      </c>
      <c r="AE383" s="307">
        <f t="shared" si="254"/>
        <v>0</v>
      </c>
      <c r="AF383" s="307">
        <f t="shared" si="271"/>
        <v>125000</v>
      </c>
      <c r="AG383" s="688">
        <f t="shared" si="271"/>
        <v>129300</v>
      </c>
      <c r="AH383" s="688">
        <f t="shared" si="271"/>
        <v>130000</v>
      </c>
      <c r="AI383" s="688">
        <f t="shared" si="271"/>
        <v>130800</v>
      </c>
      <c r="AJ383" s="162" t="b">
        <f t="shared" si="236"/>
        <v>1</v>
      </c>
      <c r="AK383" s="162" t="str">
        <f t="shared" si="237"/>
        <v>PRAZNO</v>
      </c>
      <c r="AM383" s="264"/>
    </row>
    <row r="384" spans="1:39" ht="15.75" x14ac:dyDescent="0.2">
      <c r="B384" s="177"/>
      <c r="C384" s="177"/>
      <c r="D384" s="177"/>
      <c r="E384" s="177">
        <v>3132</v>
      </c>
      <c r="F384" s="176">
        <v>11</v>
      </c>
      <c r="G384" s="176" t="s">
        <v>527</v>
      </c>
      <c r="H384" s="16" t="s">
        <v>202</v>
      </c>
      <c r="I384" s="18">
        <v>175000</v>
      </c>
      <c r="J384" s="178">
        <v>101039.77</v>
      </c>
      <c r="K384" s="178">
        <f t="shared" si="245"/>
        <v>57.74</v>
      </c>
      <c r="L384" s="178">
        <f t="shared" si="246"/>
        <v>-43963.869999999995</v>
      </c>
      <c r="M384" s="178">
        <v>131036.13</v>
      </c>
      <c r="N384" s="178">
        <v>131000</v>
      </c>
      <c r="O384" s="178">
        <v>79059.820000000007</v>
      </c>
      <c r="P384" s="26">
        <f t="shared" si="258"/>
        <v>-10000</v>
      </c>
      <c r="Q384" s="178">
        <v>131000</v>
      </c>
      <c r="R384" s="178">
        <v>137000</v>
      </c>
      <c r="S384" s="178">
        <v>140000</v>
      </c>
      <c r="T384" s="266">
        <v>121000</v>
      </c>
      <c r="U384" s="266">
        <v>115324.31</v>
      </c>
      <c r="V384" s="266">
        <v>121000</v>
      </c>
      <c r="W384" s="266">
        <v>121000</v>
      </c>
      <c r="X384" s="178">
        <v>125000</v>
      </c>
      <c r="Y384" s="266">
        <v>45136.12</v>
      </c>
      <c r="Z384" s="266">
        <f t="shared" si="243"/>
        <v>37.299999999999997</v>
      </c>
      <c r="AA384" s="266">
        <f t="shared" si="234"/>
        <v>-11000</v>
      </c>
      <c r="AB384" s="266">
        <v>110000</v>
      </c>
      <c r="AC384" s="266">
        <v>78829.55</v>
      </c>
      <c r="AD384" s="266">
        <f t="shared" si="251"/>
        <v>71.663227272727269</v>
      </c>
      <c r="AE384" s="266">
        <f t="shared" si="254"/>
        <v>0</v>
      </c>
      <c r="AF384" s="266">
        <v>110000</v>
      </c>
      <c r="AG384" s="687">
        <v>114000</v>
      </c>
      <c r="AH384" s="687">
        <v>114700</v>
      </c>
      <c r="AI384" s="687">
        <v>115400</v>
      </c>
      <c r="AJ384" s="162" t="b">
        <f t="shared" si="236"/>
        <v>0</v>
      </c>
      <c r="AK384" s="162" t="str">
        <f t="shared" si="237"/>
        <v>PUNO</v>
      </c>
      <c r="AM384" s="264"/>
    </row>
    <row r="385" spans="1:39" ht="30" x14ac:dyDescent="0.2">
      <c r="B385" s="177"/>
      <c r="C385" s="177"/>
      <c r="D385" s="177"/>
      <c r="E385" s="177">
        <v>3133</v>
      </c>
      <c r="F385" s="176">
        <v>11</v>
      </c>
      <c r="G385" s="176" t="s">
        <v>527</v>
      </c>
      <c r="H385" s="16" t="s">
        <v>203</v>
      </c>
      <c r="I385" s="18">
        <v>20000</v>
      </c>
      <c r="J385" s="178">
        <v>11733.7</v>
      </c>
      <c r="K385" s="178">
        <f t="shared" si="245"/>
        <v>58.67</v>
      </c>
      <c r="L385" s="178">
        <f t="shared" si="246"/>
        <v>-4782.84</v>
      </c>
      <c r="M385" s="178">
        <v>15217.16</v>
      </c>
      <c r="N385" s="178">
        <v>15700</v>
      </c>
      <c r="O385" s="178">
        <v>9649.89</v>
      </c>
      <c r="P385" s="26">
        <f t="shared" si="258"/>
        <v>0</v>
      </c>
      <c r="Q385" s="178">
        <v>15700</v>
      </c>
      <c r="R385" s="178">
        <v>16000</v>
      </c>
      <c r="S385" s="178">
        <v>16000</v>
      </c>
      <c r="T385" s="266">
        <v>15700</v>
      </c>
      <c r="U385" s="266">
        <v>14485.18</v>
      </c>
      <c r="V385" s="266">
        <v>15000</v>
      </c>
      <c r="W385" s="266">
        <v>15000</v>
      </c>
      <c r="X385" s="178">
        <v>16000</v>
      </c>
      <c r="Y385" s="266">
        <v>6018.19</v>
      </c>
      <c r="Z385" s="266">
        <f t="shared" si="243"/>
        <v>40.119999999999997</v>
      </c>
      <c r="AA385" s="266">
        <f t="shared" si="234"/>
        <v>0</v>
      </c>
      <c r="AB385" s="266">
        <v>15000</v>
      </c>
      <c r="AC385" s="266">
        <v>10510.72</v>
      </c>
      <c r="AD385" s="266">
        <f t="shared" si="251"/>
        <v>70.071466666666666</v>
      </c>
      <c r="AE385" s="266">
        <f t="shared" si="254"/>
        <v>0</v>
      </c>
      <c r="AF385" s="266">
        <v>15000</v>
      </c>
      <c r="AG385" s="687">
        <v>15300</v>
      </c>
      <c r="AH385" s="687">
        <v>15300</v>
      </c>
      <c r="AI385" s="687">
        <v>15400</v>
      </c>
      <c r="AJ385" s="162" t="b">
        <f t="shared" si="236"/>
        <v>0</v>
      </c>
      <c r="AK385" s="162" t="str">
        <f t="shared" si="237"/>
        <v>PUNO</v>
      </c>
      <c r="AM385" s="264"/>
    </row>
    <row r="386" spans="1:39" ht="15.75" x14ac:dyDescent="0.2">
      <c r="B386" s="175"/>
      <c r="C386" s="175">
        <v>32</v>
      </c>
      <c r="D386" s="175"/>
      <c r="E386" s="175"/>
      <c r="F386" s="175"/>
      <c r="G386" s="175"/>
      <c r="H386" s="15" t="s">
        <v>525</v>
      </c>
      <c r="I386" s="22">
        <f>I387+I391+I393+I396</f>
        <v>177000</v>
      </c>
      <c r="J386" s="183">
        <f>J387+J391+J393+J396</f>
        <v>141793.04999999999</v>
      </c>
      <c r="K386" s="183">
        <f t="shared" si="245"/>
        <v>80.11</v>
      </c>
      <c r="L386" s="183">
        <f t="shared" si="246"/>
        <v>20619.639999999985</v>
      </c>
      <c r="M386" s="183">
        <f>M387+M391+M393+M396</f>
        <v>197619.63999999998</v>
      </c>
      <c r="N386" s="183">
        <f>N387+N391+N393+N396</f>
        <v>232000</v>
      </c>
      <c r="O386" s="183">
        <f>O387+O391+O393+O396</f>
        <v>131573.66</v>
      </c>
      <c r="P386" s="26">
        <f t="shared" si="258"/>
        <v>2600</v>
      </c>
      <c r="Q386" s="183">
        <f t="shared" ref="Q386:X386" si="272">Q387+Q391+Q393+Q396</f>
        <v>232000</v>
      </c>
      <c r="R386" s="183">
        <f t="shared" si="272"/>
        <v>209000</v>
      </c>
      <c r="S386" s="183">
        <f t="shared" si="272"/>
        <v>217100</v>
      </c>
      <c r="T386" s="340">
        <f t="shared" si="272"/>
        <v>234600</v>
      </c>
      <c r="U386" s="340">
        <f>U387+U391+U393+U396</f>
        <v>208483.22999999998</v>
      </c>
      <c r="V386" s="183">
        <f t="shared" si="272"/>
        <v>250600</v>
      </c>
      <c r="W386" s="183">
        <f t="shared" si="272"/>
        <v>250600</v>
      </c>
      <c r="X386" s="183">
        <f t="shared" si="272"/>
        <v>256000</v>
      </c>
      <c r="Y386" s="183">
        <f>Y387+Y391+Y393+Y396</f>
        <v>108239.5</v>
      </c>
      <c r="Z386" s="183">
        <f t="shared" si="243"/>
        <v>43.19</v>
      </c>
      <c r="AA386" s="183">
        <f t="shared" si="234"/>
        <v>35500</v>
      </c>
      <c r="AB386" s="183">
        <f t="shared" ref="AB386:AG386" si="273">AB387+AB391+AB393+AB396</f>
        <v>286100</v>
      </c>
      <c r="AC386" s="183">
        <f t="shared" si="273"/>
        <v>182878.53999999998</v>
      </c>
      <c r="AD386" s="183">
        <f t="shared" si="251"/>
        <v>63.921195386228582</v>
      </c>
      <c r="AE386" s="183">
        <f t="shared" si="254"/>
        <v>0</v>
      </c>
      <c r="AF386" s="183">
        <f t="shared" si="273"/>
        <v>286100</v>
      </c>
      <c r="AG386" s="183">
        <f t="shared" si="273"/>
        <v>284000</v>
      </c>
      <c r="AH386" s="183">
        <f>AH387+AH391+AH393+AH396</f>
        <v>284000</v>
      </c>
      <c r="AI386" s="183">
        <f>AI387+AI391+AI393+AI396</f>
        <v>284000</v>
      </c>
      <c r="AJ386" s="162" t="b">
        <f t="shared" si="236"/>
        <v>1</v>
      </c>
      <c r="AK386" s="162" t="str">
        <f t="shared" si="237"/>
        <v>PRAZNO</v>
      </c>
      <c r="AM386" s="264"/>
    </row>
    <row r="387" spans="1:39" ht="15.75" x14ac:dyDescent="0.2">
      <c r="B387" s="177"/>
      <c r="C387" s="177"/>
      <c r="D387" s="177">
        <v>321</v>
      </c>
      <c r="E387" s="177"/>
      <c r="F387" s="177"/>
      <c r="G387" s="177"/>
      <c r="H387" s="16" t="s">
        <v>564</v>
      </c>
      <c r="I387" s="17">
        <f>I388+I389+I390</f>
        <v>108000</v>
      </c>
      <c r="J387" s="181">
        <f>J388+J389+J390</f>
        <v>74932.31</v>
      </c>
      <c r="K387" s="181">
        <f t="shared" si="245"/>
        <v>69.38</v>
      </c>
      <c r="L387" s="181">
        <f t="shared" si="246"/>
        <v>-6386.5899999999965</v>
      </c>
      <c r="M387" s="181">
        <f>M388+M389+M390</f>
        <v>101613.41</v>
      </c>
      <c r="N387" s="181">
        <f>N388+N389+N390</f>
        <v>118000</v>
      </c>
      <c r="O387" s="181">
        <f>O388+O389+O390</f>
        <v>65522.52</v>
      </c>
      <c r="P387" s="26">
        <f t="shared" si="258"/>
        <v>2600</v>
      </c>
      <c r="Q387" s="181">
        <f t="shared" ref="Q387:X387" si="274">Q388+Q389+Q390</f>
        <v>118000</v>
      </c>
      <c r="R387" s="181">
        <f t="shared" si="274"/>
        <v>108000</v>
      </c>
      <c r="S387" s="181">
        <f t="shared" si="274"/>
        <v>111100</v>
      </c>
      <c r="T387" s="307">
        <f t="shared" si="274"/>
        <v>120600</v>
      </c>
      <c r="U387" s="307">
        <f>U388+U389+U390</f>
        <v>102592.09</v>
      </c>
      <c r="V387" s="181">
        <f t="shared" si="274"/>
        <v>120600</v>
      </c>
      <c r="W387" s="181">
        <f t="shared" si="274"/>
        <v>120600</v>
      </c>
      <c r="X387" s="181">
        <f t="shared" si="274"/>
        <v>125000</v>
      </c>
      <c r="Y387" s="181">
        <f>Y388+Y389+Y390</f>
        <v>46623.6</v>
      </c>
      <c r="Z387" s="181">
        <f t="shared" si="243"/>
        <v>38.659999999999997</v>
      </c>
      <c r="AA387" s="181">
        <f t="shared" si="234"/>
        <v>9500</v>
      </c>
      <c r="AB387" s="181">
        <f t="shared" ref="AB387:AG387" si="275">AB388+AB389+AB390</f>
        <v>130100</v>
      </c>
      <c r="AC387" s="181">
        <f t="shared" si="275"/>
        <v>83849.399999999994</v>
      </c>
      <c r="AD387" s="181">
        <f t="shared" si="251"/>
        <v>64.449961568024591</v>
      </c>
      <c r="AE387" s="181">
        <f t="shared" si="254"/>
        <v>0</v>
      </c>
      <c r="AF387" s="181">
        <f t="shared" si="275"/>
        <v>130100</v>
      </c>
      <c r="AG387" s="181">
        <f t="shared" si="275"/>
        <v>133000</v>
      </c>
      <c r="AH387" s="181">
        <f>AH388+AH389+AH390</f>
        <v>133000</v>
      </c>
      <c r="AI387" s="181">
        <f>AI388+AI389+AI390</f>
        <v>133000</v>
      </c>
      <c r="AJ387" s="162" t="b">
        <f t="shared" si="236"/>
        <v>1</v>
      </c>
      <c r="AK387" s="162" t="str">
        <f t="shared" si="237"/>
        <v>PRAZNO</v>
      </c>
      <c r="AM387" s="264"/>
    </row>
    <row r="388" spans="1:39" ht="15.75" x14ac:dyDescent="0.2">
      <c r="B388" s="177"/>
      <c r="C388" s="177"/>
      <c r="D388" s="177"/>
      <c r="E388" s="177">
        <v>3211</v>
      </c>
      <c r="F388" s="176">
        <v>11</v>
      </c>
      <c r="G388" s="176" t="s">
        <v>527</v>
      </c>
      <c r="H388" s="16" t="s">
        <v>565</v>
      </c>
      <c r="I388" s="18">
        <v>4000</v>
      </c>
      <c r="J388" s="178">
        <v>4061.61</v>
      </c>
      <c r="K388" s="178">
        <f t="shared" si="245"/>
        <v>101.54</v>
      </c>
      <c r="L388" s="178">
        <f t="shared" si="246"/>
        <v>1068.8100000000004</v>
      </c>
      <c r="M388" s="178">
        <v>5068.8100000000004</v>
      </c>
      <c r="N388" s="178">
        <v>8000</v>
      </c>
      <c r="O388" s="178">
        <v>2376.8200000000002</v>
      </c>
      <c r="P388" s="26">
        <f t="shared" si="258"/>
        <v>0</v>
      </c>
      <c r="Q388" s="178">
        <v>8000</v>
      </c>
      <c r="R388" s="178">
        <v>6000</v>
      </c>
      <c r="S388" s="178">
        <v>6500</v>
      </c>
      <c r="T388" s="266">
        <v>8000</v>
      </c>
      <c r="U388" s="266">
        <v>3298.19</v>
      </c>
      <c r="V388" s="266">
        <v>8000</v>
      </c>
      <c r="W388" s="266">
        <v>8000</v>
      </c>
      <c r="X388" s="178">
        <v>9000</v>
      </c>
      <c r="Y388" s="266">
        <v>1225.4000000000001</v>
      </c>
      <c r="Z388" s="266">
        <f t="shared" si="243"/>
        <v>15.32</v>
      </c>
      <c r="AA388" s="266">
        <f t="shared" ref="AA388:AA451" si="276">AB388-V388</f>
        <v>0</v>
      </c>
      <c r="AB388" s="266">
        <v>8000</v>
      </c>
      <c r="AC388" s="266">
        <v>1495.4</v>
      </c>
      <c r="AD388" s="266">
        <f t="shared" si="251"/>
        <v>18.692500000000003</v>
      </c>
      <c r="AE388" s="266">
        <f t="shared" si="254"/>
        <v>0</v>
      </c>
      <c r="AF388" s="266">
        <v>8000</v>
      </c>
      <c r="AG388" s="266">
        <v>8000</v>
      </c>
      <c r="AH388" s="266">
        <v>8000</v>
      </c>
      <c r="AI388" s="266">
        <v>8000</v>
      </c>
      <c r="AJ388" s="162" t="b">
        <f t="shared" si="236"/>
        <v>0</v>
      </c>
      <c r="AK388" s="162" t="str">
        <f t="shared" si="237"/>
        <v>PUNO</v>
      </c>
      <c r="AM388" s="264"/>
    </row>
    <row r="389" spans="1:39" ht="15.75" x14ac:dyDescent="0.2">
      <c r="B389" s="177"/>
      <c r="C389" s="177"/>
      <c r="D389" s="177"/>
      <c r="E389" s="177">
        <v>3212</v>
      </c>
      <c r="F389" s="176">
        <v>11</v>
      </c>
      <c r="G389" s="176" t="s">
        <v>527</v>
      </c>
      <c r="H389" s="16" t="s">
        <v>220</v>
      </c>
      <c r="I389" s="18">
        <v>102000</v>
      </c>
      <c r="J389" s="178">
        <v>68210.7</v>
      </c>
      <c r="K389" s="178">
        <f t="shared" si="245"/>
        <v>66.87</v>
      </c>
      <c r="L389" s="178">
        <f t="shared" si="246"/>
        <v>-10315.399999999994</v>
      </c>
      <c r="M389" s="178">
        <v>91684.6</v>
      </c>
      <c r="N389" s="178">
        <v>96000</v>
      </c>
      <c r="O389" s="178">
        <v>61599.7</v>
      </c>
      <c r="P389" s="26">
        <f t="shared" si="258"/>
        <v>2600</v>
      </c>
      <c r="Q389" s="178">
        <v>96000</v>
      </c>
      <c r="R389" s="178">
        <v>97500</v>
      </c>
      <c r="S389" s="178">
        <v>99600</v>
      </c>
      <c r="T389" s="266">
        <v>98600</v>
      </c>
      <c r="U389" s="266">
        <v>91862.9</v>
      </c>
      <c r="V389" s="266">
        <v>98600</v>
      </c>
      <c r="W389" s="266">
        <v>98600</v>
      </c>
      <c r="X389" s="178">
        <v>102000</v>
      </c>
      <c r="Y389" s="266">
        <v>41618.199999999997</v>
      </c>
      <c r="Z389" s="266">
        <f t="shared" si="243"/>
        <v>42.21</v>
      </c>
      <c r="AA389" s="266">
        <f t="shared" si="276"/>
        <v>9500</v>
      </c>
      <c r="AB389" s="266">
        <v>108100</v>
      </c>
      <c r="AC389" s="266">
        <v>71890.8</v>
      </c>
      <c r="AD389" s="266">
        <f t="shared" si="251"/>
        <v>66.503977798334873</v>
      </c>
      <c r="AE389" s="266">
        <f t="shared" si="254"/>
        <v>0</v>
      </c>
      <c r="AF389" s="266">
        <v>108100</v>
      </c>
      <c r="AG389" s="687">
        <v>111000</v>
      </c>
      <c r="AH389" s="687">
        <v>111000</v>
      </c>
      <c r="AI389" s="687">
        <v>111000</v>
      </c>
      <c r="AJ389" s="162" t="b">
        <f t="shared" si="236"/>
        <v>0</v>
      </c>
      <c r="AK389" s="162" t="str">
        <f t="shared" si="237"/>
        <v>PUNO</v>
      </c>
      <c r="AM389" s="264"/>
    </row>
    <row r="390" spans="1:39" ht="15.75" x14ac:dyDescent="0.2">
      <c r="B390" s="177"/>
      <c r="C390" s="177"/>
      <c r="D390" s="177"/>
      <c r="E390" s="177">
        <v>3213</v>
      </c>
      <c r="F390" s="176">
        <v>11</v>
      </c>
      <c r="G390" s="176" t="s">
        <v>527</v>
      </c>
      <c r="H390" s="16" t="s">
        <v>221</v>
      </c>
      <c r="I390" s="18">
        <v>2000</v>
      </c>
      <c r="J390" s="178">
        <v>2660</v>
      </c>
      <c r="K390" s="178">
        <f t="shared" si="245"/>
        <v>133</v>
      </c>
      <c r="L390" s="178">
        <f t="shared" si="246"/>
        <v>2860</v>
      </c>
      <c r="M390" s="178">
        <v>4860</v>
      </c>
      <c r="N390" s="178">
        <v>14000</v>
      </c>
      <c r="O390" s="178">
        <v>1546</v>
      </c>
      <c r="P390" s="26">
        <f t="shared" si="258"/>
        <v>0</v>
      </c>
      <c r="Q390" s="178">
        <v>14000</v>
      </c>
      <c r="R390" s="178">
        <v>4500</v>
      </c>
      <c r="S390" s="178">
        <v>5000</v>
      </c>
      <c r="T390" s="266">
        <v>14000</v>
      </c>
      <c r="U390" s="266">
        <v>7431</v>
      </c>
      <c r="V390" s="266">
        <v>14000</v>
      </c>
      <c r="W390" s="266">
        <v>14000</v>
      </c>
      <c r="X390" s="266">
        <v>14000</v>
      </c>
      <c r="Y390" s="266">
        <v>3780</v>
      </c>
      <c r="Z390" s="266">
        <f t="shared" si="243"/>
        <v>27</v>
      </c>
      <c r="AA390" s="266">
        <f t="shared" si="276"/>
        <v>0</v>
      </c>
      <c r="AB390" s="266">
        <v>14000</v>
      </c>
      <c r="AC390" s="266">
        <v>10463.200000000001</v>
      </c>
      <c r="AD390" s="266">
        <f t="shared" si="251"/>
        <v>74.737142857142857</v>
      </c>
      <c r="AE390" s="266">
        <f t="shared" si="254"/>
        <v>0</v>
      </c>
      <c r="AF390" s="266">
        <v>14000</v>
      </c>
      <c r="AG390" s="266">
        <v>14000</v>
      </c>
      <c r="AH390" s="266">
        <v>14000</v>
      </c>
      <c r="AI390" s="266">
        <v>14000</v>
      </c>
      <c r="AJ390" s="162" t="b">
        <f t="shared" si="236"/>
        <v>0</v>
      </c>
      <c r="AK390" s="162" t="str">
        <f t="shared" si="237"/>
        <v>PUNO</v>
      </c>
      <c r="AM390" s="264"/>
    </row>
    <row r="391" spans="1:39" ht="15.75" x14ac:dyDescent="0.2">
      <c r="B391" s="177"/>
      <c r="C391" s="177"/>
      <c r="D391" s="177">
        <v>322</v>
      </c>
      <c r="E391" s="177"/>
      <c r="F391" s="177"/>
      <c r="G391" s="177"/>
      <c r="H391" s="16" t="s">
        <v>547</v>
      </c>
      <c r="I391" s="17">
        <f>I392</f>
        <v>49000</v>
      </c>
      <c r="J391" s="181">
        <f>J392</f>
        <v>48385.37</v>
      </c>
      <c r="K391" s="181">
        <f t="shared" si="245"/>
        <v>98.75</v>
      </c>
      <c r="L391" s="181">
        <f t="shared" si="246"/>
        <v>22917.979999999996</v>
      </c>
      <c r="M391" s="181">
        <f>M392</f>
        <v>71917.98</v>
      </c>
      <c r="N391" s="181">
        <f>N392</f>
        <v>75000</v>
      </c>
      <c r="O391" s="181">
        <f>O392</f>
        <v>43414.99</v>
      </c>
      <c r="P391" s="26">
        <f t="shared" si="258"/>
        <v>0</v>
      </c>
      <c r="Q391" s="181">
        <f t="shared" ref="Q391:AI391" si="277">Q392</f>
        <v>75000</v>
      </c>
      <c r="R391" s="181">
        <f t="shared" si="277"/>
        <v>73000</v>
      </c>
      <c r="S391" s="181">
        <f t="shared" si="277"/>
        <v>75000</v>
      </c>
      <c r="T391" s="307">
        <f t="shared" si="277"/>
        <v>75000</v>
      </c>
      <c r="U391" s="307">
        <f t="shared" si="277"/>
        <v>67305.56</v>
      </c>
      <c r="V391" s="181">
        <f t="shared" si="277"/>
        <v>75000</v>
      </c>
      <c r="W391" s="181">
        <f t="shared" si="277"/>
        <v>75000</v>
      </c>
      <c r="X391" s="181">
        <f t="shared" si="277"/>
        <v>75000</v>
      </c>
      <c r="Y391" s="181">
        <f t="shared" si="277"/>
        <v>34077.08</v>
      </c>
      <c r="Z391" s="181">
        <f t="shared" si="243"/>
        <v>45.44</v>
      </c>
      <c r="AA391" s="181">
        <f t="shared" si="276"/>
        <v>0</v>
      </c>
      <c r="AB391" s="181">
        <f t="shared" si="277"/>
        <v>75000</v>
      </c>
      <c r="AC391" s="181">
        <f t="shared" si="277"/>
        <v>57734.31</v>
      </c>
      <c r="AD391" s="181">
        <f t="shared" si="251"/>
        <v>76.979079999999996</v>
      </c>
      <c r="AE391" s="181">
        <f t="shared" si="254"/>
        <v>0</v>
      </c>
      <c r="AF391" s="181">
        <f t="shared" si="277"/>
        <v>75000</v>
      </c>
      <c r="AG391" s="181">
        <f t="shared" si="277"/>
        <v>75000</v>
      </c>
      <c r="AH391" s="181">
        <f t="shared" si="277"/>
        <v>75000</v>
      </c>
      <c r="AI391" s="181">
        <f t="shared" si="277"/>
        <v>75000</v>
      </c>
      <c r="AJ391" s="162" t="b">
        <f t="shared" si="236"/>
        <v>1</v>
      </c>
      <c r="AK391" s="162" t="str">
        <f t="shared" si="237"/>
        <v>PRAZNO</v>
      </c>
      <c r="AM391" s="264"/>
    </row>
    <row r="392" spans="1:39" ht="15.75" x14ac:dyDescent="0.2">
      <c r="B392" s="177"/>
      <c r="C392" s="177"/>
      <c r="D392" s="177"/>
      <c r="E392" s="177">
        <v>3221</v>
      </c>
      <c r="F392" s="176">
        <v>11</v>
      </c>
      <c r="G392" s="176" t="s">
        <v>527</v>
      </c>
      <c r="H392" s="16" t="s">
        <v>548</v>
      </c>
      <c r="I392" s="18">
        <v>49000</v>
      </c>
      <c r="J392" s="178">
        <v>48385.37</v>
      </c>
      <c r="K392" s="178">
        <f t="shared" si="245"/>
        <v>98.75</v>
      </c>
      <c r="L392" s="178">
        <f t="shared" si="246"/>
        <v>22917.979999999996</v>
      </c>
      <c r="M392" s="178">
        <v>71917.98</v>
      </c>
      <c r="N392" s="178">
        <v>75000</v>
      </c>
      <c r="O392" s="178">
        <v>43414.99</v>
      </c>
      <c r="P392" s="26">
        <f t="shared" si="258"/>
        <v>0</v>
      </c>
      <c r="Q392" s="178">
        <v>75000</v>
      </c>
      <c r="R392" s="178">
        <v>73000</v>
      </c>
      <c r="S392" s="178">
        <v>75000</v>
      </c>
      <c r="T392" s="266">
        <v>75000</v>
      </c>
      <c r="U392" s="266">
        <v>67305.56</v>
      </c>
      <c r="V392" s="266">
        <v>75000</v>
      </c>
      <c r="W392" s="266">
        <v>75000</v>
      </c>
      <c r="X392" s="266">
        <v>75000</v>
      </c>
      <c r="Y392" s="266">
        <v>34077.08</v>
      </c>
      <c r="Z392" s="266">
        <f t="shared" si="243"/>
        <v>45.44</v>
      </c>
      <c r="AA392" s="266">
        <f t="shared" si="276"/>
        <v>0</v>
      </c>
      <c r="AB392" s="266">
        <v>75000</v>
      </c>
      <c r="AC392" s="266">
        <v>57734.31</v>
      </c>
      <c r="AD392" s="266">
        <f t="shared" si="251"/>
        <v>76.979079999999996</v>
      </c>
      <c r="AE392" s="266">
        <f t="shared" si="254"/>
        <v>0</v>
      </c>
      <c r="AF392" s="266">
        <v>75000</v>
      </c>
      <c r="AG392" s="266">
        <v>75000</v>
      </c>
      <c r="AH392" s="266">
        <v>75000</v>
      </c>
      <c r="AI392" s="266">
        <v>75000</v>
      </c>
      <c r="AJ392" s="162" t="b">
        <f t="shared" si="236"/>
        <v>0</v>
      </c>
      <c r="AK392" s="162" t="str">
        <f t="shared" si="237"/>
        <v>PUNO</v>
      </c>
      <c r="AM392" s="264"/>
    </row>
    <row r="393" spans="1:39" ht="15.75" x14ac:dyDescent="0.2">
      <c r="B393" s="177"/>
      <c r="C393" s="177"/>
      <c r="D393" s="177">
        <v>323</v>
      </c>
      <c r="E393" s="177"/>
      <c r="F393" s="177"/>
      <c r="G393" s="177"/>
      <c r="H393" s="16" t="s">
        <v>526</v>
      </c>
      <c r="I393" s="17">
        <f>I394</f>
        <v>14000</v>
      </c>
      <c r="J393" s="181">
        <f>J394</f>
        <v>13237.79</v>
      </c>
      <c r="K393" s="181">
        <f t="shared" si="245"/>
        <v>94.56</v>
      </c>
      <c r="L393" s="181">
        <f t="shared" si="246"/>
        <v>4850.6699999999983</v>
      </c>
      <c r="M393" s="181">
        <f>M394</f>
        <v>18850.669999999998</v>
      </c>
      <c r="N393" s="181">
        <f>N394+N395</f>
        <v>36000</v>
      </c>
      <c r="O393" s="181">
        <f>O394+O395</f>
        <v>21725.43</v>
      </c>
      <c r="P393" s="26">
        <f t="shared" si="258"/>
        <v>-5000</v>
      </c>
      <c r="Q393" s="181">
        <f>Q394+Q395</f>
        <v>36000</v>
      </c>
      <c r="R393" s="181">
        <f>R394</f>
        <v>22000</v>
      </c>
      <c r="S393" s="181">
        <f>S394</f>
        <v>24000</v>
      </c>
      <c r="T393" s="307">
        <f t="shared" ref="T393:Y393" si="278">T394+T395</f>
        <v>31000</v>
      </c>
      <c r="U393" s="307">
        <f t="shared" si="278"/>
        <v>29469.739999999998</v>
      </c>
      <c r="V393" s="181">
        <f t="shared" si="278"/>
        <v>31000</v>
      </c>
      <c r="W393" s="181">
        <f t="shared" si="278"/>
        <v>31000</v>
      </c>
      <c r="X393" s="181">
        <f t="shared" si="278"/>
        <v>31000</v>
      </c>
      <c r="Y393" s="181">
        <f t="shared" si="278"/>
        <v>6713.41</v>
      </c>
      <c r="Z393" s="181">
        <f t="shared" si="243"/>
        <v>21.66</v>
      </c>
      <c r="AA393" s="181">
        <f t="shared" si="276"/>
        <v>0</v>
      </c>
      <c r="AB393" s="181">
        <f t="shared" ref="AB393:AI393" si="279">AB394+AB395</f>
        <v>31000</v>
      </c>
      <c r="AC393" s="181">
        <f t="shared" si="279"/>
        <v>15340.21</v>
      </c>
      <c r="AD393" s="181">
        <f t="shared" si="251"/>
        <v>49.484548387096773</v>
      </c>
      <c r="AE393" s="181">
        <f t="shared" si="254"/>
        <v>5000</v>
      </c>
      <c r="AF393" s="181">
        <f t="shared" si="279"/>
        <v>36000</v>
      </c>
      <c r="AG393" s="181">
        <f t="shared" si="279"/>
        <v>31000</v>
      </c>
      <c r="AH393" s="181">
        <f t="shared" si="279"/>
        <v>31000</v>
      </c>
      <c r="AI393" s="181">
        <f t="shared" si="279"/>
        <v>31000</v>
      </c>
      <c r="AJ393" s="162" t="b">
        <f t="shared" ref="AJ393:AJ456" si="280">ISBLANK(E393)</f>
        <v>1</v>
      </c>
      <c r="AK393" s="162" t="str">
        <f t="shared" ref="AK393:AK456" si="281">IF(AJ393,"PRAZNO","PUNO")</f>
        <v>PRAZNO</v>
      </c>
      <c r="AM393" s="264"/>
    </row>
    <row r="394" spans="1:39" ht="15.75" x14ac:dyDescent="0.2">
      <c r="B394" s="177"/>
      <c r="C394" s="177"/>
      <c r="D394" s="177"/>
      <c r="E394" s="177">
        <v>3231</v>
      </c>
      <c r="F394" s="176">
        <v>11</v>
      </c>
      <c r="G394" s="176" t="s">
        <v>527</v>
      </c>
      <c r="H394" s="16" t="s">
        <v>206</v>
      </c>
      <c r="I394" s="18">
        <v>14000</v>
      </c>
      <c r="J394" s="178">
        <v>13237.79</v>
      </c>
      <c r="K394" s="178">
        <f t="shared" si="245"/>
        <v>94.56</v>
      </c>
      <c r="L394" s="178">
        <f t="shared" si="246"/>
        <v>4850.6699999999983</v>
      </c>
      <c r="M394" s="178">
        <v>18850.669999999998</v>
      </c>
      <c r="N394" s="178">
        <v>20000</v>
      </c>
      <c r="O394" s="178">
        <v>7690.93</v>
      </c>
      <c r="P394" s="26">
        <f t="shared" si="258"/>
        <v>-5000</v>
      </c>
      <c r="Q394" s="178">
        <v>20000</v>
      </c>
      <c r="R394" s="178">
        <v>22000</v>
      </c>
      <c r="S394" s="178">
        <v>24000</v>
      </c>
      <c r="T394" s="266">
        <v>15000</v>
      </c>
      <c r="U394" s="266">
        <v>15435.24</v>
      </c>
      <c r="V394" s="266">
        <v>15000</v>
      </c>
      <c r="W394" s="266">
        <v>15000</v>
      </c>
      <c r="X394" s="266">
        <v>15000</v>
      </c>
      <c r="Y394" s="266">
        <v>5213.41</v>
      </c>
      <c r="Z394" s="266">
        <f t="shared" si="243"/>
        <v>34.76</v>
      </c>
      <c r="AA394" s="266">
        <f t="shared" si="276"/>
        <v>0</v>
      </c>
      <c r="AB394" s="266">
        <v>15000</v>
      </c>
      <c r="AC394" s="266">
        <v>9465.2099999999991</v>
      </c>
      <c r="AD394" s="266">
        <f t="shared" si="251"/>
        <v>63.101399999999998</v>
      </c>
      <c r="AE394" s="266">
        <f t="shared" si="254"/>
        <v>5000</v>
      </c>
      <c r="AF394" s="266">
        <v>20000</v>
      </c>
      <c r="AG394" s="266">
        <v>15000</v>
      </c>
      <c r="AH394" s="266">
        <v>15000</v>
      </c>
      <c r="AI394" s="266">
        <v>15000</v>
      </c>
      <c r="AJ394" s="162" t="b">
        <f t="shared" si="280"/>
        <v>0</v>
      </c>
      <c r="AK394" s="162" t="str">
        <f t="shared" si="281"/>
        <v>PUNO</v>
      </c>
      <c r="AM394" s="264"/>
    </row>
    <row r="395" spans="1:39" ht="15.75" x14ac:dyDescent="0.2">
      <c r="B395" s="177"/>
      <c r="C395" s="177"/>
      <c r="D395" s="177"/>
      <c r="E395" s="177">
        <v>3239</v>
      </c>
      <c r="F395" s="176">
        <v>11</v>
      </c>
      <c r="G395" s="176"/>
      <c r="H395" s="16" t="s">
        <v>529</v>
      </c>
      <c r="I395" s="18"/>
      <c r="J395" s="178"/>
      <c r="K395" s="178"/>
      <c r="L395" s="178"/>
      <c r="M395" s="178">
        <v>0</v>
      </c>
      <c r="N395" s="178">
        <v>16000</v>
      </c>
      <c r="O395" s="178">
        <v>14034.5</v>
      </c>
      <c r="P395" s="26">
        <f t="shared" si="258"/>
        <v>0</v>
      </c>
      <c r="Q395" s="178">
        <v>16000</v>
      </c>
      <c r="R395" s="178"/>
      <c r="S395" s="178"/>
      <c r="T395" s="266">
        <v>16000</v>
      </c>
      <c r="U395" s="266">
        <v>14034.5</v>
      </c>
      <c r="V395" s="266">
        <v>16000</v>
      </c>
      <c r="W395" s="266">
        <v>16000</v>
      </c>
      <c r="X395" s="266">
        <v>16000</v>
      </c>
      <c r="Y395" s="266">
        <v>1500</v>
      </c>
      <c r="Z395" s="266">
        <f t="shared" si="243"/>
        <v>9.3800000000000008</v>
      </c>
      <c r="AA395" s="266">
        <f t="shared" si="276"/>
        <v>0</v>
      </c>
      <c r="AB395" s="266">
        <v>16000</v>
      </c>
      <c r="AC395" s="266">
        <v>5875</v>
      </c>
      <c r="AD395" s="266">
        <f t="shared" si="251"/>
        <v>36.71875</v>
      </c>
      <c r="AE395" s="266">
        <f t="shared" si="254"/>
        <v>0</v>
      </c>
      <c r="AF395" s="266">
        <v>16000</v>
      </c>
      <c r="AG395" s="266">
        <v>16000</v>
      </c>
      <c r="AH395" s="266">
        <v>16000</v>
      </c>
      <c r="AI395" s="266">
        <v>16000</v>
      </c>
      <c r="AJ395" s="162" t="b">
        <f t="shared" si="280"/>
        <v>0</v>
      </c>
      <c r="AK395" s="162" t="str">
        <f t="shared" si="281"/>
        <v>PUNO</v>
      </c>
      <c r="AM395" s="264"/>
    </row>
    <row r="396" spans="1:39" ht="15.75" x14ac:dyDescent="0.2">
      <c r="B396" s="177"/>
      <c r="C396" s="177"/>
      <c r="D396" s="177">
        <v>329</v>
      </c>
      <c r="E396" s="177"/>
      <c r="F396" s="177"/>
      <c r="G396" s="177"/>
      <c r="H396" s="16" t="s">
        <v>531</v>
      </c>
      <c r="I396" s="17">
        <f>I398</f>
        <v>6000</v>
      </c>
      <c r="J396" s="181">
        <f>J398</f>
        <v>5237.58</v>
      </c>
      <c r="K396" s="181">
        <f t="shared" si="245"/>
        <v>87.29</v>
      </c>
      <c r="L396" s="181">
        <f t="shared" si="246"/>
        <v>-762.42000000000007</v>
      </c>
      <c r="M396" s="181">
        <f>M398</f>
        <v>5237.58</v>
      </c>
      <c r="N396" s="181">
        <f>N398</f>
        <v>3000</v>
      </c>
      <c r="O396" s="181">
        <f>O397+O398</f>
        <v>910.72</v>
      </c>
      <c r="P396" s="26">
        <f t="shared" si="258"/>
        <v>5000</v>
      </c>
      <c r="Q396" s="181">
        <f>Q398</f>
        <v>3000</v>
      </c>
      <c r="R396" s="181">
        <f>R398</f>
        <v>6000</v>
      </c>
      <c r="S396" s="181">
        <f>S398</f>
        <v>7000</v>
      </c>
      <c r="T396" s="307">
        <f t="shared" ref="T396:Y396" si="282">T398+T397</f>
        <v>8000</v>
      </c>
      <c r="U396" s="307">
        <f t="shared" si="282"/>
        <v>9115.84</v>
      </c>
      <c r="V396" s="307">
        <f t="shared" si="282"/>
        <v>24000</v>
      </c>
      <c r="W396" s="307">
        <f t="shared" si="282"/>
        <v>24000</v>
      </c>
      <c r="X396" s="307">
        <f t="shared" si="282"/>
        <v>25000</v>
      </c>
      <c r="Y396" s="307">
        <f t="shared" si="282"/>
        <v>20825.41</v>
      </c>
      <c r="Z396" s="307">
        <f t="shared" si="243"/>
        <v>86.77</v>
      </c>
      <c r="AA396" s="307">
        <f t="shared" si="276"/>
        <v>26000</v>
      </c>
      <c r="AB396" s="307">
        <f t="shared" ref="AB396:AI396" si="283">AB398+AB397</f>
        <v>50000</v>
      </c>
      <c r="AC396" s="307">
        <f t="shared" si="283"/>
        <v>25954.620000000003</v>
      </c>
      <c r="AD396" s="307">
        <f t="shared" si="251"/>
        <v>51.909240000000004</v>
      </c>
      <c r="AE396" s="307">
        <f t="shared" si="254"/>
        <v>-5000</v>
      </c>
      <c r="AF396" s="307">
        <f t="shared" si="283"/>
        <v>45000</v>
      </c>
      <c r="AG396" s="307">
        <f t="shared" si="283"/>
        <v>45000</v>
      </c>
      <c r="AH396" s="307">
        <f t="shared" si="283"/>
        <v>45000</v>
      </c>
      <c r="AI396" s="307">
        <f t="shared" si="283"/>
        <v>45000</v>
      </c>
      <c r="AJ396" s="162" t="b">
        <f t="shared" si="280"/>
        <v>1</v>
      </c>
      <c r="AK396" s="162" t="str">
        <f t="shared" si="281"/>
        <v>PRAZNO</v>
      </c>
      <c r="AM396" s="264"/>
    </row>
    <row r="397" spans="1:39" ht="15.75" x14ac:dyDescent="0.2">
      <c r="B397" s="177"/>
      <c r="C397" s="177"/>
      <c r="D397" s="177"/>
      <c r="E397" s="177">
        <v>3295</v>
      </c>
      <c r="F397" s="177">
        <v>11</v>
      </c>
      <c r="G397" s="177"/>
      <c r="H397" s="16" t="s">
        <v>400</v>
      </c>
      <c r="I397" s="17"/>
      <c r="J397" s="181"/>
      <c r="K397" s="181"/>
      <c r="L397" s="181"/>
      <c r="M397" s="181">
        <v>0</v>
      </c>
      <c r="N397" s="181">
        <v>0</v>
      </c>
      <c r="O397" s="181">
        <v>0</v>
      </c>
      <c r="P397" s="26">
        <f t="shared" si="258"/>
        <v>5000</v>
      </c>
      <c r="Q397" s="181"/>
      <c r="R397" s="181"/>
      <c r="S397" s="181"/>
      <c r="T397" s="307">
        <v>5000</v>
      </c>
      <c r="U397" s="307">
        <v>5520</v>
      </c>
      <c r="V397" s="181">
        <v>20000</v>
      </c>
      <c r="W397" s="181">
        <v>20000</v>
      </c>
      <c r="X397" s="181">
        <v>20000</v>
      </c>
      <c r="Y397" s="181">
        <v>18983.66</v>
      </c>
      <c r="Z397" s="181">
        <f t="shared" si="243"/>
        <v>94.92</v>
      </c>
      <c r="AA397" s="181">
        <f t="shared" si="276"/>
        <v>20000</v>
      </c>
      <c r="AB397" s="181">
        <v>40000</v>
      </c>
      <c r="AC397" s="181">
        <v>22887.15</v>
      </c>
      <c r="AD397" s="181">
        <f t="shared" si="251"/>
        <v>57.217875000000006</v>
      </c>
      <c r="AE397" s="181">
        <f t="shared" si="254"/>
        <v>0</v>
      </c>
      <c r="AF397" s="181">
        <v>40000</v>
      </c>
      <c r="AG397" s="181">
        <v>35000</v>
      </c>
      <c r="AH397" s="181">
        <v>35000</v>
      </c>
      <c r="AI397" s="181">
        <v>35000</v>
      </c>
      <c r="AJ397" s="162" t="b">
        <f t="shared" si="280"/>
        <v>0</v>
      </c>
      <c r="AK397" s="162" t="str">
        <f t="shared" si="281"/>
        <v>PUNO</v>
      </c>
      <c r="AM397" s="264"/>
    </row>
    <row r="398" spans="1:39" ht="15.75" x14ac:dyDescent="0.2">
      <c r="B398" s="177"/>
      <c r="C398" s="177"/>
      <c r="D398" s="177"/>
      <c r="E398" s="177">
        <v>3299</v>
      </c>
      <c r="F398" s="176">
        <v>11</v>
      </c>
      <c r="G398" s="176" t="s">
        <v>527</v>
      </c>
      <c r="H398" s="16" t="s">
        <v>531</v>
      </c>
      <c r="I398" s="18">
        <v>6000</v>
      </c>
      <c r="J398" s="178">
        <v>5237.58</v>
      </c>
      <c r="K398" s="178">
        <f t="shared" si="245"/>
        <v>87.29</v>
      </c>
      <c r="L398" s="178">
        <f t="shared" si="246"/>
        <v>-762.42000000000007</v>
      </c>
      <c r="M398" s="178">
        <v>5237.58</v>
      </c>
      <c r="N398" s="178">
        <v>3000</v>
      </c>
      <c r="O398" s="178">
        <v>910.72</v>
      </c>
      <c r="P398" s="26">
        <f t="shared" si="258"/>
        <v>0</v>
      </c>
      <c r="Q398" s="178">
        <v>3000</v>
      </c>
      <c r="R398" s="178">
        <v>6000</v>
      </c>
      <c r="S398" s="178">
        <v>7000</v>
      </c>
      <c r="T398" s="266">
        <v>3000</v>
      </c>
      <c r="U398" s="266">
        <v>3595.84</v>
      </c>
      <c r="V398" s="178">
        <v>4000</v>
      </c>
      <c r="W398" s="178">
        <v>4000</v>
      </c>
      <c r="X398" s="178">
        <v>5000</v>
      </c>
      <c r="Y398" s="178">
        <v>1841.75</v>
      </c>
      <c r="Z398" s="178">
        <f t="shared" si="243"/>
        <v>46.04</v>
      </c>
      <c r="AA398" s="178">
        <f t="shared" si="276"/>
        <v>6000</v>
      </c>
      <c r="AB398" s="178">
        <v>10000</v>
      </c>
      <c r="AC398" s="178">
        <v>3067.47</v>
      </c>
      <c r="AD398" s="178">
        <f t="shared" si="251"/>
        <v>30.674699999999998</v>
      </c>
      <c r="AE398" s="178">
        <f t="shared" si="254"/>
        <v>-5000</v>
      </c>
      <c r="AF398" s="178">
        <v>5000</v>
      </c>
      <c r="AG398" s="178">
        <v>10000</v>
      </c>
      <c r="AH398" s="178">
        <v>10000</v>
      </c>
      <c r="AI398" s="178">
        <v>10000</v>
      </c>
      <c r="AJ398" s="162" t="b">
        <f t="shared" si="280"/>
        <v>0</v>
      </c>
      <c r="AK398" s="162" t="str">
        <f t="shared" si="281"/>
        <v>PUNO</v>
      </c>
      <c r="AM398" s="264"/>
    </row>
    <row r="399" spans="1:39" s="264" customFormat="1" ht="15.75" x14ac:dyDescent="0.2">
      <c r="A399" s="259"/>
      <c r="B399" s="168"/>
      <c r="C399" s="168"/>
      <c r="D399" s="168"/>
      <c r="E399" s="168"/>
      <c r="F399" s="168"/>
      <c r="G399" s="168"/>
      <c r="H399" s="12" t="s">
        <v>152</v>
      </c>
      <c r="I399" s="169">
        <f>I401</f>
        <v>8800</v>
      </c>
      <c r="J399" s="169">
        <f>J401</f>
        <v>6745.71</v>
      </c>
      <c r="K399" s="169">
        <f t="shared" si="245"/>
        <v>76.66</v>
      </c>
      <c r="L399" s="169">
        <f t="shared" si="246"/>
        <v>-78.290000000000873</v>
      </c>
      <c r="M399" s="19">
        <f>M401</f>
        <v>8721.7099999999991</v>
      </c>
      <c r="N399" s="19" t="e">
        <f>N401</f>
        <v>#REF!</v>
      </c>
      <c r="O399" s="19">
        <f>O401</f>
        <v>3099</v>
      </c>
      <c r="P399" s="303" t="e">
        <f t="shared" si="258"/>
        <v>#REF!</v>
      </c>
      <c r="Q399" s="19" t="e">
        <f t="shared" ref="Q399:X399" si="284">Q401</f>
        <v>#REF!</v>
      </c>
      <c r="R399" s="19">
        <f t="shared" si="284"/>
        <v>5000</v>
      </c>
      <c r="S399" s="19">
        <f t="shared" si="284"/>
        <v>6000</v>
      </c>
      <c r="T399" s="19">
        <f t="shared" si="284"/>
        <v>18900</v>
      </c>
      <c r="U399" s="19">
        <f>U401</f>
        <v>15348.39</v>
      </c>
      <c r="V399" s="19">
        <f t="shared" si="284"/>
        <v>10000</v>
      </c>
      <c r="W399" s="19">
        <f t="shared" si="284"/>
        <v>5000</v>
      </c>
      <c r="X399" s="19">
        <f t="shared" si="284"/>
        <v>5000</v>
      </c>
      <c r="Y399" s="19">
        <f>Y401</f>
        <v>3937.5</v>
      </c>
      <c r="Z399" s="19">
        <f t="shared" si="243"/>
        <v>39.380000000000003</v>
      </c>
      <c r="AA399" s="19">
        <f t="shared" si="276"/>
        <v>3000</v>
      </c>
      <c r="AB399" s="19">
        <f t="shared" ref="AB399:AI399" si="285">AB401</f>
        <v>13000</v>
      </c>
      <c r="AC399" s="19">
        <f t="shared" si="285"/>
        <v>12391.79</v>
      </c>
      <c r="AD399" s="19">
        <f t="shared" si="251"/>
        <v>95.321461538461548</v>
      </c>
      <c r="AE399" s="19">
        <f t="shared" si="254"/>
        <v>0</v>
      </c>
      <c r="AF399" s="19">
        <f t="shared" si="285"/>
        <v>13000</v>
      </c>
      <c r="AG399" s="19">
        <f t="shared" si="285"/>
        <v>23000</v>
      </c>
      <c r="AH399" s="19">
        <f t="shared" si="285"/>
        <v>5000</v>
      </c>
      <c r="AI399" s="19">
        <f t="shared" si="285"/>
        <v>5000</v>
      </c>
      <c r="AJ399" s="162" t="b">
        <f t="shared" si="280"/>
        <v>1</v>
      </c>
      <c r="AK399" s="162" t="str">
        <f t="shared" si="281"/>
        <v>PRAZNO</v>
      </c>
      <c r="AL399" s="263"/>
    </row>
    <row r="400" spans="1:39" s="264" customFormat="1" ht="15.75" x14ac:dyDescent="0.2">
      <c r="A400" s="259"/>
      <c r="B400" s="260"/>
      <c r="C400" s="260"/>
      <c r="D400" s="260"/>
      <c r="E400" s="260"/>
      <c r="F400" s="260"/>
      <c r="G400" s="260"/>
      <c r="H400" s="441" t="s">
        <v>826</v>
      </c>
      <c r="I400" s="181"/>
      <c r="J400" s="181"/>
      <c r="K400" s="181"/>
      <c r="L400" s="181"/>
      <c r="M400" s="262"/>
      <c r="N400" s="262"/>
      <c r="O400" s="262"/>
      <c r="P400" s="445"/>
      <c r="Q400" s="262"/>
      <c r="R400" s="262"/>
      <c r="S400" s="262"/>
      <c r="T400" s="262">
        <f t="shared" ref="T400:Y403" si="286">T401</f>
        <v>18900</v>
      </c>
      <c r="U400" s="262">
        <f t="shared" si="286"/>
        <v>15348.39</v>
      </c>
      <c r="V400" s="262">
        <f t="shared" si="286"/>
        <v>10000</v>
      </c>
      <c r="W400" s="262">
        <f t="shared" si="286"/>
        <v>5000</v>
      </c>
      <c r="X400" s="262">
        <f t="shared" si="286"/>
        <v>5000</v>
      </c>
      <c r="Y400" s="262">
        <f t="shared" si="286"/>
        <v>3937.5</v>
      </c>
      <c r="Z400" s="262">
        <f t="shared" si="243"/>
        <v>39.380000000000003</v>
      </c>
      <c r="AA400" s="262">
        <f t="shared" si="276"/>
        <v>3000</v>
      </c>
      <c r="AB400" s="262">
        <f t="shared" ref="AB400:AI400" si="287">AB401</f>
        <v>13000</v>
      </c>
      <c r="AC400" s="262">
        <f t="shared" si="287"/>
        <v>12391.79</v>
      </c>
      <c r="AD400" s="262">
        <f t="shared" si="251"/>
        <v>95.321461538461548</v>
      </c>
      <c r="AE400" s="262">
        <f t="shared" si="254"/>
        <v>0</v>
      </c>
      <c r="AF400" s="262">
        <f t="shared" si="287"/>
        <v>13000</v>
      </c>
      <c r="AG400" s="262">
        <f t="shared" si="287"/>
        <v>23000</v>
      </c>
      <c r="AH400" s="262">
        <f t="shared" si="287"/>
        <v>5000</v>
      </c>
      <c r="AI400" s="262">
        <f t="shared" si="287"/>
        <v>5000</v>
      </c>
      <c r="AJ400" s="162" t="b">
        <f t="shared" si="280"/>
        <v>1</v>
      </c>
      <c r="AK400" s="162" t="str">
        <f t="shared" si="281"/>
        <v>PRAZNO</v>
      </c>
      <c r="AL400" s="263"/>
    </row>
    <row r="401" spans="1:39" s="264" customFormat="1" ht="15.75" x14ac:dyDescent="0.2">
      <c r="A401" s="259"/>
      <c r="B401" s="172">
        <v>4</v>
      </c>
      <c r="C401" s="172"/>
      <c r="D401" s="172"/>
      <c r="E401" s="172"/>
      <c r="F401" s="172"/>
      <c r="G401" s="172"/>
      <c r="H401" s="14" t="s">
        <v>552</v>
      </c>
      <c r="I401" s="20">
        <f t="shared" ref="I401:J403" si="288">I402</f>
        <v>8800</v>
      </c>
      <c r="J401" s="20">
        <f t="shared" si="288"/>
        <v>6745.71</v>
      </c>
      <c r="K401" s="20">
        <f t="shared" si="245"/>
        <v>76.66</v>
      </c>
      <c r="L401" s="20">
        <f t="shared" si="246"/>
        <v>-78.290000000000873</v>
      </c>
      <c r="M401" s="20">
        <f t="shared" ref="M401:O402" si="289">M402</f>
        <v>8721.7099999999991</v>
      </c>
      <c r="N401" s="20" t="e">
        <f t="shared" si="289"/>
        <v>#REF!</v>
      </c>
      <c r="O401" s="20">
        <f t="shared" si="289"/>
        <v>3099</v>
      </c>
      <c r="P401" s="55" t="e">
        <f t="shared" si="258"/>
        <v>#REF!</v>
      </c>
      <c r="Q401" s="20" t="e">
        <f t="shared" ref="Q401:S402" si="290">Q402</f>
        <v>#REF!</v>
      </c>
      <c r="R401" s="20">
        <f t="shared" si="290"/>
        <v>5000</v>
      </c>
      <c r="S401" s="20">
        <f t="shared" si="290"/>
        <v>6000</v>
      </c>
      <c r="T401" s="20">
        <f t="shared" si="286"/>
        <v>18900</v>
      </c>
      <c r="U401" s="20">
        <f t="shared" si="286"/>
        <v>15348.39</v>
      </c>
      <c r="V401" s="20">
        <f t="shared" si="286"/>
        <v>10000</v>
      </c>
      <c r="W401" s="20">
        <f t="shared" si="286"/>
        <v>5000</v>
      </c>
      <c r="X401" s="20">
        <f t="shared" si="286"/>
        <v>5000</v>
      </c>
      <c r="Y401" s="20">
        <f t="shared" si="286"/>
        <v>3937.5</v>
      </c>
      <c r="Z401" s="20">
        <f t="shared" si="243"/>
        <v>39.380000000000003</v>
      </c>
      <c r="AA401" s="20">
        <f t="shared" si="276"/>
        <v>3000</v>
      </c>
      <c r="AB401" s="20">
        <f>AB402</f>
        <v>13000</v>
      </c>
      <c r="AC401" s="20">
        <f>AC402</f>
        <v>12391.79</v>
      </c>
      <c r="AD401" s="20">
        <f t="shared" si="251"/>
        <v>95.321461538461548</v>
      </c>
      <c r="AE401" s="20">
        <f t="shared" si="254"/>
        <v>0</v>
      </c>
      <c r="AF401" s="20">
        <f>AF402</f>
        <v>13000</v>
      </c>
      <c r="AG401" s="20">
        <f>AG402</f>
        <v>23000</v>
      </c>
      <c r="AH401" s="20">
        <f>AH402</f>
        <v>5000</v>
      </c>
      <c r="AI401" s="20">
        <f>AI402</f>
        <v>5000</v>
      </c>
      <c r="AJ401" s="162" t="b">
        <f t="shared" si="280"/>
        <v>1</v>
      </c>
      <c r="AK401" s="162" t="str">
        <f t="shared" si="281"/>
        <v>PRAZNO</v>
      </c>
      <c r="AL401" s="263"/>
    </row>
    <row r="402" spans="1:39" ht="15.75" customHeight="1" x14ac:dyDescent="0.2">
      <c r="B402" s="175"/>
      <c r="C402" s="212">
        <v>42</v>
      </c>
      <c r="D402" s="212"/>
      <c r="E402" s="212"/>
      <c r="F402" s="212"/>
      <c r="G402" s="212"/>
      <c r="H402" s="23" t="s">
        <v>212</v>
      </c>
      <c r="I402" s="203">
        <f t="shared" si="288"/>
        <v>8800</v>
      </c>
      <c r="J402" s="203">
        <f t="shared" si="288"/>
        <v>6745.71</v>
      </c>
      <c r="K402" s="203">
        <f t="shared" si="245"/>
        <v>76.66</v>
      </c>
      <c r="L402" s="203">
        <f t="shared" si="246"/>
        <v>-78.290000000000873</v>
      </c>
      <c r="M402" s="203">
        <f t="shared" si="289"/>
        <v>8721.7099999999991</v>
      </c>
      <c r="N402" s="203" t="e">
        <f t="shared" si="289"/>
        <v>#REF!</v>
      </c>
      <c r="O402" s="203">
        <f t="shared" si="289"/>
        <v>3099</v>
      </c>
      <c r="P402" s="26" t="e">
        <f t="shared" si="258"/>
        <v>#REF!</v>
      </c>
      <c r="Q402" s="22" t="e">
        <f t="shared" si="290"/>
        <v>#REF!</v>
      </c>
      <c r="R402" s="22">
        <f t="shared" si="290"/>
        <v>5000</v>
      </c>
      <c r="S402" s="22">
        <f t="shared" si="290"/>
        <v>6000</v>
      </c>
      <c r="T402" s="203">
        <f t="shared" si="286"/>
        <v>18900</v>
      </c>
      <c r="U402" s="203">
        <f t="shared" si="286"/>
        <v>15348.39</v>
      </c>
      <c r="V402" s="203">
        <f t="shared" si="286"/>
        <v>10000</v>
      </c>
      <c r="W402" s="203">
        <f t="shared" si="286"/>
        <v>5000</v>
      </c>
      <c r="X402" s="203">
        <f t="shared" si="286"/>
        <v>5000</v>
      </c>
      <c r="Y402" s="203">
        <f t="shared" si="286"/>
        <v>3937.5</v>
      </c>
      <c r="Z402" s="203">
        <f t="shared" si="243"/>
        <v>39.380000000000003</v>
      </c>
      <c r="AA402" s="203">
        <f t="shared" si="276"/>
        <v>3000</v>
      </c>
      <c r="AB402" s="203">
        <f t="shared" ref="AB402:AI403" si="291">AB403</f>
        <v>13000</v>
      </c>
      <c r="AC402" s="203">
        <f t="shared" si="291"/>
        <v>12391.79</v>
      </c>
      <c r="AD402" s="203">
        <f t="shared" si="251"/>
        <v>95.321461538461548</v>
      </c>
      <c r="AE402" s="203">
        <f t="shared" si="254"/>
        <v>0</v>
      </c>
      <c r="AF402" s="203">
        <f t="shared" si="291"/>
        <v>13000</v>
      </c>
      <c r="AG402" s="203">
        <f t="shared" si="291"/>
        <v>23000</v>
      </c>
      <c r="AH402" s="203">
        <f t="shared" si="291"/>
        <v>5000</v>
      </c>
      <c r="AI402" s="203">
        <f t="shared" si="291"/>
        <v>5000</v>
      </c>
      <c r="AJ402" s="162" t="b">
        <f t="shared" si="280"/>
        <v>1</v>
      </c>
      <c r="AK402" s="162" t="str">
        <f t="shared" si="281"/>
        <v>PRAZNO</v>
      </c>
      <c r="AM402" s="264"/>
    </row>
    <row r="403" spans="1:39" ht="15.75" x14ac:dyDescent="0.2">
      <c r="B403" s="177"/>
      <c r="C403" s="177"/>
      <c r="D403" s="177">
        <v>422</v>
      </c>
      <c r="E403" s="177"/>
      <c r="F403" s="177"/>
      <c r="G403" s="177"/>
      <c r="H403" s="16" t="s">
        <v>555</v>
      </c>
      <c r="I403" s="17">
        <f t="shared" si="288"/>
        <v>8800</v>
      </c>
      <c r="J403" s="17">
        <f t="shared" si="288"/>
        <v>6745.71</v>
      </c>
      <c r="K403" s="17">
        <f t="shared" si="245"/>
        <v>76.66</v>
      </c>
      <c r="L403" s="17">
        <f t="shared" si="246"/>
        <v>-78.290000000000873</v>
      </c>
      <c r="M403" s="17">
        <f>M404</f>
        <v>8721.7099999999991</v>
      </c>
      <c r="N403" s="17" t="e">
        <f>N404+#REF!</f>
        <v>#REF!</v>
      </c>
      <c r="O403" s="17">
        <f>O404</f>
        <v>3099</v>
      </c>
      <c r="P403" s="26" t="e">
        <f t="shared" si="258"/>
        <v>#REF!</v>
      </c>
      <c r="Q403" s="17" t="e">
        <f>Q404+#REF!</f>
        <v>#REF!</v>
      </c>
      <c r="R403" s="17">
        <f>R404</f>
        <v>5000</v>
      </c>
      <c r="S403" s="17">
        <f>S404</f>
        <v>6000</v>
      </c>
      <c r="T403" s="17">
        <f t="shared" si="286"/>
        <v>18900</v>
      </c>
      <c r="U403" s="17">
        <f t="shared" si="286"/>
        <v>15348.39</v>
      </c>
      <c r="V403" s="17">
        <f t="shared" si="286"/>
        <v>10000</v>
      </c>
      <c r="W403" s="17">
        <f t="shared" si="286"/>
        <v>5000</v>
      </c>
      <c r="X403" s="17">
        <f t="shared" si="286"/>
        <v>5000</v>
      </c>
      <c r="Y403" s="17">
        <f t="shared" si="286"/>
        <v>3937.5</v>
      </c>
      <c r="Z403" s="17">
        <f t="shared" si="243"/>
        <v>39.380000000000003</v>
      </c>
      <c r="AA403" s="17">
        <f t="shared" si="276"/>
        <v>3000</v>
      </c>
      <c r="AB403" s="17">
        <f t="shared" si="291"/>
        <v>13000</v>
      </c>
      <c r="AC403" s="17">
        <f t="shared" si="291"/>
        <v>12391.79</v>
      </c>
      <c r="AD403" s="17">
        <f t="shared" si="251"/>
        <v>95.321461538461548</v>
      </c>
      <c r="AE403" s="17">
        <f t="shared" si="254"/>
        <v>0</v>
      </c>
      <c r="AF403" s="17">
        <f t="shared" si="291"/>
        <v>13000</v>
      </c>
      <c r="AG403" s="17">
        <f t="shared" si="291"/>
        <v>23000</v>
      </c>
      <c r="AH403" s="17">
        <f t="shared" si="291"/>
        <v>5000</v>
      </c>
      <c r="AI403" s="17">
        <f t="shared" si="291"/>
        <v>5000</v>
      </c>
      <c r="AJ403" s="162" t="b">
        <f t="shared" si="280"/>
        <v>1</v>
      </c>
      <c r="AK403" s="162" t="str">
        <f t="shared" si="281"/>
        <v>PRAZNO</v>
      </c>
      <c r="AM403" s="264"/>
    </row>
    <row r="404" spans="1:39" ht="15.75" x14ac:dyDescent="0.2">
      <c r="B404" s="177"/>
      <c r="C404" s="177"/>
      <c r="D404" s="177"/>
      <c r="E404" s="177">
        <v>4221</v>
      </c>
      <c r="F404" s="176">
        <v>72</v>
      </c>
      <c r="G404" s="176" t="s">
        <v>527</v>
      </c>
      <c r="H404" s="16" t="s">
        <v>558</v>
      </c>
      <c r="I404" s="18">
        <v>8800</v>
      </c>
      <c r="J404" s="18">
        <v>6745.71</v>
      </c>
      <c r="K404" s="18">
        <f t="shared" si="245"/>
        <v>76.66</v>
      </c>
      <c r="L404" s="18">
        <f t="shared" si="246"/>
        <v>-78.290000000000873</v>
      </c>
      <c r="M404" s="18">
        <v>8721.7099999999991</v>
      </c>
      <c r="N404" s="18">
        <f>5000-1100</f>
        <v>3900</v>
      </c>
      <c r="O404" s="18">
        <v>3099</v>
      </c>
      <c r="P404" s="26">
        <f t="shared" si="258"/>
        <v>15000</v>
      </c>
      <c r="Q404" s="18">
        <f>5000-1100</f>
        <v>3900</v>
      </c>
      <c r="R404" s="18">
        <v>5000</v>
      </c>
      <c r="S404" s="18">
        <v>6000</v>
      </c>
      <c r="T404" s="266">
        <f>3900+15000</f>
        <v>18900</v>
      </c>
      <c r="U404" s="266">
        <v>15348.39</v>
      </c>
      <c r="V404" s="266">
        <v>10000</v>
      </c>
      <c r="W404" s="266">
        <v>5000</v>
      </c>
      <c r="X404" s="266">
        <v>5000</v>
      </c>
      <c r="Y404" s="266">
        <v>3937.5</v>
      </c>
      <c r="Z404" s="266">
        <f t="shared" si="243"/>
        <v>39.380000000000003</v>
      </c>
      <c r="AA404" s="266">
        <f t="shared" si="276"/>
        <v>3000</v>
      </c>
      <c r="AB404" s="266">
        <v>13000</v>
      </c>
      <c r="AC404" s="266">
        <v>12391.79</v>
      </c>
      <c r="AD404" s="266">
        <f t="shared" si="251"/>
        <v>95.321461538461548</v>
      </c>
      <c r="AE404" s="266">
        <f t="shared" si="254"/>
        <v>0</v>
      </c>
      <c r="AF404" s="266">
        <v>13000</v>
      </c>
      <c r="AG404" s="266">
        <v>23000</v>
      </c>
      <c r="AH404" s="266">
        <v>5000</v>
      </c>
      <c r="AI404" s="266">
        <v>5000</v>
      </c>
      <c r="AJ404" s="162" t="b">
        <f t="shared" si="280"/>
        <v>0</v>
      </c>
      <c r="AK404" s="162" t="str">
        <f t="shared" si="281"/>
        <v>PUNO</v>
      </c>
      <c r="AM404" s="264"/>
    </row>
    <row r="405" spans="1:39" s="264" customFormat="1" ht="20.25" customHeight="1" x14ac:dyDescent="0.2">
      <c r="A405" s="259"/>
      <c r="B405" s="194"/>
      <c r="C405" s="194"/>
      <c r="D405" s="194"/>
      <c r="E405" s="194"/>
      <c r="F405" s="194"/>
      <c r="G405" s="194"/>
      <c r="H405" s="21" t="s">
        <v>235</v>
      </c>
      <c r="I405" s="196" t="e">
        <f>I407</f>
        <v>#REF!</v>
      </c>
      <c r="J405" s="196" t="e">
        <f>J407</f>
        <v>#REF!</v>
      </c>
      <c r="K405" s="196" t="e">
        <f t="shared" si="245"/>
        <v>#REF!</v>
      </c>
      <c r="L405" s="196" t="e">
        <f t="shared" si="246"/>
        <v>#REF!</v>
      </c>
      <c r="M405" s="195" t="e">
        <f>M407</f>
        <v>#REF!</v>
      </c>
      <c r="N405" s="195" t="e">
        <f>N407</f>
        <v>#REF!</v>
      </c>
      <c r="O405" s="195" t="e">
        <f>O407</f>
        <v>#REF!</v>
      </c>
      <c r="P405" s="351" t="e">
        <f t="shared" si="258"/>
        <v>#REF!</v>
      </c>
      <c r="Q405" s="195" t="e">
        <f t="shared" ref="Q405:X405" si="292">Q407</f>
        <v>#REF!</v>
      </c>
      <c r="R405" s="195" t="e">
        <f t="shared" si="292"/>
        <v>#REF!</v>
      </c>
      <c r="S405" s="195" t="e">
        <f t="shared" si="292"/>
        <v>#REF!</v>
      </c>
      <c r="T405" s="195">
        <f t="shared" si="292"/>
        <v>5585488</v>
      </c>
      <c r="U405" s="195">
        <f>U407</f>
        <v>5262496.959999999</v>
      </c>
      <c r="V405" s="195">
        <f t="shared" si="292"/>
        <v>7344699</v>
      </c>
      <c r="W405" s="195">
        <f t="shared" si="292"/>
        <v>7354000</v>
      </c>
      <c r="X405" s="195">
        <f t="shared" si="292"/>
        <v>7434000</v>
      </c>
      <c r="Y405" s="195">
        <f>Y407</f>
        <v>1988090.5899999999</v>
      </c>
      <c r="Z405" s="195">
        <f t="shared" si="243"/>
        <v>27.07</v>
      </c>
      <c r="AA405" s="195">
        <f t="shared" si="276"/>
        <v>-538999</v>
      </c>
      <c r="AB405" s="195">
        <f t="shared" ref="AB405:AG405" si="293">AB407</f>
        <v>6805700</v>
      </c>
      <c r="AC405" s="195">
        <f t="shared" si="293"/>
        <v>4619133.8299999991</v>
      </c>
      <c r="AD405" s="195">
        <f t="shared" si="251"/>
        <v>67.871546350852952</v>
      </c>
      <c r="AE405" s="195">
        <f t="shared" si="254"/>
        <v>590000</v>
      </c>
      <c r="AF405" s="195">
        <f t="shared" si="293"/>
        <v>7395700</v>
      </c>
      <c r="AG405" s="195">
        <f t="shared" si="293"/>
        <v>7408700</v>
      </c>
      <c r="AH405" s="195">
        <f>AH407</f>
        <v>7346200</v>
      </c>
      <c r="AI405" s="195">
        <f>AI407</f>
        <v>7368600</v>
      </c>
      <c r="AJ405" s="162" t="b">
        <f t="shared" si="280"/>
        <v>1</v>
      </c>
      <c r="AK405" s="162" t="str">
        <f t="shared" si="281"/>
        <v>PRAZNO</v>
      </c>
      <c r="AL405" s="486"/>
    </row>
    <row r="406" spans="1:39" s="264" customFormat="1" ht="15.75" x14ac:dyDescent="0.2">
      <c r="A406" s="259"/>
      <c r="B406" s="194"/>
      <c r="C406" s="194"/>
      <c r="D406" s="194"/>
      <c r="E406" s="194"/>
      <c r="F406" s="194"/>
      <c r="G406" s="194"/>
      <c r="H406" s="11" t="s">
        <v>573</v>
      </c>
      <c r="I406" s="196"/>
      <c r="J406" s="196"/>
      <c r="K406" s="196"/>
      <c r="L406" s="196"/>
      <c r="M406" s="195"/>
      <c r="N406" s="195"/>
      <c r="O406" s="195"/>
      <c r="P406" s="351"/>
      <c r="Q406" s="195"/>
      <c r="R406" s="195"/>
      <c r="S406" s="195"/>
      <c r="T406" s="195"/>
      <c r="U406" s="195"/>
      <c r="V406" s="195"/>
      <c r="W406" s="195"/>
      <c r="X406" s="195"/>
      <c r="Y406" s="195"/>
      <c r="Z406" s="195"/>
      <c r="AA406" s="195"/>
      <c r="AB406" s="195"/>
      <c r="AC406" s="195"/>
      <c r="AD406" s="195"/>
      <c r="AE406" s="195">
        <f t="shared" si="254"/>
        <v>0</v>
      </c>
      <c r="AF406" s="195"/>
      <c r="AG406" s="195"/>
      <c r="AH406" s="195"/>
      <c r="AI406" s="195"/>
      <c r="AJ406" s="162" t="b">
        <f t="shared" si="280"/>
        <v>1</v>
      </c>
      <c r="AK406" s="162" t="str">
        <f t="shared" si="281"/>
        <v>PRAZNO</v>
      </c>
      <c r="AL406" s="263"/>
    </row>
    <row r="407" spans="1:39" s="264" customFormat="1" ht="15.75" x14ac:dyDescent="0.2">
      <c r="A407" s="259"/>
      <c r="B407" s="270"/>
      <c r="C407" s="270"/>
      <c r="D407" s="270"/>
      <c r="E407" s="270"/>
      <c r="F407" s="270"/>
      <c r="G407" s="270"/>
      <c r="H407" s="271" t="s">
        <v>422</v>
      </c>
      <c r="I407" s="272" t="e">
        <f t="shared" ref="I407:O407" si="294">I408+I449+I458</f>
        <v>#REF!</v>
      </c>
      <c r="J407" s="272" t="e">
        <f t="shared" si="294"/>
        <v>#REF!</v>
      </c>
      <c r="K407" s="272" t="e">
        <f t="shared" si="294"/>
        <v>#REF!</v>
      </c>
      <c r="L407" s="272" t="e">
        <f t="shared" si="294"/>
        <v>#REF!</v>
      </c>
      <c r="M407" s="272" t="e">
        <f t="shared" si="294"/>
        <v>#REF!</v>
      </c>
      <c r="N407" s="272" t="e">
        <f t="shared" si="294"/>
        <v>#REF!</v>
      </c>
      <c r="O407" s="272" t="e">
        <f t="shared" si="294"/>
        <v>#REF!</v>
      </c>
      <c r="P407" s="336" t="e">
        <f t="shared" si="258"/>
        <v>#REF!</v>
      </c>
      <c r="Q407" s="272" t="e">
        <f t="shared" ref="Q407:Y407" si="295">Q408+Q449+Q458</f>
        <v>#REF!</v>
      </c>
      <c r="R407" s="272" t="e">
        <f t="shared" si="295"/>
        <v>#REF!</v>
      </c>
      <c r="S407" s="272" t="e">
        <f t="shared" si="295"/>
        <v>#REF!</v>
      </c>
      <c r="T407" s="272">
        <f>T408+T449+T458</f>
        <v>5585488</v>
      </c>
      <c r="U407" s="272">
        <f>U408+U449+U458</f>
        <v>5262496.959999999</v>
      </c>
      <c r="V407" s="272">
        <f t="shared" si="295"/>
        <v>7344699</v>
      </c>
      <c r="W407" s="272">
        <f t="shared" si="295"/>
        <v>7354000</v>
      </c>
      <c r="X407" s="272">
        <f t="shared" si="295"/>
        <v>7434000</v>
      </c>
      <c r="Y407" s="272">
        <f t="shared" si="295"/>
        <v>1988090.5899999999</v>
      </c>
      <c r="Z407" s="272">
        <f t="shared" si="243"/>
        <v>27.07</v>
      </c>
      <c r="AA407" s="272">
        <f t="shared" si="276"/>
        <v>-538999</v>
      </c>
      <c r="AB407" s="272">
        <f>AB408+AB449+AB458</f>
        <v>6805700</v>
      </c>
      <c r="AC407" s="272">
        <f>AC408+AC449+AC458</f>
        <v>4619133.8299999991</v>
      </c>
      <c r="AD407" s="272">
        <f t="shared" si="251"/>
        <v>67.871546350852952</v>
      </c>
      <c r="AE407" s="272">
        <f t="shared" si="254"/>
        <v>590000</v>
      </c>
      <c r="AF407" s="272">
        <f>AF408+AF449+AF458</f>
        <v>7395700</v>
      </c>
      <c r="AG407" s="272">
        <f>AG408+AG449+AG458</f>
        <v>7408700</v>
      </c>
      <c r="AH407" s="272">
        <f>AH408+AH449+AH458</f>
        <v>7346200</v>
      </c>
      <c r="AI407" s="272">
        <f>AI408+AI449+AI458</f>
        <v>7368600</v>
      </c>
      <c r="AJ407" s="162" t="b">
        <f t="shared" si="280"/>
        <v>1</v>
      </c>
      <c r="AK407" s="162" t="str">
        <f t="shared" si="281"/>
        <v>PRAZNO</v>
      </c>
      <c r="AL407" s="263"/>
    </row>
    <row r="408" spans="1:39" s="264" customFormat="1" ht="15.75" x14ac:dyDescent="0.2">
      <c r="A408" s="259"/>
      <c r="B408" s="168"/>
      <c r="C408" s="168"/>
      <c r="D408" s="168"/>
      <c r="E408" s="168"/>
      <c r="F408" s="168"/>
      <c r="G408" s="168"/>
      <c r="H408" s="13" t="s">
        <v>423</v>
      </c>
      <c r="I408" s="169" t="e">
        <f>I410</f>
        <v>#REF!</v>
      </c>
      <c r="J408" s="169" t="e">
        <f>J410</f>
        <v>#REF!</v>
      </c>
      <c r="K408" s="169" t="e">
        <f t="shared" si="245"/>
        <v>#REF!</v>
      </c>
      <c r="L408" s="169" t="e">
        <f t="shared" si="246"/>
        <v>#REF!</v>
      </c>
      <c r="M408" s="19" t="e">
        <f>M410</f>
        <v>#REF!</v>
      </c>
      <c r="N408" s="19" t="e">
        <f>N410</f>
        <v>#REF!</v>
      </c>
      <c r="O408" s="19" t="e">
        <f>O410</f>
        <v>#REF!</v>
      </c>
      <c r="P408" s="205" t="e">
        <f t="shared" si="258"/>
        <v>#REF!</v>
      </c>
      <c r="Q408" s="19" t="e">
        <f t="shared" ref="Q408:X408" si="296">Q410</f>
        <v>#REF!</v>
      </c>
      <c r="R408" s="19" t="e">
        <f t="shared" si="296"/>
        <v>#REF!</v>
      </c>
      <c r="S408" s="19" t="e">
        <f t="shared" si="296"/>
        <v>#REF!</v>
      </c>
      <c r="T408" s="19">
        <f t="shared" si="296"/>
        <v>4588500</v>
      </c>
      <c r="U408" s="19">
        <f>U410</f>
        <v>4274023.669999999</v>
      </c>
      <c r="V408" s="19">
        <f t="shared" si="296"/>
        <v>4300500</v>
      </c>
      <c r="W408" s="19">
        <f t="shared" si="296"/>
        <v>4360000</v>
      </c>
      <c r="X408" s="19">
        <f t="shared" si="296"/>
        <v>4499000</v>
      </c>
      <c r="Y408" s="19">
        <f>Y410</f>
        <v>1407776.16</v>
      </c>
      <c r="Z408" s="19">
        <f t="shared" si="243"/>
        <v>32.74</v>
      </c>
      <c r="AA408" s="19">
        <f t="shared" si="276"/>
        <v>138800</v>
      </c>
      <c r="AB408" s="19">
        <f t="shared" ref="AB408:AG408" si="297">AB410</f>
        <v>4439300</v>
      </c>
      <c r="AC408" s="19">
        <f t="shared" si="297"/>
        <v>2779795.9499999997</v>
      </c>
      <c r="AD408" s="19">
        <f t="shared" si="251"/>
        <v>62.617889081611956</v>
      </c>
      <c r="AE408" s="19">
        <f t="shared" si="254"/>
        <v>30200</v>
      </c>
      <c r="AF408" s="19">
        <f t="shared" si="297"/>
        <v>4469500</v>
      </c>
      <c r="AG408" s="19">
        <f t="shared" si="297"/>
        <v>4603700</v>
      </c>
      <c r="AH408" s="19">
        <f>AH410</f>
        <v>4549200</v>
      </c>
      <c r="AI408" s="19">
        <f>AI410</f>
        <v>4571600</v>
      </c>
      <c r="AJ408" s="162" t="b">
        <f t="shared" si="280"/>
        <v>1</v>
      </c>
      <c r="AK408" s="162" t="str">
        <f t="shared" si="281"/>
        <v>PRAZNO</v>
      </c>
      <c r="AL408" s="263"/>
    </row>
    <row r="409" spans="1:39" s="264" customFormat="1" ht="15.75" x14ac:dyDescent="0.2">
      <c r="A409" s="259"/>
      <c r="B409" s="260"/>
      <c r="C409" s="260"/>
      <c r="D409" s="260"/>
      <c r="E409" s="260"/>
      <c r="F409" s="260"/>
      <c r="G409" s="260"/>
      <c r="H409" s="440" t="s">
        <v>824</v>
      </c>
      <c r="I409" s="181"/>
      <c r="J409" s="181"/>
      <c r="K409" s="181"/>
      <c r="L409" s="181"/>
      <c r="M409" s="262"/>
      <c r="N409" s="262"/>
      <c r="O409" s="262"/>
      <c r="P409" s="307"/>
      <c r="Q409" s="262"/>
      <c r="R409" s="262"/>
      <c r="S409" s="262"/>
      <c r="T409" s="262">
        <f t="shared" ref="T409:Y409" si="298">T410</f>
        <v>4588500</v>
      </c>
      <c r="U409" s="262">
        <f t="shared" si="298"/>
        <v>4274023.669999999</v>
      </c>
      <c r="V409" s="262">
        <f t="shared" si="298"/>
        <v>4300500</v>
      </c>
      <c r="W409" s="262">
        <f t="shared" si="298"/>
        <v>4360000</v>
      </c>
      <c r="X409" s="262">
        <f t="shared" si="298"/>
        <v>4499000</v>
      </c>
      <c r="Y409" s="262">
        <f t="shared" si="298"/>
        <v>1407776.16</v>
      </c>
      <c r="Z409" s="262">
        <f t="shared" si="243"/>
        <v>32.74</v>
      </c>
      <c r="AA409" s="262">
        <f t="shared" si="276"/>
        <v>138800</v>
      </c>
      <c r="AB409" s="262">
        <f t="shared" ref="AB409:AI409" si="299">AB410</f>
        <v>4439300</v>
      </c>
      <c r="AC409" s="262">
        <f t="shared" si="299"/>
        <v>2779795.9499999997</v>
      </c>
      <c r="AD409" s="262">
        <f t="shared" si="251"/>
        <v>62.617889081611956</v>
      </c>
      <c r="AE409" s="262">
        <f t="shared" si="254"/>
        <v>30200</v>
      </c>
      <c r="AF409" s="262">
        <f t="shared" si="299"/>
        <v>4469500</v>
      </c>
      <c r="AG409" s="262">
        <f t="shared" si="299"/>
        <v>4603700</v>
      </c>
      <c r="AH409" s="262">
        <f t="shared" si="299"/>
        <v>4549200</v>
      </c>
      <c r="AI409" s="262">
        <f t="shared" si="299"/>
        <v>4571600</v>
      </c>
      <c r="AJ409" s="162" t="b">
        <f t="shared" si="280"/>
        <v>1</v>
      </c>
      <c r="AK409" s="162" t="str">
        <f t="shared" si="281"/>
        <v>PRAZNO</v>
      </c>
      <c r="AL409" s="263"/>
    </row>
    <row r="410" spans="1:39" s="264" customFormat="1" ht="15.75" x14ac:dyDescent="0.2">
      <c r="A410" s="259"/>
      <c r="B410" s="172">
        <v>3</v>
      </c>
      <c r="C410" s="172"/>
      <c r="D410" s="172"/>
      <c r="E410" s="172"/>
      <c r="F410" s="172"/>
      <c r="G410" s="172"/>
      <c r="H410" s="14" t="s">
        <v>524</v>
      </c>
      <c r="I410" s="20" t="e">
        <f>I411+I419+I441+I446</f>
        <v>#REF!</v>
      </c>
      <c r="J410" s="20" t="e">
        <f>J411+J419+J441+J446</f>
        <v>#REF!</v>
      </c>
      <c r="K410" s="20" t="e">
        <f t="shared" si="245"/>
        <v>#REF!</v>
      </c>
      <c r="L410" s="20" t="e">
        <f t="shared" si="246"/>
        <v>#REF!</v>
      </c>
      <c r="M410" s="20" t="e">
        <f>M411+M419+M441+M446</f>
        <v>#REF!</v>
      </c>
      <c r="N410" s="20" t="e">
        <f>N411+N419+N441+N446</f>
        <v>#REF!</v>
      </c>
      <c r="O410" s="20" t="e">
        <f>O411+O419+O441+O446</f>
        <v>#REF!</v>
      </c>
      <c r="P410" s="55" t="e">
        <f t="shared" si="258"/>
        <v>#REF!</v>
      </c>
      <c r="Q410" s="20" t="e">
        <f t="shared" ref="Q410:Y410" si="300">Q411+Q419+Q441+Q446</f>
        <v>#REF!</v>
      </c>
      <c r="R410" s="20" t="e">
        <f t="shared" si="300"/>
        <v>#REF!</v>
      </c>
      <c r="S410" s="20" t="e">
        <f t="shared" si="300"/>
        <v>#REF!</v>
      </c>
      <c r="T410" s="20">
        <f>T411+T419+T441+T446</f>
        <v>4588500</v>
      </c>
      <c r="U410" s="20">
        <f>U411+U419+U441+U446</f>
        <v>4274023.669999999</v>
      </c>
      <c r="V410" s="20">
        <f t="shared" si="300"/>
        <v>4300500</v>
      </c>
      <c r="W410" s="20">
        <f t="shared" si="300"/>
        <v>4360000</v>
      </c>
      <c r="X410" s="20">
        <f t="shared" si="300"/>
        <v>4499000</v>
      </c>
      <c r="Y410" s="20">
        <f t="shared" si="300"/>
        <v>1407776.16</v>
      </c>
      <c r="Z410" s="20">
        <f t="shared" si="243"/>
        <v>32.74</v>
      </c>
      <c r="AA410" s="20">
        <f t="shared" si="276"/>
        <v>138800</v>
      </c>
      <c r="AB410" s="20">
        <f>AB411+AB419+AB441+AB446</f>
        <v>4439300</v>
      </c>
      <c r="AC410" s="20">
        <f>AC411+AC419+AC441+AC446</f>
        <v>2779795.9499999997</v>
      </c>
      <c r="AD410" s="20">
        <f t="shared" si="251"/>
        <v>62.617889081611956</v>
      </c>
      <c r="AE410" s="20">
        <f t="shared" si="254"/>
        <v>30200</v>
      </c>
      <c r="AF410" s="20">
        <f>AF411+AF419+AF441+AF446</f>
        <v>4469500</v>
      </c>
      <c r="AG410" s="20">
        <f>AG411+AG419+AG441+AG446</f>
        <v>4603700</v>
      </c>
      <c r="AH410" s="20">
        <f>AH411+AH419+AH441+AH446</f>
        <v>4549200</v>
      </c>
      <c r="AI410" s="20">
        <f>AI411+AI419+AI441+AI446</f>
        <v>4571600</v>
      </c>
      <c r="AJ410" s="162" t="b">
        <f t="shared" si="280"/>
        <v>1</v>
      </c>
      <c r="AK410" s="162" t="str">
        <f t="shared" si="281"/>
        <v>PRAZNO</v>
      </c>
      <c r="AL410" s="263"/>
    </row>
    <row r="411" spans="1:39" ht="15.75" x14ac:dyDescent="0.2">
      <c r="B411" s="175"/>
      <c r="C411" s="175">
        <v>31</v>
      </c>
      <c r="D411" s="175"/>
      <c r="E411" s="175"/>
      <c r="F411" s="175"/>
      <c r="G411" s="175"/>
      <c r="H411" s="15" t="s">
        <v>197</v>
      </c>
      <c r="I411" s="22">
        <f>I412+I414+I416</f>
        <v>1278000</v>
      </c>
      <c r="J411" s="183">
        <f>J412+J414+J416</f>
        <v>947323.12</v>
      </c>
      <c r="K411" s="183">
        <f t="shared" si="245"/>
        <v>74.13</v>
      </c>
      <c r="L411" s="183">
        <f t="shared" si="246"/>
        <v>1325.0500000000466</v>
      </c>
      <c r="M411" s="183">
        <f>M412+M414+M416</f>
        <v>1279325.05</v>
      </c>
      <c r="N411" s="183">
        <f>N412+N414+N416</f>
        <v>1401000</v>
      </c>
      <c r="O411" s="183">
        <f>O412+O414+O416</f>
        <v>861834.49</v>
      </c>
      <c r="P411" s="26">
        <f t="shared" si="258"/>
        <v>-6000</v>
      </c>
      <c r="Q411" s="183">
        <f t="shared" ref="Q411:X411" si="301">Q412+Q414+Q416</f>
        <v>1401000</v>
      </c>
      <c r="R411" s="183">
        <f t="shared" si="301"/>
        <v>1444000</v>
      </c>
      <c r="S411" s="183">
        <f t="shared" si="301"/>
        <v>1455000</v>
      </c>
      <c r="T411" s="340">
        <f t="shared" si="301"/>
        <v>1395000</v>
      </c>
      <c r="U411" s="340">
        <f>U412+U414+U416</f>
        <v>1305315.8399999999</v>
      </c>
      <c r="V411" s="183">
        <f t="shared" si="301"/>
        <v>1455000</v>
      </c>
      <c r="W411" s="183">
        <f t="shared" si="301"/>
        <v>1489000</v>
      </c>
      <c r="X411" s="183">
        <f t="shared" si="301"/>
        <v>1549000</v>
      </c>
      <c r="Y411" s="183">
        <f>Y412+Y414+Y416</f>
        <v>517807.35</v>
      </c>
      <c r="Z411" s="183">
        <f t="shared" si="243"/>
        <v>35.590000000000003</v>
      </c>
      <c r="AA411" s="183">
        <f t="shared" si="276"/>
        <v>-28700</v>
      </c>
      <c r="AB411" s="183">
        <f t="shared" ref="AB411:AG411" si="302">AB412+AB414+AB416</f>
        <v>1426300</v>
      </c>
      <c r="AC411" s="183">
        <f t="shared" si="302"/>
        <v>957635.18</v>
      </c>
      <c r="AD411" s="183">
        <f t="shared" si="251"/>
        <v>67.141217135245043</v>
      </c>
      <c r="AE411" s="183">
        <f t="shared" si="254"/>
        <v>0</v>
      </c>
      <c r="AF411" s="183">
        <f t="shared" si="302"/>
        <v>1426300</v>
      </c>
      <c r="AG411" s="183">
        <f t="shared" si="302"/>
        <v>1521000</v>
      </c>
      <c r="AH411" s="183">
        <f>AH412+AH414+AH416</f>
        <v>1474500</v>
      </c>
      <c r="AI411" s="183">
        <f>AI412+AI414+AI416</f>
        <v>1496900</v>
      </c>
      <c r="AJ411" s="162" t="b">
        <f t="shared" si="280"/>
        <v>1</v>
      </c>
      <c r="AK411" s="162" t="str">
        <f t="shared" si="281"/>
        <v>PRAZNO</v>
      </c>
      <c r="AM411" s="264"/>
    </row>
    <row r="412" spans="1:39" ht="15.75" x14ac:dyDescent="0.2">
      <c r="B412" s="177"/>
      <c r="C412" s="177"/>
      <c r="D412" s="177">
        <v>311</v>
      </c>
      <c r="E412" s="177"/>
      <c r="F412" s="177"/>
      <c r="G412" s="177"/>
      <c r="H412" s="16" t="s">
        <v>915</v>
      </c>
      <c r="I412" s="17">
        <f>SUM(I413:I413)</f>
        <v>1020000</v>
      </c>
      <c r="J412" s="181">
        <f>J413</f>
        <v>773566.91</v>
      </c>
      <c r="K412" s="181">
        <f t="shared" si="245"/>
        <v>75.84</v>
      </c>
      <c r="L412" s="181">
        <f t="shared" si="246"/>
        <v>10935.069999999949</v>
      </c>
      <c r="M412" s="181">
        <f>SUM(M413:M413)</f>
        <v>1030935.07</v>
      </c>
      <c r="N412" s="181">
        <f>SUM(N413:N413)</f>
        <v>1132000</v>
      </c>
      <c r="O412" s="181">
        <f>SUM(O413:O413)</f>
        <v>717829.8</v>
      </c>
      <c r="P412" s="26">
        <f t="shared" si="258"/>
        <v>0</v>
      </c>
      <c r="Q412" s="181">
        <f t="shared" ref="Q412:AI412" si="303">SUM(Q413:Q413)</f>
        <v>1132000</v>
      </c>
      <c r="R412" s="181">
        <f t="shared" si="303"/>
        <v>1160000</v>
      </c>
      <c r="S412" s="181">
        <f t="shared" si="303"/>
        <v>1181000</v>
      </c>
      <c r="T412" s="307">
        <f t="shared" si="303"/>
        <v>1132000</v>
      </c>
      <c r="U412" s="307">
        <f t="shared" si="303"/>
        <v>1078627.52</v>
      </c>
      <c r="V412" s="181">
        <f t="shared" si="303"/>
        <v>1132000</v>
      </c>
      <c r="W412" s="181">
        <f t="shared" si="303"/>
        <v>1231000</v>
      </c>
      <c r="X412" s="181">
        <f t="shared" si="303"/>
        <v>1293000</v>
      </c>
      <c r="Y412" s="181">
        <f t="shared" si="303"/>
        <v>438772.47</v>
      </c>
      <c r="Z412" s="181">
        <f t="shared" si="243"/>
        <v>38.76</v>
      </c>
      <c r="AA412" s="181">
        <f t="shared" si="276"/>
        <v>-18000</v>
      </c>
      <c r="AB412" s="181">
        <f t="shared" si="303"/>
        <v>1114000</v>
      </c>
      <c r="AC412" s="181">
        <f t="shared" si="303"/>
        <v>794447.02</v>
      </c>
      <c r="AD412" s="181">
        <f t="shared" si="251"/>
        <v>71.314813285457817</v>
      </c>
      <c r="AE412" s="181">
        <f t="shared" si="254"/>
        <v>0</v>
      </c>
      <c r="AF412" s="181">
        <f t="shared" si="303"/>
        <v>1114000</v>
      </c>
      <c r="AG412" s="181">
        <f t="shared" si="303"/>
        <v>1216000</v>
      </c>
      <c r="AH412" s="181">
        <f t="shared" si="303"/>
        <v>1217000</v>
      </c>
      <c r="AI412" s="181">
        <f t="shared" si="303"/>
        <v>1219000</v>
      </c>
      <c r="AJ412" s="162" t="b">
        <f t="shared" si="280"/>
        <v>1</v>
      </c>
      <c r="AK412" s="162" t="str">
        <f t="shared" si="281"/>
        <v>PRAZNO</v>
      </c>
      <c r="AM412" s="264"/>
    </row>
    <row r="413" spans="1:39" ht="15.75" x14ac:dyDescent="0.2">
      <c r="B413" s="177"/>
      <c r="C413" s="177"/>
      <c r="D413" s="177"/>
      <c r="E413" s="177">
        <v>3111</v>
      </c>
      <c r="F413" s="176">
        <v>11</v>
      </c>
      <c r="G413" s="176" t="s">
        <v>527</v>
      </c>
      <c r="H413" s="16" t="s">
        <v>199</v>
      </c>
      <c r="I413" s="18">
        <v>1020000</v>
      </c>
      <c r="J413" s="178">
        <v>773566.91</v>
      </c>
      <c r="K413" s="178">
        <f t="shared" si="245"/>
        <v>75.84</v>
      </c>
      <c r="L413" s="178">
        <f t="shared" si="246"/>
        <v>10935.069999999949</v>
      </c>
      <c r="M413" s="178">
        <v>1030935.07</v>
      </c>
      <c r="N413" s="178">
        <v>1132000</v>
      </c>
      <c r="O413" s="178">
        <v>717829.8</v>
      </c>
      <c r="P413" s="26">
        <f t="shared" si="258"/>
        <v>0</v>
      </c>
      <c r="Q413" s="178">
        <v>1132000</v>
      </c>
      <c r="R413" s="178">
        <v>1160000</v>
      </c>
      <c r="S413" s="178">
        <v>1181000</v>
      </c>
      <c r="T413" s="266">
        <v>1132000</v>
      </c>
      <c r="U413" s="266">
        <v>1078627.52</v>
      </c>
      <c r="V413" s="266">
        <v>1132000</v>
      </c>
      <c r="W413" s="178">
        <v>1231000</v>
      </c>
      <c r="X413" s="178">
        <v>1293000</v>
      </c>
      <c r="Y413" s="266">
        <v>438772.47</v>
      </c>
      <c r="Z413" s="266">
        <f t="shared" si="243"/>
        <v>38.76</v>
      </c>
      <c r="AA413" s="266">
        <f t="shared" si="276"/>
        <v>-18000</v>
      </c>
      <c r="AB413" s="266">
        <f>1120000-6000</f>
        <v>1114000</v>
      </c>
      <c r="AC413" s="266">
        <v>794447.02</v>
      </c>
      <c r="AD413" s="266">
        <f t="shared" si="251"/>
        <v>71.314813285457817</v>
      </c>
      <c r="AE413" s="266">
        <f t="shared" si="254"/>
        <v>0</v>
      </c>
      <c r="AF413" s="266">
        <f>1120000-6000</f>
        <v>1114000</v>
      </c>
      <c r="AG413" s="687">
        <v>1216000</v>
      </c>
      <c r="AH413" s="687">
        <v>1217000</v>
      </c>
      <c r="AI413" s="687">
        <v>1219000</v>
      </c>
      <c r="AJ413" s="162" t="b">
        <f t="shared" si="280"/>
        <v>0</v>
      </c>
      <c r="AK413" s="162" t="str">
        <f t="shared" si="281"/>
        <v>PUNO</v>
      </c>
      <c r="AM413" s="264"/>
    </row>
    <row r="414" spans="1:39" ht="15.75" x14ac:dyDescent="0.2">
      <c r="B414" s="177"/>
      <c r="C414" s="177"/>
      <c r="D414" s="177">
        <v>312</v>
      </c>
      <c r="E414" s="177"/>
      <c r="F414" s="177"/>
      <c r="G414" s="177"/>
      <c r="H414" s="16" t="s">
        <v>200</v>
      </c>
      <c r="I414" s="17">
        <f>I415</f>
        <v>80000</v>
      </c>
      <c r="J414" s="181">
        <f>J415</f>
        <v>39929.199999999997</v>
      </c>
      <c r="K414" s="181">
        <f t="shared" si="245"/>
        <v>49.91</v>
      </c>
      <c r="L414" s="181">
        <f t="shared" si="246"/>
        <v>-9961.64</v>
      </c>
      <c r="M414" s="181">
        <f>M415</f>
        <v>70038.36</v>
      </c>
      <c r="N414" s="181">
        <f>N415</f>
        <v>72000</v>
      </c>
      <c r="O414" s="181">
        <f>O415</f>
        <v>25200</v>
      </c>
      <c r="P414" s="26">
        <f t="shared" si="258"/>
        <v>0</v>
      </c>
      <c r="Q414" s="181">
        <f t="shared" ref="Q414:AI414" si="304">Q415</f>
        <v>72000</v>
      </c>
      <c r="R414" s="181">
        <f t="shared" si="304"/>
        <v>80000</v>
      </c>
      <c r="S414" s="181">
        <f t="shared" si="304"/>
        <v>66000</v>
      </c>
      <c r="T414" s="307">
        <f t="shared" si="304"/>
        <v>72000</v>
      </c>
      <c r="U414" s="307">
        <f t="shared" si="304"/>
        <v>52681.9</v>
      </c>
      <c r="V414" s="181">
        <f t="shared" si="304"/>
        <v>132000</v>
      </c>
      <c r="W414" s="181">
        <f t="shared" si="304"/>
        <v>67000</v>
      </c>
      <c r="X414" s="181">
        <f t="shared" si="304"/>
        <v>56000</v>
      </c>
      <c r="Y414" s="181">
        <f t="shared" si="304"/>
        <v>11902.87</v>
      </c>
      <c r="Z414" s="181">
        <f t="shared" ref="Z414:Z477" si="305">ROUND(Y414/V414*100,2)</f>
        <v>9.02</v>
      </c>
      <c r="AA414" s="181">
        <f t="shared" si="276"/>
        <v>0</v>
      </c>
      <c r="AB414" s="181">
        <f t="shared" si="304"/>
        <v>132000</v>
      </c>
      <c r="AC414" s="181">
        <f t="shared" si="304"/>
        <v>41638</v>
      </c>
      <c r="AD414" s="181">
        <f t="shared" si="251"/>
        <v>31.543939393939397</v>
      </c>
      <c r="AE414" s="181">
        <f t="shared" si="254"/>
        <v>0</v>
      </c>
      <c r="AF414" s="181">
        <f t="shared" si="304"/>
        <v>132000</v>
      </c>
      <c r="AG414" s="678">
        <f t="shared" si="304"/>
        <v>118000</v>
      </c>
      <c r="AH414" s="678">
        <f t="shared" si="304"/>
        <v>70000</v>
      </c>
      <c r="AI414" s="678">
        <f t="shared" si="304"/>
        <v>90000</v>
      </c>
      <c r="AJ414" s="162" t="b">
        <f t="shared" si="280"/>
        <v>1</v>
      </c>
      <c r="AK414" s="162" t="str">
        <f t="shared" si="281"/>
        <v>PRAZNO</v>
      </c>
      <c r="AM414" s="264"/>
    </row>
    <row r="415" spans="1:39" ht="15.75" x14ac:dyDescent="0.2">
      <c r="B415" s="177"/>
      <c r="C415" s="177"/>
      <c r="D415" s="177"/>
      <c r="E415" s="177">
        <v>3121</v>
      </c>
      <c r="F415" s="176">
        <v>11</v>
      </c>
      <c r="G415" s="176" t="s">
        <v>527</v>
      </c>
      <c r="H415" s="16" t="s">
        <v>200</v>
      </c>
      <c r="I415" s="18">
        <v>80000</v>
      </c>
      <c r="J415" s="178">
        <v>39929.199999999997</v>
      </c>
      <c r="K415" s="178">
        <f t="shared" si="245"/>
        <v>49.91</v>
      </c>
      <c r="L415" s="178">
        <f t="shared" si="246"/>
        <v>-9961.64</v>
      </c>
      <c r="M415" s="178">
        <v>70038.36</v>
      </c>
      <c r="N415" s="178">
        <v>72000</v>
      </c>
      <c r="O415" s="178">
        <v>25200</v>
      </c>
      <c r="P415" s="26">
        <f t="shared" si="258"/>
        <v>0</v>
      </c>
      <c r="Q415" s="178">
        <v>72000</v>
      </c>
      <c r="R415" s="178">
        <v>80000</v>
      </c>
      <c r="S415" s="178">
        <v>66000</v>
      </c>
      <c r="T415" s="266">
        <v>72000</v>
      </c>
      <c r="U415" s="266">
        <v>52681.9</v>
      </c>
      <c r="V415" s="178">
        <v>132000</v>
      </c>
      <c r="W415" s="178">
        <v>67000</v>
      </c>
      <c r="X415" s="178">
        <v>56000</v>
      </c>
      <c r="Y415" s="178">
        <v>11902.87</v>
      </c>
      <c r="Z415" s="178">
        <f t="shared" si="305"/>
        <v>9.02</v>
      </c>
      <c r="AA415" s="178">
        <f t="shared" si="276"/>
        <v>0</v>
      </c>
      <c r="AB415" s="178">
        <v>132000</v>
      </c>
      <c r="AC415" s="178">
        <v>41638</v>
      </c>
      <c r="AD415" s="178">
        <f t="shared" si="251"/>
        <v>31.543939393939397</v>
      </c>
      <c r="AE415" s="178">
        <f t="shared" si="254"/>
        <v>0</v>
      </c>
      <c r="AF415" s="178">
        <v>132000</v>
      </c>
      <c r="AG415" s="687">
        <v>118000</v>
      </c>
      <c r="AH415" s="687">
        <v>70000</v>
      </c>
      <c r="AI415" s="687">
        <v>90000</v>
      </c>
      <c r="AJ415" s="162" t="b">
        <f t="shared" si="280"/>
        <v>0</v>
      </c>
      <c r="AK415" s="162" t="str">
        <f t="shared" si="281"/>
        <v>PUNO</v>
      </c>
      <c r="AM415" s="264"/>
    </row>
    <row r="416" spans="1:39" ht="15.75" x14ac:dyDescent="0.2">
      <c r="B416" s="177"/>
      <c r="C416" s="177"/>
      <c r="D416" s="177">
        <v>313</v>
      </c>
      <c r="E416" s="177"/>
      <c r="F416" s="177"/>
      <c r="G416" s="177"/>
      <c r="H416" s="16" t="s">
        <v>201</v>
      </c>
      <c r="I416" s="17">
        <f>SUM(I417:I418)</f>
        <v>178000</v>
      </c>
      <c r="J416" s="181">
        <f>SUM(J417:J418)</f>
        <v>133827.01</v>
      </c>
      <c r="K416" s="181">
        <f t="shared" si="245"/>
        <v>75.180000000000007</v>
      </c>
      <c r="L416" s="181">
        <f t="shared" si="246"/>
        <v>351.62000000002445</v>
      </c>
      <c r="M416" s="181">
        <f>SUM(M417:M418)</f>
        <v>178351.62000000002</v>
      </c>
      <c r="N416" s="181">
        <f>SUM(N417:N418)</f>
        <v>197000</v>
      </c>
      <c r="O416" s="181">
        <f>SUM(O417:O418)</f>
        <v>118804.69</v>
      </c>
      <c r="P416" s="26">
        <f t="shared" si="258"/>
        <v>-6000</v>
      </c>
      <c r="Q416" s="181">
        <f t="shared" ref="Q416:X416" si="306">SUM(Q417:Q418)</f>
        <v>197000</v>
      </c>
      <c r="R416" s="181">
        <f t="shared" si="306"/>
        <v>204000</v>
      </c>
      <c r="S416" s="181">
        <f t="shared" si="306"/>
        <v>208000</v>
      </c>
      <c r="T416" s="307">
        <f t="shared" si="306"/>
        <v>191000</v>
      </c>
      <c r="U416" s="307">
        <f>SUM(U417:U418)</f>
        <v>174006.41999999998</v>
      </c>
      <c r="V416" s="181">
        <f t="shared" si="306"/>
        <v>191000</v>
      </c>
      <c r="W416" s="181">
        <f t="shared" si="306"/>
        <v>191000</v>
      </c>
      <c r="X416" s="181">
        <f t="shared" si="306"/>
        <v>200000</v>
      </c>
      <c r="Y416" s="181">
        <f>SUM(Y417:Y418)</f>
        <v>67132.010000000009</v>
      </c>
      <c r="Z416" s="181">
        <f t="shared" si="305"/>
        <v>35.15</v>
      </c>
      <c r="AA416" s="181">
        <f t="shared" si="276"/>
        <v>-10700</v>
      </c>
      <c r="AB416" s="181">
        <f t="shared" ref="AB416:AI416" si="307">SUM(AB417:AB418)</f>
        <v>180300</v>
      </c>
      <c r="AC416" s="181">
        <f t="shared" si="307"/>
        <v>121550.16</v>
      </c>
      <c r="AD416" s="181">
        <f t="shared" si="251"/>
        <v>67.415507487520799</v>
      </c>
      <c r="AE416" s="181">
        <f t="shared" si="254"/>
        <v>0</v>
      </c>
      <c r="AF416" s="181">
        <f t="shared" si="307"/>
        <v>180300</v>
      </c>
      <c r="AG416" s="678">
        <f t="shared" si="307"/>
        <v>187000</v>
      </c>
      <c r="AH416" s="678">
        <f t="shared" si="307"/>
        <v>187500</v>
      </c>
      <c r="AI416" s="678">
        <f t="shared" si="307"/>
        <v>187900</v>
      </c>
      <c r="AJ416" s="162" t="b">
        <f t="shared" si="280"/>
        <v>1</v>
      </c>
      <c r="AK416" s="162" t="str">
        <f t="shared" si="281"/>
        <v>PRAZNO</v>
      </c>
      <c r="AM416" s="264"/>
    </row>
    <row r="417" spans="2:39" ht="15.75" x14ac:dyDescent="0.2">
      <c r="B417" s="177"/>
      <c r="C417" s="177"/>
      <c r="D417" s="177"/>
      <c r="E417" s="177">
        <v>3132</v>
      </c>
      <c r="F417" s="176">
        <v>11</v>
      </c>
      <c r="G417" s="176" t="s">
        <v>527</v>
      </c>
      <c r="H417" s="16" t="s">
        <v>202</v>
      </c>
      <c r="I417" s="18">
        <v>160000</v>
      </c>
      <c r="J417" s="178">
        <v>119902.87</v>
      </c>
      <c r="K417" s="178">
        <f t="shared" si="245"/>
        <v>74.94</v>
      </c>
      <c r="L417" s="178">
        <f t="shared" si="246"/>
        <v>-205.07999999998719</v>
      </c>
      <c r="M417" s="178">
        <v>159794.92000000001</v>
      </c>
      <c r="N417" s="178">
        <f>181000-5000</f>
        <v>176000</v>
      </c>
      <c r="O417" s="178">
        <v>105883.97</v>
      </c>
      <c r="P417" s="26">
        <f t="shared" si="258"/>
        <v>-6000</v>
      </c>
      <c r="Q417" s="178">
        <f>181000-5000</f>
        <v>176000</v>
      </c>
      <c r="R417" s="178">
        <v>183000</v>
      </c>
      <c r="S417" s="178">
        <v>186000</v>
      </c>
      <c r="T417" s="266">
        <v>170000</v>
      </c>
      <c r="U417" s="266">
        <v>154591.5</v>
      </c>
      <c r="V417" s="266">
        <v>170000</v>
      </c>
      <c r="W417" s="266">
        <v>170000</v>
      </c>
      <c r="X417" s="178">
        <v>178000</v>
      </c>
      <c r="Y417" s="266">
        <v>59234.19</v>
      </c>
      <c r="Z417" s="266">
        <f t="shared" si="305"/>
        <v>34.840000000000003</v>
      </c>
      <c r="AA417" s="266">
        <f t="shared" si="276"/>
        <v>-10700</v>
      </c>
      <c r="AB417" s="266">
        <f>160000-700</f>
        <v>159300</v>
      </c>
      <c r="AC417" s="266">
        <v>107250.23</v>
      </c>
      <c r="AD417" s="266">
        <f t="shared" si="251"/>
        <v>67.325944758317632</v>
      </c>
      <c r="AE417" s="266">
        <f t="shared" si="254"/>
        <v>0</v>
      </c>
      <c r="AF417" s="266">
        <f>160000-700</f>
        <v>159300</v>
      </c>
      <c r="AG417" s="687">
        <v>165000</v>
      </c>
      <c r="AH417" s="687">
        <v>165500</v>
      </c>
      <c r="AI417" s="687">
        <v>165500</v>
      </c>
      <c r="AJ417" s="162" t="b">
        <f t="shared" si="280"/>
        <v>0</v>
      </c>
      <c r="AK417" s="162" t="str">
        <f t="shared" si="281"/>
        <v>PUNO</v>
      </c>
      <c r="AM417" s="264"/>
    </row>
    <row r="418" spans="2:39" ht="30" x14ac:dyDescent="0.2">
      <c r="B418" s="177"/>
      <c r="C418" s="177"/>
      <c r="D418" s="177"/>
      <c r="E418" s="177">
        <v>3133</v>
      </c>
      <c r="F418" s="176">
        <v>11</v>
      </c>
      <c r="G418" s="176" t="s">
        <v>527</v>
      </c>
      <c r="H418" s="16" t="s">
        <v>203</v>
      </c>
      <c r="I418" s="18">
        <v>18000</v>
      </c>
      <c r="J418" s="178">
        <v>13924.14</v>
      </c>
      <c r="K418" s="178">
        <f t="shared" ref="K418:K481" si="308">ROUND(J418/I418*100,2)</f>
        <v>77.36</v>
      </c>
      <c r="L418" s="178">
        <f t="shared" ref="L418:L483" si="309">M418-I418</f>
        <v>556.70000000000073</v>
      </c>
      <c r="M418" s="178">
        <v>18556.7</v>
      </c>
      <c r="N418" s="178">
        <v>21000</v>
      </c>
      <c r="O418" s="178">
        <v>12920.72</v>
      </c>
      <c r="P418" s="26">
        <f t="shared" si="258"/>
        <v>0</v>
      </c>
      <c r="Q418" s="178">
        <v>21000</v>
      </c>
      <c r="R418" s="178">
        <v>21000</v>
      </c>
      <c r="S418" s="178">
        <v>22000</v>
      </c>
      <c r="T418" s="266">
        <v>21000</v>
      </c>
      <c r="U418" s="266">
        <v>19414.919999999998</v>
      </c>
      <c r="V418" s="266">
        <v>21000</v>
      </c>
      <c r="W418" s="266">
        <v>21000</v>
      </c>
      <c r="X418" s="178">
        <v>22000</v>
      </c>
      <c r="Y418" s="266">
        <v>7897.82</v>
      </c>
      <c r="Z418" s="266">
        <f t="shared" si="305"/>
        <v>37.61</v>
      </c>
      <c r="AA418" s="266">
        <f t="shared" si="276"/>
        <v>0</v>
      </c>
      <c r="AB418" s="266">
        <v>21000</v>
      </c>
      <c r="AC418" s="266">
        <v>14299.93</v>
      </c>
      <c r="AD418" s="266">
        <f t="shared" si="251"/>
        <v>68.094904761904758</v>
      </c>
      <c r="AE418" s="266">
        <f t="shared" si="254"/>
        <v>0</v>
      </c>
      <c r="AF418" s="266">
        <v>21000</v>
      </c>
      <c r="AG418" s="687">
        <v>22000</v>
      </c>
      <c r="AH418" s="687">
        <v>22000</v>
      </c>
      <c r="AI418" s="687">
        <v>22400</v>
      </c>
      <c r="AJ418" s="162" t="b">
        <f t="shared" si="280"/>
        <v>0</v>
      </c>
      <c r="AK418" s="162" t="str">
        <f t="shared" si="281"/>
        <v>PUNO</v>
      </c>
      <c r="AM418" s="264"/>
    </row>
    <row r="419" spans="2:39" ht="15.75" x14ac:dyDescent="0.2">
      <c r="B419" s="175"/>
      <c r="C419" s="175">
        <v>32</v>
      </c>
      <c r="D419" s="175"/>
      <c r="E419" s="175"/>
      <c r="F419" s="175"/>
      <c r="G419" s="175"/>
      <c r="H419" s="15" t="s">
        <v>525</v>
      </c>
      <c r="I419" s="22">
        <f>I420+I424+I428+I437</f>
        <v>2102000</v>
      </c>
      <c r="J419" s="183">
        <f>J420+J424+J428+J437</f>
        <v>1638365.5699999998</v>
      </c>
      <c r="K419" s="183">
        <f t="shared" si="308"/>
        <v>77.94</v>
      </c>
      <c r="L419" s="183">
        <f t="shared" si="309"/>
        <v>347931.43000000017</v>
      </c>
      <c r="M419" s="183">
        <f>M420+M424+M428+M437</f>
        <v>2449931.4300000002</v>
      </c>
      <c r="N419" s="183">
        <f>N420+N424+N428+N437</f>
        <v>2862500</v>
      </c>
      <c r="O419" s="183">
        <f>O420+O424+O428+O437</f>
        <v>1511382.2000000002</v>
      </c>
      <c r="P419" s="26">
        <f t="shared" si="258"/>
        <v>238000</v>
      </c>
      <c r="Q419" s="183">
        <f t="shared" ref="Q419:X419" si="310">Q420+Q424+Q428+Q437</f>
        <v>2862500</v>
      </c>
      <c r="R419" s="183">
        <f t="shared" si="310"/>
        <v>2335100</v>
      </c>
      <c r="S419" s="183">
        <f t="shared" si="310"/>
        <v>2386100</v>
      </c>
      <c r="T419" s="340">
        <f t="shared" si="310"/>
        <v>3100500</v>
      </c>
      <c r="U419" s="340">
        <f>U420+U424+U428+U437</f>
        <v>2873763.5599999996</v>
      </c>
      <c r="V419" s="183">
        <f t="shared" si="310"/>
        <v>2748500</v>
      </c>
      <c r="W419" s="183">
        <f t="shared" si="310"/>
        <v>2774000</v>
      </c>
      <c r="X419" s="183">
        <f t="shared" si="310"/>
        <v>2852000</v>
      </c>
      <c r="Y419" s="183">
        <f>Y420+Y424+Y428+Y437</f>
        <v>860710.76</v>
      </c>
      <c r="Z419" s="183">
        <f t="shared" si="305"/>
        <v>31.32</v>
      </c>
      <c r="AA419" s="183">
        <f t="shared" si="276"/>
        <v>167500</v>
      </c>
      <c r="AB419" s="183">
        <f t="shared" ref="AB419:AG419" si="311">AB420+AB424+AB428+AB437</f>
        <v>2916000</v>
      </c>
      <c r="AC419" s="183">
        <f t="shared" si="311"/>
        <v>1782056.2199999997</v>
      </c>
      <c r="AD419" s="183">
        <f t="shared" si="251"/>
        <v>61.113039094650205</v>
      </c>
      <c r="AE419" s="183">
        <f t="shared" si="254"/>
        <v>26200</v>
      </c>
      <c r="AF419" s="183">
        <f t="shared" si="311"/>
        <v>2942200</v>
      </c>
      <c r="AG419" s="183">
        <f t="shared" si="311"/>
        <v>2985700</v>
      </c>
      <c r="AH419" s="183">
        <f>AH420+AH424+AH428+AH437</f>
        <v>2977700</v>
      </c>
      <c r="AI419" s="183">
        <f>AI420+AI424+AI428+AI437</f>
        <v>2977700</v>
      </c>
      <c r="AJ419" s="162" t="b">
        <f t="shared" si="280"/>
        <v>1</v>
      </c>
      <c r="AK419" s="162" t="str">
        <f t="shared" si="281"/>
        <v>PRAZNO</v>
      </c>
      <c r="AM419" s="264"/>
    </row>
    <row r="420" spans="2:39" ht="15.75" x14ac:dyDescent="0.2">
      <c r="B420" s="177"/>
      <c r="C420" s="177"/>
      <c r="D420" s="177">
        <v>321</v>
      </c>
      <c r="E420" s="177"/>
      <c r="F420" s="177"/>
      <c r="G420" s="177"/>
      <c r="H420" s="16" t="s">
        <v>564</v>
      </c>
      <c r="I420" s="17">
        <f>I421+I422+I423</f>
        <v>79000</v>
      </c>
      <c r="J420" s="181">
        <f>J421+J422+J423</f>
        <v>57775.700000000004</v>
      </c>
      <c r="K420" s="181">
        <f t="shared" si="308"/>
        <v>73.13</v>
      </c>
      <c r="L420" s="181">
        <f t="shared" si="309"/>
        <v>1214.1000000000058</v>
      </c>
      <c r="M420" s="181">
        <f>M421+M422+M423</f>
        <v>80214.100000000006</v>
      </c>
      <c r="N420" s="181">
        <f>N421+N422+N423</f>
        <v>101000</v>
      </c>
      <c r="O420" s="181">
        <f>O421+O422+O423</f>
        <v>57970.2</v>
      </c>
      <c r="P420" s="26">
        <f t="shared" si="258"/>
        <v>1000</v>
      </c>
      <c r="Q420" s="181">
        <f t="shared" ref="Q420:X420" si="312">Q421+Q422+Q423</f>
        <v>101000</v>
      </c>
      <c r="R420" s="181">
        <f t="shared" si="312"/>
        <v>92300</v>
      </c>
      <c r="S420" s="181">
        <f t="shared" si="312"/>
        <v>96100</v>
      </c>
      <c r="T420" s="307">
        <f t="shared" si="312"/>
        <v>102000</v>
      </c>
      <c r="U420" s="307">
        <f>U421+U422+U423</f>
        <v>91660.400000000009</v>
      </c>
      <c r="V420" s="181">
        <f t="shared" si="312"/>
        <v>104000</v>
      </c>
      <c r="W420" s="181">
        <f t="shared" si="312"/>
        <v>110000</v>
      </c>
      <c r="X420" s="181">
        <f t="shared" si="312"/>
        <v>113000</v>
      </c>
      <c r="Y420" s="181">
        <f>Y421+Y422+Y423</f>
        <v>43414.200000000004</v>
      </c>
      <c r="Z420" s="181">
        <f t="shared" si="305"/>
        <v>41.74</v>
      </c>
      <c r="AA420" s="181">
        <f t="shared" si="276"/>
        <v>9000</v>
      </c>
      <c r="AB420" s="181">
        <f t="shared" ref="AB420:AG420" si="313">AB421+AB422+AB423</f>
        <v>113000</v>
      </c>
      <c r="AC420" s="181">
        <f t="shared" si="313"/>
        <v>73826.16</v>
      </c>
      <c r="AD420" s="181">
        <f t="shared" si="251"/>
        <v>65.332884955752206</v>
      </c>
      <c r="AE420" s="181">
        <f t="shared" si="254"/>
        <v>-1000</v>
      </c>
      <c r="AF420" s="181">
        <f t="shared" si="313"/>
        <v>112000</v>
      </c>
      <c r="AG420" s="181">
        <f t="shared" si="313"/>
        <v>121000</v>
      </c>
      <c r="AH420" s="181">
        <f>AH421+AH422+AH423</f>
        <v>121000</v>
      </c>
      <c r="AI420" s="181">
        <f>AI421+AI422+AI423</f>
        <v>121000</v>
      </c>
      <c r="AJ420" s="162" t="b">
        <f t="shared" si="280"/>
        <v>1</v>
      </c>
      <c r="AK420" s="162" t="str">
        <f t="shared" si="281"/>
        <v>PRAZNO</v>
      </c>
      <c r="AM420" s="264"/>
    </row>
    <row r="421" spans="2:39" ht="15.75" x14ac:dyDescent="0.2">
      <c r="B421" s="177"/>
      <c r="C421" s="177"/>
      <c r="D421" s="177"/>
      <c r="E421" s="177">
        <v>3211</v>
      </c>
      <c r="F421" s="176">
        <v>11</v>
      </c>
      <c r="G421" s="176" t="s">
        <v>527</v>
      </c>
      <c r="H421" s="16" t="s">
        <v>565</v>
      </c>
      <c r="I421" s="18">
        <v>3000</v>
      </c>
      <c r="J421" s="178">
        <v>2054.3000000000002</v>
      </c>
      <c r="K421" s="178">
        <f t="shared" si="308"/>
        <v>68.48</v>
      </c>
      <c r="L421" s="178">
        <f t="shared" si="309"/>
        <v>-338.69999999999982</v>
      </c>
      <c r="M421" s="178">
        <v>2661.3</v>
      </c>
      <c r="N421" s="178">
        <v>4000</v>
      </c>
      <c r="O421" s="178">
        <v>560.6</v>
      </c>
      <c r="P421" s="26">
        <f t="shared" si="258"/>
        <v>0</v>
      </c>
      <c r="Q421" s="178">
        <v>4000</v>
      </c>
      <c r="R421" s="178">
        <v>4000</v>
      </c>
      <c r="S421" s="178">
        <v>5000</v>
      </c>
      <c r="T421" s="266">
        <v>4000</v>
      </c>
      <c r="U421" s="266">
        <v>1598.8</v>
      </c>
      <c r="V421" s="178">
        <v>6000</v>
      </c>
      <c r="W421" s="178">
        <v>6000</v>
      </c>
      <c r="X421" s="178">
        <v>6000</v>
      </c>
      <c r="Y421" s="178">
        <v>974.8</v>
      </c>
      <c r="Z421" s="178">
        <f t="shared" si="305"/>
        <v>16.25</v>
      </c>
      <c r="AA421" s="178">
        <f t="shared" si="276"/>
        <v>0</v>
      </c>
      <c r="AB421" s="178">
        <v>6000</v>
      </c>
      <c r="AC421" s="178">
        <v>3292.55</v>
      </c>
      <c r="AD421" s="178">
        <f t="shared" si="251"/>
        <v>54.875833333333333</v>
      </c>
      <c r="AE421" s="178">
        <f t="shared" si="254"/>
        <v>-1000</v>
      </c>
      <c r="AF421" s="178">
        <v>5000</v>
      </c>
      <c r="AG421" s="178">
        <v>6000</v>
      </c>
      <c r="AH421" s="178">
        <v>6000</v>
      </c>
      <c r="AI421" s="178">
        <v>6000</v>
      </c>
      <c r="AJ421" s="162" t="b">
        <f t="shared" si="280"/>
        <v>0</v>
      </c>
      <c r="AK421" s="162" t="str">
        <f t="shared" si="281"/>
        <v>PUNO</v>
      </c>
      <c r="AM421" s="264"/>
    </row>
    <row r="422" spans="2:39" ht="15.75" x14ac:dyDescent="0.2">
      <c r="B422" s="177"/>
      <c r="C422" s="177"/>
      <c r="D422" s="177"/>
      <c r="E422" s="177">
        <v>3212</v>
      </c>
      <c r="F422" s="176">
        <v>11</v>
      </c>
      <c r="G422" s="176" t="s">
        <v>527</v>
      </c>
      <c r="H422" s="16" t="s">
        <v>220</v>
      </c>
      <c r="I422" s="18">
        <v>73000</v>
      </c>
      <c r="J422" s="178">
        <v>55271.4</v>
      </c>
      <c r="K422" s="178">
        <f t="shared" si="308"/>
        <v>75.709999999999994</v>
      </c>
      <c r="L422" s="178">
        <f t="shared" si="309"/>
        <v>1892.8000000000029</v>
      </c>
      <c r="M422" s="178">
        <v>74892.800000000003</v>
      </c>
      <c r="N422" s="178">
        <v>90000</v>
      </c>
      <c r="O422" s="178">
        <v>56409.599999999999</v>
      </c>
      <c r="P422" s="26">
        <f t="shared" si="258"/>
        <v>1000</v>
      </c>
      <c r="Q422" s="178">
        <v>90000</v>
      </c>
      <c r="R422" s="178">
        <v>84300</v>
      </c>
      <c r="S422" s="178">
        <v>86100</v>
      </c>
      <c r="T422" s="266">
        <v>91000</v>
      </c>
      <c r="U422" s="266">
        <v>86666.6</v>
      </c>
      <c r="V422" s="266">
        <v>91000</v>
      </c>
      <c r="W422" s="178">
        <v>97000</v>
      </c>
      <c r="X422" s="178">
        <v>100000</v>
      </c>
      <c r="Y422" s="266">
        <v>38499.4</v>
      </c>
      <c r="Z422" s="266">
        <f t="shared" si="305"/>
        <v>42.31</v>
      </c>
      <c r="AA422" s="266">
        <f t="shared" si="276"/>
        <v>-4000</v>
      </c>
      <c r="AB422" s="266">
        <v>87000</v>
      </c>
      <c r="AC422" s="266">
        <v>64176</v>
      </c>
      <c r="AD422" s="266">
        <f t="shared" si="251"/>
        <v>73.765517241379314</v>
      </c>
      <c r="AE422" s="266">
        <f t="shared" si="254"/>
        <v>0</v>
      </c>
      <c r="AF422" s="266">
        <v>87000</v>
      </c>
      <c r="AG422" s="687">
        <v>100000</v>
      </c>
      <c r="AH422" s="687">
        <v>100000</v>
      </c>
      <c r="AI422" s="687">
        <v>100000</v>
      </c>
      <c r="AJ422" s="162" t="b">
        <f t="shared" si="280"/>
        <v>0</v>
      </c>
      <c r="AK422" s="162" t="str">
        <f t="shared" si="281"/>
        <v>PUNO</v>
      </c>
      <c r="AM422" s="264"/>
    </row>
    <row r="423" spans="2:39" ht="15.75" x14ac:dyDescent="0.2">
      <c r="B423" s="177"/>
      <c r="C423" s="177"/>
      <c r="D423" s="177"/>
      <c r="E423" s="177">
        <v>3213</v>
      </c>
      <c r="F423" s="176">
        <v>11</v>
      </c>
      <c r="G423" s="176" t="s">
        <v>527</v>
      </c>
      <c r="H423" s="16" t="s">
        <v>221</v>
      </c>
      <c r="I423" s="18">
        <v>3000</v>
      </c>
      <c r="J423" s="178">
        <v>450</v>
      </c>
      <c r="K423" s="178">
        <f t="shared" si="308"/>
        <v>15</v>
      </c>
      <c r="L423" s="178">
        <f t="shared" si="309"/>
        <v>-340</v>
      </c>
      <c r="M423" s="178">
        <v>2660</v>
      </c>
      <c r="N423" s="178">
        <f>4000+3000</f>
        <v>7000</v>
      </c>
      <c r="O423" s="178">
        <v>1000</v>
      </c>
      <c r="P423" s="26">
        <f t="shared" si="258"/>
        <v>0</v>
      </c>
      <c r="Q423" s="178">
        <f>4000+3000</f>
        <v>7000</v>
      </c>
      <c r="R423" s="178">
        <v>4000</v>
      </c>
      <c r="S423" s="178">
        <v>5000</v>
      </c>
      <c r="T423" s="266">
        <v>7000</v>
      </c>
      <c r="U423" s="266">
        <v>3395</v>
      </c>
      <c r="V423" s="266">
        <v>7000</v>
      </c>
      <c r="W423" s="266">
        <v>7000</v>
      </c>
      <c r="X423" s="266">
        <v>7000</v>
      </c>
      <c r="Y423" s="266">
        <v>3940</v>
      </c>
      <c r="Z423" s="266">
        <f t="shared" si="305"/>
        <v>56.29</v>
      </c>
      <c r="AA423" s="266">
        <f t="shared" si="276"/>
        <v>13000</v>
      </c>
      <c r="AB423" s="266">
        <v>20000</v>
      </c>
      <c r="AC423" s="266">
        <v>6357.61</v>
      </c>
      <c r="AD423" s="266">
        <f t="shared" si="251"/>
        <v>31.788050000000002</v>
      </c>
      <c r="AE423" s="266">
        <f t="shared" si="254"/>
        <v>0</v>
      </c>
      <c r="AF423" s="266">
        <v>20000</v>
      </c>
      <c r="AG423" s="266">
        <v>15000</v>
      </c>
      <c r="AH423" s="266">
        <v>15000</v>
      </c>
      <c r="AI423" s="266">
        <v>15000</v>
      </c>
      <c r="AJ423" s="162" t="b">
        <f t="shared" si="280"/>
        <v>0</v>
      </c>
      <c r="AK423" s="162" t="str">
        <f t="shared" si="281"/>
        <v>PUNO</v>
      </c>
      <c r="AM423" s="264"/>
    </row>
    <row r="424" spans="2:39" ht="15.75" x14ac:dyDescent="0.2">
      <c r="B424" s="177"/>
      <c r="C424" s="177"/>
      <c r="D424" s="177">
        <v>322</v>
      </c>
      <c r="E424" s="177"/>
      <c r="F424" s="177"/>
      <c r="G424" s="177"/>
      <c r="H424" s="16" t="s">
        <v>547</v>
      </c>
      <c r="I424" s="17">
        <f>I425+I426+I427</f>
        <v>392000</v>
      </c>
      <c r="J424" s="181">
        <f>J425+J426+J427</f>
        <v>312628</v>
      </c>
      <c r="K424" s="181">
        <f t="shared" si="308"/>
        <v>79.75</v>
      </c>
      <c r="L424" s="181">
        <f t="shared" si="309"/>
        <v>85653.039999999979</v>
      </c>
      <c r="M424" s="181">
        <f>M425+M426+M427</f>
        <v>477653.04</v>
      </c>
      <c r="N424" s="181">
        <f>N425+N426+N427</f>
        <v>499000</v>
      </c>
      <c r="O424" s="181">
        <f>O425+O426+O427</f>
        <v>343196.91</v>
      </c>
      <c r="P424" s="26">
        <f t="shared" si="258"/>
        <v>92000</v>
      </c>
      <c r="Q424" s="181">
        <f t="shared" ref="Q424:X424" si="314">Q425+Q426+Q427</f>
        <v>499000</v>
      </c>
      <c r="R424" s="181">
        <f t="shared" si="314"/>
        <v>472000</v>
      </c>
      <c r="S424" s="181">
        <f t="shared" si="314"/>
        <v>481000</v>
      </c>
      <c r="T424" s="307">
        <f t="shared" si="314"/>
        <v>591000</v>
      </c>
      <c r="U424" s="307">
        <f>U425+U426+U427</f>
        <v>606221.02999999991</v>
      </c>
      <c r="V424" s="181">
        <f t="shared" si="314"/>
        <v>591000</v>
      </c>
      <c r="W424" s="181">
        <f t="shared" si="314"/>
        <v>591000</v>
      </c>
      <c r="X424" s="181">
        <f t="shared" si="314"/>
        <v>615000</v>
      </c>
      <c r="Y424" s="181">
        <f>Y425+Y426+Y427</f>
        <v>262108.56</v>
      </c>
      <c r="Z424" s="181">
        <f t="shared" si="305"/>
        <v>44.35</v>
      </c>
      <c r="AA424" s="181">
        <f t="shared" si="276"/>
        <v>59000</v>
      </c>
      <c r="AB424" s="181">
        <f t="shared" ref="AB424:AI424" si="315">AB425+AB426+AB427</f>
        <v>650000</v>
      </c>
      <c r="AC424" s="181">
        <f t="shared" si="315"/>
        <v>368751.31999999995</v>
      </c>
      <c r="AD424" s="181">
        <f t="shared" ref="AD424:AD487" si="316">AC424/AB424*100</f>
        <v>56.730972307692298</v>
      </c>
      <c r="AE424" s="181">
        <f t="shared" si="254"/>
        <v>0</v>
      </c>
      <c r="AF424" s="181">
        <f t="shared" si="315"/>
        <v>650000</v>
      </c>
      <c r="AG424" s="181">
        <f t="shared" si="315"/>
        <v>650000</v>
      </c>
      <c r="AH424" s="181">
        <f t="shared" si="315"/>
        <v>650000</v>
      </c>
      <c r="AI424" s="181">
        <f t="shared" si="315"/>
        <v>650000</v>
      </c>
      <c r="AJ424" s="162" t="b">
        <f t="shared" si="280"/>
        <v>1</v>
      </c>
      <c r="AK424" s="162" t="str">
        <f t="shared" si="281"/>
        <v>PRAZNO</v>
      </c>
      <c r="AM424" s="264"/>
    </row>
    <row r="425" spans="2:39" ht="15.75" x14ac:dyDescent="0.2">
      <c r="B425" s="177"/>
      <c r="C425" s="177"/>
      <c r="D425" s="177"/>
      <c r="E425" s="177">
        <v>3221</v>
      </c>
      <c r="F425" s="176">
        <v>11</v>
      </c>
      <c r="G425" s="176" t="s">
        <v>527</v>
      </c>
      <c r="H425" s="16" t="s">
        <v>548</v>
      </c>
      <c r="I425" s="18">
        <v>64000</v>
      </c>
      <c r="J425" s="178">
        <v>41653.160000000003</v>
      </c>
      <c r="K425" s="178">
        <f t="shared" si="308"/>
        <v>65.08</v>
      </c>
      <c r="L425" s="178">
        <f t="shared" si="309"/>
        <v>-1271.1999999999971</v>
      </c>
      <c r="M425" s="178">
        <v>62728.800000000003</v>
      </c>
      <c r="N425" s="178">
        <v>64000</v>
      </c>
      <c r="O425" s="178">
        <v>45480.25</v>
      </c>
      <c r="P425" s="26">
        <f t="shared" si="258"/>
        <v>6000</v>
      </c>
      <c r="Q425" s="178">
        <v>64000</v>
      </c>
      <c r="R425" s="178">
        <v>66000</v>
      </c>
      <c r="S425" s="178">
        <v>68000</v>
      </c>
      <c r="T425" s="266">
        <v>70000</v>
      </c>
      <c r="U425" s="266">
        <v>70371.41</v>
      </c>
      <c r="V425" s="266">
        <v>70000</v>
      </c>
      <c r="W425" s="266">
        <v>70000</v>
      </c>
      <c r="X425" s="266">
        <v>70000</v>
      </c>
      <c r="Y425" s="266">
        <v>20186.150000000001</v>
      </c>
      <c r="Z425" s="266">
        <f t="shared" si="305"/>
        <v>28.84</v>
      </c>
      <c r="AA425" s="266">
        <f t="shared" si="276"/>
        <v>0</v>
      </c>
      <c r="AB425" s="266">
        <v>70000</v>
      </c>
      <c r="AC425" s="266">
        <v>34119.230000000003</v>
      </c>
      <c r="AD425" s="266">
        <f t="shared" si="316"/>
        <v>48.741757142857146</v>
      </c>
      <c r="AE425" s="266">
        <f t="shared" si="254"/>
        <v>0</v>
      </c>
      <c r="AF425" s="266">
        <v>70000</v>
      </c>
      <c r="AG425" s="266">
        <v>70000</v>
      </c>
      <c r="AH425" s="266">
        <v>70000</v>
      </c>
      <c r="AI425" s="266">
        <v>70000</v>
      </c>
      <c r="AJ425" s="162" t="b">
        <f t="shared" si="280"/>
        <v>0</v>
      </c>
      <c r="AK425" s="162" t="str">
        <f t="shared" si="281"/>
        <v>PUNO</v>
      </c>
      <c r="AM425" s="264"/>
    </row>
    <row r="426" spans="2:39" ht="15.75" x14ac:dyDescent="0.2">
      <c r="B426" s="177"/>
      <c r="C426" s="177"/>
      <c r="D426" s="177"/>
      <c r="E426" s="177">
        <v>3223</v>
      </c>
      <c r="F426" s="176">
        <v>11</v>
      </c>
      <c r="G426" s="176" t="s">
        <v>527</v>
      </c>
      <c r="H426" s="16" t="s">
        <v>204</v>
      </c>
      <c r="I426" s="18">
        <v>283000</v>
      </c>
      <c r="J426" s="178">
        <v>251111.28</v>
      </c>
      <c r="K426" s="178">
        <f t="shared" si="308"/>
        <v>88.73</v>
      </c>
      <c r="L426" s="178">
        <f t="shared" si="309"/>
        <v>99164.659999999974</v>
      </c>
      <c r="M426" s="178">
        <v>382164.66</v>
      </c>
      <c r="N426" s="178">
        <v>390000</v>
      </c>
      <c r="O426" s="178">
        <v>274698.06</v>
      </c>
      <c r="P426" s="26">
        <f t="shared" si="258"/>
        <v>81000</v>
      </c>
      <c r="Q426" s="178">
        <v>390000</v>
      </c>
      <c r="R426" s="178">
        <v>360000</v>
      </c>
      <c r="S426" s="178">
        <v>366000</v>
      </c>
      <c r="T426" s="266">
        <v>471000</v>
      </c>
      <c r="U426" s="266">
        <v>487014.17</v>
      </c>
      <c r="V426" s="266">
        <v>471000</v>
      </c>
      <c r="W426" s="266">
        <v>471000</v>
      </c>
      <c r="X426" s="266">
        <v>490000</v>
      </c>
      <c r="Y426" s="266">
        <v>214505.95</v>
      </c>
      <c r="Z426" s="266">
        <f t="shared" si="305"/>
        <v>45.54</v>
      </c>
      <c r="AA426" s="266">
        <f t="shared" si="276"/>
        <v>44000</v>
      </c>
      <c r="AB426" s="266">
        <v>515000</v>
      </c>
      <c r="AC426" s="266">
        <v>301017.75</v>
      </c>
      <c r="AD426" s="266">
        <f t="shared" si="316"/>
        <v>58.450048543689327</v>
      </c>
      <c r="AE426" s="266">
        <f t="shared" si="254"/>
        <v>0</v>
      </c>
      <c r="AF426" s="266">
        <v>515000</v>
      </c>
      <c r="AG426" s="266">
        <v>515000</v>
      </c>
      <c r="AH426" s="266">
        <v>515000</v>
      </c>
      <c r="AI426" s="266">
        <v>515000</v>
      </c>
      <c r="AJ426" s="162" t="b">
        <f t="shared" si="280"/>
        <v>0</v>
      </c>
      <c r="AK426" s="162" t="str">
        <f t="shared" si="281"/>
        <v>PUNO</v>
      </c>
      <c r="AM426" s="264"/>
    </row>
    <row r="427" spans="2:39" ht="15.75" x14ac:dyDescent="0.2">
      <c r="B427" s="177"/>
      <c r="C427" s="177"/>
      <c r="D427" s="177"/>
      <c r="E427" s="177">
        <v>3225</v>
      </c>
      <c r="F427" s="176">
        <v>11</v>
      </c>
      <c r="G427" s="176" t="s">
        <v>527</v>
      </c>
      <c r="H427" s="16" t="s">
        <v>642</v>
      </c>
      <c r="I427" s="18">
        <v>45000</v>
      </c>
      <c r="J427" s="178">
        <v>19863.560000000001</v>
      </c>
      <c r="K427" s="178">
        <f t="shared" si="308"/>
        <v>44.14</v>
      </c>
      <c r="L427" s="178">
        <f t="shared" si="309"/>
        <v>-12240.419999999998</v>
      </c>
      <c r="M427" s="178">
        <v>32759.58</v>
      </c>
      <c r="N427" s="178">
        <v>45000</v>
      </c>
      <c r="O427" s="178">
        <v>23018.6</v>
      </c>
      <c r="P427" s="26">
        <f t="shared" si="258"/>
        <v>5000</v>
      </c>
      <c r="Q427" s="178">
        <v>45000</v>
      </c>
      <c r="R427" s="178">
        <v>46000</v>
      </c>
      <c r="S427" s="178">
        <v>47000</v>
      </c>
      <c r="T427" s="266">
        <v>50000</v>
      </c>
      <c r="U427" s="266">
        <v>48835.45</v>
      </c>
      <c r="V427" s="266">
        <v>50000</v>
      </c>
      <c r="W427" s="266">
        <v>50000</v>
      </c>
      <c r="X427" s="178">
        <v>55000</v>
      </c>
      <c r="Y427" s="266">
        <v>27416.46</v>
      </c>
      <c r="Z427" s="266">
        <f t="shared" si="305"/>
        <v>54.83</v>
      </c>
      <c r="AA427" s="266">
        <f t="shared" si="276"/>
        <v>15000</v>
      </c>
      <c r="AB427" s="266">
        <v>65000</v>
      </c>
      <c r="AC427" s="266">
        <v>33614.339999999997</v>
      </c>
      <c r="AD427" s="266">
        <f t="shared" si="316"/>
        <v>51.714369230769229</v>
      </c>
      <c r="AE427" s="266">
        <f t="shared" si="254"/>
        <v>0</v>
      </c>
      <c r="AF427" s="266">
        <v>65000</v>
      </c>
      <c r="AG427" s="266">
        <v>65000</v>
      </c>
      <c r="AH427" s="266">
        <v>65000</v>
      </c>
      <c r="AI427" s="266">
        <v>65000</v>
      </c>
      <c r="AJ427" s="162" t="b">
        <f t="shared" si="280"/>
        <v>0</v>
      </c>
      <c r="AK427" s="162" t="str">
        <f t="shared" si="281"/>
        <v>PUNO</v>
      </c>
      <c r="AM427" s="264"/>
    </row>
    <row r="428" spans="2:39" ht="15.75" x14ac:dyDescent="0.2">
      <c r="B428" s="177"/>
      <c r="C428" s="177"/>
      <c r="D428" s="177">
        <v>323</v>
      </c>
      <c r="E428" s="177"/>
      <c r="F428" s="177"/>
      <c r="G428" s="177"/>
      <c r="H428" s="16" t="s">
        <v>526</v>
      </c>
      <c r="I428" s="17">
        <f>SUM(I429:I436)</f>
        <v>1507000</v>
      </c>
      <c r="J428" s="181">
        <f>SUM(J429:J436)</f>
        <v>1158710.46</v>
      </c>
      <c r="K428" s="181">
        <f t="shared" si="308"/>
        <v>76.89</v>
      </c>
      <c r="L428" s="181">
        <f t="shared" si="309"/>
        <v>261353.12999999989</v>
      </c>
      <c r="M428" s="181">
        <f>SUM(M429:M436)</f>
        <v>1768353.13</v>
      </c>
      <c r="N428" s="181">
        <f>SUM(N429:N436)</f>
        <v>2058500</v>
      </c>
      <c r="O428" s="181">
        <f>SUM(O429:O436)</f>
        <v>1014281.6100000001</v>
      </c>
      <c r="P428" s="26">
        <f t="shared" si="258"/>
        <v>105000</v>
      </c>
      <c r="Q428" s="181">
        <f t="shared" ref="Q428:X428" si="317">SUM(Q429:Q436)</f>
        <v>2058500</v>
      </c>
      <c r="R428" s="181">
        <f t="shared" si="317"/>
        <v>1625800</v>
      </c>
      <c r="S428" s="181">
        <f t="shared" si="317"/>
        <v>1657000</v>
      </c>
      <c r="T428" s="307">
        <f t="shared" si="317"/>
        <v>2163500</v>
      </c>
      <c r="U428" s="307">
        <f>SUM(U429:U436)</f>
        <v>2008047.5899999999</v>
      </c>
      <c r="V428" s="181">
        <f t="shared" si="317"/>
        <v>1699500</v>
      </c>
      <c r="W428" s="181">
        <f t="shared" si="317"/>
        <v>1719000</v>
      </c>
      <c r="X428" s="181">
        <f t="shared" si="317"/>
        <v>1760000</v>
      </c>
      <c r="Y428" s="181">
        <f>SUM(Y429:Y436)</f>
        <v>462636.26</v>
      </c>
      <c r="Z428" s="181">
        <f t="shared" si="305"/>
        <v>27.22</v>
      </c>
      <c r="AA428" s="181">
        <f t="shared" si="276"/>
        <v>149500</v>
      </c>
      <c r="AB428" s="181">
        <f t="shared" ref="AB428:AI428" si="318">SUM(AB429:AB436)</f>
        <v>1849000</v>
      </c>
      <c r="AC428" s="181">
        <f t="shared" si="318"/>
        <v>1140365.8699999999</v>
      </c>
      <c r="AD428" s="181">
        <f t="shared" si="316"/>
        <v>61.674736073553262</v>
      </c>
      <c r="AE428" s="181">
        <f t="shared" si="254"/>
        <v>4100</v>
      </c>
      <c r="AF428" s="181">
        <f t="shared" si="318"/>
        <v>1853100</v>
      </c>
      <c r="AG428" s="181">
        <f t="shared" si="318"/>
        <v>1910700</v>
      </c>
      <c r="AH428" s="181">
        <f t="shared" si="318"/>
        <v>1902700</v>
      </c>
      <c r="AI428" s="181">
        <f t="shared" si="318"/>
        <v>1902700</v>
      </c>
      <c r="AJ428" s="162" t="b">
        <f t="shared" si="280"/>
        <v>1</v>
      </c>
      <c r="AK428" s="162" t="str">
        <f t="shared" si="281"/>
        <v>PRAZNO</v>
      </c>
      <c r="AM428" s="264"/>
    </row>
    <row r="429" spans="2:39" ht="15.75" x14ac:dyDescent="0.2">
      <c r="B429" s="177"/>
      <c r="C429" s="177"/>
      <c r="D429" s="177"/>
      <c r="E429" s="177">
        <v>3231</v>
      </c>
      <c r="F429" s="176">
        <v>11</v>
      </c>
      <c r="G429" s="176" t="s">
        <v>527</v>
      </c>
      <c r="H429" s="16" t="s">
        <v>206</v>
      </c>
      <c r="I429" s="18">
        <v>380000</v>
      </c>
      <c r="J429" s="178">
        <v>268254.82</v>
      </c>
      <c r="K429" s="178">
        <f t="shared" si="308"/>
        <v>70.59</v>
      </c>
      <c r="L429" s="178">
        <f t="shared" si="309"/>
        <v>-14187.049999999988</v>
      </c>
      <c r="M429" s="178">
        <v>365812.95</v>
      </c>
      <c r="N429" s="178">
        <v>380000</v>
      </c>
      <c r="O429" s="178">
        <v>224182.63</v>
      </c>
      <c r="P429" s="26">
        <f t="shared" si="258"/>
        <v>0</v>
      </c>
      <c r="Q429" s="178">
        <v>380000</v>
      </c>
      <c r="R429" s="178">
        <v>385000</v>
      </c>
      <c r="S429" s="178">
        <v>388000</v>
      </c>
      <c r="T429" s="266">
        <v>380000</v>
      </c>
      <c r="U429" s="266">
        <v>294398.34999999998</v>
      </c>
      <c r="V429" s="266">
        <v>380000</v>
      </c>
      <c r="W429" s="266">
        <v>380000</v>
      </c>
      <c r="X429" s="178">
        <v>390000</v>
      </c>
      <c r="Y429" s="266">
        <v>63019.15</v>
      </c>
      <c r="Z429" s="266">
        <f t="shared" si="305"/>
        <v>16.579999999999998</v>
      </c>
      <c r="AA429" s="266">
        <f t="shared" si="276"/>
        <v>0</v>
      </c>
      <c r="AB429" s="266">
        <v>380000</v>
      </c>
      <c r="AC429" s="266">
        <v>207836.42</v>
      </c>
      <c r="AD429" s="266">
        <f t="shared" si="316"/>
        <v>54.693794736842108</v>
      </c>
      <c r="AE429" s="266">
        <f t="shared" si="254"/>
        <v>0</v>
      </c>
      <c r="AF429" s="266">
        <v>380000</v>
      </c>
      <c r="AG429" s="266">
        <v>380000</v>
      </c>
      <c r="AH429" s="266">
        <v>380000</v>
      </c>
      <c r="AI429" s="266">
        <v>380000</v>
      </c>
      <c r="AJ429" s="162" t="b">
        <f t="shared" si="280"/>
        <v>0</v>
      </c>
      <c r="AK429" s="162" t="str">
        <f t="shared" si="281"/>
        <v>PUNO</v>
      </c>
      <c r="AM429" s="264"/>
    </row>
    <row r="430" spans="2:39" ht="15.75" x14ac:dyDescent="0.2">
      <c r="B430" s="177"/>
      <c r="C430" s="177"/>
      <c r="D430" s="177"/>
      <c r="E430" s="177">
        <v>3232</v>
      </c>
      <c r="F430" s="176">
        <v>11</v>
      </c>
      <c r="G430" s="176" t="s">
        <v>527</v>
      </c>
      <c r="H430" s="16" t="s">
        <v>207</v>
      </c>
      <c r="I430" s="18">
        <f>290000+45000+36000-40000</f>
        <v>331000</v>
      </c>
      <c r="J430" s="178">
        <v>284297.24</v>
      </c>
      <c r="K430" s="178">
        <f t="shared" si="308"/>
        <v>85.89</v>
      </c>
      <c r="L430" s="178">
        <f t="shared" si="309"/>
        <v>158061.09000000003</v>
      </c>
      <c r="M430" s="178">
        <v>489061.09</v>
      </c>
      <c r="N430" s="178">
        <v>835000</v>
      </c>
      <c r="O430" s="178">
        <v>268025.3</v>
      </c>
      <c r="P430" s="26">
        <f t="shared" si="258"/>
        <v>30000</v>
      </c>
      <c r="Q430" s="178">
        <v>835000</v>
      </c>
      <c r="R430" s="178">
        <v>485000</v>
      </c>
      <c r="S430" s="178">
        <v>496000</v>
      </c>
      <c r="T430" s="266">
        <v>865000</v>
      </c>
      <c r="U430" s="266">
        <v>839853.4</v>
      </c>
      <c r="V430" s="266">
        <f>550000-19500</f>
        <v>530500</v>
      </c>
      <c r="W430" s="266">
        <v>550000</v>
      </c>
      <c r="X430" s="266">
        <v>550000</v>
      </c>
      <c r="Y430" s="266">
        <v>93468.04</v>
      </c>
      <c r="Z430" s="266">
        <f t="shared" si="305"/>
        <v>17.62</v>
      </c>
      <c r="AA430" s="266">
        <f t="shared" si="276"/>
        <v>40000</v>
      </c>
      <c r="AB430" s="266">
        <v>570500</v>
      </c>
      <c r="AC430" s="266">
        <v>326389.92</v>
      </c>
      <c r="AD430" s="266">
        <f t="shared" si="316"/>
        <v>57.211204206836108</v>
      </c>
      <c r="AE430" s="266">
        <f t="shared" ref="AE430:AE494" si="319">AF430-AB430</f>
        <v>0</v>
      </c>
      <c r="AF430" s="266">
        <v>570500</v>
      </c>
      <c r="AG430" s="266">
        <f>570500+8000</f>
        <v>578500</v>
      </c>
      <c r="AH430" s="266">
        <v>570500</v>
      </c>
      <c r="AI430" s="266">
        <v>570500</v>
      </c>
      <c r="AJ430" s="162" t="b">
        <f t="shared" si="280"/>
        <v>0</v>
      </c>
      <c r="AK430" s="162" t="str">
        <f t="shared" si="281"/>
        <v>PUNO</v>
      </c>
      <c r="AM430" s="264"/>
    </row>
    <row r="431" spans="2:39" ht="15.75" x14ac:dyDescent="0.2">
      <c r="B431" s="177"/>
      <c r="C431" s="177"/>
      <c r="D431" s="177"/>
      <c r="E431" s="177">
        <v>3233</v>
      </c>
      <c r="F431" s="176">
        <v>11</v>
      </c>
      <c r="G431" s="176" t="s">
        <v>527</v>
      </c>
      <c r="H431" s="16" t="s">
        <v>528</v>
      </c>
      <c r="I431" s="18">
        <v>3000</v>
      </c>
      <c r="J431" s="178">
        <v>2150</v>
      </c>
      <c r="K431" s="178">
        <f t="shared" si="308"/>
        <v>71.67</v>
      </c>
      <c r="L431" s="178">
        <f t="shared" si="309"/>
        <v>950</v>
      </c>
      <c r="M431" s="178">
        <v>3950</v>
      </c>
      <c r="N431" s="178">
        <v>3500</v>
      </c>
      <c r="O431" s="178">
        <v>0</v>
      </c>
      <c r="P431" s="26">
        <f t="shared" si="258"/>
        <v>0</v>
      </c>
      <c r="Q431" s="178">
        <v>3500</v>
      </c>
      <c r="R431" s="178">
        <v>3800</v>
      </c>
      <c r="S431" s="178">
        <v>4000</v>
      </c>
      <c r="T431" s="266">
        <v>3500</v>
      </c>
      <c r="U431" s="266">
        <v>1930.78</v>
      </c>
      <c r="V431" s="266">
        <v>3500</v>
      </c>
      <c r="W431" s="266">
        <v>3500</v>
      </c>
      <c r="X431" s="266">
        <v>4000</v>
      </c>
      <c r="Y431" s="266">
        <v>0</v>
      </c>
      <c r="Z431" s="266">
        <f t="shared" si="305"/>
        <v>0</v>
      </c>
      <c r="AA431" s="266">
        <f t="shared" si="276"/>
        <v>0</v>
      </c>
      <c r="AB431" s="266">
        <v>3500</v>
      </c>
      <c r="AC431" s="266">
        <v>0</v>
      </c>
      <c r="AD431" s="266">
        <f t="shared" si="316"/>
        <v>0</v>
      </c>
      <c r="AE431" s="266">
        <f t="shared" si="319"/>
        <v>0</v>
      </c>
      <c r="AF431" s="266">
        <v>3500</v>
      </c>
      <c r="AG431" s="266">
        <v>3500</v>
      </c>
      <c r="AH431" s="266">
        <v>3500</v>
      </c>
      <c r="AI431" s="266">
        <v>3500</v>
      </c>
      <c r="AJ431" s="162" t="b">
        <f t="shared" si="280"/>
        <v>0</v>
      </c>
      <c r="AK431" s="162" t="str">
        <f t="shared" si="281"/>
        <v>PUNO</v>
      </c>
      <c r="AM431" s="264"/>
    </row>
    <row r="432" spans="2:39" ht="15.75" x14ac:dyDescent="0.2">
      <c r="B432" s="177"/>
      <c r="C432" s="177"/>
      <c r="D432" s="177"/>
      <c r="E432" s="177">
        <v>3234</v>
      </c>
      <c r="F432" s="176">
        <v>11</v>
      </c>
      <c r="G432" s="176" t="s">
        <v>527</v>
      </c>
      <c r="H432" s="16" t="s">
        <v>238</v>
      </c>
      <c r="I432" s="18">
        <f>430000-350000</f>
        <v>80000</v>
      </c>
      <c r="J432" s="178">
        <v>82441.210000000006</v>
      </c>
      <c r="K432" s="178">
        <f t="shared" si="308"/>
        <v>103.05</v>
      </c>
      <c r="L432" s="178">
        <f t="shared" si="309"/>
        <v>45266.460000000006</v>
      </c>
      <c r="M432" s="178">
        <v>125266.46</v>
      </c>
      <c r="N432" s="178">
        <v>160000</v>
      </c>
      <c r="O432" s="178">
        <v>68140.240000000005</v>
      </c>
      <c r="P432" s="26">
        <f t="shared" si="258"/>
        <v>0</v>
      </c>
      <c r="Q432" s="178">
        <v>160000</v>
      </c>
      <c r="R432" s="178">
        <v>165000</v>
      </c>
      <c r="S432" s="178">
        <v>169000</v>
      </c>
      <c r="T432" s="266">
        <v>160000</v>
      </c>
      <c r="U432" s="266">
        <v>124504.72</v>
      </c>
      <c r="V432" s="266">
        <v>160000</v>
      </c>
      <c r="W432" s="266">
        <v>160000</v>
      </c>
      <c r="X432" s="266">
        <v>180000</v>
      </c>
      <c r="Y432" s="266">
        <v>50606.6</v>
      </c>
      <c r="Z432" s="266">
        <f t="shared" si="305"/>
        <v>31.63</v>
      </c>
      <c r="AA432" s="266">
        <f t="shared" si="276"/>
        <v>0</v>
      </c>
      <c r="AB432" s="266">
        <v>160000</v>
      </c>
      <c r="AC432" s="266">
        <v>99242.83</v>
      </c>
      <c r="AD432" s="266">
        <f t="shared" si="316"/>
        <v>62.026768750000002</v>
      </c>
      <c r="AE432" s="266">
        <f t="shared" si="319"/>
        <v>0</v>
      </c>
      <c r="AF432" s="266">
        <v>160000</v>
      </c>
      <c r="AG432" s="266">
        <v>160000</v>
      </c>
      <c r="AH432" s="266">
        <v>160000</v>
      </c>
      <c r="AI432" s="266">
        <v>160000</v>
      </c>
      <c r="AJ432" s="162" t="b">
        <f t="shared" si="280"/>
        <v>0</v>
      </c>
      <c r="AK432" s="162" t="str">
        <f t="shared" si="281"/>
        <v>PUNO</v>
      </c>
      <c r="AM432" s="264"/>
    </row>
    <row r="433" spans="2:39" ht="15.75" x14ac:dyDescent="0.2">
      <c r="B433" s="177"/>
      <c r="C433" s="177"/>
      <c r="D433" s="177"/>
      <c r="E433" s="177">
        <v>3235</v>
      </c>
      <c r="F433" s="176">
        <v>11</v>
      </c>
      <c r="G433" s="176" t="s">
        <v>527</v>
      </c>
      <c r="H433" s="16" t="s">
        <v>640</v>
      </c>
      <c r="I433" s="18">
        <v>115000</v>
      </c>
      <c r="J433" s="178">
        <v>86534.64</v>
      </c>
      <c r="K433" s="178">
        <f t="shared" si="308"/>
        <v>75.25</v>
      </c>
      <c r="L433" s="178">
        <f t="shared" si="309"/>
        <v>8065</v>
      </c>
      <c r="M433" s="178">
        <v>123065</v>
      </c>
      <c r="N433" s="178">
        <v>120000</v>
      </c>
      <c r="O433" s="178">
        <v>124471.67999999999</v>
      </c>
      <c r="P433" s="26">
        <f t="shared" si="258"/>
        <v>50000</v>
      </c>
      <c r="Q433" s="178">
        <v>120000</v>
      </c>
      <c r="R433" s="178">
        <v>15000</v>
      </c>
      <c r="S433" s="178">
        <v>15000</v>
      </c>
      <c r="T433" s="266">
        <v>170000</v>
      </c>
      <c r="U433" s="266">
        <v>179668.55</v>
      </c>
      <c r="V433" s="178">
        <v>50500</v>
      </c>
      <c r="W433" s="178">
        <v>50500</v>
      </c>
      <c r="X433" s="178">
        <v>51000</v>
      </c>
      <c r="Y433" s="178">
        <v>53766.53</v>
      </c>
      <c r="Z433" s="178">
        <f t="shared" si="305"/>
        <v>106.47</v>
      </c>
      <c r="AA433" s="178">
        <f t="shared" si="276"/>
        <v>84500</v>
      </c>
      <c r="AB433" s="178">
        <v>135000</v>
      </c>
      <c r="AC433" s="178">
        <v>92234.47</v>
      </c>
      <c r="AD433" s="178">
        <f t="shared" si="316"/>
        <v>68.321829629629633</v>
      </c>
      <c r="AE433" s="178">
        <f t="shared" si="319"/>
        <v>4100</v>
      </c>
      <c r="AF433" s="178">
        <f>135000+4100</f>
        <v>139100</v>
      </c>
      <c r="AG433" s="178">
        <f>135000+4100*12</f>
        <v>184200</v>
      </c>
      <c r="AH433" s="178">
        <f>135000+4100*12</f>
        <v>184200</v>
      </c>
      <c r="AI433" s="178">
        <f>135000+4100*12</f>
        <v>184200</v>
      </c>
      <c r="AJ433" s="162" t="b">
        <f t="shared" si="280"/>
        <v>0</v>
      </c>
      <c r="AK433" s="162" t="str">
        <f t="shared" si="281"/>
        <v>PUNO</v>
      </c>
      <c r="AM433" s="264"/>
    </row>
    <row r="434" spans="2:39" ht="15.75" x14ac:dyDescent="0.2">
      <c r="B434" s="177"/>
      <c r="C434" s="177"/>
      <c r="D434" s="177"/>
      <c r="E434" s="177">
        <v>3237</v>
      </c>
      <c r="F434" s="176">
        <v>11</v>
      </c>
      <c r="G434" s="176" t="s">
        <v>527</v>
      </c>
      <c r="H434" s="16" t="s">
        <v>566</v>
      </c>
      <c r="I434" s="18">
        <v>100000</v>
      </c>
      <c r="J434" s="178">
        <v>84063.5</v>
      </c>
      <c r="K434" s="178">
        <f t="shared" si="308"/>
        <v>84.06</v>
      </c>
      <c r="L434" s="178">
        <f t="shared" si="309"/>
        <v>50465.070000000007</v>
      </c>
      <c r="M434" s="178">
        <v>150465.07</v>
      </c>
      <c r="N434" s="178">
        <v>60000</v>
      </c>
      <c r="O434" s="178">
        <v>15381.4</v>
      </c>
      <c r="P434" s="26">
        <f t="shared" si="258"/>
        <v>0</v>
      </c>
      <c r="Q434" s="178">
        <v>60000</v>
      </c>
      <c r="R434" s="178">
        <v>60000</v>
      </c>
      <c r="S434" s="178">
        <v>60000</v>
      </c>
      <c r="T434" s="266">
        <v>60000</v>
      </c>
      <c r="U434" s="266">
        <v>17381.400000000001</v>
      </c>
      <c r="V434" s="266">
        <v>50000</v>
      </c>
      <c r="W434" s="266">
        <v>50000</v>
      </c>
      <c r="X434" s="266">
        <v>50000</v>
      </c>
      <c r="Y434" s="266">
        <v>0</v>
      </c>
      <c r="Z434" s="266">
        <f t="shared" si="305"/>
        <v>0</v>
      </c>
      <c r="AA434" s="266">
        <f t="shared" si="276"/>
        <v>0</v>
      </c>
      <c r="AB434" s="266">
        <v>50000</v>
      </c>
      <c r="AC434" s="266">
        <v>29098.799999999999</v>
      </c>
      <c r="AD434" s="266">
        <f t="shared" si="316"/>
        <v>58.197599999999994</v>
      </c>
      <c r="AE434" s="266">
        <f t="shared" si="319"/>
        <v>0</v>
      </c>
      <c r="AF434" s="266">
        <v>50000</v>
      </c>
      <c r="AG434" s="266">
        <v>50000</v>
      </c>
      <c r="AH434" s="266">
        <v>50000</v>
      </c>
      <c r="AI434" s="266">
        <v>50000</v>
      </c>
      <c r="AJ434" s="162" t="b">
        <f t="shared" si="280"/>
        <v>0</v>
      </c>
      <c r="AK434" s="162" t="str">
        <f t="shared" si="281"/>
        <v>PUNO</v>
      </c>
      <c r="AM434" s="264"/>
    </row>
    <row r="435" spans="2:39" ht="15.75" x14ac:dyDescent="0.2">
      <c r="B435" s="177"/>
      <c r="C435" s="177"/>
      <c r="D435" s="177"/>
      <c r="E435" s="177">
        <v>3238</v>
      </c>
      <c r="F435" s="176">
        <v>11</v>
      </c>
      <c r="G435" s="176" t="s">
        <v>527</v>
      </c>
      <c r="H435" s="16" t="s">
        <v>398</v>
      </c>
      <c r="I435" s="18">
        <v>148000</v>
      </c>
      <c r="J435" s="178">
        <v>98865.91</v>
      </c>
      <c r="K435" s="178">
        <f t="shared" si="308"/>
        <v>66.8</v>
      </c>
      <c r="L435" s="178">
        <f t="shared" si="309"/>
        <v>-2625.8299999999872</v>
      </c>
      <c r="M435" s="178">
        <v>145374.17000000001</v>
      </c>
      <c r="N435" s="178">
        <v>150000</v>
      </c>
      <c r="O435" s="178">
        <v>89485.56</v>
      </c>
      <c r="P435" s="26">
        <f t="shared" si="258"/>
        <v>5000</v>
      </c>
      <c r="Q435" s="178">
        <v>150000</v>
      </c>
      <c r="R435" s="178">
        <v>152000</v>
      </c>
      <c r="S435" s="178">
        <v>155000</v>
      </c>
      <c r="T435" s="266">
        <v>155000</v>
      </c>
      <c r="U435" s="266">
        <v>162893.17000000001</v>
      </c>
      <c r="V435" s="266">
        <v>155000</v>
      </c>
      <c r="W435" s="266">
        <v>155000</v>
      </c>
      <c r="X435" s="266">
        <v>155000</v>
      </c>
      <c r="Y435" s="266">
        <v>72450.13</v>
      </c>
      <c r="Z435" s="266">
        <f t="shared" si="305"/>
        <v>46.74</v>
      </c>
      <c r="AA435" s="266">
        <f t="shared" si="276"/>
        <v>25000</v>
      </c>
      <c r="AB435" s="266">
        <v>180000</v>
      </c>
      <c r="AC435" s="266">
        <v>124602.13</v>
      </c>
      <c r="AD435" s="266">
        <f t="shared" si="316"/>
        <v>69.223405555555559</v>
      </c>
      <c r="AE435" s="266">
        <f t="shared" si="319"/>
        <v>0</v>
      </c>
      <c r="AF435" s="266">
        <v>180000</v>
      </c>
      <c r="AG435" s="266">
        <f>180000+300*12*1.25</f>
        <v>184500</v>
      </c>
      <c r="AH435" s="266">
        <f>180000+300*12*1.25</f>
        <v>184500</v>
      </c>
      <c r="AI435" s="266">
        <f>180000+300*12*1.25</f>
        <v>184500</v>
      </c>
      <c r="AJ435" s="162" t="b">
        <f t="shared" si="280"/>
        <v>0</v>
      </c>
      <c r="AK435" s="162" t="str">
        <f t="shared" si="281"/>
        <v>PUNO</v>
      </c>
      <c r="AM435" s="264"/>
    </row>
    <row r="436" spans="2:39" ht="15.75" x14ac:dyDescent="0.2">
      <c r="B436" s="177"/>
      <c r="C436" s="177"/>
      <c r="D436" s="177"/>
      <c r="E436" s="177">
        <v>3239</v>
      </c>
      <c r="F436" s="176">
        <v>11</v>
      </c>
      <c r="G436" s="176"/>
      <c r="H436" s="16" t="s">
        <v>529</v>
      </c>
      <c r="I436" s="18">
        <v>350000</v>
      </c>
      <c r="J436" s="178">
        <v>252103.14</v>
      </c>
      <c r="K436" s="178">
        <f t="shared" si="308"/>
        <v>72.03</v>
      </c>
      <c r="L436" s="178">
        <f t="shared" si="309"/>
        <v>15358.390000000014</v>
      </c>
      <c r="M436" s="178">
        <v>365358.39</v>
      </c>
      <c r="N436" s="178">
        <v>350000</v>
      </c>
      <c r="O436" s="178">
        <v>224594.8</v>
      </c>
      <c r="P436" s="26">
        <f t="shared" si="258"/>
        <v>20000</v>
      </c>
      <c r="Q436" s="178">
        <v>350000</v>
      </c>
      <c r="R436" s="178">
        <v>360000</v>
      </c>
      <c r="S436" s="178">
        <v>370000</v>
      </c>
      <c r="T436" s="266">
        <v>370000</v>
      </c>
      <c r="U436" s="266">
        <v>387417.22</v>
      </c>
      <c r="V436" s="266">
        <v>370000</v>
      </c>
      <c r="W436" s="266">
        <v>370000</v>
      </c>
      <c r="X436" s="178">
        <v>380000</v>
      </c>
      <c r="Y436" s="266">
        <v>129325.81</v>
      </c>
      <c r="Z436" s="266">
        <f t="shared" si="305"/>
        <v>34.950000000000003</v>
      </c>
      <c r="AA436" s="266">
        <f t="shared" si="276"/>
        <v>0</v>
      </c>
      <c r="AB436" s="266">
        <v>370000</v>
      </c>
      <c r="AC436" s="266">
        <v>260961.3</v>
      </c>
      <c r="AD436" s="266">
        <f t="shared" si="316"/>
        <v>70.530081081081079</v>
      </c>
      <c r="AE436" s="266">
        <f t="shared" si="319"/>
        <v>0</v>
      </c>
      <c r="AF436" s="266">
        <v>370000</v>
      </c>
      <c r="AG436" s="266">
        <v>370000</v>
      </c>
      <c r="AH436" s="266">
        <v>370000</v>
      </c>
      <c r="AI436" s="266">
        <v>370000</v>
      </c>
      <c r="AJ436" s="162" t="b">
        <f t="shared" si="280"/>
        <v>0</v>
      </c>
      <c r="AK436" s="162" t="str">
        <f t="shared" si="281"/>
        <v>PUNO</v>
      </c>
      <c r="AM436" s="264"/>
    </row>
    <row r="437" spans="2:39" ht="15.75" x14ac:dyDescent="0.2">
      <c r="B437" s="177"/>
      <c r="C437" s="177"/>
      <c r="D437" s="177">
        <v>329</v>
      </c>
      <c r="E437" s="177"/>
      <c r="F437" s="177"/>
      <c r="G437" s="177"/>
      <c r="H437" s="16" t="s">
        <v>531</v>
      </c>
      <c r="I437" s="17">
        <f>I438+I440+I439</f>
        <v>124000</v>
      </c>
      <c r="J437" s="181">
        <f>J438+J440+J439</f>
        <v>109251.41</v>
      </c>
      <c r="K437" s="181">
        <f t="shared" si="308"/>
        <v>88.11</v>
      </c>
      <c r="L437" s="181">
        <f t="shared" si="309"/>
        <v>-288.84000000001106</v>
      </c>
      <c r="M437" s="181">
        <f>M438+M440+M439</f>
        <v>123711.15999999999</v>
      </c>
      <c r="N437" s="181">
        <f>N438+N440+N439</f>
        <v>204000</v>
      </c>
      <c r="O437" s="181">
        <f>O438+O440+O439</f>
        <v>95933.48000000001</v>
      </c>
      <c r="P437" s="26">
        <f t="shared" si="258"/>
        <v>40000</v>
      </c>
      <c r="Q437" s="181">
        <f t="shared" ref="Q437:X437" si="320">Q438+Q440+Q439</f>
        <v>204000</v>
      </c>
      <c r="R437" s="181">
        <f t="shared" si="320"/>
        <v>145000</v>
      </c>
      <c r="S437" s="181">
        <f t="shared" si="320"/>
        <v>152000</v>
      </c>
      <c r="T437" s="307">
        <f t="shared" si="320"/>
        <v>244000</v>
      </c>
      <c r="U437" s="307">
        <f>U438+U440+U439</f>
        <v>167834.54</v>
      </c>
      <c r="V437" s="181">
        <f t="shared" si="320"/>
        <v>354000</v>
      </c>
      <c r="W437" s="181">
        <f t="shared" si="320"/>
        <v>354000</v>
      </c>
      <c r="X437" s="181">
        <f t="shared" si="320"/>
        <v>364000</v>
      </c>
      <c r="Y437" s="181">
        <f>Y438+Y440+Y439</f>
        <v>92551.74</v>
      </c>
      <c r="Z437" s="181">
        <f t="shared" si="305"/>
        <v>26.14</v>
      </c>
      <c r="AA437" s="181">
        <f t="shared" si="276"/>
        <v>-50000</v>
      </c>
      <c r="AB437" s="181">
        <f t="shared" ref="AB437:AI437" si="321">AB438+AB440+AB439</f>
        <v>304000</v>
      </c>
      <c r="AC437" s="181">
        <f t="shared" si="321"/>
        <v>199112.87</v>
      </c>
      <c r="AD437" s="181">
        <f t="shared" si="316"/>
        <v>65.497654605263151</v>
      </c>
      <c r="AE437" s="181">
        <f t="shared" si="319"/>
        <v>23100</v>
      </c>
      <c r="AF437" s="181">
        <f t="shared" si="321"/>
        <v>327100</v>
      </c>
      <c r="AG437" s="181">
        <f t="shared" si="321"/>
        <v>304000</v>
      </c>
      <c r="AH437" s="181">
        <f t="shared" si="321"/>
        <v>304000</v>
      </c>
      <c r="AI437" s="181">
        <f t="shared" si="321"/>
        <v>304000</v>
      </c>
      <c r="AJ437" s="162" t="b">
        <f t="shared" si="280"/>
        <v>1</v>
      </c>
      <c r="AK437" s="162" t="str">
        <f t="shared" si="281"/>
        <v>PRAZNO</v>
      </c>
      <c r="AM437" s="264"/>
    </row>
    <row r="438" spans="2:39" ht="15.75" x14ac:dyDescent="0.2">
      <c r="B438" s="177"/>
      <c r="C438" s="177"/>
      <c r="D438" s="177"/>
      <c r="E438" s="177">
        <v>3292</v>
      </c>
      <c r="F438" s="176">
        <v>11</v>
      </c>
      <c r="G438" s="176" t="s">
        <v>527</v>
      </c>
      <c r="H438" s="16" t="s">
        <v>399</v>
      </c>
      <c r="I438" s="18">
        <v>105000</v>
      </c>
      <c r="J438" s="178">
        <v>98399.16</v>
      </c>
      <c r="K438" s="178">
        <f t="shared" si="308"/>
        <v>93.71</v>
      </c>
      <c r="L438" s="178">
        <f t="shared" si="309"/>
        <v>2668.4799999999959</v>
      </c>
      <c r="M438" s="178">
        <v>107668.48</v>
      </c>
      <c r="N438" s="178">
        <v>180000</v>
      </c>
      <c r="O438" s="178">
        <v>87969.17</v>
      </c>
      <c r="P438" s="26">
        <f t="shared" ref="P438:P501" si="322">T438-N438</f>
        <v>40000</v>
      </c>
      <c r="Q438" s="178">
        <v>180000</v>
      </c>
      <c r="R438" s="178">
        <v>110000</v>
      </c>
      <c r="S438" s="178">
        <v>115000</v>
      </c>
      <c r="T438" s="266">
        <v>220000</v>
      </c>
      <c r="U438" s="266">
        <v>151848.17000000001</v>
      </c>
      <c r="V438" s="178">
        <v>330000</v>
      </c>
      <c r="W438" s="178">
        <v>330000</v>
      </c>
      <c r="X438" s="178">
        <v>340000</v>
      </c>
      <c r="Y438" s="178">
        <v>92384.24</v>
      </c>
      <c r="Z438" s="178">
        <f t="shared" si="305"/>
        <v>28</v>
      </c>
      <c r="AA438" s="178">
        <f t="shared" si="276"/>
        <v>-50000</v>
      </c>
      <c r="AB438" s="178">
        <v>280000</v>
      </c>
      <c r="AC438" s="178">
        <v>190847.87</v>
      </c>
      <c r="AD438" s="178">
        <f t="shared" si="316"/>
        <v>68.159953571428559</v>
      </c>
      <c r="AE438" s="178">
        <f t="shared" si="319"/>
        <v>23100</v>
      </c>
      <c r="AF438" s="178">
        <f>280000+2100+8000+4500+8500</f>
        <v>303100</v>
      </c>
      <c r="AG438" s="178">
        <v>280000</v>
      </c>
      <c r="AH438" s="178">
        <v>280000</v>
      </c>
      <c r="AI438" s="178">
        <v>280000</v>
      </c>
      <c r="AJ438" s="162" t="b">
        <f t="shared" si="280"/>
        <v>0</v>
      </c>
      <c r="AK438" s="162" t="str">
        <f t="shared" si="281"/>
        <v>PUNO</v>
      </c>
      <c r="AM438" s="264"/>
    </row>
    <row r="439" spans="2:39" ht="15.75" x14ac:dyDescent="0.2">
      <c r="B439" s="177"/>
      <c r="C439" s="177"/>
      <c r="D439" s="177"/>
      <c r="E439" s="177">
        <v>3295</v>
      </c>
      <c r="F439" s="176">
        <v>11</v>
      </c>
      <c r="G439" s="176"/>
      <c r="H439" s="16" t="s">
        <v>400</v>
      </c>
      <c r="I439" s="18">
        <v>9000</v>
      </c>
      <c r="J439" s="178">
        <v>3815.3</v>
      </c>
      <c r="K439" s="178">
        <f t="shared" si="308"/>
        <v>42.39</v>
      </c>
      <c r="L439" s="178">
        <f t="shared" si="309"/>
        <v>-4552.8500000000004</v>
      </c>
      <c r="M439" s="178">
        <v>4447.1499999999996</v>
      </c>
      <c r="N439" s="178">
        <v>9000</v>
      </c>
      <c r="O439" s="178">
        <v>5278.1</v>
      </c>
      <c r="P439" s="26">
        <f t="shared" si="322"/>
        <v>0</v>
      </c>
      <c r="Q439" s="178">
        <v>9000</v>
      </c>
      <c r="R439" s="178">
        <v>9000</v>
      </c>
      <c r="S439" s="178">
        <v>9000</v>
      </c>
      <c r="T439" s="266">
        <v>9000</v>
      </c>
      <c r="U439" s="266">
        <v>6695</v>
      </c>
      <c r="V439" s="266">
        <v>9000</v>
      </c>
      <c r="W439" s="266">
        <v>9000</v>
      </c>
      <c r="X439" s="266">
        <v>9000</v>
      </c>
      <c r="Y439" s="266">
        <v>47.5</v>
      </c>
      <c r="Z439" s="266">
        <f t="shared" si="305"/>
        <v>0.53</v>
      </c>
      <c r="AA439" s="266">
        <f t="shared" si="276"/>
        <v>0</v>
      </c>
      <c r="AB439" s="266">
        <v>9000</v>
      </c>
      <c r="AC439" s="266">
        <v>7210</v>
      </c>
      <c r="AD439" s="266">
        <f t="shared" si="316"/>
        <v>80.111111111111114</v>
      </c>
      <c r="AE439" s="266">
        <f t="shared" si="319"/>
        <v>1500</v>
      </c>
      <c r="AF439" s="266">
        <v>10500</v>
      </c>
      <c r="AG439" s="266">
        <v>9000</v>
      </c>
      <c r="AH439" s="266">
        <v>9000</v>
      </c>
      <c r="AI439" s="266">
        <v>9000</v>
      </c>
      <c r="AJ439" s="162" t="b">
        <f t="shared" si="280"/>
        <v>0</v>
      </c>
      <c r="AK439" s="162" t="str">
        <f t="shared" si="281"/>
        <v>PUNO</v>
      </c>
      <c r="AM439" s="264"/>
    </row>
    <row r="440" spans="2:39" ht="15.75" x14ac:dyDescent="0.2">
      <c r="B440" s="177"/>
      <c r="C440" s="177"/>
      <c r="D440" s="177"/>
      <c r="E440" s="177">
        <v>3299</v>
      </c>
      <c r="F440" s="176">
        <v>11</v>
      </c>
      <c r="G440" s="176" t="s">
        <v>527</v>
      </c>
      <c r="H440" s="16" t="s">
        <v>531</v>
      </c>
      <c r="I440" s="18">
        <v>10000</v>
      </c>
      <c r="J440" s="178">
        <v>7036.95</v>
      </c>
      <c r="K440" s="178">
        <f t="shared" si="308"/>
        <v>70.37</v>
      </c>
      <c r="L440" s="178">
        <f t="shared" si="309"/>
        <v>1595.5300000000007</v>
      </c>
      <c r="M440" s="178">
        <v>11595.53</v>
      </c>
      <c r="N440" s="178">
        <v>15000</v>
      </c>
      <c r="O440" s="178">
        <v>2686.21</v>
      </c>
      <c r="P440" s="26">
        <f t="shared" si="322"/>
        <v>0</v>
      </c>
      <c r="Q440" s="178">
        <v>15000</v>
      </c>
      <c r="R440" s="178">
        <v>26000</v>
      </c>
      <c r="S440" s="178">
        <v>28000</v>
      </c>
      <c r="T440" s="266">
        <v>15000</v>
      </c>
      <c r="U440" s="266">
        <v>9291.3700000000008</v>
      </c>
      <c r="V440" s="266">
        <v>15000</v>
      </c>
      <c r="W440" s="266">
        <v>15000</v>
      </c>
      <c r="X440" s="266">
        <v>15000</v>
      </c>
      <c r="Y440" s="266">
        <v>120</v>
      </c>
      <c r="Z440" s="266">
        <f t="shared" si="305"/>
        <v>0.8</v>
      </c>
      <c r="AA440" s="266">
        <f t="shared" si="276"/>
        <v>0</v>
      </c>
      <c r="AB440" s="266">
        <v>15000</v>
      </c>
      <c r="AC440" s="266">
        <v>1055</v>
      </c>
      <c r="AD440" s="266">
        <f t="shared" si="316"/>
        <v>7.0333333333333332</v>
      </c>
      <c r="AE440" s="266">
        <f t="shared" si="319"/>
        <v>-1500</v>
      </c>
      <c r="AF440" s="266">
        <v>13500</v>
      </c>
      <c r="AG440" s="266">
        <v>15000</v>
      </c>
      <c r="AH440" s="266">
        <v>15000</v>
      </c>
      <c r="AI440" s="266">
        <v>15000</v>
      </c>
      <c r="AJ440" s="162" t="b">
        <f t="shared" si="280"/>
        <v>0</v>
      </c>
      <c r="AK440" s="162" t="str">
        <f t="shared" si="281"/>
        <v>PUNO</v>
      </c>
      <c r="AM440" s="264"/>
    </row>
    <row r="441" spans="2:39" ht="15.75" x14ac:dyDescent="0.2">
      <c r="B441" s="175"/>
      <c r="C441" s="175">
        <v>34</v>
      </c>
      <c r="D441" s="175"/>
      <c r="E441" s="175"/>
      <c r="F441" s="175"/>
      <c r="G441" s="175"/>
      <c r="H441" s="15" t="s">
        <v>208</v>
      </c>
      <c r="I441" s="22" t="e">
        <f>#REF!+I442</f>
        <v>#REF!</v>
      </c>
      <c r="J441" s="183" t="e">
        <f>#REF!+J442</f>
        <v>#REF!</v>
      </c>
      <c r="K441" s="183" t="e">
        <f t="shared" si="308"/>
        <v>#REF!</v>
      </c>
      <c r="L441" s="183" t="e">
        <f t="shared" si="309"/>
        <v>#REF!</v>
      </c>
      <c r="M441" s="183" t="e">
        <f>#REF!+M442</f>
        <v>#REF!</v>
      </c>
      <c r="N441" s="183" t="e">
        <f>#REF!+N442</f>
        <v>#REF!</v>
      </c>
      <c r="O441" s="183" t="e">
        <f>#REF!+O442</f>
        <v>#REF!</v>
      </c>
      <c r="P441" s="26" t="e">
        <f t="shared" si="322"/>
        <v>#REF!</v>
      </c>
      <c r="Q441" s="183" t="e">
        <f>#REF!+Q442</f>
        <v>#REF!</v>
      </c>
      <c r="R441" s="183" t="e">
        <f>#REF!+R442</f>
        <v>#REF!</v>
      </c>
      <c r="S441" s="183" t="e">
        <f>#REF!+S442</f>
        <v>#REF!</v>
      </c>
      <c r="T441" s="183">
        <f t="shared" ref="T441:Y441" si="323">T442</f>
        <v>87000</v>
      </c>
      <c r="U441" s="183">
        <f t="shared" si="323"/>
        <v>91544.27</v>
      </c>
      <c r="V441" s="183">
        <f t="shared" si="323"/>
        <v>87000</v>
      </c>
      <c r="W441" s="183">
        <f t="shared" si="323"/>
        <v>87000</v>
      </c>
      <c r="X441" s="183">
        <f t="shared" si="323"/>
        <v>88000</v>
      </c>
      <c r="Y441" s="183">
        <f t="shared" si="323"/>
        <v>29258.05</v>
      </c>
      <c r="Z441" s="183">
        <f t="shared" si="305"/>
        <v>33.630000000000003</v>
      </c>
      <c r="AA441" s="183">
        <f t="shared" si="276"/>
        <v>0</v>
      </c>
      <c r="AB441" s="183">
        <f>AB442</f>
        <v>87000</v>
      </c>
      <c r="AC441" s="183">
        <f>AC442</f>
        <v>38704.550000000003</v>
      </c>
      <c r="AD441" s="183">
        <f t="shared" si="316"/>
        <v>44.487988505747126</v>
      </c>
      <c r="AE441" s="183">
        <f t="shared" si="319"/>
        <v>4000</v>
      </c>
      <c r="AF441" s="183">
        <f>AF442</f>
        <v>91000</v>
      </c>
      <c r="AG441" s="183">
        <f>AG442</f>
        <v>87000</v>
      </c>
      <c r="AH441" s="183">
        <f>AH442</f>
        <v>87000</v>
      </c>
      <c r="AI441" s="183">
        <f>AI442</f>
        <v>87000</v>
      </c>
      <c r="AJ441" s="162" t="b">
        <f t="shared" si="280"/>
        <v>1</v>
      </c>
      <c r="AK441" s="162" t="str">
        <f t="shared" si="281"/>
        <v>PRAZNO</v>
      </c>
      <c r="AM441" s="264"/>
    </row>
    <row r="442" spans="2:39" ht="15.75" x14ac:dyDescent="0.2">
      <c r="B442" s="177"/>
      <c r="C442" s="177"/>
      <c r="D442" s="177">
        <v>343</v>
      </c>
      <c r="E442" s="177"/>
      <c r="F442" s="177"/>
      <c r="G442" s="177"/>
      <c r="H442" s="16" t="s">
        <v>209</v>
      </c>
      <c r="I442" s="17">
        <f>SUM(I443:I445)</f>
        <v>110000</v>
      </c>
      <c r="J442" s="181">
        <f>SUM(J443:J445)</f>
        <v>27984.920000000002</v>
      </c>
      <c r="K442" s="181">
        <f t="shared" si="308"/>
        <v>25.44</v>
      </c>
      <c r="L442" s="181">
        <f t="shared" si="309"/>
        <v>-25862.540000000008</v>
      </c>
      <c r="M442" s="181">
        <f>SUM(M443:M445)</f>
        <v>84137.459999999992</v>
      </c>
      <c r="N442" s="181">
        <f>SUM(N443:N445)</f>
        <v>107000</v>
      </c>
      <c r="O442" s="181">
        <f>SUM(O443:O445)</f>
        <v>46302.93</v>
      </c>
      <c r="P442" s="26">
        <f t="shared" si="322"/>
        <v>-20000</v>
      </c>
      <c r="Q442" s="181">
        <f t="shared" ref="Q442:X442" si="324">SUM(Q443:Q445)</f>
        <v>107000</v>
      </c>
      <c r="R442" s="181">
        <f t="shared" si="324"/>
        <v>82000</v>
      </c>
      <c r="S442" s="181">
        <f t="shared" si="324"/>
        <v>87000</v>
      </c>
      <c r="T442" s="307">
        <f t="shared" si="324"/>
        <v>87000</v>
      </c>
      <c r="U442" s="307">
        <f>SUM(U443:U445)</f>
        <v>91544.27</v>
      </c>
      <c r="V442" s="181">
        <f t="shared" si="324"/>
        <v>87000</v>
      </c>
      <c r="W442" s="181">
        <f t="shared" si="324"/>
        <v>87000</v>
      </c>
      <c r="X442" s="181">
        <f t="shared" si="324"/>
        <v>88000</v>
      </c>
      <c r="Y442" s="181">
        <f>SUM(Y443:Y445)</f>
        <v>29258.05</v>
      </c>
      <c r="Z442" s="181">
        <f t="shared" si="305"/>
        <v>33.630000000000003</v>
      </c>
      <c r="AA442" s="181">
        <f t="shared" si="276"/>
        <v>0</v>
      </c>
      <c r="AB442" s="181">
        <f t="shared" ref="AB442:AG442" si="325">SUM(AB443:AB445)</f>
        <v>87000</v>
      </c>
      <c r="AC442" s="181">
        <f t="shared" si="325"/>
        <v>38704.550000000003</v>
      </c>
      <c r="AD442" s="181">
        <f t="shared" si="316"/>
        <v>44.487988505747126</v>
      </c>
      <c r="AE442" s="181">
        <f t="shared" si="319"/>
        <v>4000</v>
      </c>
      <c r="AF442" s="181">
        <f t="shared" si="325"/>
        <v>91000</v>
      </c>
      <c r="AG442" s="181">
        <f t="shared" si="325"/>
        <v>87000</v>
      </c>
      <c r="AH442" s="181">
        <f>SUM(AH443:AH445)</f>
        <v>87000</v>
      </c>
      <c r="AI442" s="181">
        <f>SUM(AI443:AI445)</f>
        <v>87000</v>
      </c>
      <c r="AJ442" s="162" t="b">
        <f t="shared" si="280"/>
        <v>1</v>
      </c>
      <c r="AK442" s="162" t="str">
        <f t="shared" si="281"/>
        <v>PRAZNO</v>
      </c>
      <c r="AM442" s="264"/>
    </row>
    <row r="443" spans="2:39" ht="15.75" x14ac:dyDescent="0.2">
      <c r="B443" s="177"/>
      <c r="C443" s="177"/>
      <c r="D443" s="177"/>
      <c r="E443" s="177">
        <v>3431</v>
      </c>
      <c r="F443" s="176">
        <v>11</v>
      </c>
      <c r="G443" s="176" t="s">
        <v>527</v>
      </c>
      <c r="H443" s="16" t="s">
        <v>211</v>
      </c>
      <c r="I443" s="18">
        <v>100000</v>
      </c>
      <c r="J443" s="178">
        <v>26935.02</v>
      </c>
      <c r="K443" s="178">
        <f t="shared" si="308"/>
        <v>26.94</v>
      </c>
      <c r="L443" s="178">
        <f t="shared" si="309"/>
        <v>-31939.130000000005</v>
      </c>
      <c r="M443" s="178">
        <v>68060.87</v>
      </c>
      <c r="N443" s="178">
        <v>70000</v>
      </c>
      <c r="O443" s="178">
        <v>17488.650000000001</v>
      </c>
      <c r="P443" s="26">
        <f t="shared" si="322"/>
        <v>-30000</v>
      </c>
      <c r="Q443" s="178">
        <v>70000</v>
      </c>
      <c r="R443" s="178">
        <v>70000</v>
      </c>
      <c r="S443" s="178">
        <v>73000</v>
      </c>
      <c r="T443" s="266">
        <v>40000</v>
      </c>
      <c r="U443" s="266">
        <v>62395.26</v>
      </c>
      <c r="V443" s="266">
        <v>40000</v>
      </c>
      <c r="W443" s="266">
        <v>40000</v>
      </c>
      <c r="X443" s="266">
        <v>40000</v>
      </c>
      <c r="Y443" s="266">
        <v>7690.32</v>
      </c>
      <c r="Z443" s="266">
        <f t="shared" si="305"/>
        <v>19.23</v>
      </c>
      <c r="AA443" s="266">
        <f t="shared" si="276"/>
        <v>0</v>
      </c>
      <c r="AB443" s="266">
        <v>40000</v>
      </c>
      <c r="AC443" s="266">
        <v>17121.88</v>
      </c>
      <c r="AD443" s="266">
        <f t="shared" si="316"/>
        <v>42.804700000000004</v>
      </c>
      <c r="AE443" s="266">
        <f t="shared" si="319"/>
        <v>0</v>
      </c>
      <c r="AF443" s="266">
        <v>40000</v>
      </c>
      <c r="AG443" s="266">
        <v>40000</v>
      </c>
      <c r="AH443" s="266">
        <v>40000</v>
      </c>
      <c r="AI443" s="266">
        <v>40000</v>
      </c>
      <c r="AJ443" s="162" t="b">
        <f t="shared" si="280"/>
        <v>0</v>
      </c>
      <c r="AK443" s="162" t="str">
        <f t="shared" si="281"/>
        <v>PUNO</v>
      </c>
      <c r="AM443" s="264"/>
    </row>
    <row r="444" spans="2:39" ht="15.75" x14ac:dyDescent="0.2">
      <c r="B444" s="177"/>
      <c r="C444" s="177"/>
      <c r="D444" s="177"/>
      <c r="E444" s="177">
        <v>3433</v>
      </c>
      <c r="F444" s="176">
        <v>11</v>
      </c>
      <c r="G444" s="176"/>
      <c r="H444" s="16" t="s">
        <v>402</v>
      </c>
      <c r="I444" s="18">
        <v>5000</v>
      </c>
      <c r="J444" s="178">
        <v>40.97</v>
      </c>
      <c r="K444" s="178">
        <f t="shared" si="308"/>
        <v>0.82</v>
      </c>
      <c r="L444" s="178">
        <f t="shared" si="309"/>
        <v>-4939.91</v>
      </c>
      <c r="M444" s="178">
        <v>60.09</v>
      </c>
      <c r="N444" s="178">
        <v>2000</v>
      </c>
      <c r="O444" s="178">
        <v>56.82</v>
      </c>
      <c r="P444" s="26">
        <f t="shared" si="322"/>
        <v>0</v>
      </c>
      <c r="Q444" s="178">
        <v>2000</v>
      </c>
      <c r="R444" s="178">
        <v>2000</v>
      </c>
      <c r="S444" s="178">
        <v>2000</v>
      </c>
      <c r="T444" s="266">
        <v>2000</v>
      </c>
      <c r="U444" s="266">
        <v>391.55</v>
      </c>
      <c r="V444" s="266">
        <v>2000</v>
      </c>
      <c r="W444" s="266">
        <v>2000</v>
      </c>
      <c r="X444" s="266">
        <v>2000</v>
      </c>
      <c r="Y444" s="266">
        <v>0</v>
      </c>
      <c r="Z444" s="266">
        <f t="shared" si="305"/>
        <v>0</v>
      </c>
      <c r="AA444" s="266">
        <f t="shared" si="276"/>
        <v>0</v>
      </c>
      <c r="AB444" s="266">
        <v>2000</v>
      </c>
      <c r="AC444" s="266">
        <v>0</v>
      </c>
      <c r="AD444" s="266">
        <f t="shared" si="316"/>
        <v>0</v>
      </c>
      <c r="AE444" s="266">
        <f t="shared" si="319"/>
        <v>0</v>
      </c>
      <c r="AF444" s="266">
        <v>2000</v>
      </c>
      <c r="AG444" s="266">
        <v>2000</v>
      </c>
      <c r="AH444" s="266">
        <v>2000</v>
      </c>
      <c r="AI444" s="266">
        <v>2000</v>
      </c>
      <c r="AJ444" s="162" t="b">
        <f t="shared" si="280"/>
        <v>0</v>
      </c>
      <c r="AK444" s="162" t="str">
        <f t="shared" si="281"/>
        <v>PUNO</v>
      </c>
      <c r="AM444" s="264"/>
    </row>
    <row r="445" spans="2:39" ht="15.75" x14ac:dyDescent="0.2">
      <c r="B445" s="177"/>
      <c r="C445" s="177"/>
      <c r="D445" s="177"/>
      <c r="E445" s="177">
        <v>3434</v>
      </c>
      <c r="F445" s="176">
        <v>11</v>
      </c>
      <c r="G445" s="176" t="s">
        <v>527</v>
      </c>
      <c r="H445" s="16" t="s">
        <v>403</v>
      </c>
      <c r="I445" s="18">
        <v>5000</v>
      </c>
      <c r="J445" s="178">
        <v>1008.93</v>
      </c>
      <c r="K445" s="178">
        <f t="shared" si="308"/>
        <v>20.18</v>
      </c>
      <c r="L445" s="178">
        <f t="shared" si="309"/>
        <v>11016.5</v>
      </c>
      <c r="M445" s="178">
        <v>16016.5</v>
      </c>
      <c r="N445" s="178">
        <v>35000</v>
      </c>
      <c r="O445" s="178">
        <v>28757.46</v>
      </c>
      <c r="P445" s="26">
        <f t="shared" si="322"/>
        <v>10000</v>
      </c>
      <c r="Q445" s="178">
        <v>35000</v>
      </c>
      <c r="R445" s="178">
        <v>10000</v>
      </c>
      <c r="S445" s="178">
        <v>12000</v>
      </c>
      <c r="T445" s="266">
        <v>45000</v>
      </c>
      <c r="U445" s="266">
        <v>28757.46</v>
      </c>
      <c r="V445" s="266">
        <v>45000</v>
      </c>
      <c r="W445" s="266">
        <v>45000</v>
      </c>
      <c r="X445" s="178">
        <v>46000</v>
      </c>
      <c r="Y445" s="266">
        <v>21567.73</v>
      </c>
      <c r="Z445" s="266">
        <f t="shared" si="305"/>
        <v>47.93</v>
      </c>
      <c r="AA445" s="266">
        <f t="shared" si="276"/>
        <v>0</v>
      </c>
      <c r="AB445" s="266">
        <v>45000</v>
      </c>
      <c r="AC445" s="266">
        <v>21582.67</v>
      </c>
      <c r="AD445" s="266">
        <f t="shared" si="316"/>
        <v>47.961488888888887</v>
      </c>
      <c r="AE445" s="266">
        <f t="shared" si="319"/>
        <v>4000</v>
      </c>
      <c r="AF445" s="266">
        <f>45000+4000</f>
        <v>49000</v>
      </c>
      <c r="AG445" s="266">
        <v>45000</v>
      </c>
      <c r="AH445" s="266">
        <v>45000</v>
      </c>
      <c r="AI445" s="266">
        <v>45000</v>
      </c>
      <c r="AJ445" s="162" t="b">
        <f t="shared" si="280"/>
        <v>0</v>
      </c>
      <c r="AK445" s="162" t="str">
        <f t="shared" si="281"/>
        <v>PUNO</v>
      </c>
      <c r="AM445" s="264"/>
    </row>
    <row r="446" spans="2:39" ht="30" x14ac:dyDescent="0.2">
      <c r="B446" s="177"/>
      <c r="C446" s="177">
        <v>37</v>
      </c>
      <c r="D446" s="177"/>
      <c r="E446" s="177"/>
      <c r="F446" s="177"/>
      <c r="G446" s="177"/>
      <c r="H446" s="16" t="s">
        <v>410</v>
      </c>
      <c r="I446" s="18">
        <f t="shared" ref="I446:AI447" si="326">I447</f>
        <v>5000</v>
      </c>
      <c r="J446" s="178">
        <f t="shared" si="326"/>
        <v>4000</v>
      </c>
      <c r="K446" s="178">
        <f t="shared" si="308"/>
        <v>80</v>
      </c>
      <c r="L446" s="178">
        <f t="shared" si="309"/>
        <v>7150</v>
      </c>
      <c r="M446" s="178">
        <f>M447</f>
        <v>12150</v>
      </c>
      <c r="N446" s="178">
        <f t="shared" si="326"/>
        <v>12000</v>
      </c>
      <c r="O446" s="178">
        <f t="shared" si="326"/>
        <v>3400</v>
      </c>
      <c r="P446" s="26">
        <f t="shared" si="322"/>
        <v>-6000</v>
      </c>
      <c r="Q446" s="178">
        <f t="shared" si="326"/>
        <v>12000</v>
      </c>
      <c r="R446" s="178">
        <f t="shared" si="326"/>
        <v>17000</v>
      </c>
      <c r="S446" s="178">
        <f t="shared" si="326"/>
        <v>17000</v>
      </c>
      <c r="T446" s="266">
        <f t="shared" si="326"/>
        <v>6000</v>
      </c>
      <c r="U446" s="266">
        <f t="shared" si="326"/>
        <v>3400</v>
      </c>
      <c r="V446" s="178">
        <f t="shared" si="326"/>
        <v>10000</v>
      </c>
      <c r="W446" s="178">
        <f t="shared" si="326"/>
        <v>10000</v>
      </c>
      <c r="X446" s="178">
        <f t="shared" si="326"/>
        <v>10000</v>
      </c>
      <c r="Y446" s="178">
        <f t="shared" si="326"/>
        <v>0</v>
      </c>
      <c r="Z446" s="178">
        <f t="shared" si="305"/>
        <v>0</v>
      </c>
      <c r="AA446" s="178">
        <f t="shared" si="276"/>
        <v>0</v>
      </c>
      <c r="AB446" s="178">
        <f t="shared" si="326"/>
        <v>10000</v>
      </c>
      <c r="AC446" s="178">
        <f t="shared" si="326"/>
        <v>1400</v>
      </c>
      <c r="AD446" s="178">
        <f t="shared" si="316"/>
        <v>14.000000000000002</v>
      </c>
      <c r="AE446" s="178">
        <f t="shared" si="319"/>
        <v>0</v>
      </c>
      <c r="AF446" s="178">
        <f t="shared" si="326"/>
        <v>10000</v>
      </c>
      <c r="AG446" s="178">
        <f t="shared" si="326"/>
        <v>10000</v>
      </c>
      <c r="AH446" s="178">
        <f t="shared" si="326"/>
        <v>10000</v>
      </c>
      <c r="AI446" s="178">
        <f t="shared" si="326"/>
        <v>10000</v>
      </c>
      <c r="AJ446" s="162" t="b">
        <f t="shared" si="280"/>
        <v>1</v>
      </c>
      <c r="AK446" s="162" t="str">
        <f t="shared" si="281"/>
        <v>PRAZNO</v>
      </c>
      <c r="AM446" s="264"/>
    </row>
    <row r="447" spans="2:39" ht="21.75" customHeight="1" x14ac:dyDescent="0.2">
      <c r="B447" s="177"/>
      <c r="C447" s="177"/>
      <c r="D447" s="177">
        <v>372</v>
      </c>
      <c r="E447" s="177"/>
      <c r="F447" s="177"/>
      <c r="G447" s="177"/>
      <c r="H447" s="16" t="s">
        <v>411</v>
      </c>
      <c r="I447" s="18">
        <f t="shared" si="326"/>
        <v>5000</v>
      </c>
      <c r="J447" s="178">
        <f t="shared" si="326"/>
        <v>4000</v>
      </c>
      <c r="K447" s="178">
        <f t="shared" si="308"/>
        <v>80</v>
      </c>
      <c r="L447" s="178">
        <f t="shared" si="309"/>
        <v>7150</v>
      </c>
      <c r="M447" s="178">
        <f>M448</f>
        <v>12150</v>
      </c>
      <c r="N447" s="178">
        <f t="shared" si="326"/>
        <v>12000</v>
      </c>
      <c r="O447" s="178">
        <f t="shared" si="326"/>
        <v>3400</v>
      </c>
      <c r="P447" s="26">
        <f t="shared" si="322"/>
        <v>-6000</v>
      </c>
      <c r="Q447" s="178">
        <f t="shared" si="326"/>
        <v>12000</v>
      </c>
      <c r="R447" s="178">
        <f t="shared" si="326"/>
        <v>17000</v>
      </c>
      <c r="S447" s="178">
        <f t="shared" si="326"/>
        <v>17000</v>
      </c>
      <c r="T447" s="266">
        <f t="shared" si="326"/>
        <v>6000</v>
      </c>
      <c r="U447" s="266">
        <f t="shared" si="326"/>
        <v>3400</v>
      </c>
      <c r="V447" s="178">
        <f t="shared" si="326"/>
        <v>10000</v>
      </c>
      <c r="W447" s="178">
        <f t="shared" si="326"/>
        <v>10000</v>
      </c>
      <c r="X447" s="178">
        <f t="shared" si="326"/>
        <v>10000</v>
      </c>
      <c r="Y447" s="178">
        <f t="shared" si="326"/>
        <v>0</v>
      </c>
      <c r="Z447" s="178">
        <f t="shared" si="305"/>
        <v>0</v>
      </c>
      <c r="AA447" s="178">
        <f t="shared" si="276"/>
        <v>0</v>
      </c>
      <c r="AB447" s="178">
        <f t="shared" si="326"/>
        <v>10000</v>
      </c>
      <c r="AC447" s="178">
        <f t="shared" si="326"/>
        <v>1400</v>
      </c>
      <c r="AD447" s="178">
        <f t="shared" si="316"/>
        <v>14.000000000000002</v>
      </c>
      <c r="AE447" s="178">
        <f t="shared" si="319"/>
        <v>0</v>
      </c>
      <c r="AF447" s="178">
        <f t="shared" si="326"/>
        <v>10000</v>
      </c>
      <c r="AG447" s="178">
        <f t="shared" si="326"/>
        <v>10000</v>
      </c>
      <c r="AH447" s="178">
        <f t="shared" si="326"/>
        <v>10000</v>
      </c>
      <c r="AI447" s="178">
        <f t="shared" si="326"/>
        <v>10000</v>
      </c>
      <c r="AJ447" s="162" t="b">
        <f t="shared" si="280"/>
        <v>1</v>
      </c>
      <c r="AK447" s="162" t="str">
        <f t="shared" si="281"/>
        <v>PRAZNO</v>
      </c>
      <c r="AM447" s="264"/>
    </row>
    <row r="448" spans="2:39" ht="15.75" x14ac:dyDescent="0.2">
      <c r="B448" s="177"/>
      <c r="C448" s="177"/>
      <c r="D448" s="177"/>
      <c r="E448" s="177">
        <v>3721</v>
      </c>
      <c r="F448" s="176">
        <v>11</v>
      </c>
      <c r="G448" s="176" t="s">
        <v>527</v>
      </c>
      <c r="H448" s="16" t="s">
        <v>412</v>
      </c>
      <c r="I448" s="18">
        <v>5000</v>
      </c>
      <c r="J448" s="178">
        <v>4000</v>
      </c>
      <c r="K448" s="178">
        <f t="shared" si="308"/>
        <v>80</v>
      </c>
      <c r="L448" s="178">
        <f t="shared" si="309"/>
        <v>7150</v>
      </c>
      <c r="M448" s="178">
        <v>12150</v>
      </c>
      <c r="N448" s="178">
        <v>12000</v>
      </c>
      <c r="O448" s="178">
        <v>3400</v>
      </c>
      <c r="P448" s="26">
        <f t="shared" si="322"/>
        <v>-6000</v>
      </c>
      <c r="Q448" s="178">
        <v>12000</v>
      </c>
      <c r="R448" s="178">
        <v>17000</v>
      </c>
      <c r="S448" s="178">
        <v>17000</v>
      </c>
      <c r="T448" s="266">
        <v>6000</v>
      </c>
      <c r="U448" s="266">
        <v>3400</v>
      </c>
      <c r="V448" s="178">
        <v>10000</v>
      </c>
      <c r="W448" s="178">
        <v>10000</v>
      </c>
      <c r="X448" s="178">
        <v>10000</v>
      </c>
      <c r="Y448" s="178">
        <v>0</v>
      </c>
      <c r="Z448" s="178">
        <f t="shared" si="305"/>
        <v>0</v>
      </c>
      <c r="AA448" s="178">
        <f t="shared" si="276"/>
        <v>0</v>
      </c>
      <c r="AB448" s="178">
        <v>10000</v>
      </c>
      <c r="AC448" s="178">
        <v>1400</v>
      </c>
      <c r="AD448" s="178">
        <f t="shared" si="316"/>
        <v>14.000000000000002</v>
      </c>
      <c r="AE448" s="178">
        <f t="shared" si="319"/>
        <v>0</v>
      </c>
      <c r="AF448" s="178">
        <v>10000</v>
      </c>
      <c r="AG448" s="178">
        <v>10000</v>
      </c>
      <c r="AH448" s="178">
        <v>10000</v>
      </c>
      <c r="AI448" s="178">
        <v>10000</v>
      </c>
      <c r="AJ448" s="162" t="b">
        <f t="shared" si="280"/>
        <v>0</v>
      </c>
      <c r="AK448" s="162" t="str">
        <f t="shared" si="281"/>
        <v>PUNO</v>
      </c>
      <c r="AM448" s="264"/>
    </row>
    <row r="449" spans="1:39" s="171" customFormat="1" ht="31.5" x14ac:dyDescent="0.2">
      <c r="A449" s="259"/>
      <c r="B449" s="168"/>
      <c r="C449" s="168"/>
      <c r="D449" s="168"/>
      <c r="E449" s="168"/>
      <c r="F449" s="168"/>
      <c r="G449" s="168"/>
      <c r="H449" s="12" t="s">
        <v>153</v>
      </c>
      <c r="I449" s="169" t="e">
        <f>I451</f>
        <v>#REF!</v>
      </c>
      <c r="J449" s="169" t="e">
        <f>J451</f>
        <v>#REF!</v>
      </c>
      <c r="K449" s="169" t="e">
        <f t="shared" si="308"/>
        <v>#REF!</v>
      </c>
      <c r="L449" s="169" t="e">
        <f t="shared" si="309"/>
        <v>#REF!</v>
      </c>
      <c r="M449" s="19" t="e">
        <f>M451</f>
        <v>#REF!</v>
      </c>
      <c r="N449" s="19" t="e">
        <f>N451</f>
        <v>#REF!</v>
      </c>
      <c r="O449" s="19" t="e">
        <f>O451</f>
        <v>#REF!</v>
      </c>
      <c r="P449" s="303" t="e">
        <f t="shared" si="322"/>
        <v>#REF!</v>
      </c>
      <c r="Q449" s="19" t="e">
        <f t="shared" ref="Q449:X449" si="327">Q451</f>
        <v>#REF!</v>
      </c>
      <c r="R449" s="19" t="e">
        <f t="shared" si="327"/>
        <v>#REF!</v>
      </c>
      <c r="S449" s="19" t="e">
        <f t="shared" si="327"/>
        <v>#REF!</v>
      </c>
      <c r="T449" s="19">
        <f t="shared" si="327"/>
        <v>34000</v>
      </c>
      <c r="U449" s="19">
        <f>U451</f>
        <v>27258.73</v>
      </c>
      <c r="V449" s="19">
        <f t="shared" si="327"/>
        <v>24000</v>
      </c>
      <c r="W449" s="19">
        <f t="shared" si="327"/>
        <v>24000</v>
      </c>
      <c r="X449" s="19">
        <f t="shared" si="327"/>
        <v>35000</v>
      </c>
      <c r="Y449" s="19">
        <f>Y451</f>
        <v>0</v>
      </c>
      <c r="Z449" s="19">
        <f t="shared" si="305"/>
        <v>0</v>
      </c>
      <c r="AA449" s="19">
        <f t="shared" si="276"/>
        <v>12400</v>
      </c>
      <c r="AB449" s="19">
        <f t="shared" ref="AB449:AG449" si="328">AB451</f>
        <v>36400</v>
      </c>
      <c r="AC449" s="19">
        <f t="shared" si="328"/>
        <v>22510.760000000002</v>
      </c>
      <c r="AD449" s="19">
        <f t="shared" si="316"/>
        <v>61.842747252747252</v>
      </c>
      <c r="AE449" s="19">
        <f t="shared" si="319"/>
        <v>13000</v>
      </c>
      <c r="AF449" s="19">
        <f t="shared" si="328"/>
        <v>49400</v>
      </c>
      <c r="AG449" s="19">
        <f t="shared" si="328"/>
        <v>35000</v>
      </c>
      <c r="AH449" s="19">
        <f>AH451</f>
        <v>27000</v>
      </c>
      <c r="AI449" s="19">
        <f>AI451</f>
        <v>27000</v>
      </c>
      <c r="AJ449" s="162" t="b">
        <f t="shared" si="280"/>
        <v>1</v>
      </c>
      <c r="AK449" s="162" t="str">
        <f t="shared" si="281"/>
        <v>PRAZNO</v>
      </c>
      <c r="AL449" s="170"/>
      <c r="AM449" s="264"/>
    </row>
    <row r="450" spans="1:39" s="264" customFormat="1" ht="15.75" x14ac:dyDescent="0.2">
      <c r="A450" s="259"/>
      <c r="B450" s="260"/>
      <c r="C450" s="260"/>
      <c r="D450" s="260"/>
      <c r="E450" s="260"/>
      <c r="F450" s="260"/>
      <c r="G450" s="260"/>
      <c r="H450" s="441" t="s">
        <v>824</v>
      </c>
      <c r="I450" s="181"/>
      <c r="J450" s="181"/>
      <c r="K450" s="181"/>
      <c r="L450" s="181"/>
      <c r="M450" s="262"/>
      <c r="N450" s="262"/>
      <c r="O450" s="262"/>
      <c r="P450" s="445"/>
      <c r="Q450" s="262"/>
      <c r="R450" s="262"/>
      <c r="S450" s="262"/>
      <c r="T450" s="262">
        <f t="shared" ref="T450:Y451" si="329">T451</f>
        <v>34000</v>
      </c>
      <c r="U450" s="262">
        <f t="shared" si="329"/>
        <v>27258.73</v>
      </c>
      <c r="V450" s="262">
        <f t="shared" si="329"/>
        <v>24000</v>
      </c>
      <c r="W450" s="262">
        <f t="shared" si="329"/>
        <v>24000</v>
      </c>
      <c r="X450" s="262">
        <f t="shared" si="329"/>
        <v>35000</v>
      </c>
      <c r="Y450" s="262">
        <f t="shared" si="329"/>
        <v>0</v>
      </c>
      <c r="Z450" s="262">
        <f t="shared" si="305"/>
        <v>0</v>
      </c>
      <c r="AA450" s="262">
        <f t="shared" si="276"/>
        <v>12400</v>
      </c>
      <c r="AB450" s="262">
        <f t="shared" ref="AB450:AI451" si="330">AB451</f>
        <v>36400</v>
      </c>
      <c r="AC450" s="262">
        <f t="shared" si="330"/>
        <v>22510.760000000002</v>
      </c>
      <c r="AD450" s="262">
        <f t="shared" si="316"/>
        <v>61.842747252747252</v>
      </c>
      <c r="AE450" s="262">
        <f t="shared" si="319"/>
        <v>13000</v>
      </c>
      <c r="AF450" s="262">
        <f t="shared" si="330"/>
        <v>49400</v>
      </c>
      <c r="AG450" s="262">
        <f t="shared" si="330"/>
        <v>35000</v>
      </c>
      <c r="AH450" s="262">
        <f t="shared" si="330"/>
        <v>27000</v>
      </c>
      <c r="AI450" s="262">
        <f t="shared" si="330"/>
        <v>27000</v>
      </c>
      <c r="AJ450" s="162" t="b">
        <f t="shared" si="280"/>
        <v>1</v>
      </c>
      <c r="AK450" s="162" t="str">
        <f t="shared" si="281"/>
        <v>PRAZNO</v>
      </c>
      <c r="AL450" s="263"/>
    </row>
    <row r="451" spans="1:39" s="174" customFormat="1" ht="15.75" x14ac:dyDescent="0.2">
      <c r="A451" s="259"/>
      <c r="B451" s="172">
        <v>4</v>
      </c>
      <c r="C451" s="172"/>
      <c r="D451" s="172"/>
      <c r="E451" s="172"/>
      <c r="F451" s="172"/>
      <c r="G451" s="172"/>
      <c r="H451" s="14" t="s">
        <v>552</v>
      </c>
      <c r="I451" s="20" t="e">
        <f>I452</f>
        <v>#REF!</v>
      </c>
      <c r="J451" s="20" t="e">
        <f>J452</f>
        <v>#REF!</v>
      </c>
      <c r="K451" s="20" t="e">
        <f t="shared" si="308"/>
        <v>#REF!</v>
      </c>
      <c r="L451" s="20" t="e">
        <f t="shared" si="309"/>
        <v>#REF!</v>
      </c>
      <c r="M451" s="20" t="e">
        <f>M452</f>
        <v>#REF!</v>
      </c>
      <c r="N451" s="20" t="e">
        <f>N452</f>
        <v>#REF!</v>
      </c>
      <c r="O451" s="20" t="e">
        <f>O452</f>
        <v>#REF!</v>
      </c>
      <c r="P451" s="55" t="e">
        <f t="shared" si="322"/>
        <v>#REF!</v>
      </c>
      <c r="Q451" s="20" t="e">
        <f>Q452</f>
        <v>#REF!</v>
      </c>
      <c r="R451" s="20" t="e">
        <f>R452</f>
        <v>#REF!</v>
      </c>
      <c r="S451" s="20" t="e">
        <f>S452</f>
        <v>#REF!</v>
      </c>
      <c r="T451" s="20">
        <f t="shared" si="329"/>
        <v>34000</v>
      </c>
      <c r="U451" s="20">
        <f t="shared" si="329"/>
        <v>27258.73</v>
      </c>
      <c r="V451" s="20">
        <f t="shared" si="329"/>
        <v>24000</v>
      </c>
      <c r="W451" s="20">
        <f t="shared" si="329"/>
        <v>24000</v>
      </c>
      <c r="X451" s="20">
        <f t="shared" si="329"/>
        <v>35000</v>
      </c>
      <c r="Y451" s="20">
        <f t="shared" si="329"/>
        <v>0</v>
      </c>
      <c r="Z451" s="20">
        <f t="shared" si="305"/>
        <v>0</v>
      </c>
      <c r="AA451" s="20">
        <f t="shared" si="276"/>
        <v>12400</v>
      </c>
      <c r="AB451" s="20">
        <f>AB452</f>
        <v>36400</v>
      </c>
      <c r="AC451" s="20">
        <f>AC452</f>
        <v>22510.760000000002</v>
      </c>
      <c r="AD451" s="20">
        <f t="shared" si="316"/>
        <v>61.842747252747252</v>
      </c>
      <c r="AE451" s="20">
        <f t="shared" si="319"/>
        <v>13000</v>
      </c>
      <c r="AF451" s="20">
        <f>AF452</f>
        <v>49400</v>
      </c>
      <c r="AG451" s="20">
        <f>AG452</f>
        <v>35000</v>
      </c>
      <c r="AH451" s="20">
        <f t="shared" si="330"/>
        <v>27000</v>
      </c>
      <c r="AI451" s="20">
        <f t="shared" si="330"/>
        <v>27000</v>
      </c>
      <c r="AJ451" s="162" t="b">
        <f t="shared" si="280"/>
        <v>1</v>
      </c>
      <c r="AK451" s="162" t="str">
        <f t="shared" si="281"/>
        <v>PRAZNO</v>
      </c>
      <c r="AL451" s="173"/>
      <c r="AM451" s="264"/>
    </row>
    <row r="452" spans="1:39" ht="18" customHeight="1" x14ac:dyDescent="0.2">
      <c r="B452" s="175"/>
      <c r="C452" s="175">
        <v>42</v>
      </c>
      <c r="D452" s="175"/>
      <c r="E452" s="175"/>
      <c r="F452" s="175"/>
      <c r="G452" s="175"/>
      <c r="H452" s="15" t="s">
        <v>212</v>
      </c>
      <c r="I452" s="22" t="e">
        <f>I453+#REF!</f>
        <v>#REF!</v>
      </c>
      <c r="J452" s="22" t="e">
        <f>J453+#REF!</f>
        <v>#REF!</v>
      </c>
      <c r="K452" s="22" t="e">
        <f t="shared" si="308"/>
        <v>#REF!</v>
      </c>
      <c r="L452" s="22" t="e">
        <f t="shared" si="309"/>
        <v>#REF!</v>
      </c>
      <c r="M452" s="22" t="e">
        <f>M453+#REF!</f>
        <v>#REF!</v>
      </c>
      <c r="N452" s="22" t="e">
        <f>N453+#REF!</f>
        <v>#REF!</v>
      </c>
      <c r="O452" s="22" t="e">
        <f>O453+#REF!</f>
        <v>#REF!</v>
      </c>
      <c r="P452" s="26" t="e">
        <f t="shared" si="322"/>
        <v>#REF!</v>
      </c>
      <c r="Q452" s="22" t="e">
        <f>Q453+#REF!</f>
        <v>#REF!</v>
      </c>
      <c r="R452" s="22" t="e">
        <f>R453+#REF!</f>
        <v>#REF!</v>
      </c>
      <c r="S452" s="22" t="e">
        <f>S453+#REF!</f>
        <v>#REF!</v>
      </c>
      <c r="T452" s="22">
        <f>T453+T456</f>
        <v>34000</v>
      </c>
      <c r="U452" s="22">
        <f>U453+U456</f>
        <v>27258.73</v>
      </c>
      <c r="V452" s="22">
        <f>V453</f>
        <v>24000</v>
      </c>
      <c r="W452" s="22">
        <f>W453</f>
        <v>24000</v>
      </c>
      <c r="X452" s="22">
        <f>X453</f>
        <v>35000</v>
      </c>
      <c r="Y452" s="22">
        <f>Y453</f>
        <v>0</v>
      </c>
      <c r="Z452" s="22">
        <f t="shared" si="305"/>
        <v>0</v>
      </c>
      <c r="AA452" s="22">
        <f t="shared" ref="AA452:AA515" si="331">AB452-V452</f>
        <v>12400</v>
      </c>
      <c r="AB452" s="22">
        <f>AB453+AB456</f>
        <v>36400</v>
      </c>
      <c r="AC452" s="22">
        <f>AC453+AC456</f>
        <v>22510.760000000002</v>
      </c>
      <c r="AD452" s="22">
        <f t="shared" si="316"/>
        <v>61.842747252747252</v>
      </c>
      <c r="AE452" s="22">
        <f t="shared" si="319"/>
        <v>13000</v>
      </c>
      <c r="AF452" s="22">
        <f>AF453+AF456</f>
        <v>49400</v>
      </c>
      <c r="AG452" s="22">
        <f>AG453+AG456</f>
        <v>35000</v>
      </c>
      <c r="AH452" s="22">
        <f>AH453+AH456</f>
        <v>27000</v>
      </c>
      <c r="AI452" s="22">
        <f>AI453+AI456</f>
        <v>27000</v>
      </c>
      <c r="AJ452" s="162" t="b">
        <f t="shared" si="280"/>
        <v>1</v>
      </c>
      <c r="AK452" s="162" t="str">
        <f t="shared" si="281"/>
        <v>PRAZNO</v>
      </c>
      <c r="AM452" s="264"/>
    </row>
    <row r="453" spans="1:39" ht="15.75" x14ac:dyDescent="0.2">
      <c r="B453" s="177"/>
      <c r="C453" s="177"/>
      <c r="D453" s="177">
        <v>422</v>
      </c>
      <c r="E453" s="177"/>
      <c r="F453" s="177"/>
      <c r="G453" s="177"/>
      <c r="H453" s="16" t="s">
        <v>555</v>
      </c>
      <c r="I453" s="17">
        <f>SUM(I454:I455)</f>
        <v>15000</v>
      </c>
      <c r="J453" s="17">
        <f>SUM(J454:J455)</f>
        <v>13495.51</v>
      </c>
      <c r="K453" s="17">
        <f t="shared" si="308"/>
        <v>89.97</v>
      </c>
      <c r="L453" s="17">
        <f t="shared" si="309"/>
        <v>-1504.4899999999998</v>
      </c>
      <c r="M453" s="17">
        <f>SUM(M454:M455)</f>
        <v>13495.51</v>
      </c>
      <c r="N453" s="17">
        <f>SUM(N454:N455)</f>
        <v>34000</v>
      </c>
      <c r="O453" s="17">
        <f>SUM(O454:O455)</f>
        <v>12799.83</v>
      </c>
      <c r="P453" s="26">
        <f t="shared" si="322"/>
        <v>0</v>
      </c>
      <c r="Q453" s="17">
        <f t="shared" ref="Q453:X453" si="332">SUM(Q454:Q455)</f>
        <v>34000</v>
      </c>
      <c r="R453" s="17">
        <f t="shared" si="332"/>
        <v>26000</v>
      </c>
      <c r="S453" s="17">
        <f t="shared" si="332"/>
        <v>25000</v>
      </c>
      <c r="T453" s="26">
        <f t="shared" si="332"/>
        <v>34000</v>
      </c>
      <c r="U453" s="26">
        <f>SUM(U454:U455)</f>
        <v>27258.73</v>
      </c>
      <c r="V453" s="17">
        <f>SUM(V454:V455)</f>
        <v>24000</v>
      </c>
      <c r="W453" s="17">
        <f t="shared" si="332"/>
        <v>24000</v>
      </c>
      <c r="X453" s="17">
        <f t="shared" si="332"/>
        <v>35000</v>
      </c>
      <c r="Y453" s="17">
        <f>SUM(Y454:Y455)</f>
        <v>0</v>
      </c>
      <c r="Z453" s="17">
        <f t="shared" si="305"/>
        <v>0</v>
      </c>
      <c r="AA453" s="17">
        <f t="shared" si="331"/>
        <v>0</v>
      </c>
      <c r="AB453" s="17">
        <f t="shared" ref="AB453:AG453" si="333">SUM(AB454:AB455)</f>
        <v>24000</v>
      </c>
      <c r="AC453" s="17">
        <f t="shared" si="333"/>
        <v>10198.26</v>
      </c>
      <c r="AD453" s="17">
        <f t="shared" si="316"/>
        <v>42.492750000000001</v>
      </c>
      <c r="AE453" s="17">
        <f t="shared" si="319"/>
        <v>13000</v>
      </c>
      <c r="AF453" s="17">
        <f t="shared" si="333"/>
        <v>37000</v>
      </c>
      <c r="AG453" s="17">
        <f t="shared" si="333"/>
        <v>22000</v>
      </c>
      <c r="AH453" s="17">
        <f>SUM(AH454:AH455)</f>
        <v>22000</v>
      </c>
      <c r="AI453" s="17">
        <f>SUM(AI454:AI455)</f>
        <v>22000</v>
      </c>
      <c r="AJ453" s="162" t="b">
        <f t="shared" si="280"/>
        <v>1</v>
      </c>
      <c r="AK453" s="162" t="str">
        <f t="shared" si="281"/>
        <v>PRAZNO</v>
      </c>
      <c r="AM453" s="264"/>
    </row>
    <row r="454" spans="1:39" ht="15.75" x14ac:dyDescent="0.2">
      <c r="B454" s="177"/>
      <c r="C454" s="177"/>
      <c r="D454" s="177"/>
      <c r="E454" s="177">
        <v>4221</v>
      </c>
      <c r="F454" s="176">
        <v>11</v>
      </c>
      <c r="G454" s="176" t="s">
        <v>527</v>
      </c>
      <c r="H454" s="16" t="s">
        <v>558</v>
      </c>
      <c r="I454" s="18">
        <v>6000</v>
      </c>
      <c r="J454" s="18">
        <v>4891.66</v>
      </c>
      <c r="K454" s="18">
        <f t="shared" si="308"/>
        <v>81.53</v>
      </c>
      <c r="L454" s="18">
        <f t="shared" si="309"/>
        <v>-1108.3400000000001</v>
      </c>
      <c r="M454" s="18">
        <v>4891.66</v>
      </c>
      <c r="N454" s="18">
        <v>30000</v>
      </c>
      <c r="O454" s="18">
        <v>10600.99</v>
      </c>
      <c r="P454" s="26">
        <f t="shared" si="322"/>
        <v>0</v>
      </c>
      <c r="Q454" s="18">
        <v>30000</v>
      </c>
      <c r="R454" s="18">
        <v>20000</v>
      </c>
      <c r="S454" s="18">
        <v>15000</v>
      </c>
      <c r="T454" s="266">
        <v>30000</v>
      </c>
      <c r="U454" s="266">
        <v>25059.89</v>
      </c>
      <c r="V454" s="178">
        <v>20000</v>
      </c>
      <c r="W454" s="178">
        <v>20000</v>
      </c>
      <c r="X454" s="178">
        <v>25000</v>
      </c>
      <c r="Y454" s="178">
        <v>0</v>
      </c>
      <c r="Z454" s="178">
        <f t="shared" si="305"/>
        <v>0</v>
      </c>
      <c r="AA454" s="178">
        <f t="shared" si="331"/>
        <v>0</v>
      </c>
      <c r="AB454" s="178">
        <v>20000</v>
      </c>
      <c r="AC454" s="178">
        <v>6999.26</v>
      </c>
      <c r="AD454" s="178">
        <f t="shared" si="316"/>
        <v>34.996300000000005</v>
      </c>
      <c r="AE454" s="178">
        <f t="shared" si="319"/>
        <v>13000</v>
      </c>
      <c r="AF454" s="178">
        <f>20000+13000</f>
        <v>33000</v>
      </c>
      <c r="AG454" s="178">
        <v>20000</v>
      </c>
      <c r="AH454" s="178">
        <v>20000</v>
      </c>
      <c r="AI454" s="178">
        <v>20000</v>
      </c>
      <c r="AJ454" s="162" t="b">
        <f t="shared" si="280"/>
        <v>0</v>
      </c>
      <c r="AK454" s="162" t="str">
        <f t="shared" si="281"/>
        <v>PUNO</v>
      </c>
      <c r="AL454" s="198"/>
      <c r="AM454" s="264"/>
    </row>
    <row r="455" spans="1:39" ht="15.75" x14ac:dyDescent="0.2">
      <c r="B455" s="177"/>
      <c r="C455" s="177"/>
      <c r="D455" s="177"/>
      <c r="E455" s="177">
        <v>4222</v>
      </c>
      <c r="F455" s="176">
        <v>11</v>
      </c>
      <c r="G455" s="176"/>
      <c r="H455" s="16" t="s">
        <v>559</v>
      </c>
      <c r="I455" s="18">
        <v>9000</v>
      </c>
      <c r="J455" s="18">
        <v>8603.85</v>
      </c>
      <c r="K455" s="18">
        <f t="shared" si="308"/>
        <v>95.6</v>
      </c>
      <c r="L455" s="18">
        <f t="shared" si="309"/>
        <v>-396.14999999999964</v>
      </c>
      <c r="M455" s="18">
        <v>8603.85</v>
      </c>
      <c r="N455" s="18">
        <v>4000</v>
      </c>
      <c r="O455" s="18">
        <v>2198.84</v>
      </c>
      <c r="P455" s="26">
        <f t="shared" si="322"/>
        <v>0</v>
      </c>
      <c r="Q455" s="18">
        <v>4000</v>
      </c>
      <c r="R455" s="18">
        <v>6000</v>
      </c>
      <c r="S455" s="18">
        <v>10000</v>
      </c>
      <c r="T455" s="266">
        <v>4000</v>
      </c>
      <c r="U455" s="266">
        <v>2198.84</v>
      </c>
      <c r="V455" s="178">
        <v>4000</v>
      </c>
      <c r="W455" s="178">
        <v>4000</v>
      </c>
      <c r="X455" s="178">
        <v>10000</v>
      </c>
      <c r="Y455" s="178">
        <v>0</v>
      </c>
      <c r="Z455" s="178">
        <f t="shared" si="305"/>
        <v>0</v>
      </c>
      <c r="AA455" s="178">
        <f t="shared" si="331"/>
        <v>0</v>
      </c>
      <c r="AB455" s="178">
        <v>4000</v>
      </c>
      <c r="AC455" s="178">
        <v>3199</v>
      </c>
      <c r="AD455" s="178">
        <f t="shared" si="316"/>
        <v>79.974999999999994</v>
      </c>
      <c r="AE455" s="178">
        <f t="shared" si="319"/>
        <v>0</v>
      </c>
      <c r="AF455" s="178">
        <v>4000</v>
      </c>
      <c r="AG455" s="178">
        <v>2000</v>
      </c>
      <c r="AH455" s="178">
        <v>2000</v>
      </c>
      <c r="AI455" s="178">
        <v>2000</v>
      </c>
      <c r="AJ455" s="162" t="b">
        <f t="shared" si="280"/>
        <v>0</v>
      </c>
      <c r="AK455" s="162" t="str">
        <f t="shared" si="281"/>
        <v>PUNO</v>
      </c>
      <c r="AM455" s="264"/>
    </row>
    <row r="456" spans="1:39" ht="15.75" x14ac:dyDescent="0.2">
      <c r="B456" s="177"/>
      <c r="C456" s="177"/>
      <c r="D456" s="177">
        <v>426</v>
      </c>
      <c r="E456" s="177"/>
      <c r="F456" s="176"/>
      <c r="G456" s="176"/>
      <c r="H456" s="16" t="s">
        <v>560</v>
      </c>
      <c r="I456" s="18"/>
      <c r="J456" s="18"/>
      <c r="K456" s="18"/>
      <c r="L456" s="18"/>
      <c r="M456" s="18"/>
      <c r="N456" s="18"/>
      <c r="O456" s="18"/>
      <c r="P456" s="26"/>
      <c r="Q456" s="18"/>
      <c r="R456" s="18"/>
      <c r="S456" s="18"/>
      <c r="T456" s="27"/>
      <c r="U456" s="27"/>
      <c r="V456" s="18">
        <f>V457</f>
        <v>0</v>
      </c>
      <c r="W456" s="18"/>
      <c r="X456" s="18"/>
      <c r="Y456" s="18">
        <f>Y457</f>
        <v>0</v>
      </c>
      <c r="Z456" s="178"/>
      <c r="AA456" s="18">
        <f t="shared" si="331"/>
        <v>12400</v>
      </c>
      <c r="AB456" s="18">
        <f t="shared" ref="AB456:AI456" si="334">AB457</f>
        <v>12400</v>
      </c>
      <c r="AC456" s="18">
        <f t="shared" si="334"/>
        <v>12312.5</v>
      </c>
      <c r="AD456" s="18">
        <f t="shared" si="316"/>
        <v>99.29435483870968</v>
      </c>
      <c r="AE456" s="18">
        <f t="shared" si="319"/>
        <v>0</v>
      </c>
      <c r="AF456" s="18">
        <f t="shared" si="334"/>
        <v>12400</v>
      </c>
      <c r="AG456" s="18">
        <f t="shared" si="334"/>
        <v>13000</v>
      </c>
      <c r="AH456" s="18">
        <f t="shared" si="334"/>
        <v>5000</v>
      </c>
      <c r="AI456" s="18">
        <f t="shared" si="334"/>
        <v>5000</v>
      </c>
      <c r="AJ456" s="162" t="b">
        <f t="shared" si="280"/>
        <v>1</v>
      </c>
      <c r="AK456" s="162" t="str">
        <f t="shared" si="281"/>
        <v>PRAZNO</v>
      </c>
      <c r="AM456" s="164"/>
    </row>
    <row r="457" spans="1:39" ht="15.75" x14ac:dyDescent="0.2">
      <c r="B457" s="177"/>
      <c r="C457" s="177"/>
      <c r="D457" s="177"/>
      <c r="E457" s="177">
        <v>4262</v>
      </c>
      <c r="F457" s="176">
        <v>11</v>
      </c>
      <c r="G457" s="176"/>
      <c r="H457" s="16" t="s">
        <v>561</v>
      </c>
      <c r="I457" s="18"/>
      <c r="J457" s="18"/>
      <c r="K457" s="18"/>
      <c r="L457" s="18"/>
      <c r="M457" s="18"/>
      <c r="N457" s="18"/>
      <c r="O457" s="18"/>
      <c r="P457" s="26"/>
      <c r="Q457" s="18"/>
      <c r="R457" s="18"/>
      <c r="S457" s="18"/>
      <c r="T457" s="27"/>
      <c r="U457" s="27"/>
      <c r="V457" s="18">
        <v>0</v>
      </c>
      <c r="W457" s="18"/>
      <c r="X457" s="18"/>
      <c r="Y457" s="18">
        <v>0</v>
      </c>
      <c r="Z457" s="178"/>
      <c r="AA457" s="18">
        <f t="shared" si="331"/>
        <v>12400</v>
      </c>
      <c r="AB457" s="18">
        <v>12400</v>
      </c>
      <c r="AC457" s="18">
        <v>12312.5</v>
      </c>
      <c r="AD457" s="18">
        <f t="shared" si="316"/>
        <v>99.29435483870968</v>
      </c>
      <c r="AE457" s="18">
        <f t="shared" si="319"/>
        <v>0</v>
      </c>
      <c r="AF457" s="18">
        <v>12400</v>
      </c>
      <c r="AG457" s="18">
        <v>13000</v>
      </c>
      <c r="AH457" s="18">
        <v>5000</v>
      </c>
      <c r="AI457" s="18">
        <v>5000</v>
      </c>
      <c r="AJ457" s="162" t="b">
        <f t="shared" ref="AJ457:AJ520" si="335">ISBLANK(E457)</f>
        <v>0</v>
      </c>
      <c r="AK457" s="162" t="str">
        <f t="shared" ref="AK457:AK520" si="336">IF(AJ457,"PRAZNO","PUNO")</f>
        <v>PUNO</v>
      </c>
      <c r="AM457" s="164"/>
    </row>
    <row r="458" spans="1:39" s="207" customFormat="1" ht="15.75" x14ac:dyDescent="0.25">
      <c r="A458" s="378"/>
      <c r="B458" s="168"/>
      <c r="C458" s="168"/>
      <c r="D458" s="168"/>
      <c r="E458" s="168"/>
      <c r="F458" s="322"/>
      <c r="G458" s="322"/>
      <c r="H458" s="12" t="s">
        <v>607</v>
      </c>
      <c r="I458" s="323">
        <f t="shared" ref="I458:O458" si="337">I460</f>
        <v>403000</v>
      </c>
      <c r="J458" s="323">
        <f t="shared" si="337"/>
        <v>374953.78</v>
      </c>
      <c r="K458" s="323">
        <f t="shared" si="337"/>
        <v>93.04</v>
      </c>
      <c r="L458" s="323">
        <f t="shared" si="337"/>
        <v>118657.09999999998</v>
      </c>
      <c r="M458" s="323">
        <f t="shared" si="337"/>
        <v>712364.99</v>
      </c>
      <c r="N458" s="323">
        <f t="shared" si="337"/>
        <v>962988</v>
      </c>
      <c r="O458" s="323">
        <f t="shared" si="337"/>
        <v>517320.41000000003</v>
      </c>
      <c r="P458" s="53">
        <f t="shared" si="322"/>
        <v>0</v>
      </c>
      <c r="Q458" s="308"/>
      <c r="R458" s="308">
        <f>R466</f>
        <v>2348000</v>
      </c>
      <c r="S458" s="308">
        <f>S466</f>
        <v>2460000</v>
      </c>
      <c r="T458" s="323">
        <f t="shared" ref="T458:Y458" si="338">T460+T466</f>
        <v>962988</v>
      </c>
      <c r="U458" s="323">
        <f t="shared" si="338"/>
        <v>961214.56</v>
      </c>
      <c r="V458" s="323">
        <f t="shared" si="338"/>
        <v>3020199</v>
      </c>
      <c r="W458" s="323">
        <f t="shared" si="338"/>
        <v>2970000</v>
      </c>
      <c r="X458" s="323">
        <f t="shared" si="338"/>
        <v>2900000</v>
      </c>
      <c r="Y458" s="323">
        <f t="shared" si="338"/>
        <v>580314.43000000005</v>
      </c>
      <c r="Z458" s="323">
        <f t="shared" si="305"/>
        <v>19.21</v>
      </c>
      <c r="AA458" s="323">
        <f t="shared" si="331"/>
        <v>-690199</v>
      </c>
      <c r="AB458" s="323">
        <f t="shared" ref="AB458:AG458" si="339">AB460+AB466</f>
        <v>2330000</v>
      </c>
      <c r="AC458" s="323">
        <f t="shared" si="339"/>
        <v>1816827.1199999999</v>
      </c>
      <c r="AD458" s="323">
        <f t="shared" si="316"/>
        <v>77.975412875536477</v>
      </c>
      <c r="AE458" s="323">
        <f t="shared" si="319"/>
        <v>546800</v>
      </c>
      <c r="AF458" s="323">
        <f t="shared" si="339"/>
        <v>2876800</v>
      </c>
      <c r="AG458" s="323">
        <f t="shared" si="339"/>
        <v>2770000</v>
      </c>
      <c r="AH458" s="323">
        <f>AH460+AH466</f>
        <v>2770000</v>
      </c>
      <c r="AI458" s="323">
        <f>AI460+AI466</f>
        <v>2770000</v>
      </c>
      <c r="AJ458" s="162" t="b">
        <f t="shared" si="335"/>
        <v>1</v>
      </c>
      <c r="AK458" s="162" t="str">
        <f t="shared" si="336"/>
        <v>PRAZNO</v>
      </c>
      <c r="AL458" s="206"/>
    </row>
    <row r="459" spans="1:39" s="447" customFormat="1" ht="15.75" x14ac:dyDescent="0.25">
      <c r="A459" s="378"/>
      <c r="B459" s="260"/>
      <c r="C459" s="260"/>
      <c r="D459" s="260"/>
      <c r="E459" s="260"/>
      <c r="F459" s="442"/>
      <c r="G459" s="442"/>
      <c r="H459" s="441" t="s">
        <v>824</v>
      </c>
      <c r="I459" s="444"/>
      <c r="J459" s="444"/>
      <c r="K459" s="444"/>
      <c r="L459" s="444"/>
      <c r="M459" s="444"/>
      <c r="N459" s="444"/>
      <c r="O459" s="444"/>
      <c r="P459" s="342"/>
      <c r="Q459" s="443"/>
      <c r="R459" s="443"/>
      <c r="S459" s="443"/>
      <c r="T459" s="444"/>
      <c r="U459" s="444"/>
      <c r="V459" s="444">
        <f>V460+V466</f>
        <v>3020199</v>
      </c>
      <c r="W459" s="444">
        <f>W460+W466</f>
        <v>2970000</v>
      </c>
      <c r="X459" s="444">
        <f>X460+X466</f>
        <v>2900000</v>
      </c>
      <c r="Y459" s="444">
        <f>Y460+Y466</f>
        <v>580314.43000000005</v>
      </c>
      <c r="Z459" s="444">
        <f t="shared" si="305"/>
        <v>19.21</v>
      </c>
      <c r="AA459" s="444">
        <f t="shared" si="331"/>
        <v>-690199</v>
      </c>
      <c r="AB459" s="444">
        <f t="shared" ref="AB459:AG459" si="340">AB460+AB466</f>
        <v>2330000</v>
      </c>
      <c r="AC459" s="444">
        <f t="shared" si="340"/>
        <v>1816827.1199999999</v>
      </c>
      <c r="AD459" s="444">
        <f t="shared" si="316"/>
        <v>77.975412875536477</v>
      </c>
      <c r="AE459" s="444">
        <f t="shared" si="319"/>
        <v>546800</v>
      </c>
      <c r="AF459" s="444">
        <f t="shared" si="340"/>
        <v>2876800</v>
      </c>
      <c r="AG459" s="444">
        <f t="shared" si="340"/>
        <v>2770000</v>
      </c>
      <c r="AH459" s="444">
        <f>AH460+AH466</f>
        <v>2770000</v>
      </c>
      <c r="AI459" s="444">
        <f>AI460+AI466</f>
        <v>2770000</v>
      </c>
      <c r="AJ459" s="162" t="b">
        <f t="shared" si="335"/>
        <v>1</v>
      </c>
      <c r="AK459" s="162" t="str">
        <f t="shared" si="336"/>
        <v>PRAZNO</v>
      </c>
      <c r="AL459" s="446"/>
    </row>
    <row r="460" spans="1:39" s="174" customFormat="1" ht="15.75" x14ac:dyDescent="0.2">
      <c r="A460" s="259"/>
      <c r="B460" s="172">
        <v>3</v>
      </c>
      <c r="C460" s="172"/>
      <c r="D460" s="172"/>
      <c r="E460" s="172"/>
      <c r="F460" s="220"/>
      <c r="G460" s="220"/>
      <c r="H460" s="36" t="s">
        <v>524</v>
      </c>
      <c r="I460" s="185">
        <f t="shared" ref="I460:O461" si="341">I461</f>
        <v>403000</v>
      </c>
      <c r="J460" s="185">
        <f t="shared" si="341"/>
        <v>374953.78</v>
      </c>
      <c r="K460" s="185">
        <f t="shared" si="341"/>
        <v>93.04</v>
      </c>
      <c r="L460" s="185">
        <f t="shared" si="341"/>
        <v>118657.09999999998</v>
      </c>
      <c r="M460" s="185">
        <f t="shared" si="341"/>
        <v>712364.99</v>
      </c>
      <c r="N460" s="185">
        <f t="shared" si="341"/>
        <v>962988</v>
      </c>
      <c r="O460" s="185">
        <f t="shared" si="341"/>
        <v>517320.41000000003</v>
      </c>
      <c r="P460" s="55">
        <f t="shared" si="322"/>
        <v>0</v>
      </c>
      <c r="Q460" s="184"/>
      <c r="R460" s="184"/>
      <c r="S460" s="184"/>
      <c r="T460" s="185">
        <f t="shared" ref="T460:AI461" si="342">T461</f>
        <v>962988</v>
      </c>
      <c r="U460" s="185">
        <f t="shared" si="342"/>
        <v>961214.56</v>
      </c>
      <c r="V460" s="185">
        <f t="shared" si="342"/>
        <v>860199</v>
      </c>
      <c r="W460" s="185">
        <f t="shared" si="342"/>
        <v>800000</v>
      </c>
      <c r="X460" s="185">
        <f t="shared" si="342"/>
        <v>720000</v>
      </c>
      <c r="Y460" s="185">
        <f t="shared" si="342"/>
        <v>167771.04</v>
      </c>
      <c r="Z460" s="185">
        <f t="shared" si="305"/>
        <v>19.5</v>
      </c>
      <c r="AA460" s="185">
        <f t="shared" si="331"/>
        <v>-180199</v>
      </c>
      <c r="AB460" s="185">
        <f t="shared" si="342"/>
        <v>680000</v>
      </c>
      <c r="AC460" s="185">
        <f t="shared" si="342"/>
        <v>330031.96999999997</v>
      </c>
      <c r="AD460" s="185">
        <f t="shared" si="316"/>
        <v>48.534113235294114</v>
      </c>
      <c r="AE460" s="185">
        <f t="shared" si="319"/>
        <v>0</v>
      </c>
      <c r="AF460" s="185">
        <f t="shared" si="342"/>
        <v>680000</v>
      </c>
      <c r="AG460" s="185">
        <f t="shared" si="342"/>
        <v>570000</v>
      </c>
      <c r="AH460" s="185">
        <f t="shared" si="342"/>
        <v>570000</v>
      </c>
      <c r="AI460" s="185">
        <f t="shared" si="342"/>
        <v>570000</v>
      </c>
      <c r="AJ460" s="162" t="b">
        <f t="shared" si="335"/>
        <v>1</v>
      </c>
      <c r="AK460" s="162" t="str">
        <f t="shared" si="336"/>
        <v>PRAZNO</v>
      </c>
      <c r="AL460" s="173"/>
    </row>
    <row r="461" spans="1:39" s="264" customFormat="1" ht="15.75" x14ac:dyDescent="0.2">
      <c r="A461" s="259"/>
      <c r="B461" s="177"/>
      <c r="C461" s="177">
        <v>34</v>
      </c>
      <c r="D461" s="177"/>
      <c r="E461" s="177"/>
      <c r="F461" s="265"/>
      <c r="G461" s="265"/>
      <c r="H461" s="23" t="s">
        <v>208</v>
      </c>
      <c r="I461" s="266">
        <f t="shared" si="341"/>
        <v>403000</v>
      </c>
      <c r="J461" s="266">
        <f t="shared" si="341"/>
        <v>374953.78</v>
      </c>
      <c r="K461" s="266">
        <f t="shared" si="341"/>
        <v>93.04</v>
      </c>
      <c r="L461" s="266">
        <f t="shared" si="341"/>
        <v>118657.09999999998</v>
      </c>
      <c r="M461" s="266">
        <f t="shared" si="341"/>
        <v>712364.99</v>
      </c>
      <c r="N461" s="266">
        <f t="shared" si="341"/>
        <v>962988</v>
      </c>
      <c r="O461" s="266">
        <f t="shared" si="341"/>
        <v>517320.41000000003</v>
      </c>
      <c r="P461" s="307">
        <f t="shared" si="322"/>
        <v>0</v>
      </c>
      <c r="Q461" s="178"/>
      <c r="R461" s="178"/>
      <c r="S461" s="178"/>
      <c r="T461" s="266">
        <f t="shared" si="342"/>
        <v>962988</v>
      </c>
      <c r="U461" s="266">
        <f t="shared" si="342"/>
        <v>961214.56</v>
      </c>
      <c r="V461" s="266">
        <f t="shared" si="342"/>
        <v>860199</v>
      </c>
      <c r="W461" s="266">
        <f t="shared" si="342"/>
        <v>800000</v>
      </c>
      <c r="X461" s="266">
        <f t="shared" si="342"/>
        <v>720000</v>
      </c>
      <c r="Y461" s="266">
        <f t="shared" si="342"/>
        <v>167771.04</v>
      </c>
      <c r="Z461" s="266">
        <f t="shared" si="305"/>
        <v>19.5</v>
      </c>
      <c r="AA461" s="266">
        <f t="shared" si="331"/>
        <v>-180199</v>
      </c>
      <c r="AB461" s="266">
        <f t="shared" si="342"/>
        <v>680000</v>
      </c>
      <c r="AC461" s="266">
        <f t="shared" si="342"/>
        <v>330031.96999999997</v>
      </c>
      <c r="AD461" s="266">
        <f t="shared" si="316"/>
        <v>48.534113235294114</v>
      </c>
      <c r="AE461" s="266">
        <f t="shared" si="319"/>
        <v>0</v>
      </c>
      <c r="AF461" s="266">
        <f t="shared" si="342"/>
        <v>680000</v>
      </c>
      <c r="AG461" s="266">
        <f t="shared" si="342"/>
        <v>570000</v>
      </c>
      <c r="AH461" s="266">
        <f t="shared" si="342"/>
        <v>570000</v>
      </c>
      <c r="AI461" s="266">
        <f t="shared" si="342"/>
        <v>570000</v>
      </c>
      <c r="AJ461" s="162" t="b">
        <f t="shared" si="335"/>
        <v>1</v>
      </c>
      <c r="AK461" s="162" t="str">
        <f t="shared" si="336"/>
        <v>PRAZNO</v>
      </c>
      <c r="AL461" s="263"/>
    </row>
    <row r="462" spans="1:39" s="264" customFormat="1" ht="15.75" x14ac:dyDescent="0.2">
      <c r="A462" s="259"/>
      <c r="B462" s="177"/>
      <c r="C462" s="177"/>
      <c r="D462" s="177">
        <v>342</v>
      </c>
      <c r="E462" s="177"/>
      <c r="F462" s="265"/>
      <c r="G462" s="265"/>
      <c r="H462" s="23" t="s">
        <v>401</v>
      </c>
      <c r="I462" s="266">
        <f>I463</f>
        <v>403000</v>
      </c>
      <c r="J462" s="266">
        <f>J463</f>
        <v>374953.78</v>
      </c>
      <c r="K462" s="266">
        <f>K463</f>
        <v>93.04</v>
      </c>
      <c r="L462" s="266">
        <f>L463</f>
        <v>118657.09999999998</v>
      </c>
      <c r="M462" s="266">
        <f>M463+M464+M465</f>
        <v>712364.99</v>
      </c>
      <c r="N462" s="266">
        <f>N463+N464+N465</f>
        <v>962988</v>
      </c>
      <c r="O462" s="266">
        <f>O463+O464+O465</f>
        <v>517320.41000000003</v>
      </c>
      <c r="P462" s="307">
        <f t="shared" si="322"/>
        <v>0</v>
      </c>
      <c r="Q462" s="178"/>
      <c r="R462" s="178"/>
      <c r="S462" s="178"/>
      <c r="T462" s="266">
        <f t="shared" ref="T462:Y462" si="343">T463+T464+T465</f>
        <v>962988</v>
      </c>
      <c r="U462" s="266">
        <f t="shared" si="343"/>
        <v>961214.56</v>
      </c>
      <c r="V462" s="266">
        <f t="shared" si="343"/>
        <v>860199</v>
      </c>
      <c r="W462" s="266">
        <f t="shared" si="343"/>
        <v>800000</v>
      </c>
      <c r="X462" s="266">
        <f t="shared" si="343"/>
        <v>720000</v>
      </c>
      <c r="Y462" s="266">
        <f t="shared" si="343"/>
        <v>167771.04</v>
      </c>
      <c r="Z462" s="266">
        <f t="shared" si="305"/>
        <v>19.5</v>
      </c>
      <c r="AA462" s="266">
        <f t="shared" si="331"/>
        <v>-180199</v>
      </c>
      <c r="AB462" s="266">
        <f t="shared" ref="AB462:AG462" si="344">AB463+AB464+AB465</f>
        <v>680000</v>
      </c>
      <c r="AC462" s="266">
        <f t="shared" si="344"/>
        <v>330031.96999999997</v>
      </c>
      <c r="AD462" s="266">
        <f t="shared" si="316"/>
        <v>48.534113235294114</v>
      </c>
      <c r="AE462" s="266">
        <f t="shared" si="319"/>
        <v>0</v>
      </c>
      <c r="AF462" s="266">
        <f t="shared" si="344"/>
        <v>680000</v>
      </c>
      <c r="AG462" s="266">
        <f t="shared" si="344"/>
        <v>570000</v>
      </c>
      <c r="AH462" s="266">
        <f>AH463+AH464+AH465</f>
        <v>570000</v>
      </c>
      <c r="AI462" s="266">
        <f>AI463+AI464+AI465</f>
        <v>570000</v>
      </c>
      <c r="AJ462" s="162" t="b">
        <f t="shared" si="335"/>
        <v>1</v>
      </c>
      <c r="AK462" s="162" t="str">
        <f t="shared" si="336"/>
        <v>PRAZNO</v>
      </c>
      <c r="AL462" s="263"/>
    </row>
    <row r="463" spans="1:39" ht="30" x14ac:dyDescent="0.2">
      <c r="B463" s="177"/>
      <c r="C463" s="177"/>
      <c r="D463" s="177"/>
      <c r="E463" s="177">
        <v>3422</v>
      </c>
      <c r="F463" s="176">
        <v>11</v>
      </c>
      <c r="G463" s="176"/>
      <c r="H463" s="16" t="s">
        <v>39</v>
      </c>
      <c r="I463" s="17">
        <v>403000</v>
      </c>
      <c r="J463" s="181">
        <v>374953.78</v>
      </c>
      <c r="K463" s="181">
        <f>ROUND(J463/I463*100,2)</f>
        <v>93.04</v>
      </c>
      <c r="L463" s="181">
        <f>M463-I463</f>
        <v>118657.09999999998</v>
      </c>
      <c r="M463" s="181">
        <v>521657.1</v>
      </c>
      <c r="N463" s="181">
        <v>324988</v>
      </c>
      <c r="O463" s="181">
        <v>297783.02</v>
      </c>
      <c r="P463" s="26">
        <f t="shared" si="322"/>
        <v>288000</v>
      </c>
      <c r="Q463" s="181">
        <v>324988</v>
      </c>
      <c r="R463" s="181">
        <f>820000-19360-100000</f>
        <v>700640</v>
      </c>
      <c r="S463" s="181">
        <f>750000+11870</f>
        <v>761870</v>
      </c>
      <c r="T463" s="307">
        <f>324988+288000</f>
        <v>612988</v>
      </c>
      <c r="U463" s="307">
        <v>611214.56000000006</v>
      </c>
      <c r="V463" s="181">
        <v>479706</v>
      </c>
      <c r="W463" s="181">
        <v>565493</v>
      </c>
      <c r="X463" s="181">
        <v>406507</v>
      </c>
      <c r="Y463" s="181">
        <v>167771.04</v>
      </c>
      <c r="Z463" s="181">
        <f t="shared" si="305"/>
        <v>34.97</v>
      </c>
      <c r="AA463" s="181">
        <f t="shared" si="331"/>
        <v>-79706</v>
      </c>
      <c r="AB463" s="181">
        <v>400000</v>
      </c>
      <c r="AC463" s="181">
        <v>167771.04</v>
      </c>
      <c r="AD463" s="181">
        <f t="shared" si="316"/>
        <v>41.94276</v>
      </c>
      <c r="AE463" s="181">
        <f t="shared" si="319"/>
        <v>0</v>
      </c>
      <c r="AF463" s="181">
        <v>400000</v>
      </c>
      <c r="AG463" s="692">
        <v>190000</v>
      </c>
      <c r="AH463" s="692">
        <v>190000</v>
      </c>
      <c r="AI463" s="692">
        <v>190000</v>
      </c>
      <c r="AJ463" s="162" t="b">
        <f t="shared" si="335"/>
        <v>0</v>
      </c>
      <c r="AK463" s="162" t="str">
        <f t="shared" si="336"/>
        <v>PUNO</v>
      </c>
      <c r="AM463" s="164"/>
    </row>
    <row r="464" spans="1:39" ht="30" x14ac:dyDescent="0.2">
      <c r="B464" s="177"/>
      <c r="C464" s="177"/>
      <c r="D464" s="177"/>
      <c r="E464" s="177">
        <v>3422</v>
      </c>
      <c r="F464" s="176">
        <v>13</v>
      </c>
      <c r="G464" s="176"/>
      <c r="H464" s="16" t="s">
        <v>39</v>
      </c>
      <c r="I464" s="17"/>
      <c r="J464" s="181"/>
      <c r="K464" s="181"/>
      <c r="L464" s="181"/>
      <c r="M464" s="181">
        <v>0</v>
      </c>
      <c r="N464" s="181">
        <v>170000</v>
      </c>
      <c r="O464" s="181">
        <v>0</v>
      </c>
      <c r="P464" s="26">
        <f t="shared" si="322"/>
        <v>180000</v>
      </c>
      <c r="Q464" s="181">
        <v>170000</v>
      </c>
      <c r="R464" s="181"/>
      <c r="S464" s="181"/>
      <c r="T464" s="307">
        <f>350000</f>
        <v>350000</v>
      </c>
      <c r="U464" s="307">
        <v>350000</v>
      </c>
      <c r="V464" s="181">
        <v>380493</v>
      </c>
      <c r="W464" s="181">
        <v>234507</v>
      </c>
      <c r="X464" s="181">
        <v>313493</v>
      </c>
      <c r="Y464" s="181">
        <v>0</v>
      </c>
      <c r="Z464" s="181">
        <f t="shared" si="305"/>
        <v>0</v>
      </c>
      <c r="AA464" s="181">
        <f t="shared" si="331"/>
        <v>-100493</v>
      </c>
      <c r="AB464" s="181">
        <v>280000</v>
      </c>
      <c r="AC464" s="181">
        <v>162260.93</v>
      </c>
      <c r="AD464" s="181">
        <f t="shared" si="316"/>
        <v>57.950332142857143</v>
      </c>
      <c r="AE464" s="181">
        <f t="shared" si="319"/>
        <v>0</v>
      </c>
      <c r="AF464" s="181">
        <v>280000</v>
      </c>
      <c r="AG464" s="692">
        <v>380000</v>
      </c>
      <c r="AH464" s="692">
        <v>380000</v>
      </c>
      <c r="AI464" s="692">
        <v>380000</v>
      </c>
      <c r="AJ464" s="162" t="b">
        <f t="shared" si="335"/>
        <v>0</v>
      </c>
      <c r="AK464" s="162" t="str">
        <f t="shared" si="336"/>
        <v>PUNO</v>
      </c>
      <c r="AM464" s="164"/>
    </row>
    <row r="465" spans="1:39" ht="30" x14ac:dyDescent="0.2">
      <c r="B465" s="177"/>
      <c r="C465" s="177"/>
      <c r="D465" s="177"/>
      <c r="E465" s="177">
        <v>3422</v>
      </c>
      <c r="F465" s="176">
        <v>18</v>
      </c>
      <c r="G465" s="176"/>
      <c r="H465" s="16" t="s">
        <v>39</v>
      </c>
      <c r="I465" s="17">
        <v>260000</v>
      </c>
      <c r="J465" s="181">
        <v>190707.89</v>
      </c>
      <c r="K465" s="181">
        <f>ROUND(J465/I465*100,2)</f>
        <v>73.349999999999994</v>
      </c>
      <c r="L465" s="181">
        <f>M465-I465</f>
        <v>-69292.109999999986</v>
      </c>
      <c r="M465" s="181">
        <v>190707.89</v>
      </c>
      <c r="N465" s="181">
        <v>468000</v>
      </c>
      <c r="O465" s="181">
        <v>219537.39</v>
      </c>
      <c r="P465" s="26">
        <f t="shared" si="322"/>
        <v>-468000</v>
      </c>
      <c r="Q465" s="181">
        <v>468000</v>
      </c>
      <c r="R465" s="181"/>
      <c r="S465" s="181"/>
      <c r="T465" s="307">
        <v>0</v>
      </c>
      <c r="U465" s="307">
        <v>0</v>
      </c>
      <c r="V465" s="181">
        <v>0</v>
      </c>
      <c r="W465" s="181">
        <v>0</v>
      </c>
      <c r="X465" s="181">
        <v>0</v>
      </c>
      <c r="Y465" s="181"/>
      <c r="Z465" s="181" t="e">
        <f t="shared" si="305"/>
        <v>#DIV/0!</v>
      </c>
      <c r="AA465" s="181">
        <f t="shared" si="331"/>
        <v>0</v>
      </c>
      <c r="AB465" s="181">
        <v>0</v>
      </c>
      <c r="AC465" s="181"/>
      <c r="AD465" s="181" t="e">
        <f t="shared" si="316"/>
        <v>#DIV/0!</v>
      </c>
      <c r="AE465" s="181">
        <f t="shared" si="319"/>
        <v>0</v>
      </c>
      <c r="AF465" s="181">
        <v>0</v>
      </c>
      <c r="AG465" s="181">
        <v>0</v>
      </c>
      <c r="AH465" s="181">
        <v>0</v>
      </c>
      <c r="AI465" s="181">
        <v>0</v>
      </c>
      <c r="AJ465" s="162" t="b">
        <f t="shared" si="335"/>
        <v>0</v>
      </c>
      <c r="AK465" s="162" t="str">
        <f t="shared" si="336"/>
        <v>PUNO</v>
      </c>
      <c r="AM465" s="164"/>
    </row>
    <row r="466" spans="1:39" s="174" customFormat="1" ht="15.75" x14ac:dyDescent="0.2">
      <c r="A466" s="259"/>
      <c r="B466" s="172">
        <v>5</v>
      </c>
      <c r="C466" s="172"/>
      <c r="D466" s="172"/>
      <c r="E466" s="172"/>
      <c r="F466" s="220"/>
      <c r="G466" s="220"/>
      <c r="H466" s="36" t="s">
        <v>415</v>
      </c>
      <c r="I466" s="185">
        <f t="shared" ref="I466:O466" si="345">I467</f>
        <v>0</v>
      </c>
      <c r="J466" s="185">
        <f t="shared" si="345"/>
        <v>0</v>
      </c>
      <c r="K466" s="185">
        <f t="shared" si="345"/>
        <v>0</v>
      </c>
      <c r="L466" s="185">
        <f t="shared" si="345"/>
        <v>0</v>
      </c>
      <c r="M466" s="185">
        <f t="shared" si="345"/>
        <v>0</v>
      </c>
      <c r="N466" s="184">
        <f t="shared" si="345"/>
        <v>0</v>
      </c>
      <c r="O466" s="184">
        <f t="shared" si="345"/>
        <v>0</v>
      </c>
      <c r="P466" s="55">
        <f t="shared" si="322"/>
        <v>0</v>
      </c>
      <c r="Q466" s="184"/>
      <c r="R466" s="184">
        <f t="shared" ref="R466:AI467" si="346">R467</f>
        <v>2348000</v>
      </c>
      <c r="S466" s="184">
        <f t="shared" si="346"/>
        <v>2460000</v>
      </c>
      <c r="T466" s="185">
        <f t="shared" si="346"/>
        <v>0</v>
      </c>
      <c r="U466" s="185">
        <f t="shared" si="346"/>
        <v>0</v>
      </c>
      <c r="V466" s="184">
        <f t="shared" si="346"/>
        <v>2160000</v>
      </c>
      <c r="W466" s="184">
        <f t="shared" si="346"/>
        <v>2170000</v>
      </c>
      <c r="X466" s="184">
        <f t="shared" si="346"/>
        <v>2180000</v>
      </c>
      <c r="Y466" s="184">
        <f t="shared" si="346"/>
        <v>412543.39</v>
      </c>
      <c r="Z466" s="184">
        <f t="shared" si="305"/>
        <v>19.100000000000001</v>
      </c>
      <c r="AA466" s="184">
        <f t="shared" si="331"/>
        <v>-510000</v>
      </c>
      <c r="AB466" s="184">
        <f t="shared" si="346"/>
        <v>1650000</v>
      </c>
      <c r="AC466" s="184">
        <f t="shared" si="346"/>
        <v>1486795.15</v>
      </c>
      <c r="AD466" s="184">
        <f t="shared" si="316"/>
        <v>90.108796969696968</v>
      </c>
      <c r="AE466" s="184">
        <f t="shared" si="319"/>
        <v>546800</v>
      </c>
      <c r="AF466" s="184">
        <f t="shared" si="346"/>
        <v>2196800</v>
      </c>
      <c r="AG466" s="184">
        <f t="shared" si="346"/>
        <v>2200000</v>
      </c>
      <c r="AH466" s="184">
        <f t="shared" si="346"/>
        <v>2200000</v>
      </c>
      <c r="AI466" s="184">
        <f t="shared" si="346"/>
        <v>2200000</v>
      </c>
      <c r="AJ466" s="162" t="b">
        <f t="shared" si="335"/>
        <v>1</v>
      </c>
      <c r="AK466" s="162" t="str">
        <f t="shared" si="336"/>
        <v>PRAZNO</v>
      </c>
      <c r="AL466" s="173"/>
    </row>
    <row r="467" spans="1:39" ht="15.75" x14ac:dyDescent="0.2">
      <c r="B467" s="177"/>
      <c r="C467" s="177">
        <v>54</v>
      </c>
      <c r="D467" s="177"/>
      <c r="E467" s="177"/>
      <c r="F467" s="176"/>
      <c r="G467" s="176"/>
      <c r="H467" s="16" t="s">
        <v>416</v>
      </c>
      <c r="I467" s="27">
        <f>I468+I469</f>
        <v>0</v>
      </c>
      <c r="J467" s="27">
        <f>J468+J469</f>
        <v>0</v>
      </c>
      <c r="K467" s="27">
        <f>K468+K469</f>
        <v>0</v>
      </c>
      <c r="L467" s="27">
        <f>L468+L469</f>
        <v>0</v>
      </c>
      <c r="M467" s="27">
        <f>M468+M469</f>
        <v>0</v>
      </c>
      <c r="N467" s="18">
        <f>N468</f>
        <v>0</v>
      </c>
      <c r="O467" s="18">
        <f>O468</f>
        <v>0</v>
      </c>
      <c r="P467" s="26">
        <f t="shared" si="322"/>
        <v>0</v>
      </c>
      <c r="Q467" s="18"/>
      <c r="R467" s="18">
        <f t="shared" si="346"/>
        <v>2348000</v>
      </c>
      <c r="S467" s="18">
        <f t="shared" si="346"/>
        <v>2460000</v>
      </c>
      <c r="T467" s="27">
        <f t="shared" si="346"/>
        <v>0</v>
      </c>
      <c r="U467" s="27">
        <f t="shared" si="346"/>
        <v>0</v>
      </c>
      <c r="V467" s="18">
        <f t="shared" si="346"/>
        <v>2160000</v>
      </c>
      <c r="W467" s="18">
        <f t="shared" si="346"/>
        <v>2170000</v>
      </c>
      <c r="X467" s="18">
        <f t="shared" si="346"/>
        <v>2180000</v>
      </c>
      <c r="Y467" s="18">
        <f t="shared" si="346"/>
        <v>412543.39</v>
      </c>
      <c r="Z467" s="18">
        <f t="shared" si="305"/>
        <v>19.100000000000001</v>
      </c>
      <c r="AA467" s="18">
        <f t="shared" si="331"/>
        <v>-510000</v>
      </c>
      <c r="AB467" s="18">
        <f t="shared" si="346"/>
        <v>1650000</v>
      </c>
      <c r="AC467" s="18">
        <f t="shared" si="346"/>
        <v>1486795.15</v>
      </c>
      <c r="AD467" s="18">
        <f t="shared" si="316"/>
        <v>90.108796969696968</v>
      </c>
      <c r="AE467" s="18">
        <f t="shared" si="319"/>
        <v>546800</v>
      </c>
      <c r="AF467" s="18">
        <f t="shared" si="346"/>
        <v>2196800</v>
      </c>
      <c r="AG467" s="18">
        <f t="shared" si="346"/>
        <v>2200000</v>
      </c>
      <c r="AH467" s="18">
        <f t="shared" si="346"/>
        <v>2200000</v>
      </c>
      <c r="AI467" s="18">
        <f t="shared" si="346"/>
        <v>2200000</v>
      </c>
      <c r="AJ467" s="162" t="b">
        <f t="shared" si="335"/>
        <v>1</v>
      </c>
      <c r="AK467" s="162" t="str">
        <f t="shared" si="336"/>
        <v>PRAZNO</v>
      </c>
      <c r="AM467" s="164"/>
    </row>
    <row r="468" spans="1:39" ht="49.5" customHeight="1" x14ac:dyDescent="0.2">
      <c r="B468" s="177"/>
      <c r="C468" s="177"/>
      <c r="D468" s="177">
        <v>542</v>
      </c>
      <c r="E468" s="177"/>
      <c r="F468" s="176"/>
      <c r="G468" s="176"/>
      <c r="H468" s="16" t="s">
        <v>633</v>
      </c>
      <c r="I468" s="27">
        <v>0</v>
      </c>
      <c r="J468" s="27">
        <v>0</v>
      </c>
      <c r="K468" s="27">
        <v>0</v>
      </c>
      <c r="L468" s="27">
        <v>0</v>
      </c>
      <c r="M468" s="27">
        <v>0</v>
      </c>
      <c r="N468" s="18">
        <f>N469</f>
        <v>0</v>
      </c>
      <c r="O468" s="18">
        <f>O469</f>
        <v>0</v>
      </c>
      <c r="P468" s="26">
        <f t="shared" si="322"/>
        <v>0</v>
      </c>
      <c r="Q468" s="18"/>
      <c r="R468" s="18">
        <f>R469</f>
        <v>2348000</v>
      </c>
      <c r="S468" s="18">
        <f>S469</f>
        <v>2460000</v>
      </c>
      <c r="T468" s="27">
        <v>0</v>
      </c>
      <c r="U468" s="27">
        <f t="shared" ref="U468:AF468" si="347">U469+U470</f>
        <v>0</v>
      </c>
      <c r="V468" s="27">
        <f t="shared" si="347"/>
        <v>2160000</v>
      </c>
      <c r="W468" s="27">
        <f t="shared" si="347"/>
        <v>2170000</v>
      </c>
      <c r="X468" s="27">
        <f t="shared" si="347"/>
        <v>2180000</v>
      </c>
      <c r="Y468" s="27">
        <f t="shared" si="347"/>
        <v>412543.39</v>
      </c>
      <c r="Z468" s="27">
        <f t="shared" si="347"/>
        <v>19.100000000000001</v>
      </c>
      <c r="AA468" s="27">
        <f t="shared" si="347"/>
        <v>-510000</v>
      </c>
      <c r="AB468" s="27">
        <f t="shared" si="347"/>
        <v>1650000</v>
      </c>
      <c r="AC468" s="27">
        <f t="shared" si="347"/>
        <v>1486795.15</v>
      </c>
      <c r="AD468" s="27">
        <f t="shared" si="347"/>
        <v>90.108796969696968</v>
      </c>
      <c r="AE468" s="27">
        <f t="shared" si="347"/>
        <v>546800</v>
      </c>
      <c r="AF468" s="27">
        <f t="shared" si="347"/>
        <v>2196800</v>
      </c>
      <c r="AG468" s="27">
        <f>AG469+AG470</f>
        <v>2200000</v>
      </c>
      <c r="AH468" s="27">
        <f>AH469+AH470</f>
        <v>2200000</v>
      </c>
      <c r="AI468" s="27">
        <f>AI469+AI470</f>
        <v>2200000</v>
      </c>
      <c r="AJ468" s="162" t="b">
        <f t="shared" si="335"/>
        <v>1</v>
      </c>
      <c r="AK468" s="162" t="str">
        <f t="shared" si="336"/>
        <v>PRAZNO</v>
      </c>
      <c r="AM468" s="164"/>
    </row>
    <row r="469" spans="1:39" ht="30" x14ac:dyDescent="0.2">
      <c r="B469" s="177"/>
      <c r="C469" s="177"/>
      <c r="D469" s="177"/>
      <c r="E469" s="177">
        <v>5422</v>
      </c>
      <c r="F469" s="176">
        <v>11</v>
      </c>
      <c r="G469" s="176"/>
      <c r="H469" s="16" t="s">
        <v>234</v>
      </c>
      <c r="I469" s="27">
        <v>0</v>
      </c>
      <c r="J469" s="27">
        <v>0</v>
      </c>
      <c r="K469" s="27">
        <v>0</v>
      </c>
      <c r="L469" s="27">
        <v>0</v>
      </c>
      <c r="M469" s="27">
        <v>0</v>
      </c>
      <c r="N469" s="18">
        <v>0</v>
      </c>
      <c r="O469" s="18">
        <v>0</v>
      </c>
      <c r="P469" s="26">
        <f t="shared" si="322"/>
        <v>0</v>
      </c>
      <c r="Q469" s="18"/>
      <c r="R469" s="18">
        <v>2348000</v>
      </c>
      <c r="S469" s="18">
        <v>2460000</v>
      </c>
      <c r="T469" s="27">
        <v>0</v>
      </c>
      <c r="U469" s="27">
        <v>0</v>
      </c>
      <c r="V469" s="18">
        <v>2160000</v>
      </c>
      <c r="W469" s="18">
        <v>2170000</v>
      </c>
      <c r="X469" s="18">
        <v>2180000</v>
      </c>
      <c r="Y469" s="18">
        <v>412543.39</v>
      </c>
      <c r="Z469" s="18">
        <f t="shared" si="305"/>
        <v>19.100000000000001</v>
      </c>
      <c r="AA469" s="18">
        <f t="shared" si="331"/>
        <v>-510000</v>
      </c>
      <c r="AB469" s="18">
        <v>1650000</v>
      </c>
      <c r="AC469" s="18">
        <v>1486795.15</v>
      </c>
      <c r="AD469" s="18">
        <f t="shared" si="316"/>
        <v>90.108796969696968</v>
      </c>
      <c r="AE469" s="18">
        <f t="shared" si="319"/>
        <v>-163200</v>
      </c>
      <c r="AF469" s="18">
        <v>1486800</v>
      </c>
      <c r="AG469" s="27">
        <v>1125000</v>
      </c>
      <c r="AH469" s="27">
        <v>1125000</v>
      </c>
      <c r="AI469" s="27">
        <v>1125000</v>
      </c>
      <c r="AJ469" s="162" t="b">
        <f t="shared" si="335"/>
        <v>0</v>
      </c>
      <c r="AK469" s="162" t="str">
        <f t="shared" si="336"/>
        <v>PUNO</v>
      </c>
      <c r="AM469" s="164"/>
    </row>
    <row r="470" spans="1:39" ht="30" x14ac:dyDescent="0.2">
      <c r="B470" s="177"/>
      <c r="C470" s="177"/>
      <c r="D470" s="177"/>
      <c r="E470" s="177">
        <v>5422</v>
      </c>
      <c r="F470" s="176">
        <v>18</v>
      </c>
      <c r="G470" s="176"/>
      <c r="H470" s="16" t="s">
        <v>234</v>
      </c>
      <c r="I470" s="27"/>
      <c r="J470" s="27"/>
      <c r="K470" s="27"/>
      <c r="L470" s="27"/>
      <c r="M470" s="27"/>
      <c r="N470" s="18"/>
      <c r="O470" s="18"/>
      <c r="P470" s="26"/>
      <c r="Q470" s="18"/>
      <c r="R470" s="18"/>
      <c r="S470" s="18"/>
      <c r="T470" s="27"/>
      <c r="U470" s="27"/>
      <c r="V470" s="18"/>
      <c r="W470" s="18"/>
      <c r="X470" s="18"/>
      <c r="Y470" s="18"/>
      <c r="Z470" s="18"/>
      <c r="AA470" s="18"/>
      <c r="AB470" s="18"/>
      <c r="AC470" s="18"/>
      <c r="AD470" s="18"/>
      <c r="AE470" s="18">
        <f t="shared" si="319"/>
        <v>710000</v>
      </c>
      <c r="AF470" s="18">
        <v>710000</v>
      </c>
      <c r="AG470" s="27">
        <v>1075000</v>
      </c>
      <c r="AH470" s="27">
        <v>1075000</v>
      </c>
      <c r="AI470" s="27">
        <v>1075000</v>
      </c>
      <c r="AJ470" s="162" t="b">
        <f t="shared" si="335"/>
        <v>0</v>
      </c>
      <c r="AK470" s="162" t="str">
        <f t="shared" si="336"/>
        <v>PUNO</v>
      </c>
      <c r="AM470" s="164"/>
    </row>
    <row r="471" spans="1:39" s="287" customFormat="1" ht="31.5" x14ac:dyDescent="0.25">
      <c r="A471" s="378"/>
      <c r="B471" s="194"/>
      <c r="C471" s="194"/>
      <c r="D471" s="194"/>
      <c r="E471" s="194"/>
      <c r="F471" s="159"/>
      <c r="G471" s="159"/>
      <c r="H471" s="24" t="s">
        <v>419</v>
      </c>
      <c r="I471" s="195" t="e">
        <f>I472+I503+#REF!+I740</f>
        <v>#REF!</v>
      </c>
      <c r="J471" s="195" t="e">
        <f>J472+J503+#REF!+J740</f>
        <v>#REF!</v>
      </c>
      <c r="K471" s="195" t="e">
        <f t="shared" si="308"/>
        <v>#REF!</v>
      </c>
      <c r="L471" s="195" t="e">
        <f t="shared" si="309"/>
        <v>#REF!</v>
      </c>
      <c r="M471" s="195" t="e">
        <f>M472+M503+M740</f>
        <v>#REF!</v>
      </c>
      <c r="N471" s="195" t="e">
        <f>N472+N503+N740</f>
        <v>#REF!</v>
      </c>
      <c r="O471" s="195" t="e">
        <f>O472+O503+O740</f>
        <v>#REF!</v>
      </c>
      <c r="P471" s="351" t="e">
        <f t="shared" si="322"/>
        <v>#REF!</v>
      </c>
      <c r="Q471" s="195" t="e">
        <f t="shared" ref="Q471:Y471" si="348">Q472+Q503+Q740</f>
        <v>#REF!</v>
      </c>
      <c r="R471" s="195" t="e">
        <f t="shared" si="348"/>
        <v>#REF!</v>
      </c>
      <c r="S471" s="195" t="e">
        <f t="shared" si="348"/>
        <v>#REF!</v>
      </c>
      <c r="T471" s="195" t="e">
        <f t="shared" si="348"/>
        <v>#REF!</v>
      </c>
      <c r="U471" s="195">
        <f t="shared" si="348"/>
        <v>10963914.01</v>
      </c>
      <c r="V471" s="195">
        <f t="shared" si="348"/>
        <v>13129473</v>
      </c>
      <c r="W471" s="195" t="e">
        <f t="shared" si="348"/>
        <v>#REF!</v>
      </c>
      <c r="X471" s="195" t="e">
        <f t="shared" si="348"/>
        <v>#REF!</v>
      </c>
      <c r="Y471" s="195">
        <f t="shared" si="348"/>
        <v>2417453.19</v>
      </c>
      <c r="Z471" s="195">
        <f t="shared" si="305"/>
        <v>18.41</v>
      </c>
      <c r="AA471" s="195">
        <f t="shared" si="331"/>
        <v>181965</v>
      </c>
      <c r="AB471" s="195">
        <f>AB472+AB503+AB740</f>
        <v>13311438</v>
      </c>
      <c r="AC471" s="195">
        <f>AC472+AC503+AC740</f>
        <v>4571076.0999999996</v>
      </c>
      <c r="AD471" s="195">
        <f t="shared" si="316"/>
        <v>34.33946129636783</v>
      </c>
      <c r="AE471" s="195">
        <f t="shared" si="319"/>
        <v>-1713793</v>
      </c>
      <c r="AF471" s="195">
        <f>AF472+AF503+AF740</f>
        <v>11597645</v>
      </c>
      <c r="AG471" s="195">
        <f>AG472+AG503+AG740</f>
        <v>12845129</v>
      </c>
      <c r="AH471" s="195">
        <f>AH472+AH503+AH740</f>
        <v>12213393</v>
      </c>
      <c r="AI471" s="195">
        <f>AI472+AI503+AI740</f>
        <v>11475307</v>
      </c>
      <c r="AJ471" s="162" t="b">
        <f t="shared" si="335"/>
        <v>1</v>
      </c>
      <c r="AK471" s="162" t="str">
        <f t="shared" si="336"/>
        <v>PRAZNO</v>
      </c>
      <c r="AL471" s="286"/>
    </row>
    <row r="472" spans="1:39" s="287" customFormat="1" ht="31.5" x14ac:dyDescent="0.25">
      <c r="A472" s="378"/>
      <c r="B472" s="194"/>
      <c r="C472" s="194"/>
      <c r="D472" s="194"/>
      <c r="E472" s="194"/>
      <c r="F472" s="159"/>
      <c r="G472" s="159"/>
      <c r="H472" s="24" t="s">
        <v>420</v>
      </c>
      <c r="I472" s="195">
        <f>I474</f>
        <v>1161000</v>
      </c>
      <c r="J472" s="195">
        <f>J474</f>
        <v>835279.9</v>
      </c>
      <c r="K472" s="195">
        <f t="shared" si="308"/>
        <v>71.94</v>
      </c>
      <c r="L472" s="195">
        <f t="shared" si="309"/>
        <v>-11582.659999999916</v>
      </c>
      <c r="M472" s="195">
        <f>M474</f>
        <v>1149417.3400000001</v>
      </c>
      <c r="N472" s="195">
        <f>N474</f>
        <v>1350000</v>
      </c>
      <c r="O472" s="195">
        <f>O474</f>
        <v>827084.39999999991</v>
      </c>
      <c r="P472" s="351">
        <f t="shared" si="322"/>
        <v>-5000</v>
      </c>
      <c r="Q472" s="195">
        <f t="shared" ref="Q472:X472" si="349">Q474</f>
        <v>1350000</v>
      </c>
      <c r="R472" s="195">
        <f t="shared" si="349"/>
        <v>1358900</v>
      </c>
      <c r="S472" s="195">
        <f t="shared" si="349"/>
        <v>1381300</v>
      </c>
      <c r="T472" s="197">
        <f t="shared" si="349"/>
        <v>1345000</v>
      </c>
      <c r="U472" s="197">
        <f>U474</f>
        <v>1255306.8399999999</v>
      </c>
      <c r="V472" s="195">
        <f t="shared" si="349"/>
        <v>1348000</v>
      </c>
      <c r="W472" s="195">
        <f t="shared" si="349"/>
        <v>1338000</v>
      </c>
      <c r="X472" s="195">
        <f t="shared" si="349"/>
        <v>1365000</v>
      </c>
      <c r="Y472" s="195">
        <f>Y474</f>
        <v>494116.52</v>
      </c>
      <c r="Z472" s="195">
        <f t="shared" si="305"/>
        <v>36.659999999999997</v>
      </c>
      <c r="AA472" s="195">
        <f t="shared" si="331"/>
        <v>-54300</v>
      </c>
      <c r="AB472" s="195">
        <f t="shared" ref="AB472:AG472" si="350">AB474</f>
        <v>1293700</v>
      </c>
      <c r="AC472" s="195">
        <f t="shared" si="350"/>
        <v>911012.2</v>
      </c>
      <c r="AD472" s="195">
        <f t="shared" si="316"/>
        <v>70.419123444384326</v>
      </c>
      <c r="AE472" s="195">
        <f t="shared" si="319"/>
        <v>0</v>
      </c>
      <c r="AF472" s="195">
        <f t="shared" si="350"/>
        <v>1293700</v>
      </c>
      <c r="AG472" s="195">
        <f t="shared" si="350"/>
        <v>1283200</v>
      </c>
      <c r="AH472" s="195">
        <f>AH474</f>
        <v>1273800</v>
      </c>
      <c r="AI472" s="195">
        <f>AI474</f>
        <v>1286400</v>
      </c>
      <c r="AJ472" s="162" t="b">
        <f t="shared" si="335"/>
        <v>1</v>
      </c>
      <c r="AK472" s="162" t="str">
        <f t="shared" si="336"/>
        <v>PRAZNO</v>
      </c>
      <c r="AL472" s="288"/>
    </row>
    <row r="473" spans="1:39" s="287" customFormat="1" ht="15.75" x14ac:dyDescent="0.25">
      <c r="A473" s="378"/>
      <c r="B473" s="194"/>
      <c r="C473" s="194"/>
      <c r="D473" s="194"/>
      <c r="E473" s="194"/>
      <c r="F473" s="159"/>
      <c r="G473" s="159"/>
      <c r="H473" s="11" t="s">
        <v>421</v>
      </c>
      <c r="I473" s="195"/>
      <c r="J473" s="195"/>
      <c r="K473" s="195" t="e">
        <f t="shared" si="308"/>
        <v>#DIV/0!</v>
      </c>
      <c r="L473" s="195"/>
      <c r="M473" s="195"/>
      <c r="N473" s="195"/>
      <c r="O473" s="195"/>
      <c r="P473" s="353"/>
      <c r="Q473" s="195"/>
      <c r="R473" s="195"/>
      <c r="S473" s="195"/>
      <c r="T473" s="197"/>
      <c r="U473" s="197"/>
      <c r="V473" s="195"/>
      <c r="W473" s="195"/>
      <c r="X473" s="195"/>
      <c r="Y473" s="195"/>
      <c r="Z473" s="195"/>
      <c r="AA473" s="195"/>
      <c r="AB473" s="195"/>
      <c r="AC473" s="195"/>
      <c r="AD473" s="195"/>
      <c r="AE473" s="195">
        <f t="shared" si="319"/>
        <v>0</v>
      </c>
      <c r="AF473" s="195"/>
      <c r="AG473" s="195"/>
      <c r="AH473" s="195"/>
      <c r="AI473" s="195"/>
      <c r="AJ473" s="162" t="b">
        <f t="shared" si="335"/>
        <v>1</v>
      </c>
      <c r="AK473" s="162" t="str">
        <f t="shared" si="336"/>
        <v>PRAZNO</v>
      </c>
      <c r="AL473" s="288"/>
    </row>
    <row r="474" spans="1:39" s="171" customFormat="1" ht="15.75" x14ac:dyDescent="0.2">
      <c r="A474" s="259"/>
      <c r="B474" s="270"/>
      <c r="C474" s="270"/>
      <c r="D474" s="270"/>
      <c r="E474" s="270"/>
      <c r="F474" s="270"/>
      <c r="G474" s="270"/>
      <c r="H474" s="271" t="s">
        <v>709</v>
      </c>
      <c r="I474" s="273">
        <f>I475+I497</f>
        <v>1161000</v>
      </c>
      <c r="J474" s="273">
        <f>J475+J497</f>
        <v>835279.9</v>
      </c>
      <c r="K474" s="273">
        <f t="shared" si="308"/>
        <v>71.94</v>
      </c>
      <c r="L474" s="273">
        <f t="shared" si="309"/>
        <v>-11582.659999999916</v>
      </c>
      <c r="M474" s="304">
        <f>M475+M497</f>
        <v>1149417.3400000001</v>
      </c>
      <c r="N474" s="304">
        <f>N475+N497</f>
        <v>1350000</v>
      </c>
      <c r="O474" s="304">
        <f>O475+O497</f>
        <v>827084.39999999991</v>
      </c>
      <c r="P474" s="336">
        <f t="shared" si="322"/>
        <v>-5000</v>
      </c>
      <c r="Q474" s="273">
        <f t="shared" ref="Q474:X474" si="351">Q475+Q497</f>
        <v>1350000</v>
      </c>
      <c r="R474" s="272">
        <f t="shared" si="351"/>
        <v>1358900</v>
      </c>
      <c r="S474" s="272">
        <f t="shared" si="351"/>
        <v>1381300</v>
      </c>
      <c r="T474" s="336">
        <f t="shared" si="351"/>
        <v>1345000</v>
      </c>
      <c r="U474" s="336">
        <f>U475+U497</f>
        <v>1255306.8399999999</v>
      </c>
      <c r="V474" s="304">
        <f t="shared" si="351"/>
        <v>1348000</v>
      </c>
      <c r="W474" s="304">
        <f t="shared" si="351"/>
        <v>1338000</v>
      </c>
      <c r="X474" s="304">
        <f t="shared" si="351"/>
        <v>1365000</v>
      </c>
      <c r="Y474" s="304">
        <f>Y475+Y497</f>
        <v>494116.52</v>
      </c>
      <c r="Z474" s="304">
        <f t="shared" si="305"/>
        <v>36.659999999999997</v>
      </c>
      <c r="AA474" s="304">
        <f t="shared" si="331"/>
        <v>-54300</v>
      </c>
      <c r="AB474" s="304">
        <f t="shared" ref="AB474:AG474" si="352">AB475+AB497</f>
        <v>1293700</v>
      </c>
      <c r="AC474" s="304">
        <f t="shared" si="352"/>
        <v>911012.2</v>
      </c>
      <c r="AD474" s="304">
        <f t="shared" si="316"/>
        <v>70.419123444384326</v>
      </c>
      <c r="AE474" s="304">
        <f t="shared" si="319"/>
        <v>0</v>
      </c>
      <c r="AF474" s="304">
        <f t="shared" si="352"/>
        <v>1293700</v>
      </c>
      <c r="AG474" s="304">
        <f t="shared" si="352"/>
        <v>1283200</v>
      </c>
      <c r="AH474" s="304">
        <f>AH475+AH497</f>
        <v>1273800</v>
      </c>
      <c r="AI474" s="304">
        <f>AI475+AI497</f>
        <v>1286400</v>
      </c>
      <c r="AJ474" s="162" t="b">
        <f t="shared" si="335"/>
        <v>1</v>
      </c>
      <c r="AK474" s="162" t="str">
        <f t="shared" si="336"/>
        <v>PRAZNO</v>
      </c>
      <c r="AL474" s="170"/>
      <c r="AM474" s="164"/>
    </row>
    <row r="475" spans="1:39" s="171" customFormat="1" ht="15.75" x14ac:dyDescent="0.2">
      <c r="A475" s="259"/>
      <c r="B475" s="168"/>
      <c r="C475" s="168"/>
      <c r="D475" s="168"/>
      <c r="E475" s="168"/>
      <c r="F475" s="168"/>
      <c r="G475" s="168"/>
      <c r="H475" s="13" t="s">
        <v>581</v>
      </c>
      <c r="I475" s="169">
        <f>I477</f>
        <v>1155000</v>
      </c>
      <c r="J475" s="169">
        <f>J477</f>
        <v>831072.61</v>
      </c>
      <c r="K475" s="169">
        <f t="shared" si="308"/>
        <v>71.95</v>
      </c>
      <c r="L475" s="169">
        <f t="shared" si="309"/>
        <v>-15559.979999999981</v>
      </c>
      <c r="M475" s="302">
        <f>M477</f>
        <v>1139440.02</v>
      </c>
      <c r="N475" s="302">
        <f>N477</f>
        <v>1345000</v>
      </c>
      <c r="O475" s="302">
        <f>O477</f>
        <v>827084.39999999991</v>
      </c>
      <c r="P475" s="303">
        <f t="shared" si="322"/>
        <v>-5000</v>
      </c>
      <c r="Q475" s="169">
        <f t="shared" ref="Q475:X475" si="353">Q477</f>
        <v>1345000</v>
      </c>
      <c r="R475" s="19">
        <f t="shared" si="353"/>
        <v>1353900</v>
      </c>
      <c r="S475" s="19">
        <f t="shared" si="353"/>
        <v>1376300</v>
      </c>
      <c r="T475" s="303">
        <f t="shared" si="353"/>
        <v>1340000</v>
      </c>
      <c r="U475" s="303">
        <f>U477</f>
        <v>1255306.8399999999</v>
      </c>
      <c r="V475" s="302">
        <f t="shared" si="353"/>
        <v>1333000</v>
      </c>
      <c r="W475" s="302">
        <f t="shared" si="353"/>
        <v>1333000</v>
      </c>
      <c r="X475" s="302">
        <f t="shared" si="353"/>
        <v>1360000</v>
      </c>
      <c r="Y475" s="302">
        <f>Y477</f>
        <v>494116.52</v>
      </c>
      <c r="Z475" s="302">
        <f t="shared" si="305"/>
        <v>37.07</v>
      </c>
      <c r="AA475" s="302">
        <f t="shared" si="331"/>
        <v>-54300</v>
      </c>
      <c r="AB475" s="302">
        <f t="shared" ref="AB475:AG475" si="354">AB477</f>
        <v>1278700</v>
      </c>
      <c r="AC475" s="302">
        <f t="shared" si="354"/>
        <v>898926.72</v>
      </c>
      <c r="AD475" s="302">
        <f t="shared" si="316"/>
        <v>70.300048486744345</v>
      </c>
      <c r="AE475" s="302">
        <f t="shared" si="319"/>
        <v>0</v>
      </c>
      <c r="AF475" s="302">
        <f t="shared" si="354"/>
        <v>1278700</v>
      </c>
      <c r="AG475" s="302">
        <f t="shared" si="354"/>
        <v>1271200</v>
      </c>
      <c r="AH475" s="302">
        <f>AH477</f>
        <v>1269800</v>
      </c>
      <c r="AI475" s="302">
        <f>AI477</f>
        <v>1282400</v>
      </c>
      <c r="AJ475" s="162" t="b">
        <f t="shared" si="335"/>
        <v>1</v>
      </c>
      <c r="AK475" s="162" t="str">
        <f t="shared" si="336"/>
        <v>PRAZNO</v>
      </c>
      <c r="AL475" s="170"/>
      <c r="AM475" s="164"/>
    </row>
    <row r="476" spans="1:39" s="264" customFormat="1" ht="15.75" x14ac:dyDescent="0.2">
      <c r="A476" s="259"/>
      <c r="B476" s="260"/>
      <c r="C476" s="260"/>
      <c r="D476" s="260"/>
      <c r="E476" s="260"/>
      <c r="F476" s="260"/>
      <c r="G476" s="260"/>
      <c r="H476" s="440" t="s">
        <v>824</v>
      </c>
      <c r="I476" s="181"/>
      <c r="J476" s="181"/>
      <c r="K476" s="181"/>
      <c r="L476" s="181"/>
      <c r="M476" s="406"/>
      <c r="N476" s="406"/>
      <c r="O476" s="406"/>
      <c r="P476" s="445"/>
      <c r="Q476" s="181"/>
      <c r="R476" s="262"/>
      <c r="S476" s="262"/>
      <c r="T476" s="445"/>
      <c r="U476" s="445"/>
      <c r="V476" s="406">
        <f>V477</f>
        <v>1333000</v>
      </c>
      <c r="W476" s="406">
        <f>W477</f>
        <v>1333000</v>
      </c>
      <c r="X476" s="406">
        <f>X477</f>
        <v>1360000</v>
      </c>
      <c r="Y476" s="406">
        <f>Y477</f>
        <v>494116.52</v>
      </c>
      <c r="Z476" s="406">
        <f t="shared" si="305"/>
        <v>37.07</v>
      </c>
      <c r="AA476" s="406">
        <f t="shared" si="331"/>
        <v>-54300</v>
      </c>
      <c r="AB476" s="406">
        <f t="shared" ref="AB476:AI476" si="355">AB477</f>
        <v>1278700</v>
      </c>
      <c r="AC476" s="406">
        <f t="shared" si="355"/>
        <v>898926.72</v>
      </c>
      <c r="AD476" s="406">
        <f t="shared" si="316"/>
        <v>70.300048486744345</v>
      </c>
      <c r="AE476" s="406">
        <f t="shared" si="319"/>
        <v>0</v>
      </c>
      <c r="AF476" s="406">
        <f t="shared" si="355"/>
        <v>1278700</v>
      </c>
      <c r="AG476" s="406">
        <f t="shared" si="355"/>
        <v>1271200</v>
      </c>
      <c r="AH476" s="406">
        <f t="shared" si="355"/>
        <v>1269800</v>
      </c>
      <c r="AI476" s="406">
        <f t="shared" si="355"/>
        <v>1282400</v>
      </c>
      <c r="AJ476" s="162" t="b">
        <f t="shared" si="335"/>
        <v>1</v>
      </c>
      <c r="AK476" s="162" t="str">
        <f t="shared" si="336"/>
        <v>PRAZNO</v>
      </c>
      <c r="AL476" s="263"/>
    </row>
    <row r="477" spans="1:39" s="174" customFormat="1" ht="15.75" x14ac:dyDescent="0.2">
      <c r="A477" s="259"/>
      <c r="B477" s="172">
        <v>3</v>
      </c>
      <c r="C477" s="172"/>
      <c r="D477" s="172"/>
      <c r="E477" s="172"/>
      <c r="F477" s="172"/>
      <c r="G477" s="172"/>
      <c r="H477" s="14" t="s">
        <v>524</v>
      </c>
      <c r="I477" s="20">
        <f>I478+I486</f>
        <v>1155000</v>
      </c>
      <c r="J477" s="20">
        <f>J478+J486</f>
        <v>831072.61</v>
      </c>
      <c r="K477" s="20">
        <f t="shared" si="308"/>
        <v>71.95</v>
      </c>
      <c r="L477" s="20">
        <f t="shared" si="309"/>
        <v>-15559.979999999981</v>
      </c>
      <c r="M477" s="20">
        <f>M478+M486</f>
        <v>1139440.02</v>
      </c>
      <c r="N477" s="20">
        <f>N478+N486</f>
        <v>1345000</v>
      </c>
      <c r="O477" s="20">
        <f>O478+O486</f>
        <v>827084.39999999991</v>
      </c>
      <c r="P477" s="55">
        <f t="shared" si="322"/>
        <v>-5000</v>
      </c>
      <c r="Q477" s="20">
        <f t="shared" ref="Q477:X477" si="356">Q478+Q486</f>
        <v>1345000</v>
      </c>
      <c r="R477" s="20">
        <f t="shared" si="356"/>
        <v>1353900</v>
      </c>
      <c r="S477" s="20">
        <f t="shared" si="356"/>
        <v>1376300</v>
      </c>
      <c r="T477" s="55">
        <f t="shared" si="356"/>
        <v>1340000</v>
      </c>
      <c r="U477" s="55">
        <f>U478+U486</f>
        <v>1255306.8399999999</v>
      </c>
      <c r="V477" s="20">
        <f t="shared" si="356"/>
        <v>1333000</v>
      </c>
      <c r="W477" s="20">
        <f t="shared" si="356"/>
        <v>1333000</v>
      </c>
      <c r="X477" s="20">
        <f t="shared" si="356"/>
        <v>1360000</v>
      </c>
      <c r="Y477" s="20">
        <f>Y478+Y486</f>
        <v>494116.52</v>
      </c>
      <c r="Z477" s="20">
        <f t="shared" si="305"/>
        <v>37.07</v>
      </c>
      <c r="AA477" s="20">
        <f t="shared" si="331"/>
        <v>-54300</v>
      </c>
      <c r="AB477" s="20">
        <f t="shared" ref="AB477:AG477" si="357">AB478+AB486</f>
        <v>1278700</v>
      </c>
      <c r="AC477" s="20">
        <f t="shared" si="357"/>
        <v>898926.72</v>
      </c>
      <c r="AD477" s="20">
        <f t="shared" si="316"/>
        <v>70.300048486744345</v>
      </c>
      <c r="AE477" s="20">
        <f t="shared" si="319"/>
        <v>0</v>
      </c>
      <c r="AF477" s="20">
        <f t="shared" si="357"/>
        <v>1278700</v>
      </c>
      <c r="AG477" s="20">
        <f t="shared" si="357"/>
        <v>1271200</v>
      </c>
      <c r="AH477" s="20">
        <f>AH478+AH486</f>
        <v>1269800</v>
      </c>
      <c r="AI477" s="20">
        <f>AI478+AI486</f>
        <v>1282400</v>
      </c>
      <c r="AJ477" s="162" t="b">
        <f t="shared" si="335"/>
        <v>1</v>
      </c>
      <c r="AK477" s="162" t="str">
        <f t="shared" si="336"/>
        <v>PRAZNO</v>
      </c>
      <c r="AL477" s="173"/>
      <c r="AM477" s="164"/>
    </row>
    <row r="478" spans="1:39" ht="15.75" x14ac:dyDescent="0.2">
      <c r="B478" s="175"/>
      <c r="C478" s="175">
        <v>31</v>
      </c>
      <c r="D478" s="175"/>
      <c r="E478" s="175"/>
      <c r="F478" s="175"/>
      <c r="G478" s="175"/>
      <c r="H478" s="15" t="s">
        <v>197</v>
      </c>
      <c r="I478" s="22">
        <f>I479+I481+I483</f>
        <v>1010000</v>
      </c>
      <c r="J478" s="22">
        <f>J479+J481+J483</f>
        <v>745941.63</v>
      </c>
      <c r="K478" s="22">
        <f t="shared" si="308"/>
        <v>73.86</v>
      </c>
      <c r="L478" s="22">
        <f t="shared" si="309"/>
        <v>14268.809999999939</v>
      </c>
      <c r="M478" s="22">
        <f>M479+M481+M483</f>
        <v>1024268.8099999999</v>
      </c>
      <c r="N478" s="22">
        <f>N479+N481+N483</f>
        <v>1182000</v>
      </c>
      <c r="O478" s="22">
        <f>O479+O481+O483</f>
        <v>729189.95</v>
      </c>
      <c r="P478" s="26">
        <f t="shared" si="322"/>
        <v>-10000</v>
      </c>
      <c r="Q478" s="22">
        <f t="shared" ref="Q478:X478" si="358">Q479+Q481+Q483</f>
        <v>1182000</v>
      </c>
      <c r="R478" s="22">
        <f t="shared" si="358"/>
        <v>1196000</v>
      </c>
      <c r="S478" s="22">
        <f t="shared" si="358"/>
        <v>1214000</v>
      </c>
      <c r="T478" s="38">
        <f t="shared" si="358"/>
        <v>1172000</v>
      </c>
      <c r="U478" s="38">
        <f>U479+U481+U483</f>
        <v>1101740.5499999998</v>
      </c>
      <c r="V478" s="22">
        <f t="shared" si="358"/>
        <v>1165000</v>
      </c>
      <c r="W478" s="22">
        <f t="shared" si="358"/>
        <v>1165000</v>
      </c>
      <c r="X478" s="22">
        <f t="shared" si="358"/>
        <v>1208000</v>
      </c>
      <c r="Y478" s="22">
        <f>Y479+Y481+Y483</f>
        <v>441598.63</v>
      </c>
      <c r="Z478" s="22">
        <f t="shared" ref="Z478:Z541" si="359">ROUND(Y478/V478*100,2)</f>
        <v>37.909999999999997</v>
      </c>
      <c r="AA478" s="22">
        <f t="shared" si="331"/>
        <v>-58500</v>
      </c>
      <c r="AB478" s="22">
        <f t="shared" ref="AB478:AG478" si="360">AB479+AB481+AB483</f>
        <v>1106500</v>
      </c>
      <c r="AC478" s="22">
        <f t="shared" si="360"/>
        <v>805612.72</v>
      </c>
      <c r="AD478" s="22">
        <f t="shared" si="316"/>
        <v>72.80729507455942</v>
      </c>
      <c r="AE478" s="22">
        <f t="shared" si="319"/>
        <v>0</v>
      </c>
      <c r="AF478" s="22">
        <f t="shared" si="360"/>
        <v>1106500</v>
      </c>
      <c r="AG478" s="22">
        <f t="shared" si="360"/>
        <v>1107000</v>
      </c>
      <c r="AH478" s="22">
        <f>AH479+AH481+AH483</f>
        <v>1105600</v>
      </c>
      <c r="AI478" s="22">
        <f>AI479+AI481+AI483</f>
        <v>1118200</v>
      </c>
      <c r="AJ478" s="162" t="b">
        <f t="shared" si="335"/>
        <v>1</v>
      </c>
      <c r="AK478" s="162" t="str">
        <f t="shared" si="336"/>
        <v>PRAZNO</v>
      </c>
      <c r="AM478" s="164"/>
    </row>
    <row r="479" spans="1:39" ht="15.75" x14ac:dyDescent="0.2">
      <c r="B479" s="177"/>
      <c r="C479" s="177"/>
      <c r="D479" s="177">
        <v>311</v>
      </c>
      <c r="E479" s="177"/>
      <c r="F479" s="177"/>
      <c r="G479" s="177"/>
      <c r="H479" s="16" t="s">
        <v>915</v>
      </c>
      <c r="I479" s="17">
        <f>SUM(I480:I480)</f>
        <v>820000</v>
      </c>
      <c r="J479" s="17">
        <f>SUM(J480:J480)</f>
        <v>615243.77</v>
      </c>
      <c r="K479" s="17">
        <f t="shared" si="308"/>
        <v>75.03</v>
      </c>
      <c r="L479" s="17">
        <f t="shared" si="309"/>
        <v>20742.439999999944</v>
      </c>
      <c r="M479" s="17">
        <f>SUM(M480:M480)</f>
        <v>840742.44</v>
      </c>
      <c r="N479" s="17">
        <f>SUM(N480:N480)</f>
        <v>960000</v>
      </c>
      <c r="O479" s="17">
        <f>SUM(O480:O480)</f>
        <v>607662.43999999994</v>
      </c>
      <c r="P479" s="26">
        <f t="shared" si="322"/>
        <v>0</v>
      </c>
      <c r="Q479" s="17">
        <f t="shared" ref="Q479:AI479" si="361">SUM(Q480:Q480)</f>
        <v>960000</v>
      </c>
      <c r="R479" s="17">
        <f t="shared" si="361"/>
        <v>977000</v>
      </c>
      <c r="S479" s="17">
        <f t="shared" si="361"/>
        <v>994000</v>
      </c>
      <c r="T479" s="26">
        <f t="shared" si="361"/>
        <v>960000</v>
      </c>
      <c r="U479" s="26">
        <f t="shared" si="361"/>
        <v>915213.74</v>
      </c>
      <c r="V479" s="17">
        <f t="shared" si="361"/>
        <v>960000</v>
      </c>
      <c r="W479" s="17">
        <f t="shared" si="361"/>
        <v>960000</v>
      </c>
      <c r="X479" s="17">
        <f t="shared" si="361"/>
        <v>1000000</v>
      </c>
      <c r="Y479" s="17">
        <f t="shared" si="361"/>
        <v>376820.53</v>
      </c>
      <c r="Z479" s="17">
        <f t="shared" si="359"/>
        <v>39.25</v>
      </c>
      <c r="AA479" s="17">
        <f t="shared" si="331"/>
        <v>-44000</v>
      </c>
      <c r="AB479" s="17">
        <f t="shared" si="361"/>
        <v>916000</v>
      </c>
      <c r="AC479" s="17">
        <f t="shared" si="361"/>
        <v>679660.19</v>
      </c>
      <c r="AD479" s="17">
        <f t="shared" si="316"/>
        <v>74.198710698689951</v>
      </c>
      <c r="AE479" s="17">
        <f t="shared" si="319"/>
        <v>0</v>
      </c>
      <c r="AF479" s="17">
        <f t="shared" si="361"/>
        <v>916000</v>
      </c>
      <c r="AG479" s="26">
        <f t="shared" si="361"/>
        <v>916000</v>
      </c>
      <c r="AH479" s="26">
        <f t="shared" si="361"/>
        <v>918000</v>
      </c>
      <c r="AI479" s="26">
        <f t="shared" si="361"/>
        <v>920000</v>
      </c>
      <c r="AJ479" s="162" t="b">
        <f t="shared" si="335"/>
        <v>1</v>
      </c>
      <c r="AK479" s="162" t="str">
        <f t="shared" si="336"/>
        <v>PRAZNO</v>
      </c>
      <c r="AM479" s="164"/>
    </row>
    <row r="480" spans="1:39" ht="15.75" x14ac:dyDescent="0.2">
      <c r="B480" s="177"/>
      <c r="C480" s="177"/>
      <c r="D480" s="177"/>
      <c r="E480" s="177">
        <v>3111</v>
      </c>
      <c r="F480" s="176">
        <v>11</v>
      </c>
      <c r="G480" s="176" t="s">
        <v>424</v>
      </c>
      <c r="H480" s="16" t="s">
        <v>199</v>
      </c>
      <c r="I480" s="18">
        <v>820000</v>
      </c>
      <c r="J480" s="18">
        <v>615243.77</v>
      </c>
      <c r="K480" s="18">
        <f t="shared" si="308"/>
        <v>75.03</v>
      </c>
      <c r="L480" s="18">
        <f t="shared" si="309"/>
        <v>20742.439999999944</v>
      </c>
      <c r="M480" s="18">
        <v>840742.44</v>
      </c>
      <c r="N480" s="18">
        <v>960000</v>
      </c>
      <c r="O480" s="18">
        <v>607662.43999999994</v>
      </c>
      <c r="P480" s="26">
        <f t="shared" si="322"/>
        <v>0</v>
      </c>
      <c r="Q480" s="18">
        <v>960000</v>
      </c>
      <c r="R480" s="18">
        <v>977000</v>
      </c>
      <c r="S480" s="18">
        <v>994000</v>
      </c>
      <c r="T480" s="27">
        <v>960000</v>
      </c>
      <c r="U480" s="27">
        <v>915213.74</v>
      </c>
      <c r="V480" s="27">
        <v>960000</v>
      </c>
      <c r="W480" s="27">
        <v>960000</v>
      </c>
      <c r="X480" s="18">
        <v>1000000</v>
      </c>
      <c r="Y480" s="27">
        <v>376820.53</v>
      </c>
      <c r="Z480" s="27">
        <f t="shared" si="359"/>
        <v>39.25</v>
      </c>
      <c r="AA480" s="27">
        <f t="shared" si="331"/>
        <v>-44000</v>
      </c>
      <c r="AB480" s="27">
        <v>916000</v>
      </c>
      <c r="AC480" s="27">
        <v>679660.19</v>
      </c>
      <c r="AD480" s="27">
        <f t="shared" si="316"/>
        <v>74.198710698689951</v>
      </c>
      <c r="AE480" s="27">
        <f t="shared" si="319"/>
        <v>0</v>
      </c>
      <c r="AF480" s="27">
        <v>916000</v>
      </c>
      <c r="AG480" s="27">
        <v>916000</v>
      </c>
      <c r="AH480" s="27">
        <v>918000</v>
      </c>
      <c r="AI480" s="27">
        <v>920000</v>
      </c>
      <c r="AJ480" s="162" t="b">
        <f t="shared" si="335"/>
        <v>0</v>
      </c>
      <c r="AK480" s="162" t="str">
        <f t="shared" si="336"/>
        <v>PUNO</v>
      </c>
      <c r="AM480" s="164"/>
    </row>
    <row r="481" spans="2:39" ht="15.75" x14ac:dyDescent="0.2">
      <c r="B481" s="177"/>
      <c r="C481" s="177"/>
      <c r="D481" s="177">
        <v>312</v>
      </c>
      <c r="E481" s="177"/>
      <c r="F481" s="177"/>
      <c r="G481" s="177"/>
      <c r="H481" s="16" t="s">
        <v>200</v>
      </c>
      <c r="I481" s="17">
        <f>I482</f>
        <v>51000</v>
      </c>
      <c r="J481" s="17">
        <f>J482</f>
        <v>26138.29</v>
      </c>
      <c r="K481" s="17">
        <f t="shared" si="308"/>
        <v>51.25</v>
      </c>
      <c r="L481" s="17">
        <f t="shared" si="309"/>
        <v>-11044.519999999997</v>
      </c>
      <c r="M481" s="17">
        <f>M482</f>
        <v>39955.480000000003</v>
      </c>
      <c r="N481" s="17">
        <f>N482</f>
        <v>50000</v>
      </c>
      <c r="O481" s="17">
        <f>O482</f>
        <v>20968.900000000001</v>
      </c>
      <c r="P481" s="26">
        <f t="shared" si="322"/>
        <v>0</v>
      </c>
      <c r="Q481" s="17">
        <f t="shared" ref="Q481:AI481" si="362">Q482</f>
        <v>50000</v>
      </c>
      <c r="R481" s="17">
        <f t="shared" si="362"/>
        <v>46000</v>
      </c>
      <c r="S481" s="17">
        <f t="shared" si="362"/>
        <v>43000</v>
      </c>
      <c r="T481" s="26">
        <f t="shared" si="362"/>
        <v>50000</v>
      </c>
      <c r="U481" s="26">
        <f t="shared" si="362"/>
        <v>38912.94</v>
      </c>
      <c r="V481" s="17">
        <f t="shared" si="362"/>
        <v>43000</v>
      </c>
      <c r="W481" s="17">
        <f t="shared" si="362"/>
        <v>43000</v>
      </c>
      <c r="X481" s="17">
        <f t="shared" si="362"/>
        <v>43000</v>
      </c>
      <c r="Y481" s="17">
        <f t="shared" si="362"/>
        <v>7124.63</v>
      </c>
      <c r="Z481" s="17">
        <f t="shared" si="359"/>
        <v>16.57</v>
      </c>
      <c r="AA481" s="17">
        <f t="shared" si="331"/>
        <v>0</v>
      </c>
      <c r="AB481" s="17">
        <f t="shared" si="362"/>
        <v>43000</v>
      </c>
      <c r="AC481" s="17">
        <f t="shared" si="362"/>
        <v>21964.63</v>
      </c>
      <c r="AD481" s="17">
        <f t="shared" si="316"/>
        <v>51.080534883720929</v>
      </c>
      <c r="AE481" s="17">
        <f t="shared" si="319"/>
        <v>0</v>
      </c>
      <c r="AF481" s="17">
        <f t="shared" si="362"/>
        <v>43000</v>
      </c>
      <c r="AG481" s="26">
        <f t="shared" si="362"/>
        <v>43500</v>
      </c>
      <c r="AH481" s="26">
        <f t="shared" si="362"/>
        <v>39000</v>
      </c>
      <c r="AI481" s="26">
        <f t="shared" si="362"/>
        <v>49000</v>
      </c>
      <c r="AJ481" s="162" t="b">
        <f t="shared" si="335"/>
        <v>1</v>
      </c>
      <c r="AK481" s="162" t="str">
        <f t="shared" si="336"/>
        <v>PRAZNO</v>
      </c>
      <c r="AM481" s="164"/>
    </row>
    <row r="482" spans="2:39" ht="15.75" x14ac:dyDescent="0.2">
      <c r="B482" s="177"/>
      <c r="C482" s="177"/>
      <c r="D482" s="177"/>
      <c r="E482" s="177">
        <v>3121</v>
      </c>
      <c r="F482" s="176">
        <v>11</v>
      </c>
      <c r="G482" s="176" t="s">
        <v>424</v>
      </c>
      <c r="H482" s="16" t="s">
        <v>200</v>
      </c>
      <c r="I482" s="18">
        <v>51000</v>
      </c>
      <c r="J482" s="18">
        <v>26138.29</v>
      </c>
      <c r="K482" s="18">
        <f t="shared" ref="K482:K497" si="363">ROUND(J482/I482*100,2)</f>
        <v>51.25</v>
      </c>
      <c r="L482" s="18">
        <f t="shared" si="309"/>
        <v>-11044.519999999997</v>
      </c>
      <c r="M482" s="18">
        <v>39955.480000000003</v>
      </c>
      <c r="N482" s="18">
        <v>50000</v>
      </c>
      <c r="O482" s="18">
        <v>20968.900000000001</v>
      </c>
      <c r="P482" s="26">
        <f t="shared" si="322"/>
        <v>0</v>
      </c>
      <c r="Q482" s="18">
        <v>50000</v>
      </c>
      <c r="R482" s="18">
        <v>46000</v>
      </c>
      <c r="S482" s="18">
        <v>43000</v>
      </c>
      <c r="T482" s="27">
        <v>50000</v>
      </c>
      <c r="U482" s="27">
        <v>38912.94</v>
      </c>
      <c r="V482" s="18">
        <v>43000</v>
      </c>
      <c r="W482" s="18">
        <v>43000</v>
      </c>
      <c r="X482" s="18">
        <v>43000</v>
      </c>
      <c r="Y482" s="18">
        <v>7124.63</v>
      </c>
      <c r="Z482" s="18">
        <f t="shared" si="359"/>
        <v>16.57</v>
      </c>
      <c r="AA482" s="18">
        <f t="shared" si="331"/>
        <v>0</v>
      </c>
      <c r="AB482" s="18">
        <v>43000</v>
      </c>
      <c r="AC482" s="18">
        <v>21964.63</v>
      </c>
      <c r="AD482" s="18">
        <f t="shared" si="316"/>
        <v>51.080534883720929</v>
      </c>
      <c r="AE482" s="18">
        <f t="shared" si="319"/>
        <v>0</v>
      </c>
      <c r="AF482" s="18">
        <v>43000</v>
      </c>
      <c r="AG482" s="27">
        <v>43500</v>
      </c>
      <c r="AH482" s="27">
        <v>39000</v>
      </c>
      <c r="AI482" s="27">
        <v>49000</v>
      </c>
      <c r="AJ482" s="162" t="b">
        <f t="shared" si="335"/>
        <v>0</v>
      </c>
      <c r="AK482" s="162" t="str">
        <f t="shared" si="336"/>
        <v>PUNO</v>
      </c>
      <c r="AM482" s="164"/>
    </row>
    <row r="483" spans="2:39" ht="15.75" x14ac:dyDescent="0.2">
      <c r="B483" s="177"/>
      <c r="C483" s="177"/>
      <c r="D483" s="177">
        <v>313</v>
      </c>
      <c r="E483" s="177"/>
      <c r="F483" s="177"/>
      <c r="G483" s="177"/>
      <c r="H483" s="16" t="s">
        <v>201</v>
      </c>
      <c r="I483" s="17">
        <f>SUM(I484:I485)</f>
        <v>139000</v>
      </c>
      <c r="J483" s="17">
        <f>SUM(J484:J485)</f>
        <v>104559.56999999999</v>
      </c>
      <c r="K483" s="17">
        <f t="shared" si="363"/>
        <v>75.22</v>
      </c>
      <c r="L483" s="17">
        <f t="shared" si="309"/>
        <v>4570.890000000014</v>
      </c>
      <c r="M483" s="17">
        <f>SUM(M484:M485)</f>
        <v>143570.89000000001</v>
      </c>
      <c r="N483" s="17">
        <f>SUM(N484:N485)</f>
        <v>172000</v>
      </c>
      <c r="O483" s="17">
        <f>SUM(O484:O485)</f>
        <v>100558.61</v>
      </c>
      <c r="P483" s="26">
        <f t="shared" si="322"/>
        <v>-10000</v>
      </c>
      <c r="Q483" s="17">
        <f t="shared" ref="Q483:X483" si="364">SUM(Q484:Q485)</f>
        <v>172000</v>
      </c>
      <c r="R483" s="17">
        <f t="shared" si="364"/>
        <v>173000</v>
      </c>
      <c r="S483" s="17">
        <f t="shared" si="364"/>
        <v>177000</v>
      </c>
      <c r="T483" s="26">
        <f t="shared" si="364"/>
        <v>162000</v>
      </c>
      <c r="U483" s="26">
        <f>SUM(U484:U485)</f>
        <v>147613.87</v>
      </c>
      <c r="V483" s="17">
        <f t="shared" si="364"/>
        <v>162000</v>
      </c>
      <c r="W483" s="17">
        <f t="shared" si="364"/>
        <v>162000</v>
      </c>
      <c r="X483" s="17">
        <f t="shared" si="364"/>
        <v>165000</v>
      </c>
      <c r="Y483" s="17">
        <f>SUM(Y484:Y485)</f>
        <v>57653.47</v>
      </c>
      <c r="Z483" s="17">
        <f t="shared" si="359"/>
        <v>35.590000000000003</v>
      </c>
      <c r="AA483" s="17">
        <f t="shared" si="331"/>
        <v>-14500</v>
      </c>
      <c r="AB483" s="17">
        <f t="shared" ref="AB483:AI483" si="365">SUM(AB484:AB485)</f>
        <v>147500</v>
      </c>
      <c r="AC483" s="17">
        <f t="shared" si="365"/>
        <v>103987.90000000001</v>
      </c>
      <c r="AD483" s="17">
        <f t="shared" si="316"/>
        <v>70.500271186440685</v>
      </c>
      <c r="AE483" s="17">
        <f t="shared" si="319"/>
        <v>0</v>
      </c>
      <c r="AF483" s="17">
        <f t="shared" si="365"/>
        <v>147500</v>
      </c>
      <c r="AG483" s="26">
        <f t="shared" si="365"/>
        <v>147500</v>
      </c>
      <c r="AH483" s="26">
        <f t="shared" si="365"/>
        <v>148600</v>
      </c>
      <c r="AI483" s="26">
        <f t="shared" si="365"/>
        <v>149200</v>
      </c>
      <c r="AJ483" s="162" t="b">
        <f t="shared" si="335"/>
        <v>1</v>
      </c>
      <c r="AK483" s="162" t="str">
        <f t="shared" si="336"/>
        <v>PRAZNO</v>
      </c>
      <c r="AM483" s="164"/>
    </row>
    <row r="484" spans="2:39" ht="15.75" x14ac:dyDescent="0.2">
      <c r="B484" s="177"/>
      <c r="C484" s="177"/>
      <c r="D484" s="177"/>
      <c r="E484" s="177">
        <v>3132</v>
      </c>
      <c r="F484" s="176">
        <v>11</v>
      </c>
      <c r="G484" s="176" t="s">
        <v>424</v>
      </c>
      <c r="H484" s="16" t="s">
        <v>202</v>
      </c>
      <c r="I484" s="18">
        <v>125000</v>
      </c>
      <c r="J484" s="18">
        <v>93485.04</v>
      </c>
      <c r="K484" s="18">
        <f t="shared" si="363"/>
        <v>74.790000000000006</v>
      </c>
      <c r="L484" s="18">
        <f t="shared" ref="L484:L497" si="366">M484-I484</f>
        <v>3437.3300000000017</v>
      </c>
      <c r="M484" s="18">
        <v>128437.33</v>
      </c>
      <c r="N484" s="18">
        <v>154000</v>
      </c>
      <c r="O484" s="18">
        <v>89620.59</v>
      </c>
      <c r="P484" s="26">
        <f t="shared" si="322"/>
        <v>-10000</v>
      </c>
      <c r="Q484" s="18">
        <v>154000</v>
      </c>
      <c r="R484" s="18">
        <v>155000</v>
      </c>
      <c r="S484" s="18">
        <v>158000</v>
      </c>
      <c r="T484" s="27">
        <v>144000</v>
      </c>
      <c r="U484" s="27">
        <v>131139.93</v>
      </c>
      <c r="V484" s="27">
        <v>144000</v>
      </c>
      <c r="W484" s="27">
        <v>144000</v>
      </c>
      <c r="X484" s="18">
        <v>146000</v>
      </c>
      <c r="Y484" s="27">
        <v>50870.74</v>
      </c>
      <c r="Z484" s="27">
        <f t="shared" si="359"/>
        <v>35.33</v>
      </c>
      <c r="AA484" s="27">
        <f t="shared" si="331"/>
        <v>-13000</v>
      </c>
      <c r="AB484" s="27">
        <v>131000</v>
      </c>
      <c r="AC484" s="27">
        <v>91754.07</v>
      </c>
      <c r="AD484" s="27">
        <f t="shared" si="316"/>
        <v>70.041274809160313</v>
      </c>
      <c r="AE484" s="27">
        <f t="shared" si="319"/>
        <v>0</v>
      </c>
      <c r="AF484" s="27">
        <v>131000</v>
      </c>
      <c r="AG484" s="27">
        <v>131000</v>
      </c>
      <c r="AH484" s="27">
        <v>131800</v>
      </c>
      <c r="AI484" s="27">
        <v>132200</v>
      </c>
      <c r="AJ484" s="162" t="b">
        <f t="shared" si="335"/>
        <v>0</v>
      </c>
      <c r="AK484" s="162" t="str">
        <f t="shared" si="336"/>
        <v>PUNO</v>
      </c>
      <c r="AM484" s="164"/>
    </row>
    <row r="485" spans="2:39" ht="30" x14ac:dyDescent="0.2">
      <c r="B485" s="177"/>
      <c r="C485" s="177"/>
      <c r="D485" s="177"/>
      <c r="E485" s="177">
        <v>3133</v>
      </c>
      <c r="F485" s="176">
        <v>11</v>
      </c>
      <c r="G485" s="176" t="s">
        <v>424</v>
      </c>
      <c r="H485" s="16" t="s">
        <v>203</v>
      </c>
      <c r="I485" s="18">
        <v>14000</v>
      </c>
      <c r="J485" s="18">
        <v>11074.53</v>
      </c>
      <c r="K485" s="18">
        <f t="shared" si="363"/>
        <v>79.099999999999994</v>
      </c>
      <c r="L485" s="18">
        <f t="shared" si="366"/>
        <v>1133.5599999999995</v>
      </c>
      <c r="M485" s="18">
        <v>15133.56</v>
      </c>
      <c r="N485" s="18">
        <v>18000</v>
      </c>
      <c r="O485" s="18">
        <v>10938.02</v>
      </c>
      <c r="P485" s="26">
        <f t="shared" si="322"/>
        <v>0</v>
      </c>
      <c r="Q485" s="18">
        <v>18000</v>
      </c>
      <c r="R485" s="18">
        <v>18000</v>
      </c>
      <c r="S485" s="18">
        <v>19000</v>
      </c>
      <c r="T485" s="27">
        <v>18000</v>
      </c>
      <c r="U485" s="27">
        <v>16473.939999999999</v>
      </c>
      <c r="V485" s="27">
        <v>18000</v>
      </c>
      <c r="W485" s="27">
        <v>18000</v>
      </c>
      <c r="X485" s="18">
        <v>19000</v>
      </c>
      <c r="Y485" s="27">
        <v>6782.73</v>
      </c>
      <c r="Z485" s="27">
        <f t="shared" si="359"/>
        <v>37.68</v>
      </c>
      <c r="AA485" s="27">
        <f t="shared" si="331"/>
        <v>-1500</v>
      </c>
      <c r="AB485" s="27">
        <v>16500</v>
      </c>
      <c r="AC485" s="27">
        <v>12233.83</v>
      </c>
      <c r="AD485" s="27">
        <f t="shared" si="316"/>
        <v>74.14442424242425</v>
      </c>
      <c r="AE485" s="27">
        <f t="shared" si="319"/>
        <v>0</v>
      </c>
      <c r="AF485" s="27">
        <v>16500</v>
      </c>
      <c r="AG485" s="27">
        <v>16500</v>
      </c>
      <c r="AH485" s="27">
        <v>16800</v>
      </c>
      <c r="AI485" s="27">
        <v>17000</v>
      </c>
      <c r="AJ485" s="162" t="b">
        <f t="shared" si="335"/>
        <v>0</v>
      </c>
      <c r="AK485" s="162" t="str">
        <f t="shared" si="336"/>
        <v>PUNO</v>
      </c>
      <c r="AM485" s="164"/>
    </row>
    <row r="486" spans="2:39" ht="15.75" x14ac:dyDescent="0.2">
      <c r="B486" s="175"/>
      <c r="C486" s="175">
        <v>32</v>
      </c>
      <c r="D486" s="175"/>
      <c r="E486" s="175"/>
      <c r="F486" s="175"/>
      <c r="G486" s="175"/>
      <c r="H486" s="15" t="s">
        <v>525</v>
      </c>
      <c r="I486" s="22">
        <f>I487+I491+I493+I495</f>
        <v>145000</v>
      </c>
      <c r="J486" s="22">
        <f>J487+J491+J493+J495</f>
        <v>85130.98000000001</v>
      </c>
      <c r="K486" s="22">
        <f t="shared" si="363"/>
        <v>58.71</v>
      </c>
      <c r="L486" s="22">
        <f t="shared" si="366"/>
        <v>-29828.790000000008</v>
      </c>
      <c r="M486" s="22">
        <f>M487+M491+M493+M495</f>
        <v>115171.20999999999</v>
      </c>
      <c r="N486" s="22">
        <f>N487+N491+N493+N495</f>
        <v>163000</v>
      </c>
      <c r="O486" s="22">
        <f>O487+O491+O493+O495</f>
        <v>97894.45</v>
      </c>
      <c r="P486" s="26">
        <f t="shared" si="322"/>
        <v>5000</v>
      </c>
      <c r="Q486" s="22">
        <f t="shared" ref="Q486:X486" si="367">Q487+Q491+Q493+Q495</f>
        <v>163000</v>
      </c>
      <c r="R486" s="22">
        <f t="shared" si="367"/>
        <v>157900</v>
      </c>
      <c r="S486" s="22">
        <f t="shared" si="367"/>
        <v>162300</v>
      </c>
      <c r="T486" s="38">
        <f t="shared" si="367"/>
        <v>168000</v>
      </c>
      <c r="U486" s="38">
        <f>U487+U491+U493+U495</f>
        <v>153566.29</v>
      </c>
      <c r="V486" s="22">
        <f t="shared" si="367"/>
        <v>168000</v>
      </c>
      <c r="W486" s="22">
        <f t="shared" si="367"/>
        <v>168000</v>
      </c>
      <c r="X486" s="22">
        <f t="shared" si="367"/>
        <v>152000</v>
      </c>
      <c r="Y486" s="22">
        <f>Y487+Y491+Y493+Y495</f>
        <v>52517.89</v>
      </c>
      <c r="Z486" s="22">
        <f t="shared" si="359"/>
        <v>31.26</v>
      </c>
      <c r="AA486" s="22">
        <f t="shared" si="331"/>
        <v>4200</v>
      </c>
      <c r="AB486" s="22">
        <f t="shared" ref="AB486:AG486" si="368">AB487+AB491+AB493+AB495</f>
        <v>172200</v>
      </c>
      <c r="AC486" s="22">
        <f t="shared" si="368"/>
        <v>93314.000000000015</v>
      </c>
      <c r="AD486" s="22">
        <f t="shared" si="316"/>
        <v>54.189314750290372</v>
      </c>
      <c r="AE486" s="22">
        <f t="shared" si="319"/>
        <v>0</v>
      </c>
      <c r="AF486" s="22">
        <f t="shared" si="368"/>
        <v>172200</v>
      </c>
      <c r="AG486" s="38">
        <f t="shared" si="368"/>
        <v>164200</v>
      </c>
      <c r="AH486" s="38">
        <f>AH487+AH491+AH493+AH495</f>
        <v>164200</v>
      </c>
      <c r="AI486" s="38">
        <f>AI487+AI491+AI493+AI495</f>
        <v>164200</v>
      </c>
      <c r="AJ486" s="162" t="b">
        <f t="shared" si="335"/>
        <v>1</v>
      </c>
      <c r="AK486" s="162" t="str">
        <f t="shared" si="336"/>
        <v>PRAZNO</v>
      </c>
      <c r="AM486" s="164"/>
    </row>
    <row r="487" spans="2:39" ht="15.75" x14ac:dyDescent="0.2">
      <c r="B487" s="177"/>
      <c r="C487" s="177"/>
      <c r="D487" s="177">
        <v>321</v>
      </c>
      <c r="E487" s="177"/>
      <c r="F487" s="177"/>
      <c r="G487" s="177"/>
      <c r="H487" s="16" t="s">
        <v>564</v>
      </c>
      <c r="I487" s="17">
        <f>SUM(I488:I490)</f>
        <v>80000</v>
      </c>
      <c r="J487" s="17">
        <f>SUM(J488:J490)</f>
        <v>44425.560000000005</v>
      </c>
      <c r="K487" s="17">
        <f t="shared" si="363"/>
        <v>55.53</v>
      </c>
      <c r="L487" s="17">
        <f t="shared" si="366"/>
        <v>-16408.830000000002</v>
      </c>
      <c r="M487" s="17">
        <f>SUM(M488:M490)</f>
        <v>63591.17</v>
      </c>
      <c r="N487" s="17">
        <f>SUM(N488:N490)</f>
        <v>101000</v>
      </c>
      <c r="O487" s="17">
        <f>SUM(O488:O490)</f>
        <v>66955.549999999988</v>
      </c>
      <c r="P487" s="26">
        <f t="shared" si="322"/>
        <v>5000</v>
      </c>
      <c r="Q487" s="17">
        <f t="shared" ref="Q487:X487" si="369">SUM(Q488:Q490)</f>
        <v>101000</v>
      </c>
      <c r="R487" s="17">
        <f t="shared" si="369"/>
        <v>85900</v>
      </c>
      <c r="S487" s="17">
        <f t="shared" si="369"/>
        <v>89300</v>
      </c>
      <c r="T487" s="26">
        <f t="shared" si="369"/>
        <v>106000</v>
      </c>
      <c r="U487" s="26">
        <f>SUM(U488:U490)</f>
        <v>101747.75</v>
      </c>
      <c r="V487" s="17">
        <f t="shared" si="369"/>
        <v>106000</v>
      </c>
      <c r="W487" s="17">
        <f t="shared" si="369"/>
        <v>106000</v>
      </c>
      <c r="X487" s="17">
        <f t="shared" si="369"/>
        <v>88000</v>
      </c>
      <c r="Y487" s="17">
        <f>SUM(Y488:Y490)</f>
        <v>39544.54</v>
      </c>
      <c r="Z487" s="17">
        <f t="shared" si="359"/>
        <v>37.31</v>
      </c>
      <c r="AA487" s="17">
        <f t="shared" si="331"/>
        <v>9200</v>
      </c>
      <c r="AB487" s="17">
        <f t="shared" ref="AB487:AG487" si="370">SUM(AB488:AB490)</f>
        <v>115200</v>
      </c>
      <c r="AC487" s="17">
        <f t="shared" si="370"/>
        <v>71396.98000000001</v>
      </c>
      <c r="AD487" s="17">
        <f t="shared" si="316"/>
        <v>61.976545138888895</v>
      </c>
      <c r="AE487" s="17">
        <f t="shared" si="319"/>
        <v>0</v>
      </c>
      <c r="AF487" s="17">
        <f t="shared" si="370"/>
        <v>115200</v>
      </c>
      <c r="AG487" s="26">
        <f t="shared" si="370"/>
        <v>112200</v>
      </c>
      <c r="AH487" s="26">
        <f>SUM(AH488:AH490)</f>
        <v>112200</v>
      </c>
      <c r="AI487" s="26">
        <f>SUM(AI488:AI490)</f>
        <v>112200</v>
      </c>
      <c r="AJ487" s="162" t="b">
        <f t="shared" si="335"/>
        <v>1</v>
      </c>
      <c r="AK487" s="162" t="str">
        <f t="shared" si="336"/>
        <v>PRAZNO</v>
      </c>
      <c r="AM487" s="164"/>
    </row>
    <row r="488" spans="2:39" ht="15.75" x14ac:dyDescent="0.2">
      <c r="B488" s="177"/>
      <c r="C488" s="177"/>
      <c r="D488" s="177"/>
      <c r="E488" s="177">
        <v>3211</v>
      </c>
      <c r="F488" s="176">
        <v>11</v>
      </c>
      <c r="G488" s="176" t="s">
        <v>424</v>
      </c>
      <c r="H488" s="16" t="s">
        <v>565</v>
      </c>
      <c r="I488" s="18">
        <v>24000</v>
      </c>
      <c r="J488" s="18">
        <v>6880.76</v>
      </c>
      <c r="K488" s="18">
        <f t="shared" si="363"/>
        <v>28.67</v>
      </c>
      <c r="L488" s="18">
        <f t="shared" si="366"/>
        <v>-12258.93</v>
      </c>
      <c r="M488" s="18">
        <v>11741.07</v>
      </c>
      <c r="N488" s="18">
        <v>30000</v>
      </c>
      <c r="O488" s="18">
        <v>24948.85</v>
      </c>
      <c r="P488" s="26">
        <f t="shared" si="322"/>
        <v>5000</v>
      </c>
      <c r="Q488" s="18">
        <v>30000</v>
      </c>
      <c r="R488" s="18">
        <v>21000</v>
      </c>
      <c r="S488" s="18">
        <v>23000</v>
      </c>
      <c r="T488" s="27">
        <v>35000</v>
      </c>
      <c r="U488" s="27">
        <v>26797.65</v>
      </c>
      <c r="V488" s="27">
        <v>35000</v>
      </c>
      <c r="W488" s="27">
        <v>35000</v>
      </c>
      <c r="X488" s="27">
        <v>40000</v>
      </c>
      <c r="Y488" s="27">
        <v>4295.9399999999996</v>
      </c>
      <c r="Z488" s="27">
        <f t="shared" si="359"/>
        <v>12.27</v>
      </c>
      <c r="AA488" s="27">
        <f t="shared" si="331"/>
        <v>-5000</v>
      </c>
      <c r="AB488" s="27">
        <v>30000</v>
      </c>
      <c r="AC488" s="27">
        <v>11751.18</v>
      </c>
      <c r="AD488" s="27">
        <f t="shared" ref="AD488:AD557" si="371">AC488/AB488*100</f>
        <v>39.1706</v>
      </c>
      <c r="AE488" s="27">
        <f t="shared" si="319"/>
        <v>0</v>
      </c>
      <c r="AF488" s="27">
        <v>30000</v>
      </c>
      <c r="AG488" s="27">
        <v>27000</v>
      </c>
      <c r="AH488" s="27">
        <v>27000</v>
      </c>
      <c r="AI488" s="27">
        <v>27000</v>
      </c>
      <c r="AJ488" s="162" t="b">
        <f t="shared" si="335"/>
        <v>0</v>
      </c>
      <c r="AK488" s="162" t="str">
        <f t="shared" si="336"/>
        <v>PUNO</v>
      </c>
      <c r="AM488" s="164"/>
    </row>
    <row r="489" spans="2:39" ht="15.75" x14ac:dyDescent="0.2">
      <c r="B489" s="177"/>
      <c r="C489" s="177"/>
      <c r="D489" s="177"/>
      <c r="E489" s="177">
        <v>3212</v>
      </c>
      <c r="F489" s="176">
        <v>11</v>
      </c>
      <c r="G489" s="176" t="s">
        <v>424</v>
      </c>
      <c r="H489" s="16" t="s">
        <v>220</v>
      </c>
      <c r="I489" s="18">
        <v>52000</v>
      </c>
      <c r="J489" s="18">
        <v>35294.800000000003</v>
      </c>
      <c r="K489" s="18">
        <f t="shared" si="363"/>
        <v>67.87</v>
      </c>
      <c r="L489" s="18">
        <f t="shared" si="366"/>
        <v>-2399.9000000000015</v>
      </c>
      <c r="M489" s="18">
        <v>49600.1</v>
      </c>
      <c r="N489" s="18">
        <v>65000</v>
      </c>
      <c r="O489" s="18">
        <v>39839.199999999997</v>
      </c>
      <c r="P489" s="26">
        <f t="shared" si="322"/>
        <v>0</v>
      </c>
      <c r="Q489" s="18">
        <v>65000</v>
      </c>
      <c r="R489" s="18">
        <v>59900</v>
      </c>
      <c r="S489" s="18">
        <v>61300</v>
      </c>
      <c r="T489" s="27">
        <v>65000</v>
      </c>
      <c r="U489" s="27">
        <v>69282.600000000006</v>
      </c>
      <c r="V489" s="27">
        <v>65000</v>
      </c>
      <c r="W489" s="27">
        <v>65000</v>
      </c>
      <c r="X489" s="18">
        <v>42000</v>
      </c>
      <c r="Y489" s="27">
        <v>34748.6</v>
      </c>
      <c r="Z489" s="27">
        <f t="shared" si="359"/>
        <v>53.46</v>
      </c>
      <c r="AA489" s="27">
        <f t="shared" si="331"/>
        <v>14200</v>
      </c>
      <c r="AB489" s="27">
        <v>79200</v>
      </c>
      <c r="AC489" s="27">
        <v>58645.8</v>
      </c>
      <c r="AD489" s="27">
        <f t="shared" si="371"/>
        <v>74.047727272727286</v>
      </c>
      <c r="AE489" s="27">
        <f t="shared" si="319"/>
        <v>0</v>
      </c>
      <c r="AF489" s="27">
        <v>79200</v>
      </c>
      <c r="AG489" s="27">
        <v>79200</v>
      </c>
      <c r="AH489" s="27">
        <v>79200</v>
      </c>
      <c r="AI489" s="27">
        <v>79200</v>
      </c>
      <c r="AJ489" s="162" t="b">
        <f t="shared" si="335"/>
        <v>0</v>
      </c>
      <c r="AK489" s="162" t="str">
        <f t="shared" si="336"/>
        <v>PUNO</v>
      </c>
      <c r="AM489" s="164"/>
    </row>
    <row r="490" spans="2:39" ht="15.75" x14ac:dyDescent="0.2">
      <c r="B490" s="177"/>
      <c r="C490" s="177"/>
      <c r="D490" s="177"/>
      <c r="E490" s="177">
        <v>3213</v>
      </c>
      <c r="F490" s="176">
        <v>11</v>
      </c>
      <c r="G490" s="176" t="s">
        <v>424</v>
      </c>
      <c r="H490" s="16" t="s">
        <v>221</v>
      </c>
      <c r="I490" s="18">
        <v>4000</v>
      </c>
      <c r="J490" s="18">
        <v>2250</v>
      </c>
      <c r="K490" s="18">
        <f t="shared" si="363"/>
        <v>56.25</v>
      </c>
      <c r="L490" s="18">
        <f t="shared" si="366"/>
        <v>-1750</v>
      </c>
      <c r="M490" s="18">
        <v>2250</v>
      </c>
      <c r="N490" s="18">
        <v>6000</v>
      </c>
      <c r="O490" s="18">
        <v>2167.5</v>
      </c>
      <c r="P490" s="26">
        <f t="shared" si="322"/>
        <v>0</v>
      </c>
      <c r="Q490" s="18">
        <v>6000</v>
      </c>
      <c r="R490" s="18">
        <v>5000</v>
      </c>
      <c r="S490" s="18">
        <v>5000</v>
      </c>
      <c r="T490" s="27">
        <v>6000</v>
      </c>
      <c r="U490" s="27">
        <v>5667.5</v>
      </c>
      <c r="V490" s="27">
        <v>6000</v>
      </c>
      <c r="W490" s="27">
        <v>6000</v>
      </c>
      <c r="X490" s="27">
        <v>6000</v>
      </c>
      <c r="Y490" s="27">
        <v>500</v>
      </c>
      <c r="Z490" s="27">
        <f t="shared" si="359"/>
        <v>8.33</v>
      </c>
      <c r="AA490" s="27">
        <f t="shared" si="331"/>
        <v>0</v>
      </c>
      <c r="AB490" s="27">
        <v>6000</v>
      </c>
      <c r="AC490" s="27">
        <v>1000</v>
      </c>
      <c r="AD490" s="27">
        <f t="shared" si="371"/>
        <v>16.666666666666664</v>
      </c>
      <c r="AE490" s="27">
        <f t="shared" si="319"/>
        <v>0</v>
      </c>
      <c r="AF490" s="27">
        <v>6000</v>
      </c>
      <c r="AG490" s="27">
        <v>6000</v>
      </c>
      <c r="AH490" s="27">
        <v>6000</v>
      </c>
      <c r="AI490" s="27">
        <v>6000</v>
      </c>
      <c r="AJ490" s="162" t="b">
        <f t="shared" si="335"/>
        <v>0</v>
      </c>
      <c r="AK490" s="162" t="str">
        <f t="shared" si="336"/>
        <v>PUNO</v>
      </c>
      <c r="AM490" s="164"/>
    </row>
    <row r="491" spans="2:39" ht="15.75" x14ac:dyDescent="0.2">
      <c r="B491" s="177"/>
      <c r="C491" s="177"/>
      <c r="D491" s="177">
        <v>322</v>
      </c>
      <c r="E491" s="177"/>
      <c r="F491" s="177"/>
      <c r="G491" s="177"/>
      <c r="H491" s="16" t="s">
        <v>547</v>
      </c>
      <c r="I491" s="17">
        <f>I492</f>
        <v>33000</v>
      </c>
      <c r="J491" s="17">
        <f>J492</f>
        <v>26591.93</v>
      </c>
      <c r="K491" s="17">
        <f t="shared" si="363"/>
        <v>80.58</v>
      </c>
      <c r="L491" s="17">
        <f t="shared" si="366"/>
        <v>-2261.9300000000003</v>
      </c>
      <c r="M491" s="17">
        <f>M492</f>
        <v>30738.07</v>
      </c>
      <c r="N491" s="17">
        <f>N492</f>
        <v>38000</v>
      </c>
      <c r="O491" s="17">
        <f>O492</f>
        <v>20640.099999999999</v>
      </c>
      <c r="P491" s="26">
        <f t="shared" si="322"/>
        <v>0</v>
      </c>
      <c r="Q491" s="17">
        <f t="shared" ref="Q491:AI491" si="372">Q492</f>
        <v>38000</v>
      </c>
      <c r="R491" s="17">
        <f t="shared" si="372"/>
        <v>39000</v>
      </c>
      <c r="S491" s="17">
        <f t="shared" si="372"/>
        <v>39000</v>
      </c>
      <c r="T491" s="26">
        <f t="shared" si="372"/>
        <v>38000</v>
      </c>
      <c r="U491" s="26">
        <f t="shared" si="372"/>
        <v>35380.04</v>
      </c>
      <c r="V491" s="17">
        <f t="shared" si="372"/>
        <v>38000</v>
      </c>
      <c r="W491" s="17">
        <f t="shared" si="372"/>
        <v>38000</v>
      </c>
      <c r="X491" s="17">
        <f t="shared" si="372"/>
        <v>39000</v>
      </c>
      <c r="Y491" s="17">
        <f t="shared" si="372"/>
        <v>3488.63</v>
      </c>
      <c r="Z491" s="17">
        <f t="shared" si="359"/>
        <v>9.18</v>
      </c>
      <c r="AA491" s="17">
        <f t="shared" si="331"/>
        <v>-8000</v>
      </c>
      <c r="AB491" s="17">
        <f t="shared" si="372"/>
        <v>30000</v>
      </c>
      <c r="AC491" s="17">
        <f t="shared" si="372"/>
        <v>6153.61</v>
      </c>
      <c r="AD491" s="17">
        <f t="shared" si="371"/>
        <v>20.512033333333331</v>
      </c>
      <c r="AE491" s="17">
        <f t="shared" si="319"/>
        <v>0</v>
      </c>
      <c r="AF491" s="17">
        <f t="shared" si="372"/>
        <v>30000</v>
      </c>
      <c r="AG491" s="26">
        <f t="shared" si="372"/>
        <v>25000</v>
      </c>
      <c r="AH491" s="26">
        <f t="shared" si="372"/>
        <v>25000</v>
      </c>
      <c r="AI491" s="26">
        <f t="shared" si="372"/>
        <v>25000</v>
      </c>
      <c r="AJ491" s="162" t="b">
        <f t="shared" si="335"/>
        <v>1</v>
      </c>
      <c r="AK491" s="162" t="str">
        <f t="shared" si="336"/>
        <v>PRAZNO</v>
      </c>
      <c r="AM491" s="164"/>
    </row>
    <row r="492" spans="2:39" ht="15.75" x14ac:dyDescent="0.2">
      <c r="B492" s="177"/>
      <c r="C492" s="177"/>
      <c r="D492" s="177"/>
      <c r="E492" s="177">
        <v>3221</v>
      </c>
      <c r="F492" s="176">
        <v>11</v>
      </c>
      <c r="G492" s="176" t="s">
        <v>424</v>
      </c>
      <c r="H492" s="16" t="s">
        <v>548</v>
      </c>
      <c r="I492" s="18">
        <v>33000</v>
      </c>
      <c r="J492" s="18">
        <v>26591.93</v>
      </c>
      <c r="K492" s="18">
        <f t="shared" si="363"/>
        <v>80.58</v>
      </c>
      <c r="L492" s="18">
        <f t="shared" si="366"/>
        <v>-2261.9300000000003</v>
      </c>
      <c r="M492" s="18">
        <v>30738.07</v>
      </c>
      <c r="N492" s="18">
        <v>38000</v>
      </c>
      <c r="O492" s="18">
        <v>20640.099999999999</v>
      </c>
      <c r="P492" s="26">
        <f t="shared" si="322"/>
        <v>0</v>
      </c>
      <c r="Q492" s="18">
        <v>38000</v>
      </c>
      <c r="R492" s="18">
        <v>39000</v>
      </c>
      <c r="S492" s="18">
        <v>39000</v>
      </c>
      <c r="T492" s="27">
        <v>38000</v>
      </c>
      <c r="U492" s="27">
        <v>35380.04</v>
      </c>
      <c r="V492" s="27">
        <v>38000</v>
      </c>
      <c r="W492" s="27">
        <v>38000</v>
      </c>
      <c r="X492" s="18">
        <v>39000</v>
      </c>
      <c r="Y492" s="27">
        <v>3488.63</v>
      </c>
      <c r="Z492" s="27">
        <f t="shared" si="359"/>
        <v>9.18</v>
      </c>
      <c r="AA492" s="27">
        <f t="shared" si="331"/>
        <v>-8000</v>
      </c>
      <c r="AB492" s="27">
        <v>30000</v>
      </c>
      <c r="AC492" s="27">
        <v>6153.61</v>
      </c>
      <c r="AD492" s="27">
        <f t="shared" si="371"/>
        <v>20.512033333333331</v>
      </c>
      <c r="AE492" s="27">
        <f t="shared" si="319"/>
        <v>0</v>
      </c>
      <c r="AF492" s="27">
        <v>30000</v>
      </c>
      <c r="AG492" s="27">
        <v>25000</v>
      </c>
      <c r="AH492" s="27">
        <v>25000</v>
      </c>
      <c r="AI492" s="27">
        <v>25000</v>
      </c>
      <c r="AJ492" s="162" t="b">
        <f t="shared" si="335"/>
        <v>0</v>
      </c>
      <c r="AK492" s="162" t="str">
        <f t="shared" si="336"/>
        <v>PUNO</v>
      </c>
      <c r="AM492" s="164"/>
    </row>
    <row r="493" spans="2:39" ht="15.75" x14ac:dyDescent="0.2">
      <c r="B493" s="177"/>
      <c r="C493" s="177"/>
      <c r="D493" s="177">
        <v>323</v>
      </c>
      <c r="E493" s="177"/>
      <c r="F493" s="177"/>
      <c r="G493" s="177"/>
      <c r="H493" s="16" t="s">
        <v>526</v>
      </c>
      <c r="I493" s="17">
        <f>I494</f>
        <v>18000</v>
      </c>
      <c r="J493" s="17">
        <f>J494</f>
        <v>9118.68</v>
      </c>
      <c r="K493" s="17">
        <f t="shared" si="363"/>
        <v>50.66</v>
      </c>
      <c r="L493" s="17">
        <f t="shared" si="366"/>
        <v>-4712.84</v>
      </c>
      <c r="M493" s="17">
        <f>M494</f>
        <v>13287.16</v>
      </c>
      <c r="N493" s="17">
        <f>N494</f>
        <v>14000</v>
      </c>
      <c r="O493" s="17">
        <f>O494</f>
        <v>5968.3</v>
      </c>
      <c r="P493" s="26">
        <f t="shared" si="322"/>
        <v>0</v>
      </c>
      <c r="Q493" s="17">
        <f t="shared" ref="Q493:AI493" si="373">Q494</f>
        <v>14000</v>
      </c>
      <c r="R493" s="17">
        <f t="shared" si="373"/>
        <v>18000</v>
      </c>
      <c r="S493" s="17">
        <f t="shared" si="373"/>
        <v>19000</v>
      </c>
      <c r="T493" s="26">
        <f t="shared" si="373"/>
        <v>14000</v>
      </c>
      <c r="U493" s="26">
        <f t="shared" si="373"/>
        <v>11183</v>
      </c>
      <c r="V493" s="17">
        <f t="shared" si="373"/>
        <v>14000</v>
      </c>
      <c r="W493" s="17">
        <f t="shared" si="373"/>
        <v>14000</v>
      </c>
      <c r="X493" s="17">
        <f t="shared" si="373"/>
        <v>15000</v>
      </c>
      <c r="Y493" s="17">
        <f t="shared" si="373"/>
        <v>2625.97</v>
      </c>
      <c r="Z493" s="17">
        <f t="shared" si="359"/>
        <v>18.760000000000002</v>
      </c>
      <c r="AA493" s="17">
        <f t="shared" si="331"/>
        <v>0</v>
      </c>
      <c r="AB493" s="17">
        <f t="shared" si="373"/>
        <v>14000</v>
      </c>
      <c r="AC493" s="17">
        <f t="shared" si="373"/>
        <v>5802.16</v>
      </c>
      <c r="AD493" s="17">
        <f t="shared" si="371"/>
        <v>41.443999999999996</v>
      </c>
      <c r="AE493" s="17">
        <f t="shared" si="319"/>
        <v>0</v>
      </c>
      <c r="AF493" s="17">
        <f t="shared" si="373"/>
        <v>14000</v>
      </c>
      <c r="AG493" s="26">
        <f t="shared" si="373"/>
        <v>14000</v>
      </c>
      <c r="AH493" s="26">
        <f t="shared" si="373"/>
        <v>14000</v>
      </c>
      <c r="AI493" s="26">
        <f t="shared" si="373"/>
        <v>14000</v>
      </c>
      <c r="AJ493" s="162" t="b">
        <f t="shared" si="335"/>
        <v>1</v>
      </c>
      <c r="AK493" s="162" t="str">
        <f t="shared" si="336"/>
        <v>PRAZNO</v>
      </c>
      <c r="AM493" s="164"/>
    </row>
    <row r="494" spans="2:39" ht="15.75" x14ac:dyDescent="0.2">
      <c r="B494" s="177"/>
      <c r="C494" s="177"/>
      <c r="D494" s="177"/>
      <c r="E494" s="177">
        <v>3231</v>
      </c>
      <c r="F494" s="176">
        <v>11</v>
      </c>
      <c r="G494" s="176" t="s">
        <v>424</v>
      </c>
      <c r="H494" s="16" t="s">
        <v>206</v>
      </c>
      <c r="I494" s="18">
        <v>18000</v>
      </c>
      <c r="J494" s="18">
        <v>9118.68</v>
      </c>
      <c r="K494" s="18">
        <f t="shared" si="363"/>
        <v>50.66</v>
      </c>
      <c r="L494" s="18">
        <f t="shared" si="366"/>
        <v>-4712.84</v>
      </c>
      <c r="M494" s="18">
        <v>13287.16</v>
      </c>
      <c r="N494" s="18">
        <v>14000</v>
      </c>
      <c r="O494" s="18">
        <v>5968.3</v>
      </c>
      <c r="P494" s="26">
        <f t="shared" si="322"/>
        <v>0</v>
      </c>
      <c r="Q494" s="18">
        <v>14000</v>
      </c>
      <c r="R494" s="18">
        <v>18000</v>
      </c>
      <c r="S494" s="18">
        <v>19000</v>
      </c>
      <c r="T494" s="27">
        <v>14000</v>
      </c>
      <c r="U494" s="27">
        <v>11183</v>
      </c>
      <c r="V494" s="27">
        <v>14000</v>
      </c>
      <c r="W494" s="27">
        <v>14000</v>
      </c>
      <c r="X494" s="18">
        <v>15000</v>
      </c>
      <c r="Y494" s="27">
        <v>2625.97</v>
      </c>
      <c r="Z494" s="27">
        <f t="shared" si="359"/>
        <v>18.760000000000002</v>
      </c>
      <c r="AA494" s="27">
        <f t="shared" si="331"/>
        <v>0</v>
      </c>
      <c r="AB494" s="27">
        <v>14000</v>
      </c>
      <c r="AC494" s="27">
        <v>5802.16</v>
      </c>
      <c r="AD494" s="27">
        <f t="shared" si="371"/>
        <v>41.443999999999996</v>
      </c>
      <c r="AE494" s="27">
        <f t="shared" si="319"/>
        <v>0</v>
      </c>
      <c r="AF494" s="27">
        <v>14000</v>
      </c>
      <c r="AG494" s="27">
        <v>14000</v>
      </c>
      <c r="AH494" s="27">
        <v>14000</v>
      </c>
      <c r="AI494" s="27">
        <v>14000</v>
      </c>
      <c r="AJ494" s="162" t="b">
        <f t="shared" si="335"/>
        <v>0</v>
      </c>
      <c r="AK494" s="162" t="str">
        <f t="shared" si="336"/>
        <v>PUNO</v>
      </c>
      <c r="AM494" s="164"/>
    </row>
    <row r="495" spans="2:39" ht="15.75" x14ac:dyDescent="0.2">
      <c r="B495" s="177"/>
      <c r="C495" s="177"/>
      <c r="D495" s="177">
        <v>329</v>
      </c>
      <c r="E495" s="177"/>
      <c r="F495" s="177"/>
      <c r="G495" s="177"/>
      <c r="H495" s="16" t="s">
        <v>531</v>
      </c>
      <c r="I495" s="17">
        <f>I496</f>
        <v>14000</v>
      </c>
      <c r="J495" s="17">
        <f>J496</f>
        <v>4994.8100000000004</v>
      </c>
      <c r="K495" s="17">
        <f t="shared" si="363"/>
        <v>35.68</v>
      </c>
      <c r="L495" s="17">
        <f t="shared" si="366"/>
        <v>-6445.19</v>
      </c>
      <c r="M495" s="17">
        <f>M496</f>
        <v>7554.81</v>
      </c>
      <c r="N495" s="17">
        <f>N496</f>
        <v>10000</v>
      </c>
      <c r="O495" s="17">
        <f>O496</f>
        <v>4330.5</v>
      </c>
      <c r="P495" s="26">
        <f t="shared" si="322"/>
        <v>0</v>
      </c>
      <c r="Q495" s="17">
        <f t="shared" ref="Q495:AI495" si="374">Q496</f>
        <v>10000</v>
      </c>
      <c r="R495" s="17">
        <f t="shared" si="374"/>
        <v>15000</v>
      </c>
      <c r="S495" s="17">
        <f t="shared" si="374"/>
        <v>15000</v>
      </c>
      <c r="T495" s="26">
        <f t="shared" si="374"/>
        <v>10000</v>
      </c>
      <c r="U495" s="26">
        <f t="shared" si="374"/>
        <v>5255.5</v>
      </c>
      <c r="V495" s="17">
        <f t="shared" si="374"/>
        <v>10000</v>
      </c>
      <c r="W495" s="17">
        <f t="shared" si="374"/>
        <v>10000</v>
      </c>
      <c r="X495" s="17">
        <f t="shared" si="374"/>
        <v>10000</v>
      </c>
      <c r="Y495" s="17">
        <f t="shared" si="374"/>
        <v>6858.75</v>
      </c>
      <c r="Z495" s="17">
        <f t="shared" si="359"/>
        <v>68.59</v>
      </c>
      <c r="AA495" s="17">
        <f t="shared" si="331"/>
        <v>3000</v>
      </c>
      <c r="AB495" s="17">
        <f t="shared" si="374"/>
        <v>13000</v>
      </c>
      <c r="AC495" s="17">
        <f t="shared" si="374"/>
        <v>9961.25</v>
      </c>
      <c r="AD495" s="17">
        <f t="shared" si="371"/>
        <v>76.625</v>
      </c>
      <c r="AE495" s="17">
        <f t="shared" ref="AE495:AE564" si="375">AF495-AB495</f>
        <v>0</v>
      </c>
      <c r="AF495" s="17">
        <f t="shared" si="374"/>
        <v>13000</v>
      </c>
      <c r="AG495" s="26">
        <f t="shared" si="374"/>
        <v>13000</v>
      </c>
      <c r="AH495" s="26">
        <f t="shared" si="374"/>
        <v>13000</v>
      </c>
      <c r="AI495" s="26">
        <f t="shared" si="374"/>
        <v>13000</v>
      </c>
      <c r="AJ495" s="162" t="b">
        <f t="shared" si="335"/>
        <v>1</v>
      </c>
      <c r="AK495" s="162" t="str">
        <f t="shared" si="336"/>
        <v>PRAZNO</v>
      </c>
      <c r="AM495" s="164"/>
    </row>
    <row r="496" spans="2:39" ht="15.75" x14ac:dyDescent="0.2">
      <c r="B496" s="177"/>
      <c r="C496" s="177"/>
      <c r="D496" s="177"/>
      <c r="E496" s="177">
        <v>3299</v>
      </c>
      <c r="F496" s="176">
        <v>11</v>
      </c>
      <c r="G496" s="176" t="s">
        <v>424</v>
      </c>
      <c r="H496" s="16" t="s">
        <v>531</v>
      </c>
      <c r="I496" s="18">
        <v>14000</v>
      </c>
      <c r="J496" s="18">
        <v>4994.8100000000004</v>
      </c>
      <c r="K496" s="18">
        <f t="shared" si="363"/>
        <v>35.68</v>
      </c>
      <c r="L496" s="18">
        <f t="shared" si="366"/>
        <v>-6445.19</v>
      </c>
      <c r="M496" s="18">
        <v>7554.81</v>
      </c>
      <c r="N496" s="18">
        <v>10000</v>
      </c>
      <c r="O496" s="18">
        <v>4330.5</v>
      </c>
      <c r="P496" s="26">
        <f t="shared" si="322"/>
        <v>0</v>
      </c>
      <c r="Q496" s="18">
        <v>10000</v>
      </c>
      <c r="R496" s="18">
        <v>15000</v>
      </c>
      <c r="S496" s="18">
        <v>15000</v>
      </c>
      <c r="T496" s="27">
        <v>10000</v>
      </c>
      <c r="U496" s="27">
        <v>5255.5</v>
      </c>
      <c r="V496" s="27">
        <v>10000</v>
      </c>
      <c r="W496" s="27">
        <v>10000</v>
      </c>
      <c r="X496" s="27">
        <v>10000</v>
      </c>
      <c r="Y496" s="27">
        <v>6858.75</v>
      </c>
      <c r="Z496" s="27">
        <f t="shared" si="359"/>
        <v>68.59</v>
      </c>
      <c r="AA496" s="27">
        <f t="shared" si="331"/>
        <v>3000</v>
      </c>
      <c r="AB496" s="27">
        <v>13000</v>
      </c>
      <c r="AC496" s="27">
        <v>9961.25</v>
      </c>
      <c r="AD496" s="27">
        <f t="shared" si="371"/>
        <v>76.625</v>
      </c>
      <c r="AE496" s="27">
        <f t="shared" si="375"/>
        <v>0</v>
      </c>
      <c r="AF496" s="27">
        <v>13000</v>
      </c>
      <c r="AG496" s="27">
        <v>13000</v>
      </c>
      <c r="AH496" s="27">
        <v>13000</v>
      </c>
      <c r="AI496" s="27">
        <v>13000</v>
      </c>
      <c r="AJ496" s="162" t="b">
        <f t="shared" si="335"/>
        <v>0</v>
      </c>
      <c r="AK496" s="162" t="str">
        <f t="shared" si="336"/>
        <v>PUNO</v>
      </c>
      <c r="AM496" s="164"/>
    </row>
    <row r="497" spans="1:39" s="171" customFormat="1" ht="31.5" x14ac:dyDescent="0.2">
      <c r="A497" s="259"/>
      <c r="B497" s="168"/>
      <c r="C497" s="168"/>
      <c r="D497" s="168"/>
      <c r="E497" s="168"/>
      <c r="F497" s="168"/>
      <c r="G497" s="168"/>
      <c r="H497" s="12" t="s">
        <v>155</v>
      </c>
      <c r="I497" s="169">
        <f>I499</f>
        <v>6000</v>
      </c>
      <c r="J497" s="169">
        <f>J499</f>
        <v>4207.29</v>
      </c>
      <c r="K497" s="169">
        <f t="shared" si="363"/>
        <v>70.12</v>
      </c>
      <c r="L497" s="169">
        <f t="shared" si="366"/>
        <v>3977.3199999999997</v>
      </c>
      <c r="M497" s="19">
        <f>M499</f>
        <v>9977.32</v>
      </c>
      <c r="N497" s="19">
        <f>N499</f>
        <v>5000</v>
      </c>
      <c r="O497" s="19">
        <f>O499</f>
        <v>0</v>
      </c>
      <c r="P497" s="303">
        <f t="shared" si="322"/>
        <v>0</v>
      </c>
      <c r="Q497" s="19">
        <f t="shared" ref="Q497:X497" si="376">Q499</f>
        <v>5000</v>
      </c>
      <c r="R497" s="19">
        <f t="shared" si="376"/>
        <v>5000</v>
      </c>
      <c r="S497" s="19">
        <f t="shared" si="376"/>
        <v>5000</v>
      </c>
      <c r="T497" s="53">
        <f t="shared" si="376"/>
        <v>5000</v>
      </c>
      <c r="U497" s="53">
        <f>U499</f>
        <v>0</v>
      </c>
      <c r="V497" s="19">
        <f t="shared" si="376"/>
        <v>15000</v>
      </c>
      <c r="W497" s="19">
        <f t="shared" si="376"/>
        <v>5000</v>
      </c>
      <c r="X497" s="19">
        <f t="shared" si="376"/>
        <v>5000</v>
      </c>
      <c r="Y497" s="19">
        <f>Y499</f>
        <v>0</v>
      </c>
      <c r="Z497" s="19">
        <f t="shared" si="359"/>
        <v>0</v>
      </c>
      <c r="AA497" s="19">
        <f t="shared" si="331"/>
        <v>0</v>
      </c>
      <c r="AB497" s="19">
        <f t="shared" ref="AB497:AI497" si="377">AB499</f>
        <v>15000</v>
      </c>
      <c r="AC497" s="19">
        <f t="shared" si="377"/>
        <v>12085.48</v>
      </c>
      <c r="AD497" s="19">
        <f t="shared" si="371"/>
        <v>80.56986666666667</v>
      </c>
      <c r="AE497" s="19">
        <f t="shared" si="375"/>
        <v>0</v>
      </c>
      <c r="AF497" s="19">
        <f t="shared" si="377"/>
        <v>15000</v>
      </c>
      <c r="AG497" s="19">
        <f t="shared" si="377"/>
        <v>12000</v>
      </c>
      <c r="AH497" s="19">
        <f t="shared" si="377"/>
        <v>4000</v>
      </c>
      <c r="AI497" s="19">
        <f t="shared" si="377"/>
        <v>4000</v>
      </c>
      <c r="AJ497" s="162" t="b">
        <f t="shared" si="335"/>
        <v>1</v>
      </c>
      <c r="AK497" s="162" t="str">
        <f t="shared" si="336"/>
        <v>PRAZNO</v>
      </c>
      <c r="AL497" s="170"/>
      <c r="AM497" s="164"/>
    </row>
    <row r="498" spans="1:39" s="264" customFormat="1" ht="15.75" x14ac:dyDescent="0.2">
      <c r="A498" s="259"/>
      <c r="B498" s="260"/>
      <c r="C498" s="260"/>
      <c r="D498" s="260"/>
      <c r="E498" s="260"/>
      <c r="F498" s="260"/>
      <c r="G498" s="260"/>
      <c r="H498" s="441" t="s">
        <v>824</v>
      </c>
      <c r="I498" s="181"/>
      <c r="J498" s="181"/>
      <c r="K498" s="181"/>
      <c r="L498" s="181"/>
      <c r="M498" s="262"/>
      <c r="N498" s="262"/>
      <c r="O498" s="262"/>
      <c r="P498" s="445"/>
      <c r="Q498" s="262"/>
      <c r="R498" s="262"/>
      <c r="S498" s="262"/>
      <c r="T498" s="342"/>
      <c r="U498" s="342"/>
      <c r="V498" s="262">
        <f>V499</f>
        <v>15000</v>
      </c>
      <c r="W498" s="262">
        <f>W499</f>
        <v>5000</v>
      </c>
      <c r="X498" s="262">
        <f>X499</f>
        <v>5000</v>
      </c>
      <c r="Y498" s="262">
        <f>Y499</f>
        <v>0</v>
      </c>
      <c r="Z498" s="262">
        <f t="shared" si="359"/>
        <v>0</v>
      </c>
      <c r="AA498" s="262">
        <f t="shared" si="331"/>
        <v>0</v>
      </c>
      <c r="AB498" s="262">
        <f t="shared" ref="AB498:AI498" si="378">AB499</f>
        <v>15000</v>
      </c>
      <c r="AC498" s="262">
        <f t="shared" si="378"/>
        <v>12085.48</v>
      </c>
      <c r="AD498" s="262">
        <f t="shared" si="371"/>
        <v>80.56986666666667</v>
      </c>
      <c r="AE498" s="262">
        <f t="shared" si="375"/>
        <v>0</v>
      </c>
      <c r="AF498" s="262">
        <f t="shared" si="378"/>
        <v>15000</v>
      </c>
      <c r="AG498" s="262">
        <f t="shared" si="378"/>
        <v>12000</v>
      </c>
      <c r="AH498" s="262">
        <f t="shared" si="378"/>
        <v>4000</v>
      </c>
      <c r="AI498" s="262">
        <f t="shared" si="378"/>
        <v>4000</v>
      </c>
      <c r="AJ498" s="162" t="b">
        <f t="shared" si="335"/>
        <v>1</v>
      </c>
      <c r="AK498" s="162" t="str">
        <f t="shared" si="336"/>
        <v>PRAZNO</v>
      </c>
      <c r="AL498" s="263"/>
    </row>
    <row r="499" spans="1:39" s="174" customFormat="1" ht="15.75" x14ac:dyDescent="0.2">
      <c r="A499" s="259"/>
      <c r="B499" s="172">
        <v>4</v>
      </c>
      <c r="C499" s="172"/>
      <c r="D499" s="172"/>
      <c r="E499" s="172"/>
      <c r="F499" s="172"/>
      <c r="G499" s="172"/>
      <c r="H499" s="14" t="s">
        <v>552</v>
      </c>
      <c r="I499" s="20">
        <f>I500</f>
        <v>6000</v>
      </c>
      <c r="J499" s="20">
        <f>J500</f>
        <v>4207.29</v>
      </c>
      <c r="K499" s="20">
        <f t="shared" ref="K499:K562" si="379">ROUND(J499/I499*100,2)</f>
        <v>70.12</v>
      </c>
      <c r="L499" s="20">
        <f>M499-I499</f>
        <v>3977.3199999999997</v>
      </c>
      <c r="M499" s="20">
        <f>M500</f>
        <v>9977.32</v>
      </c>
      <c r="N499" s="20">
        <f t="shared" ref="N499:AI499" si="380">N500</f>
        <v>5000</v>
      </c>
      <c r="O499" s="20">
        <f t="shared" si="380"/>
        <v>0</v>
      </c>
      <c r="P499" s="55">
        <f t="shared" si="322"/>
        <v>0</v>
      </c>
      <c r="Q499" s="20">
        <f t="shared" si="380"/>
        <v>5000</v>
      </c>
      <c r="R499" s="20">
        <f t="shared" si="380"/>
        <v>5000</v>
      </c>
      <c r="S499" s="20">
        <f t="shared" si="380"/>
        <v>5000</v>
      </c>
      <c r="T499" s="55">
        <f t="shared" si="380"/>
        <v>5000</v>
      </c>
      <c r="U499" s="55">
        <f t="shared" si="380"/>
        <v>0</v>
      </c>
      <c r="V499" s="20">
        <f t="shared" si="380"/>
        <v>15000</v>
      </c>
      <c r="W499" s="20">
        <f t="shared" si="380"/>
        <v>5000</v>
      </c>
      <c r="X499" s="20">
        <f t="shared" si="380"/>
        <v>5000</v>
      </c>
      <c r="Y499" s="20">
        <f t="shared" si="380"/>
        <v>0</v>
      </c>
      <c r="Z499" s="20">
        <f t="shared" si="359"/>
        <v>0</v>
      </c>
      <c r="AA499" s="20">
        <f t="shared" si="331"/>
        <v>0</v>
      </c>
      <c r="AB499" s="20">
        <f t="shared" si="380"/>
        <v>15000</v>
      </c>
      <c r="AC499" s="20">
        <f t="shared" si="380"/>
        <v>12085.48</v>
      </c>
      <c r="AD499" s="20">
        <f t="shared" si="371"/>
        <v>80.56986666666667</v>
      </c>
      <c r="AE499" s="20">
        <f t="shared" si="375"/>
        <v>0</v>
      </c>
      <c r="AF499" s="20">
        <f t="shared" si="380"/>
        <v>15000</v>
      </c>
      <c r="AG499" s="20">
        <f t="shared" si="380"/>
        <v>12000</v>
      </c>
      <c r="AH499" s="20">
        <f t="shared" si="380"/>
        <v>4000</v>
      </c>
      <c r="AI499" s="20">
        <f t="shared" si="380"/>
        <v>4000</v>
      </c>
      <c r="AJ499" s="162" t="b">
        <f t="shared" si="335"/>
        <v>1</v>
      </c>
      <c r="AK499" s="162" t="str">
        <f t="shared" si="336"/>
        <v>PRAZNO</v>
      </c>
      <c r="AL499" s="173"/>
      <c r="AM499" s="164"/>
    </row>
    <row r="500" spans="1:39" ht="15.75" x14ac:dyDescent="0.2">
      <c r="B500" s="177"/>
      <c r="C500" s="177">
        <v>42</v>
      </c>
      <c r="D500" s="177"/>
      <c r="E500" s="177"/>
      <c r="F500" s="177"/>
      <c r="G500" s="177"/>
      <c r="H500" s="16" t="s">
        <v>212</v>
      </c>
      <c r="I500" s="17">
        <f t="shared" ref="I500:AI501" si="381">I501</f>
        <v>6000</v>
      </c>
      <c r="J500" s="17">
        <f t="shared" si="381"/>
        <v>4207.29</v>
      </c>
      <c r="K500" s="17">
        <f t="shared" si="379"/>
        <v>70.12</v>
      </c>
      <c r="L500" s="17">
        <f>M500-I500</f>
        <v>3977.3199999999997</v>
      </c>
      <c r="M500" s="17">
        <f>M501</f>
        <v>9977.32</v>
      </c>
      <c r="N500" s="17">
        <f t="shared" si="381"/>
        <v>5000</v>
      </c>
      <c r="O500" s="17">
        <f t="shared" si="381"/>
        <v>0</v>
      </c>
      <c r="P500" s="26">
        <f t="shared" si="322"/>
        <v>0</v>
      </c>
      <c r="Q500" s="17">
        <f t="shared" si="381"/>
        <v>5000</v>
      </c>
      <c r="R500" s="17">
        <f t="shared" si="381"/>
        <v>5000</v>
      </c>
      <c r="S500" s="17">
        <f t="shared" si="381"/>
        <v>5000</v>
      </c>
      <c r="T500" s="26">
        <f t="shared" si="381"/>
        <v>5000</v>
      </c>
      <c r="U500" s="26">
        <f t="shared" si="381"/>
        <v>0</v>
      </c>
      <c r="V500" s="17">
        <f t="shared" si="381"/>
        <v>15000</v>
      </c>
      <c r="W500" s="17">
        <f t="shared" si="381"/>
        <v>5000</v>
      </c>
      <c r="X500" s="17">
        <f t="shared" si="381"/>
        <v>5000</v>
      </c>
      <c r="Y500" s="17">
        <f t="shared" si="381"/>
        <v>0</v>
      </c>
      <c r="Z500" s="17">
        <f t="shared" si="359"/>
        <v>0</v>
      </c>
      <c r="AA500" s="17">
        <f t="shared" si="331"/>
        <v>0</v>
      </c>
      <c r="AB500" s="17">
        <f t="shared" si="381"/>
        <v>15000</v>
      </c>
      <c r="AC500" s="17">
        <f t="shared" si="381"/>
        <v>12085.48</v>
      </c>
      <c r="AD500" s="17">
        <f t="shared" si="371"/>
        <v>80.56986666666667</v>
      </c>
      <c r="AE500" s="17">
        <f t="shared" si="375"/>
        <v>0</v>
      </c>
      <c r="AF500" s="17">
        <f t="shared" si="381"/>
        <v>15000</v>
      </c>
      <c r="AG500" s="17">
        <f t="shared" si="381"/>
        <v>12000</v>
      </c>
      <c r="AH500" s="17">
        <f t="shared" si="381"/>
        <v>4000</v>
      </c>
      <c r="AI500" s="17">
        <f t="shared" si="381"/>
        <v>4000</v>
      </c>
      <c r="AJ500" s="162" t="b">
        <f t="shared" si="335"/>
        <v>1</v>
      </c>
      <c r="AK500" s="162" t="str">
        <f t="shared" si="336"/>
        <v>PRAZNO</v>
      </c>
      <c r="AM500" s="164"/>
    </row>
    <row r="501" spans="1:39" ht="15.75" x14ac:dyDescent="0.2">
      <c r="B501" s="177"/>
      <c r="C501" s="177"/>
      <c r="D501" s="177">
        <v>422</v>
      </c>
      <c r="E501" s="177"/>
      <c r="F501" s="177"/>
      <c r="G501" s="177"/>
      <c r="H501" s="16" t="s">
        <v>555</v>
      </c>
      <c r="I501" s="17">
        <f t="shared" si="381"/>
        <v>6000</v>
      </c>
      <c r="J501" s="17">
        <f t="shared" si="381"/>
        <v>4207.29</v>
      </c>
      <c r="K501" s="17">
        <f t="shared" si="379"/>
        <v>70.12</v>
      </c>
      <c r="L501" s="17">
        <f>M501-I501</f>
        <v>3977.3199999999997</v>
      </c>
      <c r="M501" s="17">
        <f>M502</f>
        <v>9977.32</v>
      </c>
      <c r="N501" s="17">
        <v>5000</v>
      </c>
      <c r="O501" s="17">
        <f t="shared" si="381"/>
        <v>0</v>
      </c>
      <c r="P501" s="26">
        <f t="shared" si="322"/>
        <v>0</v>
      </c>
      <c r="Q501" s="17">
        <v>5000</v>
      </c>
      <c r="R501" s="17">
        <v>5000</v>
      </c>
      <c r="S501" s="17">
        <v>5000</v>
      </c>
      <c r="T501" s="26">
        <f>T502</f>
        <v>5000</v>
      </c>
      <c r="U501" s="26">
        <f>U502</f>
        <v>0</v>
      </c>
      <c r="V501" s="26">
        <f t="shared" si="381"/>
        <v>15000</v>
      </c>
      <c r="W501" s="26">
        <f t="shared" si="381"/>
        <v>5000</v>
      </c>
      <c r="X501" s="26">
        <f t="shared" si="381"/>
        <v>5000</v>
      </c>
      <c r="Y501" s="26">
        <f t="shared" si="381"/>
        <v>0</v>
      </c>
      <c r="Z501" s="26">
        <f t="shared" si="359"/>
        <v>0</v>
      </c>
      <c r="AA501" s="26">
        <f t="shared" si="331"/>
        <v>0</v>
      </c>
      <c r="AB501" s="26">
        <f t="shared" si="381"/>
        <v>15000</v>
      </c>
      <c r="AC501" s="26">
        <f t="shared" si="381"/>
        <v>12085.48</v>
      </c>
      <c r="AD501" s="26">
        <f t="shared" si="371"/>
        <v>80.56986666666667</v>
      </c>
      <c r="AE501" s="26">
        <f t="shared" si="375"/>
        <v>0</v>
      </c>
      <c r="AF501" s="26">
        <f t="shared" si="381"/>
        <v>15000</v>
      </c>
      <c r="AG501" s="26">
        <f t="shared" si="381"/>
        <v>12000</v>
      </c>
      <c r="AH501" s="26">
        <f t="shared" si="381"/>
        <v>4000</v>
      </c>
      <c r="AI501" s="26">
        <f t="shared" si="381"/>
        <v>4000</v>
      </c>
      <c r="AJ501" s="162" t="b">
        <f t="shared" si="335"/>
        <v>1</v>
      </c>
      <c r="AK501" s="162" t="str">
        <f t="shared" si="336"/>
        <v>PRAZNO</v>
      </c>
      <c r="AM501" s="164"/>
    </row>
    <row r="502" spans="1:39" ht="15.75" x14ac:dyDescent="0.2">
      <c r="B502" s="177"/>
      <c r="C502" s="177"/>
      <c r="D502" s="177"/>
      <c r="E502" s="177">
        <v>4221</v>
      </c>
      <c r="F502" s="176">
        <v>11</v>
      </c>
      <c r="G502" s="176" t="s">
        <v>424</v>
      </c>
      <c r="H502" s="16" t="s">
        <v>558</v>
      </c>
      <c r="I502" s="18">
        <v>6000</v>
      </c>
      <c r="J502" s="18">
        <v>4207.29</v>
      </c>
      <c r="K502" s="18">
        <f t="shared" si="379"/>
        <v>70.12</v>
      </c>
      <c r="L502" s="18">
        <f>M502-I502</f>
        <v>3977.3199999999997</v>
      </c>
      <c r="M502" s="18">
        <v>9977.32</v>
      </c>
      <c r="N502" s="18">
        <v>5000</v>
      </c>
      <c r="O502" s="18">
        <v>0</v>
      </c>
      <c r="P502" s="26">
        <f>T502-N502</f>
        <v>0</v>
      </c>
      <c r="Q502" s="18">
        <v>5000</v>
      </c>
      <c r="R502" s="18">
        <v>5000</v>
      </c>
      <c r="S502" s="18">
        <v>5000</v>
      </c>
      <c r="T502" s="27">
        <v>5000</v>
      </c>
      <c r="U502" s="27">
        <v>0</v>
      </c>
      <c r="V502" s="266">
        <v>15000</v>
      </c>
      <c r="W502" s="27">
        <v>5000</v>
      </c>
      <c r="X502" s="27">
        <v>5000</v>
      </c>
      <c r="Y502" s="266">
        <v>0</v>
      </c>
      <c r="Z502" s="266">
        <f t="shared" si="359"/>
        <v>0</v>
      </c>
      <c r="AA502" s="266">
        <f t="shared" si="331"/>
        <v>0</v>
      </c>
      <c r="AB502" s="266">
        <v>15000</v>
      </c>
      <c r="AC502" s="266">
        <v>12085.48</v>
      </c>
      <c r="AD502" s="266">
        <f t="shared" si="371"/>
        <v>80.56986666666667</v>
      </c>
      <c r="AE502" s="266">
        <f t="shared" si="375"/>
        <v>0</v>
      </c>
      <c r="AF502" s="266">
        <v>15000</v>
      </c>
      <c r="AG502" s="266">
        <v>12000</v>
      </c>
      <c r="AH502" s="266">
        <v>4000</v>
      </c>
      <c r="AI502" s="266">
        <v>4000</v>
      </c>
      <c r="AJ502" s="162" t="b">
        <f t="shared" si="335"/>
        <v>0</v>
      </c>
      <c r="AK502" s="162" t="str">
        <f t="shared" si="336"/>
        <v>PUNO</v>
      </c>
      <c r="AM502" s="164"/>
    </row>
    <row r="503" spans="1:39" s="164" customFormat="1" ht="15.75" x14ac:dyDescent="0.2">
      <c r="A503" s="259"/>
      <c r="B503" s="194"/>
      <c r="C503" s="194"/>
      <c r="D503" s="194"/>
      <c r="E503" s="194"/>
      <c r="F503" s="194"/>
      <c r="G503" s="159"/>
      <c r="H503" s="24" t="s">
        <v>425</v>
      </c>
      <c r="I503" s="196" t="e">
        <f>I505+#REF!+I674</f>
        <v>#REF!</v>
      </c>
      <c r="J503" s="196" t="e">
        <f>J505+#REF!+J674</f>
        <v>#REF!</v>
      </c>
      <c r="K503" s="196" t="e">
        <f t="shared" si="379"/>
        <v>#REF!</v>
      </c>
      <c r="L503" s="196" t="e">
        <f>M503-I503</f>
        <v>#REF!</v>
      </c>
      <c r="M503" s="195" t="e">
        <f>M505+M621+M674+M699</f>
        <v>#REF!</v>
      </c>
      <c r="N503" s="195" t="e">
        <f>N505+N621+N674+N699</f>
        <v>#REF!</v>
      </c>
      <c r="O503" s="195" t="e">
        <f>O505+O621+O674+O699</f>
        <v>#REF!</v>
      </c>
      <c r="P503" s="351" t="e">
        <f>T503-N503</f>
        <v>#REF!</v>
      </c>
      <c r="Q503" s="195" t="e">
        <f t="shared" ref="Q503:Y503" si="382">Q505+Q621+Q674+Q699</f>
        <v>#REF!</v>
      </c>
      <c r="R503" s="195" t="e">
        <f t="shared" si="382"/>
        <v>#REF!</v>
      </c>
      <c r="S503" s="195" t="e">
        <f t="shared" si="382"/>
        <v>#REF!</v>
      </c>
      <c r="T503" s="195" t="e">
        <f t="shared" si="382"/>
        <v>#REF!</v>
      </c>
      <c r="U503" s="195">
        <f t="shared" si="382"/>
        <v>8193793.4800000004</v>
      </c>
      <c r="V503" s="195">
        <f t="shared" si="382"/>
        <v>9735000</v>
      </c>
      <c r="W503" s="195" t="e">
        <f t="shared" si="382"/>
        <v>#REF!</v>
      </c>
      <c r="X503" s="195" t="e">
        <f t="shared" si="382"/>
        <v>#REF!</v>
      </c>
      <c r="Y503" s="195">
        <f t="shared" si="382"/>
        <v>1360625.47</v>
      </c>
      <c r="Z503" s="195">
        <f t="shared" si="359"/>
        <v>13.98</v>
      </c>
      <c r="AA503" s="195">
        <f t="shared" si="331"/>
        <v>75000</v>
      </c>
      <c r="AB503" s="195">
        <f>AB505+AB621+AB674+AB699</f>
        <v>9810000</v>
      </c>
      <c r="AC503" s="195">
        <f>AC505+AC621+AC674+AC699</f>
        <v>2637009.4700000002</v>
      </c>
      <c r="AD503" s="195">
        <f t="shared" si="371"/>
        <v>26.880830479102958</v>
      </c>
      <c r="AE503" s="195">
        <f t="shared" si="375"/>
        <v>-1619600</v>
      </c>
      <c r="AF503" s="195">
        <f>AF505+AF621+AF674+AF699</f>
        <v>8190400</v>
      </c>
      <c r="AG503" s="195">
        <f>AG505+AG621+AG674+AG699</f>
        <v>9090500</v>
      </c>
      <c r="AH503" s="195">
        <f>AH505+AH621+AH674+AH699</f>
        <v>8441000</v>
      </c>
      <c r="AI503" s="195">
        <f>AI505+AI621+AI674+AI699</f>
        <v>7655000</v>
      </c>
      <c r="AJ503" s="162" t="b">
        <f t="shared" si="335"/>
        <v>1</v>
      </c>
      <c r="AK503" s="162" t="str">
        <f t="shared" si="336"/>
        <v>PRAZNO</v>
      </c>
      <c r="AL503" s="163"/>
    </row>
    <row r="504" spans="1:39" s="164" customFormat="1" ht="15.75" x14ac:dyDescent="0.2">
      <c r="A504" s="259"/>
      <c r="B504" s="194"/>
      <c r="C504" s="194"/>
      <c r="D504" s="194"/>
      <c r="E504" s="194"/>
      <c r="F504" s="194"/>
      <c r="G504" s="159"/>
      <c r="H504" s="11" t="s">
        <v>421</v>
      </c>
      <c r="I504" s="196"/>
      <c r="J504" s="196"/>
      <c r="K504" s="196" t="e">
        <f t="shared" si="379"/>
        <v>#DIV/0!</v>
      </c>
      <c r="L504" s="196"/>
      <c r="M504" s="195"/>
      <c r="N504" s="195"/>
      <c r="O504" s="195"/>
      <c r="P504" s="353"/>
      <c r="Q504" s="195"/>
      <c r="R504" s="195"/>
      <c r="S504" s="195"/>
      <c r="T504" s="195"/>
      <c r="U504" s="195"/>
      <c r="V504" s="195"/>
      <c r="W504" s="195"/>
      <c r="X504" s="195"/>
      <c r="Y504" s="195"/>
      <c r="Z504" s="195"/>
      <c r="AA504" s="195"/>
      <c r="AB504" s="195"/>
      <c r="AC504" s="195"/>
      <c r="AD504" s="195"/>
      <c r="AE504" s="195">
        <f t="shared" si="375"/>
        <v>0</v>
      </c>
      <c r="AF504" s="195"/>
      <c r="AG504" s="195"/>
      <c r="AH504" s="195"/>
      <c r="AI504" s="195"/>
      <c r="AJ504" s="162" t="b">
        <f t="shared" si="335"/>
        <v>1</v>
      </c>
      <c r="AK504" s="162" t="str">
        <f t="shared" si="336"/>
        <v>PRAZNO</v>
      </c>
      <c r="AL504" s="165"/>
    </row>
    <row r="505" spans="1:39" s="171" customFormat="1" ht="15.75" x14ac:dyDescent="0.2">
      <c r="A505" s="259"/>
      <c r="B505" s="270"/>
      <c r="C505" s="270"/>
      <c r="D505" s="270"/>
      <c r="E505" s="270"/>
      <c r="F505" s="270"/>
      <c r="G505" s="270"/>
      <c r="H505" s="271" t="s">
        <v>710</v>
      </c>
      <c r="I505" s="273" t="e">
        <f>I507+I623+#REF!+I701+I707</f>
        <v>#REF!</v>
      </c>
      <c r="J505" s="273" t="e">
        <f>J507+J623+#REF!+J701+J707</f>
        <v>#REF!</v>
      </c>
      <c r="K505" s="273" t="e">
        <f t="shared" si="379"/>
        <v>#REF!</v>
      </c>
      <c r="L505" s="273" t="e">
        <f>M505-I505</f>
        <v>#REF!</v>
      </c>
      <c r="M505" s="272" t="e">
        <f>M507+#REF!+M521+M532+M543+M554+M560</f>
        <v>#REF!</v>
      </c>
      <c r="N505" s="272" t="e">
        <f>N507+#REF!+N521+N532+N543+N554+N560</f>
        <v>#REF!</v>
      </c>
      <c r="O505" s="272" t="e">
        <f>O507+#REF!+O521+O532+O543+O554+O560</f>
        <v>#REF!</v>
      </c>
      <c r="P505" s="336" t="e">
        <f>T505-N505</f>
        <v>#REF!</v>
      </c>
      <c r="Q505" s="272" t="e">
        <f>Q507+#REF!+Q521+Q532+Q543+Q554+Q560</f>
        <v>#REF!</v>
      </c>
      <c r="R505" s="272" t="e">
        <f>R507+#REF!+R521+R532+R543+R554+R560</f>
        <v>#REF!</v>
      </c>
      <c r="S505" s="272" t="e">
        <f>S507+#REF!+S521+S532+S543+S554+S560</f>
        <v>#REF!</v>
      </c>
      <c r="T505" s="272">
        <f>T507+T521+T532+T543+T554+T560+T573+T595+T601+T607</f>
        <v>4830000</v>
      </c>
      <c r="U505" s="272">
        <f>U507+U521+U532+U543+U554+U560+U573+U595+U601+U607</f>
        <v>4564226.33</v>
      </c>
      <c r="V505" s="272">
        <f>V507+V521+V532+V543+V554+V560+V573+V595+V601+V607</f>
        <v>4735000</v>
      </c>
      <c r="W505" s="272" t="e">
        <f>W507+W521+W532+W543+W554+W560+W573+W595+W601</f>
        <v>#REF!</v>
      </c>
      <c r="X505" s="272" t="e">
        <f>X507+X521+X532+X543+X554+X560+X573+X595+X601</f>
        <v>#REF!</v>
      </c>
      <c r="Y505" s="272">
        <f>Y507+Y521+Y532+Y543+Y554+Y560+Y573+Y595+Y601+Y607</f>
        <v>701453.75</v>
      </c>
      <c r="Z505" s="272">
        <f t="shared" si="359"/>
        <v>14.81</v>
      </c>
      <c r="AA505" s="272">
        <f t="shared" si="331"/>
        <v>-149000</v>
      </c>
      <c r="AB505" s="272">
        <f>AB507+AB521+AB532+AB543+AB554+AB560+AB573+AB595+AB601+AB607</f>
        <v>4586000</v>
      </c>
      <c r="AC505" s="272">
        <f>AC507+AC521+AC532+AC543+AC554+AC560+AC573+AC595+AC601+AC607</f>
        <v>1355794.1800000002</v>
      </c>
      <c r="AD505" s="272">
        <f t="shared" si="371"/>
        <v>29.563763192324473</v>
      </c>
      <c r="AE505" s="272">
        <f>AE507+AE521+AE532+AE543+AE554+AE560+AE573+AE595+AE601+AE607+AE584+AE567</f>
        <v>-739000</v>
      </c>
      <c r="AF505" s="272">
        <f>AF507+AF521+AF532+AF543+AF554+AF560+AF573+AF595+AF601+AF607+AF584+AF567</f>
        <v>3847000</v>
      </c>
      <c r="AG505" s="272">
        <f>AG507+AG521+AG532+AG543+AG554+AG560+AG573+AG595+AG601+AG607+AG584+AG567+AG613</f>
        <v>4923000</v>
      </c>
      <c r="AH505" s="272">
        <f>AH507+AH521+AH532+AH543+AH554+AH560+AH573+AH595+AH601+AH607+AH584+AH567+AH613</f>
        <v>4261000</v>
      </c>
      <c r="AI505" s="272">
        <f>AI507+AI521+AI532+AI543+AI554+AI560+AI573+AI595+AI601+AI607+AI584+AI567+AI613</f>
        <v>4000000</v>
      </c>
      <c r="AJ505" s="162" t="b">
        <f t="shared" si="335"/>
        <v>1</v>
      </c>
      <c r="AK505" s="162" t="str">
        <f t="shared" si="336"/>
        <v>PRAZNO</v>
      </c>
      <c r="AL505" s="170"/>
      <c r="AM505" s="164"/>
    </row>
    <row r="506" spans="1:39" s="171" customFormat="1" ht="35.25" customHeight="1" x14ac:dyDescent="0.2">
      <c r="A506" s="259"/>
      <c r="B506" s="168"/>
      <c r="C506" s="168"/>
      <c r="D506" s="168"/>
      <c r="E506" s="168"/>
      <c r="F506" s="168"/>
      <c r="G506" s="168"/>
      <c r="H506" s="12" t="s">
        <v>443</v>
      </c>
      <c r="I506" s="169"/>
      <c r="J506" s="169"/>
      <c r="K506" s="169"/>
      <c r="L506" s="169"/>
      <c r="M506" s="19"/>
      <c r="N506" s="19"/>
      <c r="O506" s="19"/>
      <c r="P506" s="205"/>
      <c r="Q506" s="19"/>
      <c r="R506" s="19"/>
      <c r="S506" s="19"/>
      <c r="T506" s="53"/>
      <c r="U506" s="53"/>
      <c r="V506" s="19"/>
      <c r="W506" s="19"/>
      <c r="X506" s="19"/>
      <c r="Y506" s="19"/>
      <c r="Z506" s="1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62" t="b">
        <f t="shared" si="335"/>
        <v>1</v>
      </c>
      <c r="AK506" s="162" t="str">
        <f t="shared" si="336"/>
        <v>PRAZNO</v>
      </c>
      <c r="AL506" s="170"/>
      <c r="AM506" s="164"/>
    </row>
    <row r="507" spans="1:39" s="171" customFormat="1" ht="29.25" customHeight="1" x14ac:dyDescent="0.2">
      <c r="A507" s="259"/>
      <c r="B507" s="168"/>
      <c r="C507" s="168"/>
      <c r="D507" s="168"/>
      <c r="E507" s="168"/>
      <c r="F507" s="168"/>
      <c r="G507" s="168"/>
      <c r="H507" s="13" t="s">
        <v>582</v>
      </c>
      <c r="I507" s="169" t="e">
        <f>I509</f>
        <v>#REF!</v>
      </c>
      <c r="J507" s="169" t="e">
        <f>J509</f>
        <v>#REF!</v>
      </c>
      <c r="K507" s="169" t="e">
        <f t="shared" si="379"/>
        <v>#REF!</v>
      </c>
      <c r="L507" s="169" t="e">
        <f>M507-I507</f>
        <v>#REF!</v>
      </c>
      <c r="M507" s="19">
        <f>M509</f>
        <v>250000</v>
      </c>
      <c r="N507" s="19">
        <f>N509</f>
        <v>280000</v>
      </c>
      <c r="O507" s="19">
        <f>O509</f>
        <v>0</v>
      </c>
      <c r="P507" s="205">
        <f>T507-N507</f>
        <v>0</v>
      </c>
      <c r="Q507" s="19">
        <f t="shared" ref="Q507:V507" si="383">Q509</f>
        <v>280000</v>
      </c>
      <c r="R507" s="19" t="e">
        <f t="shared" si="383"/>
        <v>#REF!</v>
      </c>
      <c r="S507" s="19" t="e">
        <f t="shared" si="383"/>
        <v>#REF!</v>
      </c>
      <c r="T507" s="53">
        <f t="shared" si="383"/>
        <v>280000</v>
      </c>
      <c r="U507" s="53">
        <f t="shared" si="383"/>
        <v>200000</v>
      </c>
      <c r="V507" s="19">
        <f t="shared" si="383"/>
        <v>280000</v>
      </c>
      <c r="W507" s="19" t="e">
        <f>W509+#REF!</f>
        <v>#REF!</v>
      </c>
      <c r="X507" s="19" t="e">
        <f>X509+#REF!</f>
        <v>#REF!</v>
      </c>
      <c r="Y507" s="19">
        <f>Y509</f>
        <v>10000</v>
      </c>
      <c r="Z507" s="19">
        <f t="shared" si="359"/>
        <v>3.57</v>
      </c>
      <c r="AA507" s="19">
        <f t="shared" si="331"/>
        <v>0</v>
      </c>
      <c r="AB507" s="19">
        <f>AB509</f>
        <v>280000</v>
      </c>
      <c r="AC507" s="19">
        <f>AC509</f>
        <v>10000</v>
      </c>
      <c r="AD507" s="19">
        <f t="shared" si="371"/>
        <v>3.5714285714285712</v>
      </c>
      <c r="AE507" s="19">
        <f t="shared" si="375"/>
        <v>-40000</v>
      </c>
      <c r="AF507" s="19">
        <f>AF509+AF517</f>
        <v>240000</v>
      </c>
      <c r="AG507" s="19">
        <f>AG509+AG517</f>
        <v>280000</v>
      </c>
      <c r="AH507" s="19">
        <f>AH509+AH517</f>
        <v>280000</v>
      </c>
      <c r="AI507" s="19">
        <f>AI509+AI517</f>
        <v>280000</v>
      </c>
      <c r="AJ507" s="162" t="b">
        <f t="shared" si="335"/>
        <v>1</v>
      </c>
      <c r="AK507" s="162" t="str">
        <f t="shared" si="336"/>
        <v>PRAZNO</v>
      </c>
      <c r="AL507" s="170"/>
      <c r="AM507" s="164"/>
    </row>
    <row r="508" spans="1:39" s="264" customFormat="1" ht="21.75" customHeight="1" x14ac:dyDescent="0.2">
      <c r="A508" s="259"/>
      <c r="B508" s="260"/>
      <c r="C508" s="260"/>
      <c r="D508" s="260"/>
      <c r="E508" s="260"/>
      <c r="F508" s="260"/>
      <c r="G508" s="260"/>
      <c r="H508" s="440" t="s">
        <v>824</v>
      </c>
      <c r="I508" s="181"/>
      <c r="J508" s="181"/>
      <c r="K508" s="181"/>
      <c r="L508" s="181"/>
      <c r="M508" s="262"/>
      <c r="N508" s="262"/>
      <c r="O508" s="262"/>
      <c r="P508" s="307"/>
      <c r="Q508" s="262"/>
      <c r="R508" s="262"/>
      <c r="S508" s="262"/>
      <c r="T508" s="342"/>
      <c r="U508" s="342"/>
      <c r="V508" s="262">
        <f t="shared" ref="V508:Y510" si="384">V509</f>
        <v>280000</v>
      </c>
      <c r="W508" s="262">
        <f t="shared" si="384"/>
        <v>80000</v>
      </c>
      <c r="X508" s="262">
        <f t="shared" si="384"/>
        <v>80000</v>
      </c>
      <c r="Y508" s="262">
        <f t="shared" si="384"/>
        <v>10000</v>
      </c>
      <c r="Z508" s="262">
        <f t="shared" si="359"/>
        <v>3.57</v>
      </c>
      <c r="AA508" s="262">
        <f t="shared" si="331"/>
        <v>0</v>
      </c>
      <c r="AB508" s="262">
        <f t="shared" ref="AB508:AC510" si="385">AB509</f>
        <v>280000</v>
      </c>
      <c r="AC508" s="262">
        <f t="shared" si="385"/>
        <v>10000</v>
      </c>
      <c r="AD508" s="262">
        <f t="shared" si="371"/>
        <v>3.5714285714285712</v>
      </c>
      <c r="AE508" s="262">
        <f t="shared" si="375"/>
        <v>-90000</v>
      </c>
      <c r="AF508" s="262">
        <f t="shared" ref="AF508:AI510" si="386">AF509</f>
        <v>190000</v>
      </c>
      <c r="AG508" s="262">
        <f t="shared" si="386"/>
        <v>210000</v>
      </c>
      <c r="AH508" s="262">
        <f t="shared" si="386"/>
        <v>210000</v>
      </c>
      <c r="AI508" s="262">
        <f t="shared" si="386"/>
        <v>210000</v>
      </c>
      <c r="AJ508" s="162" t="b">
        <f t="shared" si="335"/>
        <v>1</v>
      </c>
      <c r="AK508" s="162" t="str">
        <f t="shared" si="336"/>
        <v>PRAZNO</v>
      </c>
      <c r="AL508" s="263"/>
    </row>
    <row r="509" spans="1:39" s="174" customFormat="1" ht="15.75" x14ac:dyDescent="0.2">
      <c r="A509" s="259"/>
      <c r="B509" s="172">
        <v>3</v>
      </c>
      <c r="C509" s="172"/>
      <c r="D509" s="172"/>
      <c r="E509" s="172"/>
      <c r="F509" s="172"/>
      <c r="G509" s="172"/>
      <c r="H509" s="14" t="s">
        <v>524</v>
      </c>
      <c r="I509" s="20" t="e">
        <f>I510</f>
        <v>#REF!</v>
      </c>
      <c r="J509" s="20" t="e">
        <f>J510</f>
        <v>#REF!</v>
      </c>
      <c r="K509" s="20" t="e">
        <f t="shared" si="379"/>
        <v>#REF!</v>
      </c>
      <c r="L509" s="20" t="e">
        <f>M509-I509</f>
        <v>#REF!</v>
      </c>
      <c r="M509" s="20">
        <f t="shared" ref="M509:O510" si="387">M510</f>
        <v>250000</v>
      </c>
      <c r="N509" s="20">
        <f t="shared" si="387"/>
        <v>280000</v>
      </c>
      <c r="O509" s="20">
        <f t="shared" si="387"/>
        <v>0</v>
      </c>
      <c r="P509" s="55">
        <f>T509-N509</f>
        <v>0</v>
      </c>
      <c r="Q509" s="20">
        <f t="shared" ref="Q509:U510" si="388">Q510</f>
        <v>280000</v>
      </c>
      <c r="R509" s="20" t="e">
        <f t="shared" si="388"/>
        <v>#REF!</v>
      </c>
      <c r="S509" s="20" t="e">
        <f t="shared" si="388"/>
        <v>#REF!</v>
      </c>
      <c r="T509" s="55">
        <f t="shared" si="388"/>
        <v>280000</v>
      </c>
      <c r="U509" s="55">
        <f t="shared" si="388"/>
        <v>200000</v>
      </c>
      <c r="V509" s="20">
        <f t="shared" si="384"/>
        <v>280000</v>
      </c>
      <c r="W509" s="20">
        <f t="shared" si="384"/>
        <v>80000</v>
      </c>
      <c r="X509" s="20">
        <f t="shared" si="384"/>
        <v>80000</v>
      </c>
      <c r="Y509" s="20">
        <f t="shared" si="384"/>
        <v>10000</v>
      </c>
      <c r="Z509" s="20">
        <f t="shared" si="359"/>
        <v>3.57</v>
      </c>
      <c r="AA509" s="20">
        <f t="shared" si="331"/>
        <v>0</v>
      </c>
      <c r="AB509" s="20">
        <f t="shared" si="385"/>
        <v>280000</v>
      </c>
      <c r="AC509" s="20">
        <f t="shared" si="385"/>
        <v>10000</v>
      </c>
      <c r="AD509" s="20">
        <f t="shared" si="371"/>
        <v>3.5714285714285712</v>
      </c>
      <c r="AE509" s="20">
        <f t="shared" si="375"/>
        <v>-90000</v>
      </c>
      <c r="AF509" s="20">
        <f t="shared" si="386"/>
        <v>190000</v>
      </c>
      <c r="AG509" s="20">
        <f t="shared" si="386"/>
        <v>210000</v>
      </c>
      <c r="AH509" s="20">
        <f t="shared" si="386"/>
        <v>210000</v>
      </c>
      <c r="AI509" s="20">
        <f t="shared" si="386"/>
        <v>210000</v>
      </c>
      <c r="AJ509" s="162" t="b">
        <f t="shared" si="335"/>
        <v>1</v>
      </c>
      <c r="AK509" s="162" t="str">
        <f t="shared" si="336"/>
        <v>PRAZNO</v>
      </c>
      <c r="AL509" s="173"/>
      <c r="AM509" s="164"/>
    </row>
    <row r="510" spans="1:39" ht="15.75" x14ac:dyDescent="0.2">
      <c r="B510" s="177"/>
      <c r="C510" s="177">
        <v>38</v>
      </c>
      <c r="D510" s="177"/>
      <c r="E510" s="177"/>
      <c r="F510" s="177"/>
      <c r="G510" s="177"/>
      <c r="H510" s="16" t="s">
        <v>539</v>
      </c>
      <c r="I510" s="17" t="e">
        <f>I511</f>
        <v>#REF!</v>
      </c>
      <c r="J510" s="17" t="e">
        <f>J511</f>
        <v>#REF!</v>
      </c>
      <c r="K510" s="17" t="e">
        <f t="shared" si="379"/>
        <v>#REF!</v>
      </c>
      <c r="L510" s="17" t="e">
        <f>M510-I510</f>
        <v>#REF!</v>
      </c>
      <c r="M510" s="17">
        <f t="shared" si="387"/>
        <v>250000</v>
      </c>
      <c r="N510" s="17">
        <f t="shared" si="387"/>
        <v>280000</v>
      </c>
      <c r="O510" s="17">
        <f t="shared" si="387"/>
        <v>0</v>
      </c>
      <c r="P510" s="26">
        <f>T510-N510</f>
        <v>0</v>
      </c>
      <c r="Q510" s="17">
        <f t="shared" si="388"/>
        <v>280000</v>
      </c>
      <c r="R510" s="17" t="e">
        <f t="shared" si="388"/>
        <v>#REF!</v>
      </c>
      <c r="S510" s="17" t="e">
        <f t="shared" si="388"/>
        <v>#REF!</v>
      </c>
      <c r="T510" s="26">
        <f t="shared" si="388"/>
        <v>280000</v>
      </c>
      <c r="U510" s="26">
        <f t="shared" si="388"/>
        <v>200000</v>
      </c>
      <c r="V510" s="17">
        <f t="shared" si="384"/>
        <v>280000</v>
      </c>
      <c r="W510" s="17">
        <f t="shared" si="384"/>
        <v>80000</v>
      </c>
      <c r="X510" s="17">
        <f t="shared" si="384"/>
        <v>80000</v>
      </c>
      <c r="Y510" s="17">
        <f t="shared" si="384"/>
        <v>10000</v>
      </c>
      <c r="Z510" s="17">
        <f t="shared" si="359"/>
        <v>3.57</v>
      </c>
      <c r="AA510" s="17">
        <f t="shared" si="331"/>
        <v>0</v>
      </c>
      <c r="AB510" s="17">
        <f t="shared" si="385"/>
        <v>280000</v>
      </c>
      <c r="AC510" s="17">
        <f t="shared" si="385"/>
        <v>10000</v>
      </c>
      <c r="AD510" s="17">
        <f t="shared" si="371"/>
        <v>3.5714285714285712</v>
      </c>
      <c r="AE510" s="17">
        <f t="shared" si="375"/>
        <v>-90000</v>
      </c>
      <c r="AF510" s="17">
        <f t="shared" si="386"/>
        <v>190000</v>
      </c>
      <c r="AG510" s="17">
        <f t="shared" si="386"/>
        <v>210000</v>
      </c>
      <c r="AH510" s="17">
        <f t="shared" si="386"/>
        <v>210000</v>
      </c>
      <c r="AI510" s="17">
        <f t="shared" si="386"/>
        <v>210000</v>
      </c>
      <c r="AJ510" s="162" t="b">
        <f t="shared" si="335"/>
        <v>1</v>
      </c>
      <c r="AK510" s="162" t="str">
        <f t="shared" si="336"/>
        <v>PRAZNO</v>
      </c>
      <c r="AM510" s="164"/>
    </row>
    <row r="511" spans="1:39" ht="15.75" x14ac:dyDescent="0.2">
      <c r="B511" s="177"/>
      <c r="C511" s="177"/>
      <c r="D511" s="177">
        <v>381</v>
      </c>
      <c r="E511" s="177"/>
      <c r="F511" s="177"/>
      <c r="G511" s="177"/>
      <c r="H511" s="16" t="s">
        <v>540</v>
      </c>
      <c r="I511" s="17" t="e">
        <f>I512+#REF!</f>
        <v>#REF!</v>
      </c>
      <c r="J511" s="17" t="e">
        <f>J512+#REF!</f>
        <v>#REF!</v>
      </c>
      <c r="K511" s="17" t="e">
        <f t="shared" si="379"/>
        <v>#REF!</v>
      </c>
      <c r="L511" s="17" t="e">
        <f>M511-I511</f>
        <v>#REF!</v>
      </c>
      <c r="M511" s="17">
        <f>SUM(M512:M515)</f>
        <v>250000</v>
      </c>
      <c r="N511" s="17">
        <f>SUM(N512:N515)</f>
        <v>280000</v>
      </c>
      <c r="O511" s="17">
        <f>SUM(O512:O515)</f>
        <v>0</v>
      </c>
      <c r="P511" s="26">
        <f>T511-N511</f>
        <v>0</v>
      </c>
      <c r="Q511" s="17">
        <f>SUM(Q512:Q515)</f>
        <v>280000</v>
      </c>
      <c r="R511" s="17" t="e">
        <f>R512+#REF!+R515</f>
        <v>#REF!</v>
      </c>
      <c r="S511" s="17" t="e">
        <f>S512+#REF!+S515</f>
        <v>#REF!</v>
      </c>
      <c r="T511" s="26">
        <f>SUM(T512:T515)</f>
        <v>280000</v>
      </c>
      <c r="U511" s="17">
        <f>SUM(U512:U515)</f>
        <v>200000</v>
      </c>
      <c r="V511" s="17">
        <f>V512+V515</f>
        <v>280000</v>
      </c>
      <c r="W511" s="17">
        <f>W512</f>
        <v>80000</v>
      </c>
      <c r="X511" s="17">
        <f>X512</f>
        <v>80000</v>
      </c>
      <c r="Y511" s="17">
        <f>Y512</f>
        <v>10000</v>
      </c>
      <c r="Z511" s="17">
        <f t="shared" si="359"/>
        <v>3.57</v>
      </c>
      <c r="AA511" s="17">
        <f t="shared" si="331"/>
        <v>0</v>
      </c>
      <c r="AB511" s="17">
        <f>SUM(AB512:AB515)</f>
        <v>280000</v>
      </c>
      <c r="AC511" s="17">
        <f>SUM(AC512:AC515)</f>
        <v>10000</v>
      </c>
      <c r="AD511" s="17">
        <f t="shared" si="371"/>
        <v>3.5714285714285712</v>
      </c>
      <c r="AE511" s="17">
        <f>SUM(AE512:AE515)</f>
        <v>-90000</v>
      </c>
      <c r="AF511" s="17">
        <f>SUM(AF512:AF515)</f>
        <v>190000</v>
      </c>
      <c r="AG511" s="17">
        <f>SUM(AG512:AG515)</f>
        <v>210000</v>
      </c>
      <c r="AH511" s="17">
        <f>SUM(AH512:AH515)</f>
        <v>210000</v>
      </c>
      <c r="AI511" s="17">
        <f>SUM(AI512:AI515)</f>
        <v>210000</v>
      </c>
      <c r="AJ511" s="162" t="b">
        <f t="shared" si="335"/>
        <v>1</v>
      </c>
      <c r="AK511" s="162" t="str">
        <f t="shared" si="336"/>
        <v>PRAZNO</v>
      </c>
      <c r="AM511" s="164"/>
    </row>
    <row r="512" spans="1:39" ht="30" x14ac:dyDescent="0.2">
      <c r="B512" s="177"/>
      <c r="C512" s="177"/>
      <c r="D512" s="177"/>
      <c r="E512" s="177">
        <v>3811</v>
      </c>
      <c r="F512" s="176">
        <v>11</v>
      </c>
      <c r="G512" s="176" t="s">
        <v>424</v>
      </c>
      <c r="H512" s="16" t="s">
        <v>811</v>
      </c>
      <c r="I512" s="17">
        <v>200000</v>
      </c>
      <c r="J512" s="17">
        <v>0</v>
      </c>
      <c r="K512" s="17">
        <f t="shared" si="379"/>
        <v>0</v>
      </c>
      <c r="L512" s="17">
        <f>M512-I512</f>
        <v>-200000</v>
      </c>
      <c r="M512" s="17"/>
      <c r="N512" s="17">
        <v>80000</v>
      </c>
      <c r="O512" s="17">
        <v>0</v>
      </c>
      <c r="P512" s="26">
        <f>T512-N512</f>
        <v>0</v>
      </c>
      <c r="Q512" s="17">
        <v>200000</v>
      </c>
      <c r="R512" s="17">
        <v>200000</v>
      </c>
      <c r="S512" s="17">
        <v>200000</v>
      </c>
      <c r="T512" s="26">
        <v>80000</v>
      </c>
      <c r="U512" s="26">
        <v>0</v>
      </c>
      <c r="V512" s="17">
        <v>80000</v>
      </c>
      <c r="W512" s="17">
        <v>80000</v>
      </c>
      <c r="X512" s="17">
        <v>80000</v>
      </c>
      <c r="Y512" s="17">
        <v>10000</v>
      </c>
      <c r="Z512" s="17">
        <f t="shared" si="359"/>
        <v>12.5</v>
      </c>
      <c r="AA512" s="17">
        <f t="shared" si="331"/>
        <v>0</v>
      </c>
      <c r="AB512" s="17">
        <v>80000</v>
      </c>
      <c r="AC512" s="17">
        <v>10000</v>
      </c>
      <c r="AD512" s="17">
        <f t="shared" si="371"/>
        <v>12.5</v>
      </c>
      <c r="AE512" s="17">
        <f t="shared" si="375"/>
        <v>-70000</v>
      </c>
      <c r="AF512" s="17">
        <v>10000</v>
      </c>
      <c r="AG512" s="17"/>
      <c r="AH512" s="17"/>
      <c r="AI512" s="17"/>
      <c r="AJ512" s="162" t="b">
        <f t="shared" si="335"/>
        <v>0</v>
      </c>
      <c r="AK512" s="162" t="str">
        <f t="shared" si="336"/>
        <v>PUNO</v>
      </c>
      <c r="AM512" s="164"/>
    </row>
    <row r="513" spans="1:39" ht="15.75" x14ac:dyDescent="0.2">
      <c r="B513" s="177"/>
      <c r="C513" s="177"/>
      <c r="D513" s="177"/>
      <c r="E513" s="177">
        <v>3811</v>
      </c>
      <c r="F513" s="176">
        <v>11</v>
      </c>
      <c r="G513" s="176"/>
      <c r="H513" s="16" t="s">
        <v>120</v>
      </c>
      <c r="I513" s="17"/>
      <c r="J513" s="17"/>
      <c r="K513" s="17"/>
      <c r="L513" s="17"/>
      <c r="M513" s="17"/>
      <c r="N513" s="17"/>
      <c r="O513" s="17"/>
      <c r="P513" s="26"/>
      <c r="Q513" s="17"/>
      <c r="R513" s="17"/>
      <c r="S513" s="17"/>
      <c r="T513" s="26"/>
      <c r="U513" s="26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f>AF513-AB513</f>
        <v>30000</v>
      </c>
      <c r="AF513" s="17">
        <v>30000</v>
      </c>
      <c r="AG513" s="17"/>
      <c r="AH513" s="17"/>
      <c r="AI513" s="17"/>
      <c r="AJ513" s="162" t="b">
        <f t="shared" si="335"/>
        <v>0</v>
      </c>
      <c r="AK513" s="162" t="str">
        <f t="shared" si="336"/>
        <v>PUNO</v>
      </c>
      <c r="AM513" s="164"/>
    </row>
    <row r="514" spans="1:39" ht="30" x14ac:dyDescent="0.2">
      <c r="B514" s="177"/>
      <c r="C514" s="177"/>
      <c r="D514" s="177"/>
      <c r="E514" s="177">
        <v>3811</v>
      </c>
      <c r="F514" s="176">
        <v>52</v>
      </c>
      <c r="G514" s="176"/>
      <c r="H514" s="16" t="s">
        <v>263</v>
      </c>
      <c r="I514" s="17"/>
      <c r="J514" s="17"/>
      <c r="K514" s="17"/>
      <c r="L514" s="17"/>
      <c r="M514" s="17">
        <v>50000</v>
      </c>
      <c r="N514" s="17"/>
      <c r="O514" s="17"/>
      <c r="P514" s="26"/>
      <c r="Q514" s="17"/>
      <c r="R514" s="17"/>
      <c r="S514" s="17"/>
      <c r="T514" s="26"/>
      <c r="U514" s="26">
        <v>200000</v>
      </c>
      <c r="V514" s="17"/>
      <c r="W514" s="17"/>
      <c r="X514" s="17"/>
      <c r="Y514" s="17"/>
      <c r="Z514" s="17" t="e">
        <f t="shared" si="359"/>
        <v>#DIV/0!</v>
      </c>
      <c r="AA514" s="17">
        <f t="shared" si="331"/>
        <v>0</v>
      </c>
      <c r="AB514" s="17"/>
      <c r="AC514" s="17"/>
      <c r="AD514" s="17"/>
      <c r="AE514" s="17"/>
      <c r="AF514" s="17"/>
      <c r="AG514" s="17"/>
      <c r="AH514" s="17"/>
      <c r="AI514" s="17"/>
      <c r="AJ514" s="162" t="b">
        <f t="shared" si="335"/>
        <v>0</v>
      </c>
      <c r="AK514" s="162" t="str">
        <f t="shared" si="336"/>
        <v>PUNO</v>
      </c>
      <c r="AM514" s="164"/>
    </row>
    <row r="515" spans="1:39" ht="33" customHeight="1" x14ac:dyDescent="0.2">
      <c r="B515" s="177"/>
      <c r="C515" s="177"/>
      <c r="D515" s="177"/>
      <c r="E515" s="177">
        <v>3811</v>
      </c>
      <c r="F515" s="309">
        <v>14</v>
      </c>
      <c r="G515" s="176"/>
      <c r="H515" s="16" t="s">
        <v>263</v>
      </c>
      <c r="I515" s="17"/>
      <c r="J515" s="17"/>
      <c r="K515" s="17"/>
      <c r="L515" s="17"/>
      <c r="M515" s="17">
        <v>200000</v>
      </c>
      <c r="N515" s="17">
        <v>200000</v>
      </c>
      <c r="O515" s="17">
        <v>0</v>
      </c>
      <c r="P515" s="26">
        <f>T515-N515</f>
        <v>0</v>
      </c>
      <c r="Q515" s="17">
        <v>80000</v>
      </c>
      <c r="R515" s="17">
        <v>82000</v>
      </c>
      <c r="S515" s="17">
        <v>83000</v>
      </c>
      <c r="T515" s="26">
        <v>200000</v>
      </c>
      <c r="U515" s="26">
        <v>0</v>
      </c>
      <c r="V515" s="26">
        <v>200000</v>
      </c>
      <c r="W515" s="26">
        <v>200000</v>
      </c>
      <c r="X515" s="26">
        <v>200000</v>
      </c>
      <c r="Y515" s="26">
        <v>0</v>
      </c>
      <c r="Z515" s="26">
        <f t="shared" si="359"/>
        <v>0</v>
      </c>
      <c r="AA515" s="26">
        <f t="shared" si="331"/>
        <v>0</v>
      </c>
      <c r="AB515" s="26">
        <v>200000</v>
      </c>
      <c r="AC515" s="26">
        <v>0</v>
      </c>
      <c r="AD515" s="26">
        <f t="shared" si="371"/>
        <v>0</v>
      </c>
      <c r="AE515" s="26">
        <f t="shared" si="375"/>
        <v>-50000</v>
      </c>
      <c r="AF515" s="26">
        <v>150000</v>
      </c>
      <c r="AG515" s="26">
        <v>210000</v>
      </c>
      <c r="AH515" s="26">
        <v>210000</v>
      </c>
      <c r="AI515" s="26">
        <v>210000</v>
      </c>
      <c r="AJ515" s="162" t="b">
        <f t="shared" si="335"/>
        <v>0</v>
      </c>
      <c r="AK515" s="162" t="str">
        <f t="shared" si="336"/>
        <v>PUNO</v>
      </c>
      <c r="AM515" s="164"/>
    </row>
    <row r="516" spans="1:39" ht="33" customHeight="1" x14ac:dyDescent="0.2">
      <c r="B516" s="177"/>
      <c r="C516" s="177"/>
      <c r="D516" s="177"/>
      <c r="E516" s="177"/>
      <c r="F516" s="309"/>
      <c r="G516" s="176"/>
      <c r="H516" s="440" t="s">
        <v>825</v>
      </c>
      <c r="I516" s="17"/>
      <c r="J516" s="17"/>
      <c r="K516" s="17"/>
      <c r="L516" s="17"/>
      <c r="M516" s="17"/>
      <c r="N516" s="17"/>
      <c r="O516" s="17"/>
      <c r="P516" s="26"/>
      <c r="Q516" s="17"/>
      <c r="R516" s="17"/>
      <c r="S516" s="17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>
        <f t="shared" si="375"/>
        <v>50000</v>
      </c>
      <c r="AF516" s="26">
        <f t="shared" ref="AF516:AI519" si="389">AF517</f>
        <v>50000</v>
      </c>
      <c r="AG516" s="26">
        <f t="shared" si="389"/>
        <v>70000</v>
      </c>
      <c r="AH516" s="26">
        <f t="shared" si="389"/>
        <v>70000</v>
      </c>
      <c r="AI516" s="26">
        <f t="shared" si="389"/>
        <v>70000</v>
      </c>
      <c r="AJ516" s="162" t="b">
        <f t="shared" si="335"/>
        <v>1</v>
      </c>
      <c r="AK516" s="162" t="str">
        <f t="shared" si="336"/>
        <v>PRAZNO</v>
      </c>
      <c r="AM516" s="164"/>
    </row>
    <row r="517" spans="1:39" s="174" customFormat="1" ht="15.75" x14ac:dyDescent="0.2">
      <c r="A517" s="259"/>
      <c r="B517" s="172">
        <v>3</v>
      </c>
      <c r="C517" s="172"/>
      <c r="D517" s="172"/>
      <c r="E517" s="172"/>
      <c r="F517" s="172"/>
      <c r="G517" s="172"/>
      <c r="H517" s="14" t="s">
        <v>524</v>
      </c>
      <c r="I517" s="20"/>
      <c r="J517" s="20"/>
      <c r="K517" s="20"/>
      <c r="L517" s="20"/>
      <c r="M517" s="20"/>
      <c r="N517" s="20"/>
      <c r="O517" s="20"/>
      <c r="P517" s="55"/>
      <c r="Q517" s="20"/>
      <c r="R517" s="20"/>
      <c r="S517" s="20"/>
      <c r="T517" s="55"/>
      <c r="U517" s="55"/>
      <c r="V517" s="20"/>
      <c r="W517" s="20"/>
      <c r="X517" s="20"/>
      <c r="Y517" s="20"/>
      <c r="Z517" s="20"/>
      <c r="AA517" s="20"/>
      <c r="AB517" s="20"/>
      <c r="AC517" s="20"/>
      <c r="AD517" s="20"/>
      <c r="AE517" s="20">
        <f t="shared" si="375"/>
        <v>50000</v>
      </c>
      <c r="AF517" s="20">
        <f t="shared" si="389"/>
        <v>50000</v>
      </c>
      <c r="AG517" s="20">
        <f t="shared" si="389"/>
        <v>70000</v>
      </c>
      <c r="AH517" s="20">
        <f t="shared" si="389"/>
        <v>70000</v>
      </c>
      <c r="AI517" s="20">
        <f t="shared" si="389"/>
        <v>70000</v>
      </c>
      <c r="AJ517" s="162" t="b">
        <f t="shared" si="335"/>
        <v>1</v>
      </c>
      <c r="AK517" s="162" t="str">
        <f t="shared" si="336"/>
        <v>PRAZNO</v>
      </c>
      <c r="AL517" s="173"/>
      <c r="AM517" s="164"/>
    </row>
    <row r="518" spans="1:39" ht="15.75" x14ac:dyDescent="0.2">
      <c r="B518" s="177"/>
      <c r="C518" s="177">
        <v>38</v>
      </c>
      <c r="D518" s="177"/>
      <c r="E518" s="177"/>
      <c r="F518" s="177"/>
      <c r="G518" s="177"/>
      <c r="H518" s="16" t="s">
        <v>539</v>
      </c>
      <c r="I518" s="17"/>
      <c r="J518" s="17"/>
      <c r="K518" s="17"/>
      <c r="L518" s="17"/>
      <c r="M518" s="17"/>
      <c r="N518" s="17"/>
      <c r="O518" s="17"/>
      <c r="P518" s="26"/>
      <c r="Q518" s="17"/>
      <c r="R518" s="17"/>
      <c r="S518" s="17"/>
      <c r="T518" s="26"/>
      <c r="U518" s="26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f t="shared" si="375"/>
        <v>50000</v>
      </c>
      <c r="AF518" s="17">
        <f t="shared" si="389"/>
        <v>50000</v>
      </c>
      <c r="AG518" s="17">
        <f t="shared" si="389"/>
        <v>70000</v>
      </c>
      <c r="AH518" s="17">
        <f t="shared" si="389"/>
        <v>70000</v>
      </c>
      <c r="AI518" s="17">
        <f t="shared" si="389"/>
        <v>70000</v>
      </c>
      <c r="AJ518" s="162" t="b">
        <f t="shared" si="335"/>
        <v>1</v>
      </c>
      <c r="AK518" s="162" t="str">
        <f t="shared" si="336"/>
        <v>PRAZNO</v>
      </c>
      <c r="AM518" s="164"/>
    </row>
    <row r="519" spans="1:39" ht="15.75" x14ac:dyDescent="0.2">
      <c r="B519" s="177"/>
      <c r="C519" s="177"/>
      <c r="D519" s="177">
        <v>381</v>
      </c>
      <c r="E519" s="177"/>
      <c r="F519" s="177"/>
      <c r="G519" s="177"/>
      <c r="H519" s="16" t="s">
        <v>540</v>
      </c>
      <c r="I519" s="17"/>
      <c r="J519" s="17"/>
      <c r="K519" s="17"/>
      <c r="L519" s="17"/>
      <c r="M519" s="17"/>
      <c r="N519" s="17"/>
      <c r="O519" s="17"/>
      <c r="P519" s="26"/>
      <c r="Q519" s="17"/>
      <c r="R519" s="17"/>
      <c r="S519" s="17"/>
      <c r="T519" s="26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f>AF519-AB519</f>
        <v>50000</v>
      </c>
      <c r="AF519" s="17">
        <f t="shared" si="389"/>
        <v>50000</v>
      </c>
      <c r="AG519" s="17">
        <f t="shared" si="389"/>
        <v>70000</v>
      </c>
      <c r="AH519" s="17">
        <f t="shared" si="389"/>
        <v>70000</v>
      </c>
      <c r="AI519" s="17">
        <f t="shared" si="389"/>
        <v>70000</v>
      </c>
      <c r="AJ519" s="162" t="b">
        <f t="shared" si="335"/>
        <v>1</v>
      </c>
      <c r="AK519" s="162" t="str">
        <f t="shared" si="336"/>
        <v>PRAZNO</v>
      </c>
      <c r="AM519" s="164"/>
    </row>
    <row r="520" spans="1:39" ht="33" customHeight="1" x14ac:dyDescent="0.2">
      <c r="B520" s="177"/>
      <c r="C520" s="177"/>
      <c r="D520" s="177"/>
      <c r="E520" s="177">
        <v>3811</v>
      </c>
      <c r="F520" s="176">
        <v>52</v>
      </c>
      <c r="G520" s="176"/>
      <c r="H520" s="16" t="s">
        <v>263</v>
      </c>
      <c r="I520" s="17"/>
      <c r="J520" s="17"/>
      <c r="K520" s="17"/>
      <c r="L520" s="17"/>
      <c r="M520" s="17"/>
      <c r="N520" s="17"/>
      <c r="O520" s="17"/>
      <c r="P520" s="26"/>
      <c r="Q520" s="17"/>
      <c r="R520" s="17"/>
      <c r="S520" s="17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17">
        <f>AF520-AB520</f>
        <v>50000</v>
      </c>
      <c r="AF520" s="17">
        <v>50000</v>
      </c>
      <c r="AG520" s="17">
        <v>70000</v>
      </c>
      <c r="AH520" s="17">
        <v>70000</v>
      </c>
      <c r="AI520" s="17">
        <v>70000</v>
      </c>
      <c r="AJ520" s="162" t="b">
        <f t="shared" si="335"/>
        <v>0</v>
      </c>
      <c r="AK520" s="162" t="str">
        <f t="shared" si="336"/>
        <v>PUNO</v>
      </c>
      <c r="AM520" s="164"/>
    </row>
    <row r="521" spans="1:39" s="171" customFormat="1" ht="31.5" x14ac:dyDescent="0.2">
      <c r="A521" s="259"/>
      <c r="B521" s="168"/>
      <c r="C521" s="168"/>
      <c r="D521" s="168"/>
      <c r="E521" s="168"/>
      <c r="F521" s="168"/>
      <c r="G521" s="168"/>
      <c r="H521" s="25" t="s">
        <v>2</v>
      </c>
      <c r="I521" s="169">
        <f>I523</f>
        <v>2000000</v>
      </c>
      <c r="J521" s="169">
        <f>J523</f>
        <v>1233555.8799999999</v>
      </c>
      <c r="K521" s="169">
        <f t="shared" si="379"/>
        <v>61.68</v>
      </c>
      <c r="L521" s="169">
        <f t="shared" ref="L521:L565" si="390">M521-I521</f>
        <v>473644.68999999994</v>
      </c>
      <c r="M521" s="19">
        <f>M523</f>
        <v>2473644.69</v>
      </c>
      <c r="N521" s="19">
        <f>N523</f>
        <v>2470000</v>
      </c>
      <c r="O521" s="19">
        <f>O523</f>
        <v>1043912.7</v>
      </c>
      <c r="P521" s="303">
        <f>T521-N521</f>
        <v>-270000</v>
      </c>
      <c r="Q521" s="19">
        <f>Q523</f>
        <v>2470000</v>
      </c>
      <c r="R521" s="19">
        <f>R523</f>
        <v>0</v>
      </c>
      <c r="S521" s="19">
        <f>S523</f>
        <v>0</v>
      </c>
      <c r="T521" s="53">
        <f>T523</f>
        <v>2200000</v>
      </c>
      <c r="U521" s="53">
        <f>U523</f>
        <v>1917707.19</v>
      </c>
      <c r="V521" s="19">
        <f>V523+V528</f>
        <v>1955000</v>
      </c>
      <c r="W521" s="19">
        <f>W523+W528</f>
        <v>1735000</v>
      </c>
      <c r="X521" s="19">
        <f>X523+X528</f>
        <v>1515000</v>
      </c>
      <c r="Y521" s="19">
        <f>Y523+Y528</f>
        <v>381623.2</v>
      </c>
      <c r="Z521" s="19">
        <f t="shared" si="359"/>
        <v>19.52</v>
      </c>
      <c r="AA521" s="19">
        <f t="shared" ref="AA521:AA583" si="391">AB521-V521</f>
        <v>-200000</v>
      </c>
      <c r="AB521" s="19">
        <f>AB523+AB528</f>
        <v>1755000</v>
      </c>
      <c r="AC521" s="19">
        <f>AC523+AC528</f>
        <v>729242.29</v>
      </c>
      <c r="AD521" s="19">
        <f t="shared" si="371"/>
        <v>41.552267236467237</v>
      </c>
      <c r="AE521" s="19">
        <f t="shared" si="375"/>
        <v>-255000</v>
      </c>
      <c r="AF521" s="19">
        <f>AF523+AF528</f>
        <v>1500000</v>
      </c>
      <c r="AG521" s="19">
        <f>AG523+AG528</f>
        <v>1580000</v>
      </c>
      <c r="AH521" s="19">
        <f>AH523+AH528</f>
        <v>1420000</v>
      </c>
      <c r="AI521" s="19">
        <f>AI523+AI528</f>
        <v>1280000</v>
      </c>
      <c r="AJ521" s="162" t="b">
        <f t="shared" ref="AJ521:AJ584" si="392">ISBLANK(E521)</f>
        <v>1</v>
      </c>
      <c r="AK521" s="162" t="str">
        <f t="shared" ref="AK521:AK584" si="393">IF(AJ521,"PRAZNO","PUNO")</f>
        <v>PRAZNO</v>
      </c>
      <c r="AL521" s="170"/>
      <c r="AM521" s="164"/>
    </row>
    <row r="522" spans="1:39" s="264" customFormat="1" ht="15.75" x14ac:dyDescent="0.2">
      <c r="A522" s="259"/>
      <c r="B522" s="260"/>
      <c r="C522" s="260"/>
      <c r="D522" s="260"/>
      <c r="E522" s="260"/>
      <c r="F522" s="260"/>
      <c r="G522" s="260"/>
      <c r="H522" s="261" t="s">
        <v>824</v>
      </c>
      <c r="I522" s="181"/>
      <c r="J522" s="181"/>
      <c r="K522" s="181"/>
      <c r="L522" s="181"/>
      <c r="M522" s="262"/>
      <c r="N522" s="262"/>
      <c r="O522" s="262"/>
      <c r="P522" s="445"/>
      <c r="Q522" s="262"/>
      <c r="R522" s="262"/>
      <c r="S522" s="262"/>
      <c r="T522" s="342"/>
      <c r="U522" s="342"/>
      <c r="V522" s="262">
        <f t="shared" ref="V522:Y525" si="394">V523</f>
        <v>975000</v>
      </c>
      <c r="W522" s="262">
        <f t="shared" si="394"/>
        <v>865000</v>
      </c>
      <c r="X522" s="262">
        <f t="shared" si="394"/>
        <v>755000</v>
      </c>
      <c r="Y522" s="262">
        <f t="shared" si="394"/>
        <v>190362.82</v>
      </c>
      <c r="Z522" s="262">
        <f t="shared" si="359"/>
        <v>19.52</v>
      </c>
      <c r="AA522" s="262">
        <f t="shared" si="391"/>
        <v>-100000</v>
      </c>
      <c r="AB522" s="262">
        <f t="shared" ref="AB522:AI525" si="395">AB523</f>
        <v>875000</v>
      </c>
      <c r="AC522" s="262">
        <f t="shared" si="395"/>
        <v>363813.98</v>
      </c>
      <c r="AD522" s="262">
        <f t="shared" si="371"/>
        <v>41.578740571428568</v>
      </c>
      <c r="AE522" s="262">
        <f t="shared" si="375"/>
        <v>-125000</v>
      </c>
      <c r="AF522" s="262">
        <f t="shared" si="395"/>
        <v>750000</v>
      </c>
      <c r="AG522" s="262">
        <f t="shared" si="395"/>
        <v>790000</v>
      </c>
      <c r="AH522" s="262">
        <f t="shared" si="395"/>
        <v>468600</v>
      </c>
      <c r="AI522" s="262">
        <f t="shared" si="395"/>
        <v>422400</v>
      </c>
      <c r="AJ522" s="162" t="b">
        <f t="shared" si="392"/>
        <v>1</v>
      </c>
      <c r="AK522" s="162" t="str">
        <f t="shared" si="393"/>
        <v>PRAZNO</v>
      </c>
      <c r="AL522" s="263"/>
    </row>
    <row r="523" spans="1:39" s="174" customFormat="1" ht="15.75" x14ac:dyDescent="0.2">
      <c r="A523" s="259"/>
      <c r="B523" s="172">
        <v>3</v>
      </c>
      <c r="C523" s="172"/>
      <c r="D523" s="172"/>
      <c r="E523" s="172"/>
      <c r="F523" s="172"/>
      <c r="G523" s="172"/>
      <c r="H523" s="14" t="s">
        <v>524</v>
      </c>
      <c r="I523" s="20">
        <f>I524</f>
        <v>2000000</v>
      </c>
      <c r="J523" s="20">
        <f>J524</f>
        <v>1233555.8799999999</v>
      </c>
      <c r="K523" s="20">
        <f t="shared" si="379"/>
        <v>61.68</v>
      </c>
      <c r="L523" s="20">
        <f t="shared" si="390"/>
        <v>473644.68999999994</v>
      </c>
      <c r="M523" s="20">
        <f t="shared" ref="M523:O524" si="396">M524</f>
        <v>2473644.69</v>
      </c>
      <c r="N523" s="20">
        <f t="shared" si="396"/>
        <v>2470000</v>
      </c>
      <c r="O523" s="20">
        <f t="shared" si="396"/>
        <v>1043912.7</v>
      </c>
      <c r="P523" s="55">
        <f>T523-N523</f>
        <v>-270000</v>
      </c>
      <c r="Q523" s="20">
        <f t="shared" ref="Q523:U524" si="397">Q524</f>
        <v>2470000</v>
      </c>
      <c r="R523" s="20">
        <f t="shared" si="397"/>
        <v>0</v>
      </c>
      <c r="S523" s="20">
        <f t="shared" si="397"/>
        <v>0</v>
      </c>
      <c r="T523" s="55">
        <f t="shared" si="397"/>
        <v>2200000</v>
      </c>
      <c r="U523" s="55">
        <f t="shared" si="397"/>
        <v>1917707.19</v>
      </c>
      <c r="V523" s="20">
        <f t="shared" si="394"/>
        <v>975000</v>
      </c>
      <c r="W523" s="20">
        <f t="shared" si="394"/>
        <v>865000</v>
      </c>
      <c r="X523" s="20">
        <f t="shared" si="394"/>
        <v>755000</v>
      </c>
      <c r="Y523" s="20">
        <f t="shared" si="394"/>
        <v>190362.82</v>
      </c>
      <c r="Z523" s="20">
        <f t="shared" si="359"/>
        <v>19.52</v>
      </c>
      <c r="AA523" s="20">
        <f t="shared" si="391"/>
        <v>-100000</v>
      </c>
      <c r="AB523" s="20">
        <f t="shared" si="395"/>
        <v>875000</v>
      </c>
      <c r="AC523" s="20">
        <f t="shared" si="395"/>
        <v>363813.98</v>
      </c>
      <c r="AD523" s="20">
        <f t="shared" si="371"/>
        <v>41.578740571428568</v>
      </c>
      <c r="AE523" s="20">
        <f t="shared" si="375"/>
        <v>-125000</v>
      </c>
      <c r="AF523" s="20">
        <f t="shared" si="395"/>
        <v>750000</v>
      </c>
      <c r="AG523" s="20">
        <f t="shared" si="395"/>
        <v>790000</v>
      </c>
      <c r="AH523" s="20">
        <f t="shared" si="395"/>
        <v>468600</v>
      </c>
      <c r="AI523" s="20">
        <f t="shared" si="395"/>
        <v>422400</v>
      </c>
      <c r="AJ523" s="162" t="b">
        <f t="shared" si="392"/>
        <v>1</v>
      </c>
      <c r="AK523" s="162" t="str">
        <f t="shared" si="393"/>
        <v>PRAZNO</v>
      </c>
      <c r="AL523" s="173"/>
      <c r="AM523" s="164"/>
    </row>
    <row r="524" spans="1:39" ht="15.75" x14ac:dyDescent="0.2">
      <c r="B524" s="175"/>
      <c r="C524" s="175">
        <v>35</v>
      </c>
      <c r="D524" s="175"/>
      <c r="E524" s="175"/>
      <c r="F524" s="175"/>
      <c r="G524" s="175"/>
      <c r="H524" s="28" t="s">
        <v>747</v>
      </c>
      <c r="I524" s="22">
        <f>I525</f>
        <v>2000000</v>
      </c>
      <c r="J524" s="22">
        <f>J525</f>
        <v>1233555.8799999999</v>
      </c>
      <c r="K524" s="22">
        <f t="shared" si="379"/>
        <v>61.68</v>
      </c>
      <c r="L524" s="22">
        <f t="shared" si="390"/>
        <v>473644.68999999994</v>
      </c>
      <c r="M524" s="22">
        <f t="shared" si="396"/>
        <v>2473644.69</v>
      </c>
      <c r="N524" s="22">
        <f t="shared" si="396"/>
        <v>2470000</v>
      </c>
      <c r="O524" s="22">
        <f t="shared" si="396"/>
        <v>1043912.7</v>
      </c>
      <c r="P524" s="26">
        <f>T524-N524</f>
        <v>-270000</v>
      </c>
      <c r="Q524" s="22">
        <f t="shared" si="397"/>
        <v>2470000</v>
      </c>
      <c r="R524" s="22">
        <f t="shared" si="397"/>
        <v>0</v>
      </c>
      <c r="S524" s="22">
        <f t="shared" si="397"/>
        <v>0</v>
      </c>
      <c r="T524" s="38">
        <f t="shared" si="397"/>
        <v>2200000</v>
      </c>
      <c r="U524" s="38">
        <f t="shared" si="397"/>
        <v>1917707.19</v>
      </c>
      <c r="V524" s="22">
        <f t="shared" si="394"/>
        <v>975000</v>
      </c>
      <c r="W524" s="22">
        <f t="shared" si="394"/>
        <v>865000</v>
      </c>
      <c r="X524" s="22">
        <f t="shared" si="394"/>
        <v>755000</v>
      </c>
      <c r="Y524" s="22">
        <f t="shared" si="394"/>
        <v>190362.82</v>
      </c>
      <c r="Z524" s="22">
        <f t="shared" si="359"/>
        <v>19.52</v>
      </c>
      <c r="AA524" s="22">
        <f t="shared" si="391"/>
        <v>-100000</v>
      </c>
      <c r="AB524" s="22">
        <f t="shared" si="395"/>
        <v>875000</v>
      </c>
      <c r="AC524" s="22">
        <f t="shared" si="395"/>
        <v>363813.98</v>
      </c>
      <c r="AD524" s="22">
        <f t="shared" si="371"/>
        <v>41.578740571428568</v>
      </c>
      <c r="AE524" s="22">
        <f t="shared" si="375"/>
        <v>-125000</v>
      </c>
      <c r="AF524" s="22">
        <f t="shared" si="395"/>
        <v>750000</v>
      </c>
      <c r="AG524" s="22">
        <f t="shared" si="395"/>
        <v>790000</v>
      </c>
      <c r="AH524" s="22">
        <f t="shared" si="395"/>
        <v>468600</v>
      </c>
      <c r="AI524" s="22">
        <f t="shared" si="395"/>
        <v>422400</v>
      </c>
      <c r="AJ524" s="162" t="b">
        <f t="shared" si="392"/>
        <v>1</v>
      </c>
      <c r="AK524" s="162" t="str">
        <f t="shared" si="393"/>
        <v>PRAZNO</v>
      </c>
      <c r="AM524" s="164"/>
    </row>
    <row r="525" spans="1:39" ht="30" x14ac:dyDescent="0.2">
      <c r="B525" s="177"/>
      <c r="C525" s="177"/>
      <c r="D525" s="177">
        <v>352</v>
      </c>
      <c r="E525" s="177"/>
      <c r="F525" s="177"/>
      <c r="G525" s="177"/>
      <c r="H525" s="29" t="s">
        <v>748</v>
      </c>
      <c r="I525" s="17">
        <f>SUM(I526:I531)</f>
        <v>2000000</v>
      </c>
      <c r="J525" s="17">
        <f>SUM(J526:J531)</f>
        <v>1233555.8799999999</v>
      </c>
      <c r="K525" s="17">
        <f t="shared" si="379"/>
        <v>61.68</v>
      </c>
      <c r="L525" s="17">
        <f t="shared" si="390"/>
        <v>473644.68999999994</v>
      </c>
      <c r="M525" s="17">
        <f>SUM(M526:M531)</f>
        <v>2473644.69</v>
      </c>
      <c r="N525" s="17">
        <f>SUM(N526:N531)</f>
        <v>2470000</v>
      </c>
      <c r="O525" s="17">
        <f>SUM(O526:O531)</f>
        <v>1043912.7</v>
      </c>
      <c r="P525" s="26">
        <f>T525-N525</f>
        <v>-270000</v>
      </c>
      <c r="Q525" s="17">
        <f>SUM(Q526:Q531)</f>
        <v>2470000</v>
      </c>
      <c r="R525" s="17">
        <f>SUM(R526:R531)</f>
        <v>0</v>
      </c>
      <c r="S525" s="17">
        <f>SUM(S526:S531)</f>
        <v>0</v>
      </c>
      <c r="T525" s="26">
        <f>SUM(T526:T531)</f>
        <v>2200000</v>
      </c>
      <c r="U525" s="26">
        <f>SUM(U526:U531)</f>
        <v>1917707.19</v>
      </c>
      <c r="V525" s="17">
        <f t="shared" si="394"/>
        <v>975000</v>
      </c>
      <c r="W525" s="17">
        <f t="shared" si="394"/>
        <v>865000</v>
      </c>
      <c r="X525" s="17">
        <f t="shared" si="394"/>
        <v>755000</v>
      </c>
      <c r="Y525" s="17">
        <f t="shared" si="394"/>
        <v>190362.82</v>
      </c>
      <c r="Z525" s="17">
        <f t="shared" si="359"/>
        <v>19.52</v>
      </c>
      <c r="AA525" s="17">
        <f t="shared" si="391"/>
        <v>-100000</v>
      </c>
      <c r="AB525" s="17">
        <f t="shared" si="395"/>
        <v>875000</v>
      </c>
      <c r="AC525" s="17">
        <f t="shared" si="395"/>
        <v>363813.98</v>
      </c>
      <c r="AD525" s="17">
        <f t="shared" si="371"/>
        <v>41.578740571428568</v>
      </c>
      <c r="AE525" s="17">
        <f t="shared" si="375"/>
        <v>-125000</v>
      </c>
      <c r="AF525" s="17">
        <f t="shared" si="395"/>
        <v>750000</v>
      </c>
      <c r="AG525" s="17">
        <f t="shared" si="395"/>
        <v>790000</v>
      </c>
      <c r="AH525" s="17">
        <f t="shared" si="395"/>
        <v>468600</v>
      </c>
      <c r="AI525" s="17">
        <f t="shared" si="395"/>
        <v>422400</v>
      </c>
      <c r="AJ525" s="162" t="b">
        <f t="shared" si="392"/>
        <v>1</v>
      </c>
      <c r="AK525" s="162" t="str">
        <f t="shared" si="393"/>
        <v>PRAZNO</v>
      </c>
      <c r="AM525" s="164"/>
    </row>
    <row r="526" spans="1:39" ht="48" customHeight="1" x14ac:dyDescent="0.2">
      <c r="B526" s="177"/>
      <c r="C526" s="177"/>
      <c r="D526" s="177"/>
      <c r="E526" s="177">
        <v>3523</v>
      </c>
      <c r="F526" s="176">
        <v>14</v>
      </c>
      <c r="G526" s="176" t="s">
        <v>424</v>
      </c>
      <c r="H526" s="256" t="s">
        <v>329</v>
      </c>
      <c r="I526" s="17">
        <v>703000</v>
      </c>
      <c r="J526" s="181">
        <v>500069.18</v>
      </c>
      <c r="K526" s="181">
        <f t="shared" si="379"/>
        <v>71.13</v>
      </c>
      <c r="L526" s="181">
        <f t="shared" si="390"/>
        <v>476590.16999999993</v>
      </c>
      <c r="M526" s="181">
        <v>1179590.17</v>
      </c>
      <c r="N526" s="181">
        <v>1432000</v>
      </c>
      <c r="O526" s="181">
        <v>520143.41</v>
      </c>
      <c r="P526" s="26">
        <f>T526-N526</f>
        <v>-342000</v>
      </c>
      <c r="Q526" s="181">
        <v>1432000</v>
      </c>
      <c r="R526" s="181"/>
      <c r="S526" s="181"/>
      <c r="T526" s="307">
        <v>1090000</v>
      </c>
      <c r="U526" s="307">
        <v>955781.88</v>
      </c>
      <c r="V526" s="181">
        <v>975000</v>
      </c>
      <c r="W526" s="181">
        <v>865000</v>
      </c>
      <c r="X526" s="181">
        <v>755000</v>
      </c>
      <c r="Y526" s="181">
        <v>190362.82</v>
      </c>
      <c r="Z526" s="181">
        <f t="shared" si="359"/>
        <v>19.52</v>
      </c>
      <c r="AA526" s="181">
        <f t="shared" si="391"/>
        <v>-100000</v>
      </c>
      <c r="AB526" s="181">
        <v>875000</v>
      </c>
      <c r="AC526" s="181">
        <v>363813.98</v>
      </c>
      <c r="AD526" s="181">
        <f t="shared" si="371"/>
        <v>41.578740571428568</v>
      </c>
      <c r="AE526" s="181">
        <f t="shared" si="375"/>
        <v>-125000</v>
      </c>
      <c r="AF526" s="181">
        <v>750000</v>
      </c>
      <c r="AG526" s="713">
        <v>790000</v>
      </c>
      <c r="AH526" s="181">
        <v>468600</v>
      </c>
      <c r="AI526" s="181">
        <v>422400</v>
      </c>
      <c r="AJ526" s="162" t="b">
        <f t="shared" si="392"/>
        <v>0</v>
      </c>
      <c r="AK526" s="162" t="str">
        <f t="shared" si="393"/>
        <v>PUNO</v>
      </c>
      <c r="AM526" s="164"/>
    </row>
    <row r="527" spans="1:39" s="453" customFormat="1" ht="22.5" customHeight="1" x14ac:dyDescent="0.25">
      <c r="A527" s="378"/>
      <c r="B527" s="260"/>
      <c r="C527" s="260"/>
      <c r="D527" s="260"/>
      <c r="E527" s="260"/>
      <c r="F527" s="442"/>
      <c r="G527" s="448"/>
      <c r="H527" s="460" t="s">
        <v>825</v>
      </c>
      <c r="I527" s="201"/>
      <c r="J527" s="201"/>
      <c r="K527" s="201"/>
      <c r="L527" s="201"/>
      <c r="M527" s="201"/>
      <c r="N527" s="201"/>
      <c r="O527" s="201"/>
      <c r="P527" s="202"/>
      <c r="Q527" s="201"/>
      <c r="R527" s="201"/>
      <c r="S527" s="201"/>
      <c r="T527" s="202"/>
      <c r="U527" s="202"/>
      <c r="V527" s="201">
        <f t="shared" ref="V527:AI530" si="398">V528</f>
        <v>980000</v>
      </c>
      <c r="W527" s="201">
        <f t="shared" si="398"/>
        <v>870000</v>
      </c>
      <c r="X527" s="201">
        <f t="shared" si="398"/>
        <v>760000</v>
      </c>
      <c r="Y527" s="201">
        <f t="shared" si="398"/>
        <v>191260.38</v>
      </c>
      <c r="Z527" s="201">
        <f t="shared" si="359"/>
        <v>19.52</v>
      </c>
      <c r="AA527" s="201">
        <f t="shared" si="391"/>
        <v>-100000</v>
      </c>
      <c r="AB527" s="201">
        <f t="shared" si="398"/>
        <v>880000</v>
      </c>
      <c r="AC527" s="201">
        <f t="shared" si="398"/>
        <v>365428.31</v>
      </c>
      <c r="AD527" s="201">
        <f t="shared" si="371"/>
        <v>41.525944318181814</v>
      </c>
      <c r="AE527" s="201">
        <f t="shared" si="375"/>
        <v>-130000</v>
      </c>
      <c r="AF527" s="201">
        <f t="shared" si="398"/>
        <v>750000</v>
      </c>
      <c r="AG527" s="201">
        <f t="shared" si="398"/>
        <v>790000</v>
      </c>
      <c r="AH527" s="201">
        <f t="shared" si="398"/>
        <v>951400</v>
      </c>
      <c r="AI527" s="201">
        <f t="shared" si="398"/>
        <v>857600</v>
      </c>
      <c r="AJ527" s="162" t="b">
        <f t="shared" si="392"/>
        <v>1</v>
      </c>
      <c r="AK527" s="162" t="str">
        <f t="shared" si="393"/>
        <v>PRAZNO</v>
      </c>
      <c r="AL527" s="452"/>
      <c r="AM527" s="287"/>
    </row>
    <row r="528" spans="1:39" s="174" customFormat="1" ht="18" customHeight="1" x14ac:dyDescent="0.2">
      <c r="A528" s="259"/>
      <c r="B528" s="172">
        <v>3</v>
      </c>
      <c r="C528" s="172"/>
      <c r="D528" s="172"/>
      <c r="E528" s="172"/>
      <c r="F528" s="220"/>
      <c r="G528" s="220"/>
      <c r="H528" s="461" t="s">
        <v>524</v>
      </c>
      <c r="I528" s="20"/>
      <c r="J528" s="20"/>
      <c r="K528" s="20"/>
      <c r="L528" s="20"/>
      <c r="M528" s="20"/>
      <c r="N528" s="20"/>
      <c r="O528" s="20"/>
      <c r="P528" s="55"/>
      <c r="Q528" s="20"/>
      <c r="R528" s="20"/>
      <c r="S528" s="20"/>
      <c r="T528" s="55"/>
      <c r="U528" s="55"/>
      <c r="V528" s="20">
        <f t="shared" si="398"/>
        <v>980000</v>
      </c>
      <c r="W528" s="20">
        <f t="shared" si="398"/>
        <v>870000</v>
      </c>
      <c r="X528" s="20">
        <f t="shared" si="398"/>
        <v>760000</v>
      </c>
      <c r="Y528" s="20">
        <f t="shared" si="398"/>
        <v>191260.38</v>
      </c>
      <c r="Z528" s="20">
        <f t="shared" si="359"/>
        <v>19.52</v>
      </c>
      <c r="AA528" s="20">
        <f t="shared" si="391"/>
        <v>-100000</v>
      </c>
      <c r="AB528" s="20">
        <f t="shared" si="398"/>
        <v>880000</v>
      </c>
      <c r="AC528" s="20">
        <f t="shared" si="398"/>
        <v>365428.31</v>
      </c>
      <c r="AD528" s="20">
        <f t="shared" si="371"/>
        <v>41.525944318181814</v>
      </c>
      <c r="AE528" s="20">
        <f t="shared" si="375"/>
        <v>-130000</v>
      </c>
      <c r="AF528" s="20">
        <f t="shared" si="398"/>
        <v>750000</v>
      </c>
      <c r="AG528" s="20">
        <f t="shared" si="398"/>
        <v>790000</v>
      </c>
      <c r="AH528" s="20">
        <f t="shared" si="398"/>
        <v>951400</v>
      </c>
      <c r="AI528" s="20">
        <f t="shared" si="398"/>
        <v>857600</v>
      </c>
      <c r="AJ528" s="162" t="b">
        <f t="shared" si="392"/>
        <v>1</v>
      </c>
      <c r="AK528" s="162" t="str">
        <f t="shared" si="393"/>
        <v>PRAZNO</v>
      </c>
      <c r="AL528" s="173"/>
    </row>
    <row r="529" spans="1:45" ht="18.75" customHeight="1" x14ac:dyDescent="0.2">
      <c r="B529" s="177"/>
      <c r="C529" s="177">
        <v>35</v>
      </c>
      <c r="D529" s="177"/>
      <c r="E529" s="177"/>
      <c r="F529" s="265"/>
      <c r="G529" s="176"/>
      <c r="H529" s="256" t="s">
        <v>749</v>
      </c>
      <c r="I529" s="17"/>
      <c r="J529" s="17"/>
      <c r="K529" s="17"/>
      <c r="L529" s="17"/>
      <c r="M529" s="17"/>
      <c r="N529" s="17"/>
      <c r="O529" s="17"/>
      <c r="P529" s="26"/>
      <c r="Q529" s="17"/>
      <c r="R529" s="17"/>
      <c r="S529" s="17"/>
      <c r="T529" s="26"/>
      <c r="U529" s="26"/>
      <c r="V529" s="17">
        <f t="shared" si="398"/>
        <v>980000</v>
      </c>
      <c r="W529" s="17">
        <f t="shared" si="398"/>
        <v>870000</v>
      </c>
      <c r="X529" s="17">
        <f t="shared" si="398"/>
        <v>760000</v>
      </c>
      <c r="Y529" s="17">
        <f t="shared" si="398"/>
        <v>191260.38</v>
      </c>
      <c r="Z529" s="17">
        <f t="shared" si="359"/>
        <v>19.52</v>
      </c>
      <c r="AA529" s="17">
        <f t="shared" si="391"/>
        <v>-100000</v>
      </c>
      <c r="AB529" s="17">
        <f t="shared" si="398"/>
        <v>880000</v>
      </c>
      <c r="AC529" s="17">
        <f t="shared" si="398"/>
        <v>365428.31</v>
      </c>
      <c r="AD529" s="17">
        <f t="shared" si="371"/>
        <v>41.525944318181814</v>
      </c>
      <c r="AE529" s="17">
        <f t="shared" si="375"/>
        <v>-130000</v>
      </c>
      <c r="AF529" s="17">
        <f t="shared" si="398"/>
        <v>750000</v>
      </c>
      <c r="AG529" s="17">
        <f t="shared" si="398"/>
        <v>790000</v>
      </c>
      <c r="AH529" s="17">
        <f t="shared" si="398"/>
        <v>951400</v>
      </c>
      <c r="AI529" s="17">
        <f t="shared" si="398"/>
        <v>857600</v>
      </c>
      <c r="AJ529" s="162" t="b">
        <f t="shared" si="392"/>
        <v>1</v>
      </c>
      <c r="AK529" s="162" t="str">
        <f t="shared" si="393"/>
        <v>PRAZNO</v>
      </c>
      <c r="AM529" s="164"/>
    </row>
    <row r="530" spans="1:45" ht="33.75" customHeight="1" x14ac:dyDescent="0.2">
      <c r="B530" s="177"/>
      <c r="C530" s="177"/>
      <c r="D530" s="177">
        <v>352</v>
      </c>
      <c r="E530" s="177"/>
      <c r="F530" s="265"/>
      <c r="G530" s="176"/>
      <c r="H530" s="256" t="s">
        <v>748</v>
      </c>
      <c r="I530" s="17"/>
      <c r="J530" s="17"/>
      <c r="K530" s="17"/>
      <c r="L530" s="17"/>
      <c r="M530" s="17"/>
      <c r="N530" s="17"/>
      <c r="O530" s="17"/>
      <c r="P530" s="26"/>
      <c r="Q530" s="17"/>
      <c r="R530" s="17"/>
      <c r="S530" s="17"/>
      <c r="T530" s="26"/>
      <c r="U530" s="26"/>
      <c r="V530" s="17">
        <f t="shared" si="398"/>
        <v>980000</v>
      </c>
      <c r="W530" s="17">
        <f t="shared" si="398"/>
        <v>870000</v>
      </c>
      <c r="X530" s="17">
        <f t="shared" si="398"/>
        <v>760000</v>
      </c>
      <c r="Y530" s="17">
        <f t="shared" si="398"/>
        <v>191260.38</v>
      </c>
      <c r="Z530" s="17">
        <f t="shared" si="359"/>
        <v>19.52</v>
      </c>
      <c r="AA530" s="17">
        <f t="shared" si="391"/>
        <v>-100000</v>
      </c>
      <c r="AB530" s="17">
        <f t="shared" si="398"/>
        <v>880000</v>
      </c>
      <c r="AC530" s="17">
        <f t="shared" si="398"/>
        <v>365428.31</v>
      </c>
      <c r="AD530" s="17">
        <f t="shared" si="371"/>
        <v>41.525944318181814</v>
      </c>
      <c r="AE530" s="17">
        <f t="shared" si="375"/>
        <v>-130000</v>
      </c>
      <c r="AF530" s="17">
        <f t="shared" si="398"/>
        <v>750000</v>
      </c>
      <c r="AG530" s="17">
        <f t="shared" si="398"/>
        <v>790000</v>
      </c>
      <c r="AH530" s="17">
        <f t="shared" si="398"/>
        <v>951400</v>
      </c>
      <c r="AI530" s="17">
        <f t="shared" si="398"/>
        <v>857600</v>
      </c>
      <c r="AJ530" s="162" t="b">
        <f t="shared" si="392"/>
        <v>1</v>
      </c>
      <c r="AK530" s="162" t="str">
        <f t="shared" si="393"/>
        <v>PRAZNO</v>
      </c>
      <c r="AM530" s="164"/>
    </row>
    <row r="531" spans="1:45" ht="43.5" customHeight="1" x14ac:dyDescent="0.2">
      <c r="B531" s="177"/>
      <c r="C531" s="177"/>
      <c r="D531" s="177"/>
      <c r="E531" s="177">
        <v>3523</v>
      </c>
      <c r="F531" s="176">
        <v>52</v>
      </c>
      <c r="G531" s="176" t="s">
        <v>424</v>
      </c>
      <c r="H531" s="256" t="s">
        <v>329</v>
      </c>
      <c r="I531" s="17">
        <v>1297000</v>
      </c>
      <c r="J531" s="181">
        <v>733486.7</v>
      </c>
      <c r="K531" s="181">
        <f t="shared" si="379"/>
        <v>56.55</v>
      </c>
      <c r="L531" s="181">
        <f t="shared" si="390"/>
        <v>-2945.4799999999814</v>
      </c>
      <c r="M531" s="181">
        <v>1294054.52</v>
      </c>
      <c r="N531" s="181">
        <v>1038000</v>
      </c>
      <c r="O531" s="181">
        <v>523769.29</v>
      </c>
      <c r="P531" s="26">
        <f>T531-N531</f>
        <v>72000</v>
      </c>
      <c r="Q531" s="181">
        <v>1038000</v>
      </c>
      <c r="R531" s="181"/>
      <c r="S531" s="181"/>
      <c r="T531" s="307">
        <v>1110000</v>
      </c>
      <c r="U531" s="307">
        <v>961925.31</v>
      </c>
      <c r="V531" s="181">
        <v>980000</v>
      </c>
      <c r="W531" s="181">
        <v>870000</v>
      </c>
      <c r="X531" s="181">
        <v>760000</v>
      </c>
      <c r="Y531" s="181">
        <v>191260.38</v>
      </c>
      <c r="Z531" s="181">
        <f t="shared" si="359"/>
        <v>19.52</v>
      </c>
      <c r="AA531" s="181">
        <f t="shared" si="391"/>
        <v>-100000</v>
      </c>
      <c r="AB531" s="181">
        <v>880000</v>
      </c>
      <c r="AC531" s="181">
        <v>365428.31</v>
      </c>
      <c r="AD531" s="181">
        <f t="shared" si="371"/>
        <v>41.525944318181814</v>
      </c>
      <c r="AE531" s="181">
        <f t="shared" si="375"/>
        <v>-130000</v>
      </c>
      <c r="AF531" s="181">
        <v>750000</v>
      </c>
      <c r="AG531" s="713">
        <v>790000</v>
      </c>
      <c r="AH531" s="181">
        <v>951400</v>
      </c>
      <c r="AI531" s="181">
        <v>857600</v>
      </c>
      <c r="AJ531" s="162" t="b">
        <f t="shared" si="392"/>
        <v>0</v>
      </c>
      <c r="AK531" s="162" t="str">
        <f t="shared" si="393"/>
        <v>PUNO</v>
      </c>
      <c r="AL531" s="179"/>
      <c r="AM531" s="164"/>
      <c r="AN531" s="179"/>
      <c r="AO531" s="179"/>
      <c r="AP531" s="179"/>
      <c r="AQ531" s="179"/>
      <c r="AR531" s="179"/>
      <c r="AS531" s="179"/>
    </row>
    <row r="532" spans="1:45" s="171" customFormat="1" ht="47.25" x14ac:dyDescent="0.2">
      <c r="A532" s="259"/>
      <c r="B532" s="168"/>
      <c r="C532" s="168"/>
      <c r="D532" s="168"/>
      <c r="E532" s="168"/>
      <c r="F532" s="168"/>
      <c r="G532" s="168"/>
      <c r="H532" s="25" t="s">
        <v>112</v>
      </c>
      <c r="I532" s="169">
        <f>I534</f>
        <v>260000</v>
      </c>
      <c r="J532" s="169">
        <f>J534</f>
        <v>151798.88999999998</v>
      </c>
      <c r="K532" s="169">
        <f t="shared" si="379"/>
        <v>58.38</v>
      </c>
      <c r="L532" s="169">
        <f t="shared" si="390"/>
        <v>-44599.859999999986</v>
      </c>
      <c r="M532" s="19">
        <f>M534</f>
        <v>215400.14</v>
      </c>
      <c r="N532" s="19">
        <f>N534</f>
        <v>230000</v>
      </c>
      <c r="O532" s="19">
        <f>O534</f>
        <v>85031.12999999999</v>
      </c>
      <c r="P532" s="303">
        <f>T532-N532</f>
        <v>-30000</v>
      </c>
      <c r="Q532" s="19">
        <f>Q534</f>
        <v>230000</v>
      </c>
      <c r="R532" s="19">
        <f>R534</f>
        <v>200000</v>
      </c>
      <c r="S532" s="19">
        <f>S534</f>
        <v>170000</v>
      </c>
      <c r="T532" s="53">
        <f>T534</f>
        <v>200000</v>
      </c>
      <c r="U532" s="53">
        <f>U534</f>
        <v>155491.99000000002</v>
      </c>
      <c r="V532" s="19">
        <f>V534+V539</f>
        <v>200000</v>
      </c>
      <c r="W532" s="19">
        <f>W534+W539</f>
        <v>170000</v>
      </c>
      <c r="X532" s="19">
        <f>X534+X539</f>
        <v>140000</v>
      </c>
      <c r="Y532" s="19">
        <f>Y534+Y539</f>
        <v>27698.19</v>
      </c>
      <c r="Z532" s="19">
        <f t="shared" si="359"/>
        <v>13.85</v>
      </c>
      <c r="AA532" s="19">
        <f t="shared" si="391"/>
        <v>-69000</v>
      </c>
      <c r="AB532" s="19">
        <f>AB534+AB539</f>
        <v>131000</v>
      </c>
      <c r="AC532" s="19">
        <f>AC534+AC539</f>
        <v>51360.87</v>
      </c>
      <c r="AD532" s="19">
        <f t="shared" si="371"/>
        <v>39.206770992366415</v>
      </c>
      <c r="AE532" s="19">
        <f t="shared" si="375"/>
        <v>-16000</v>
      </c>
      <c r="AF532" s="19">
        <f>AF534+AF539</f>
        <v>115000</v>
      </c>
      <c r="AG532" s="19">
        <f>AG534+AG539</f>
        <v>118000</v>
      </c>
      <c r="AH532" s="19">
        <f>AH534+AH539</f>
        <v>106000</v>
      </c>
      <c r="AI532" s="19">
        <f>AI534+AI539</f>
        <v>95000</v>
      </c>
      <c r="AJ532" s="162" t="b">
        <f t="shared" si="392"/>
        <v>1</v>
      </c>
      <c r="AK532" s="162" t="str">
        <f t="shared" si="393"/>
        <v>PRAZNO</v>
      </c>
      <c r="AL532" s="170"/>
      <c r="AM532" s="164"/>
    </row>
    <row r="533" spans="1:45" s="264" customFormat="1" ht="15.75" x14ac:dyDescent="0.2">
      <c r="A533" s="259"/>
      <c r="B533" s="260"/>
      <c r="C533" s="260"/>
      <c r="D533" s="260"/>
      <c r="E533" s="260"/>
      <c r="F533" s="260"/>
      <c r="G533" s="260"/>
      <c r="H533" s="261" t="s">
        <v>824</v>
      </c>
      <c r="I533" s="181"/>
      <c r="J533" s="181"/>
      <c r="K533" s="181"/>
      <c r="L533" s="181"/>
      <c r="M533" s="262"/>
      <c r="N533" s="262"/>
      <c r="O533" s="262"/>
      <c r="P533" s="445"/>
      <c r="Q533" s="262"/>
      <c r="R533" s="262"/>
      <c r="S533" s="262"/>
      <c r="T533" s="342"/>
      <c r="U533" s="342"/>
      <c r="V533" s="262">
        <f>V534</f>
        <v>174000</v>
      </c>
      <c r="W533" s="262">
        <f>W534</f>
        <v>140000</v>
      </c>
      <c r="X533" s="262">
        <f>X534</f>
        <v>120000</v>
      </c>
      <c r="Y533" s="262">
        <f>Y534</f>
        <v>26792.91</v>
      </c>
      <c r="Z533" s="262">
        <f t="shared" si="359"/>
        <v>15.4</v>
      </c>
      <c r="AA533" s="262">
        <f t="shared" si="391"/>
        <v>-50000</v>
      </c>
      <c r="AB533" s="262">
        <f>AB534</f>
        <v>124000</v>
      </c>
      <c r="AC533" s="262">
        <f>AC534</f>
        <v>49788.07</v>
      </c>
      <c r="AD533" s="262">
        <f t="shared" si="371"/>
        <v>40.15166935483871</v>
      </c>
      <c r="AE533" s="262">
        <f t="shared" si="375"/>
        <v>-15000</v>
      </c>
      <c r="AF533" s="262">
        <f>AF534</f>
        <v>109000</v>
      </c>
      <c r="AG533" s="262">
        <f>AG534</f>
        <v>112000</v>
      </c>
      <c r="AH533" s="262">
        <f>AH534</f>
        <v>100700</v>
      </c>
      <c r="AI533" s="262">
        <f>AI534</f>
        <v>90250</v>
      </c>
      <c r="AJ533" s="162" t="b">
        <f t="shared" si="392"/>
        <v>1</v>
      </c>
      <c r="AK533" s="162" t="str">
        <f t="shared" si="393"/>
        <v>PRAZNO</v>
      </c>
      <c r="AL533" s="263"/>
    </row>
    <row r="534" spans="1:45" s="174" customFormat="1" ht="15.75" x14ac:dyDescent="0.2">
      <c r="A534" s="259"/>
      <c r="B534" s="172">
        <v>3</v>
      </c>
      <c r="C534" s="172"/>
      <c r="D534" s="172"/>
      <c r="E534" s="172"/>
      <c r="F534" s="172"/>
      <c r="G534" s="172"/>
      <c r="H534" s="14" t="s">
        <v>524</v>
      </c>
      <c r="I534" s="20">
        <f t="shared" ref="I534:AI536" si="399">I535</f>
        <v>260000</v>
      </c>
      <c r="J534" s="20">
        <f t="shared" si="399"/>
        <v>151798.88999999998</v>
      </c>
      <c r="K534" s="20">
        <f t="shared" si="379"/>
        <v>58.38</v>
      </c>
      <c r="L534" s="20">
        <f t="shared" si="390"/>
        <v>-44599.859999999986</v>
      </c>
      <c r="M534" s="20">
        <f t="shared" si="399"/>
        <v>215400.14</v>
      </c>
      <c r="N534" s="20">
        <f t="shared" si="399"/>
        <v>230000</v>
      </c>
      <c r="O534" s="20">
        <f t="shared" si="399"/>
        <v>85031.12999999999</v>
      </c>
      <c r="P534" s="55">
        <f>T534-N534</f>
        <v>-30000</v>
      </c>
      <c r="Q534" s="20">
        <f t="shared" si="399"/>
        <v>230000</v>
      </c>
      <c r="R534" s="20">
        <f t="shared" si="399"/>
        <v>200000</v>
      </c>
      <c r="S534" s="20">
        <f t="shared" si="399"/>
        <v>170000</v>
      </c>
      <c r="T534" s="55">
        <f t="shared" si="399"/>
        <v>200000</v>
      </c>
      <c r="U534" s="55">
        <f t="shared" si="399"/>
        <v>155491.99000000002</v>
      </c>
      <c r="V534" s="20">
        <f t="shared" si="399"/>
        <v>174000</v>
      </c>
      <c r="W534" s="20">
        <f t="shared" si="399"/>
        <v>140000</v>
      </c>
      <c r="X534" s="20">
        <f t="shared" si="399"/>
        <v>120000</v>
      </c>
      <c r="Y534" s="20">
        <f t="shared" si="399"/>
        <v>26792.91</v>
      </c>
      <c r="Z534" s="20">
        <f t="shared" si="359"/>
        <v>15.4</v>
      </c>
      <c r="AA534" s="20">
        <f t="shared" si="391"/>
        <v>-50000</v>
      </c>
      <c r="AB534" s="20">
        <f t="shared" si="399"/>
        <v>124000</v>
      </c>
      <c r="AC534" s="20">
        <f t="shared" si="399"/>
        <v>49788.07</v>
      </c>
      <c r="AD534" s="20">
        <f t="shared" si="371"/>
        <v>40.15166935483871</v>
      </c>
      <c r="AE534" s="20">
        <f t="shared" si="375"/>
        <v>-15000</v>
      </c>
      <c r="AF534" s="20">
        <f t="shared" si="399"/>
        <v>109000</v>
      </c>
      <c r="AG534" s="20">
        <f t="shared" si="399"/>
        <v>112000</v>
      </c>
      <c r="AH534" s="20">
        <f t="shared" si="399"/>
        <v>100700</v>
      </c>
      <c r="AI534" s="20">
        <f t="shared" si="399"/>
        <v>90250</v>
      </c>
      <c r="AJ534" s="162" t="b">
        <f t="shared" si="392"/>
        <v>1</v>
      </c>
      <c r="AK534" s="162" t="str">
        <f t="shared" si="393"/>
        <v>PRAZNO</v>
      </c>
      <c r="AL534" s="173"/>
      <c r="AM534" s="164"/>
    </row>
    <row r="535" spans="1:45" ht="15.75" x14ac:dyDescent="0.2">
      <c r="B535" s="177"/>
      <c r="C535" s="177">
        <v>35</v>
      </c>
      <c r="D535" s="177"/>
      <c r="E535" s="177"/>
      <c r="F535" s="177"/>
      <c r="G535" s="177"/>
      <c r="H535" s="29" t="s">
        <v>747</v>
      </c>
      <c r="I535" s="18">
        <f t="shared" si="399"/>
        <v>260000</v>
      </c>
      <c r="J535" s="18">
        <f t="shared" si="399"/>
        <v>151798.88999999998</v>
      </c>
      <c r="K535" s="18">
        <f t="shared" si="379"/>
        <v>58.38</v>
      </c>
      <c r="L535" s="18">
        <f t="shared" si="390"/>
        <v>-44599.859999999986</v>
      </c>
      <c r="M535" s="18">
        <f t="shared" si="399"/>
        <v>215400.14</v>
      </c>
      <c r="N535" s="18">
        <f t="shared" si="399"/>
        <v>230000</v>
      </c>
      <c r="O535" s="18">
        <f t="shared" si="399"/>
        <v>85031.12999999999</v>
      </c>
      <c r="P535" s="26">
        <f>T535-N535</f>
        <v>-30000</v>
      </c>
      <c r="Q535" s="18">
        <f t="shared" si="399"/>
        <v>230000</v>
      </c>
      <c r="R535" s="18">
        <f t="shared" si="399"/>
        <v>200000</v>
      </c>
      <c r="S535" s="18">
        <f t="shared" si="399"/>
        <v>170000</v>
      </c>
      <c r="T535" s="27">
        <f t="shared" si="399"/>
        <v>200000</v>
      </c>
      <c r="U535" s="27">
        <f t="shared" si="399"/>
        <v>155491.99000000002</v>
      </c>
      <c r="V535" s="18">
        <f t="shared" si="399"/>
        <v>174000</v>
      </c>
      <c r="W535" s="18">
        <f t="shared" si="399"/>
        <v>140000</v>
      </c>
      <c r="X535" s="18">
        <f t="shared" si="399"/>
        <v>120000</v>
      </c>
      <c r="Y535" s="18">
        <f t="shared" si="399"/>
        <v>26792.91</v>
      </c>
      <c r="Z535" s="18">
        <f t="shared" si="359"/>
        <v>15.4</v>
      </c>
      <c r="AA535" s="18">
        <f t="shared" si="391"/>
        <v>-50000</v>
      </c>
      <c r="AB535" s="18">
        <f t="shared" si="399"/>
        <v>124000</v>
      </c>
      <c r="AC535" s="18">
        <f t="shared" si="399"/>
        <v>49788.07</v>
      </c>
      <c r="AD535" s="18">
        <f t="shared" si="371"/>
        <v>40.15166935483871</v>
      </c>
      <c r="AE535" s="18">
        <f t="shared" si="375"/>
        <v>-15000</v>
      </c>
      <c r="AF535" s="18">
        <f t="shared" si="399"/>
        <v>109000</v>
      </c>
      <c r="AG535" s="18">
        <f t="shared" si="399"/>
        <v>112000</v>
      </c>
      <c r="AH535" s="18">
        <f t="shared" si="399"/>
        <v>100700</v>
      </c>
      <c r="AI535" s="18">
        <f t="shared" si="399"/>
        <v>90250</v>
      </c>
      <c r="AJ535" s="162" t="b">
        <f t="shared" si="392"/>
        <v>1</v>
      </c>
      <c r="AK535" s="162" t="str">
        <f t="shared" si="393"/>
        <v>PRAZNO</v>
      </c>
      <c r="AM535" s="164"/>
    </row>
    <row r="536" spans="1:45" ht="30" x14ac:dyDescent="0.2">
      <c r="B536" s="177"/>
      <c r="C536" s="177"/>
      <c r="D536" s="177">
        <v>352</v>
      </c>
      <c r="E536" s="177"/>
      <c r="F536" s="177"/>
      <c r="G536" s="177"/>
      <c r="H536" s="29" t="s">
        <v>748</v>
      </c>
      <c r="I536" s="18">
        <f>SUM(I537:I542)</f>
        <v>260000</v>
      </c>
      <c r="J536" s="18">
        <f>SUM(J537:J542)</f>
        <v>151798.88999999998</v>
      </c>
      <c r="K536" s="18">
        <f t="shared" si="379"/>
        <v>58.38</v>
      </c>
      <c r="L536" s="18">
        <f t="shared" si="390"/>
        <v>-44599.859999999986</v>
      </c>
      <c r="M536" s="18">
        <f>SUM(M537:M542)</f>
        <v>215400.14</v>
      </c>
      <c r="N536" s="18">
        <f>SUM(N537:N542)</f>
        <v>230000</v>
      </c>
      <c r="O536" s="18">
        <f>SUM(O537:O542)</f>
        <v>85031.12999999999</v>
      </c>
      <c r="P536" s="26">
        <f>T536-N536</f>
        <v>-30000</v>
      </c>
      <c r="Q536" s="18">
        <f>SUM(Q537:Q542)</f>
        <v>230000</v>
      </c>
      <c r="R536" s="18">
        <f>SUM(R537:R542)</f>
        <v>200000</v>
      </c>
      <c r="S536" s="18">
        <f>SUM(S537:S542)</f>
        <v>170000</v>
      </c>
      <c r="T536" s="27">
        <f>SUM(T537:T542)</f>
        <v>200000</v>
      </c>
      <c r="U536" s="27">
        <f>SUM(U537:U542)</f>
        <v>155491.99000000002</v>
      </c>
      <c r="V536" s="18">
        <f>V537</f>
        <v>174000</v>
      </c>
      <c r="W536" s="18">
        <f t="shared" si="399"/>
        <v>140000</v>
      </c>
      <c r="X536" s="18">
        <f t="shared" si="399"/>
        <v>120000</v>
      </c>
      <c r="Y536" s="18">
        <f>Y537</f>
        <v>26792.91</v>
      </c>
      <c r="Z536" s="18">
        <f t="shared" si="359"/>
        <v>15.4</v>
      </c>
      <c r="AA536" s="18">
        <f t="shared" si="391"/>
        <v>-50000</v>
      </c>
      <c r="AB536" s="18">
        <f>AB537</f>
        <v>124000</v>
      </c>
      <c r="AC536" s="18">
        <f>AC537</f>
        <v>49788.07</v>
      </c>
      <c r="AD536" s="18">
        <f t="shared" si="371"/>
        <v>40.15166935483871</v>
      </c>
      <c r="AE536" s="18">
        <f t="shared" si="375"/>
        <v>-15000</v>
      </c>
      <c r="AF536" s="18">
        <f>AF537</f>
        <v>109000</v>
      </c>
      <c r="AG536" s="18">
        <f>AG537</f>
        <v>112000</v>
      </c>
      <c r="AH536" s="18">
        <f t="shared" si="399"/>
        <v>100700</v>
      </c>
      <c r="AI536" s="18">
        <f t="shared" si="399"/>
        <v>90250</v>
      </c>
      <c r="AJ536" s="162" t="b">
        <f t="shared" si="392"/>
        <v>1</v>
      </c>
      <c r="AK536" s="162" t="str">
        <f t="shared" si="393"/>
        <v>PRAZNO</v>
      </c>
      <c r="AM536" s="164"/>
    </row>
    <row r="537" spans="1:45" ht="45" x14ac:dyDescent="0.2">
      <c r="B537" s="177"/>
      <c r="C537" s="177"/>
      <c r="D537" s="177"/>
      <c r="E537" s="177">
        <v>3523</v>
      </c>
      <c r="F537" s="265">
        <v>14</v>
      </c>
      <c r="G537" s="177"/>
      <c r="H537" s="256" t="s">
        <v>328</v>
      </c>
      <c r="I537" s="17">
        <v>230000</v>
      </c>
      <c r="J537" s="181">
        <v>144268.15</v>
      </c>
      <c r="K537" s="181">
        <f t="shared" si="379"/>
        <v>62.73</v>
      </c>
      <c r="L537" s="181">
        <f t="shared" si="390"/>
        <v>-26398.869999999995</v>
      </c>
      <c r="M537" s="181">
        <v>203601.13</v>
      </c>
      <c r="N537" s="181">
        <v>200000</v>
      </c>
      <c r="O537" s="181">
        <v>81162.179999999993</v>
      </c>
      <c r="P537" s="26">
        <f>T537-N537</f>
        <v>-10000</v>
      </c>
      <c r="Q537" s="181">
        <v>200000</v>
      </c>
      <c r="R537" s="181">
        <v>200000</v>
      </c>
      <c r="S537" s="181">
        <v>170000</v>
      </c>
      <c r="T537" s="307">
        <v>190000</v>
      </c>
      <c r="U537" s="307">
        <v>148903.89000000001</v>
      </c>
      <c r="V537" s="181">
        <v>174000</v>
      </c>
      <c r="W537" s="181">
        <v>140000</v>
      </c>
      <c r="X537" s="181">
        <v>120000</v>
      </c>
      <c r="Y537" s="181">
        <v>26792.91</v>
      </c>
      <c r="Z537" s="181">
        <f t="shared" si="359"/>
        <v>15.4</v>
      </c>
      <c r="AA537" s="181">
        <f t="shared" si="391"/>
        <v>-50000</v>
      </c>
      <c r="AB537" s="181">
        <v>124000</v>
      </c>
      <c r="AC537" s="181">
        <v>49788.07</v>
      </c>
      <c r="AD537" s="181">
        <f t="shared" si="371"/>
        <v>40.15166935483871</v>
      </c>
      <c r="AE537" s="181">
        <f t="shared" si="375"/>
        <v>-15000</v>
      </c>
      <c r="AF537" s="181">
        <v>109000</v>
      </c>
      <c r="AG537" s="181">
        <v>112000</v>
      </c>
      <c r="AH537" s="181">
        <v>100700</v>
      </c>
      <c r="AI537" s="181">
        <v>90250</v>
      </c>
      <c r="AJ537" s="162" t="b">
        <f t="shared" si="392"/>
        <v>0</v>
      </c>
      <c r="AK537" s="162" t="str">
        <f t="shared" si="393"/>
        <v>PUNO</v>
      </c>
      <c r="AM537" s="164"/>
    </row>
    <row r="538" spans="1:45" s="453" customFormat="1" ht="15.75" x14ac:dyDescent="0.25">
      <c r="A538" s="378"/>
      <c r="B538" s="260"/>
      <c r="C538" s="260"/>
      <c r="D538" s="260"/>
      <c r="E538" s="260"/>
      <c r="F538" s="442"/>
      <c r="G538" s="260"/>
      <c r="H538" s="460" t="s">
        <v>825</v>
      </c>
      <c r="I538" s="201"/>
      <c r="J538" s="262"/>
      <c r="K538" s="262"/>
      <c r="L538" s="262"/>
      <c r="M538" s="262"/>
      <c r="N538" s="262"/>
      <c r="O538" s="262"/>
      <c r="P538" s="202"/>
      <c r="Q538" s="262"/>
      <c r="R538" s="262"/>
      <c r="S538" s="262"/>
      <c r="T538" s="342"/>
      <c r="U538" s="342"/>
      <c r="V538" s="262">
        <f t="shared" ref="V538:AI541" si="400">V539</f>
        <v>26000</v>
      </c>
      <c r="W538" s="262">
        <f t="shared" si="400"/>
        <v>30000</v>
      </c>
      <c r="X538" s="262">
        <f t="shared" si="400"/>
        <v>20000</v>
      </c>
      <c r="Y538" s="262">
        <f t="shared" si="400"/>
        <v>905.28</v>
      </c>
      <c r="Z538" s="262">
        <f t="shared" si="359"/>
        <v>3.48</v>
      </c>
      <c r="AA538" s="262">
        <f t="shared" si="391"/>
        <v>-19000</v>
      </c>
      <c r="AB538" s="262">
        <f t="shared" si="400"/>
        <v>7000</v>
      </c>
      <c r="AC538" s="262">
        <f t="shared" si="400"/>
        <v>1572.8</v>
      </c>
      <c r="AD538" s="262">
        <f t="shared" si="371"/>
        <v>22.468571428571426</v>
      </c>
      <c r="AE538" s="262">
        <f t="shared" si="375"/>
        <v>-1000</v>
      </c>
      <c r="AF538" s="262">
        <f t="shared" si="400"/>
        <v>6000</v>
      </c>
      <c r="AG538" s="262">
        <f t="shared" si="400"/>
        <v>6000</v>
      </c>
      <c r="AH538" s="262">
        <f t="shared" si="400"/>
        <v>5300</v>
      </c>
      <c r="AI538" s="262">
        <f t="shared" si="400"/>
        <v>4750</v>
      </c>
      <c r="AJ538" s="162" t="b">
        <f t="shared" si="392"/>
        <v>1</v>
      </c>
      <c r="AK538" s="162" t="str">
        <f t="shared" si="393"/>
        <v>PRAZNO</v>
      </c>
      <c r="AL538" s="452"/>
      <c r="AM538" s="287"/>
    </row>
    <row r="539" spans="1:45" s="174" customFormat="1" ht="15.75" x14ac:dyDescent="0.2">
      <c r="A539" s="259"/>
      <c r="B539" s="172">
        <v>3</v>
      </c>
      <c r="C539" s="172"/>
      <c r="D539" s="172"/>
      <c r="E539" s="172"/>
      <c r="F539" s="220"/>
      <c r="G539" s="172"/>
      <c r="H539" s="461" t="s">
        <v>524</v>
      </c>
      <c r="I539" s="20"/>
      <c r="J539" s="20"/>
      <c r="K539" s="20"/>
      <c r="L539" s="20"/>
      <c r="M539" s="20"/>
      <c r="N539" s="20"/>
      <c r="O539" s="20"/>
      <c r="P539" s="55"/>
      <c r="Q539" s="20"/>
      <c r="R539" s="20"/>
      <c r="S539" s="20"/>
      <c r="T539" s="55"/>
      <c r="U539" s="55"/>
      <c r="V539" s="20">
        <f t="shared" si="400"/>
        <v>26000</v>
      </c>
      <c r="W539" s="20">
        <f t="shared" si="400"/>
        <v>30000</v>
      </c>
      <c r="X539" s="20">
        <f t="shared" si="400"/>
        <v>20000</v>
      </c>
      <c r="Y539" s="20">
        <f t="shared" si="400"/>
        <v>905.28</v>
      </c>
      <c r="Z539" s="20">
        <f t="shared" si="359"/>
        <v>3.48</v>
      </c>
      <c r="AA539" s="20">
        <f t="shared" si="391"/>
        <v>-19000</v>
      </c>
      <c r="AB539" s="20">
        <f t="shared" si="400"/>
        <v>7000</v>
      </c>
      <c r="AC539" s="20">
        <f t="shared" si="400"/>
        <v>1572.8</v>
      </c>
      <c r="AD539" s="20">
        <f t="shared" si="371"/>
        <v>22.468571428571426</v>
      </c>
      <c r="AE539" s="20">
        <f t="shared" si="375"/>
        <v>-1000</v>
      </c>
      <c r="AF539" s="20">
        <f t="shared" si="400"/>
        <v>6000</v>
      </c>
      <c r="AG539" s="20">
        <f t="shared" si="400"/>
        <v>6000</v>
      </c>
      <c r="AH539" s="20">
        <f t="shared" si="400"/>
        <v>5300</v>
      </c>
      <c r="AI539" s="20">
        <f t="shared" si="400"/>
        <v>4750</v>
      </c>
      <c r="AJ539" s="162" t="b">
        <f t="shared" si="392"/>
        <v>1</v>
      </c>
      <c r="AK539" s="162" t="str">
        <f t="shared" si="393"/>
        <v>PRAZNO</v>
      </c>
      <c r="AL539" s="173"/>
    </row>
    <row r="540" spans="1:45" ht="15.75" x14ac:dyDescent="0.2">
      <c r="B540" s="177"/>
      <c r="C540" s="177">
        <v>35</v>
      </c>
      <c r="D540" s="177"/>
      <c r="E540" s="177"/>
      <c r="F540" s="265"/>
      <c r="G540" s="177"/>
      <c r="H540" s="256" t="s">
        <v>749</v>
      </c>
      <c r="I540" s="17"/>
      <c r="J540" s="181"/>
      <c r="K540" s="181"/>
      <c r="L540" s="181"/>
      <c r="M540" s="181"/>
      <c r="N540" s="181"/>
      <c r="O540" s="181"/>
      <c r="P540" s="26"/>
      <c r="Q540" s="181"/>
      <c r="R540" s="181"/>
      <c r="S540" s="181"/>
      <c r="T540" s="307"/>
      <c r="U540" s="307"/>
      <c r="V540" s="181">
        <f t="shared" si="400"/>
        <v>26000</v>
      </c>
      <c r="W540" s="181">
        <f t="shared" si="400"/>
        <v>30000</v>
      </c>
      <c r="X540" s="181">
        <f t="shared" si="400"/>
        <v>20000</v>
      </c>
      <c r="Y540" s="181">
        <f t="shared" si="400"/>
        <v>905.28</v>
      </c>
      <c r="Z540" s="181">
        <f t="shared" si="359"/>
        <v>3.48</v>
      </c>
      <c r="AA540" s="181">
        <f t="shared" si="391"/>
        <v>-19000</v>
      </c>
      <c r="AB540" s="181">
        <f t="shared" si="400"/>
        <v>7000</v>
      </c>
      <c r="AC540" s="181">
        <f t="shared" si="400"/>
        <v>1572.8</v>
      </c>
      <c r="AD540" s="181">
        <f t="shared" si="371"/>
        <v>22.468571428571426</v>
      </c>
      <c r="AE540" s="181">
        <f t="shared" si="375"/>
        <v>-1000</v>
      </c>
      <c r="AF540" s="181">
        <f t="shared" si="400"/>
        <v>6000</v>
      </c>
      <c r="AG540" s="181">
        <f t="shared" si="400"/>
        <v>6000</v>
      </c>
      <c r="AH540" s="181">
        <f t="shared" si="400"/>
        <v>5300</v>
      </c>
      <c r="AI540" s="181">
        <f t="shared" si="400"/>
        <v>4750</v>
      </c>
      <c r="AJ540" s="162" t="b">
        <f t="shared" si="392"/>
        <v>1</v>
      </c>
      <c r="AK540" s="162" t="str">
        <f t="shared" si="393"/>
        <v>PRAZNO</v>
      </c>
      <c r="AM540" s="164"/>
    </row>
    <row r="541" spans="1:45" ht="30" x14ac:dyDescent="0.2">
      <c r="B541" s="177"/>
      <c r="C541" s="177"/>
      <c r="D541" s="177">
        <v>352</v>
      </c>
      <c r="E541" s="177"/>
      <c r="F541" s="265"/>
      <c r="G541" s="177"/>
      <c r="H541" s="256" t="s">
        <v>748</v>
      </c>
      <c r="I541" s="17"/>
      <c r="J541" s="181"/>
      <c r="K541" s="181"/>
      <c r="L541" s="181"/>
      <c r="M541" s="181"/>
      <c r="N541" s="181"/>
      <c r="O541" s="181"/>
      <c r="P541" s="26"/>
      <c r="Q541" s="181"/>
      <c r="R541" s="181"/>
      <c r="S541" s="181"/>
      <c r="T541" s="307"/>
      <c r="U541" s="307"/>
      <c r="V541" s="181">
        <f t="shared" si="400"/>
        <v>26000</v>
      </c>
      <c r="W541" s="181">
        <f t="shared" si="400"/>
        <v>30000</v>
      </c>
      <c r="X541" s="181">
        <f t="shared" si="400"/>
        <v>20000</v>
      </c>
      <c r="Y541" s="181">
        <f t="shared" si="400"/>
        <v>905.28</v>
      </c>
      <c r="Z541" s="181">
        <f t="shared" si="359"/>
        <v>3.48</v>
      </c>
      <c r="AA541" s="181">
        <f t="shared" si="391"/>
        <v>-19000</v>
      </c>
      <c r="AB541" s="181">
        <f t="shared" si="400"/>
        <v>7000</v>
      </c>
      <c r="AC541" s="181">
        <f t="shared" si="400"/>
        <v>1572.8</v>
      </c>
      <c r="AD541" s="181">
        <f t="shared" si="371"/>
        <v>22.468571428571426</v>
      </c>
      <c r="AE541" s="181">
        <f t="shared" si="375"/>
        <v>-1000</v>
      </c>
      <c r="AF541" s="181">
        <f t="shared" si="400"/>
        <v>6000</v>
      </c>
      <c r="AG541" s="181">
        <f t="shared" si="400"/>
        <v>6000</v>
      </c>
      <c r="AH541" s="181">
        <f t="shared" si="400"/>
        <v>5300</v>
      </c>
      <c r="AI541" s="181">
        <f t="shared" si="400"/>
        <v>4750</v>
      </c>
      <c r="AJ541" s="162" t="b">
        <f t="shared" si="392"/>
        <v>1</v>
      </c>
      <c r="AK541" s="162" t="str">
        <f t="shared" si="393"/>
        <v>PRAZNO</v>
      </c>
      <c r="AM541" s="164"/>
    </row>
    <row r="542" spans="1:45" ht="45" x14ac:dyDescent="0.2">
      <c r="B542" s="177"/>
      <c r="C542" s="177"/>
      <c r="D542" s="177"/>
      <c r="E542" s="177">
        <v>3523</v>
      </c>
      <c r="F542" s="176">
        <v>52</v>
      </c>
      <c r="G542" s="177"/>
      <c r="H542" s="256" t="s">
        <v>328</v>
      </c>
      <c r="I542" s="18">
        <v>30000</v>
      </c>
      <c r="J542" s="18">
        <v>7530.74</v>
      </c>
      <c r="K542" s="18">
        <f t="shared" si="379"/>
        <v>25.1</v>
      </c>
      <c r="L542" s="18">
        <f t="shared" si="390"/>
        <v>-18200.989999999998</v>
      </c>
      <c r="M542" s="18">
        <v>11799.01</v>
      </c>
      <c r="N542" s="18">
        <v>30000</v>
      </c>
      <c r="O542" s="18">
        <v>3868.95</v>
      </c>
      <c r="P542" s="26">
        <f>T542-N542</f>
        <v>-20000</v>
      </c>
      <c r="Q542" s="18">
        <v>30000</v>
      </c>
      <c r="R542" s="18"/>
      <c r="S542" s="18"/>
      <c r="T542" s="27">
        <v>10000</v>
      </c>
      <c r="U542" s="27">
        <v>6588.1</v>
      </c>
      <c r="V542" s="18">
        <v>26000</v>
      </c>
      <c r="W542" s="18">
        <v>30000</v>
      </c>
      <c r="X542" s="18">
        <v>20000</v>
      </c>
      <c r="Y542" s="18">
        <v>905.28</v>
      </c>
      <c r="Z542" s="18">
        <f t="shared" ref="Z542:Z605" si="401">ROUND(Y542/V542*100,2)</f>
        <v>3.48</v>
      </c>
      <c r="AA542" s="18">
        <f t="shared" si="391"/>
        <v>-19000</v>
      </c>
      <c r="AB542" s="18">
        <v>7000</v>
      </c>
      <c r="AC542" s="18">
        <v>1572.8</v>
      </c>
      <c r="AD542" s="18">
        <f t="shared" si="371"/>
        <v>22.468571428571426</v>
      </c>
      <c r="AE542" s="18">
        <f t="shared" si="375"/>
        <v>-1000</v>
      </c>
      <c r="AF542" s="18">
        <v>6000</v>
      </c>
      <c r="AG542" s="18">
        <v>6000</v>
      </c>
      <c r="AH542" s="18">
        <v>5300</v>
      </c>
      <c r="AI542" s="18">
        <v>4750</v>
      </c>
      <c r="AJ542" s="162" t="b">
        <f t="shared" si="392"/>
        <v>0</v>
      </c>
      <c r="AK542" s="162" t="str">
        <f t="shared" si="393"/>
        <v>PUNO</v>
      </c>
      <c r="AM542" s="164"/>
    </row>
    <row r="543" spans="1:45" s="171" customFormat="1" ht="31.5" x14ac:dyDescent="0.2">
      <c r="A543" s="259"/>
      <c r="B543" s="168"/>
      <c r="C543" s="168"/>
      <c r="D543" s="168"/>
      <c r="E543" s="168"/>
      <c r="F543" s="168"/>
      <c r="G543" s="168"/>
      <c r="H543" s="25" t="s">
        <v>3</v>
      </c>
      <c r="I543" s="169">
        <f>I545</f>
        <v>1100000</v>
      </c>
      <c r="J543" s="169">
        <f>J545</f>
        <v>437483.55</v>
      </c>
      <c r="K543" s="169">
        <f t="shared" si="379"/>
        <v>39.770000000000003</v>
      </c>
      <c r="L543" s="169">
        <f t="shared" si="390"/>
        <v>-105064.35999999999</v>
      </c>
      <c r="M543" s="19">
        <f>M545</f>
        <v>994935.64</v>
      </c>
      <c r="N543" s="19">
        <f>N545</f>
        <v>1050000</v>
      </c>
      <c r="O543" s="19">
        <f>O545</f>
        <v>584407.5</v>
      </c>
      <c r="P543" s="303">
        <f>T543-N543</f>
        <v>0</v>
      </c>
      <c r="Q543" s="19">
        <f>Q545</f>
        <v>1050000</v>
      </c>
      <c r="R543" s="19">
        <f>R545</f>
        <v>900000</v>
      </c>
      <c r="S543" s="19">
        <f>S545</f>
        <v>850000</v>
      </c>
      <c r="T543" s="53">
        <f>T545</f>
        <v>1050000</v>
      </c>
      <c r="U543" s="19">
        <f t="shared" ref="U543:AA543" si="402">U545+U550</f>
        <v>1167158.5</v>
      </c>
      <c r="V543" s="19">
        <f t="shared" si="402"/>
        <v>1000000</v>
      </c>
      <c r="W543" s="19">
        <f t="shared" si="402"/>
        <v>800000</v>
      </c>
      <c r="X543" s="19">
        <f t="shared" si="402"/>
        <v>600000</v>
      </c>
      <c r="Y543" s="19">
        <f t="shared" si="402"/>
        <v>263639.90000000002</v>
      </c>
      <c r="Z543" s="19">
        <f t="shared" si="402"/>
        <v>52.81</v>
      </c>
      <c r="AA543" s="19">
        <f t="shared" si="402"/>
        <v>60000</v>
      </c>
      <c r="AB543" s="19">
        <f>AB545+AB550</f>
        <v>1060000</v>
      </c>
      <c r="AC543" s="19">
        <f>AC545+AC550</f>
        <v>516698.56000000006</v>
      </c>
      <c r="AD543" s="19">
        <f t="shared" si="371"/>
        <v>48.745147169811325</v>
      </c>
      <c r="AE543" s="19">
        <f t="shared" si="375"/>
        <v>0</v>
      </c>
      <c r="AF543" s="19">
        <f>AF545+AF550</f>
        <v>1060000</v>
      </c>
      <c r="AG543" s="19">
        <f>AG545+AG550</f>
        <v>1720000</v>
      </c>
      <c r="AH543" s="19">
        <f>AH545+AH550</f>
        <v>1620000</v>
      </c>
      <c r="AI543" s="19">
        <f>AI545+AI550</f>
        <v>1460000</v>
      </c>
      <c r="AJ543" s="162" t="b">
        <f t="shared" si="392"/>
        <v>1</v>
      </c>
      <c r="AK543" s="162" t="str">
        <f t="shared" si="393"/>
        <v>PRAZNO</v>
      </c>
      <c r="AL543" s="170"/>
      <c r="AM543" s="164"/>
    </row>
    <row r="544" spans="1:45" s="264" customFormat="1" ht="15.75" x14ac:dyDescent="0.2">
      <c r="A544" s="259"/>
      <c r="B544" s="260"/>
      <c r="C544" s="260"/>
      <c r="D544" s="260"/>
      <c r="E544" s="260"/>
      <c r="F544" s="260"/>
      <c r="G544" s="260"/>
      <c r="H544" s="261" t="s">
        <v>824</v>
      </c>
      <c r="I544" s="181"/>
      <c r="J544" s="181"/>
      <c r="K544" s="181"/>
      <c r="L544" s="181"/>
      <c r="M544" s="262"/>
      <c r="N544" s="262"/>
      <c r="O544" s="262"/>
      <c r="P544" s="445"/>
      <c r="Q544" s="262"/>
      <c r="R544" s="262"/>
      <c r="S544" s="262"/>
      <c r="T544" s="342"/>
      <c r="U544" s="262">
        <f t="shared" ref="U544:AA544" si="403">U545</f>
        <v>491581.39</v>
      </c>
      <c r="V544" s="262">
        <f t="shared" si="403"/>
        <v>440000</v>
      </c>
      <c r="W544" s="262">
        <f t="shared" si="403"/>
        <v>350000</v>
      </c>
      <c r="X544" s="262">
        <f t="shared" si="403"/>
        <v>250000</v>
      </c>
      <c r="Y544" s="262">
        <f t="shared" si="403"/>
        <v>117559.85</v>
      </c>
      <c r="Z544" s="262">
        <f t="shared" si="403"/>
        <v>26.72</v>
      </c>
      <c r="AA544" s="262">
        <f t="shared" si="403"/>
        <v>35000</v>
      </c>
      <c r="AB544" s="262">
        <f>AB545</f>
        <v>475000</v>
      </c>
      <c r="AC544" s="262">
        <f>AC545</f>
        <v>231127.72</v>
      </c>
      <c r="AD544" s="262">
        <f t="shared" si="371"/>
        <v>48.658467368421057</v>
      </c>
      <c r="AE544" s="262">
        <f t="shared" si="375"/>
        <v>0</v>
      </c>
      <c r="AF544" s="262">
        <f>AF545</f>
        <v>475000</v>
      </c>
      <c r="AG544" s="262">
        <f>AG545</f>
        <v>666600</v>
      </c>
      <c r="AH544" s="262">
        <f>AH545</f>
        <v>623700</v>
      </c>
      <c r="AI544" s="262">
        <f>AI545</f>
        <v>562100</v>
      </c>
      <c r="AJ544" s="162" t="b">
        <f t="shared" si="392"/>
        <v>1</v>
      </c>
      <c r="AK544" s="162" t="str">
        <f t="shared" si="393"/>
        <v>PRAZNO</v>
      </c>
      <c r="AL544" s="263"/>
    </row>
    <row r="545" spans="1:39" s="174" customFormat="1" ht="15.75" x14ac:dyDescent="0.2">
      <c r="A545" s="259"/>
      <c r="B545" s="172">
        <v>3</v>
      </c>
      <c r="C545" s="172"/>
      <c r="D545" s="172"/>
      <c r="E545" s="172"/>
      <c r="F545" s="172"/>
      <c r="G545" s="172"/>
      <c r="H545" s="14" t="s">
        <v>524</v>
      </c>
      <c r="I545" s="20">
        <f t="shared" ref="I545:AI547" si="404">I546</f>
        <v>1100000</v>
      </c>
      <c r="J545" s="20">
        <f t="shared" si="404"/>
        <v>437483.55</v>
      </c>
      <c r="K545" s="20">
        <f t="shared" si="379"/>
        <v>39.770000000000003</v>
      </c>
      <c r="L545" s="20">
        <f t="shared" si="390"/>
        <v>-105064.35999999999</v>
      </c>
      <c r="M545" s="20">
        <f t="shared" si="404"/>
        <v>994935.64</v>
      </c>
      <c r="N545" s="20">
        <f t="shared" si="404"/>
        <v>1050000</v>
      </c>
      <c r="O545" s="20">
        <f t="shared" si="404"/>
        <v>584407.5</v>
      </c>
      <c r="P545" s="55">
        <f>T545-N545</f>
        <v>0</v>
      </c>
      <c r="Q545" s="20">
        <f t="shared" si="404"/>
        <v>1050000</v>
      </c>
      <c r="R545" s="20">
        <f t="shared" si="404"/>
        <v>900000</v>
      </c>
      <c r="S545" s="20">
        <f t="shared" si="404"/>
        <v>850000</v>
      </c>
      <c r="T545" s="55">
        <f t="shared" si="404"/>
        <v>1050000</v>
      </c>
      <c r="U545" s="20">
        <f t="shared" si="404"/>
        <v>491581.39</v>
      </c>
      <c r="V545" s="20">
        <f t="shared" si="404"/>
        <v>440000</v>
      </c>
      <c r="W545" s="20">
        <f t="shared" si="404"/>
        <v>350000</v>
      </c>
      <c r="X545" s="20">
        <f t="shared" si="404"/>
        <v>250000</v>
      </c>
      <c r="Y545" s="20">
        <f t="shared" si="404"/>
        <v>117559.85</v>
      </c>
      <c r="Z545" s="20">
        <f t="shared" si="404"/>
        <v>26.72</v>
      </c>
      <c r="AA545" s="20">
        <f t="shared" si="404"/>
        <v>35000</v>
      </c>
      <c r="AB545" s="20">
        <f t="shared" si="404"/>
        <v>475000</v>
      </c>
      <c r="AC545" s="20">
        <f t="shared" si="404"/>
        <v>231127.72</v>
      </c>
      <c r="AD545" s="20">
        <f t="shared" si="371"/>
        <v>48.658467368421057</v>
      </c>
      <c r="AE545" s="20">
        <f t="shared" si="375"/>
        <v>0</v>
      </c>
      <c r="AF545" s="20">
        <f t="shared" si="404"/>
        <v>475000</v>
      </c>
      <c r="AG545" s="20">
        <f t="shared" si="404"/>
        <v>666600</v>
      </c>
      <c r="AH545" s="20">
        <f t="shared" si="404"/>
        <v>623700</v>
      </c>
      <c r="AI545" s="20">
        <f t="shared" si="404"/>
        <v>562100</v>
      </c>
      <c r="AJ545" s="162" t="b">
        <f t="shared" si="392"/>
        <v>1</v>
      </c>
      <c r="AK545" s="162" t="str">
        <f t="shared" si="393"/>
        <v>PRAZNO</v>
      </c>
      <c r="AL545" s="173"/>
      <c r="AM545" s="164"/>
    </row>
    <row r="546" spans="1:39" ht="15.75" x14ac:dyDescent="0.2">
      <c r="B546" s="177"/>
      <c r="C546" s="177">
        <v>35</v>
      </c>
      <c r="D546" s="177"/>
      <c r="E546" s="177"/>
      <c r="F546" s="177"/>
      <c r="G546" s="177"/>
      <c r="H546" s="29" t="s">
        <v>749</v>
      </c>
      <c r="I546" s="18">
        <f t="shared" si="404"/>
        <v>1100000</v>
      </c>
      <c r="J546" s="18">
        <f t="shared" si="404"/>
        <v>437483.55</v>
      </c>
      <c r="K546" s="18">
        <f t="shared" si="379"/>
        <v>39.770000000000003</v>
      </c>
      <c r="L546" s="18">
        <f t="shared" si="390"/>
        <v>-105064.35999999999</v>
      </c>
      <c r="M546" s="18">
        <f t="shared" si="404"/>
        <v>994935.64</v>
      </c>
      <c r="N546" s="18">
        <f t="shared" si="404"/>
        <v>1050000</v>
      </c>
      <c r="O546" s="18">
        <f t="shared" si="404"/>
        <v>584407.5</v>
      </c>
      <c r="P546" s="26">
        <f>T546-N546</f>
        <v>0</v>
      </c>
      <c r="Q546" s="18">
        <f t="shared" si="404"/>
        <v>1050000</v>
      </c>
      <c r="R546" s="18">
        <f t="shared" si="404"/>
        <v>900000</v>
      </c>
      <c r="S546" s="18">
        <f t="shared" si="404"/>
        <v>850000</v>
      </c>
      <c r="T546" s="27">
        <f t="shared" si="404"/>
        <v>1050000</v>
      </c>
      <c r="U546" s="18">
        <f t="shared" si="404"/>
        <v>491581.39</v>
      </c>
      <c r="V546" s="18">
        <f t="shared" si="404"/>
        <v>440000</v>
      </c>
      <c r="W546" s="18">
        <f t="shared" si="404"/>
        <v>350000</v>
      </c>
      <c r="X546" s="18">
        <f t="shared" si="404"/>
        <v>250000</v>
      </c>
      <c r="Y546" s="18">
        <f t="shared" si="404"/>
        <v>117559.85</v>
      </c>
      <c r="Z546" s="18">
        <f t="shared" si="404"/>
        <v>26.72</v>
      </c>
      <c r="AA546" s="18">
        <f t="shared" si="404"/>
        <v>35000</v>
      </c>
      <c r="AB546" s="18">
        <f t="shared" si="404"/>
        <v>475000</v>
      </c>
      <c r="AC546" s="18">
        <f t="shared" si="404"/>
        <v>231127.72</v>
      </c>
      <c r="AD546" s="18">
        <f t="shared" si="371"/>
        <v>48.658467368421057</v>
      </c>
      <c r="AE546" s="18">
        <f t="shared" si="375"/>
        <v>0</v>
      </c>
      <c r="AF546" s="18">
        <f t="shared" si="404"/>
        <v>475000</v>
      </c>
      <c r="AG546" s="18">
        <f t="shared" si="404"/>
        <v>666600</v>
      </c>
      <c r="AH546" s="18">
        <f t="shared" si="404"/>
        <v>623700</v>
      </c>
      <c r="AI546" s="18">
        <f t="shared" si="404"/>
        <v>562100</v>
      </c>
      <c r="AJ546" s="162" t="b">
        <f t="shared" si="392"/>
        <v>1</v>
      </c>
      <c r="AK546" s="162" t="str">
        <f t="shared" si="393"/>
        <v>PRAZNO</v>
      </c>
      <c r="AM546" s="164"/>
    </row>
    <row r="547" spans="1:39" ht="30" x14ac:dyDescent="0.2">
      <c r="B547" s="177"/>
      <c r="C547" s="177"/>
      <c r="D547" s="177">
        <v>352</v>
      </c>
      <c r="E547" s="177"/>
      <c r="F547" s="177"/>
      <c r="G547" s="177"/>
      <c r="H547" s="29" t="s">
        <v>748</v>
      </c>
      <c r="I547" s="18">
        <f>SUM(I548:I553)</f>
        <v>1100000</v>
      </c>
      <c r="J547" s="18">
        <f>SUM(J548:J553)</f>
        <v>437483.55</v>
      </c>
      <c r="K547" s="18">
        <f t="shared" si="379"/>
        <v>39.770000000000003</v>
      </c>
      <c r="L547" s="18">
        <f t="shared" si="390"/>
        <v>-105064.35999999999</v>
      </c>
      <c r="M547" s="18">
        <f>SUM(M548:M553)</f>
        <v>994935.64</v>
      </c>
      <c r="N547" s="18">
        <f>SUM(N548:N553)</f>
        <v>1050000</v>
      </c>
      <c r="O547" s="18">
        <f>SUM(O548:O553)</f>
        <v>584407.5</v>
      </c>
      <c r="P547" s="26">
        <f>T547-N547</f>
        <v>0</v>
      </c>
      <c r="Q547" s="18">
        <f>SUM(Q548:Q553)</f>
        <v>1050000</v>
      </c>
      <c r="R547" s="18">
        <f>SUM(R548:R553)</f>
        <v>900000</v>
      </c>
      <c r="S547" s="18">
        <f>SUM(S548:S553)</f>
        <v>850000</v>
      </c>
      <c r="T547" s="27">
        <f>SUM(T548:T553)</f>
        <v>1050000</v>
      </c>
      <c r="U547" s="18">
        <f t="shared" si="404"/>
        <v>491581.39</v>
      </c>
      <c r="V547" s="18">
        <f t="shared" si="404"/>
        <v>440000</v>
      </c>
      <c r="W547" s="18">
        <f t="shared" si="404"/>
        <v>350000</v>
      </c>
      <c r="X547" s="18">
        <f t="shared" si="404"/>
        <v>250000</v>
      </c>
      <c r="Y547" s="18">
        <f t="shared" si="404"/>
        <v>117559.85</v>
      </c>
      <c r="Z547" s="18">
        <f t="shared" si="404"/>
        <v>26.72</v>
      </c>
      <c r="AA547" s="18">
        <f t="shared" si="404"/>
        <v>35000</v>
      </c>
      <c r="AB547" s="18">
        <f>AB548</f>
        <v>475000</v>
      </c>
      <c r="AC547" s="18">
        <f>AC548</f>
        <v>231127.72</v>
      </c>
      <c r="AD547" s="18">
        <f t="shared" si="371"/>
        <v>48.658467368421057</v>
      </c>
      <c r="AE547" s="18">
        <f t="shared" si="375"/>
        <v>0</v>
      </c>
      <c r="AF547" s="18">
        <f>AF548</f>
        <v>475000</v>
      </c>
      <c r="AG547" s="18">
        <f>AG548</f>
        <v>666600</v>
      </c>
      <c r="AH547" s="18">
        <f t="shared" si="404"/>
        <v>623700</v>
      </c>
      <c r="AI547" s="18">
        <f t="shared" si="404"/>
        <v>562100</v>
      </c>
      <c r="AJ547" s="162" t="b">
        <f t="shared" si="392"/>
        <v>1</v>
      </c>
      <c r="AK547" s="162" t="str">
        <f t="shared" si="393"/>
        <v>PRAZNO</v>
      </c>
      <c r="AM547" s="164"/>
    </row>
    <row r="548" spans="1:39" ht="45" x14ac:dyDescent="0.2">
      <c r="B548" s="177"/>
      <c r="C548" s="177"/>
      <c r="D548" s="177"/>
      <c r="E548" s="177">
        <v>3523</v>
      </c>
      <c r="F548" s="176">
        <v>14</v>
      </c>
      <c r="G548" s="176" t="s">
        <v>424</v>
      </c>
      <c r="H548" s="256" t="s">
        <v>327</v>
      </c>
      <c r="I548" s="18">
        <v>370000</v>
      </c>
      <c r="J548" s="178">
        <v>249663.49</v>
      </c>
      <c r="K548" s="178">
        <f t="shared" si="379"/>
        <v>67.48</v>
      </c>
      <c r="L548" s="178">
        <f t="shared" si="390"/>
        <v>-17060.729999999981</v>
      </c>
      <c r="M548" s="178">
        <v>352939.27</v>
      </c>
      <c r="N548" s="178">
        <v>450000</v>
      </c>
      <c r="O548" s="178">
        <v>251055.35</v>
      </c>
      <c r="P548" s="26">
        <f>T548-N548</f>
        <v>0</v>
      </c>
      <c r="Q548" s="178">
        <v>450000</v>
      </c>
      <c r="R548" s="178"/>
      <c r="S548" s="178"/>
      <c r="T548" s="266">
        <v>450000</v>
      </c>
      <c r="U548" s="266">
        <v>491581.39</v>
      </c>
      <c r="V548" s="178">
        <v>440000</v>
      </c>
      <c r="W548" s="178">
        <v>350000</v>
      </c>
      <c r="X548" s="178">
        <v>250000</v>
      </c>
      <c r="Y548" s="178">
        <v>117559.85</v>
      </c>
      <c r="Z548" s="178">
        <f t="shared" si="401"/>
        <v>26.72</v>
      </c>
      <c r="AA548" s="178">
        <f t="shared" si="391"/>
        <v>35000</v>
      </c>
      <c r="AB548" s="178">
        <v>475000</v>
      </c>
      <c r="AC548" s="178">
        <v>231127.72</v>
      </c>
      <c r="AD548" s="178">
        <f t="shared" si="371"/>
        <v>48.658467368421057</v>
      </c>
      <c r="AE548" s="178">
        <f t="shared" si="375"/>
        <v>0</v>
      </c>
      <c r="AF548" s="178">
        <v>475000</v>
      </c>
      <c r="AG548" s="178">
        <f>396000+270600</f>
        <v>666600</v>
      </c>
      <c r="AH548" s="178">
        <f>356400+267300</f>
        <v>623700</v>
      </c>
      <c r="AI548" s="178">
        <f>321200+240900</f>
        <v>562100</v>
      </c>
      <c r="AJ548" s="162" t="b">
        <f t="shared" si="392"/>
        <v>0</v>
      </c>
      <c r="AK548" s="162" t="str">
        <f t="shared" si="393"/>
        <v>PUNO</v>
      </c>
      <c r="AM548" s="164"/>
    </row>
    <row r="549" spans="1:39" s="447" customFormat="1" ht="15.75" x14ac:dyDescent="0.25">
      <c r="A549" s="378"/>
      <c r="B549" s="260"/>
      <c r="C549" s="260"/>
      <c r="D549" s="260"/>
      <c r="E549" s="260"/>
      <c r="F549" s="442"/>
      <c r="G549" s="442"/>
      <c r="H549" s="460" t="s">
        <v>825</v>
      </c>
      <c r="I549" s="443"/>
      <c r="J549" s="443"/>
      <c r="K549" s="443"/>
      <c r="L549" s="443"/>
      <c r="M549" s="443"/>
      <c r="N549" s="443"/>
      <c r="O549" s="443"/>
      <c r="P549" s="342"/>
      <c r="Q549" s="443"/>
      <c r="R549" s="443"/>
      <c r="S549" s="443"/>
      <c r="T549" s="444"/>
      <c r="U549" s="443">
        <f t="shared" ref="U549:AI552" si="405">U550</f>
        <v>675577.11</v>
      </c>
      <c r="V549" s="443">
        <f t="shared" si="405"/>
        <v>560000</v>
      </c>
      <c r="W549" s="443">
        <f t="shared" si="405"/>
        <v>450000</v>
      </c>
      <c r="X549" s="443">
        <f t="shared" si="405"/>
        <v>350000</v>
      </c>
      <c r="Y549" s="443">
        <f t="shared" si="405"/>
        <v>146080.04999999999</v>
      </c>
      <c r="Z549" s="443">
        <f t="shared" si="405"/>
        <v>26.09</v>
      </c>
      <c r="AA549" s="443">
        <f t="shared" si="405"/>
        <v>25000</v>
      </c>
      <c r="AB549" s="443">
        <f t="shared" si="405"/>
        <v>585000</v>
      </c>
      <c r="AC549" s="443">
        <f t="shared" si="405"/>
        <v>285570.84000000003</v>
      </c>
      <c r="AD549" s="443">
        <f t="shared" si="371"/>
        <v>48.81552820512821</v>
      </c>
      <c r="AE549" s="443">
        <f t="shared" si="375"/>
        <v>0</v>
      </c>
      <c r="AF549" s="443">
        <f t="shared" si="405"/>
        <v>585000</v>
      </c>
      <c r="AG549" s="443">
        <f t="shared" si="405"/>
        <v>1053400</v>
      </c>
      <c r="AH549" s="443">
        <f t="shared" si="405"/>
        <v>996300</v>
      </c>
      <c r="AI549" s="443">
        <f t="shared" si="405"/>
        <v>897900</v>
      </c>
      <c r="AJ549" s="162" t="b">
        <f t="shared" si="392"/>
        <v>1</v>
      </c>
      <c r="AK549" s="162" t="str">
        <f t="shared" si="393"/>
        <v>PRAZNO</v>
      </c>
      <c r="AL549" s="446"/>
    </row>
    <row r="550" spans="1:39" s="174" customFormat="1" ht="15.75" x14ac:dyDescent="0.2">
      <c r="A550" s="259"/>
      <c r="B550" s="172">
        <v>3</v>
      </c>
      <c r="C550" s="172"/>
      <c r="D550" s="172"/>
      <c r="E550" s="172"/>
      <c r="F550" s="220"/>
      <c r="G550" s="220"/>
      <c r="H550" s="461" t="s">
        <v>524</v>
      </c>
      <c r="I550" s="184"/>
      <c r="J550" s="184"/>
      <c r="K550" s="184"/>
      <c r="L550" s="184"/>
      <c r="M550" s="184"/>
      <c r="N550" s="184"/>
      <c r="O550" s="184"/>
      <c r="P550" s="55"/>
      <c r="Q550" s="184"/>
      <c r="R550" s="184"/>
      <c r="S550" s="184"/>
      <c r="T550" s="185"/>
      <c r="U550" s="184">
        <f t="shared" si="405"/>
        <v>675577.11</v>
      </c>
      <c r="V550" s="184">
        <f t="shared" si="405"/>
        <v>560000</v>
      </c>
      <c r="W550" s="184">
        <f t="shared" si="405"/>
        <v>450000</v>
      </c>
      <c r="X550" s="184">
        <f t="shared" si="405"/>
        <v>350000</v>
      </c>
      <c r="Y550" s="184">
        <f t="shared" si="405"/>
        <v>146080.04999999999</v>
      </c>
      <c r="Z550" s="184">
        <f t="shared" si="405"/>
        <v>26.09</v>
      </c>
      <c r="AA550" s="184">
        <f t="shared" si="405"/>
        <v>25000</v>
      </c>
      <c r="AB550" s="184">
        <f t="shared" si="405"/>
        <v>585000</v>
      </c>
      <c r="AC550" s="184">
        <f t="shared" si="405"/>
        <v>285570.84000000003</v>
      </c>
      <c r="AD550" s="184">
        <f t="shared" si="371"/>
        <v>48.81552820512821</v>
      </c>
      <c r="AE550" s="184">
        <f t="shared" si="375"/>
        <v>0</v>
      </c>
      <c r="AF550" s="184">
        <f t="shared" si="405"/>
        <v>585000</v>
      </c>
      <c r="AG550" s="184">
        <f t="shared" si="405"/>
        <v>1053400</v>
      </c>
      <c r="AH550" s="184">
        <f t="shared" si="405"/>
        <v>996300</v>
      </c>
      <c r="AI550" s="184">
        <f t="shared" si="405"/>
        <v>897900</v>
      </c>
      <c r="AJ550" s="162" t="b">
        <f t="shared" si="392"/>
        <v>1</v>
      </c>
      <c r="AK550" s="162" t="str">
        <f t="shared" si="393"/>
        <v>PRAZNO</v>
      </c>
      <c r="AL550" s="173"/>
    </row>
    <row r="551" spans="1:39" ht="15.75" x14ac:dyDescent="0.2">
      <c r="B551" s="177"/>
      <c r="C551" s="177">
        <v>35</v>
      </c>
      <c r="D551" s="177"/>
      <c r="E551" s="177"/>
      <c r="F551" s="176"/>
      <c r="G551" s="176"/>
      <c r="H551" s="256" t="s">
        <v>749</v>
      </c>
      <c r="I551" s="18"/>
      <c r="J551" s="178"/>
      <c r="K551" s="178"/>
      <c r="L551" s="178"/>
      <c r="M551" s="178"/>
      <c r="N551" s="178"/>
      <c r="O551" s="178"/>
      <c r="P551" s="26"/>
      <c r="Q551" s="178"/>
      <c r="R551" s="178"/>
      <c r="S551" s="178"/>
      <c r="T551" s="266"/>
      <c r="U551" s="178">
        <f t="shared" si="405"/>
        <v>675577.11</v>
      </c>
      <c r="V551" s="178">
        <f t="shared" si="405"/>
        <v>560000</v>
      </c>
      <c r="W551" s="178">
        <f t="shared" si="405"/>
        <v>450000</v>
      </c>
      <c r="X551" s="178">
        <f t="shared" si="405"/>
        <v>350000</v>
      </c>
      <c r="Y551" s="178">
        <f t="shared" si="405"/>
        <v>146080.04999999999</v>
      </c>
      <c r="Z551" s="178">
        <f t="shared" si="405"/>
        <v>26.09</v>
      </c>
      <c r="AA551" s="178">
        <f t="shared" si="405"/>
        <v>25000</v>
      </c>
      <c r="AB551" s="178">
        <f t="shared" si="405"/>
        <v>585000</v>
      </c>
      <c r="AC551" s="178">
        <f t="shared" si="405"/>
        <v>285570.84000000003</v>
      </c>
      <c r="AD551" s="178">
        <f t="shared" si="371"/>
        <v>48.81552820512821</v>
      </c>
      <c r="AE551" s="178">
        <f t="shared" si="375"/>
        <v>0</v>
      </c>
      <c r="AF551" s="178">
        <f t="shared" si="405"/>
        <v>585000</v>
      </c>
      <c r="AG551" s="178">
        <f t="shared" si="405"/>
        <v>1053400</v>
      </c>
      <c r="AH551" s="178">
        <f t="shared" si="405"/>
        <v>996300</v>
      </c>
      <c r="AI551" s="178">
        <f t="shared" si="405"/>
        <v>897900</v>
      </c>
      <c r="AJ551" s="162" t="b">
        <f t="shared" si="392"/>
        <v>1</v>
      </c>
      <c r="AK551" s="162" t="str">
        <f t="shared" si="393"/>
        <v>PRAZNO</v>
      </c>
      <c r="AM551" s="164"/>
    </row>
    <row r="552" spans="1:39" ht="30" x14ac:dyDescent="0.2">
      <c r="B552" s="177"/>
      <c r="C552" s="177"/>
      <c r="D552" s="177">
        <v>352</v>
      </c>
      <c r="E552" s="177"/>
      <c r="F552" s="176"/>
      <c r="G552" s="176"/>
      <c r="H552" s="256" t="s">
        <v>748</v>
      </c>
      <c r="I552" s="18"/>
      <c r="J552" s="178"/>
      <c r="K552" s="178"/>
      <c r="L552" s="178"/>
      <c r="M552" s="178"/>
      <c r="N552" s="178"/>
      <c r="O552" s="178"/>
      <c r="P552" s="26"/>
      <c r="Q552" s="178"/>
      <c r="R552" s="178"/>
      <c r="S552" s="178"/>
      <c r="T552" s="266"/>
      <c r="U552" s="178">
        <f t="shared" si="405"/>
        <v>675577.11</v>
      </c>
      <c r="V552" s="178">
        <f t="shared" si="405"/>
        <v>560000</v>
      </c>
      <c r="W552" s="178">
        <f t="shared" si="405"/>
        <v>450000</v>
      </c>
      <c r="X552" s="178">
        <f t="shared" si="405"/>
        <v>350000</v>
      </c>
      <c r="Y552" s="178">
        <f t="shared" si="405"/>
        <v>146080.04999999999</v>
      </c>
      <c r="Z552" s="178">
        <f t="shared" si="405"/>
        <v>26.09</v>
      </c>
      <c r="AA552" s="178">
        <f t="shared" si="405"/>
        <v>25000</v>
      </c>
      <c r="AB552" s="178">
        <f t="shared" si="405"/>
        <v>585000</v>
      </c>
      <c r="AC552" s="178">
        <f t="shared" si="405"/>
        <v>285570.84000000003</v>
      </c>
      <c r="AD552" s="178">
        <f t="shared" si="371"/>
        <v>48.81552820512821</v>
      </c>
      <c r="AE552" s="178">
        <f t="shared" si="375"/>
        <v>0</v>
      </c>
      <c r="AF552" s="178">
        <f t="shared" si="405"/>
        <v>585000</v>
      </c>
      <c r="AG552" s="178">
        <f t="shared" si="405"/>
        <v>1053400</v>
      </c>
      <c r="AH552" s="178">
        <f t="shared" si="405"/>
        <v>996300</v>
      </c>
      <c r="AI552" s="178">
        <f t="shared" si="405"/>
        <v>897900</v>
      </c>
      <c r="AJ552" s="162" t="b">
        <f t="shared" si="392"/>
        <v>1</v>
      </c>
      <c r="AK552" s="162" t="str">
        <f t="shared" si="393"/>
        <v>PRAZNO</v>
      </c>
      <c r="AM552" s="164"/>
    </row>
    <row r="553" spans="1:39" ht="45" x14ac:dyDescent="0.2">
      <c r="B553" s="177"/>
      <c r="C553" s="177"/>
      <c r="D553" s="177"/>
      <c r="E553" s="177">
        <v>3523</v>
      </c>
      <c r="F553" s="176">
        <v>52</v>
      </c>
      <c r="G553" s="176" t="s">
        <v>424</v>
      </c>
      <c r="H553" s="256" t="s">
        <v>327</v>
      </c>
      <c r="I553" s="18">
        <v>730000</v>
      </c>
      <c r="J553" s="18">
        <v>187820.06</v>
      </c>
      <c r="K553" s="18">
        <f t="shared" si="379"/>
        <v>25.73</v>
      </c>
      <c r="L553" s="18">
        <f t="shared" si="390"/>
        <v>-88003.63</v>
      </c>
      <c r="M553" s="18">
        <v>641996.37</v>
      </c>
      <c r="N553" s="18">
        <v>600000</v>
      </c>
      <c r="O553" s="18">
        <v>333352.15000000002</v>
      </c>
      <c r="P553" s="26">
        <f>T553-N553</f>
        <v>0</v>
      </c>
      <c r="Q553" s="18">
        <v>600000</v>
      </c>
      <c r="R553" s="18">
        <v>900000</v>
      </c>
      <c r="S553" s="18">
        <v>850000</v>
      </c>
      <c r="T553" s="27">
        <v>600000</v>
      </c>
      <c r="U553" s="27">
        <v>675577.11</v>
      </c>
      <c r="V553" s="18">
        <v>560000</v>
      </c>
      <c r="W553" s="18">
        <v>450000</v>
      </c>
      <c r="X553" s="18">
        <v>350000</v>
      </c>
      <c r="Y553" s="18">
        <v>146080.04999999999</v>
      </c>
      <c r="Z553" s="18">
        <f t="shared" si="401"/>
        <v>26.09</v>
      </c>
      <c r="AA553" s="18">
        <f t="shared" si="391"/>
        <v>25000</v>
      </c>
      <c r="AB553" s="18">
        <v>585000</v>
      </c>
      <c r="AC553" s="18">
        <v>285570.84000000003</v>
      </c>
      <c r="AD553" s="18">
        <f t="shared" si="371"/>
        <v>48.81552820512821</v>
      </c>
      <c r="AE553" s="18">
        <f t="shared" si="375"/>
        <v>0</v>
      </c>
      <c r="AF553" s="18">
        <v>585000</v>
      </c>
      <c r="AG553" s="18">
        <f>504000+549400</f>
        <v>1053400</v>
      </c>
      <c r="AH553" s="18">
        <f>453600+542700</f>
        <v>996300</v>
      </c>
      <c r="AI553" s="18">
        <f>408800+489100</f>
        <v>897900</v>
      </c>
      <c r="AJ553" s="162" t="b">
        <f t="shared" si="392"/>
        <v>0</v>
      </c>
      <c r="AK553" s="162" t="str">
        <f t="shared" si="393"/>
        <v>PUNO</v>
      </c>
      <c r="AM553" s="164"/>
    </row>
    <row r="554" spans="1:39" s="171" customFormat="1" ht="47.25" x14ac:dyDescent="0.2">
      <c r="A554" s="259"/>
      <c r="B554" s="168"/>
      <c r="C554" s="168"/>
      <c r="D554" s="168"/>
      <c r="E554" s="168"/>
      <c r="F554" s="168"/>
      <c r="G554" s="168"/>
      <c r="H554" s="25" t="s">
        <v>4</v>
      </c>
      <c r="I554" s="169">
        <f>I556</f>
        <v>80000</v>
      </c>
      <c r="J554" s="169">
        <f>J556</f>
        <v>68787.92</v>
      </c>
      <c r="K554" s="169">
        <f t="shared" si="379"/>
        <v>85.98</v>
      </c>
      <c r="L554" s="169">
        <f t="shared" si="390"/>
        <v>42089.67</v>
      </c>
      <c r="M554" s="19">
        <f>M556</f>
        <v>122089.67</v>
      </c>
      <c r="N554" s="19">
        <f>N556</f>
        <v>100000</v>
      </c>
      <c r="O554" s="19">
        <f>O556</f>
        <v>52812.97</v>
      </c>
      <c r="P554" s="303">
        <f>T554-N554</f>
        <v>0</v>
      </c>
      <c r="Q554" s="19">
        <f t="shared" ref="Q554:X554" si="406">Q556</f>
        <v>100000</v>
      </c>
      <c r="R554" s="19">
        <f t="shared" si="406"/>
        <v>120000</v>
      </c>
      <c r="S554" s="19">
        <f t="shared" si="406"/>
        <v>150000</v>
      </c>
      <c r="T554" s="53">
        <f t="shared" si="406"/>
        <v>100000</v>
      </c>
      <c r="U554" s="53">
        <f>U556</f>
        <v>88499.22</v>
      </c>
      <c r="V554" s="19">
        <f t="shared" si="406"/>
        <v>100000</v>
      </c>
      <c r="W554" s="19">
        <f t="shared" si="406"/>
        <v>130000</v>
      </c>
      <c r="X554" s="19">
        <f t="shared" si="406"/>
        <v>150000</v>
      </c>
      <c r="Y554" s="19">
        <f>Y556</f>
        <v>18492.46</v>
      </c>
      <c r="Z554" s="19">
        <f t="shared" si="401"/>
        <v>18.489999999999998</v>
      </c>
      <c r="AA554" s="19">
        <f t="shared" si="391"/>
        <v>0</v>
      </c>
      <c r="AB554" s="19">
        <f>AB556</f>
        <v>100000</v>
      </c>
      <c r="AC554" s="19">
        <f>AC556</f>
        <v>48492.46</v>
      </c>
      <c r="AD554" s="19">
        <f t="shared" si="371"/>
        <v>48.492460000000001</v>
      </c>
      <c r="AE554" s="19">
        <f t="shared" si="375"/>
        <v>0</v>
      </c>
      <c r="AF554" s="19">
        <f>AF556</f>
        <v>100000</v>
      </c>
      <c r="AG554" s="19">
        <f>AG556</f>
        <v>100000</v>
      </c>
      <c r="AH554" s="19">
        <f>AH556</f>
        <v>150000</v>
      </c>
      <c r="AI554" s="19">
        <f>AI556</f>
        <v>200000</v>
      </c>
      <c r="AJ554" s="162" t="b">
        <f t="shared" si="392"/>
        <v>1</v>
      </c>
      <c r="AK554" s="162" t="str">
        <f t="shared" si="393"/>
        <v>PRAZNO</v>
      </c>
      <c r="AL554" s="170"/>
      <c r="AM554" s="164"/>
    </row>
    <row r="555" spans="1:39" s="264" customFormat="1" ht="15.75" x14ac:dyDescent="0.2">
      <c r="A555" s="259"/>
      <c r="B555" s="260"/>
      <c r="C555" s="260"/>
      <c r="D555" s="260"/>
      <c r="E555" s="260"/>
      <c r="F555" s="260"/>
      <c r="G555" s="260"/>
      <c r="H555" s="261" t="s">
        <v>824</v>
      </c>
      <c r="I555" s="181"/>
      <c r="J555" s="181"/>
      <c r="K555" s="181"/>
      <c r="L555" s="181"/>
      <c r="M555" s="262"/>
      <c r="N555" s="262"/>
      <c r="O555" s="262"/>
      <c r="P555" s="445"/>
      <c r="Q555" s="262"/>
      <c r="R555" s="262"/>
      <c r="S555" s="262"/>
      <c r="T555" s="342"/>
      <c r="U555" s="342"/>
      <c r="V555" s="262">
        <f>V556</f>
        <v>100000</v>
      </c>
      <c r="W555" s="262">
        <f>W556</f>
        <v>130000</v>
      </c>
      <c r="X555" s="262">
        <f>X556</f>
        <v>150000</v>
      </c>
      <c r="Y555" s="262">
        <f>Y556</f>
        <v>18492.46</v>
      </c>
      <c r="Z555" s="262">
        <f t="shared" si="401"/>
        <v>18.489999999999998</v>
      </c>
      <c r="AA555" s="262">
        <f t="shared" si="391"/>
        <v>0</v>
      </c>
      <c r="AB555" s="262">
        <f>AB556</f>
        <v>100000</v>
      </c>
      <c r="AC555" s="262">
        <f>AC556</f>
        <v>48492.46</v>
      </c>
      <c r="AD555" s="262">
        <f t="shared" si="371"/>
        <v>48.492460000000001</v>
      </c>
      <c r="AE555" s="262">
        <f t="shared" si="375"/>
        <v>0</v>
      </c>
      <c r="AF555" s="262">
        <f>AF556</f>
        <v>100000</v>
      </c>
      <c r="AG555" s="262">
        <f>AG556</f>
        <v>100000</v>
      </c>
      <c r="AH555" s="262">
        <f>AH556</f>
        <v>150000</v>
      </c>
      <c r="AI555" s="262">
        <f>AI556</f>
        <v>200000</v>
      </c>
      <c r="AJ555" s="162" t="b">
        <f t="shared" si="392"/>
        <v>1</v>
      </c>
      <c r="AK555" s="162" t="str">
        <f t="shared" si="393"/>
        <v>PRAZNO</v>
      </c>
      <c r="AL555" s="263"/>
    </row>
    <row r="556" spans="1:39" s="174" customFormat="1" ht="15.75" x14ac:dyDescent="0.2">
      <c r="A556" s="259"/>
      <c r="B556" s="172">
        <v>3</v>
      </c>
      <c r="C556" s="172"/>
      <c r="D556" s="172"/>
      <c r="E556" s="172"/>
      <c r="F556" s="172"/>
      <c r="G556" s="172"/>
      <c r="H556" s="14" t="s">
        <v>524</v>
      </c>
      <c r="I556" s="20">
        <f t="shared" ref="I556:AI558" si="407">I557</f>
        <v>80000</v>
      </c>
      <c r="J556" s="20">
        <f t="shared" si="407"/>
        <v>68787.92</v>
      </c>
      <c r="K556" s="20">
        <f t="shared" si="379"/>
        <v>85.98</v>
      </c>
      <c r="L556" s="20">
        <f t="shared" si="390"/>
        <v>42089.67</v>
      </c>
      <c r="M556" s="20">
        <f t="shared" si="407"/>
        <v>122089.67</v>
      </c>
      <c r="N556" s="20">
        <f t="shared" si="407"/>
        <v>100000</v>
      </c>
      <c r="O556" s="20">
        <f t="shared" si="407"/>
        <v>52812.97</v>
      </c>
      <c r="P556" s="55">
        <f>T556-N556</f>
        <v>0</v>
      </c>
      <c r="Q556" s="20">
        <f t="shared" si="407"/>
        <v>100000</v>
      </c>
      <c r="R556" s="20">
        <f t="shared" si="407"/>
        <v>120000</v>
      </c>
      <c r="S556" s="20">
        <f t="shared" si="407"/>
        <v>150000</v>
      </c>
      <c r="T556" s="55">
        <f t="shared" si="407"/>
        <v>100000</v>
      </c>
      <c r="U556" s="55">
        <f t="shared" si="407"/>
        <v>88499.22</v>
      </c>
      <c r="V556" s="20">
        <f t="shared" si="407"/>
        <v>100000</v>
      </c>
      <c r="W556" s="20">
        <f t="shared" si="407"/>
        <v>130000</v>
      </c>
      <c r="X556" s="20">
        <f t="shared" si="407"/>
        <v>150000</v>
      </c>
      <c r="Y556" s="20">
        <f t="shared" si="407"/>
        <v>18492.46</v>
      </c>
      <c r="Z556" s="20">
        <f t="shared" si="401"/>
        <v>18.489999999999998</v>
      </c>
      <c r="AA556" s="20">
        <f t="shared" si="391"/>
        <v>0</v>
      </c>
      <c r="AB556" s="20">
        <f t="shared" si="407"/>
        <v>100000</v>
      </c>
      <c r="AC556" s="20">
        <f t="shared" si="407"/>
        <v>48492.46</v>
      </c>
      <c r="AD556" s="20">
        <f t="shared" si="371"/>
        <v>48.492460000000001</v>
      </c>
      <c r="AE556" s="20">
        <f t="shared" si="375"/>
        <v>0</v>
      </c>
      <c r="AF556" s="20">
        <f t="shared" si="407"/>
        <v>100000</v>
      </c>
      <c r="AG556" s="20">
        <f t="shared" si="407"/>
        <v>100000</v>
      </c>
      <c r="AH556" s="20">
        <f t="shared" si="407"/>
        <v>150000</v>
      </c>
      <c r="AI556" s="20">
        <f t="shared" si="407"/>
        <v>200000</v>
      </c>
      <c r="AJ556" s="162" t="b">
        <f t="shared" si="392"/>
        <v>1</v>
      </c>
      <c r="AK556" s="162" t="str">
        <f t="shared" si="393"/>
        <v>PRAZNO</v>
      </c>
      <c r="AL556" s="173"/>
      <c r="AM556" s="164"/>
    </row>
    <row r="557" spans="1:39" ht="15.75" x14ac:dyDescent="0.2">
      <c r="B557" s="177"/>
      <c r="C557" s="177">
        <v>35</v>
      </c>
      <c r="D557" s="177"/>
      <c r="E557" s="177"/>
      <c r="F557" s="177"/>
      <c r="G557" s="177"/>
      <c r="H557" s="29" t="s">
        <v>749</v>
      </c>
      <c r="I557" s="18">
        <f t="shared" si="407"/>
        <v>80000</v>
      </c>
      <c r="J557" s="18">
        <f t="shared" si="407"/>
        <v>68787.92</v>
      </c>
      <c r="K557" s="18">
        <f t="shared" si="379"/>
        <v>85.98</v>
      </c>
      <c r="L557" s="18">
        <f t="shared" si="390"/>
        <v>42089.67</v>
      </c>
      <c r="M557" s="18">
        <f t="shared" si="407"/>
        <v>122089.67</v>
      </c>
      <c r="N557" s="18">
        <f t="shared" si="407"/>
        <v>100000</v>
      </c>
      <c r="O557" s="18">
        <f t="shared" si="407"/>
        <v>52812.97</v>
      </c>
      <c r="P557" s="26">
        <f>T557-N557</f>
        <v>0</v>
      </c>
      <c r="Q557" s="18">
        <f t="shared" si="407"/>
        <v>100000</v>
      </c>
      <c r="R557" s="18">
        <f t="shared" si="407"/>
        <v>120000</v>
      </c>
      <c r="S557" s="18">
        <f t="shared" si="407"/>
        <v>150000</v>
      </c>
      <c r="T557" s="27">
        <f t="shared" si="407"/>
        <v>100000</v>
      </c>
      <c r="U557" s="27">
        <f t="shared" si="407"/>
        <v>88499.22</v>
      </c>
      <c r="V557" s="18">
        <f t="shared" si="407"/>
        <v>100000</v>
      </c>
      <c r="W557" s="18">
        <f t="shared" si="407"/>
        <v>130000</v>
      </c>
      <c r="X557" s="18">
        <f t="shared" si="407"/>
        <v>150000</v>
      </c>
      <c r="Y557" s="18">
        <f t="shared" si="407"/>
        <v>18492.46</v>
      </c>
      <c r="Z557" s="18">
        <f t="shared" si="401"/>
        <v>18.489999999999998</v>
      </c>
      <c r="AA557" s="18">
        <f t="shared" si="391"/>
        <v>0</v>
      </c>
      <c r="AB557" s="18">
        <f t="shared" si="407"/>
        <v>100000</v>
      </c>
      <c r="AC557" s="18">
        <f t="shared" si="407"/>
        <v>48492.46</v>
      </c>
      <c r="AD557" s="18">
        <f t="shared" si="371"/>
        <v>48.492460000000001</v>
      </c>
      <c r="AE557" s="18">
        <f t="shared" si="375"/>
        <v>0</v>
      </c>
      <c r="AF557" s="18">
        <f t="shared" si="407"/>
        <v>100000</v>
      </c>
      <c r="AG557" s="18">
        <f t="shared" si="407"/>
        <v>100000</v>
      </c>
      <c r="AH557" s="18">
        <f t="shared" si="407"/>
        <v>150000</v>
      </c>
      <c r="AI557" s="18">
        <f t="shared" si="407"/>
        <v>200000</v>
      </c>
      <c r="AJ557" s="162" t="b">
        <f t="shared" si="392"/>
        <v>1</v>
      </c>
      <c r="AK557" s="162" t="str">
        <f t="shared" si="393"/>
        <v>PRAZNO</v>
      </c>
      <c r="AM557" s="164"/>
    </row>
    <row r="558" spans="1:39" ht="30" x14ac:dyDescent="0.2">
      <c r="B558" s="177"/>
      <c r="C558" s="177"/>
      <c r="D558" s="177">
        <v>352</v>
      </c>
      <c r="E558" s="177"/>
      <c r="F558" s="177"/>
      <c r="G558" s="177"/>
      <c r="H558" s="29" t="s">
        <v>748</v>
      </c>
      <c r="I558" s="18">
        <f t="shared" si="407"/>
        <v>80000</v>
      </c>
      <c r="J558" s="18">
        <f t="shared" si="407"/>
        <v>68787.92</v>
      </c>
      <c r="K558" s="18">
        <f t="shared" si="379"/>
        <v>85.98</v>
      </c>
      <c r="L558" s="18">
        <f t="shared" si="390"/>
        <v>42089.67</v>
      </c>
      <c r="M558" s="18">
        <f t="shared" si="407"/>
        <v>122089.67</v>
      </c>
      <c r="N558" s="18">
        <f t="shared" si="407"/>
        <v>100000</v>
      </c>
      <c r="O558" s="18">
        <f t="shared" si="407"/>
        <v>52812.97</v>
      </c>
      <c r="P558" s="26">
        <f>T558-N558</f>
        <v>0</v>
      </c>
      <c r="Q558" s="18">
        <f t="shared" si="407"/>
        <v>100000</v>
      </c>
      <c r="R558" s="18">
        <f t="shared" si="407"/>
        <v>120000</v>
      </c>
      <c r="S558" s="18">
        <f t="shared" si="407"/>
        <v>150000</v>
      </c>
      <c r="T558" s="27">
        <f t="shared" si="407"/>
        <v>100000</v>
      </c>
      <c r="U558" s="27">
        <f t="shared" si="407"/>
        <v>88499.22</v>
      </c>
      <c r="V558" s="18">
        <f t="shared" si="407"/>
        <v>100000</v>
      </c>
      <c r="W558" s="18">
        <f t="shared" si="407"/>
        <v>130000</v>
      </c>
      <c r="X558" s="18">
        <f t="shared" si="407"/>
        <v>150000</v>
      </c>
      <c r="Y558" s="18">
        <f t="shared" si="407"/>
        <v>18492.46</v>
      </c>
      <c r="Z558" s="18">
        <f t="shared" si="401"/>
        <v>18.489999999999998</v>
      </c>
      <c r="AA558" s="18">
        <f t="shared" si="391"/>
        <v>0</v>
      </c>
      <c r="AB558" s="18">
        <f t="shared" si="407"/>
        <v>100000</v>
      </c>
      <c r="AC558" s="18">
        <f t="shared" si="407"/>
        <v>48492.46</v>
      </c>
      <c r="AD558" s="18">
        <f t="shared" ref="AD558:AD653" si="408">AC558/AB558*100</f>
        <v>48.492460000000001</v>
      </c>
      <c r="AE558" s="18">
        <f t="shared" si="375"/>
        <v>0</v>
      </c>
      <c r="AF558" s="18">
        <f t="shared" si="407"/>
        <v>100000</v>
      </c>
      <c r="AG558" s="18">
        <f t="shared" si="407"/>
        <v>100000</v>
      </c>
      <c r="AH558" s="18">
        <f t="shared" si="407"/>
        <v>150000</v>
      </c>
      <c r="AI558" s="18">
        <f t="shared" si="407"/>
        <v>200000</v>
      </c>
      <c r="AJ558" s="162" t="b">
        <f t="shared" si="392"/>
        <v>1</v>
      </c>
      <c r="AK558" s="162" t="str">
        <f t="shared" si="393"/>
        <v>PRAZNO</v>
      </c>
      <c r="AM558" s="164"/>
    </row>
    <row r="559" spans="1:39" ht="15.75" x14ac:dyDescent="0.2">
      <c r="B559" s="177"/>
      <c r="C559" s="177"/>
      <c r="D559" s="177"/>
      <c r="E559" s="177">
        <v>3523</v>
      </c>
      <c r="F559" s="176">
        <v>13</v>
      </c>
      <c r="G559" s="176" t="s">
        <v>424</v>
      </c>
      <c r="H559" s="40" t="s">
        <v>324</v>
      </c>
      <c r="I559" s="18">
        <v>80000</v>
      </c>
      <c r="J559" s="178">
        <v>68787.92</v>
      </c>
      <c r="K559" s="178">
        <f t="shared" si="379"/>
        <v>85.98</v>
      </c>
      <c r="L559" s="178">
        <f t="shared" si="390"/>
        <v>42089.67</v>
      </c>
      <c r="M559" s="178">
        <v>122089.67</v>
      </c>
      <c r="N559" s="178">
        <v>100000</v>
      </c>
      <c r="O559" s="178">
        <v>52812.97</v>
      </c>
      <c r="P559" s="26">
        <f>T559-N559</f>
        <v>0</v>
      </c>
      <c r="Q559" s="178">
        <v>100000</v>
      </c>
      <c r="R559" s="178">
        <v>120000</v>
      </c>
      <c r="S559" s="178">
        <v>150000</v>
      </c>
      <c r="T559" s="266">
        <v>100000</v>
      </c>
      <c r="U559" s="266">
        <v>88499.22</v>
      </c>
      <c r="V559" s="178">
        <v>100000</v>
      </c>
      <c r="W559" s="178">
        <v>130000</v>
      </c>
      <c r="X559" s="178">
        <v>150000</v>
      </c>
      <c r="Y559" s="178">
        <v>18492.46</v>
      </c>
      <c r="Z559" s="178">
        <f t="shared" si="401"/>
        <v>18.489999999999998</v>
      </c>
      <c r="AA559" s="178">
        <f t="shared" si="391"/>
        <v>0</v>
      </c>
      <c r="AB559" s="178">
        <v>100000</v>
      </c>
      <c r="AC559" s="178">
        <v>48492.46</v>
      </c>
      <c r="AD559" s="178">
        <f t="shared" si="408"/>
        <v>48.492460000000001</v>
      </c>
      <c r="AE559" s="178">
        <f t="shared" si="375"/>
        <v>0</v>
      </c>
      <c r="AF559" s="178">
        <v>100000</v>
      </c>
      <c r="AG559" s="178">
        <v>100000</v>
      </c>
      <c r="AH559" s="178">
        <v>150000</v>
      </c>
      <c r="AI559" s="178">
        <v>200000</v>
      </c>
      <c r="AJ559" s="162" t="b">
        <f t="shared" si="392"/>
        <v>0</v>
      </c>
      <c r="AK559" s="162" t="str">
        <f t="shared" si="393"/>
        <v>PUNO</v>
      </c>
      <c r="AM559" s="164"/>
    </row>
    <row r="560" spans="1:39" s="171" customFormat="1" ht="15.75" x14ac:dyDescent="0.2">
      <c r="A560" s="259"/>
      <c r="B560" s="168"/>
      <c r="C560" s="168"/>
      <c r="D560" s="168"/>
      <c r="E560" s="168"/>
      <c r="F560" s="168"/>
      <c r="G560" s="168"/>
      <c r="H560" s="12" t="s">
        <v>156</v>
      </c>
      <c r="I560" s="169">
        <f>I562</f>
        <v>300000</v>
      </c>
      <c r="J560" s="169">
        <f>J562</f>
        <v>0</v>
      </c>
      <c r="K560" s="169">
        <f t="shared" si="379"/>
        <v>0</v>
      </c>
      <c r="L560" s="169">
        <f t="shared" si="390"/>
        <v>200000</v>
      </c>
      <c r="M560" s="19">
        <f>M562</f>
        <v>500000</v>
      </c>
      <c r="N560" s="19">
        <f>N562</f>
        <v>800000</v>
      </c>
      <c r="O560" s="19">
        <f>O562</f>
        <v>437874.16</v>
      </c>
      <c r="P560" s="303">
        <f>T560-N560</f>
        <v>200000</v>
      </c>
      <c r="Q560" s="19">
        <f t="shared" ref="Q560:AA560" si="409">Q562</f>
        <v>800000</v>
      </c>
      <c r="R560" s="19">
        <f t="shared" si="409"/>
        <v>650000</v>
      </c>
      <c r="S560" s="19">
        <f t="shared" si="409"/>
        <v>850000</v>
      </c>
      <c r="T560" s="53">
        <f t="shared" si="409"/>
        <v>1000000</v>
      </c>
      <c r="U560" s="19">
        <f t="shared" si="409"/>
        <v>1035369.43</v>
      </c>
      <c r="V560" s="19">
        <f t="shared" si="409"/>
        <v>600000</v>
      </c>
      <c r="W560" s="19">
        <f t="shared" si="409"/>
        <v>640000</v>
      </c>
      <c r="X560" s="19">
        <f t="shared" si="409"/>
        <v>790000</v>
      </c>
      <c r="Y560" s="19">
        <f t="shared" si="409"/>
        <v>0</v>
      </c>
      <c r="Z560" s="19">
        <f t="shared" si="409"/>
        <v>0</v>
      </c>
      <c r="AA560" s="19">
        <f t="shared" si="409"/>
        <v>0</v>
      </c>
      <c r="AB560" s="19">
        <f>AB562</f>
        <v>600000</v>
      </c>
      <c r="AC560" s="19">
        <f>AC562</f>
        <v>0</v>
      </c>
      <c r="AD560" s="19">
        <f t="shared" si="408"/>
        <v>0</v>
      </c>
      <c r="AE560" s="19">
        <f t="shared" si="375"/>
        <v>-270000</v>
      </c>
      <c r="AF560" s="19">
        <f>AF562</f>
        <v>330000</v>
      </c>
      <c r="AG560" s="19">
        <f>AG562</f>
        <v>400000</v>
      </c>
      <c r="AH560" s="19">
        <f>AH562</f>
        <v>400000</v>
      </c>
      <c r="AI560" s="19">
        <f>AI562</f>
        <v>400000</v>
      </c>
      <c r="AJ560" s="162" t="b">
        <f t="shared" si="392"/>
        <v>1</v>
      </c>
      <c r="AK560" s="162" t="str">
        <f t="shared" si="393"/>
        <v>PRAZNO</v>
      </c>
      <c r="AL560" s="170"/>
      <c r="AM560" s="164"/>
    </row>
    <row r="561" spans="1:39" s="264" customFormat="1" ht="15.75" x14ac:dyDescent="0.2">
      <c r="A561" s="259"/>
      <c r="B561" s="260"/>
      <c r="C561" s="260"/>
      <c r="D561" s="260"/>
      <c r="E561" s="260"/>
      <c r="F561" s="260"/>
      <c r="G561" s="260"/>
      <c r="H561" s="441" t="s">
        <v>824</v>
      </c>
      <c r="I561" s="181"/>
      <c r="J561" s="181"/>
      <c r="K561" s="181"/>
      <c r="L561" s="181"/>
      <c r="M561" s="262"/>
      <c r="N561" s="262"/>
      <c r="O561" s="262"/>
      <c r="P561" s="445"/>
      <c r="Q561" s="262"/>
      <c r="R561" s="262"/>
      <c r="S561" s="262"/>
      <c r="T561" s="342"/>
      <c r="U561" s="262">
        <f t="shared" ref="U561:AA561" si="410">U562</f>
        <v>1035369.43</v>
      </c>
      <c r="V561" s="262">
        <f t="shared" si="410"/>
        <v>600000</v>
      </c>
      <c r="W561" s="262">
        <f t="shared" si="410"/>
        <v>640000</v>
      </c>
      <c r="X561" s="262">
        <f t="shared" si="410"/>
        <v>790000</v>
      </c>
      <c r="Y561" s="262">
        <f t="shared" si="410"/>
        <v>0</v>
      </c>
      <c r="Z561" s="262">
        <f t="shared" si="410"/>
        <v>0</v>
      </c>
      <c r="AA561" s="262">
        <f t="shared" si="410"/>
        <v>0</v>
      </c>
      <c r="AB561" s="262">
        <f>AB562</f>
        <v>600000</v>
      </c>
      <c r="AC561" s="262">
        <f>AC562</f>
        <v>0</v>
      </c>
      <c r="AD561" s="262">
        <f t="shared" si="408"/>
        <v>0</v>
      </c>
      <c r="AE561" s="262">
        <f t="shared" si="375"/>
        <v>-270000</v>
      </c>
      <c r="AF561" s="262">
        <f>AF562</f>
        <v>330000</v>
      </c>
      <c r="AG561" s="262">
        <f>AG562</f>
        <v>400000</v>
      </c>
      <c r="AH561" s="262">
        <f>AH562</f>
        <v>400000</v>
      </c>
      <c r="AI561" s="262">
        <f>AI562</f>
        <v>400000</v>
      </c>
      <c r="AJ561" s="162" t="b">
        <f t="shared" si="392"/>
        <v>1</v>
      </c>
      <c r="AK561" s="162" t="str">
        <f t="shared" si="393"/>
        <v>PRAZNO</v>
      </c>
      <c r="AL561" s="263"/>
    </row>
    <row r="562" spans="1:39" s="174" customFormat="1" ht="15.75" x14ac:dyDescent="0.2">
      <c r="A562" s="259"/>
      <c r="B562" s="172">
        <v>3</v>
      </c>
      <c r="C562" s="172"/>
      <c r="D562" s="172"/>
      <c r="E562" s="172"/>
      <c r="F562" s="172"/>
      <c r="G562" s="172"/>
      <c r="H562" s="14" t="s">
        <v>524</v>
      </c>
      <c r="I562" s="20">
        <f t="shared" ref="I562:AI563" si="411">I563</f>
        <v>300000</v>
      </c>
      <c r="J562" s="20">
        <f t="shared" si="411"/>
        <v>0</v>
      </c>
      <c r="K562" s="20">
        <f t="shared" si="379"/>
        <v>0</v>
      </c>
      <c r="L562" s="20">
        <f t="shared" si="390"/>
        <v>200000</v>
      </c>
      <c r="M562" s="20">
        <f t="shared" si="411"/>
        <v>500000</v>
      </c>
      <c r="N562" s="20">
        <f t="shared" si="411"/>
        <v>800000</v>
      </c>
      <c r="O562" s="20">
        <f t="shared" si="411"/>
        <v>437874.16</v>
      </c>
      <c r="P562" s="55">
        <f>T562-N562</f>
        <v>200000</v>
      </c>
      <c r="Q562" s="20">
        <f t="shared" si="411"/>
        <v>800000</v>
      </c>
      <c r="R562" s="20">
        <f t="shared" si="411"/>
        <v>650000</v>
      </c>
      <c r="S562" s="20">
        <f t="shared" si="411"/>
        <v>850000</v>
      </c>
      <c r="T562" s="55">
        <f t="shared" si="411"/>
        <v>1000000</v>
      </c>
      <c r="U562" s="55">
        <f t="shared" si="411"/>
        <v>1035369.43</v>
      </c>
      <c r="V562" s="20">
        <f t="shared" si="411"/>
        <v>600000</v>
      </c>
      <c r="W562" s="20">
        <f t="shared" si="411"/>
        <v>640000</v>
      </c>
      <c r="X562" s="20">
        <f t="shared" si="411"/>
        <v>790000</v>
      </c>
      <c r="Y562" s="20">
        <f t="shared" si="411"/>
        <v>0</v>
      </c>
      <c r="Z562" s="20">
        <f t="shared" si="401"/>
        <v>0</v>
      </c>
      <c r="AA562" s="20">
        <f t="shared" si="391"/>
        <v>0</v>
      </c>
      <c r="AB562" s="20">
        <f t="shared" si="411"/>
        <v>600000</v>
      </c>
      <c r="AC562" s="20">
        <f t="shared" si="411"/>
        <v>0</v>
      </c>
      <c r="AD562" s="20">
        <f t="shared" si="408"/>
        <v>0</v>
      </c>
      <c r="AE562" s="20">
        <f t="shared" si="375"/>
        <v>-270000</v>
      </c>
      <c r="AF562" s="20">
        <f t="shared" si="411"/>
        <v>330000</v>
      </c>
      <c r="AG562" s="20">
        <f t="shared" si="411"/>
        <v>400000</v>
      </c>
      <c r="AH562" s="20">
        <f t="shared" si="411"/>
        <v>400000</v>
      </c>
      <c r="AI562" s="20">
        <f t="shared" si="411"/>
        <v>400000</v>
      </c>
      <c r="AJ562" s="162" t="b">
        <f t="shared" si="392"/>
        <v>1</v>
      </c>
      <c r="AK562" s="162" t="str">
        <f t="shared" si="393"/>
        <v>PRAZNO</v>
      </c>
      <c r="AL562" s="173"/>
      <c r="AM562" s="164"/>
    </row>
    <row r="563" spans="1:39" ht="15.75" customHeight="1" x14ac:dyDescent="0.2">
      <c r="B563" s="177"/>
      <c r="C563" s="177">
        <v>36</v>
      </c>
      <c r="D563" s="177"/>
      <c r="E563" s="177"/>
      <c r="F563" s="177"/>
      <c r="G563" s="177"/>
      <c r="H563" s="16" t="s">
        <v>751</v>
      </c>
      <c r="I563" s="18">
        <f t="shared" si="411"/>
        <v>300000</v>
      </c>
      <c r="J563" s="18">
        <f t="shared" si="411"/>
        <v>0</v>
      </c>
      <c r="K563" s="18">
        <f>ROUND(J563/I563*100,2)</f>
        <v>0</v>
      </c>
      <c r="L563" s="18">
        <f t="shared" si="390"/>
        <v>200000</v>
      </c>
      <c r="M563" s="18">
        <f t="shared" si="411"/>
        <v>500000</v>
      </c>
      <c r="N563" s="18">
        <f t="shared" si="411"/>
        <v>800000</v>
      </c>
      <c r="O563" s="18">
        <f t="shared" si="411"/>
        <v>437874.16</v>
      </c>
      <c r="P563" s="26">
        <f>T563-N563</f>
        <v>200000</v>
      </c>
      <c r="Q563" s="18">
        <f t="shared" si="411"/>
        <v>800000</v>
      </c>
      <c r="R563" s="18">
        <f t="shared" si="411"/>
        <v>650000</v>
      </c>
      <c r="S563" s="18">
        <f t="shared" si="411"/>
        <v>850000</v>
      </c>
      <c r="T563" s="27">
        <f t="shared" si="411"/>
        <v>1000000</v>
      </c>
      <c r="U563" s="27">
        <f t="shared" si="411"/>
        <v>1035369.43</v>
      </c>
      <c r="V563" s="18">
        <f t="shared" si="411"/>
        <v>600000</v>
      </c>
      <c r="W563" s="18">
        <f t="shared" si="411"/>
        <v>640000</v>
      </c>
      <c r="X563" s="18">
        <f t="shared" si="411"/>
        <v>790000</v>
      </c>
      <c r="Y563" s="18">
        <f t="shared" si="411"/>
        <v>0</v>
      </c>
      <c r="Z563" s="18">
        <f t="shared" si="401"/>
        <v>0</v>
      </c>
      <c r="AA563" s="18">
        <f t="shared" si="391"/>
        <v>0</v>
      </c>
      <c r="AB563" s="18">
        <f t="shared" si="411"/>
        <v>600000</v>
      </c>
      <c r="AC563" s="18">
        <f t="shared" si="411"/>
        <v>0</v>
      </c>
      <c r="AD563" s="18">
        <f t="shared" si="408"/>
        <v>0</v>
      </c>
      <c r="AE563" s="18">
        <f t="shared" si="375"/>
        <v>-270000</v>
      </c>
      <c r="AF563" s="18">
        <f t="shared" si="411"/>
        <v>330000</v>
      </c>
      <c r="AG563" s="18">
        <f t="shared" si="411"/>
        <v>400000</v>
      </c>
      <c r="AH563" s="18">
        <f t="shared" si="411"/>
        <v>400000</v>
      </c>
      <c r="AI563" s="18">
        <f t="shared" si="411"/>
        <v>400000</v>
      </c>
      <c r="AJ563" s="162" t="b">
        <f t="shared" si="392"/>
        <v>1</v>
      </c>
      <c r="AK563" s="162" t="str">
        <f t="shared" si="393"/>
        <v>PRAZNO</v>
      </c>
      <c r="AM563" s="164"/>
    </row>
    <row r="564" spans="1:39" ht="15.75" x14ac:dyDescent="0.2">
      <c r="B564" s="177"/>
      <c r="C564" s="177"/>
      <c r="D564" s="177">
        <v>363</v>
      </c>
      <c r="E564" s="177"/>
      <c r="F564" s="177"/>
      <c r="G564" s="177"/>
      <c r="H564" s="16" t="s">
        <v>536</v>
      </c>
      <c r="I564" s="18">
        <f>SUM(I565:I565)</f>
        <v>300000</v>
      </c>
      <c r="J564" s="18">
        <f>SUM(J565:J565)</f>
        <v>0</v>
      </c>
      <c r="K564" s="18">
        <f>ROUND(J564/I564*100,2)</f>
        <v>0</v>
      </c>
      <c r="L564" s="18">
        <f t="shared" si="390"/>
        <v>200000</v>
      </c>
      <c r="M564" s="18">
        <f>SUM(M565:M565)</f>
        <v>500000</v>
      </c>
      <c r="N564" s="18">
        <f>N565+N566</f>
        <v>800000</v>
      </c>
      <c r="O564" s="18">
        <f>SUM(O565:O565)</f>
        <v>437874.16</v>
      </c>
      <c r="P564" s="26">
        <f>T564-N564</f>
        <v>200000</v>
      </c>
      <c r="Q564" s="18">
        <f t="shared" ref="Q564:Y564" si="412">Q565+Q566</f>
        <v>800000</v>
      </c>
      <c r="R564" s="18">
        <f t="shared" si="412"/>
        <v>650000</v>
      </c>
      <c r="S564" s="18">
        <f t="shared" si="412"/>
        <v>850000</v>
      </c>
      <c r="T564" s="27">
        <f t="shared" si="412"/>
        <v>1000000</v>
      </c>
      <c r="U564" s="27">
        <f t="shared" si="412"/>
        <v>1035369.43</v>
      </c>
      <c r="V564" s="18">
        <f t="shared" si="412"/>
        <v>600000</v>
      </c>
      <c r="W564" s="18">
        <f t="shared" si="412"/>
        <v>640000</v>
      </c>
      <c r="X564" s="18">
        <f t="shared" si="412"/>
        <v>790000</v>
      </c>
      <c r="Y564" s="18">
        <f t="shared" si="412"/>
        <v>0</v>
      </c>
      <c r="Z564" s="18">
        <f t="shared" si="401"/>
        <v>0</v>
      </c>
      <c r="AA564" s="18">
        <f t="shared" si="391"/>
        <v>0</v>
      </c>
      <c r="AB564" s="18">
        <f>AB565+AB566</f>
        <v>600000</v>
      </c>
      <c r="AC564" s="18">
        <f>AC565+AC566</f>
        <v>0</v>
      </c>
      <c r="AD564" s="18">
        <f t="shared" si="408"/>
        <v>0</v>
      </c>
      <c r="AE564" s="18">
        <f t="shared" si="375"/>
        <v>-270000</v>
      </c>
      <c r="AF564" s="18">
        <f>AF565+AF566</f>
        <v>330000</v>
      </c>
      <c r="AG564" s="18">
        <f>AG565+AG566</f>
        <v>400000</v>
      </c>
      <c r="AH564" s="18">
        <f>AH565+AH566</f>
        <v>400000</v>
      </c>
      <c r="AI564" s="18">
        <f>AI565+AI566</f>
        <v>400000</v>
      </c>
      <c r="AJ564" s="162" t="b">
        <f t="shared" si="392"/>
        <v>1</v>
      </c>
      <c r="AK564" s="162" t="str">
        <f t="shared" si="393"/>
        <v>PRAZNO</v>
      </c>
      <c r="AM564" s="164"/>
    </row>
    <row r="565" spans="1:39" ht="45.75" customHeight="1" x14ac:dyDescent="0.2">
      <c r="B565" s="177"/>
      <c r="C565" s="177"/>
      <c r="D565" s="177"/>
      <c r="E565" s="177">
        <v>3632</v>
      </c>
      <c r="F565" s="176">
        <v>14</v>
      </c>
      <c r="G565" s="176"/>
      <c r="H565" s="16" t="s">
        <v>389</v>
      </c>
      <c r="I565" s="18">
        <v>300000</v>
      </c>
      <c r="J565" s="18">
        <v>0</v>
      </c>
      <c r="K565" s="18">
        <f>ROUND(J565/I565*100,2)</f>
        <v>0</v>
      </c>
      <c r="L565" s="18">
        <f t="shared" si="390"/>
        <v>200000</v>
      </c>
      <c r="M565" s="18">
        <v>500000</v>
      </c>
      <c r="N565" s="18">
        <v>400000</v>
      </c>
      <c r="O565" s="18">
        <v>437874.16</v>
      </c>
      <c r="P565" s="26">
        <f>T565-N565</f>
        <v>400000</v>
      </c>
      <c r="Q565" s="18">
        <v>400000</v>
      </c>
      <c r="R565" s="18">
        <v>200000</v>
      </c>
      <c r="S565" s="18">
        <v>250000</v>
      </c>
      <c r="T565" s="27">
        <v>800000</v>
      </c>
      <c r="U565" s="27">
        <v>820927.03</v>
      </c>
      <c r="V565" s="18">
        <v>400000</v>
      </c>
      <c r="W565" s="18">
        <v>440000</v>
      </c>
      <c r="X565" s="18">
        <v>540000</v>
      </c>
      <c r="Y565" s="18">
        <v>0</v>
      </c>
      <c r="Z565" s="18">
        <f t="shared" si="401"/>
        <v>0</v>
      </c>
      <c r="AA565" s="18">
        <f t="shared" si="391"/>
        <v>0</v>
      </c>
      <c r="AB565" s="18">
        <v>400000</v>
      </c>
      <c r="AC565" s="18">
        <v>0</v>
      </c>
      <c r="AD565" s="18">
        <f t="shared" si="408"/>
        <v>0</v>
      </c>
      <c r="AE565" s="18">
        <f t="shared" ref="AE565:AE660" si="413">AF565-AB565</f>
        <v>-70000</v>
      </c>
      <c r="AF565" s="18">
        <v>330000</v>
      </c>
      <c r="AG565" s="18">
        <v>400000</v>
      </c>
      <c r="AH565" s="18">
        <v>400000</v>
      </c>
      <c r="AI565" s="18">
        <v>400000</v>
      </c>
      <c r="AJ565" s="162" t="b">
        <f t="shared" si="392"/>
        <v>0</v>
      </c>
      <c r="AK565" s="162" t="str">
        <f t="shared" si="393"/>
        <v>PUNO</v>
      </c>
      <c r="AM565" s="164"/>
    </row>
    <row r="566" spans="1:39" ht="58.5" customHeight="1" x14ac:dyDescent="0.2">
      <c r="B566" s="177"/>
      <c r="C566" s="177"/>
      <c r="D566" s="177"/>
      <c r="E566" s="177">
        <v>3632</v>
      </c>
      <c r="F566" s="176">
        <v>14</v>
      </c>
      <c r="G566" s="176"/>
      <c r="H566" s="16" t="s">
        <v>388</v>
      </c>
      <c r="I566" s="18"/>
      <c r="J566" s="18"/>
      <c r="K566" s="18"/>
      <c r="L566" s="18"/>
      <c r="M566" s="18"/>
      <c r="N566" s="18">
        <v>400000</v>
      </c>
      <c r="O566" s="18">
        <v>0</v>
      </c>
      <c r="P566" s="26">
        <f>T566-N566</f>
        <v>-200000</v>
      </c>
      <c r="Q566" s="18">
        <v>400000</v>
      </c>
      <c r="R566" s="18">
        <v>450000</v>
      </c>
      <c r="S566" s="18">
        <v>600000</v>
      </c>
      <c r="T566" s="27">
        <v>200000</v>
      </c>
      <c r="U566" s="27">
        <v>214442.4</v>
      </c>
      <c r="V566" s="18">
        <v>200000</v>
      </c>
      <c r="W566" s="18">
        <v>200000</v>
      </c>
      <c r="X566" s="18">
        <v>250000</v>
      </c>
      <c r="Y566" s="18">
        <v>0</v>
      </c>
      <c r="Z566" s="18">
        <f t="shared" si="401"/>
        <v>0</v>
      </c>
      <c r="AA566" s="18">
        <f t="shared" si="391"/>
        <v>0</v>
      </c>
      <c r="AB566" s="18">
        <v>200000</v>
      </c>
      <c r="AC566" s="18">
        <v>0</v>
      </c>
      <c r="AD566" s="18">
        <f t="shared" si="408"/>
        <v>0</v>
      </c>
      <c r="AE566" s="18">
        <f t="shared" si="413"/>
        <v>-200000</v>
      </c>
      <c r="AF566" s="18">
        <v>0</v>
      </c>
      <c r="AG566" s="18"/>
      <c r="AH566" s="18"/>
      <c r="AI566" s="18"/>
      <c r="AJ566" s="162" t="b">
        <f t="shared" si="392"/>
        <v>0</v>
      </c>
      <c r="AK566" s="162" t="str">
        <f t="shared" si="393"/>
        <v>PUNO</v>
      </c>
      <c r="AM566" s="164"/>
    </row>
    <row r="567" spans="1:39" ht="57.75" customHeight="1" x14ac:dyDescent="0.2">
      <c r="B567" s="209"/>
      <c r="C567" s="209"/>
      <c r="D567" s="209"/>
      <c r="E567" s="209"/>
      <c r="F567" s="219"/>
      <c r="G567" s="219"/>
      <c r="H567" s="12" t="s">
        <v>311</v>
      </c>
      <c r="I567" s="305"/>
      <c r="J567" s="305"/>
      <c r="K567" s="305"/>
      <c r="L567" s="305"/>
      <c r="M567" s="305"/>
      <c r="N567" s="305"/>
      <c r="O567" s="305"/>
      <c r="P567" s="303"/>
      <c r="Q567" s="242"/>
      <c r="R567" s="242"/>
      <c r="S567" s="242"/>
      <c r="T567" s="305"/>
      <c r="U567" s="305"/>
      <c r="V567" s="301"/>
      <c r="W567" s="301"/>
      <c r="X567" s="301"/>
      <c r="Y567" s="301"/>
      <c r="Z567" s="301"/>
      <c r="AA567" s="301"/>
      <c r="AB567" s="301"/>
      <c r="AC567" s="301"/>
      <c r="AD567" s="301"/>
      <c r="AE567" s="301">
        <f t="shared" si="413"/>
        <v>180000</v>
      </c>
      <c r="AF567" s="301">
        <f t="shared" ref="AF567:AI571" si="414">AF568</f>
        <v>180000</v>
      </c>
      <c r="AG567" s="301">
        <f t="shared" si="414"/>
        <v>200000</v>
      </c>
      <c r="AH567" s="301">
        <f t="shared" si="414"/>
        <v>200000</v>
      </c>
      <c r="AI567" s="301">
        <f t="shared" si="414"/>
        <v>200000</v>
      </c>
      <c r="AJ567" s="162" t="b">
        <f t="shared" si="392"/>
        <v>1</v>
      </c>
      <c r="AK567" s="162" t="str">
        <f t="shared" si="393"/>
        <v>PRAZNO</v>
      </c>
      <c r="AM567" s="164"/>
    </row>
    <row r="568" spans="1:39" s="264" customFormat="1" ht="15.75" x14ac:dyDescent="0.2">
      <c r="A568" s="259"/>
      <c r="B568" s="177"/>
      <c r="C568" s="177"/>
      <c r="D568" s="177"/>
      <c r="E568" s="177"/>
      <c r="F568" s="265"/>
      <c r="G568" s="265"/>
      <c r="H568" s="441" t="s">
        <v>824</v>
      </c>
      <c r="I568" s="430"/>
      <c r="J568" s="430"/>
      <c r="K568" s="430"/>
      <c r="L568" s="430"/>
      <c r="M568" s="430"/>
      <c r="N568" s="430"/>
      <c r="O568" s="430"/>
      <c r="P568" s="445"/>
      <c r="Q568" s="178"/>
      <c r="R568" s="178"/>
      <c r="S568" s="178"/>
      <c r="T568" s="430"/>
      <c r="U568" s="430"/>
      <c r="V568" s="462"/>
      <c r="W568" s="462"/>
      <c r="X568" s="462"/>
      <c r="Y568" s="462"/>
      <c r="Z568" s="462"/>
      <c r="AA568" s="462"/>
      <c r="AB568" s="462"/>
      <c r="AC568" s="462"/>
      <c r="AD568" s="462"/>
      <c r="AE568" s="462">
        <f t="shared" si="413"/>
        <v>180000</v>
      </c>
      <c r="AF568" s="462">
        <f t="shared" si="414"/>
        <v>180000</v>
      </c>
      <c r="AG568" s="462">
        <f t="shared" si="414"/>
        <v>200000</v>
      </c>
      <c r="AH568" s="462">
        <f t="shared" si="414"/>
        <v>200000</v>
      </c>
      <c r="AI568" s="462">
        <f t="shared" si="414"/>
        <v>200000</v>
      </c>
      <c r="AJ568" s="162" t="b">
        <f t="shared" si="392"/>
        <v>1</v>
      </c>
      <c r="AK568" s="162" t="str">
        <f t="shared" si="393"/>
        <v>PRAZNO</v>
      </c>
      <c r="AL568" s="263"/>
    </row>
    <row r="569" spans="1:39" ht="15.75" x14ac:dyDescent="0.2">
      <c r="B569" s="172">
        <v>3</v>
      </c>
      <c r="C569" s="172"/>
      <c r="D569" s="172"/>
      <c r="E569" s="172"/>
      <c r="F569" s="220"/>
      <c r="G569" s="220"/>
      <c r="H569" s="14" t="s">
        <v>524</v>
      </c>
      <c r="I569" s="185"/>
      <c r="J569" s="185"/>
      <c r="K569" s="185"/>
      <c r="L569" s="185"/>
      <c r="M569" s="185"/>
      <c r="N569" s="185"/>
      <c r="O569" s="185"/>
      <c r="P569" s="55"/>
      <c r="Q569" s="184"/>
      <c r="R569" s="184"/>
      <c r="S569" s="184"/>
      <c r="T569" s="185"/>
      <c r="U569" s="185"/>
      <c r="V569" s="184"/>
      <c r="W569" s="184"/>
      <c r="X569" s="184"/>
      <c r="Y569" s="184"/>
      <c r="Z569" s="184"/>
      <c r="AA569" s="184"/>
      <c r="AB569" s="184"/>
      <c r="AC569" s="184"/>
      <c r="AD569" s="184"/>
      <c r="AE569" s="184">
        <f t="shared" si="413"/>
        <v>180000</v>
      </c>
      <c r="AF569" s="184">
        <f t="shared" si="414"/>
        <v>180000</v>
      </c>
      <c r="AG569" s="184">
        <f t="shared" si="414"/>
        <v>200000</v>
      </c>
      <c r="AH569" s="184">
        <f t="shared" si="414"/>
        <v>200000</v>
      </c>
      <c r="AI569" s="184">
        <f t="shared" si="414"/>
        <v>200000</v>
      </c>
      <c r="AJ569" s="162" t="b">
        <f t="shared" si="392"/>
        <v>1</v>
      </c>
      <c r="AK569" s="162" t="str">
        <f t="shared" si="393"/>
        <v>PRAZNO</v>
      </c>
      <c r="AM569" s="164"/>
    </row>
    <row r="570" spans="1:39" ht="21.75" customHeight="1" x14ac:dyDescent="0.2">
      <c r="B570" s="177"/>
      <c r="C570" s="177">
        <v>36</v>
      </c>
      <c r="D570" s="177"/>
      <c r="E570" s="177"/>
      <c r="F570" s="177"/>
      <c r="G570" s="177"/>
      <c r="H570" s="16" t="s">
        <v>751</v>
      </c>
      <c r="I570" s="18"/>
      <c r="J570" s="18"/>
      <c r="K570" s="18"/>
      <c r="L570" s="18"/>
      <c r="M570" s="18"/>
      <c r="N570" s="18"/>
      <c r="O570" s="18"/>
      <c r="P570" s="26"/>
      <c r="Q570" s="18"/>
      <c r="R570" s="18"/>
      <c r="S570" s="18"/>
      <c r="T570" s="27"/>
      <c r="U570" s="27"/>
      <c r="V570" s="18"/>
      <c r="W570" s="18"/>
      <c r="X570" s="18"/>
      <c r="Y570" s="18"/>
      <c r="Z570" s="18"/>
      <c r="AA570" s="18"/>
      <c r="AB570" s="18"/>
      <c r="AC570" s="18"/>
      <c r="AD570" s="18"/>
      <c r="AE570" s="18">
        <f t="shared" si="413"/>
        <v>180000</v>
      </c>
      <c r="AF570" s="18">
        <f t="shared" si="414"/>
        <v>180000</v>
      </c>
      <c r="AG570" s="18">
        <f t="shared" si="414"/>
        <v>200000</v>
      </c>
      <c r="AH570" s="18">
        <f t="shared" si="414"/>
        <v>200000</v>
      </c>
      <c r="AI570" s="18">
        <f t="shared" si="414"/>
        <v>200000</v>
      </c>
      <c r="AJ570" s="162" t="b">
        <f t="shared" si="392"/>
        <v>1</v>
      </c>
      <c r="AK570" s="162" t="str">
        <f t="shared" si="393"/>
        <v>PRAZNO</v>
      </c>
      <c r="AM570" s="164"/>
    </row>
    <row r="571" spans="1:39" ht="26.25" customHeight="1" x14ac:dyDescent="0.2">
      <c r="B571" s="177"/>
      <c r="C571" s="177"/>
      <c r="D571" s="177">
        <v>363</v>
      </c>
      <c r="E571" s="177"/>
      <c r="F571" s="177"/>
      <c r="G571" s="177"/>
      <c r="H571" s="16" t="s">
        <v>536</v>
      </c>
      <c r="I571" s="18"/>
      <c r="J571" s="18"/>
      <c r="K571" s="18"/>
      <c r="L571" s="18"/>
      <c r="M571" s="18"/>
      <c r="N571" s="18"/>
      <c r="O571" s="18"/>
      <c r="P571" s="26"/>
      <c r="Q571" s="18"/>
      <c r="R571" s="18"/>
      <c r="S571" s="18"/>
      <c r="T571" s="27"/>
      <c r="U571" s="27"/>
      <c r="V571" s="18"/>
      <c r="W571" s="18"/>
      <c r="X571" s="18"/>
      <c r="Y571" s="18"/>
      <c r="Z571" s="18"/>
      <c r="AA571" s="18"/>
      <c r="AB571" s="18"/>
      <c r="AC571" s="18"/>
      <c r="AD571" s="18"/>
      <c r="AE571" s="18">
        <f t="shared" si="413"/>
        <v>180000</v>
      </c>
      <c r="AF571" s="18">
        <f t="shared" si="414"/>
        <v>180000</v>
      </c>
      <c r="AG571" s="18">
        <f t="shared" si="414"/>
        <v>200000</v>
      </c>
      <c r="AH571" s="18">
        <f t="shared" si="414"/>
        <v>200000</v>
      </c>
      <c r="AI571" s="18">
        <f t="shared" si="414"/>
        <v>200000</v>
      </c>
      <c r="AJ571" s="162" t="b">
        <f t="shared" si="392"/>
        <v>1</v>
      </c>
      <c r="AK571" s="162" t="str">
        <f t="shared" si="393"/>
        <v>PRAZNO</v>
      </c>
      <c r="AM571" s="164"/>
    </row>
    <row r="572" spans="1:39" ht="51.75" customHeight="1" x14ac:dyDescent="0.2">
      <c r="B572" s="177"/>
      <c r="C572" s="177"/>
      <c r="D572" s="177"/>
      <c r="E572" s="177">
        <v>3632</v>
      </c>
      <c r="F572" s="176">
        <v>14</v>
      </c>
      <c r="G572" s="176"/>
      <c r="H572" s="16" t="s">
        <v>388</v>
      </c>
      <c r="I572" s="18"/>
      <c r="J572" s="18"/>
      <c r="K572" s="18"/>
      <c r="L572" s="18"/>
      <c r="M572" s="18"/>
      <c r="N572" s="18"/>
      <c r="O572" s="18"/>
      <c r="P572" s="26"/>
      <c r="Q572" s="18"/>
      <c r="R572" s="18"/>
      <c r="S572" s="18"/>
      <c r="T572" s="27"/>
      <c r="U572" s="27"/>
      <c r="V572" s="18"/>
      <c r="W572" s="18"/>
      <c r="X572" s="18"/>
      <c r="Y572" s="18"/>
      <c r="Z572" s="18"/>
      <c r="AA572" s="18"/>
      <c r="AB572" s="18"/>
      <c r="AC572" s="18"/>
      <c r="AD572" s="18"/>
      <c r="AE572" s="18">
        <f t="shared" si="413"/>
        <v>180000</v>
      </c>
      <c r="AF572" s="18">
        <v>180000</v>
      </c>
      <c r="AG572" s="18">
        <v>200000</v>
      </c>
      <c r="AH572" s="18">
        <v>200000</v>
      </c>
      <c r="AI572" s="18">
        <v>200000</v>
      </c>
      <c r="AJ572" s="162" t="b">
        <f t="shared" si="392"/>
        <v>0</v>
      </c>
      <c r="AK572" s="162" t="str">
        <f t="shared" si="393"/>
        <v>PUNO</v>
      </c>
      <c r="AM572" s="164"/>
    </row>
    <row r="573" spans="1:39" ht="15.75" x14ac:dyDescent="0.2">
      <c r="B573" s="209"/>
      <c r="C573" s="209"/>
      <c r="D573" s="209"/>
      <c r="E573" s="209"/>
      <c r="F573" s="219"/>
      <c r="G573" s="219"/>
      <c r="H573" s="12" t="s">
        <v>800</v>
      </c>
      <c r="I573" s="305">
        <f t="shared" ref="I573:O573" si="415">I575</f>
        <v>0</v>
      </c>
      <c r="J573" s="305">
        <f t="shared" si="415"/>
        <v>0</v>
      </c>
      <c r="K573" s="305">
        <f t="shared" si="415"/>
        <v>0</v>
      </c>
      <c r="L573" s="305">
        <f t="shared" si="415"/>
        <v>0</v>
      </c>
      <c r="M573" s="305">
        <f t="shared" si="415"/>
        <v>0</v>
      </c>
      <c r="N573" s="305">
        <f t="shared" si="415"/>
        <v>0</v>
      </c>
      <c r="O573" s="305">
        <f t="shared" si="415"/>
        <v>0</v>
      </c>
      <c r="P573" s="303">
        <f>T573-N573</f>
        <v>0</v>
      </c>
      <c r="Q573" s="242"/>
      <c r="R573" s="242"/>
      <c r="S573" s="242"/>
      <c r="T573" s="305">
        <f>T575</f>
        <v>0</v>
      </c>
      <c r="U573" s="305">
        <f>U575</f>
        <v>0</v>
      </c>
      <c r="V573" s="301">
        <f>V575+V580</f>
        <v>500000</v>
      </c>
      <c r="W573" s="301">
        <f>W575+W580</f>
        <v>450000</v>
      </c>
      <c r="X573" s="301">
        <f>X575+X580</f>
        <v>400000</v>
      </c>
      <c r="Y573" s="301">
        <f>Y575+Y580</f>
        <v>0</v>
      </c>
      <c r="Z573" s="301">
        <f t="shared" si="401"/>
        <v>0</v>
      </c>
      <c r="AA573" s="301">
        <f t="shared" si="391"/>
        <v>-160000</v>
      </c>
      <c r="AB573" s="301">
        <f>AB575+AB580</f>
        <v>340000</v>
      </c>
      <c r="AC573" s="301">
        <f>AC575+AC580</f>
        <v>0</v>
      </c>
      <c r="AD573" s="301">
        <f t="shared" si="408"/>
        <v>0</v>
      </c>
      <c r="AE573" s="301">
        <f t="shared" si="413"/>
        <v>-298000</v>
      </c>
      <c r="AF573" s="301">
        <f>AF575+AF580</f>
        <v>42000</v>
      </c>
      <c r="AG573" s="301">
        <f>AG575+AG580</f>
        <v>0</v>
      </c>
      <c r="AH573" s="301">
        <f>AH575+AH580</f>
        <v>0</v>
      </c>
      <c r="AI573" s="301">
        <f>AI575+AI580</f>
        <v>0</v>
      </c>
      <c r="AJ573" s="162" t="b">
        <f t="shared" si="392"/>
        <v>1</v>
      </c>
      <c r="AK573" s="162" t="str">
        <f t="shared" si="393"/>
        <v>PRAZNO</v>
      </c>
      <c r="AM573" s="164"/>
    </row>
    <row r="574" spans="1:39" s="264" customFormat="1" ht="15.75" x14ac:dyDescent="0.2">
      <c r="A574" s="259"/>
      <c r="B574" s="177"/>
      <c r="C574" s="177"/>
      <c r="D574" s="177"/>
      <c r="E574" s="177"/>
      <c r="F574" s="265"/>
      <c r="G574" s="265"/>
      <c r="H574" s="441" t="s">
        <v>824</v>
      </c>
      <c r="I574" s="430"/>
      <c r="J574" s="430"/>
      <c r="K574" s="430"/>
      <c r="L574" s="430"/>
      <c r="M574" s="430"/>
      <c r="N574" s="430"/>
      <c r="O574" s="430"/>
      <c r="P574" s="445"/>
      <c r="Q574" s="178"/>
      <c r="R574" s="178"/>
      <c r="S574" s="178"/>
      <c r="T574" s="430"/>
      <c r="U574" s="430"/>
      <c r="V574" s="462">
        <f t="shared" ref="V574:AI577" si="416">V575</f>
        <v>250000</v>
      </c>
      <c r="W574" s="462">
        <f t="shared" si="416"/>
        <v>225000</v>
      </c>
      <c r="X574" s="462">
        <f t="shared" si="416"/>
        <v>200000</v>
      </c>
      <c r="Y574" s="462">
        <f t="shared" si="416"/>
        <v>0</v>
      </c>
      <c r="Z574" s="462">
        <f t="shared" si="401"/>
        <v>0</v>
      </c>
      <c r="AA574" s="462">
        <f t="shared" si="391"/>
        <v>-120000</v>
      </c>
      <c r="AB574" s="462">
        <f t="shared" si="416"/>
        <v>130000</v>
      </c>
      <c r="AC574" s="462">
        <f t="shared" si="416"/>
        <v>0</v>
      </c>
      <c r="AD574" s="462">
        <f t="shared" si="408"/>
        <v>0</v>
      </c>
      <c r="AE574" s="462">
        <f t="shared" si="413"/>
        <v>-114000</v>
      </c>
      <c r="AF574" s="462">
        <f t="shared" si="416"/>
        <v>16000</v>
      </c>
      <c r="AG574" s="462">
        <f t="shared" si="416"/>
        <v>0</v>
      </c>
      <c r="AH574" s="462">
        <f t="shared" si="416"/>
        <v>0</v>
      </c>
      <c r="AI574" s="462">
        <f t="shared" si="416"/>
        <v>0</v>
      </c>
      <c r="AJ574" s="162" t="b">
        <f t="shared" si="392"/>
        <v>1</v>
      </c>
      <c r="AK574" s="162" t="str">
        <f t="shared" si="393"/>
        <v>PRAZNO</v>
      </c>
      <c r="AL574" s="263"/>
    </row>
    <row r="575" spans="1:39" ht="15.75" x14ac:dyDescent="0.2">
      <c r="B575" s="172">
        <v>3</v>
      </c>
      <c r="C575" s="172"/>
      <c r="D575" s="172"/>
      <c r="E575" s="172"/>
      <c r="F575" s="220"/>
      <c r="G575" s="220"/>
      <c r="H575" s="14" t="s">
        <v>524</v>
      </c>
      <c r="I575" s="185">
        <f t="shared" ref="I575:O576" si="417">I576</f>
        <v>0</v>
      </c>
      <c r="J575" s="185">
        <f t="shared" si="417"/>
        <v>0</v>
      </c>
      <c r="K575" s="185">
        <f t="shared" si="417"/>
        <v>0</v>
      </c>
      <c r="L575" s="185">
        <f t="shared" si="417"/>
        <v>0</v>
      </c>
      <c r="M575" s="185">
        <f t="shared" si="417"/>
        <v>0</v>
      </c>
      <c r="N575" s="185">
        <f t="shared" si="417"/>
        <v>0</v>
      </c>
      <c r="O575" s="185">
        <f t="shared" si="417"/>
        <v>0</v>
      </c>
      <c r="P575" s="55">
        <f>T575-N575</f>
        <v>0</v>
      </c>
      <c r="Q575" s="184"/>
      <c r="R575" s="184"/>
      <c r="S575" s="184"/>
      <c r="T575" s="185">
        <f>T576</f>
        <v>0</v>
      </c>
      <c r="U575" s="185">
        <f>U576</f>
        <v>0</v>
      </c>
      <c r="V575" s="184">
        <f t="shared" si="416"/>
        <v>250000</v>
      </c>
      <c r="W575" s="184">
        <f t="shared" si="416"/>
        <v>225000</v>
      </c>
      <c r="X575" s="184">
        <f t="shared" si="416"/>
        <v>200000</v>
      </c>
      <c r="Y575" s="184">
        <f t="shared" si="416"/>
        <v>0</v>
      </c>
      <c r="Z575" s="184">
        <f t="shared" si="401"/>
        <v>0</v>
      </c>
      <c r="AA575" s="184">
        <f t="shared" si="391"/>
        <v>-120000</v>
      </c>
      <c r="AB575" s="184">
        <f t="shared" si="416"/>
        <v>130000</v>
      </c>
      <c r="AC575" s="184">
        <f t="shared" si="416"/>
        <v>0</v>
      </c>
      <c r="AD575" s="184">
        <f t="shared" si="408"/>
        <v>0</v>
      </c>
      <c r="AE575" s="184">
        <f t="shared" si="413"/>
        <v>-114000</v>
      </c>
      <c r="AF575" s="184">
        <f t="shared" si="416"/>
        <v>16000</v>
      </c>
      <c r="AG575" s="184">
        <f t="shared" si="416"/>
        <v>0</v>
      </c>
      <c r="AH575" s="184">
        <f t="shared" si="416"/>
        <v>0</v>
      </c>
      <c r="AI575" s="184">
        <f t="shared" si="416"/>
        <v>0</v>
      </c>
      <c r="AJ575" s="162" t="b">
        <f t="shared" si="392"/>
        <v>1</v>
      </c>
      <c r="AK575" s="162" t="str">
        <f t="shared" si="393"/>
        <v>PRAZNO</v>
      </c>
      <c r="AM575" s="164"/>
    </row>
    <row r="576" spans="1:39" ht="15.75" x14ac:dyDescent="0.2">
      <c r="B576" s="177"/>
      <c r="C576" s="177">
        <v>35</v>
      </c>
      <c r="D576" s="177"/>
      <c r="E576" s="177"/>
      <c r="F576" s="176"/>
      <c r="G576" s="176"/>
      <c r="H576" s="16" t="s">
        <v>749</v>
      </c>
      <c r="I576" s="27">
        <f t="shared" si="417"/>
        <v>0</v>
      </c>
      <c r="J576" s="27">
        <f t="shared" si="417"/>
        <v>0</v>
      </c>
      <c r="K576" s="27">
        <f t="shared" si="417"/>
        <v>0</v>
      </c>
      <c r="L576" s="27">
        <f t="shared" si="417"/>
        <v>0</v>
      </c>
      <c r="M576" s="27">
        <f t="shared" si="417"/>
        <v>0</v>
      </c>
      <c r="N576" s="27">
        <f t="shared" si="417"/>
        <v>0</v>
      </c>
      <c r="O576" s="27">
        <f t="shared" si="417"/>
        <v>0</v>
      </c>
      <c r="P576" s="26">
        <f>T576-N576</f>
        <v>0</v>
      </c>
      <c r="Q576" s="18"/>
      <c r="R576" s="18"/>
      <c r="S576" s="18"/>
      <c r="T576" s="27">
        <f>T577</f>
        <v>0</v>
      </c>
      <c r="U576" s="27">
        <f>U577</f>
        <v>0</v>
      </c>
      <c r="V576" s="18">
        <f t="shared" si="416"/>
        <v>250000</v>
      </c>
      <c r="W576" s="18">
        <f t="shared" si="416"/>
        <v>225000</v>
      </c>
      <c r="X576" s="18">
        <f t="shared" si="416"/>
        <v>200000</v>
      </c>
      <c r="Y576" s="18">
        <f t="shared" si="416"/>
        <v>0</v>
      </c>
      <c r="Z576" s="18">
        <f t="shared" si="401"/>
        <v>0</v>
      </c>
      <c r="AA576" s="18">
        <f t="shared" si="391"/>
        <v>-120000</v>
      </c>
      <c r="AB576" s="18">
        <f t="shared" si="416"/>
        <v>130000</v>
      </c>
      <c r="AC576" s="18">
        <f t="shared" si="416"/>
        <v>0</v>
      </c>
      <c r="AD576" s="18">
        <f t="shared" si="408"/>
        <v>0</v>
      </c>
      <c r="AE576" s="18">
        <f t="shared" si="413"/>
        <v>-114000</v>
      </c>
      <c r="AF576" s="18">
        <f t="shared" si="416"/>
        <v>16000</v>
      </c>
      <c r="AG576" s="18">
        <f t="shared" si="416"/>
        <v>0</v>
      </c>
      <c r="AH576" s="18">
        <f t="shared" si="416"/>
        <v>0</v>
      </c>
      <c r="AI576" s="18">
        <f t="shared" si="416"/>
        <v>0</v>
      </c>
      <c r="AJ576" s="162" t="b">
        <f t="shared" si="392"/>
        <v>1</v>
      </c>
      <c r="AK576" s="162" t="str">
        <f t="shared" si="393"/>
        <v>PRAZNO</v>
      </c>
      <c r="AM576" s="164"/>
    </row>
    <row r="577" spans="1:39" ht="30" x14ac:dyDescent="0.2">
      <c r="B577" s="177"/>
      <c r="C577" s="177"/>
      <c r="D577" s="177">
        <v>352</v>
      </c>
      <c r="E577" s="177"/>
      <c r="F577" s="176"/>
      <c r="G577" s="176"/>
      <c r="H577" s="16" t="s">
        <v>748</v>
      </c>
      <c r="I577" s="27">
        <f t="shared" ref="I577:O577" si="418">I578+I583</f>
        <v>0</v>
      </c>
      <c r="J577" s="27">
        <f t="shared" si="418"/>
        <v>0</v>
      </c>
      <c r="K577" s="27">
        <f t="shared" si="418"/>
        <v>0</v>
      </c>
      <c r="L577" s="27">
        <f t="shared" si="418"/>
        <v>0</v>
      </c>
      <c r="M577" s="27">
        <f t="shared" si="418"/>
        <v>0</v>
      </c>
      <c r="N577" s="27">
        <f t="shared" si="418"/>
        <v>0</v>
      </c>
      <c r="O577" s="27">
        <f t="shared" si="418"/>
        <v>0</v>
      </c>
      <c r="P577" s="26">
        <f>T577-N577</f>
        <v>0</v>
      </c>
      <c r="Q577" s="18"/>
      <c r="R577" s="18"/>
      <c r="S577" s="18"/>
      <c r="T577" s="27">
        <f>T578+T583</f>
        <v>0</v>
      </c>
      <c r="U577" s="27">
        <f>U578+U583</f>
        <v>0</v>
      </c>
      <c r="V577" s="18">
        <f t="shared" si="416"/>
        <v>250000</v>
      </c>
      <c r="W577" s="18">
        <f t="shared" si="416"/>
        <v>225000</v>
      </c>
      <c r="X577" s="18">
        <f t="shared" si="416"/>
        <v>200000</v>
      </c>
      <c r="Y577" s="18">
        <f t="shared" si="416"/>
        <v>0</v>
      </c>
      <c r="Z577" s="18">
        <f t="shared" si="401"/>
        <v>0</v>
      </c>
      <c r="AA577" s="18">
        <f t="shared" si="391"/>
        <v>-120000</v>
      </c>
      <c r="AB577" s="18">
        <f t="shared" si="416"/>
        <v>130000</v>
      </c>
      <c r="AC577" s="18">
        <f t="shared" si="416"/>
        <v>0</v>
      </c>
      <c r="AD577" s="18">
        <f t="shared" si="408"/>
        <v>0</v>
      </c>
      <c r="AE577" s="18">
        <f t="shared" si="413"/>
        <v>-114000</v>
      </c>
      <c r="AF577" s="18">
        <f t="shared" si="416"/>
        <v>16000</v>
      </c>
      <c r="AG577" s="18">
        <f t="shared" si="416"/>
        <v>0</v>
      </c>
      <c r="AH577" s="18">
        <f t="shared" si="416"/>
        <v>0</v>
      </c>
      <c r="AI577" s="18">
        <f t="shared" si="416"/>
        <v>0</v>
      </c>
      <c r="AJ577" s="162" t="b">
        <f t="shared" si="392"/>
        <v>1</v>
      </c>
      <c r="AK577" s="162" t="str">
        <f t="shared" si="393"/>
        <v>PRAZNO</v>
      </c>
      <c r="AM577" s="164"/>
    </row>
    <row r="578" spans="1:39" ht="15.75" x14ac:dyDescent="0.2">
      <c r="B578" s="177"/>
      <c r="C578" s="177"/>
      <c r="D578" s="177"/>
      <c r="E578" s="177">
        <v>3523</v>
      </c>
      <c r="F578" s="176">
        <v>14</v>
      </c>
      <c r="G578" s="176"/>
      <c r="H578" s="16" t="s">
        <v>324</v>
      </c>
      <c r="I578" s="27">
        <v>0</v>
      </c>
      <c r="J578" s="27">
        <v>0</v>
      </c>
      <c r="K578" s="27">
        <v>0</v>
      </c>
      <c r="L578" s="27">
        <v>0</v>
      </c>
      <c r="M578" s="27">
        <v>0</v>
      </c>
      <c r="N578" s="27">
        <v>0</v>
      </c>
      <c r="O578" s="27">
        <v>0</v>
      </c>
      <c r="P578" s="26">
        <f>T578-N578</f>
        <v>0</v>
      </c>
      <c r="Q578" s="18"/>
      <c r="R578" s="18"/>
      <c r="S578" s="18"/>
      <c r="T578" s="27">
        <v>0</v>
      </c>
      <c r="U578" s="27">
        <v>0</v>
      </c>
      <c r="V578" s="18">
        <v>250000</v>
      </c>
      <c r="W578" s="18">
        <v>225000</v>
      </c>
      <c r="X578" s="18">
        <v>200000</v>
      </c>
      <c r="Y578" s="18">
        <v>0</v>
      </c>
      <c r="Z578" s="18">
        <f t="shared" si="401"/>
        <v>0</v>
      </c>
      <c r="AA578" s="18">
        <f t="shared" si="391"/>
        <v>-120000</v>
      </c>
      <c r="AB578" s="18">
        <v>130000</v>
      </c>
      <c r="AC578" s="18">
        <v>0</v>
      </c>
      <c r="AD578" s="18">
        <f t="shared" si="408"/>
        <v>0</v>
      </c>
      <c r="AE578" s="18">
        <f t="shared" si="413"/>
        <v>-114000</v>
      </c>
      <c r="AF578" s="18">
        <v>16000</v>
      </c>
      <c r="AG578" s="18"/>
      <c r="AH578" s="18"/>
      <c r="AI578" s="18"/>
      <c r="AJ578" s="162" t="b">
        <f t="shared" si="392"/>
        <v>0</v>
      </c>
      <c r="AK578" s="162" t="str">
        <f t="shared" si="393"/>
        <v>PUNO</v>
      </c>
      <c r="AM578" s="164"/>
    </row>
    <row r="579" spans="1:39" s="453" customFormat="1" ht="15.75" x14ac:dyDescent="0.25">
      <c r="A579" s="378"/>
      <c r="B579" s="260"/>
      <c r="C579" s="260"/>
      <c r="D579" s="260"/>
      <c r="E579" s="260"/>
      <c r="F579" s="448"/>
      <c r="G579" s="448"/>
      <c r="H579" s="440" t="s">
        <v>825</v>
      </c>
      <c r="I579" s="450"/>
      <c r="J579" s="450"/>
      <c r="K579" s="450"/>
      <c r="L579" s="450"/>
      <c r="M579" s="450"/>
      <c r="N579" s="450"/>
      <c r="O579" s="450"/>
      <c r="P579" s="202"/>
      <c r="Q579" s="449"/>
      <c r="R579" s="449"/>
      <c r="S579" s="449"/>
      <c r="T579" s="450"/>
      <c r="U579" s="450"/>
      <c r="V579" s="449">
        <f t="shared" ref="V579:AI582" si="419">V580</f>
        <v>250000</v>
      </c>
      <c r="W579" s="449">
        <f t="shared" si="419"/>
        <v>225000</v>
      </c>
      <c r="X579" s="449">
        <f t="shared" si="419"/>
        <v>200000</v>
      </c>
      <c r="Y579" s="449">
        <f t="shared" si="419"/>
        <v>0</v>
      </c>
      <c r="Z579" s="449">
        <f t="shared" si="401"/>
        <v>0</v>
      </c>
      <c r="AA579" s="449">
        <f t="shared" si="391"/>
        <v>-40000</v>
      </c>
      <c r="AB579" s="449">
        <f t="shared" si="419"/>
        <v>210000</v>
      </c>
      <c r="AC579" s="449">
        <f t="shared" si="419"/>
        <v>0</v>
      </c>
      <c r="AD579" s="449">
        <f t="shared" si="408"/>
        <v>0</v>
      </c>
      <c r="AE579" s="449">
        <f t="shared" si="413"/>
        <v>-184000</v>
      </c>
      <c r="AF579" s="449">
        <f t="shared" si="419"/>
        <v>26000</v>
      </c>
      <c r="AG579" s="449">
        <f t="shared" si="419"/>
        <v>0</v>
      </c>
      <c r="AH579" s="449">
        <f t="shared" si="419"/>
        <v>0</v>
      </c>
      <c r="AI579" s="449">
        <f t="shared" si="419"/>
        <v>0</v>
      </c>
      <c r="AJ579" s="162" t="b">
        <f t="shared" si="392"/>
        <v>1</v>
      </c>
      <c r="AK579" s="162" t="str">
        <f t="shared" si="393"/>
        <v>PRAZNO</v>
      </c>
      <c r="AL579" s="452"/>
      <c r="AM579" s="287"/>
    </row>
    <row r="580" spans="1:39" s="174" customFormat="1" ht="15.75" x14ac:dyDescent="0.2">
      <c r="A580" s="259"/>
      <c r="B580" s="172">
        <v>3</v>
      </c>
      <c r="C580" s="172"/>
      <c r="D580" s="172"/>
      <c r="E580" s="172"/>
      <c r="F580" s="220"/>
      <c r="G580" s="220"/>
      <c r="H580" s="14" t="s">
        <v>524</v>
      </c>
      <c r="I580" s="185"/>
      <c r="J580" s="185"/>
      <c r="K580" s="185"/>
      <c r="L580" s="185"/>
      <c r="M580" s="185"/>
      <c r="N580" s="185"/>
      <c r="O580" s="185"/>
      <c r="P580" s="55"/>
      <c r="Q580" s="184"/>
      <c r="R580" s="184"/>
      <c r="S580" s="184"/>
      <c r="T580" s="185"/>
      <c r="U580" s="185"/>
      <c r="V580" s="184">
        <f t="shared" si="419"/>
        <v>250000</v>
      </c>
      <c r="W580" s="184">
        <f t="shared" si="419"/>
        <v>225000</v>
      </c>
      <c r="X580" s="184">
        <f t="shared" si="419"/>
        <v>200000</v>
      </c>
      <c r="Y580" s="184">
        <f t="shared" si="419"/>
        <v>0</v>
      </c>
      <c r="Z580" s="184">
        <f t="shared" si="401"/>
        <v>0</v>
      </c>
      <c r="AA580" s="184">
        <f t="shared" si="391"/>
        <v>-40000</v>
      </c>
      <c r="AB580" s="184">
        <f t="shared" si="419"/>
        <v>210000</v>
      </c>
      <c r="AC580" s="184">
        <f t="shared" si="419"/>
        <v>0</v>
      </c>
      <c r="AD580" s="184">
        <f t="shared" si="408"/>
        <v>0</v>
      </c>
      <c r="AE580" s="184">
        <f t="shared" si="413"/>
        <v>-184000</v>
      </c>
      <c r="AF580" s="184">
        <f t="shared" si="419"/>
        <v>26000</v>
      </c>
      <c r="AG580" s="184">
        <f t="shared" si="419"/>
        <v>0</v>
      </c>
      <c r="AH580" s="184">
        <f t="shared" si="419"/>
        <v>0</v>
      </c>
      <c r="AI580" s="184">
        <f t="shared" si="419"/>
        <v>0</v>
      </c>
      <c r="AJ580" s="162" t="b">
        <f t="shared" si="392"/>
        <v>1</v>
      </c>
      <c r="AK580" s="162" t="str">
        <f t="shared" si="393"/>
        <v>PRAZNO</v>
      </c>
      <c r="AL580" s="173"/>
    </row>
    <row r="581" spans="1:39" ht="15.75" x14ac:dyDescent="0.2">
      <c r="B581" s="177"/>
      <c r="C581" s="177">
        <v>35</v>
      </c>
      <c r="D581" s="177"/>
      <c r="E581" s="177"/>
      <c r="F581" s="176"/>
      <c r="G581" s="176"/>
      <c r="H581" s="16" t="s">
        <v>749</v>
      </c>
      <c r="I581" s="27"/>
      <c r="J581" s="27"/>
      <c r="K581" s="27"/>
      <c r="L581" s="27"/>
      <c r="M581" s="27"/>
      <c r="N581" s="27"/>
      <c r="O581" s="27"/>
      <c r="P581" s="26"/>
      <c r="Q581" s="18"/>
      <c r="R581" s="18"/>
      <c r="S581" s="18"/>
      <c r="T581" s="27"/>
      <c r="U581" s="27"/>
      <c r="V581" s="18">
        <f t="shared" si="419"/>
        <v>250000</v>
      </c>
      <c r="W581" s="18">
        <f t="shared" si="419"/>
        <v>225000</v>
      </c>
      <c r="X581" s="18">
        <f t="shared" si="419"/>
        <v>200000</v>
      </c>
      <c r="Y581" s="18">
        <f t="shared" si="419"/>
        <v>0</v>
      </c>
      <c r="Z581" s="18">
        <f t="shared" si="401"/>
        <v>0</v>
      </c>
      <c r="AA581" s="18">
        <f t="shared" si="391"/>
        <v>-40000</v>
      </c>
      <c r="AB581" s="18">
        <f t="shared" si="419"/>
        <v>210000</v>
      </c>
      <c r="AC581" s="18">
        <f t="shared" si="419"/>
        <v>0</v>
      </c>
      <c r="AD581" s="18">
        <f t="shared" si="408"/>
        <v>0</v>
      </c>
      <c r="AE581" s="18">
        <f t="shared" si="413"/>
        <v>-184000</v>
      </c>
      <c r="AF581" s="18">
        <f t="shared" si="419"/>
        <v>26000</v>
      </c>
      <c r="AG581" s="18">
        <f t="shared" si="419"/>
        <v>0</v>
      </c>
      <c r="AH581" s="18">
        <f t="shared" si="419"/>
        <v>0</v>
      </c>
      <c r="AI581" s="18">
        <f t="shared" si="419"/>
        <v>0</v>
      </c>
      <c r="AJ581" s="162" t="b">
        <f t="shared" si="392"/>
        <v>1</v>
      </c>
      <c r="AK581" s="162" t="str">
        <f t="shared" si="393"/>
        <v>PRAZNO</v>
      </c>
      <c r="AM581" s="164"/>
    </row>
    <row r="582" spans="1:39" ht="30" x14ac:dyDescent="0.2">
      <c r="B582" s="177"/>
      <c r="C582" s="177"/>
      <c r="D582" s="177">
        <v>352</v>
      </c>
      <c r="E582" s="177"/>
      <c r="F582" s="176"/>
      <c r="G582" s="176"/>
      <c r="H582" s="16" t="s">
        <v>748</v>
      </c>
      <c r="I582" s="27"/>
      <c r="J582" s="27"/>
      <c r="K582" s="27"/>
      <c r="L582" s="27"/>
      <c r="M582" s="27"/>
      <c r="N582" s="27"/>
      <c r="O582" s="27"/>
      <c r="P582" s="26"/>
      <c r="Q582" s="18"/>
      <c r="R582" s="18"/>
      <c r="S582" s="18"/>
      <c r="T582" s="27"/>
      <c r="U582" s="27"/>
      <c r="V582" s="18">
        <f t="shared" si="419"/>
        <v>250000</v>
      </c>
      <c r="W582" s="18">
        <f t="shared" si="419"/>
        <v>225000</v>
      </c>
      <c r="X582" s="18">
        <f t="shared" si="419"/>
        <v>200000</v>
      </c>
      <c r="Y582" s="18">
        <f t="shared" si="419"/>
        <v>0</v>
      </c>
      <c r="Z582" s="18">
        <f t="shared" si="401"/>
        <v>0</v>
      </c>
      <c r="AA582" s="18">
        <f t="shared" si="391"/>
        <v>-40000</v>
      </c>
      <c r="AB582" s="18">
        <f t="shared" si="419"/>
        <v>210000</v>
      </c>
      <c r="AC582" s="18">
        <f t="shared" si="419"/>
        <v>0</v>
      </c>
      <c r="AD582" s="18">
        <f t="shared" si="408"/>
        <v>0</v>
      </c>
      <c r="AE582" s="18">
        <f t="shared" si="413"/>
        <v>-184000</v>
      </c>
      <c r="AF582" s="18">
        <f t="shared" si="419"/>
        <v>26000</v>
      </c>
      <c r="AG582" s="18">
        <f t="shared" si="419"/>
        <v>0</v>
      </c>
      <c r="AH582" s="18">
        <f t="shared" si="419"/>
        <v>0</v>
      </c>
      <c r="AI582" s="18">
        <f t="shared" si="419"/>
        <v>0</v>
      </c>
      <c r="AJ582" s="162" t="b">
        <f t="shared" si="392"/>
        <v>1</v>
      </c>
      <c r="AK582" s="162" t="str">
        <f t="shared" si="393"/>
        <v>PRAZNO</v>
      </c>
      <c r="AM582" s="164"/>
    </row>
    <row r="583" spans="1:39" ht="15.75" x14ac:dyDescent="0.2">
      <c r="B583" s="177"/>
      <c r="C583" s="177"/>
      <c r="D583" s="177"/>
      <c r="E583" s="177">
        <v>3523</v>
      </c>
      <c r="F583" s="176">
        <v>52</v>
      </c>
      <c r="G583" s="176"/>
      <c r="H583" s="16" t="s">
        <v>324</v>
      </c>
      <c r="I583" s="464">
        <v>0</v>
      </c>
      <c r="J583" s="464">
        <v>0</v>
      </c>
      <c r="K583" s="464">
        <v>0</v>
      </c>
      <c r="L583" s="464">
        <v>0</v>
      </c>
      <c r="M583" s="464">
        <v>0</v>
      </c>
      <c r="N583" s="464">
        <v>0</v>
      </c>
      <c r="O583" s="464">
        <v>0</v>
      </c>
      <c r="P583" s="465">
        <f>T583-N583</f>
        <v>0</v>
      </c>
      <c r="Q583" s="463"/>
      <c r="R583" s="463"/>
      <c r="S583" s="463"/>
      <c r="T583" s="464">
        <v>0</v>
      </c>
      <c r="U583" s="464">
        <v>0</v>
      </c>
      <c r="V583" s="217">
        <v>250000</v>
      </c>
      <c r="W583" s="463">
        <v>225000</v>
      </c>
      <c r="X583" s="18">
        <v>200000</v>
      </c>
      <c r="Y583" s="217">
        <v>0</v>
      </c>
      <c r="Z583" s="628">
        <f t="shared" si="401"/>
        <v>0</v>
      </c>
      <c r="AA583" s="217">
        <f t="shared" si="391"/>
        <v>-40000</v>
      </c>
      <c r="AB583" s="628">
        <v>210000</v>
      </c>
      <c r="AC583" s="628">
        <v>0</v>
      </c>
      <c r="AD583" s="628">
        <f t="shared" si="408"/>
        <v>0</v>
      </c>
      <c r="AE583" s="628">
        <f t="shared" si="413"/>
        <v>-184000</v>
      </c>
      <c r="AF583" s="628">
        <v>26000</v>
      </c>
      <c r="AG583" s="628"/>
      <c r="AH583" s="628"/>
      <c r="AI583" s="628"/>
      <c r="AJ583" s="162" t="b">
        <f t="shared" si="392"/>
        <v>0</v>
      </c>
      <c r="AK583" s="162" t="str">
        <f t="shared" si="393"/>
        <v>PUNO</v>
      </c>
      <c r="AM583" s="164"/>
    </row>
    <row r="584" spans="1:39" ht="15.75" x14ac:dyDescent="0.2">
      <c r="B584" s="209"/>
      <c r="C584" s="209"/>
      <c r="D584" s="209"/>
      <c r="E584" s="209"/>
      <c r="F584" s="219"/>
      <c r="G584" s="219"/>
      <c r="H584" s="12" t="s">
        <v>312</v>
      </c>
      <c r="I584" s="464"/>
      <c r="J584" s="464"/>
      <c r="K584" s="464"/>
      <c r="L584" s="464"/>
      <c r="M584" s="464"/>
      <c r="N584" s="464"/>
      <c r="O584" s="464"/>
      <c r="P584" s="465"/>
      <c r="Q584" s="463"/>
      <c r="R584" s="463"/>
      <c r="S584" s="463"/>
      <c r="T584" s="464"/>
      <c r="U584" s="305">
        <f>U586</f>
        <v>0</v>
      </c>
      <c r="V584" s="301">
        <f>V586+V591</f>
        <v>0</v>
      </c>
      <c r="W584" s="301">
        <f>W586+W591</f>
        <v>0</v>
      </c>
      <c r="X584" s="301">
        <f>X586+X591</f>
        <v>0</v>
      </c>
      <c r="Y584" s="301">
        <f>Y586+Y591</f>
        <v>0</v>
      </c>
      <c r="Z584" s="301" t="e">
        <f>ROUND(Y584/V584*100,2)</f>
        <v>#DIV/0!</v>
      </c>
      <c r="AA584" s="301">
        <f>AB584-V584</f>
        <v>0</v>
      </c>
      <c r="AB584" s="301">
        <f>AB586+AB591</f>
        <v>0</v>
      </c>
      <c r="AC584" s="301">
        <f>AC586+AC591</f>
        <v>0</v>
      </c>
      <c r="AD584" s="301" t="e">
        <f>AC584/AB584*100</f>
        <v>#DIV/0!</v>
      </c>
      <c r="AE584" s="301">
        <f>AF584-AB584</f>
        <v>0</v>
      </c>
      <c r="AF584" s="301">
        <f>AF586+AF591</f>
        <v>0</v>
      </c>
      <c r="AG584" s="301">
        <f>AG586+AG591</f>
        <v>100000</v>
      </c>
      <c r="AH584" s="301">
        <f>AH586+AH591</f>
        <v>0</v>
      </c>
      <c r="AI584" s="301">
        <f>AI586+AI591</f>
        <v>0</v>
      </c>
      <c r="AJ584" s="162" t="b">
        <f t="shared" si="392"/>
        <v>1</v>
      </c>
      <c r="AK584" s="162" t="str">
        <f t="shared" si="393"/>
        <v>PRAZNO</v>
      </c>
      <c r="AM584" s="164"/>
    </row>
    <row r="585" spans="1:39" ht="15.75" x14ac:dyDescent="0.2">
      <c r="B585" s="177"/>
      <c r="C585" s="177"/>
      <c r="D585" s="177"/>
      <c r="E585" s="177"/>
      <c r="F585" s="265"/>
      <c r="G585" s="265"/>
      <c r="H585" s="441" t="s">
        <v>824</v>
      </c>
      <c r="I585" s="464"/>
      <c r="J585" s="464"/>
      <c r="K585" s="464"/>
      <c r="L585" s="464"/>
      <c r="M585" s="464"/>
      <c r="N585" s="464"/>
      <c r="O585" s="464"/>
      <c r="P585" s="465"/>
      <c r="Q585" s="463"/>
      <c r="R585" s="463"/>
      <c r="S585" s="463"/>
      <c r="T585" s="464"/>
      <c r="U585" s="430"/>
      <c r="V585" s="462">
        <f t="shared" ref="V585:AI588" si="420">V586</f>
        <v>0</v>
      </c>
      <c r="W585" s="462">
        <f t="shared" si="420"/>
        <v>0</v>
      </c>
      <c r="X585" s="462">
        <f t="shared" si="420"/>
        <v>0</v>
      </c>
      <c r="Y585" s="462">
        <f t="shared" si="420"/>
        <v>0</v>
      </c>
      <c r="Z585" s="462" t="e">
        <f>ROUND(Y585/V585*100,2)</f>
        <v>#DIV/0!</v>
      </c>
      <c r="AA585" s="462">
        <f>AB585-V585</f>
        <v>0</v>
      </c>
      <c r="AB585" s="462">
        <f t="shared" si="420"/>
        <v>0</v>
      </c>
      <c r="AC585" s="462">
        <f t="shared" si="420"/>
        <v>0</v>
      </c>
      <c r="AD585" s="462" t="e">
        <f>AC585/AB585*100</f>
        <v>#DIV/0!</v>
      </c>
      <c r="AE585" s="462">
        <f>AF585-AB585</f>
        <v>0</v>
      </c>
      <c r="AF585" s="462">
        <f t="shared" si="420"/>
        <v>0</v>
      </c>
      <c r="AG585" s="462">
        <f t="shared" si="420"/>
        <v>34000</v>
      </c>
      <c r="AH585" s="462">
        <f t="shared" si="420"/>
        <v>0</v>
      </c>
      <c r="AI585" s="462">
        <f t="shared" si="420"/>
        <v>0</v>
      </c>
      <c r="AJ585" s="162" t="b">
        <f t="shared" ref="AJ585:AJ648" si="421">ISBLANK(E585)</f>
        <v>1</v>
      </c>
      <c r="AK585" s="162" t="str">
        <f t="shared" ref="AK585:AK648" si="422">IF(AJ585,"PRAZNO","PUNO")</f>
        <v>PRAZNO</v>
      </c>
      <c r="AM585" s="164"/>
    </row>
    <row r="586" spans="1:39" ht="15.75" x14ac:dyDescent="0.2">
      <c r="B586" s="172">
        <v>3</v>
      </c>
      <c r="C586" s="172"/>
      <c r="D586" s="172"/>
      <c r="E586" s="172"/>
      <c r="F586" s="220"/>
      <c r="G586" s="220"/>
      <c r="H586" s="14" t="s">
        <v>524</v>
      </c>
      <c r="I586" s="464"/>
      <c r="J586" s="464"/>
      <c r="K586" s="464"/>
      <c r="L586" s="464"/>
      <c r="M586" s="464"/>
      <c r="N586" s="464"/>
      <c r="O586" s="464"/>
      <c r="P586" s="465"/>
      <c r="Q586" s="463"/>
      <c r="R586" s="463"/>
      <c r="S586" s="463"/>
      <c r="T586" s="464"/>
      <c r="U586" s="185">
        <f>U587</f>
        <v>0</v>
      </c>
      <c r="V586" s="184">
        <f t="shared" si="420"/>
        <v>0</v>
      </c>
      <c r="W586" s="184">
        <f t="shared" si="420"/>
        <v>0</v>
      </c>
      <c r="X586" s="184">
        <f t="shared" si="420"/>
        <v>0</v>
      </c>
      <c r="Y586" s="184">
        <f t="shared" si="420"/>
        <v>0</v>
      </c>
      <c r="Z586" s="184" t="e">
        <f>ROUND(Y586/V586*100,2)</f>
        <v>#DIV/0!</v>
      </c>
      <c r="AA586" s="184">
        <f>AB586-V586</f>
        <v>0</v>
      </c>
      <c r="AB586" s="184">
        <f t="shared" si="420"/>
        <v>0</v>
      </c>
      <c r="AC586" s="184">
        <f t="shared" si="420"/>
        <v>0</v>
      </c>
      <c r="AD586" s="184" t="e">
        <f>AC586/AB586*100</f>
        <v>#DIV/0!</v>
      </c>
      <c r="AE586" s="184">
        <f>AF586-AB586</f>
        <v>0</v>
      </c>
      <c r="AF586" s="184">
        <f t="shared" si="420"/>
        <v>0</v>
      </c>
      <c r="AG586" s="184">
        <f t="shared" si="420"/>
        <v>34000</v>
      </c>
      <c r="AH586" s="184">
        <f t="shared" si="420"/>
        <v>0</v>
      </c>
      <c r="AI586" s="184">
        <f t="shared" si="420"/>
        <v>0</v>
      </c>
      <c r="AJ586" s="162" t="b">
        <f t="shared" si="421"/>
        <v>1</v>
      </c>
      <c r="AK586" s="162" t="str">
        <f t="shared" si="422"/>
        <v>PRAZNO</v>
      </c>
      <c r="AM586" s="164"/>
    </row>
    <row r="587" spans="1:39" ht="15.75" x14ac:dyDescent="0.2">
      <c r="B587" s="177"/>
      <c r="C587" s="177">
        <v>35</v>
      </c>
      <c r="D587" s="177"/>
      <c r="E587" s="177"/>
      <c r="F587" s="176"/>
      <c r="G587" s="176"/>
      <c r="H587" s="16" t="s">
        <v>749</v>
      </c>
      <c r="I587" s="464"/>
      <c r="J587" s="464"/>
      <c r="K587" s="464"/>
      <c r="L587" s="464"/>
      <c r="M587" s="464"/>
      <c r="N587" s="464"/>
      <c r="O587" s="464"/>
      <c r="P587" s="465"/>
      <c r="Q587" s="463"/>
      <c r="R587" s="463"/>
      <c r="S587" s="463"/>
      <c r="T587" s="464"/>
      <c r="U587" s="27">
        <f>U588</f>
        <v>0</v>
      </c>
      <c r="V587" s="18">
        <f t="shared" si="420"/>
        <v>0</v>
      </c>
      <c r="W587" s="18">
        <f t="shared" si="420"/>
        <v>0</v>
      </c>
      <c r="X587" s="18">
        <f t="shared" si="420"/>
        <v>0</v>
      </c>
      <c r="Y587" s="18">
        <f t="shared" si="420"/>
        <v>0</v>
      </c>
      <c r="Z587" s="18" t="e">
        <f>ROUND(Y587/V587*100,2)</f>
        <v>#DIV/0!</v>
      </c>
      <c r="AA587" s="18">
        <f>AB587-V587</f>
        <v>0</v>
      </c>
      <c r="AB587" s="18">
        <f t="shared" si="420"/>
        <v>0</v>
      </c>
      <c r="AC587" s="18">
        <f t="shared" si="420"/>
        <v>0</v>
      </c>
      <c r="AD587" s="18" t="e">
        <f>AC587/AB587*100</f>
        <v>#DIV/0!</v>
      </c>
      <c r="AE587" s="18">
        <f>AF587-AB587</f>
        <v>0</v>
      </c>
      <c r="AF587" s="18">
        <f t="shared" si="420"/>
        <v>0</v>
      </c>
      <c r="AG587" s="18">
        <f t="shared" si="420"/>
        <v>34000</v>
      </c>
      <c r="AH587" s="18">
        <f t="shared" si="420"/>
        <v>0</v>
      </c>
      <c r="AI587" s="18">
        <f t="shared" si="420"/>
        <v>0</v>
      </c>
      <c r="AJ587" s="162" t="b">
        <f t="shared" si="421"/>
        <v>1</v>
      </c>
      <c r="AK587" s="162" t="str">
        <f t="shared" si="422"/>
        <v>PRAZNO</v>
      </c>
      <c r="AM587" s="164"/>
    </row>
    <row r="588" spans="1:39" ht="30" x14ac:dyDescent="0.2">
      <c r="B588" s="177"/>
      <c r="C588" s="177"/>
      <c r="D588" s="177">
        <v>352</v>
      </c>
      <c r="E588" s="177"/>
      <c r="F588" s="176"/>
      <c r="G588" s="176"/>
      <c r="H588" s="16" t="s">
        <v>748</v>
      </c>
      <c r="I588" s="464"/>
      <c r="J588" s="464"/>
      <c r="K588" s="464"/>
      <c r="L588" s="464"/>
      <c r="M588" s="464"/>
      <c r="N588" s="464"/>
      <c r="O588" s="464"/>
      <c r="P588" s="465"/>
      <c r="Q588" s="463"/>
      <c r="R588" s="463"/>
      <c r="S588" s="463"/>
      <c r="T588" s="464"/>
      <c r="U588" s="27">
        <f>U589+U594</f>
        <v>0</v>
      </c>
      <c r="V588" s="18">
        <f t="shared" si="420"/>
        <v>0</v>
      </c>
      <c r="W588" s="18">
        <f t="shared" si="420"/>
        <v>0</v>
      </c>
      <c r="X588" s="18">
        <f t="shared" si="420"/>
        <v>0</v>
      </c>
      <c r="Y588" s="18">
        <f t="shared" si="420"/>
        <v>0</v>
      </c>
      <c r="Z588" s="18" t="e">
        <f>ROUND(Y588/V588*100,2)</f>
        <v>#DIV/0!</v>
      </c>
      <c r="AA588" s="18">
        <f>AB588-V588</f>
        <v>0</v>
      </c>
      <c r="AB588" s="18">
        <f t="shared" si="420"/>
        <v>0</v>
      </c>
      <c r="AC588" s="18">
        <f t="shared" si="420"/>
        <v>0</v>
      </c>
      <c r="AD588" s="18" t="e">
        <f>AC588/AB588*100</f>
        <v>#DIV/0!</v>
      </c>
      <c r="AE588" s="18">
        <f>AF588-AB588</f>
        <v>0</v>
      </c>
      <c r="AF588" s="18">
        <f t="shared" si="420"/>
        <v>0</v>
      </c>
      <c r="AG588" s="18">
        <f t="shared" si="420"/>
        <v>34000</v>
      </c>
      <c r="AH588" s="18">
        <f t="shared" si="420"/>
        <v>0</v>
      </c>
      <c r="AI588" s="18">
        <f t="shared" si="420"/>
        <v>0</v>
      </c>
      <c r="AJ588" s="162" t="b">
        <f t="shared" si="421"/>
        <v>1</v>
      </c>
      <c r="AK588" s="162" t="str">
        <f t="shared" si="422"/>
        <v>PRAZNO</v>
      </c>
      <c r="AM588" s="164"/>
    </row>
    <row r="589" spans="1:39" ht="15.75" x14ac:dyDescent="0.2">
      <c r="B589" s="177"/>
      <c r="C589" s="177"/>
      <c r="D589" s="177"/>
      <c r="E589" s="177">
        <v>3523</v>
      </c>
      <c r="F589" s="176">
        <v>14</v>
      </c>
      <c r="G589" s="176"/>
      <c r="H589" s="16" t="s">
        <v>324</v>
      </c>
      <c r="I589" s="464"/>
      <c r="J589" s="464"/>
      <c r="K589" s="464"/>
      <c r="L589" s="464"/>
      <c r="M589" s="464"/>
      <c r="N589" s="464"/>
      <c r="O589" s="464"/>
      <c r="P589" s="465"/>
      <c r="Q589" s="463"/>
      <c r="R589" s="463"/>
      <c r="S589" s="463"/>
      <c r="T589" s="464"/>
      <c r="U589" s="464"/>
      <c r="W589" s="463"/>
      <c r="X589" s="18"/>
      <c r="Z589" s="628"/>
      <c r="AB589" s="628"/>
      <c r="AC589" s="628"/>
      <c r="AD589" s="628"/>
      <c r="AE589" s="628"/>
      <c r="AF589" s="628"/>
      <c r="AG589" s="628">
        <v>34000</v>
      </c>
      <c r="AH589" s="628">
        <v>0</v>
      </c>
      <c r="AI589" s="628">
        <v>0</v>
      </c>
      <c r="AJ589" s="162" t="b">
        <f t="shared" si="421"/>
        <v>0</v>
      </c>
      <c r="AK589" s="162" t="str">
        <f t="shared" si="422"/>
        <v>PUNO</v>
      </c>
      <c r="AM589" s="164"/>
    </row>
    <row r="590" spans="1:39" ht="15.75" x14ac:dyDescent="0.2">
      <c r="B590" s="260"/>
      <c r="C590" s="260"/>
      <c r="D590" s="260"/>
      <c r="E590" s="260"/>
      <c r="F590" s="448"/>
      <c r="G590" s="448"/>
      <c r="H590" s="440" t="s">
        <v>825</v>
      </c>
      <c r="I590" s="464"/>
      <c r="J590" s="464"/>
      <c r="K590" s="464"/>
      <c r="L590" s="464"/>
      <c r="M590" s="464"/>
      <c r="N590" s="464"/>
      <c r="O590" s="464"/>
      <c r="P590" s="465"/>
      <c r="Q590" s="463"/>
      <c r="R590" s="463"/>
      <c r="S590" s="463"/>
      <c r="T590" s="464"/>
      <c r="U590" s="450"/>
      <c r="V590" s="449">
        <f t="shared" ref="V590:AI593" si="423">V591</f>
        <v>0</v>
      </c>
      <c r="W590" s="449">
        <f t="shared" si="423"/>
        <v>0</v>
      </c>
      <c r="X590" s="449">
        <f t="shared" si="423"/>
        <v>0</v>
      </c>
      <c r="Y590" s="449">
        <f t="shared" si="423"/>
        <v>0</v>
      </c>
      <c r="Z590" s="449" t="e">
        <f>ROUND(Y590/V590*100,2)</f>
        <v>#DIV/0!</v>
      </c>
      <c r="AA590" s="449">
        <f>AB590-V590</f>
        <v>0</v>
      </c>
      <c r="AB590" s="449">
        <f t="shared" si="423"/>
        <v>0</v>
      </c>
      <c r="AC590" s="449">
        <f t="shared" si="423"/>
        <v>0</v>
      </c>
      <c r="AD590" s="449" t="e">
        <f>AC590/AB590*100</f>
        <v>#DIV/0!</v>
      </c>
      <c r="AE590" s="449">
        <f>AF590-AB590</f>
        <v>0</v>
      </c>
      <c r="AF590" s="449">
        <f t="shared" si="423"/>
        <v>0</v>
      </c>
      <c r="AG590" s="449">
        <f t="shared" si="423"/>
        <v>66000</v>
      </c>
      <c r="AH590" s="449">
        <f t="shared" si="423"/>
        <v>0</v>
      </c>
      <c r="AI590" s="449">
        <f t="shared" si="423"/>
        <v>0</v>
      </c>
      <c r="AJ590" s="162" t="b">
        <f t="shared" si="421"/>
        <v>1</v>
      </c>
      <c r="AK590" s="162" t="str">
        <f t="shared" si="422"/>
        <v>PRAZNO</v>
      </c>
      <c r="AM590" s="164"/>
    </row>
    <row r="591" spans="1:39" ht="15.75" x14ac:dyDescent="0.2">
      <c r="B591" s="172">
        <v>3</v>
      </c>
      <c r="C591" s="172"/>
      <c r="D591" s="172"/>
      <c r="E591" s="172"/>
      <c r="F591" s="220"/>
      <c r="G591" s="220"/>
      <c r="H591" s="14" t="s">
        <v>524</v>
      </c>
      <c r="I591" s="464"/>
      <c r="J591" s="464"/>
      <c r="K591" s="464"/>
      <c r="L591" s="464"/>
      <c r="M591" s="464"/>
      <c r="N591" s="464"/>
      <c r="O591" s="464"/>
      <c r="P591" s="465"/>
      <c r="Q591" s="463"/>
      <c r="R591" s="463"/>
      <c r="S591" s="463"/>
      <c r="T591" s="464"/>
      <c r="U591" s="185"/>
      <c r="V591" s="184">
        <f t="shared" si="423"/>
        <v>0</v>
      </c>
      <c r="W591" s="184">
        <f t="shared" si="423"/>
        <v>0</v>
      </c>
      <c r="X591" s="184">
        <f t="shared" si="423"/>
        <v>0</v>
      </c>
      <c r="Y591" s="184">
        <f t="shared" si="423"/>
        <v>0</v>
      </c>
      <c r="Z591" s="184" t="e">
        <f>ROUND(Y591/V591*100,2)</f>
        <v>#DIV/0!</v>
      </c>
      <c r="AA591" s="184">
        <f>AB591-V591</f>
        <v>0</v>
      </c>
      <c r="AB591" s="184">
        <f t="shared" si="423"/>
        <v>0</v>
      </c>
      <c r="AC591" s="184">
        <f t="shared" si="423"/>
        <v>0</v>
      </c>
      <c r="AD591" s="184" t="e">
        <f>AC591/AB591*100</f>
        <v>#DIV/0!</v>
      </c>
      <c r="AE591" s="184">
        <f>AF591-AB591</f>
        <v>0</v>
      </c>
      <c r="AF591" s="184">
        <f t="shared" si="423"/>
        <v>0</v>
      </c>
      <c r="AG591" s="184">
        <f t="shared" si="423"/>
        <v>66000</v>
      </c>
      <c r="AH591" s="184">
        <f t="shared" si="423"/>
        <v>0</v>
      </c>
      <c r="AI591" s="184">
        <f t="shared" si="423"/>
        <v>0</v>
      </c>
      <c r="AJ591" s="162" t="b">
        <f t="shared" si="421"/>
        <v>1</v>
      </c>
      <c r="AK591" s="162" t="str">
        <f t="shared" si="422"/>
        <v>PRAZNO</v>
      </c>
      <c r="AM591" s="164"/>
    </row>
    <row r="592" spans="1:39" ht="15.75" x14ac:dyDescent="0.2">
      <c r="B592" s="177"/>
      <c r="C592" s="177">
        <v>35</v>
      </c>
      <c r="D592" s="177"/>
      <c r="E592" s="177"/>
      <c r="F592" s="176"/>
      <c r="G592" s="176"/>
      <c r="H592" s="16" t="s">
        <v>749</v>
      </c>
      <c r="I592" s="464"/>
      <c r="J592" s="464"/>
      <c r="K592" s="464"/>
      <c r="L592" s="464"/>
      <c r="M592" s="464"/>
      <c r="N592" s="464"/>
      <c r="O592" s="464"/>
      <c r="P592" s="465"/>
      <c r="Q592" s="463"/>
      <c r="R592" s="463"/>
      <c r="S592" s="463"/>
      <c r="T592" s="464"/>
      <c r="U592" s="27"/>
      <c r="V592" s="18">
        <f t="shared" si="423"/>
        <v>0</v>
      </c>
      <c r="W592" s="18">
        <f t="shared" si="423"/>
        <v>0</v>
      </c>
      <c r="X592" s="18">
        <f t="shared" si="423"/>
        <v>0</v>
      </c>
      <c r="Y592" s="18">
        <f t="shared" si="423"/>
        <v>0</v>
      </c>
      <c r="Z592" s="18" t="e">
        <f>ROUND(Y592/V592*100,2)</f>
        <v>#DIV/0!</v>
      </c>
      <c r="AA592" s="18">
        <f>AB592-V592</f>
        <v>0</v>
      </c>
      <c r="AB592" s="18">
        <f t="shared" si="423"/>
        <v>0</v>
      </c>
      <c r="AC592" s="18">
        <f t="shared" si="423"/>
        <v>0</v>
      </c>
      <c r="AD592" s="18" t="e">
        <f>AC592/AB592*100</f>
        <v>#DIV/0!</v>
      </c>
      <c r="AE592" s="18">
        <f>AF592-AB592</f>
        <v>0</v>
      </c>
      <c r="AF592" s="18">
        <f t="shared" si="423"/>
        <v>0</v>
      </c>
      <c r="AG592" s="18">
        <f t="shared" si="423"/>
        <v>66000</v>
      </c>
      <c r="AH592" s="18">
        <f t="shared" si="423"/>
        <v>0</v>
      </c>
      <c r="AI592" s="18">
        <f t="shared" si="423"/>
        <v>0</v>
      </c>
      <c r="AJ592" s="162" t="b">
        <f t="shared" si="421"/>
        <v>1</v>
      </c>
      <c r="AK592" s="162" t="str">
        <f t="shared" si="422"/>
        <v>PRAZNO</v>
      </c>
      <c r="AM592" s="164"/>
    </row>
    <row r="593" spans="1:39" ht="30" x14ac:dyDescent="0.2">
      <c r="B593" s="177"/>
      <c r="C593" s="177"/>
      <c r="D593" s="177">
        <v>352</v>
      </c>
      <c r="E593" s="177"/>
      <c r="F593" s="176"/>
      <c r="G593" s="176"/>
      <c r="H593" s="16" t="s">
        <v>748</v>
      </c>
      <c r="I593" s="464"/>
      <c r="J593" s="464"/>
      <c r="K593" s="464"/>
      <c r="L593" s="464"/>
      <c r="M593" s="464"/>
      <c r="N593" s="464"/>
      <c r="O593" s="464"/>
      <c r="P593" s="465"/>
      <c r="Q593" s="463"/>
      <c r="R593" s="463"/>
      <c r="S593" s="463"/>
      <c r="T593" s="464"/>
      <c r="U593" s="27"/>
      <c r="V593" s="18">
        <f t="shared" si="423"/>
        <v>0</v>
      </c>
      <c r="W593" s="18">
        <f t="shared" si="423"/>
        <v>0</v>
      </c>
      <c r="X593" s="18">
        <f t="shared" si="423"/>
        <v>0</v>
      </c>
      <c r="Y593" s="18">
        <f t="shared" si="423"/>
        <v>0</v>
      </c>
      <c r="Z593" s="18" t="e">
        <f>ROUND(Y593/V593*100,2)</f>
        <v>#DIV/0!</v>
      </c>
      <c r="AA593" s="18">
        <f>AB593-V593</f>
        <v>0</v>
      </c>
      <c r="AB593" s="18">
        <f t="shared" si="423"/>
        <v>0</v>
      </c>
      <c r="AC593" s="18">
        <f t="shared" si="423"/>
        <v>0</v>
      </c>
      <c r="AD593" s="18" t="e">
        <f>AC593/AB593*100</f>
        <v>#DIV/0!</v>
      </c>
      <c r="AE593" s="18">
        <f>AF593-AB593</f>
        <v>0</v>
      </c>
      <c r="AF593" s="18">
        <f t="shared" si="423"/>
        <v>0</v>
      </c>
      <c r="AG593" s="18">
        <f t="shared" si="423"/>
        <v>66000</v>
      </c>
      <c r="AH593" s="18">
        <f t="shared" si="423"/>
        <v>0</v>
      </c>
      <c r="AI593" s="18">
        <f t="shared" si="423"/>
        <v>0</v>
      </c>
      <c r="AJ593" s="162" t="b">
        <f t="shared" si="421"/>
        <v>1</v>
      </c>
      <c r="AK593" s="162" t="str">
        <f t="shared" si="422"/>
        <v>PRAZNO</v>
      </c>
      <c r="AM593" s="164"/>
    </row>
    <row r="594" spans="1:39" ht="15.75" x14ac:dyDescent="0.2">
      <c r="B594" s="177"/>
      <c r="C594" s="177"/>
      <c r="D594" s="177"/>
      <c r="E594" s="177">
        <v>3523</v>
      </c>
      <c r="F594" s="176">
        <v>52</v>
      </c>
      <c r="G594" s="176"/>
      <c r="H594" s="16" t="s">
        <v>324</v>
      </c>
      <c r="I594" s="464"/>
      <c r="J594" s="464"/>
      <c r="K594" s="464"/>
      <c r="L594" s="464"/>
      <c r="M594" s="464"/>
      <c r="N594" s="464"/>
      <c r="O594" s="464"/>
      <c r="P594" s="465"/>
      <c r="Q594" s="463"/>
      <c r="R594" s="463"/>
      <c r="S594" s="463"/>
      <c r="T594" s="464"/>
      <c r="U594" s="464"/>
      <c r="W594" s="463"/>
      <c r="X594" s="18"/>
      <c r="Z594" s="628"/>
      <c r="AB594" s="628"/>
      <c r="AC594" s="628"/>
      <c r="AD594" s="628"/>
      <c r="AE594" s="628"/>
      <c r="AF594" s="628"/>
      <c r="AG594" s="628">
        <v>66000</v>
      </c>
      <c r="AH594" s="628">
        <v>0</v>
      </c>
      <c r="AI594" s="628">
        <v>0</v>
      </c>
      <c r="AJ594" s="162" t="b">
        <f t="shared" si="421"/>
        <v>0</v>
      </c>
      <c r="AK594" s="162" t="str">
        <f t="shared" si="422"/>
        <v>PUNO</v>
      </c>
      <c r="AM594" s="164"/>
    </row>
    <row r="595" spans="1:39" ht="15.75" x14ac:dyDescent="0.2">
      <c r="B595" s="209"/>
      <c r="C595" s="209"/>
      <c r="D595" s="209"/>
      <c r="E595" s="209"/>
      <c r="F595" s="219"/>
      <c r="G595" s="219"/>
      <c r="H595" s="12" t="s">
        <v>801</v>
      </c>
      <c r="I595" s="305">
        <f t="shared" ref="I595:O595" si="424">I597</f>
        <v>0</v>
      </c>
      <c r="J595" s="305">
        <f t="shared" si="424"/>
        <v>0</v>
      </c>
      <c r="K595" s="305">
        <f t="shared" si="424"/>
        <v>0</v>
      </c>
      <c r="L595" s="305">
        <f t="shared" si="424"/>
        <v>0</v>
      </c>
      <c r="M595" s="305">
        <f t="shared" si="424"/>
        <v>0</v>
      </c>
      <c r="N595" s="305">
        <f t="shared" si="424"/>
        <v>0</v>
      </c>
      <c r="O595" s="305">
        <f t="shared" si="424"/>
        <v>0</v>
      </c>
      <c r="P595" s="303">
        <f>T595-N595</f>
        <v>0</v>
      </c>
      <c r="Q595" s="242"/>
      <c r="R595" s="242"/>
      <c r="S595" s="242"/>
      <c r="T595" s="243">
        <f t="shared" ref="T595:Y595" si="425">T597</f>
        <v>0</v>
      </c>
      <c r="U595" s="243">
        <f t="shared" si="425"/>
        <v>0</v>
      </c>
      <c r="V595" s="301">
        <f t="shared" si="425"/>
        <v>50000</v>
      </c>
      <c r="W595" s="301">
        <f t="shared" si="425"/>
        <v>0</v>
      </c>
      <c r="X595" s="301">
        <f t="shared" si="425"/>
        <v>100000</v>
      </c>
      <c r="Y595" s="301">
        <f t="shared" si="425"/>
        <v>0</v>
      </c>
      <c r="Z595" s="301">
        <f t="shared" si="401"/>
        <v>0</v>
      </c>
      <c r="AA595" s="301">
        <f t="shared" ref="AA595:AA685" si="426">AB595-V595</f>
        <v>-30000</v>
      </c>
      <c r="AB595" s="301">
        <f>AB597</f>
        <v>20000</v>
      </c>
      <c r="AC595" s="301">
        <f>AC597</f>
        <v>0</v>
      </c>
      <c r="AD595" s="301">
        <f t="shared" si="408"/>
        <v>0</v>
      </c>
      <c r="AE595" s="301">
        <f t="shared" si="413"/>
        <v>-20000</v>
      </c>
      <c r="AF595" s="301">
        <f>AF597</f>
        <v>0</v>
      </c>
      <c r="AG595" s="301">
        <f>AG597</f>
        <v>20000</v>
      </c>
      <c r="AH595" s="301">
        <f>AH597</f>
        <v>20000</v>
      </c>
      <c r="AI595" s="301">
        <f>AI597</f>
        <v>20000</v>
      </c>
      <c r="AJ595" s="162" t="b">
        <f t="shared" si="421"/>
        <v>1</v>
      </c>
      <c r="AK595" s="162" t="str">
        <f t="shared" si="422"/>
        <v>PRAZNO</v>
      </c>
      <c r="AM595" s="164"/>
    </row>
    <row r="596" spans="1:39" s="264" customFormat="1" ht="15.75" x14ac:dyDescent="0.2">
      <c r="A596" s="259"/>
      <c r="B596" s="177"/>
      <c r="C596" s="177"/>
      <c r="D596" s="177"/>
      <c r="E596" s="177"/>
      <c r="F596" s="265"/>
      <c r="G596" s="265"/>
      <c r="H596" s="441" t="s">
        <v>824</v>
      </c>
      <c r="I596" s="430"/>
      <c r="J596" s="430"/>
      <c r="K596" s="430"/>
      <c r="L596" s="430"/>
      <c r="M596" s="430"/>
      <c r="N596" s="430"/>
      <c r="O596" s="430"/>
      <c r="P596" s="445"/>
      <c r="Q596" s="178"/>
      <c r="R596" s="178"/>
      <c r="S596" s="178"/>
      <c r="T596" s="266"/>
      <c r="U596" s="266"/>
      <c r="V596" s="462">
        <f>V597</f>
        <v>50000</v>
      </c>
      <c r="W596" s="462">
        <f>W597</f>
        <v>0</v>
      </c>
      <c r="X596" s="462">
        <f>X597</f>
        <v>100000</v>
      </c>
      <c r="Y596" s="462">
        <f>Y597</f>
        <v>0</v>
      </c>
      <c r="Z596" s="462">
        <f t="shared" si="401"/>
        <v>0</v>
      </c>
      <c r="AA596" s="462">
        <f t="shared" si="426"/>
        <v>-30000</v>
      </c>
      <c r="AB596" s="462">
        <f>AB597</f>
        <v>20000</v>
      </c>
      <c r="AC596" s="462">
        <f>AC597</f>
        <v>0</v>
      </c>
      <c r="AD596" s="462">
        <f t="shared" si="408"/>
        <v>0</v>
      </c>
      <c r="AE596" s="462">
        <f t="shared" si="413"/>
        <v>-20000</v>
      </c>
      <c r="AF596" s="462">
        <f>AF597</f>
        <v>0</v>
      </c>
      <c r="AG596" s="462">
        <f>AG597</f>
        <v>20000</v>
      </c>
      <c r="AH596" s="462">
        <f>AH597</f>
        <v>20000</v>
      </c>
      <c r="AI596" s="462">
        <f>AI597</f>
        <v>20000</v>
      </c>
      <c r="AJ596" s="162" t="b">
        <f t="shared" si="421"/>
        <v>1</v>
      </c>
      <c r="AK596" s="162" t="str">
        <f t="shared" si="422"/>
        <v>PRAZNO</v>
      </c>
      <c r="AL596" s="263"/>
    </row>
    <row r="597" spans="1:39" ht="15.75" x14ac:dyDescent="0.2">
      <c r="B597" s="172">
        <v>3</v>
      </c>
      <c r="C597" s="172"/>
      <c r="D597" s="172"/>
      <c r="E597" s="172"/>
      <c r="F597" s="220"/>
      <c r="G597" s="220"/>
      <c r="H597" s="14" t="s">
        <v>524</v>
      </c>
      <c r="I597" s="185">
        <f t="shared" ref="I597:O599" si="427">I598</f>
        <v>0</v>
      </c>
      <c r="J597" s="185">
        <f t="shared" si="427"/>
        <v>0</v>
      </c>
      <c r="K597" s="185">
        <f t="shared" si="427"/>
        <v>0</v>
      </c>
      <c r="L597" s="185">
        <f t="shared" si="427"/>
        <v>0</v>
      </c>
      <c r="M597" s="185">
        <f t="shared" si="427"/>
        <v>0</v>
      </c>
      <c r="N597" s="185">
        <f t="shared" si="427"/>
        <v>0</v>
      </c>
      <c r="O597" s="185">
        <f t="shared" si="427"/>
        <v>0</v>
      </c>
      <c r="P597" s="55">
        <f>T597-N597</f>
        <v>0</v>
      </c>
      <c r="Q597" s="184"/>
      <c r="R597" s="184"/>
      <c r="S597" s="184"/>
      <c r="T597" s="185">
        <f t="shared" ref="T597:AI599" si="428">T598</f>
        <v>0</v>
      </c>
      <c r="U597" s="185">
        <f t="shared" si="428"/>
        <v>0</v>
      </c>
      <c r="V597" s="185">
        <f t="shared" si="428"/>
        <v>50000</v>
      </c>
      <c r="W597" s="185">
        <f t="shared" si="428"/>
        <v>0</v>
      </c>
      <c r="X597" s="185">
        <f t="shared" si="428"/>
        <v>100000</v>
      </c>
      <c r="Y597" s="185">
        <f t="shared" si="428"/>
        <v>0</v>
      </c>
      <c r="Z597" s="185">
        <f t="shared" si="401"/>
        <v>0</v>
      </c>
      <c r="AA597" s="185">
        <f t="shared" si="426"/>
        <v>-30000</v>
      </c>
      <c r="AB597" s="185">
        <f t="shared" si="428"/>
        <v>20000</v>
      </c>
      <c r="AC597" s="185">
        <f t="shared" si="428"/>
        <v>0</v>
      </c>
      <c r="AD597" s="185">
        <f t="shared" si="408"/>
        <v>0</v>
      </c>
      <c r="AE597" s="185">
        <f t="shared" si="413"/>
        <v>-20000</v>
      </c>
      <c r="AF597" s="185">
        <f t="shared" si="428"/>
        <v>0</v>
      </c>
      <c r="AG597" s="185">
        <f t="shared" si="428"/>
        <v>20000</v>
      </c>
      <c r="AH597" s="185">
        <f t="shared" si="428"/>
        <v>20000</v>
      </c>
      <c r="AI597" s="185">
        <f t="shared" si="428"/>
        <v>20000</v>
      </c>
      <c r="AJ597" s="162" t="b">
        <f t="shared" si="421"/>
        <v>1</v>
      </c>
      <c r="AK597" s="162" t="str">
        <f t="shared" si="422"/>
        <v>PRAZNO</v>
      </c>
      <c r="AM597" s="164"/>
    </row>
    <row r="598" spans="1:39" ht="15.75" x14ac:dyDescent="0.2">
      <c r="B598" s="177"/>
      <c r="C598" s="177">
        <v>32</v>
      </c>
      <c r="D598" s="177"/>
      <c r="E598" s="177"/>
      <c r="F598" s="265"/>
      <c r="G598" s="265"/>
      <c r="H598" s="16" t="s">
        <v>525</v>
      </c>
      <c r="I598" s="266">
        <f t="shared" si="427"/>
        <v>0</v>
      </c>
      <c r="J598" s="266">
        <f t="shared" si="427"/>
        <v>0</v>
      </c>
      <c r="K598" s="266">
        <f t="shared" si="427"/>
        <v>0</v>
      </c>
      <c r="L598" s="266">
        <f t="shared" si="427"/>
        <v>0</v>
      </c>
      <c r="M598" s="266">
        <f t="shared" si="427"/>
        <v>0</v>
      </c>
      <c r="N598" s="266">
        <f t="shared" si="427"/>
        <v>0</v>
      </c>
      <c r="O598" s="266">
        <f t="shared" si="427"/>
        <v>0</v>
      </c>
      <c r="P598" s="26">
        <f>T598-N598</f>
        <v>0</v>
      </c>
      <c r="Q598" s="178"/>
      <c r="R598" s="178"/>
      <c r="S598" s="178"/>
      <c r="T598" s="266">
        <f t="shared" si="428"/>
        <v>0</v>
      </c>
      <c r="U598" s="266">
        <f t="shared" si="428"/>
        <v>0</v>
      </c>
      <c r="V598" s="266">
        <f t="shared" si="428"/>
        <v>50000</v>
      </c>
      <c r="W598" s="266">
        <f t="shared" si="428"/>
        <v>0</v>
      </c>
      <c r="X598" s="266">
        <f t="shared" si="428"/>
        <v>100000</v>
      </c>
      <c r="Y598" s="266">
        <f t="shared" si="428"/>
        <v>0</v>
      </c>
      <c r="Z598" s="266">
        <f t="shared" si="401"/>
        <v>0</v>
      </c>
      <c r="AA598" s="266">
        <f t="shared" si="426"/>
        <v>-30000</v>
      </c>
      <c r="AB598" s="266">
        <f t="shared" si="428"/>
        <v>20000</v>
      </c>
      <c r="AC598" s="266">
        <f t="shared" si="428"/>
        <v>0</v>
      </c>
      <c r="AD598" s="266">
        <f t="shared" si="408"/>
        <v>0</v>
      </c>
      <c r="AE598" s="266">
        <f t="shared" si="413"/>
        <v>-20000</v>
      </c>
      <c r="AF598" s="266">
        <f t="shared" si="428"/>
        <v>0</v>
      </c>
      <c r="AG598" s="266">
        <f t="shared" si="428"/>
        <v>20000</v>
      </c>
      <c r="AH598" s="266">
        <f t="shared" si="428"/>
        <v>20000</v>
      </c>
      <c r="AI598" s="266">
        <f t="shared" si="428"/>
        <v>20000</v>
      </c>
      <c r="AJ598" s="162" t="b">
        <f t="shared" si="421"/>
        <v>1</v>
      </c>
      <c r="AK598" s="162" t="str">
        <f t="shared" si="422"/>
        <v>PRAZNO</v>
      </c>
      <c r="AM598" s="164"/>
    </row>
    <row r="599" spans="1:39" ht="15.75" x14ac:dyDescent="0.2">
      <c r="B599" s="177"/>
      <c r="C599" s="177"/>
      <c r="D599" s="177">
        <v>323</v>
      </c>
      <c r="E599" s="177"/>
      <c r="F599" s="265"/>
      <c r="G599" s="265"/>
      <c r="H599" s="16" t="s">
        <v>526</v>
      </c>
      <c r="I599" s="266">
        <f t="shared" si="427"/>
        <v>0</v>
      </c>
      <c r="J599" s="266">
        <f t="shared" si="427"/>
        <v>0</v>
      </c>
      <c r="K599" s="266">
        <f t="shared" si="427"/>
        <v>0</v>
      </c>
      <c r="L599" s="266">
        <f t="shared" si="427"/>
        <v>0</v>
      </c>
      <c r="M599" s="266">
        <f t="shared" si="427"/>
        <v>0</v>
      </c>
      <c r="N599" s="266">
        <f t="shared" si="427"/>
        <v>0</v>
      </c>
      <c r="O599" s="266">
        <f t="shared" si="427"/>
        <v>0</v>
      </c>
      <c r="P599" s="26">
        <f>T599-N599</f>
        <v>0</v>
      </c>
      <c r="Q599" s="178"/>
      <c r="R599" s="178"/>
      <c r="S599" s="178"/>
      <c r="T599" s="266">
        <f t="shared" si="428"/>
        <v>0</v>
      </c>
      <c r="U599" s="266">
        <f t="shared" si="428"/>
        <v>0</v>
      </c>
      <c r="V599" s="266">
        <f>V600</f>
        <v>50000</v>
      </c>
      <c r="W599" s="266">
        <f>W600</f>
        <v>0</v>
      </c>
      <c r="X599" s="266">
        <f>X600</f>
        <v>100000</v>
      </c>
      <c r="Y599" s="266">
        <f>Y600</f>
        <v>0</v>
      </c>
      <c r="Z599" s="266">
        <f t="shared" si="401"/>
        <v>0</v>
      </c>
      <c r="AA599" s="266">
        <f t="shared" si="426"/>
        <v>-30000</v>
      </c>
      <c r="AB599" s="266">
        <f>AB600</f>
        <v>20000</v>
      </c>
      <c r="AC599" s="266">
        <f>AC600</f>
        <v>0</v>
      </c>
      <c r="AD599" s="266">
        <f t="shared" si="408"/>
        <v>0</v>
      </c>
      <c r="AE599" s="266">
        <f t="shared" si="413"/>
        <v>-20000</v>
      </c>
      <c r="AF599" s="266">
        <f>AF600</f>
        <v>0</v>
      </c>
      <c r="AG599" s="266">
        <f>AG600</f>
        <v>20000</v>
      </c>
      <c r="AH599" s="266">
        <f>AH600</f>
        <v>20000</v>
      </c>
      <c r="AI599" s="266">
        <f>AI600</f>
        <v>20000</v>
      </c>
      <c r="AJ599" s="162" t="b">
        <f t="shared" si="421"/>
        <v>1</v>
      </c>
      <c r="AK599" s="162" t="str">
        <f t="shared" si="422"/>
        <v>PRAZNO</v>
      </c>
      <c r="AM599" s="164"/>
    </row>
    <row r="600" spans="1:39" ht="15.75" x14ac:dyDescent="0.2">
      <c r="B600" s="250"/>
      <c r="C600" s="250"/>
      <c r="D600" s="250"/>
      <c r="E600" s="250">
        <v>3239</v>
      </c>
      <c r="F600" s="221">
        <v>11</v>
      </c>
      <c r="G600" s="221"/>
      <c r="H600" s="381" t="s">
        <v>529</v>
      </c>
      <c r="I600" s="27">
        <v>0</v>
      </c>
      <c r="J600" s="27">
        <v>0</v>
      </c>
      <c r="K600" s="27">
        <v>0</v>
      </c>
      <c r="L600" s="27">
        <v>0</v>
      </c>
      <c r="M600" s="27">
        <v>0</v>
      </c>
      <c r="N600" s="27">
        <v>0</v>
      </c>
      <c r="O600" s="27">
        <v>0</v>
      </c>
      <c r="P600" s="26">
        <f>T600-N600</f>
        <v>0</v>
      </c>
      <c r="Q600" s="18"/>
      <c r="R600" s="18"/>
      <c r="S600" s="18"/>
      <c r="T600" s="27">
        <v>0</v>
      </c>
      <c r="U600" s="27"/>
      <c r="V600" s="18">
        <v>50000</v>
      </c>
      <c r="W600" s="18">
        <v>0</v>
      </c>
      <c r="X600" s="18">
        <v>100000</v>
      </c>
      <c r="Y600" s="18">
        <v>0</v>
      </c>
      <c r="Z600" s="18">
        <f t="shared" si="401"/>
        <v>0</v>
      </c>
      <c r="AA600" s="18">
        <f t="shared" si="426"/>
        <v>-30000</v>
      </c>
      <c r="AB600" s="18">
        <v>20000</v>
      </c>
      <c r="AC600" s="18">
        <v>0</v>
      </c>
      <c r="AD600" s="18">
        <f t="shared" si="408"/>
        <v>0</v>
      </c>
      <c r="AE600" s="18">
        <f t="shared" si="413"/>
        <v>-20000</v>
      </c>
      <c r="AF600" s="18">
        <v>0</v>
      </c>
      <c r="AG600" s="18">
        <v>20000</v>
      </c>
      <c r="AH600" s="18">
        <v>20000</v>
      </c>
      <c r="AI600" s="18">
        <v>20000</v>
      </c>
      <c r="AJ600" s="162" t="b">
        <f t="shared" si="421"/>
        <v>0</v>
      </c>
      <c r="AK600" s="162" t="str">
        <f t="shared" si="422"/>
        <v>PUNO</v>
      </c>
      <c r="AM600" s="164"/>
    </row>
    <row r="601" spans="1:39" ht="21.75" customHeight="1" x14ac:dyDescent="0.2">
      <c r="B601" s="382"/>
      <c r="C601" s="382"/>
      <c r="D601" s="382"/>
      <c r="E601" s="382"/>
      <c r="F601" s="219"/>
      <c r="G601" s="219"/>
      <c r="H601" s="383" t="s">
        <v>608</v>
      </c>
      <c r="I601" s="305">
        <f t="shared" ref="I601:O601" si="429">I603</f>
        <v>0</v>
      </c>
      <c r="J601" s="305">
        <f t="shared" si="429"/>
        <v>0</v>
      </c>
      <c r="K601" s="305">
        <f t="shared" si="429"/>
        <v>0</v>
      </c>
      <c r="L601" s="305">
        <f t="shared" si="429"/>
        <v>0</v>
      </c>
      <c r="M601" s="305">
        <f t="shared" si="429"/>
        <v>0</v>
      </c>
      <c r="N601" s="305">
        <f t="shared" si="429"/>
        <v>0</v>
      </c>
      <c r="O601" s="305">
        <f t="shared" si="429"/>
        <v>0</v>
      </c>
      <c r="P601" s="303">
        <f>T601-N601</f>
        <v>0</v>
      </c>
      <c r="Q601" s="243"/>
      <c r="R601" s="243"/>
      <c r="S601" s="243"/>
      <c r="T601" s="305">
        <f t="shared" ref="T601:Y601" si="430">T603</f>
        <v>0</v>
      </c>
      <c r="U601" s="305">
        <f t="shared" si="430"/>
        <v>0</v>
      </c>
      <c r="V601" s="305">
        <f t="shared" si="430"/>
        <v>50000</v>
      </c>
      <c r="W601" s="305">
        <f t="shared" si="430"/>
        <v>0</v>
      </c>
      <c r="X601" s="305">
        <f t="shared" si="430"/>
        <v>0</v>
      </c>
      <c r="Y601" s="305">
        <f t="shared" si="430"/>
        <v>0</v>
      </c>
      <c r="Z601" s="305">
        <f t="shared" si="401"/>
        <v>0</v>
      </c>
      <c r="AA601" s="305">
        <f t="shared" si="426"/>
        <v>-30000</v>
      </c>
      <c r="AB601" s="305">
        <f>AB603</f>
        <v>20000</v>
      </c>
      <c r="AC601" s="305">
        <f>AC603</f>
        <v>0</v>
      </c>
      <c r="AD601" s="305">
        <f t="shared" si="408"/>
        <v>0</v>
      </c>
      <c r="AE601" s="305">
        <f t="shared" si="413"/>
        <v>-20000</v>
      </c>
      <c r="AF601" s="305">
        <f>AF603</f>
        <v>0</v>
      </c>
      <c r="AG601" s="305">
        <f>AG603</f>
        <v>60000</v>
      </c>
      <c r="AH601" s="305">
        <f>AH603</f>
        <v>0</v>
      </c>
      <c r="AI601" s="305">
        <f>AI603</f>
        <v>0</v>
      </c>
      <c r="AJ601" s="162" t="b">
        <f t="shared" si="421"/>
        <v>1</v>
      </c>
      <c r="AK601" s="162" t="str">
        <f t="shared" si="422"/>
        <v>PRAZNO</v>
      </c>
      <c r="AM601" s="164"/>
    </row>
    <row r="602" spans="1:39" s="264" customFormat="1" ht="15.75" x14ac:dyDescent="0.2">
      <c r="A602" s="259"/>
      <c r="B602" s="306"/>
      <c r="C602" s="306"/>
      <c r="D602" s="306"/>
      <c r="E602" s="306"/>
      <c r="F602" s="265"/>
      <c r="G602" s="265"/>
      <c r="H602" s="466" t="s">
        <v>824</v>
      </c>
      <c r="I602" s="430"/>
      <c r="J602" s="430"/>
      <c r="K602" s="430"/>
      <c r="L602" s="430"/>
      <c r="M602" s="430"/>
      <c r="N602" s="430"/>
      <c r="O602" s="430"/>
      <c r="P602" s="445"/>
      <c r="Q602" s="266"/>
      <c r="R602" s="266"/>
      <c r="S602" s="266"/>
      <c r="T602" s="430"/>
      <c r="U602" s="430"/>
      <c r="V602" s="430">
        <f>V603</f>
        <v>50000</v>
      </c>
      <c r="W602" s="430">
        <f>W603</f>
        <v>0</v>
      </c>
      <c r="X602" s="430">
        <f>X603</f>
        <v>0</v>
      </c>
      <c r="Y602" s="430">
        <f>Y603</f>
        <v>0</v>
      </c>
      <c r="Z602" s="430">
        <f t="shared" si="401"/>
        <v>0</v>
      </c>
      <c r="AA602" s="430">
        <f t="shared" si="426"/>
        <v>-30000</v>
      </c>
      <c r="AB602" s="430">
        <f t="shared" ref="AB602:AI605" si="431">AB603</f>
        <v>20000</v>
      </c>
      <c r="AC602" s="430">
        <f t="shared" si="431"/>
        <v>0</v>
      </c>
      <c r="AD602" s="430">
        <f t="shared" si="408"/>
        <v>0</v>
      </c>
      <c r="AE602" s="430">
        <f t="shared" si="413"/>
        <v>-20000</v>
      </c>
      <c r="AF602" s="430">
        <f t="shared" si="431"/>
        <v>0</v>
      </c>
      <c r="AG602" s="430">
        <f t="shared" si="431"/>
        <v>60000</v>
      </c>
      <c r="AH602" s="430">
        <f t="shared" si="431"/>
        <v>0</v>
      </c>
      <c r="AI602" s="430">
        <f t="shared" si="431"/>
        <v>0</v>
      </c>
      <c r="AJ602" s="162" t="b">
        <f t="shared" si="421"/>
        <v>1</v>
      </c>
      <c r="AK602" s="162" t="str">
        <f t="shared" si="422"/>
        <v>PRAZNO</v>
      </c>
      <c r="AL602" s="263"/>
    </row>
    <row r="603" spans="1:39" ht="15.75" x14ac:dyDescent="0.2">
      <c r="B603" s="172">
        <v>3</v>
      </c>
      <c r="C603" s="172"/>
      <c r="D603" s="172"/>
      <c r="E603" s="172"/>
      <c r="F603" s="220"/>
      <c r="G603" s="220"/>
      <c r="H603" s="14" t="s">
        <v>524</v>
      </c>
      <c r="I603" s="185">
        <f t="shared" ref="I603:O605" si="432">I604</f>
        <v>0</v>
      </c>
      <c r="J603" s="185">
        <f t="shared" si="432"/>
        <v>0</v>
      </c>
      <c r="K603" s="185">
        <f t="shared" si="432"/>
        <v>0</v>
      </c>
      <c r="L603" s="185">
        <f t="shared" si="432"/>
        <v>0</v>
      </c>
      <c r="M603" s="185">
        <f t="shared" si="432"/>
        <v>0</v>
      </c>
      <c r="N603" s="185">
        <f t="shared" si="432"/>
        <v>0</v>
      </c>
      <c r="O603" s="185">
        <f t="shared" si="432"/>
        <v>0</v>
      </c>
      <c r="P603" s="55">
        <f>T603-N603</f>
        <v>0</v>
      </c>
      <c r="Q603" s="184"/>
      <c r="R603" s="184"/>
      <c r="S603" s="184"/>
      <c r="T603" s="185">
        <f t="shared" ref="T603:Y605" si="433">T604</f>
        <v>0</v>
      </c>
      <c r="U603" s="185">
        <f t="shared" si="433"/>
        <v>0</v>
      </c>
      <c r="V603" s="184">
        <f t="shared" si="433"/>
        <v>50000</v>
      </c>
      <c r="W603" s="184">
        <f t="shared" si="433"/>
        <v>0</v>
      </c>
      <c r="X603" s="184">
        <f t="shared" si="433"/>
        <v>0</v>
      </c>
      <c r="Y603" s="184">
        <f t="shared" si="433"/>
        <v>0</v>
      </c>
      <c r="Z603" s="184">
        <f t="shared" si="401"/>
        <v>0</v>
      </c>
      <c r="AA603" s="184">
        <f t="shared" si="426"/>
        <v>-30000</v>
      </c>
      <c r="AB603" s="184">
        <f t="shared" si="431"/>
        <v>20000</v>
      </c>
      <c r="AC603" s="184">
        <f t="shared" si="431"/>
        <v>0</v>
      </c>
      <c r="AD603" s="184">
        <f t="shared" si="408"/>
        <v>0</v>
      </c>
      <c r="AE603" s="184">
        <f t="shared" si="413"/>
        <v>-20000</v>
      </c>
      <c r="AF603" s="184">
        <f t="shared" si="431"/>
        <v>0</v>
      </c>
      <c r="AG603" s="184">
        <f t="shared" si="431"/>
        <v>60000</v>
      </c>
      <c r="AH603" s="184">
        <f t="shared" si="431"/>
        <v>0</v>
      </c>
      <c r="AI603" s="184">
        <f t="shared" si="431"/>
        <v>0</v>
      </c>
      <c r="AJ603" s="162" t="b">
        <f t="shared" si="421"/>
        <v>1</v>
      </c>
      <c r="AK603" s="162" t="str">
        <f t="shared" si="422"/>
        <v>PRAZNO</v>
      </c>
      <c r="AM603" s="164"/>
    </row>
    <row r="604" spans="1:39" ht="15.75" x14ac:dyDescent="0.2">
      <c r="B604" s="177"/>
      <c r="C604" s="177">
        <v>32</v>
      </c>
      <c r="D604" s="177"/>
      <c r="E604" s="177"/>
      <c r="F604" s="176"/>
      <c r="G604" s="176"/>
      <c r="H604" s="16" t="s">
        <v>525</v>
      </c>
      <c r="I604" s="27">
        <f t="shared" si="432"/>
        <v>0</v>
      </c>
      <c r="J604" s="27">
        <f t="shared" si="432"/>
        <v>0</v>
      </c>
      <c r="K604" s="27">
        <f t="shared" si="432"/>
        <v>0</v>
      </c>
      <c r="L604" s="27">
        <f t="shared" si="432"/>
        <v>0</v>
      </c>
      <c r="M604" s="27">
        <f t="shared" si="432"/>
        <v>0</v>
      </c>
      <c r="N604" s="27">
        <f t="shared" si="432"/>
        <v>0</v>
      </c>
      <c r="O604" s="27">
        <f t="shared" si="432"/>
        <v>0</v>
      </c>
      <c r="P604" s="26">
        <f>T604-N604</f>
        <v>0</v>
      </c>
      <c r="Q604" s="18"/>
      <c r="R604" s="18"/>
      <c r="S604" s="18"/>
      <c r="T604" s="27">
        <f t="shared" si="433"/>
        <v>0</v>
      </c>
      <c r="U604" s="27">
        <f t="shared" si="433"/>
        <v>0</v>
      </c>
      <c r="V604" s="18">
        <f t="shared" si="433"/>
        <v>50000</v>
      </c>
      <c r="W604" s="18">
        <f t="shared" si="433"/>
        <v>0</v>
      </c>
      <c r="X604" s="18">
        <f t="shared" si="433"/>
        <v>0</v>
      </c>
      <c r="Y604" s="18">
        <f t="shared" si="433"/>
        <v>0</v>
      </c>
      <c r="Z604" s="18">
        <f t="shared" si="401"/>
        <v>0</v>
      </c>
      <c r="AA604" s="18">
        <f t="shared" si="426"/>
        <v>-30000</v>
      </c>
      <c r="AB604" s="18">
        <f t="shared" si="431"/>
        <v>20000</v>
      </c>
      <c r="AC604" s="18">
        <f t="shared" si="431"/>
        <v>0</v>
      </c>
      <c r="AD604" s="18">
        <f t="shared" si="408"/>
        <v>0</v>
      </c>
      <c r="AE604" s="18">
        <f t="shared" si="413"/>
        <v>-20000</v>
      </c>
      <c r="AF604" s="18">
        <f t="shared" si="431"/>
        <v>0</v>
      </c>
      <c r="AG604" s="18">
        <f t="shared" si="431"/>
        <v>60000</v>
      </c>
      <c r="AH604" s="18">
        <f t="shared" si="431"/>
        <v>0</v>
      </c>
      <c r="AI604" s="18">
        <f t="shared" si="431"/>
        <v>0</v>
      </c>
      <c r="AJ604" s="162" t="b">
        <f t="shared" si="421"/>
        <v>1</v>
      </c>
      <c r="AK604" s="162" t="str">
        <f t="shared" si="422"/>
        <v>PRAZNO</v>
      </c>
      <c r="AM604" s="164"/>
    </row>
    <row r="605" spans="1:39" ht="15.75" x14ac:dyDescent="0.2">
      <c r="B605" s="177"/>
      <c r="C605" s="177"/>
      <c r="D605" s="177">
        <v>323</v>
      </c>
      <c r="E605" s="177"/>
      <c r="F605" s="176"/>
      <c r="G605" s="176"/>
      <c r="H605" s="16" t="s">
        <v>526</v>
      </c>
      <c r="I605" s="27">
        <f t="shared" si="432"/>
        <v>0</v>
      </c>
      <c r="J605" s="27">
        <f t="shared" si="432"/>
        <v>0</v>
      </c>
      <c r="K605" s="27">
        <f t="shared" si="432"/>
        <v>0</v>
      </c>
      <c r="L605" s="27">
        <f t="shared" si="432"/>
        <v>0</v>
      </c>
      <c r="M605" s="27">
        <f t="shared" si="432"/>
        <v>0</v>
      </c>
      <c r="N605" s="27">
        <f t="shared" si="432"/>
        <v>0</v>
      </c>
      <c r="O605" s="27">
        <f t="shared" si="432"/>
        <v>0</v>
      </c>
      <c r="P605" s="26">
        <f>T605-N605</f>
        <v>0</v>
      </c>
      <c r="Q605" s="18"/>
      <c r="R605" s="18"/>
      <c r="S605" s="18"/>
      <c r="T605" s="27">
        <f t="shared" si="433"/>
        <v>0</v>
      </c>
      <c r="U605" s="27">
        <f t="shared" si="433"/>
        <v>0</v>
      </c>
      <c r="V605" s="18">
        <f t="shared" si="433"/>
        <v>50000</v>
      </c>
      <c r="W605" s="18">
        <f t="shared" si="433"/>
        <v>0</v>
      </c>
      <c r="X605" s="18">
        <f t="shared" si="433"/>
        <v>0</v>
      </c>
      <c r="Y605" s="18">
        <f t="shared" si="433"/>
        <v>0</v>
      </c>
      <c r="Z605" s="18">
        <f t="shared" si="401"/>
        <v>0</v>
      </c>
      <c r="AA605" s="18">
        <f t="shared" si="426"/>
        <v>-30000</v>
      </c>
      <c r="AB605" s="18">
        <f t="shared" si="431"/>
        <v>20000</v>
      </c>
      <c r="AC605" s="18">
        <f t="shared" si="431"/>
        <v>0</v>
      </c>
      <c r="AD605" s="18">
        <f t="shared" si="408"/>
        <v>0</v>
      </c>
      <c r="AE605" s="18">
        <f t="shared" si="413"/>
        <v>-20000</v>
      </c>
      <c r="AF605" s="18">
        <f t="shared" si="431"/>
        <v>0</v>
      </c>
      <c r="AG605" s="18">
        <f t="shared" si="431"/>
        <v>60000</v>
      </c>
      <c r="AH605" s="18">
        <f t="shared" si="431"/>
        <v>0</v>
      </c>
      <c r="AI605" s="18">
        <f t="shared" si="431"/>
        <v>0</v>
      </c>
      <c r="AJ605" s="162" t="b">
        <f t="shared" si="421"/>
        <v>1</v>
      </c>
      <c r="AK605" s="162" t="str">
        <f t="shared" si="422"/>
        <v>PRAZNO</v>
      </c>
      <c r="AM605" s="164"/>
    </row>
    <row r="606" spans="1:39" ht="15.75" x14ac:dyDescent="0.2">
      <c r="B606" s="177"/>
      <c r="C606" s="177"/>
      <c r="D606" s="177"/>
      <c r="E606" s="177">
        <v>3239</v>
      </c>
      <c r="F606" s="176">
        <v>11</v>
      </c>
      <c r="G606" s="176"/>
      <c r="H606" s="16" t="s">
        <v>529</v>
      </c>
      <c r="I606" s="27">
        <v>0</v>
      </c>
      <c r="J606" s="27">
        <v>0</v>
      </c>
      <c r="K606" s="27">
        <v>0</v>
      </c>
      <c r="L606" s="27">
        <v>0</v>
      </c>
      <c r="M606" s="27">
        <v>0</v>
      </c>
      <c r="N606" s="27">
        <v>0</v>
      </c>
      <c r="O606" s="27">
        <v>0</v>
      </c>
      <c r="P606" s="26">
        <f>T606-N606</f>
        <v>0</v>
      </c>
      <c r="Q606" s="18"/>
      <c r="R606" s="18"/>
      <c r="S606" s="18"/>
      <c r="T606" s="27">
        <v>0</v>
      </c>
      <c r="U606" s="27"/>
      <c r="V606" s="18">
        <v>50000</v>
      </c>
      <c r="W606" s="18">
        <v>0</v>
      </c>
      <c r="X606" s="18">
        <v>0</v>
      </c>
      <c r="Y606" s="18">
        <v>0</v>
      </c>
      <c r="Z606" s="18">
        <f>ROUND(Y606/V606*100,2)</f>
        <v>0</v>
      </c>
      <c r="AA606" s="18">
        <f t="shared" si="426"/>
        <v>-30000</v>
      </c>
      <c r="AB606" s="18">
        <v>20000</v>
      </c>
      <c r="AC606" s="18">
        <v>0</v>
      </c>
      <c r="AD606" s="18">
        <f t="shared" si="408"/>
        <v>0</v>
      </c>
      <c r="AE606" s="18">
        <f t="shared" si="413"/>
        <v>-20000</v>
      </c>
      <c r="AF606" s="18">
        <v>0</v>
      </c>
      <c r="AG606" s="18">
        <v>60000</v>
      </c>
      <c r="AH606" s="18">
        <v>0</v>
      </c>
      <c r="AI606" s="18">
        <v>0</v>
      </c>
      <c r="AJ606" s="162" t="b">
        <f t="shared" si="421"/>
        <v>0</v>
      </c>
      <c r="AK606" s="162" t="str">
        <f t="shared" si="422"/>
        <v>PUNO</v>
      </c>
      <c r="AM606" s="164"/>
    </row>
    <row r="607" spans="1:39" ht="36" customHeight="1" x14ac:dyDescent="0.2">
      <c r="B607" s="382"/>
      <c r="C607" s="382"/>
      <c r="D607" s="382"/>
      <c r="E607" s="382"/>
      <c r="F607" s="219"/>
      <c r="G607" s="219"/>
      <c r="H607" s="383" t="s">
        <v>30</v>
      </c>
      <c r="I607" s="305"/>
      <c r="J607" s="305"/>
      <c r="K607" s="305"/>
      <c r="L607" s="305"/>
      <c r="M607" s="305"/>
      <c r="N607" s="305"/>
      <c r="O607" s="305"/>
      <c r="P607" s="303"/>
      <c r="Q607" s="243"/>
      <c r="R607" s="243"/>
      <c r="S607" s="243"/>
      <c r="T607" s="305"/>
      <c r="U607" s="305"/>
      <c r="V607" s="305">
        <f>V609</f>
        <v>0</v>
      </c>
      <c r="W607" s="305"/>
      <c r="X607" s="305"/>
      <c r="Y607" s="305">
        <f>Y608</f>
        <v>0</v>
      </c>
      <c r="Z607" s="305"/>
      <c r="AA607" s="305">
        <f t="shared" si="426"/>
        <v>280000</v>
      </c>
      <c r="AB607" s="305">
        <f>AB609</f>
        <v>280000</v>
      </c>
      <c r="AC607" s="305">
        <f>AC609</f>
        <v>0</v>
      </c>
      <c r="AD607" s="305">
        <f t="shared" si="408"/>
        <v>0</v>
      </c>
      <c r="AE607" s="305">
        <f t="shared" si="413"/>
        <v>0</v>
      </c>
      <c r="AF607" s="305">
        <f>AF609</f>
        <v>280000</v>
      </c>
      <c r="AG607" s="305">
        <f>AG609</f>
        <v>280000</v>
      </c>
      <c r="AH607" s="305">
        <f>AH609</f>
        <v>0</v>
      </c>
      <c r="AI607" s="305">
        <f>AI609</f>
        <v>0</v>
      </c>
      <c r="AJ607" s="162" t="b">
        <f t="shared" si="421"/>
        <v>1</v>
      </c>
      <c r="AK607" s="162" t="str">
        <f t="shared" si="422"/>
        <v>PRAZNO</v>
      </c>
      <c r="AM607" s="164"/>
    </row>
    <row r="608" spans="1:39" ht="15.75" x14ac:dyDescent="0.2">
      <c r="B608" s="177"/>
      <c r="C608" s="177"/>
      <c r="D608" s="177"/>
      <c r="E608" s="177"/>
      <c r="F608" s="176"/>
      <c r="G608" s="176"/>
      <c r="H608" s="441" t="s">
        <v>824</v>
      </c>
      <c r="I608" s="27"/>
      <c r="J608" s="27"/>
      <c r="K608" s="27"/>
      <c r="L608" s="27"/>
      <c r="M608" s="27"/>
      <c r="N608" s="27"/>
      <c r="O608" s="27"/>
      <c r="P608" s="26"/>
      <c r="Q608" s="18"/>
      <c r="R608" s="18"/>
      <c r="S608" s="18"/>
      <c r="T608" s="27"/>
      <c r="U608" s="27"/>
      <c r="V608" s="18">
        <f>V609</f>
        <v>0</v>
      </c>
      <c r="W608" s="18"/>
      <c r="X608" s="18"/>
      <c r="Y608" s="18">
        <f>Y609</f>
        <v>0</v>
      </c>
      <c r="Z608" s="18"/>
      <c r="AA608" s="18">
        <f t="shared" si="426"/>
        <v>280000</v>
      </c>
      <c r="AB608" s="18">
        <f t="shared" ref="AB608:AI611" si="434">AB609</f>
        <v>280000</v>
      </c>
      <c r="AC608" s="18">
        <f t="shared" si="434"/>
        <v>0</v>
      </c>
      <c r="AD608" s="18">
        <f t="shared" si="408"/>
        <v>0</v>
      </c>
      <c r="AE608" s="18">
        <f t="shared" si="413"/>
        <v>0</v>
      </c>
      <c r="AF608" s="18">
        <f t="shared" si="434"/>
        <v>280000</v>
      </c>
      <c r="AG608" s="18">
        <f t="shared" si="434"/>
        <v>280000</v>
      </c>
      <c r="AH608" s="18">
        <f t="shared" si="434"/>
        <v>0</v>
      </c>
      <c r="AI608" s="18">
        <f t="shared" si="434"/>
        <v>0</v>
      </c>
      <c r="AJ608" s="162" t="b">
        <f t="shared" si="421"/>
        <v>1</v>
      </c>
      <c r="AK608" s="162" t="str">
        <f t="shared" si="422"/>
        <v>PRAZNO</v>
      </c>
      <c r="AM608" s="164"/>
    </row>
    <row r="609" spans="1:39" ht="15.75" x14ac:dyDescent="0.2">
      <c r="B609" s="172">
        <v>3</v>
      </c>
      <c r="C609" s="172"/>
      <c r="D609" s="172"/>
      <c r="E609" s="172"/>
      <c r="F609" s="220"/>
      <c r="G609" s="176"/>
      <c r="H609" s="14" t="s">
        <v>524</v>
      </c>
      <c r="I609" s="185"/>
      <c r="J609" s="185"/>
      <c r="K609" s="185"/>
      <c r="L609" s="185"/>
      <c r="M609" s="185"/>
      <c r="N609" s="185"/>
      <c r="O609" s="185"/>
      <c r="P609" s="55"/>
      <c r="Q609" s="184"/>
      <c r="R609" s="184"/>
      <c r="S609" s="184"/>
      <c r="T609" s="185"/>
      <c r="U609" s="185"/>
      <c r="V609" s="184">
        <v>0</v>
      </c>
      <c r="W609" s="184"/>
      <c r="X609" s="184"/>
      <c r="Y609" s="184">
        <f>Y610</f>
        <v>0</v>
      </c>
      <c r="Z609" s="184"/>
      <c r="AA609" s="184">
        <f t="shared" si="426"/>
        <v>280000</v>
      </c>
      <c r="AB609" s="184">
        <f t="shared" si="434"/>
        <v>280000</v>
      </c>
      <c r="AC609" s="184">
        <f t="shared" si="434"/>
        <v>0</v>
      </c>
      <c r="AD609" s="184">
        <f t="shared" si="408"/>
        <v>0</v>
      </c>
      <c r="AE609" s="184">
        <f t="shared" si="413"/>
        <v>0</v>
      </c>
      <c r="AF609" s="184">
        <f t="shared" si="434"/>
        <v>280000</v>
      </c>
      <c r="AG609" s="184">
        <f t="shared" si="434"/>
        <v>280000</v>
      </c>
      <c r="AH609" s="184">
        <f t="shared" si="434"/>
        <v>0</v>
      </c>
      <c r="AI609" s="184">
        <f t="shared" si="434"/>
        <v>0</v>
      </c>
      <c r="AJ609" s="162" t="b">
        <f t="shared" si="421"/>
        <v>1</v>
      </c>
      <c r="AK609" s="162" t="str">
        <f t="shared" si="422"/>
        <v>PRAZNO</v>
      </c>
      <c r="AM609" s="164"/>
    </row>
    <row r="610" spans="1:39" ht="15.75" x14ac:dyDescent="0.2">
      <c r="B610" s="177"/>
      <c r="C610" s="177">
        <v>32</v>
      </c>
      <c r="D610" s="177"/>
      <c r="E610" s="177"/>
      <c r="F610" s="176"/>
      <c r="G610" s="176"/>
      <c r="H610" s="16" t="s">
        <v>525</v>
      </c>
      <c r="I610" s="27"/>
      <c r="J610" s="27"/>
      <c r="K610" s="27"/>
      <c r="L610" s="27"/>
      <c r="M610" s="27"/>
      <c r="N610" s="27"/>
      <c r="O610" s="27"/>
      <c r="P610" s="26"/>
      <c r="Q610" s="18"/>
      <c r="R610" s="18"/>
      <c r="S610" s="18"/>
      <c r="T610" s="27"/>
      <c r="U610" s="27"/>
      <c r="V610" s="18">
        <v>0</v>
      </c>
      <c r="W610" s="18"/>
      <c r="X610" s="18"/>
      <c r="Y610" s="18">
        <f>Y611</f>
        <v>0</v>
      </c>
      <c r="Z610" s="18"/>
      <c r="AA610" s="18">
        <f t="shared" si="426"/>
        <v>280000</v>
      </c>
      <c r="AB610" s="18">
        <f t="shared" si="434"/>
        <v>280000</v>
      </c>
      <c r="AC610" s="18">
        <f t="shared" si="434"/>
        <v>0</v>
      </c>
      <c r="AD610" s="18">
        <f t="shared" si="408"/>
        <v>0</v>
      </c>
      <c r="AE610" s="18">
        <f t="shared" si="413"/>
        <v>0</v>
      </c>
      <c r="AF610" s="18">
        <f t="shared" si="434"/>
        <v>280000</v>
      </c>
      <c r="AG610" s="18">
        <f t="shared" si="434"/>
        <v>280000</v>
      </c>
      <c r="AH610" s="18">
        <f t="shared" si="434"/>
        <v>0</v>
      </c>
      <c r="AI610" s="18">
        <f t="shared" si="434"/>
        <v>0</v>
      </c>
      <c r="AJ610" s="162" t="b">
        <f t="shared" si="421"/>
        <v>1</v>
      </c>
      <c r="AK610" s="162" t="str">
        <f t="shared" si="422"/>
        <v>PRAZNO</v>
      </c>
      <c r="AM610" s="164"/>
    </row>
    <row r="611" spans="1:39" ht="15.75" x14ac:dyDescent="0.2">
      <c r="B611" s="177"/>
      <c r="C611" s="177"/>
      <c r="D611" s="177">
        <v>323</v>
      </c>
      <c r="E611" s="177"/>
      <c r="F611" s="176"/>
      <c r="G611" s="176"/>
      <c r="H611" s="16" t="s">
        <v>526</v>
      </c>
      <c r="I611" s="27"/>
      <c r="J611" s="27"/>
      <c r="K611" s="27"/>
      <c r="L611" s="27"/>
      <c r="M611" s="27"/>
      <c r="N611" s="27"/>
      <c r="O611" s="27"/>
      <c r="P611" s="26"/>
      <c r="Q611" s="18"/>
      <c r="R611" s="18"/>
      <c r="S611" s="18"/>
      <c r="T611" s="27"/>
      <c r="U611" s="27"/>
      <c r="V611" s="18">
        <f>V612</f>
        <v>0</v>
      </c>
      <c r="W611" s="18"/>
      <c r="X611" s="18"/>
      <c r="Y611" s="18">
        <f>Y612</f>
        <v>0</v>
      </c>
      <c r="Z611" s="18"/>
      <c r="AA611" s="18">
        <f t="shared" si="426"/>
        <v>280000</v>
      </c>
      <c r="AB611" s="18">
        <f t="shared" si="434"/>
        <v>280000</v>
      </c>
      <c r="AC611" s="18">
        <f t="shared" si="434"/>
        <v>0</v>
      </c>
      <c r="AD611" s="18">
        <f t="shared" si="408"/>
        <v>0</v>
      </c>
      <c r="AE611" s="18">
        <f t="shared" si="413"/>
        <v>0</v>
      </c>
      <c r="AF611" s="18">
        <f t="shared" si="434"/>
        <v>280000</v>
      </c>
      <c r="AG611" s="18">
        <f t="shared" si="434"/>
        <v>280000</v>
      </c>
      <c r="AH611" s="18">
        <f t="shared" si="434"/>
        <v>0</v>
      </c>
      <c r="AI611" s="18">
        <f t="shared" si="434"/>
        <v>0</v>
      </c>
      <c r="AJ611" s="162" t="b">
        <f t="shared" si="421"/>
        <v>1</v>
      </c>
      <c r="AK611" s="162" t="str">
        <f t="shared" si="422"/>
        <v>PRAZNO</v>
      </c>
      <c r="AM611" s="164"/>
    </row>
    <row r="612" spans="1:39" ht="45" x14ac:dyDescent="0.2">
      <c r="B612" s="177"/>
      <c r="C612" s="177"/>
      <c r="D612" s="177"/>
      <c r="E612" s="177">
        <v>3237</v>
      </c>
      <c r="F612" s="176">
        <v>14</v>
      </c>
      <c r="G612" s="176"/>
      <c r="H612" s="16" t="s">
        <v>506</v>
      </c>
      <c r="I612" s="27"/>
      <c r="J612" s="27"/>
      <c r="K612" s="27"/>
      <c r="L612" s="27"/>
      <c r="M612" s="27"/>
      <c r="N612" s="27"/>
      <c r="O612" s="27"/>
      <c r="P612" s="26"/>
      <c r="Q612" s="18"/>
      <c r="R612" s="18"/>
      <c r="S612" s="18"/>
      <c r="T612" s="27"/>
      <c r="U612" s="27"/>
      <c r="V612" s="18">
        <v>0</v>
      </c>
      <c r="W612" s="18"/>
      <c r="X612" s="18"/>
      <c r="Y612" s="18">
        <v>0</v>
      </c>
      <c r="Z612" s="18"/>
      <c r="AA612" s="18">
        <f t="shared" si="426"/>
        <v>280000</v>
      </c>
      <c r="AB612" s="18">
        <v>280000</v>
      </c>
      <c r="AC612" s="18">
        <v>0</v>
      </c>
      <c r="AD612" s="18">
        <f t="shared" si="408"/>
        <v>0</v>
      </c>
      <c r="AE612" s="18">
        <f t="shared" si="413"/>
        <v>0</v>
      </c>
      <c r="AF612" s="18">
        <v>280000</v>
      </c>
      <c r="AG612" s="18">
        <v>280000</v>
      </c>
      <c r="AH612" s="18"/>
      <c r="AI612" s="18"/>
      <c r="AJ612" s="162" t="b">
        <f t="shared" si="421"/>
        <v>0</v>
      </c>
      <c r="AK612" s="162" t="str">
        <f t="shared" si="422"/>
        <v>PUNO</v>
      </c>
      <c r="AM612" s="164"/>
    </row>
    <row r="613" spans="1:39" s="264" customFormat="1" ht="34.5" customHeight="1" x14ac:dyDescent="0.2">
      <c r="A613" s="259"/>
      <c r="B613" s="209"/>
      <c r="C613" s="209"/>
      <c r="D613" s="209"/>
      <c r="E613" s="209"/>
      <c r="F613" s="209"/>
      <c r="G613" s="209"/>
      <c r="H613" s="12" t="s">
        <v>313</v>
      </c>
      <c r="I613" s="302">
        <f xml:space="preserve"> I615</f>
        <v>250000</v>
      </c>
      <c r="J613" s="302">
        <f xml:space="preserve"> J615</f>
        <v>139513.24</v>
      </c>
      <c r="K613" s="302">
        <f>ROUND(J613/I613*100,2)</f>
        <v>55.81</v>
      </c>
      <c r="L613" s="302" t="e">
        <f>M613-I613</f>
        <v>#REF!</v>
      </c>
      <c r="M613" s="302" t="e">
        <f xml:space="preserve"> M615</f>
        <v>#REF!</v>
      </c>
      <c r="N613" s="302" t="e">
        <f xml:space="preserve"> N615</f>
        <v>#REF!</v>
      </c>
      <c r="O613" s="302" t="e">
        <f xml:space="preserve"> O615</f>
        <v>#REF!</v>
      </c>
      <c r="P613" s="303" t="e">
        <f>T613-N613</f>
        <v>#REF!</v>
      </c>
      <c r="Q613" s="169" t="e">
        <f t="shared" ref="Q613:Y613" si="435" xml:space="preserve"> Q615</f>
        <v>#REF!</v>
      </c>
      <c r="R613" s="169" t="e">
        <f t="shared" si="435"/>
        <v>#REF!</v>
      </c>
      <c r="S613" s="169" t="e">
        <f t="shared" si="435"/>
        <v>#REF!</v>
      </c>
      <c r="T613" s="303" t="e">
        <f t="shared" si="435"/>
        <v>#REF!</v>
      </c>
      <c r="U613" s="303">
        <f t="shared" si="435"/>
        <v>0</v>
      </c>
      <c r="V613" s="302">
        <f t="shared" si="435"/>
        <v>2150000</v>
      </c>
      <c r="W613" s="302" t="e">
        <f t="shared" si="435"/>
        <v>#REF!</v>
      </c>
      <c r="X613" s="302" t="e">
        <f t="shared" si="435"/>
        <v>#REF!</v>
      </c>
      <c r="Y613" s="302">
        <f t="shared" si="435"/>
        <v>659061.72</v>
      </c>
      <c r="Z613" s="302">
        <f>ROUND(Y613/V613*100,2)</f>
        <v>30.65</v>
      </c>
      <c r="AA613" s="302">
        <f t="shared" si="426"/>
        <v>-2150000</v>
      </c>
      <c r="AB613" s="302">
        <f xml:space="preserve"> AB615</f>
        <v>0</v>
      </c>
      <c r="AC613" s="302">
        <f xml:space="preserve"> AC615</f>
        <v>0</v>
      </c>
      <c r="AD613" s="302" t="e">
        <f t="shared" si="408"/>
        <v>#DIV/0!</v>
      </c>
      <c r="AE613" s="302">
        <f t="shared" si="413"/>
        <v>0</v>
      </c>
      <c r="AF613" s="302">
        <f xml:space="preserve"> AF615</f>
        <v>0</v>
      </c>
      <c r="AG613" s="302">
        <f xml:space="preserve"> AG615</f>
        <v>65000</v>
      </c>
      <c r="AH613" s="302">
        <f xml:space="preserve"> AH615</f>
        <v>65000</v>
      </c>
      <c r="AI613" s="302">
        <f xml:space="preserve"> AI615</f>
        <v>65000</v>
      </c>
      <c r="AJ613" s="162" t="b">
        <f t="shared" si="421"/>
        <v>1</v>
      </c>
      <c r="AK613" s="162" t="str">
        <f t="shared" si="422"/>
        <v>PRAZNO</v>
      </c>
      <c r="AL613" s="263"/>
    </row>
    <row r="614" spans="1:39" s="264" customFormat="1" ht="15.75" x14ac:dyDescent="0.2">
      <c r="A614" s="259"/>
      <c r="B614" s="177"/>
      <c r="C614" s="177"/>
      <c r="D614" s="177"/>
      <c r="E614" s="177"/>
      <c r="F614" s="177"/>
      <c r="G614" s="177"/>
      <c r="H614" s="441" t="s">
        <v>824</v>
      </c>
      <c r="I614" s="406"/>
      <c r="J614" s="406"/>
      <c r="K614" s="406"/>
      <c r="L614" s="406"/>
      <c r="M614" s="406"/>
      <c r="N614" s="406"/>
      <c r="O614" s="406"/>
      <c r="P614" s="445"/>
      <c r="Q614" s="181"/>
      <c r="R614" s="181"/>
      <c r="S614" s="181"/>
      <c r="T614" s="445"/>
      <c r="U614" s="445"/>
      <c r="V614" s="406">
        <f>V615</f>
        <v>2150000</v>
      </c>
      <c r="W614" s="406" t="e">
        <f>W615</f>
        <v>#REF!</v>
      </c>
      <c r="X614" s="406" t="e">
        <f>X615</f>
        <v>#REF!</v>
      </c>
      <c r="Y614" s="406">
        <f>Y615</f>
        <v>659061.72</v>
      </c>
      <c r="Z614" s="406">
        <f>ROUND(Y614/V614*100,2)</f>
        <v>30.65</v>
      </c>
      <c r="AA614" s="406">
        <f t="shared" si="426"/>
        <v>-2150000</v>
      </c>
      <c r="AB614" s="406">
        <f>AB615</f>
        <v>0</v>
      </c>
      <c r="AC614" s="406">
        <f>AC615</f>
        <v>0</v>
      </c>
      <c r="AD614" s="406" t="e">
        <f t="shared" si="408"/>
        <v>#DIV/0!</v>
      </c>
      <c r="AE614" s="406">
        <f t="shared" si="413"/>
        <v>0</v>
      </c>
      <c r="AF614" s="406">
        <f>AF615</f>
        <v>0</v>
      </c>
      <c r="AG614" s="406">
        <f>AG615</f>
        <v>65000</v>
      </c>
      <c r="AH614" s="406">
        <f>AH615</f>
        <v>65000</v>
      </c>
      <c r="AI614" s="406">
        <f>AI615</f>
        <v>65000</v>
      </c>
      <c r="AJ614" s="162" t="b">
        <f t="shared" si="421"/>
        <v>1</v>
      </c>
      <c r="AK614" s="162" t="str">
        <f t="shared" si="422"/>
        <v>PRAZNO</v>
      </c>
      <c r="AL614" s="263"/>
    </row>
    <row r="615" spans="1:39" s="264" customFormat="1" ht="15.75" x14ac:dyDescent="0.2">
      <c r="A615" s="259"/>
      <c r="B615" s="172">
        <v>3</v>
      </c>
      <c r="C615" s="172"/>
      <c r="D615" s="172"/>
      <c r="E615" s="172"/>
      <c r="F615" s="172"/>
      <c r="G615" s="172"/>
      <c r="H615" s="14" t="s">
        <v>524</v>
      </c>
      <c r="I615" s="20">
        <f t="shared" ref="I615:AI616" si="436">I616</f>
        <v>250000</v>
      </c>
      <c r="J615" s="20">
        <f t="shared" si="436"/>
        <v>139513.24</v>
      </c>
      <c r="K615" s="20">
        <f>ROUND(J615/I615*100,2)</f>
        <v>55.81</v>
      </c>
      <c r="L615" s="20" t="e">
        <f>M615-I615</f>
        <v>#REF!</v>
      </c>
      <c r="M615" s="20" t="e">
        <f t="shared" si="436"/>
        <v>#REF!</v>
      </c>
      <c r="N615" s="20" t="e">
        <f t="shared" si="436"/>
        <v>#REF!</v>
      </c>
      <c r="O615" s="20" t="e">
        <f t="shared" si="436"/>
        <v>#REF!</v>
      </c>
      <c r="P615" s="55" t="e">
        <f>T615-N615</f>
        <v>#REF!</v>
      </c>
      <c r="Q615" s="20" t="e">
        <f t="shared" si="436"/>
        <v>#REF!</v>
      </c>
      <c r="R615" s="20" t="e">
        <f t="shared" si="436"/>
        <v>#REF!</v>
      </c>
      <c r="S615" s="20" t="e">
        <f t="shared" si="436"/>
        <v>#REF!</v>
      </c>
      <c r="T615" s="55" t="e">
        <f t="shared" si="436"/>
        <v>#REF!</v>
      </c>
      <c r="U615" s="55">
        <f t="shared" si="436"/>
        <v>0</v>
      </c>
      <c r="V615" s="20">
        <f t="shared" si="436"/>
        <v>2150000</v>
      </c>
      <c r="W615" s="20" t="e">
        <f t="shared" si="436"/>
        <v>#REF!</v>
      </c>
      <c r="X615" s="20" t="e">
        <f t="shared" si="436"/>
        <v>#REF!</v>
      </c>
      <c r="Y615" s="20">
        <f t="shared" si="436"/>
        <v>659061.72</v>
      </c>
      <c r="Z615" s="20">
        <f>ROUND(Y615/V615*100,2)</f>
        <v>30.65</v>
      </c>
      <c r="AA615" s="20">
        <f t="shared" si="426"/>
        <v>-2150000</v>
      </c>
      <c r="AB615" s="20">
        <f t="shared" si="436"/>
        <v>0</v>
      </c>
      <c r="AC615" s="20">
        <f t="shared" si="436"/>
        <v>0</v>
      </c>
      <c r="AD615" s="20" t="e">
        <f t="shared" si="408"/>
        <v>#DIV/0!</v>
      </c>
      <c r="AE615" s="20">
        <f t="shared" si="413"/>
        <v>0</v>
      </c>
      <c r="AF615" s="20">
        <f t="shared" si="436"/>
        <v>0</v>
      </c>
      <c r="AG615" s="20">
        <f t="shared" si="436"/>
        <v>65000</v>
      </c>
      <c r="AH615" s="20">
        <f t="shared" si="436"/>
        <v>65000</v>
      </c>
      <c r="AI615" s="20">
        <f t="shared" si="436"/>
        <v>65000</v>
      </c>
      <c r="AJ615" s="162" t="b">
        <f t="shared" si="421"/>
        <v>1</v>
      </c>
      <c r="AK615" s="162" t="str">
        <f t="shared" si="422"/>
        <v>PRAZNO</v>
      </c>
      <c r="AL615" s="263"/>
    </row>
    <row r="616" spans="1:39" ht="15.75" x14ac:dyDescent="0.2">
      <c r="B616" s="175"/>
      <c r="C616" s="175">
        <v>38</v>
      </c>
      <c r="D616" s="175"/>
      <c r="E616" s="175"/>
      <c r="F616" s="175"/>
      <c r="G616" s="175"/>
      <c r="H616" s="15" t="s">
        <v>539</v>
      </c>
      <c r="I616" s="22">
        <f t="shared" si="436"/>
        <v>250000</v>
      </c>
      <c r="J616" s="22">
        <f t="shared" si="436"/>
        <v>139513.24</v>
      </c>
      <c r="K616" s="22">
        <f>ROUND(J616/I616*100,2)</f>
        <v>55.81</v>
      </c>
      <c r="L616" s="22" t="e">
        <f>M616-I616</f>
        <v>#REF!</v>
      </c>
      <c r="M616" s="22" t="e">
        <f t="shared" si="436"/>
        <v>#REF!</v>
      </c>
      <c r="N616" s="22" t="e">
        <f t="shared" si="436"/>
        <v>#REF!</v>
      </c>
      <c r="O616" s="22" t="e">
        <f t="shared" si="436"/>
        <v>#REF!</v>
      </c>
      <c r="P616" s="26" t="e">
        <f>T616-N616</f>
        <v>#REF!</v>
      </c>
      <c r="Q616" s="22" t="e">
        <f t="shared" si="436"/>
        <v>#REF!</v>
      </c>
      <c r="R616" s="22" t="e">
        <f t="shared" si="436"/>
        <v>#REF!</v>
      </c>
      <c r="S616" s="22" t="e">
        <f t="shared" si="436"/>
        <v>#REF!</v>
      </c>
      <c r="T616" s="38" t="e">
        <f t="shared" si="436"/>
        <v>#REF!</v>
      </c>
      <c r="U616" s="38">
        <f t="shared" si="436"/>
        <v>0</v>
      </c>
      <c r="V616" s="22">
        <f t="shared" si="436"/>
        <v>2150000</v>
      </c>
      <c r="W616" s="22" t="e">
        <f t="shared" si="436"/>
        <v>#REF!</v>
      </c>
      <c r="X616" s="22" t="e">
        <f t="shared" si="436"/>
        <v>#REF!</v>
      </c>
      <c r="Y616" s="22">
        <f t="shared" si="436"/>
        <v>659061.72</v>
      </c>
      <c r="Z616" s="22">
        <f>ROUND(Y616/V616*100,2)</f>
        <v>30.65</v>
      </c>
      <c r="AA616" s="22">
        <f t="shared" si="426"/>
        <v>-2150000</v>
      </c>
      <c r="AB616" s="22">
        <f t="shared" si="436"/>
        <v>0</v>
      </c>
      <c r="AC616" s="22">
        <f t="shared" si="436"/>
        <v>0</v>
      </c>
      <c r="AD616" s="22" t="e">
        <f t="shared" si="408"/>
        <v>#DIV/0!</v>
      </c>
      <c r="AE616" s="22">
        <f t="shared" si="413"/>
        <v>0</v>
      </c>
      <c r="AF616" s="22">
        <f t="shared" si="436"/>
        <v>0</v>
      </c>
      <c r="AG616" s="22">
        <f t="shared" si="436"/>
        <v>65000</v>
      </c>
      <c r="AH616" s="22">
        <f t="shared" si="436"/>
        <v>65000</v>
      </c>
      <c r="AI616" s="22">
        <f t="shared" si="436"/>
        <v>65000</v>
      </c>
      <c r="AJ616" s="162" t="b">
        <f t="shared" si="421"/>
        <v>1</v>
      </c>
      <c r="AK616" s="162" t="str">
        <f t="shared" si="422"/>
        <v>PRAZNO</v>
      </c>
      <c r="AM616" s="264"/>
    </row>
    <row r="617" spans="1:39" ht="15.75" x14ac:dyDescent="0.2">
      <c r="B617" s="177"/>
      <c r="C617" s="177"/>
      <c r="D617" s="177">
        <v>381</v>
      </c>
      <c r="E617" s="177"/>
      <c r="F617" s="177"/>
      <c r="G617" s="177"/>
      <c r="H617" s="16" t="s">
        <v>540</v>
      </c>
      <c r="I617" s="17">
        <f>SUM(I618:I621)</f>
        <v>250000</v>
      </c>
      <c r="J617" s="17">
        <f>SUM(J618:J621)</f>
        <v>139513.24</v>
      </c>
      <c r="K617" s="17">
        <f>ROUND(J617/I617*100,2)</f>
        <v>55.81</v>
      </c>
      <c r="L617" s="17" t="e">
        <f>M617-I617</f>
        <v>#REF!</v>
      </c>
      <c r="M617" s="17" t="e">
        <f>SUM(M618:M621)</f>
        <v>#REF!</v>
      </c>
      <c r="N617" s="17" t="e">
        <f>SUM(N618:N621)</f>
        <v>#REF!</v>
      </c>
      <c r="O617" s="17" t="e">
        <f>SUM(O618:O621)</f>
        <v>#REF!</v>
      </c>
      <c r="P617" s="26" t="e">
        <f>T617-N617</f>
        <v>#REF!</v>
      </c>
      <c r="Q617" s="17" t="e">
        <f>SUM(Q618:Q621)</f>
        <v>#REF!</v>
      </c>
      <c r="R617" s="17" t="e">
        <f>SUM(R618:R621)</f>
        <v>#REF!</v>
      </c>
      <c r="S617" s="17" t="e">
        <f>SUM(S618:S621)</f>
        <v>#REF!</v>
      </c>
      <c r="T617" s="26" t="e">
        <f>SUM(T618:T621)</f>
        <v>#REF!</v>
      </c>
      <c r="U617" s="26">
        <f>U618+U619</f>
        <v>0</v>
      </c>
      <c r="V617" s="17">
        <f>SUM(V618:V621)</f>
        <v>2150000</v>
      </c>
      <c r="W617" s="17" t="e">
        <f>SUM(W618:W621)</f>
        <v>#REF!</v>
      </c>
      <c r="X617" s="17" t="e">
        <f>SUM(X618:X621)</f>
        <v>#REF!</v>
      </c>
      <c r="Y617" s="17">
        <f>SUM(Y618:Y621)</f>
        <v>659061.72</v>
      </c>
      <c r="Z617" s="17">
        <f>ROUND(Y617/V617*100,2)</f>
        <v>30.65</v>
      </c>
      <c r="AA617" s="17">
        <f t="shared" si="426"/>
        <v>-2150000</v>
      </c>
      <c r="AB617" s="26">
        <f>AB618+AB619</f>
        <v>0</v>
      </c>
      <c r="AC617" s="26">
        <f>AC618+AC619</f>
        <v>0</v>
      </c>
      <c r="AD617" s="17" t="e">
        <f t="shared" si="408"/>
        <v>#DIV/0!</v>
      </c>
      <c r="AE617" s="26">
        <f>AE618+AE619</f>
        <v>0</v>
      </c>
      <c r="AF617" s="26">
        <f>AF618+AF619</f>
        <v>0</v>
      </c>
      <c r="AG617" s="26">
        <f>AG618+AG619</f>
        <v>65000</v>
      </c>
      <c r="AH617" s="26">
        <f>AH618+AH619</f>
        <v>65000</v>
      </c>
      <c r="AI617" s="26">
        <f>AI618+AI619</f>
        <v>65000</v>
      </c>
      <c r="AJ617" s="162" t="b">
        <f t="shared" si="421"/>
        <v>1</v>
      </c>
      <c r="AK617" s="162" t="str">
        <f t="shared" si="422"/>
        <v>PRAZNO</v>
      </c>
      <c r="AM617" s="264"/>
    </row>
    <row r="618" spans="1:39" ht="30" customHeight="1" x14ac:dyDescent="0.2">
      <c r="B618" s="177"/>
      <c r="C618" s="177"/>
      <c r="D618" s="177"/>
      <c r="E618" s="177">
        <v>3811</v>
      </c>
      <c r="F618" s="176">
        <v>11</v>
      </c>
      <c r="G618" s="177"/>
      <c r="H618" s="16" t="s">
        <v>148</v>
      </c>
      <c r="I618" s="17">
        <v>250000</v>
      </c>
      <c r="J618" s="17">
        <v>139513.24</v>
      </c>
      <c r="K618" s="17">
        <f>ROUND(J618/I618*100,2)</f>
        <v>55.81</v>
      </c>
      <c r="L618" s="17">
        <f>M618-I618</f>
        <v>-3438.5</v>
      </c>
      <c r="M618" s="17">
        <v>246561.5</v>
      </c>
      <c r="N618" s="17">
        <v>250000</v>
      </c>
      <c r="O618" s="17">
        <v>191343.91</v>
      </c>
      <c r="P618" s="26">
        <f>T618-N618</f>
        <v>83000</v>
      </c>
      <c r="Q618" s="17">
        <v>250000</v>
      </c>
      <c r="R618" s="17">
        <v>255000</v>
      </c>
      <c r="S618" s="17">
        <v>260000</v>
      </c>
      <c r="T618" s="26">
        <v>333000</v>
      </c>
      <c r="U618" s="26"/>
      <c r="V618" s="26"/>
      <c r="W618" s="17"/>
      <c r="X618" s="17"/>
      <c r="Y618" s="26"/>
      <c r="Z618" s="26"/>
      <c r="AA618" s="26"/>
      <c r="AB618" s="26"/>
      <c r="AC618" s="26"/>
      <c r="AD618" s="26"/>
      <c r="AE618" s="26"/>
      <c r="AF618" s="26"/>
      <c r="AG618" s="26">
        <v>32500</v>
      </c>
      <c r="AH618" s="26">
        <v>32500</v>
      </c>
      <c r="AI618" s="26">
        <v>32500</v>
      </c>
      <c r="AJ618" s="162" t="b">
        <f t="shared" si="421"/>
        <v>0</v>
      </c>
      <c r="AK618" s="162" t="str">
        <f t="shared" si="422"/>
        <v>PUNO</v>
      </c>
      <c r="AM618" s="264"/>
    </row>
    <row r="619" spans="1:39" ht="30" x14ac:dyDescent="0.2">
      <c r="B619" s="177"/>
      <c r="C619" s="177"/>
      <c r="D619" s="177"/>
      <c r="E619" s="177">
        <v>3811</v>
      </c>
      <c r="F619" s="176">
        <v>11</v>
      </c>
      <c r="G619" s="176"/>
      <c r="H619" s="16" t="s">
        <v>309</v>
      </c>
      <c r="I619" s="27"/>
      <c r="J619" s="27"/>
      <c r="K619" s="27"/>
      <c r="L619" s="27"/>
      <c r="M619" s="27"/>
      <c r="N619" s="27"/>
      <c r="O619" s="27"/>
      <c r="P619" s="26"/>
      <c r="Q619" s="18"/>
      <c r="R619" s="18"/>
      <c r="S619" s="18"/>
      <c r="T619" s="27"/>
      <c r="U619" s="27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26">
        <v>32500</v>
      </c>
      <c r="AH619" s="26">
        <v>32500</v>
      </c>
      <c r="AI619" s="26">
        <v>32500</v>
      </c>
      <c r="AJ619" s="162" t="b">
        <f t="shared" si="421"/>
        <v>0</v>
      </c>
      <c r="AK619" s="162" t="str">
        <f t="shared" si="422"/>
        <v>PUNO</v>
      </c>
      <c r="AM619" s="164"/>
    </row>
    <row r="620" spans="1:39" s="164" customFormat="1" ht="15.75" x14ac:dyDescent="0.2">
      <c r="A620" s="259"/>
      <c r="B620" s="194"/>
      <c r="C620" s="194"/>
      <c r="D620" s="194"/>
      <c r="E620" s="194"/>
      <c r="F620" s="159"/>
      <c r="G620" s="159"/>
      <c r="H620" s="11" t="s">
        <v>304</v>
      </c>
      <c r="I620" s="196"/>
      <c r="J620" s="196"/>
      <c r="K620" s="196"/>
      <c r="L620" s="196"/>
      <c r="M620" s="195"/>
      <c r="N620" s="195"/>
      <c r="O620" s="195"/>
      <c r="P620" s="353"/>
      <c r="Q620" s="195"/>
      <c r="R620" s="195"/>
      <c r="S620" s="195"/>
      <c r="T620" s="197"/>
      <c r="U620" s="197"/>
      <c r="V620" s="195"/>
      <c r="W620" s="195"/>
      <c r="X620" s="195"/>
      <c r="Y620" s="195"/>
      <c r="Z620" s="195"/>
      <c r="AA620" s="195"/>
      <c r="AB620" s="195"/>
      <c r="AC620" s="195"/>
      <c r="AD620" s="195"/>
      <c r="AE620" s="195"/>
      <c r="AF620" s="195"/>
      <c r="AG620" s="195"/>
      <c r="AH620" s="195"/>
      <c r="AI620" s="195"/>
      <c r="AJ620" s="162" t="b">
        <f t="shared" si="421"/>
        <v>1</v>
      </c>
      <c r="AK620" s="162" t="str">
        <f t="shared" si="422"/>
        <v>PRAZNO</v>
      </c>
      <c r="AL620" s="165"/>
    </row>
    <row r="621" spans="1:39" s="171" customFormat="1" ht="15.75" x14ac:dyDescent="0.2">
      <c r="A621" s="259"/>
      <c r="B621" s="270"/>
      <c r="C621" s="270"/>
      <c r="D621" s="270"/>
      <c r="E621" s="270"/>
      <c r="F621" s="270"/>
      <c r="G621" s="270"/>
      <c r="H621" s="276" t="s">
        <v>711</v>
      </c>
      <c r="I621" s="273"/>
      <c r="J621" s="273"/>
      <c r="K621" s="273"/>
      <c r="L621" s="273"/>
      <c r="M621" s="272" t="e">
        <f>#REF!+M623+M630+M644+M650+M661+M667</f>
        <v>#REF!</v>
      </c>
      <c r="N621" s="272" t="e">
        <f>#REF!+N623+N630+N644+N650+N661+N667</f>
        <v>#REF!</v>
      </c>
      <c r="O621" s="272" t="e">
        <f>#REF!+O623+O630+O644+O650+O661+O667</f>
        <v>#REF!</v>
      </c>
      <c r="P621" s="336" t="e">
        <f>T621-N621</f>
        <v>#REF!</v>
      </c>
      <c r="Q621" s="272" t="e">
        <f>#REF!+Q623+Q630+Q644+Q650+Q661+Q667</f>
        <v>#REF!</v>
      </c>
      <c r="R621" s="272" t="e">
        <f>#REF!+R623+R630+R644+R650+R661+R667</f>
        <v>#REF!</v>
      </c>
      <c r="S621" s="272" t="e">
        <f>#REF!+S623+S630+S644+S650+S661+S667</f>
        <v>#REF!</v>
      </c>
      <c r="T621" s="275" t="e">
        <f>#REF!+T623+T630+T644+T650+T661+T667</f>
        <v>#REF!</v>
      </c>
      <c r="U621" s="272">
        <f t="shared" ref="U621:AC621" si="437">U623+U630+U644+U650+U661+U667</f>
        <v>1994394.29</v>
      </c>
      <c r="V621" s="272">
        <f t="shared" si="437"/>
        <v>2150000</v>
      </c>
      <c r="W621" s="272" t="e">
        <f t="shared" si="437"/>
        <v>#REF!</v>
      </c>
      <c r="X621" s="272" t="e">
        <f t="shared" si="437"/>
        <v>#REF!</v>
      </c>
      <c r="Y621" s="272">
        <f t="shared" si="437"/>
        <v>659061.72</v>
      </c>
      <c r="Z621" s="272">
        <f t="shared" si="437"/>
        <v>231.38</v>
      </c>
      <c r="AA621" s="272">
        <f t="shared" si="437"/>
        <v>126000</v>
      </c>
      <c r="AB621" s="272">
        <f t="shared" si="437"/>
        <v>2276000</v>
      </c>
      <c r="AC621" s="272">
        <f t="shared" si="437"/>
        <v>862437.17999999993</v>
      </c>
      <c r="AD621" s="272">
        <f t="shared" si="408"/>
        <v>37.892670474516692</v>
      </c>
      <c r="AE621" s="272">
        <f t="shared" si="413"/>
        <v>-100000</v>
      </c>
      <c r="AF621" s="272">
        <f>AF623+AF630+AF644+AF650+AF661+AF667</f>
        <v>2176000</v>
      </c>
      <c r="AG621" s="272">
        <f>AG623+AG630+AG644+AG650+AG661+AG667</f>
        <v>1230000</v>
      </c>
      <c r="AH621" s="272">
        <f>AH623+AH630+AH644+AH650+AH661+AH667</f>
        <v>1180000</v>
      </c>
      <c r="AI621" s="272">
        <f>AI623+AI630+AI644+AI650+AI661+AI667</f>
        <v>1230000</v>
      </c>
      <c r="AJ621" s="162" t="b">
        <f t="shared" si="421"/>
        <v>1</v>
      </c>
      <c r="AK621" s="162" t="str">
        <f t="shared" si="422"/>
        <v>PRAZNO</v>
      </c>
      <c r="AL621" s="170"/>
      <c r="AM621" s="164"/>
    </row>
    <row r="622" spans="1:39" s="171" customFormat="1" ht="15.75" x14ac:dyDescent="0.2">
      <c r="A622" s="259"/>
      <c r="B622" s="168"/>
      <c r="C622" s="168"/>
      <c r="D622" s="168"/>
      <c r="E622" s="168"/>
      <c r="F622" s="168"/>
      <c r="G622" s="168"/>
      <c r="H622" s="25" t="s">
        <v>444</v>
      </c>
      <c r="I622" s="169"/>
      <c r="J622" s="169"/>
      <c r="K622" s="169"/>
      <c r="L622" s="169"/>
      <c r="M622" s="19"/>
      <c r="N622" s="19"/>
      <c r="O622" s="19"/>
      <c r="P622" s="303"/>
      <c r="Q622" s="19"/>
      <c r="R622" s="19"/>
      <c r="S622" s="19"/>
      <c r="T622" s="53"/>
      <c r="U622" s="53"/>
      <c r="V622" s="19"/>
      <c r="W622" s="19"/>
      <c r="X622" s="19"/>
      <c r="Y622" s="19"/>
      <c r="Z622" s="19"/>
      <c r="AA622" s="19"/>
      <c r="AB622" s="19"/>
      <c r="AC622" s="19"/>
      <c r="AD622" s="19"/>
      <c r="AE622" s="19">
        <f t="shared" si="413"/>
        <v>0</v>
      </c>
      <c r="AF622" s="19"/>
      <c r="AG622" s="19"/>
      <c r="AH622" s="19"/>
      <c r="AI622" s="19"/>
      <c r="AJ622" s="162" t="b">
        <f t="shared" si="421"/>
        <v>1</v>
      </c>
      <c r="AK622" s="162" t="str">
        <f t="shared" si="422"/>
        <v>PRAZNO</v>
      </c>
      <c r="AL622" s="170"/>
      <c r="AM622" s="164"/>
    </row>
    <row r="623" spans="1:39" s="171" customFormat="1" ht="15.75" x14ac:dyDescent="0.2">
      <c r="A623" s="259"/>
      <c r="B623" s="168"/>
      <c r="C623" s="168"/>
      <c r="D623" s="168"/>
      <c r="E623" s="168"/>
      <c r="F623" s="168"/>
      <c r="G623" s="168"/>
      <c r="H623" s="13" t="s">
        <v>583</v>
      </c>
      <c r="I623" s="169">
        <f>I625</f>
        <v>90000</v>
      </c>
      <c r="J623" s="169">
        <f>J625</f>
        <v>64493</v>
      </c>
      <c r="K623" s="169">
        <f t="shared" ref="K623:K629" si="438">ROUND(J623/I623*100,2)</f>
        <v>71.66</v>
      </c>
      <c r="L623" s="169">
        <f t="shared" ref="L623:L629" si="439">M623-I623</f>
        <v>-18680.5</v>
      </c>
      <c r="M623" s="19">
        <f>M625</f>
        <v>71319.5</v>
      </c>
      <c r="N623" s="19">
        <f>N625</f>
        <v>80000</v>
      </c>
      <c r="O623" s="19">
        <f>O625</f>
        <v>72356.639999999999</v>
      </c>
      <c r="P623" s="303">
        <f>T623-N623</f>
        <v>0</v>
      </c>
      <c r="Q623" s="19">
        <f t="shared" ref="Q623:X623" si="440">Q625</f>
        <v>80000</v>
      </c>
      <c r="R623" s="19">
        <f t="shared" si="440"/>
        <v>80000</v>
      </c>
      <c r="S623" s="19">
        <f t="shared" si="440"/>
        <v>80000</v>
      </c>
      <c r="T623" s="53">
        <f t="shared" si="440"/>
        <v>80000</v>
      </c>
      <c r="U623" s="53">
        <f>U625</f>
        <v>77456.289999999994</v>
      </c>
      <c r="V623" s="19">
        <f t="shared" si="440"/>
        <v>80000</v>
      </c>
      <c r="W623" s="19">
        <f t="shared" si="440"/>
        <v>80000</v>
      </c>
      <c r="X623" s="19">
        <f t="shared" si="440"/>
        <v>80000</v>
      </c>
      <c r="Y623" s="19">
        <f>Y625</f>
        <v>69840</v>
      </c>
      <c r="Z623" s="19">
        <f t="shared" ref="Z623:Z632" si="441">ROUND(Y623/V623*100,2)</f>
        <v>87.3</v>
      </c>
      <c r="AA623" s="19">
        <f t="shared" si="426"/>
        <v>0</v>
      </c>
      <c r="AB623" s="19">
        <f>AB625</f>
        <v>80000</v>
      </c>
      <c r="AC623" s="19">
        <f>AC625</f>
        <v>69840</v>
      </c>
      <c r="AD623" s="19">
        <f t="shared" si="408"/>
        <v>87.3</v>
      </c>
      <c r="AE623" s="19">
        <f t="shared" si="413"/>
        <v>0</v>
      </c>
      <c r="AF623" s="19">
        <f>AF625</f>
        <v>80000</v>
      </c>
      <c r="AG623" s="19">
        <f>AG625</f>
        <v>80000</v>
      </c>
      <c r="AH623" s="19">
        <f>AH625</f>
        <v>80000</v>
      </c>
      <c r="AI623" s="19">
        <f>AI625</f>
        <v>80000</v>
      </c>
      <c r="AJ623" s="162" t="b">
        <f t="shared" si="421"/>
        <v>1</v>
      </c>
      <c r="AK623" s="162" t="str">
        <f t="shared" si="422"/>
        <v>PRAZNO</v>
      </c>
      <c r="AL623" s="170"/>
      <c r="AM623" s="164"/>
    </row>
    <row r="624" spans="1:39" s="264" customFormat="1" ht="15.75" x14ac:dyDescent="0.2">
      <c r="A624" s="259"/>
      <c r="B624" s="260"/>
      <c r="C624" s="260"/>
      <c r="D624" s="260"/>
      <c r="E624" s="260"/>
      <c r="F624" s="260"/>
      <c r="G624" s="260"/>
      <c r="H624" s="440" t="s">
        <v>824</v>
      </c>
      <c r="I624" s="181"/>
      <c r="J624" s="181"/>
      <c r="K624" s="181"/>
      <c r="L624" s="181"/>
      <c r="M624" s="262"/>
      <c r="N624" s="262"/>
      <c r="O624" s="262"/>
      <c r="P624" s="445"/>
      <c r="Q624" s="262"/>
      <c r="R624" s="262"/>
      <c r="S624" s="262"/>
      <c r="T624" s="342"/>
      <c r="U624" s="342"/>
      <c r="V624" s="262">
        <f>V625</f>
        <v>80000</v>
      </c>
      <c r="W624" s="262">
        <f>W625</f>
        <v>80000</v>
      </c>
      <c r="X624" s="262">
        <f>X625</f>
        <v>80000</v>
      </c>
      <c r="Y624" s="262">
        <f>Y625</f>
        <v>69840</v>
      </c>
      <c r="Z624" s="262">
        <f t="shared" si="441"/>
        <v>87.3</v>
      </c>
      <c r="AA624" s="262">
        <f t="shared" si="426"/>
        <v>0</v>
      </c>
      <c r="AB624" s="262">
        <f>AB625</f>
        <v>80000</v>
      </c>
      <c r="AC624" s="262">
        <f>AC625</f>
        <v>69840</v>
      </c>
      <c r="AD624" s="262">
        <f t="shared" si="408"/>
        <v>87.3</v>
      </c>
      <c r="AE624" s="262">
        <f t="shared" si="413"/>
        <v>0</v>
      </c>
      <c r="AF624" s="262">
        <f>AF625</f>
        <v>80000</v>
      </c>
      <c r="AG624" s="262">
        <f>AG625</f>
        <v>80000</v>
      </c>
      <c r="AH624" s="262">
        <f>AH625</f>
        <v>80000</v>
      </c>
      <c r="AI624" s="262">
        <f>AI625</f>
        <v>80000</v>
      </c>
      <c r="AJ624" s="162" t="b">
        <f t="shared" si="421"/>
        <v>1</v>
      </c>
      <c r="AK624" s="162" t="str">
        <f t="shared" si="422"/>
        <v>PRAZNO</v>
      </c>
      <c r="AL624" s="263"/>
    </row>
    <row r="625" spans="1:39" s="174" customFormat="1" ht="15.75" x14ac:dyDescent="0.2">
      <c r="A625" s="259"/>
      <c r="B625" s="172">
        <v>3</v>
      </c>
      <c r="C625" s="172"/>
      <c r="D625" s="172"/>
      <c r="E625" s="172"/>
      <c r="F625" s="172"/>
      <c r="G625" s="172"/>
      <c r="H625" s="14" t="s">
        <v>524</v>
      </c>
      <c r="I625" s="20">
        <f t="shared" ref="I625:AI626" si="442">I626</f>
        <v>90000</v>
      </c>
      <c r="J625" s="20">
        <f t="shared" si="442"/>
        <v>64493</v>
      </c>
      <c r="K625" s="20">
        <f t="shared" si="438"/>
        <v>71.66</v>
      </c>
      <c r="L625" s="20">
        <f t="shared" si="439"/>
        <v>-18680.5</v>
      </c>
      <c r="M625" s="20">
        <f t="shared" si="442"/>
        <v>71319.5</v>
      </c>
      <c r="N625" s="20">
        <f t="shared" si="442"/>
        <v>80000</v>
      </c>
      <c r="O625" s="20">
        <f t="shared" si="442"/>
        <v>72356.639999999999</v>
      </c>
      <c r="P625" s="55">
        <f>T625-N625</f>
        <v>0</v>
      </c>
      <c r="Q625" s="20">
        <f t="shared" si="442"/>
        <v>80000</v>
      </c>
      <c r="R625" s="20">
        <f t="shared" si="442"/>
        <v>80000</v>
      </c>
      <c r="S625" s="20">
        <f t="shared" si="442"/>
        <v>80000</v>
      </c>
      <c r="T625" s="55">
        <f t="shared" si="442"/>
        <v>80000</v>
      </c>
      <c r="U625" s="55">
        <f t="shared" si="442"/>
        <v>77456.289999999994</v>
      </c>
      <c r="V625" s="20">
        <f t="shared" si="442"/>
        <v>80000</v>
      </c>
      <c r="W625" s="20">
        <f t="shared" si="442"/>
        <v>80000</v>
      </c>
      <c r="X625" s="20">
        <f t="shared" si="442"/>
        <v>80000</v>
      </c>
      <c r="Y625" s="20">
        <f t="shared" si="442"/>
        <v>69840</v>
      </c>
      <c r="Z625" s="20">
        <f t="shared" si="441"/>
        <v>87.3</v>
      </c>
      <c r="AA625" s="20">
        <f t="shared" si="426"/>
        <v>0</v>
      </c>
      <c r="AB625" s="20">
        <f t="shared" si="442"/>
        <v>80000</v>
      </c>
      <c r="AC625" s="20">
        <f t="shared" si="442"/>
        <v>69840</v>
      </c>
      <c r="AD625" s="20">
        <f t="shared" si="408"/>
        <v>87.3</v>
      </c>
      <c r="AE625" s="20">
        <f t="shared" si="413"/>
        <v>0</v>
      </c>
      <c r="AF625" s="20">
        <f t="shared" si="442"/>
        <v>80000</v>
      </c>
      <c r="AG625" s="20">
        <f t="shared" si="442"/>
        <v>80000</v>
      </c>
      <c r="AH625" s="20">
        <f t="shared" si="442"/>
        <v>80000</v>
      </c>
      <c r="AI625" s="20">
        <f t="shared" si="442"/>
        <v>80000</v>
      </c>
      <c r="AJ625" s="162" t="b">
        <f t="shared" si="421"/>
        <v>1</v>
      </c>
      <c r="AK625" s="162" t="str">
        <f t="shared" si="422"/>
        <v>PRAZNO</v>
      </c>
      <c r="AL625" s="173"/>
      <c r="AM625" s="164"/>
    </row>
    <row r="626" spans="1:39" ht="15.75" x14ac:dyDescent="0.2">
      <c r="B626" s="177"/>
      <c r="C626" s="177">
        <v>38</v>
      </c>
      <c r="D626" s="177"/>
      <c r="E626" s="177"/>
      <c r="F626" s="177"/>
      <c r="G626" s="177"/>
      <c r="H626" s="16" t="s">
        <v>539</v>
      </c>
      <c r="I626" s="17">
        <f t="shared" si="442"/>
        <v>90000</v>
      </c>
      <c r="J626" s="17">
        <f t="shared" si="442"/>
        <v>64493</v>
      </c>
      <c r="K626" s="17">
        <f t="shared" si="438"/>
        <v>71.66</v>
      </c>
      <c r="L626" s="17">
        <f t="shared" si="439"/>
        <v>-18680.5</v>
      </c>
      <c r="M626" s="17">
        <f t="shared" si="442"/>
        <v>71319.5</v>
      </c>
      <c r="N626" s="17">
        <f t="shared" si="442"/>
        <v>80000</v>
      </c>
      <c r="O626" s="17">
        <f t="shared" si="442"/>
        <v>72356.639999999999</v>
      </c>
      <c r="P626" s="26">
        <f>T626-N626</f>
        <v>0</v>
      </c>
      <c r="Q626" s="17">
        <f t="shared" si="442"/>
        <v>80000</v>
      </c>
      <c r="R626" s="17">
        <f t="shared" si="442"/>
        <v>80000</v>
      </c>
      <c r="S626" s="17">
        <f t="shared" si="442"/>
        <v>80000</v>
      </c>
      <c r="T626" s="26">
        <f t="shared" si="442"/>
        <v>80000</v>
      </c>
      <c r="U626" s="26">
        <f t="shared" si="442"/>
        <v>77456.289999999994</v>
      </c>
      <c r="V626" s="17">
        <f t="shared" si="442"/>
        <v>80000</v>
      </c>
      <c r="W626" s="17">
        <f t="shared" si="442"/>
        <v>80000</v>
      </c>
      <c r="X626" s="17">
        <f t="shared" si="442"/>
        <v>80000</v>
      </c>
      <c r="Y626" s="17">
        <f t="shared" si="442"/>
        <v>69840</v>
      </c>
      <c r="Z626" s="17">
        <f t="shared" si="441"/>
        <v>87.3</v>
      </c>
      <c r="AA626" s="17">
        <f t="shared" si="426"/>
        <v>0</v>
      </c>
      <c r="AB626" s="17">
        <f t="shared" si="442"/>
        <v>80000</v>
      </c>
      <c r="AC626" s="17">
        <f t="shared" si="442"/>
        <v>69840</v>
      </c>
      <c r="AD626" s="17">
        <f t="shared" si="408"/>
        <v>87.3</v>
      </c>
      <c r="AE626" s="17">
        <f t="shared" si="413"/>
        <v>0</v>
      </c>
      <c r="AF626" s="17">
        <f t="shared" si="442"/>
        <v>80000</v>
      </c>
      <c r="AG626" s="17">
        <f t="shared" si="442"/>
        <v>80000</v>
      </c>
      <c r="AH626" s="17">
        <f t="shared" si="442"/>
        <v>80000</v>
      </c>
      <c r="AI626" s="17">
        <f t="shared" si="442"/>
        <v>80000</v>
      </c>
      <c r="AJ626" s="162" t="b">
        <f t="shared" si="421"/>
        <v>1</v>
      </c>
      <c r="AK626" s="162" t="str">
        <f t="shared" si="422"/>
        <v>PRAZNO</v>
      </c>
      <c r="AM626" s="164"/>
    </row>
    <row r="627" spans="1:39" ht="15.75" x14ac:dyDescent="0.2">
      <c r="B627" s="177"/>
      <c r="C627" s="177"/>
      <c r="D627" s="177">
        <v>381</v>
      </c>
      <c r="E627" s="177"/>
      <c r="F627" s="177"/>
      <c r="G627" s="177"/>
      <c r="H627" s="16" t="s">
        <v>540</v>
      </c>
      <c r="I627" s="17">
        <f>I629</f>
        <v>90000</v>
      </c>
      <c r="J627" s="17">
        <f>J629</f>
        <v>64493</v>
      </c>
      <c r="K627" s="17">
        <f t="shared" si="438"/>
        <v>71.66</v>
      </c>
      <c r="L627" s="17">
        <f t="shared" si="439"/>
        <v>-18680.5</v>
      </c>
      <c r="M627" s="17">
        <f>M629</f>
        <v>71319.5</v>
      </c>
      <c r="N627" s="17">
        <f>N629</f>
        <v>80000</v>
      </c>
      <c r="O627" s="17">
        <f>O629</f>
        <v>72356.639999999999</v>
      </c>
      <c r="P627" s="26">
        <f>T627-N627</f>
        <v>0</v>
      </c>
      <c r="Q627" s="17">
        <f>Q629</f>
        <v>80000</v>
      </c>
      <c r="R627" s="17">
        <f>R629</f>
        <v>80000</v>
      </c>
      <c r="S627" s="17">
        <f>S629</f>
        <v>80000</v>
      </c>
      <c r="T627" s="26">
        <f>T629</f>
        <v>80000</v>
      </c>
      <c r="U627" s="26">
        <f>U629</f>
        <v>77456.289999999994</v>
      </c>
      <c r="V627" s="17">
        <f>V629+V628</f>
        <v>80000</v>
      </c>
      <c r="W627" s="17">
        <f>W629+W628</f>
        <v>80000</v>
      </c>
      <c r="X627" s="17">
        <f>X629+X628</f>
        <v>80000</v>
      </c>
      <c r="Y627" s="17">
        <f>Y629+Y628</f>
        <v>69840</v>
      </c>
      <c r="Z627" s="17">
        <f t="shared" si="441"/>
        <v>87.3</v>
      </c>
      <c r="AA627" s="17">
        <f t="shared" si="426"/>
        <v>0</v>
      </c>
      <c r="AB627" s="17">
        <f>AB629+AB628</f>
        <v>80000</v>
      </c>
      <c r="AC627" s="17">
        <f>AC629+AC628</f>
        <v>69840</v>
      </c>
      <c r="AD627" s="17">
        <f t="shared" si="408"/>
        <v>87.3</v>
      </c>
      <c r="AE627" s="17">
        <f t="shared" si="413"/>
        <v>0</v>
      </c>
      <c r="AF627" s="17">
        <f>AF629+AF628</f>
        <v>80000</v>
      </c>
      <c r="AG627" s="17">
        <f>AG629+AG628</f>
        <v>80000</v>
      </c>
      <c r="AH627" s="17">
        <f>AH629+AH628</f>
        <v>80000</v>
      </c>
      <c r="AI627" s="17">
        <f>AI629+AI628</f>
        <v>80000</v>
      </c>
      <c r="AJ627" s="162" t="b">
        <f t="shared" si="421"/>
        <v>1</v>
      </c>
      <c r="AK627" s="162" t="str">
        <f t="shared" si="422"/>
        <v>PRAZNO</v>
      </c>
      <c r="AM627" s="164"/>
    </row>
    <row r="628" spans="1:39" ht="30" x14ac:dyDescent="0.2">
      <c r="B628" s="177"/>
      <c r="C628" s="177"/>
      <c r="D628" s="177"/>
      <c r="E628" s="177">
        <v>3811</v>
      </c>
      <c r="F628" s="177">
        <v>11</v>
      </c>
      <c r="G628" s="177"/>
      <c r="H628" s="16" t="s">
        <v>632</v>
      </c>
      <c r="I628" s="17"/>
      <c r="J628" s="17"/>
      <c r="K628" s="17"/>
      <c r="L628" s="17"/>
      <c r="M628" s="17"/>
      <c r="N628" s="17"/>
      <c r="O628" s="17"/>
      <c r="P628" s="26"/>
      <c r="Q628" s="17"/>
      <c r="R628" s="17"/>
      <c r="S628" s="17"/>
      <c r="T628" s="26"/>
      <c r="U628" s="26"/>
      <c r="V628" s="17">
        <v>50000</v>
      </c>
      <c r="W628" s="17">
        <v>60000</v>
      </c>
      <c r="X628" s="17">
        <v>0</v>
      </c>
      <c r="Y628" s="17">
        <v>50000</v>
      </c>
      <c r="Z628" s="17">
        <f t="shared" si="441"/>
        <v>100</v>
      </c>
      <c r="AA628" s="17">
        <f t="shared" si="426"/>
        <v>0</v>
      </c>
      <c r="AB628" s="17">
        <v>50000</v>
      </c>
      <c r="AC628" s="17">
        <v>50000</v>
      </c>
      <c r="AD628" s="17">
        <f t="shared" si="408"/>
        <v>100</v>
      </c>
      <c r="AE628" s="17">
        <f t="shared" si="413"/>
        <v>0</v>
      </c>
      <c r="AF628" s="17">
        <v>50000</v>
      </c>
      <c r="AG628" s="17">
        <v>50000</v>
      </c>
      <c r="AH628" s="17">
        <v>50000</v>
      </c>
      <c r="AI628" s="17">
        <v>50000</v>
      </c>
      <c r="AJ628" s="162" t="b">
        <f t="shared" si="421"/>
        <v>0</v>
      </c>
      <c r="AK628" s="162" t="str">
        <f t="shared" si="422"/>
        <v>PUNO</v>
      </c>
      <c r="AM628" s="164"/>
    </row>
    <row r="629" spans="1:39" ht="30" x14ac:dyDescent="0.2">
      <c r="B629" s="177"/>
      <c r="C629" s="177"/>
      <c r="D629" s="177"/>
      <c r="E629" s="177">
        <v>3811</v>
      </c>
      <c r="F629" s="176">
        <v>15</v>
      </c>
      <c r="G629" s="176" t="s">
        <v>424</v>
      </c>
      <c r="H629" s="16" t="s">
        <v>427</v>
      </c>
      <c r="I629" s="17">
        <v>90000</v>
      </c>
      <c r="J629" s="181">
        <v>64493</v>
      </c>
      <c r="K629" s="181">
        <f t="shared" si="438"/>
        <v>71.66</v>
      </c>
      <c r="L629" s="181">
        <f t="shared" si="439"/>
        <v>-18680.5</v>
      </c>
      <c r="M629" s="181">
        <v>71319.5</v>
      </c>
      <c r="N629" s="181">
        <v>80000</v>
      </c>
      <c r="O629" s="181">
        <v>72356.639999999999</v>
      </c>
      <c r="P629" s="26">
        <f>T629-N629</f>
        <v>0</v>
      </c>
      <c r="Q629" s="181">
        <v>80000</v>
      </c>
      <c r="R629" s="181">
        <v>80000</v>
      </c>
      <c r="S629" s="181">
        <v>80000</v>
      </c>
      <c r="T629" s="307">
        <v>80000</v>
      </c>
      <c r="U629" s="307">
        <v>77456.289999999994</v>
      </c>
      <c r="V629" s="181">
        <v>30000</v>
      </c>
      <c r="W629" s="181">
        <v>20000</v>
      </c>
      <c r="X629" s="181">
        <v>80000</v>
      </c>
      <c r="Y629" s="181">
        <v>19840</v>
      </c>
      <c r="Z629" s="181">
        <f t="shared" si="441"/>
        <v>66.13</v>
      </c>
      <c r="AA629" s="181">
        <f t="shared" si="426"/>
        <v>0</v>
      </c>
      <c r="AB629" s="181">
        <v>30000</v>
      </c>
      <c r="AC629" s="181">
        <v>19840</v>
      </c>
      <c r="AD629" s="181">
        <f t="shared" si="408"/>
        <v>66.133333333333326</v>
      </c>
      <c r="AE629" s="181">
        <f t="shared" si="413"/>
        <v>0</v>
      </c>
      <c r="AF629" s="181">
        <v>30000</v>
      </c>
      <c r="AG629" s="181">
        <v>30000</v>
      </c>
      <c r="AH629" s="181">
        <v>30000</v>
      </c>
      <c r="AI629" s="181">
        <v>30000</v>
      </c>
      <c r="AJ629" s="162" t="b">
        <f t="shared" si="421"/>
        <v>0</v>
      </c>
      <c r="AK629" s="162" t="str">
        <f t="shared" si="422"/>
        <v>PUNO</v>
      </c>
      <c r="AM629" s="164"/>
    </row>
    <row r="630" spans="1:39" s="171" customFormat="1" ht="32.25" customHeight="1" x14ac:dyDescent="0.2">
      <c r="A630" s="259"/>
      <c r="B630" s="168"/>
      <c r="C630" s="168"/>
      <c r="D630" s="168"/>
      <c r="E630" s="168"/>
      <c r="F630" s="168"/>
      <c r="G630" s="168"/>
      <c r="H630" s="25" t="s">
        <v>687</v>
      </c>
      <c r="I630" s="169">
        <f>I632</f>
        <v>200000</v>
      </c>
      <c r="J630" s="169">
        <f>J632</f>
        <v>113390.77</v>
      </c>
      <c r="K630" s="169">
        <f>ROUND(J630/I630*100,2)</f>
        <v>56.7</v>
      </c>
      <c r="L630" s="169">
        <f>M630-I630</f>
        <v>-47781.989999999991</v>
      </c>
      <c r="M630" s="19">
        <f>M632</f>
        <v>152218.01</v>
      </c>
      <c r="N630" s="19">
        <f>N632</f>
        <v>270000</v>
      </c>
      <c r="O630" s="19">
        <f>O632</f>
        <v>139258.07999999999</v>
      </c>
      <c r="P630" s="303">
        <f>T630-N630</f>
        <v>0</v>
      </c>
      <c r="Q630" s="19">
        <f t="shared" ref="Q630:X630" si="443">Q632</f>
        <v>270000</v>
      </c>
      <c r="R630" s="19">
        <f t="shared" si="443"/>
        <v>225000</v>
      </c>
      <c r="S630" s="19">
        <f t="shared" si="443"/>
        <v>230000</v>
      </c>
      <c r="T630" s="53">
        <f t="shared" si="443"/>
        <v>270000</v>
      </c>
      <c r="U630" s="53">
        <f>U632</f>
        <v>270525.19</v>
      </c>
      <c r="V630" s="19">
        <f t="shared" si="443"/>
        <v>300000</v>
      </c>
      <c r="W630" s="19">
        <f t="shared" si="443"/>
        <v>410000</v>
      </c>
      <c r="X630" s="19">
        <f t="shared" si="443"/>
        <v>610000</v>
      </c>
      <c r="Y630" s="19">
        <f>Y632</f>
        <v>114469.64</v>
      </c>
      <c r="Z630" s="19">
        <f t="shared" si="441"/>
        <v>38.159999999999997</v>
      </c>
      <c r="AA630" s="19">
        <f t="shared" si="426"/>
        <v>0</v>
      </c>
      <c r="AB630" s="19">
        <f>AB632</f>
        <v>300000</v>
      </c>
      <c r="AC630" s="19">
        <f>AC632</f>
        <v>216078.34</v>
      </c>
      <c r="AD630" s="19">
        <f t="shared" si="408"/>
        <v>72.026113333333328</v>
      </c>
      <c r="AE630" s="19">
        <f t="shared" si="413"/>
        <v>300000</v>
      </c>
      <c r="AF630" s="19">
        <f>AF632+AF639</f>
        <v>600000</v>
      </c>
      <c r="AG630" s="19">
        <f>AG632</f>
        <v>350000</v>
      </c>
      <c r="AH630" s="19">
        <f>AH632</f>
        <v>400000</v>
      </c>
      <c r="AI630" s="19">
        <f>AI632</f>
        <v>450000</v>
      </c>
      <c r="AJ630" s="162" t="b">
        <f t="shared" si="421"/>
        <v>1</v>
      </c>
      <c r="AK630" s="162" t="str">
        <f t="shared" si="422"/>
        <v>PRAZNO</v>
      </c>
      <c r="AL630" s="170"/>
      <c r="AM630" s="164"/>
    </row>
    <row r="631" spans="1:39" s="264" customFormat="1" ht="15.75" x14ac:dyDescent="0.2">
      <c r="A631" s="259"/>
      <c r="B631" s="260"/>
      <c r="C631" s="260"/>
      <c r="D631" s="260"/>
      <c r="E631" s="260"/>
      <c r="F631" s="260"/>
      <c r="G631" s="260"/>
      <c r="H631" s="261" t="s">
        <v>824</v>
      </c>
      <c r="I631" s="181"/>
      <c r="J631" s="181"/>
      <c r="K631" s="181"/>
      <c r="L631" s="181"/>
      <c r="M631" s="262"/>
      <c r="N631" s="262"/>
      <c r="O631" s="262"/>
      <c r="P631" s="445"/>
      <c r="Q631" s="262"/>
      <c r="R631" s="262"/>
      <c r="S631" s="262"/>
      <c r="T631" s="342"/>
      <c r="U631" s="342"/>
      <c r="V631" s="262">
        <f>V632</f>
        <v>300000</v>
      </c>
      <c r="W631" s="262">
        <f>W632</f>
        <v>410000</v>
      </c>
      <c r="X631" s="262">
        <f>X632</f>
        <v>610000</v>
      </c>
      <c r="Y631" s="262">
        <f>Y632</f>
        <v>114469.64</v>
      </c>
      <c r="Z631" s="262">
        <f t="shared" si="441"/>
        <v>38.159999999999997</v>
      </c>
      <c r="AA631" s="262">
        <f t="shared" si="426"/>
        <v>0</v>
      </c>
      <c r="AB631" s="262">
        <f>AB632</f>
        <v>300000</v>
      </c>
      <c r="AC631" s="262">
        <f>AC632</f>
        <v>216078.34</v>
      </c>
      <c r="AD631" s="262">
        <f t="shared" si="408"/>
        <v>72.026113333333328</v>
      </c>
      <c r="AE631" s="262">
        <f t="shared" si="413"/>
        <v>67500</v>
      </c>
      <c r="AF631" s="262">
        <f>AF632</f>
        <v>367500</v>
      </c>
      <c r="AG631" s="262">
        <f>AG632</f>
        <v>350000</v>
      </c>
      <c r="AH631" s="262">
        <f>AH632</f>
        <v>400000</v>
      </c>
      <c r="AI631" s="262">
        <f>AI632</f>
        <v>450000</v>
      </c>
      <c r="AJ631" s="162" t="b">
        <f t="shared" si="421"/>
        <v>1</v>
      </c>
      <c r="AK631" s="162" t="str">
        <f t="shared" si="422"/>
        <v>PRAZNO</v>
      </c>
      <c r="AL631" s="263"/>
    </row>
    <row r="632" spans="1:39" s="174" customFormat="1" ht="15.75" x14ac:dyDescent="0.2">
      <c r="A632" s="259"/>
      <c r="B632" s="172">
        <v>3</v>
      </c>
      <c r="C632" s="172"/>
      <c r="D632" s="172"/>
      <c r="E632" s="172"/>
      <c r="F632" s="172"/>
      <c r="G632" s="172"/>
      <c r="H632" s="14" t="s">
        <v>524</v>
      </c>
      <c r="I632" s="20">
        <f>I636</f>
        <v>200000</v>
      </c>
      <c r="J632" s="20">
        <f>J636</f>
        <v>113390.77</v>
      </c>
      <c r="K632" s="20">
        <f>ROUND(J632/I632*100,2)</f>
        <v>56.7</v>
      </c>
      <c r="L632" s="20">
        <f>M632-I632</f>
        <v>-47781.989999999991</v>
      </c>
      <c r="M632" s="20">
        <f>M636</f>
        <v>152218.01</v>
      </c>
      <c r="N632" s="20">
        <f>N636</f>
        <v>270000</v>
      </c>
      <c r="O632" s="20">
        <f>O636</f>
        <v>139258.07999999999</v>
      </c>
      <c r="P632" s="55">
        <f>T632-N632</f>
        <v>0</v>
      </c>
      <c r="Q632" s="20">
        <f t="shared" ref="Q632:Y632" si="444">Q636</f>
        <v>270000</v>
      </c>
      <c r="R632" s="20">
        <f t="shared" si="444"/>
        <v>225000</v>
      </c>
      <c r="S632" s="20">
        <f t="shared" si="444"/>
        <v>230000</v>
      </c>
      <c r="T632" s="55">
        <f t="shared" si="444"/>
        <v>270000</v>
      </c>
      <c r="U632" s="55">
        <f t="shared" si="444"/>
        <v>270525.19</v>
      </c>
      <c r="V632" s="20">
        <f t="shared" si="444"/>
        <v>300000</v>
      </c>
      <c r="W632" s="20">
        <f t="shared" si="444"/>
        <v>410000</v>
      </c>
      <c r="X632" s="20">
        <f t="shared" si="444"/>
        <v>610000</v>
      </c>
      <c r="Y632" s="20">
        <f t="shared" si="444"/>
        <v>114469.64</v>
      </c>
      <c r="Z632" s="20">
        <f t="shared" si="441"/>
        <v>38.159999999999997</v>
      </c>
      <c r="AA632" s="20">
        <f t="shared" si="426"/>
        <v>0</v>
      </c>
      <c r="AB632" s="20">
        <f>AB636</f>
        <v>300000</v>
      </c>
      <c r="AC632" s="20">
        <f>AC636</f>
        <v>216078.34</v>
      </c>
      <c r="AD632" s="20">
        <f t="shared" si="408"/>
        <v>72.026113333333328</v>
      </c>
      <c r="AE632" s="20">
        <f t="shared" si="413"/>
        <v>67500</v>
      </c>
      <c r="AF632" s="20">
        <f>AF636+AF633</f>
        <v>367500</v>
      </c>
      <c r="AG632" s="20">
        <f>AG636</f>
        <v>350000</v>
      </c>
      <c r="AH632" s="20">
        <f>AH636</f>
        <v>400000</v>
      </c>
      <c r="AI632" s="20">
        <f>AI636</f>
        <v>450000</v>
      </c>
      <c r="AJ632" s="162" t="b">
        <f t="shared" si="421"/>
        <v>1</v>
      </c>
      <c r="AK632" s="162" t="str">
        <f t="shared" si="422"/>
        <v>PRAZNO</v>
      </c>
      <c r="AL632" s="173"/>
      <c r="AM632" s="164"/>
    </row>
    <row r="633" spans="1:39" ht="15.75" x14ac:dyDescent="0.2">
      <c r="B633" s="199"/>
      <c r="C633" s="200">
        <v>34</v>
      </c>
      <c r="D633" s="199"/>
      <c r="E633" s="199"/>
      <c r="F633" s="199"/>
      <c r="G633" s="168"/>
      <c r="H633" s="29" t="s">
        <v>208</v>
      </c>
      <c r="I633" s="203"/>
      <c r="J633" s="203"/>
      <c r="K633" s="203"/>
      <c r="L633" s="203"/>
      <c r="M633" s="203"/>
      <c r="N633" s="203"/>
      <c r="O633" s="203"/>
      <c r="P633" s="26"/>
      <c r="Q633" s="203"/>
      <c r="R633" s="203"/>
      <c r="S633" s="203"/>
      <c r="T633" s="204"/>
      <c r="U633" s="204">
        <f>U634</f>
        <v>0</v>
      </c>
      <c r="V633" s="203"/>
      <c r="W633" s="203"/>
      <c r="X633" s="203"/>
      <c r="Y633" s="203"/>
      <c r="Z633" s="203"/>
      <c r="AA633" s="203"/>
      <c r="AB633" s="204">
        <f>AB634</f>
        <v>0</v>
      </c>
      <c r="AC633" s="204">
        <f>AC634</f>
        <v>0</v>
      </c>
      <c r="AD633" s="203" t="e">
        <f t="shared" si="408"/>
        <v>#DIV/0!</v>
      </c>
      <c r="AE633" s="178">
        <f t="shared" si="413"/>
        <v>67500</v>
      </c>
      <c r="AF633" s="204">
        <f>AF634</f>
        <v>67500</v>
      </c>
      <c r="AG633" s="203"/>
      <c r="AH633" s="203"/>
      <c r="AI633" s="203"/>
      <c r="AJ633" s="162" t="b">
        <f t="shared" si="421"/>
        <v>1</v>
      </c>
      <c r="AK633" s="162" t="str">
        <f t="shared" si="422"/>
        <v>PRAZNO</v>
      </c>
      <c r="AM633" s="164"/>
    </row>
    <row r="634" spans="1:39" ht="17.25" customHeight="1" x14ac:dyDescent="0.2">
      <c r="B634" s="177"/>
      <c r="C634" s="177"/>
      <c r="D634" s="177">
        <v>343</v>
      </c>
      <c r="E634" s="177"/>
      <c r="F634" s="177"/>
      <c r="G634" s="177"/>
      <c r="H634" s="16" t="s">
        <v>209</v>
      </c>
      <c r="I634" s="18"/>
      <c r="J634" s="18"/>
      <c r="K634" s="18"/>
      <c r="L634" s="18"/>
      <c r="M634" s="18"/>
      <c r="N634" s="18"/>
      <c r="O634" s="18"/>
      <c r="P634" s="26"/>
      <c r="Q634" s="18"/>
      <c r="R634" s="18"/>
      <c r="S634" s="18"/>
      <c r="T634" s="27"/>
      <c r="U634" s="27">
        <f>U635</f>
        <v>0</v>
      </c>
      <c r="V634" s="18"/>
      <c r="W634" s="18"/>
      <c r="X634" s="18"/>
      <c r="Y634" s="18"/>
      <c r="Z634" s="18"/>
      <c r="AA634" s="18"/>
      <c r="AB634" s="27">
        <f>AB635</f>
        <v>0</v>
      </c>
      <c r="AC634" s="27">
        <f>AC635</f>
        <v>0</v>
      </c>
      <c r="AD634" s="203" t="e">
        <f t="shared" si="408"/>
        <v>#DIV/0!</v>
      </c>
      <c r="AE634" s="178">
        <f t="shared" si="413"/>
        <v>67500</v>
      </c>
      <c r="AF634" s="27">
        <f>AF635</f>
        <v>67500</v>
      </c>
      <c r="AG634" s="18"/>
      <c r="AH634" s="18"/>
      <c r="AI634" s="18"/>
      <c r="AJ634" s="162" t="b">
        <f t="shared" si="421"/>
        <v>1</v>
      </c>
      <c r="AK634" s="162" t="str">
        <f t="shared" si="422"/>
        <v>PRAZNO</v>
      </c>
      <c r="AM634" s="164"/>
    </row>
    <row r="635" spans="1:39" ht="15.75" x14ac:dyDescent="0.2">
      <c r="B635" s="177"/>
      <c r="C635" s="177"/>
      <c r="D635" s="177"/>
      <c r="E635" s="177">
        <v>3434</v>
      </c>
      <c r="F635" s="176">
        <v>14</v>
      </c>
      <c r="G635" s="176"/>
      <c r="H635" s="29" t="s">
        <v>403</v>
      </c>
      <c r="I635" s="18"/>
      <c r="J635" s="178"/>
      <c r="K635" s="178"/>
      <c r="L635" s="178"/>
      <c r="M635" s="178"/>
      <c r="N635" s="178"/>
      <c r="O635" s="178"/>
      <c r="P635" s="26"/>
      <c r="Q635" s="178"/>
      <c r="R635" s="178"/>
      <c r="S635" s="178"/>
      <c r="T635" s="266"/>
      <c r="U635" s="266"/>
      <c r="V635" s="178"/>
      <c r="W635" s="178"/>
      <c r="X635" s="178"/>
      <c r="Y635" s="178"/>
      <c r="Z635" s="178"/>
      <c r="AA635" s="178"/>
      <c r="AB635" s="178"/>
      <c r="AC635" s="178"/>
      <c r="AD635" s="203" t="e">
        <f t="shared" si="408"/>
        <v>#DIV/0!</v>
      </c>
      <c r="AE635" s="178">
        <f>AF635-AB635</f>
        <v>67500</v>
      </c>
      <c r="AF635" s="178">
        <v>67500</v>
      </c>
      <c r="AG635" s="178"/>
      <c r="AH635" s="178"/>
      <c r="AI635" s="178"/>
      <c r="AJ635" s="162" t="b">
        <f t="shared" si="421"/>
        <v>0</v>
      </c>
      <c r="AK635" s="162" t="str">
        <f t="shared" si="422"/>
        <v>PUNO</v>
      </c>
      <c r="AM635" s="164"/>
    </row>
    <row r="636" spans="1:39" ht="15.75" x14ac:dyDescent="0.2">
      <c r="B636" s="199"/>
      <c r="C636" s="200">
        <v>35</v>
      </c>
      <c r="D636" s="199"/>
      <c r="E636" s="199"/>
      <c r="F636" s="199"/>
      <c r="G636" s="168"/>
      <c r="H636" s="29" t="s">
        <v>749</v>
      </c>
      <c r="I636" s="203">
        <f t="shared" ref="I636:AI637" si="445">I637</f>
        <v>200000</v>
      </c>
      <c r="J636" s="203">
        <f t="shared" si="445"/>
        <v>113390.77</v>
      </c>
      <c r="K636" s="203">
        <f>ROUND(J636/I636*100,2)</f>
        <v>56.7</v>
      </c>
      <c r="L636" s="203">
        <f>M636-I636</f>
        <v>-47781.989999999991</v>
      </c>
      <c r="M636" s="203">
        <f t="shared" si="445"/>
        <v>152218.01</v>
      </c>
      <c r="N636" s="203">
        <f t="shared" si="445"/>
        <v>270000</v>
      </c>
      <c r="O636" s="203">
        <f t="shared" si="445"/>
        <v>139258.07999999999</v>
      </c>
      <c r="P636" s="26">
        <f>T636-N636</f>
        <v>0</v>
      </c>
      <c r="Q636" s="203">
        <f t="shared" si="445"/>
        <v>270000</v>
      </c>
      <c r="R636" s="203">
        <f t="shared" si="445"/>
        <v>225000</v>
      </c>
      <c r="S636" s="203">
        <f t="shared" si="445"/>
        <v>230000</v>
      </c>
      <c r="T636" s="204">
        <f t="shared" si="445"/>
        <v>270000</v>
      </c>
      <c r="U636" s="204">
        <f t="shared" si="445"/>
        <v>270525.19</v>
      </c>
      <c r="V636" s="203">
        <f t="shared" si="445"/>
        <v>300000</v>
      </c>
      <c r="W636" s="203">
        <f t="shared" si="445"/>
        <v>410000</v>
      </c>
      <c r="X636" s="203">
        <f t="shared" si="445"/>
        <v>610000</v>
      </c>
      <c r="Y636" s="203">
        <f t="shared" si="445"/>
        <v>114469.64</v>
      </c>
      <c r="Z636" s="203">
        <f>ROUND(Y636/V636*100,2)</f>
        <v>38.159999999999997</v>
      </c>
      <c r="AA636" s="203">
        <f t="shared" si="426"/>
        <v>0</v>
      </c>
      <c r="AB636" s="203">
        <f t="shared" si="445"/>
        <v>300000</v>
      </c>
      <c r="AC636" s="203">
        <f t="shared" si="445"/>
        <v>216078.34</v>
      </c>
      <c r="AD636" s="203">
        <f t="shared" si="408"/>
        <v>72.026113333333328</v>
      </c>
      <c r="AE636" s="203">
        <f t="shared" si="413"/>
        <v>0</v>
      </c>
      <c r="AF636" s="203">
        <f t="shared" si="445"/>
        <v>300000</v>
      </c>
      <c r="AG636" s="203">
        <f t="shared" si="445"/>
        <v>350000</v>
      </c>
      <c r="AH636" s="203">
        <f t="shared" si="445"/>
        <v>400000</v>
      </c>
      <c r="AI636" s="203">
        <f t="shared" si="445"/>
        <v>450000</v>
      </c>
      <c r="AJ636" s="162" t="b">
        <f t="shared" si="421"/>
        <v>1</v>
      </c>
      <c r="AK636" s="162" t="str">
        <f t="shared" si="422"/>
        <v>PRAZNO</v>
      </c>
      <c r="AM636" s="164"/>
    </row>
    <row r="637" spans="1:39" ht="17.25" customHeight="1" x14ac:dyDescent="0.2">
      <c r="B637" s="177"/>
      <c r="C637" s="177"/>
      <c r="D637" s="177">
        <v>351</v>
      </c>
      <c r="E637" s="177"/>
      <c r="F637" s="177"/>
      <c r="G637" s="177"/>
      <c r="H637" s="16" t="s">
        <v>752</v>
      </c>
      <c r="I637" s="18">
        <f t="shared" si="445"/>
        <v>200000</v>
      </c>
      <c r="J637" s="18">
        <f t="shared" si="445"/>
        <v>113390.77</v>
      </c>
      <c r="K637" s="18">
        <f>ROUND(J637/I637*100,2)</f>
        <v>56.7</v>
      </c>
      <c r="L637" s="18">
        <f>M637-I637</f>
        <v>-47781.989999999991</v>
      </c>
      <c r="M637" s="18">
        <f t="shared" si="445"/>
        <v>152218.01</v>
      </c>
      <c r="N637" s="18">
        <f t="shared" si="445"/>
        <v>270000</v>
      </c>
      <c r="O637" s="18">
        <f t="shared" si="445"/>
        <v>139258.07999999999</v>
      </c>
      <c r="P637" s="26">
        <f>T637-N637</f>
        <v>0</v>
      </c>
      <c r="Q637" s="18">
        <f t="shared" si="445"/>
        <v>270000</v>
      </c>
      <c r="R637" s="18">
        <f t="shared" si="445"/>
        <v>225000</v>
      </c>
      <c r="S637" s="18">
        <f t="shared" si="445"/>
        <v>230000</v>
      </c>
      <c r="T637" s="27">
        <f t="shared" si="445"/>
        <v>270000</v>
      </c>
      <c r="U637" s="27">
        <f t="shared" si="445"/>
        <v>270525.19</v>
      </c>
      <c r="V637" s="18">
        <f t="shared" si="445"/>
        <v>300000</v>
      </c>
      <c r="W637" s="18">
        <f t="shared" si="445"/>
        <v>410000</v>
      </c>
      <c r="X637" s="18">
        <f t="shared" si="445"/>
        <v>610000</v>
      </c>
      <c r="Y637" s="18">
        <f t="shared" si="445"/>
        <v>114469.64</v>
      </c>
      <c r="Z637" s="18">
        <f>ROUND(Y637/V637*100,2)</f>
        <v>38.159999999999997</v>
      </c>
      <c r="AA637" s="18">
        <f t="shared" si="426"/>
        <v>0</v>
      </c>
      <c r="AB637" s="18">
        <f t="shared" si="445"/>
        <v>300000</v>
      </c>
      <c r="AC637" s="18">
        <f t="shared" si="445"/>
        <v>216078.34</v>
      </c>
      <c r="AD637" s="18">
        <f t="shared" si="408"/>
        <v>72.026113333333328</v>
      </c>
      <c r="AE637" s="18">
        <f t="shared" si="413"/>
        <v>0</v>
      </c>
      <c r="AF637" s="18">
        <f t="shared" si="445"/>
        <v>300000</v>
      </c>
      <c r="AG637" s="18">
        <f t="shared" si="445"/>
        <v>350000</v>
      </c>
      <c r="AH637" s="18">
        <f t="shared" si="445"/>
        <v>400000</v>
      </c>
      <c r="AI637" s="18">
        <f t="shared" si="445"/>
        <v>450000</v>
      </c>
      <c r="AJ637" s="162" t="b">
        <f t="shared" si="421"/>
        <v>1</v>
      </c>
      <c r="AK637" s="162" t="str">
        <f t="shared" si="422"/>
        <v>PRAZNO</v>
      </c>
      <c r="AM637" s="164"/>
    </row>
    <row r="638" spans="1:39" ht="30" x14ac:dyDescent="0.2">
      <c r="B638" s="177"/>
      <c r="C638" s="177"/>
      <c r="D638" s="177"/>
      <c r="E638" s="177">
        <v>3512</v>
      </c>
      <c r="F638" s="176">
        <v>14</v>
      </c>
      <c r="G638" s="176"/>
      <c r="H638" s="29" t="s">
        <v>928</v>
      </c>
      <c r="I638" s="18">
        <v>200000</v>
      </c>
      <c r="J638" s="178">
        <v>113390.77</v>
      </c>
      <c r="K638" s="178">
        <f>ROUND(J638/I638*100,2)</f>
        <v>56.7</v>
      </c>
      <c r="L638" s="178">
        <f>M638-I638</f>
        <v>-47781.989999999991</v>
      </c>
      <c r="M638" s="178">
        <v>152218.01</v>
      </c>
      <c r="N638" s="178">
        <v>270000</v>
      </c>
      <c r="O638" s="178">
        <v>139258.07999999999</v>
      </c>
      <c r="P638" s="26">
        <f>T638-N638</f>
        <v>0</v>
      </c>
      <c r="Q638" s="178">
        <v>270000</v>
      </c>
      <c r="R638" s="178">
        <v>225000</v>
      </c>
      <c r="S638" s="178">
        <v>230000</v>
      </c>
      <c r="T638" s="266">
        <v>270000</v>
      </c>
      <c r="U638" s="266">
        <v>270525.19</v>
      </c>
      <c r="V638" s="178">
        <v>300000</v>
      </c>
      <c r="W638" s="178">
        <v>410000</v>
      </c>
      <c r="X638" s="178">
        <v>610000</v>
      </c>
      <c r="Y638" s="178">
        <v>114469.64</v>
      </c>
      <c r="Z638" s="178">
        <f>ROUND(Y638/V638*100,2)</f>
        <v>38.159999999999997</v>
      </c>
      <c r="AA638" s="178">
        <f t="shared" si="426"/>
        <v>0</v>
      </c>
      <c r="AB638" s="178">
        <v>300000</v>
      </c>
      <c r="AC638" s="178">
        <v>216078.34</v>
      </c>
      <c r="AD638" s="178">
        <f t="shared" si="408"/>
        <v>72.026113333333328</v>
      </c>
      <c r="AE638" s="178">
        <f t="shared" si="413"/>
        <v>0</v>
      </c>
      <c r="AF638" s="178">
        <v>300000</v>
      </c>
      <c r="AG638" s="178">
        <v>350000</v>
      </c>
      <c r="AH638" s="178">
        <v>400000</v>
      </c>
      <c r="AI638" s="178">
        <v>450000</v>
      </c>
      <c r="AJ638" s="162" t="b">
        <f t="shared" si="421"/>
        <v>0</v>
      </c>
      <c r="AK638" s="162" t="str">
        <f t="shared" si="422"/>
        <v>PUNO</v>
      </c>
      <c r="AM638" s="164"/>
    </row>
    <row r="639" spans="1:39" ht="15.75" x14ac:dyDescent="0.2">
      <c r="B639" s="177"/>
      <c r="C639" s="177"/>
      <c r="D639" s="177"/>
      <c r="E639" s="177"/>
      <c r="F639" s="176"/>
      <c r="G639" s="176"/>
      <c r="H639" s="29" t="s">
        <v>825</v>
      </c>
      <c r="I639" s="18"/>
      <c r="J639" s="178"/>
      <c r="K639" s="178"/>
      <c r="L639" s="178"/>
      <c r="M639" s="178"/>
      <c r="N639" s="178"/>
      <c r="O639" s="178"/>
      <c r="P639" s="26"/>
      <c r="Q639" s="178"/>
      <c r="R639" s="178"/>
      <c r="S639" s="178"/>
      <c r="T639" s="266"/>
      <c r="U639" s="266"/>
      <c r="V639" s="178"/>
      <c r="W639" s="178"/>
      <c r="X639" s="178"/>
      <c r="Y639" s="178"/>
      <c r="Z639" s="178"/>
      <c r="AA639" s="178"/>
      <c r="AB639" s="178"/>
      <c r="AC639" s="178"/>
      <c r="AD639" s="178"/>
      <c r="AE639" s="178">
        <f t="shared" ref="AE639:AF642" si="446">AE640</f>
        <v>232500</v>
      </c>
      <c r="AF639" s="178">
        <f t="shared" si="446"/>
        <v>232500</v>
      </c>
      <c r="AG639" s="178"/>
      <c r="AH639" s="178"/>
      <c r="AI639" s="178"/>
      <c r="AJ639" s="162" t="b">
        <f t="shared" si="421"/>
        <v>1</v>
      </c>
      <c r="AK639" s="162" t="str">
        <f t="shared" si="422"/>
        <v>PRAZNO</v>
      </c>
      <c r="AM639" s="164"/>
    </row>
    <row r="640" spans="1:39" ht="15.75" x14ac:dyDescent="0.2">
      <c r="B640" s="172">
        <v>3</v>
      </c>
      <c r="C640" s="172"/>
      <c r="D640" s="172"/>
      <c r="E640" s="172"/>
      <c r="F640" s="172"/>
      <c r="G640" s="172"/>
      <c r="H640" s="14" t="s">
        <v>524</v>
      </c>
      <c r="I640" s="18"/>
      <c r="J640" s="178"/>
      <c r="K640" s="178"/>
      <c r="L640" s="178"/>
      <c r="M640" s="178"/>
      <c r="N640" s="178"/>
      <c r="O640" s="178"/>
      <c r="P640" s="26"/>
      <c r="Q640" s="178"/>
      <c r="R640" s="178"/>
      <c r="S640" s="178"/>
      <c r="T640" s="266"/>
      <c r="U640" s="714"/>
      <c r="V640" s="714"/>
      <c r="W640" s="714"/>
      <c r="X640" s="714"/>
      <c r="Y640" s="714"/>
      <c r="Z640" s="714"/>
      <c r="AA640" s="714"/>
      <c r="AB640" s="714"/>
      <c r="AC640" s="714"/>
      <c r="AD640" s="714"/>
      <c r="AE640" s="20">
        <f t="shared" si="446"/>
        <v>232500</v>
      </c>
      <c r="AF640" s="20">
        <f t="shared" si="446"/>
        <v>232500</v>
      </c>
      <c r="AG640" s="714"/>
      <c r="AH640" s="714"/>
      <c r="AI640" s="714"/>
      <c r="AJ640" s="162" t="b">
        <f t="shared" si="421"/>
        <v>1</v>
      </c>
      <c r="AK640" s="162" t="str">
        <f t="shared" si="422"/>
        <v>PRAZNO</v>
      </c>
      <c r="AM640" s="164"/>
    </row>
    <row r="641" spans="1:39" ht="15.75" x14ac:dyDescent="0.2">
      <c r="B641" s="199"/>
      <c r="C641" s="200">
        <v>34</v>
      </c>
      <c r="D641" s="199"/>
      <c r="E641" s="199"/>
      <c r="F641" s="199"/>
      <c r="G641" s="168"/>
      <c r="H641" s="29" t="s">
        <v>208</v>
      </c>
      <c r="I641" s="18"/>
      <c r="J641" s="178"/>
      <c r="K641" s="178"/>
      <c r="L641" s="178"/>
      <c r="M641" s="178"/>
      <c r="N641" s="178"/>
      <c r="O641" s="178"/>
      <c r="P641" s="26"/>
      <c r="Q641" s="178"/>
      <c r="R641" s="178"/>
      <c r="S641" s="178"/>
      <c r="T641" s="266"/>
      <c r="U641" s="266"/>
      <c r="V641" s="178"/>
      <c r="W641" s="178"/>
      <c r="X641" s="178"/>
      <c r="Y641" s="178"/>
      <c r="Z641" s="178"/>
      <c r="AA641" s="178"/>
      <c r="AB641" s="178"/>
      <c r="AC641" s="178"/>
      <c r="AD641" s="178"/>
      <c r="AE641" s="178">
        <f t="shared" si="446"/>
        <v>232500</v>
      </c>
      <c r="AF641" s="178">
        <f t="shared" si="446"/>
        <v>232500</v>
      </c>
      <c r="AG641" s="178"/>
      <c r="AH641" s="178"/>
      <c r="AI641" s="178"/>
      <c r="AJ641" s="162" t="b">
        <f t="shared" si="421"/>
        <v>1</v>
      </c>
      <c r="AK641" s="162" t="str">
        <f t="shared" si="422"/>
        <v>PRAZNO</v>
      </c>
      <c r="AM641" s="164"/>
    </row>
    <row r="642" spans="1:39" ht="15.75" x14ac:dyDescent="0.2">
      <c r="B642" s="177"/>
      <c r="C642" s="177"/>
      <c r="D642" s="177">
        <v>343</v>
      </c>
      <c r="E642" s="177"/>
      <c r="F642" s="177"/>
      <c r="G642" s="177"/>
      <c r="H642" s="16" t="s">
        <v>209</v>
      </c>
      <c r="I642" s="18"/>
      <c r="J642" s="178"/>
      <c r="K642" s="178"/>
      <c r="L642" s="178"/>
      <c r="M642" s="178"/>
      <c r="N642" s="178"/>
      <c r="O642" s="178"/>
      <c r="P642" s="26"/>
      <c r="Q642" s="178"/>
      <c r="R642" s="178"/>
      <c r="S642" s="178"/>
      <c r="T642" s="266"/>
      <c r="U642" s="266"/>
      <c r="V642" s="178"/>
      <c r="W642" s="178"/>
      <c r="X642" s="178"/>
      <c r="Y642" s="178"/>
      <c r="Z642" s="178"/>
      <c r="AA642" s="178"/>
      <c r="AB642" s="178"/>
      <c r="AC642" s="178"/>
      <c r="AD642" s="178"/>
      <c r="AE642" s="178">
        <f t="shared" si="446"/>
        <v>232500</v>
      </c>
      <c r="AF642" s="178">
        <f t="shared" si="446"/>
        <v>232500</v>
      </c>
      <c r="AG642" s="178"/>
      <c r="AH642" s="178"/>
      <c r="AI642" s="178"/>
      <c r="AJ642" s="162" t="b">
        <f t="shared" si="421"/>
        <v>1</v>
      </c>
      <c r="AK642" s="162" t="str">
        <f t="shared" si="422"/>
        <v>PRAZNO</v>
      </c>
      <c r="AM642" s="164"/>
    </row>
    <row r="643" spans="1:39" ht="15.75" x14ac:dyDescent="0.2">
      <c r="B643" s="177"/>
      <c r="C643" s="177"/>
      <c r="D643" s="177"/>
      <c r="E643" s="177">
        <v>3434</v>
      </c>
      <c r="F643" s="176">
        <v>52</v>
      </c>
      <c r="G643" s="176"/>
      <c r="H643" s="29" t="s">
        <v>403</v>
      </c>
      <c r="I643" s="18"/>
      <c r="J643" s="178"/>
      <c r="K643" s="178"/>
      <c r="L643" s="178"/>
      <c r="M643" s="178"/>
      <c r="N643" s="178"/>
      <c r="O643" s="178"/>
      <c r="P643" s="26"/>
      <c r="Q643" s="178"/>
      <c r="R643" s="178"/>
      <c r="S643" s="178"/>
      <c r="T643" s="266"/>
      <c r="U643" s="266"/>
      <c r="V643" s="178"/>
      <c r="W643" s="178"/>
      <c r="X643" s="178"/>
      <c r="Y643" s="178"/>
      <c r="Z643" s="178"/>
      <c r="AA643" s="178"/>
      <c r="AB643" s="178"/>
      <c r="AC643" s="178"/>
      <c r="AD643" s="178"/>
      <c r="AE643" s="178">
        <f>AF643-AB643</f>
        <v>232500</v>
      </c>
      <c r="AF643" s="178">
        <v>232500</v>
      </c>
      <c r="AG643" s="178"/>
      <c r="AH643" s="178"/>
      <c r="AI643" s="178"/>
      <c r="AJ643" s="162" t="b">
        <f t="shared" si="421"/>
        <v>0</v>
      </c>
      <c r="AK643" s="162" t="str">
        <f t="shared" si="422"/>
        <v>PUNO</v>
      </c>
      <c r="AM643" s="164"/>
    </row>
    <row r="644" spans="1:39" s="171" customFormat="1" ht="15.75" x14ac:dyDescent="0.2">
      <c r="A644" s="259"/>
      <c r="B644" s="168"/>
      <c r="C644" s="168"/>
      <c r="D644" s="168"/>
      <c r="E644" s="168"/>
      <c r="F644" s="168"/>
      <c r="G644" s="168"/>
      <c r="H644" s="12" t="s">
        <v>688</v>
      </c>
      <c r="I644" s="169">
        <f>I646</f>
        <v>310000</v>
      </c>
      <c r="J644" s="169">
        <f>J646</f>
        <v>45188.04</v>
      </c>
      <c r="K644" s="169">
        <f>ROUND(J644/I644*100,2)</f>
        <v>14.58</v>
      </c>
      <c r="L644" s="169">
        <f>M644-I644</f>
        <v>-232067.01</v>
      </c>
      <c r="M644" s="19">
        <f>M646</f>
        <v>77932.990000000005</v>
      </c>
      <c r="N644" s="19">
        <f>N646</f>
        <v>750000</v>
      </c>
      <c r="O644" s="19">
        <f>O646</f>
        <v>361071.35999999999</v>
      </c>
      <c r="P644" s="303">
        <f>T644-N644</f>
        <v>400000</v>
      </c>
      <c r="Q644" s="19">
        <f t="shared" ref="Q644:X644" si="447">Q646</f>
        <v>750000</v>
      </c>
      <c r="R644" s="19">
        <f t="shared" si="447"/>
        <v>400000</v>
      </c>
      <c r="S644" s="19">
        <f t="shared" si="447"/>
        <v>500000</v>
      </c>
      <c r="T644" s="53">
        <f t="shared" si="447"/>
        <v>1150000</v>
      </c>
      <c r="U644" s="53">
        <f>U646</f>
        <v>1139008.67</v>
      </c>
      <c r="V644" s="19">
        <f t="shared" si="447"/>
        <v>700000</v>
      </c>
      <c r="W644" s="19">
        <f t="shared" si="447"/>
        <v>800000</v>
      </c>
      <c r="X644" s="19">
        <f t="shared" si="447"/>
        <v>800000</v>
      </c>
      <c r="Y644" s="19">
        <f>Y646</f>
        <v>274752.08</v>
      </c>
      <c r="Z644" s="19">
        <f t="shared" ref="Z644:Z650" si="448">ROUND(Y644/V644*100,2)</f>
        <v>39.25</v>
      </c>
      <c r="AA644" s="19">
        <f t="shared" si="426"/>
        <v>0</v>
      </c>
      <c r="AB644" s="19">
        <f>AB646</f>
        <v>700000</v>
      </c>
      <c r="AC644" s="19">
        <f>AC646</f>
        <v>274752.08</v>
      </c>
      <c r="AD644" s="19">
        <f t="shared" si="408"/>
        <v>39.250297142857143</v>
      </c>
      <c r="AE644" s="19">
        <f t="shared" si="413"/>
        <v>0</v>
      </c>
      <c r="AF644" s="19">
        <f>AF646</f>
        <v>700000</v>
      </c>
      <c r="AG644" s="19">
        <f>AG646</f>
        <v>700000</v>
      </c>
      <c r="AH644" s="19">
        <f>AH646</f>
        <v>700000</v>
      </c>
      <c r="AI644" s="19">
        <f>AI646</f>
        <v>700000</v>
      </c>
      <c r="AJ644" s="162" t="b">
        <f t="shared" si="421"/>
        <v>1</v>
      </c>
      <c r="AK644" s="162" t="str">
        <f t="shared" si="422"/>
        <v>PRAZNO</v>
      </c>
      <c r="AL644" s="170"/>
      <c r="AM644" s="164"/>
    </row>
    <row r="645" spans="1:39" s="264" customFormat="1" ht="15.75" x14ac:dyDescent="0.2">
      <c r="A645" s="259"/>
      <c r="B645" s="260"/>
      <c r="C645" s="260"/>
      <c r="D645" s="260"/>
      <c r="E645" s="260"/>
      <c r="F645" s="260"/>
      <c r="G645" s="260"/>
      <c r="H645" s="441" t="s">
        <v>824</v>
      </c>
      <c r="I645" s="181"/>
      <c r="J645" s="181"/>
      <c r="K645" s="181"/>
      <c r="L645" s="181"/>
      <c r="M645" s="262"/>
      <c r="N645" s="262"/>
      <c r="O645" s="262"/>
      <c r="P645" s="445"/>
      <c r="Q645" s="262"/>
      <c r="R645" s="262"/>
      <c r="S645" s="262"/>
      <c r="T645" s="342"/>
      <c r="U645" s="342"/>
      <c r="V645" s="262">
        <f>V646</f>
        <v>700000</v>
      </c>
      <c r="W645" s="262">
        <f>W646</f>
        <v>800000</v>
      </c>
      <c r="X645" s="262">
        <f>X646</f>
        <v>800000</v>
      </c>
      <c r="Y645" s="262">
        <f>Y646</f>
        <v>274752.08</v>
      </c>
      <c r="Z645" s="262">
        <f t="shared" si="448"/>
        <v>39.25</v>
      </c>
      <c r="AA645" s="262">
        <f t="shared" si="426"/>
        <v>0</v>
      </c>
      <c r="AB645" s="262">
        <f>AB646</f>
        <v>700000</v>
      </c>
      <c r="AC645" s="262">
        <f>AC646</f>
        <v>274752.08</v>
      </c>
      <c r="AD645" s="262">
        <f t="shared" si="408"/>
        <v>39.250297142857143</v>
      </c>
      <c r="AE645" s="262">
        <f t="shared" si="413"/>
        <v>0</v>
      </c>
      <c r="AF645" s="262">
        <f>AF646</f>
        <v>700000</v>
      </c>
      <c r="AG645" s="262">
        <f>AG646</f>
        <v>700000</v>
      </c>
      <c r="AH645" s="262">
        <f>AH646</f>
        <v>700000</v>
      </c>
      <c r="AI645" s="262">
        <f>AI646</f>
        <v>700000</v>
      </c>
      <c r="AJ645" s="162" t="b">
        <f t="shared" si="421"/>
        <v>1</v>
      </c>
      <c r="AK645" s="162" t="str">
        <f t="shared" si="422"/>
        <v>PRAZNO</v>
      </c>
      <c r="AL645" s="263"/>
    </row>
    <row r="646" spans="1:39" s="174" customFormat="1" ht="15.75" x14ac:dyDescent="0.2">
      <c r="A646" s="259"/>
      <c r="B646" s="172">
        <v>3</v>
      </c>
      <c r="C646" s="172"/>
      <c r="D646" s="172"/>
      <c r="E646" s="172"/>
      <c r="F646" s="172"/>
      <c r="G646" s="172"/>
      <c r="H646" s="14" t="s">
        <v>524</v>
      </c>
      <c r="I646" s="20">
        <f t="shared" ref="I646:AI647" si="449">I647</f>
        <v>310000</v>
      </c>
      <c r="J646" s="20">
        <f t="shared" si="449"/>
        <v>45188.04</v>
      </c>
      <c r="K646" s="20">
        <f>ROUND(J646/I646*100,2)</f>
        <v>14.58</v>
      </c>
      <c r="L646" s="20">
        <f>M646-I646</f>
        <v>-232067.01</v>
      </c>
      <c r="M646" s="20">
        <f t="shared" si="449"/>
        <v>77932.990000000005</v>
      </c>
      <c r="N646" s="20">
        <f t="shared" si="449"/>
        <v>750000</v>
      </c>
      <c r="O646" s="20">
        <f t="shared" si="449"/>
        <v>361071.35999999999</v>
      </c>
      <c r="P646" s="55">
        <f>T646-N646</f>
        <v>400000</v>
      </c>
      <c r="Q646" s="20">
        <f t="shared" si="449"/>
        <v>750000</v>
      </c>
      <c r="R646" s="20">
        <f t="shared" si="449"/>
        <v>400000</v>
      </c>
      <c r="S646" s="20">
        <f t="shared" si="449"/>
        <v>500000</v>
      </c>
      <c r="T646" s="55">
        <f t="shared" si="449"/>
        <v>1150000</v>
      </c>
      <c r="U646" s="55">
        <f t="shared" si="449"/>
        <v>1139008.67</v>
      </c>
      <c r="V646" s="20">
        <f t="shared" si="449"/>
        <v>700000</v>
      </c>
      <c r="W646" s="20">
        <f t="shared" si="449"/>
        <v>800000</v>
      </c>
      <c r="X646" s="20">
        <f t="shared" si="449"/>
        <v>800000</v>
      </c>
      <c r="Y646" s="20">
        <f t="shared" si="449"/>
        <v>274752.08</v>
      </c>
      <c r="Z646" s="20">
        <f t="shared" si="448"/>
        <v>39.25</v>
      </c>
      <c r="AA646" s="20">
        <f t="shared" si="426"/>
        <v>0</v>
      </c>
      <c r="AB646" s="20">
        <f t="shared" si="449"/>
        <v>700000</v>
      </c>
      <c r="AC646" s="20">
        <f t="shared" si="449"/>
        <v>274752.08</v>
      </c>
      <c r="AD646" s="20">
        <f t="shared" si="408"/>
        <v>39.250297142857143</v>
      </c>
      <c r="AE646" s="20">
        <f t="shared" si="413"/>
        <v>0</v>
      </c>
      <c r="AF646" s="20">
        <f t="shared" si="449"/>
        <v>700000</v>
      </c>
      <c r="AG646" s="20">
        <f t="shared" si="449"/>
        <v>700000</v>
      </c>
      <c r="AH646" s="20">
        <f t="shared" si="449"/>
        <v>700000</v>
      </c>
      <c r="AI646" s="20">
        <f t="shared" si="449"/>
        <v>700000</v>
      </c>
      <c r="AJ646" s="162" t="b">
        <f t="shared" si="421"/>
        <v>1</v>
      </c>
      <c r="AK646" s="162" t="str">
        <f t="shared" si="422"/>
        <v>PRAZNO</v>
      </c>
      <c r="AL646" s="173"/>
      <c r="AM646" s="164"/>
    </row>
    <row r="647" spans="1:39" ht="18.75" customHeight="1" x14ac:dyDescent="0.2">
      <c r="B647" s="175"/>
      <c r="C647" s="175">
        <v>36</v>
      </c>
      <c r="D647" s="175"/>
      <c r="E647" s="175"/>
      <c r="F647" s="175"/>
      <c r="G647" s="175"/>
      <c r="H647" s="16" t="s">
        <v>751</v>
      </c>
      <c r="I647" s="22">
        <f t="shared" si="449"/>
        <v>310000</v>
      </c>
      <c r="J647" s="22">
        <f t="shared" si="449"/>
        <v>45188.04</v>
      </c>
      <c r="K647" s="22">
        <f>ROUND(J647/I647*100,2)</f>
        <v>14.58</v>
      </c>
      <c r="L647" s="22">
        <f>M647-I647</f>
        <v>-232067.01</v>
      </c>
      <c r="M647" s="22">
        <f t="shared" si="449"/>
        <v>77932.990000000005</v>
      </c>
      <c r="N647" s="22">
        <f t="shared" si="449"/>
        <v>750000</v>
      </c>
      <c r="O647" s="22">
        <f t="shared" si="449"/>
        <v>361071.35999999999</v>
      </c>
      <c r="P647" s="26">
        <f>T647-N647</f>
        <v>400000</v>
      </c>
      <c r="Q647" s="22">
        <f t="shared" si="449"/>
        <v>750000</v>
      </c>
      <c r="R647" s="22">
        <f t="shared" si="449"/>
        <v>400000</v>
      </c>
      <c r="S647" s="22">
        <f t="shared" si="449"/>
        <v>500000</v>
      </c>
      <c r="T647" s="38">
        <f t="shared" si="449"/>
        <v>1150000</v>
      </c>
      <c r="U647" s="38">
        <f t="shared" si="449"/>
        <v>1139008.67</v>
      </c>
      <c r="V647" s="22">
        <f t="shared" si="449"/>
        <v>700000</v>
      </c>
      <c r="W647" s="22">
        <f t="shared" si="449"/>
        <v>800000</v>
      </c>
      <c r="X647" s="22">
        <f t="shared" si="449"/>
        <v>800000</v>
      </c>
      <c r="Y647" s="22">
        <f t="shared" si="449"/>
        <v>274752.08</v>
      </c>
      <c r="Z647" s="22">
        <f t="shared" si="448"/>
        <v>39.25</v>
      </c>
      <c r="AA647" s="22">
        <f t="shared" si="426"/>
        <v>0</v>
      </c>
      <c r="AB647" s="22">
        <f t="shared" si="449"/>
        <v>700000</v>
      </c>
      <c r="AC647" s="22">
        <f t="shared" si="449"/>
        <v>274752.08</v>
      </c>
      <c r="AD647" s="22">
        <f t="shared" si="408"/>
        <v>39.250297142857143</v>
      </c>
      <c r="AE647" s="22">
        <f t="shared" si="413"/>
        <v>0</v>
      </c>
      <c r="AF647" s="22">
        <f t="shared" si="449"/>
        <v>700000</v>
      </c>
      <c r="AG647" s="22">
        <f t="shared" si="449"/>
        <v>700000</v>
      </c>
      <c r="AH647" s="22">
        <f t="shared" si="449"/>
        <v>700000</v>
      </c>
      <c r="AI647" s="22">
        <f t="shared" si="449"/>
        <v>700000</v>
      </c>
      <c r="AJ647" s="162" t="b">
        <f t="shared" si="421"/>
        <v>1</v>
      </c>
      <c r="AK647" s="162" t="str">
        <f t="shared" si="422"/>
        <v>PRAZNO</v>
      </c>
      <c r="AM647" s="164"/>
    </row>
    <row r="648" spans="1:39" ht="15.75" x14ac:dyDescent="0.2">
      <c r="B648" s="177"/>
      <c r="C648" s="177"/>
      <c r="D648" s="177">
        <v>363</v>
      </c>
      <c r="E648" s="177"/>
      <c r="F648" s="177"/>
      <c r="G648" s="177"/>
      <c r="H648" s="16" t="s">
        <v>536</v>
      </c>
      <c r="I648" s="17">
        <f>SUM(I649:I649)</f>
        <v>310000</v>
      </c>
      <c r="J648" s="17">
        <f>SUM(J649:J649)</f>
        <v>45188.04</v>
      </c>
      <c r="K648" s="17">
        <f>ROUND(J648/I648*100,2)</f>
        <v>14.58</v>
      </c>
      <c r="L648" s="17">
        <f>M648-I648</f>
        <v>-232067.01</v>
      </c>
      <c r="M648" s="17">
        <f>SUM(M649:M649)</f>
        <v>77932.990000000005</v>
      </c>
      <c r="N648" s="17">
        <f>SUM(N649:N649)</f>
        <v>750000</v>
      </c>
      <c r="O648" s="17">
        <f>SUM(O649:O649)</f>
        <v>361071.35999999999</v>
      </c>
      <c r="P648" s="26">
        <f>T648-N648</f>
        <v>400000</v>
      </c>
      <c r="Q648" s="17">
        <f t="shared" ref="Q648:AI648" si="450">SUM(Q649:Q649)</f>
        <v>750000</v>
      </c>
      <c r="R648" s="17">
        <f t="shared" si="450"/>
        <v>400000</v>
      </c>
      <c r="S648" s="17">
        <f t="shared" si="450"/>
        <v>500000</v>
      </c>
      <c r="T648" s="26">
        <f t="shared" si="450"/>
        <v>1150000</v>
      </c>
      <c r="U648" s="26">
        <f t="shared" si="450"/>
        <v>1139008.67</v>
      </c>
      <c r="V648" s="17">
        <f t="shared" si="450"/>
        <v>700000</v>
      </c>
      <c r="W648" s="17">
        <f t="shared" si="450"/>
        <v>800000</v>
      </c>
      <c r="X648" s="17">
        <f t="shared" si="450"/>
        <v>800000</v>
      </c>
      <c r="Y648" s="17">
        <f t="shared" si="450"/>
        <v>274752.08</v>
      </c>
      <c r="Z648" s="17">
        <f t="shared" si="448"/>
        <v>39.25</v>
      </c>
      <c r="AA648" s="17">
        <f t="shared" si="426"/>
        <v>0</v>
      </c>
      <c r="AB648" s="17">
        <f t="shared" si="450"/>
        <v>700000</v>
      </c>
      <c r="AC648" s="17">
        <f t="shared" si="450"/>
        <v>274752.08</v>
      </c>
      <c r="AD648" s="17">
        <f t="shared" si="408"/>
        <v>39.250297142857143</v>
      </c>
      <c r="AE648" s="17">
        <f t="shared" si="413"/>
        <v>0</v>
      </c>
      <c r="AF648" s="17">
        <f t="shared" si="450"/>
        <v>700000</v>
      </c>
      <c r="AG648" s="17">
        <f t="shared" si="450"/>
        <v>700000</v>
      </c>
      <c r="AH648" s="17">
        <f t="shared" si="450"/>
        <v>700000</v>
      </c>
      <c r="AI648" s="17">
        <f t="shared" si="450"/>
        <v>700000</v>
      </c>
      <c r="AJ648" s="162" t="b">
        <f t="shared" si="421"/>
        <v>1</v>
      </c>
      <c r="AK648" s="162" t="str">
        <f t="shared" si="422"/>
        <v>PRAZNO</v>
      </c>
      <c r="AM648" s="164"/>
    </row>
    <row r="649" spans="1:39" ht="30" x14ac:dyDescent="0.2">
      <c r="B649" s="177"/>
      <c r="C649" s="177"/>
      <c r="D649" s="177"/>
      <c r="E649" s="177">
        <v>3631</v>
      </c>
      <c r="F649" s="176">
        <v>14</v>
      </c>
      <c r="G649" s="176" t="s">
        <v>803</v>
      </c>
      <c r="H649" s="23" t="s">
        <v>334</v>
      </c>
      <c r="I649" s="18">
        <v>310000</v>
      </c>
      <c r="J649" s="18">
        <v>45188.04</v>
      </c>
      <c r="K649" s="18">
        <f>ROUND(J649/I649*100,2)</f>
        <v>14.58</v>
      </c>
      <c r="L649" s="18">
        <f>M649-I649</f>
        <v>-232067.01</v>
      </c>
      <c r="M649" s="18">
        <v>77932.990000000005</v>
      </c>
      <c r="N649" s="18">
        <v>750000</v>
      </c>
      <c r="O649" s="18">
        <v>361071.35999999999</v>
      </c>
      <c r="P649" s="26">
        <f>T649-N649</f>
        <v>400000</v>
      </c>
      <c r="Q649" s="18">
        <v>750000</v>
      </c>
      <c r="R649" s="18">
        <v>400000</v>
      </c>
      <c r="S649" s="18">
        <v>500000</v>
      </c>
      <c r="T649" s="266">
        <v>1150000</v>
      </c>
      <c r="U649" s="266">
        <v>1139008.67</v>
      </c>
      <c r="V649" s="18">
        <v>700000</v>
      </c>
      <c r="W649" s="18">
        <v>800000</v>
      </c>
      <c r="X649" s="18">
        <v>800000</v>
      </c>
      <c r="Y649" s="18">
        <v>274752.08</v>
      </c>
      <c r="Z649" s="18">
        <f t="shared" si="448"/>
        <v>39.25</v>
      </c>
      <c r="AA649" s="18">
        <f t="shared" si="426"/>
        <v>0</v>
      </c>
      <c r="AB649" s="18">
        <v>700000</v>
      </c>
      <c r="AC649" s="18">
        <v>274752.08</v>
      </c>
      <c r="AD649" s="18">
        <f t="shared" si="408"/>
        <v>39.250297142857143</v>
      </c>
      <c r="AE649" s="18">
        <f t="shared" si="413"/>
        <v>0</v>
      </c>
      <c r="AF649" s="18">
        <v>700000</v>
      </c>
      <c r="AG649" s="18">
        <v>700000</v>
      </c>
      <c r="AH649" s="18">
        <v>700000</v>
      </c>
      <c r="AI649" s="18">
        <v>700000</v>
      </c>
      <c r="AJ649" s="162" t="b">
        <f t="shared" ref="AJ649:AJ712" si="451">ISBLANK(E649)</f>
        <v>0</v>
      </c>
      <c r="AK649" s="162" t="str">
        <f t="shared" ref="AK649:AK712" si="452">IF(AJ649,"PRAZNO","PUNO")</f>
        <v>PUNO</v>
      </c>
      <c r="AM649" s="164"/>
    </row>
    <row r="650" spans="1:39" s="171" customFormat="1" ht="31.5" x14ac:dyDescent="0.2">
      <c r="A650" s="259"/>
      <c r="B650" s="168"/>
      <c r="C650" s="168"/>
      <c r="D650" s="168"/>
      <c r="E650" s="168"/>
      <c r="F650" s="168"/>
      <c r="G650" s="168"/>
      <c r="H650" s="25" t="s">
        <v>157</v>
      </c>
      <c r="I650" s="169" t="e">
        <f>I657</f>
        <v>#REF!</v>
      </c>
      <c r="J650" s="169" t="e">
        <f>J657</f>
        <v>#REF!</v>
      </c>
      <c r="K650" s="169" t="e">
        <f>ROUND(J650/I650*100,2)</f>
        <v>#REF!</v>
      </c>
      <c r="L650" s="169" t="e">
        <f>M650-I650</f>
        <v>#REF!</v>
      </c>
      <c r="M650" s="19" t="e">
        <f>M657</f>
        <v>#REF!</v>
      </c>
      <c r="N650" s="19" t="e">
        <f>N657</f>
        <v>#REF!</v>
      </c>
      <c r="O650" s="19" t="e">
        <f>O657</f>
        <v>#REF!</v>
      </c>
      <c r="P650" s="303" t="e">
        <f>T650-N650</f>
        <v>#REF!</v>
      </c>
      <c r="Q650" s="19" t="e">
        <f t="shared" ref="Q650:X650" si="453">Q657</f>
        <v>#REF!</v>
      </c>
      <c r="R650" s="19" t="e">
        <f t="shared" si="453"/>
        <v>#REF!</v>
      </c>
      <c r="S650" s="19" t="e">
        <f t="shared" si="453"/>
        <v>#REF!</v>
      </c>
      <c r="T650" s="19">
        <f>T657+T652</f>
        <v>0</v>
      </c>
      <c r="U650" s="19">
        <f>U657+U652</f>
        <v>207404.14</v>
      </c>
      <c r="V650" s="19">
        <f>V657+V652</f>
        <v>300000</v>
      </c>
      <c r="W650" s="19" t="e">
        <f t="shared" si="453"/>
        <v>#REF!</v>
      </c>
      <c r="X650" s="19" t="e">
        <f t="shared" si="453"/>
        <v>#REF!</v>
      </c>
      <c r="Y650" s="19">
        <f>Y657+Y652</f>
        <v>0</v>
      </c>
      <c r="Z650" s="19">
        <f t="shared" si="448"/>
        <v>0</v>
      </c>
      <c r="AA650" s="19">
        <f>AA657+AA652</f>
        <v>0</v>
      </c>
      <c r="AB650" s="19">
        <f>AB657+AB652</f>
        <v>300000</v>
      </c>
      <c r="AC650" s="19">
        <f>AC657+AC652</f>
        <v>0</v>
      </c>
      <c r="AD650" s="19">
        <f t="shared" si="408"/>
        <v>0</v>
      </c>
      <c r="AE650" s="19">
        <f t="shared" si="413"/>
        <v>-300000</v>
      </c>
      <c r="AF650" s="19">
        <f>AF657+AF652</f>
        <v>0</v>
      </c>
      <c r="AG650" s="19">
        <f>AG657+AG652</f>
        <v>0</v>
      </c>
      <c r="AH650" s="19">
        <f>AH657+AH652</f>
        <v>0</v>
      </c>
      <c r="AI650" s="19">
        <f>AI657+AI652</f>
        <v>0</v>
      </c>
      <c r="AJ650" s="162" t="b">
        <f t="shared" si="451"/>
        <v>1</v>
      </c>
      <c r="AK650" s="162" t="str">
        <f t="shared" si="452"/>
        <v>PRAZNO</v>
      </c>
      <c r="AL650" s="170"/>
      <c r="AM650" s="164"/>
    </row>
    <row r="651" spans="1:39" ht="15.75" x14ac:dyDescent="0.2">
      <c r="B651" s="177"/>
      <c r="C651" s="177"/>
      <c r="D651" s="177"/>
      <c r="E651" s="177"/>
      <c r="F651" s="176"/>
      <c r="G651" s="176"/>
      <c r="H651" s="261" t="s">
        <v>824</v>
      </c>
      <c r="I651" s="189"/>
      <c r="J651" s="189"/>
      <c r="K651" s="189"/>
      <c r="L651" s="189"/>
      <c r="M651" s="189"/>
      <c r="N651" s="189"/>
      <c r="O651" s="189"/>
      <c r="P651" s="26"/>
      <c r="Q651" s="189"/>
      <c r="R651" s="189"/>
      <c r="S651" s="189"/>
      <c r="T651" s="190"/>
      <c r="U651" s="190"/>
      <c r="V651" s="189">
        <f>V652</f>
        <v>0</v>
      </c>
      <c r="W651" s="189"/>
      <c r="X651" s="189"/>
      <c r="Y651" s="189">
        <f>Y652</f>
        <v>0</v>
      </c>
      <c r="Z651" s="189"/>
      <c r="AA651" s="189">
        <f>AB651-V651</f>
        <v>100000</v>
      </c>
      <c r="AB651" s="189">
        <f t="shared" ref="AB651:AI654" si="454">AB652</f>
        <v>100000</v>
      </c>
      <c r="AC651" s="189">
        <f t="shared" si="454"/>
        <v>0</v>
      </c>
      <c r="AD651" s="189">
        <f t="shared" si="408"/>
        <v>0</v>
      </c>
      <c r="AE651" s="701">
        <f t="shared" si="413"/>
        <v>-100000</v>
      </c>
      <c r="AF651" s="701">
        <f t="shared" si="454"/>
        <v>0</v>
      </c>
      <c r="AG651" s="189">
        <f t="shared" si="454"/>
        <v>0</v>
      </c>
      <c r="AH651" s="189">
        <f t="shared" si="454"/>
        <v>0</v>
      </c>
      <c r="AI651" s="189">
        <f t="shared" si="454"/>
        <v>0</v>
      </c>
      <c r="AJ651" s="162" t="b">
        <f t="shared" si="451"/>
        <v>1</v>
      </c>
      <c r="AK651" s="162" t="str">
        <f t="shared" si="452"/>
        <v>PRAZNO</v>
      </c>
      <c r="AM651" s="164"/>
    </row>
    <row r="652" spans="1:39" s="174" customFormat="1" ht="15.75" x14ac:dyDescent="0.2">
      <c r="A652" s="259"/>
      <c r="B652" s="172">
        <v>4</v>
      </c>
      <c r="C652" s="172"/>
      <c r="D652" s="172"/>
      <c r="E652" s="172"/>
      <c r="F652" s="172"/>
      <c r="G652" s="172"/>
      <c r="H652" s="14" t="s">
        <v>552</v>
      </c>
      <c r="I652" s="20"/>
      <c r="J652" s="20"/>
      <c r="K652" s="20"/>
      <c r="L652" s="20"/>
      <c r="M652" s="20"/>
      <c r="N652" s="20"/>
      <c r="O652" s="20"/>
      <c r="P652" s="55"/>
      <c r="Q652" s="20"/>
      <c r="R652" s="20"/>
      <c r="S652" s="20"/>
      <c r="T652" s="55"/>
      <c r="U652" s="55"/>
      <c r="V652" s="20">
        <f>V653</f>
        <v>0</v>
      </c>
      <c r="W652" s="20"/>
      <c r="X652" s="20"/>
      <c r="Y652" s="20">
        <f>Y653</f>
        <v>0</v>
      </c>
      <c r="Z652" s="20"/>
      <c r="AA652" s="20">
        <f>AB652-V652</f>
        <v>100000</v>
      </c>
      <c r="AB652" s="20">
        <f t="shared" si="454"/>
        <v>100000</v>
      </c>
      <c r="AC652" s="20">
        <f t="shared" si="454"/>
        <v>0</v>
      </c>
      <c r="AD652" s="20">
        <f t="shared" si="408"/>
        <v>0</v>
      </c>
      <c r="AE652" s="702">
        <f t="shared" si="413"/>
        <v>-100000</v>
      </c>
      <c r="AF652" s="702">
        <f t="shared" si="454"/>
        <v>0</v>
      </c>
      <c r="AG652" s="20">
        <f t="shared" si="454"/>
        <v>0</v>
      </c>
      <c r="AH652" s="20">
        <f t="shared" si="454"/>
        <v>0</v>
      </c>
      <c r="AI652" s="20">
        <f t="shared" si="454"/>
        <v>0</v>
      </c>
      <c r="AJ652" s="162" t="b">
        <f t="shared" si="451"/>
        <v>1</v>
      </c>
      <c r="AK652" s="162" t="str">
        <f t="shared" si="452"/>
        <v>PRAZNO</v>
      </c>
      <c r="AL652" s="173"/>
      <c r="AM652" s="164"/>
    </row>
    <row r="653" spans="1:39" ht="15.75" x14ac:dyDescent="0.2">
      <c r="B653" s="177"/>
      <c r="C653" s="177">
        <v>41</v>
      </c>
      <c r="D653" s="177"/>
      <c r="E653" s="177"/>
      <c r="F653" s="176"/>
      <c r="G653" s="176"/>
      <c r="H653" s="30" t="s">
        <v>753</v>
      </c>
      <c r="I653" s="189"/>
      <c r="J653" s="189"/>
      <c r="K653" s="189"/>
      <c r="L653" s="189"/>
      <c r="M653" s="189"/>
      <c r="N653" s="189"/>
      <c r="O653" s="189"/>
      <c r="P653" s="26"/>
      <c r="Q653" s="189"/>
      <c r="R653" s="189"/>
      <c r="S653" s="189"/>
      <c r="T653" s="190"/>
      <c r="U653" s="190"/>
      <c r="V653" s="189">
        <f>V654</f>
        <v>0</v>
      </c>
      <c r="W653" s="189"/>
      <c r="X653" s="189"/>
      <c r="Y653" s="189">
        <f>Y654</f>
        <v>0</v>
      </c>
      <c r="Z653" s="189"/>
      <c r="AA653" s="189">
        <f>AB653-V653</f>
        <v>100000</v>
      </c>
      <c r="AB653" s="189">
        <f t="shared" si="454"/>
        <v>100000</v>
      </c>
      <c r="AC653" s="189">
        <f t="shared" si="454"/>
        <v>0</v>
      </c>
      <c r="AD653" s="189">
        <f t="shared" si="408"/>
        <v>0</v>
      </c>
      <c r="AE653" s="701">
        <f t="shared" si="413"/>
        <v>-100000</v>
      </c>
      <c r="AF653" s="701">
        <f t="shared" si="454"/>
        <v>0</v>
      </c>
      <c r="AG653" s="189">
        <f t="shared" si="454"/>
        <v>0</v>
      </c>
      <c r="AH653" s="189">
        <f t="shared" si="454"/>
        <v>0</v>
      </c>
      <c r="AI653" s="189">
        <f t="shared" si="454"/>
        <v>0</v>
      </c>
      <c r="AJ653" s="162" t="b">
        <f t="shared" si="451"/>
        <v>1</v>
      </c>
      <c r="AK653" s="162" t="str">
        <f t="shared" si="452"/>
        <v>PRAZNO</v>
      </c>
      <c r="AM653" s="164"/>
    </row>
    <row r="654" spans="1:39" ht="15.75" x14ac:dyDescent="0.2">
      <c r="B654" s="177"/>
      <c r="C654" s="177"/>
      <c r="D654" s="177">
        <v>411</v>
      </c>
      <c r="E654" s="177"/>
      <c r="F654" s="176"/>
      <c r="G654" s="176"/>
      <c r="H654" s="29" t="s">
        <v>754</v>
      </c>
      <c r="I654" s="189"/>
      <c r="J654" s="189"/>
      <c r="K654" s="189"/>
      <c r="L654" s="189"/>
      <c r="M654" s="189"/>
      <c r="N654" s="189"/>
      <c r="O654" s="189"/>
      <c r="P654" s="26"/>
      <c r="Q654" s="189"/>
      <c r="R654" s="189"/>
      <c r="S654" s="189"/>
      <c r="T654" s="190"/>
      <c r="U654" s="190"/>
      <c r="V654" s="189">
        <f>V655</f>
        <v>0</v>
      </c>
      <c r="W654" s="189"/>
      <c r="X654" s="189"/>
      <c r="Y654" s="189">
        <f>Y655</f>
        <v>0</v>
      </c>
      <c r="Z654" s="189"/>
      <c r="AA654" s="189">
        <f>AB654-V654</f>
        <v>100000</v>
      </c>
      <c r="AB654" s="189">
        <f t="shared" si="454"/>
        <v>100000</v>
      </c>
      <c r="AC654" s="189">
        <f t="shared" si="454"/>
        <v>0</v>
      </c>
      <c r="AD654" s="189">
        <f t="shared" ref="AD654:AD712" si="455">AC654/AB654*100</f>
        <v>0</v>
      </c>
      <c r="AE654" s="701">
        <f t="shared" si="413"/>
        <v>-100000</v>
      </c>
      <c r="AF654" s="701">
        <f t="shared" si="454"/>
        <v>0</v>
      </c>
      <c r="AG654" s="189">
        <f t="shared" si="454"/>
        <v>0</v>
      </c>
      <c r="AH654" s="189">
        <f t="shared" si="454"/>
        <v>0</v>
      </c>
      <c r="AI654" s="189">
        <f t="shared" si="454"/>
        <v>0</v>
      </c>
      <c r="AJ654" s="162" t="b">
        <f t="shared" si="451"/>
        <v>1</v>
      </c>
      <c r="AK654" s="162" t="str">
        <f t="shared" si="452"/>
        <v>PRAZNO</v>
      </c>
      <c r="AM654" s="164"/>
    </row>
    <row r="655" spans="1:39" ht="15" customHeight="1" x14ac:dyDescent="0.2">
      <c r="B655" s="177"/>
      <c r="C655" s="177"/>
      <c r="D655" s="177"/>
      <c r="E655" s="177">
        <v>4111</v>
      </c>
      <c r="F655" s="176">
        <v>14</v>
      </c>
      <c r="G655" s="176" t="s">
        <v>424</v>
      </c>
      <c r="H655" s="29" t="s">
        <v>755</v>
      </c>
      <c r="I655" s="189">
        <v>83000</v>
      </c>
      <c r="J655" s="189">
        <v>17179.02</v>
      </c>
      <c r="K655" s="189">
        <f>ROUND(J655/I655*100,2)</f>
        <v>20.7</v>
      </c>
      <c r="L655" s="189">
        <f>M655-I655</f>
        <v>-24416.480000000003</v>
      </c>
      <c r="M655" s="189">
        <v>58583.519999999997</v>
      </c>
      <c r="N655" s="189">
        <v>200000</v>
      </c>
      <c r="O655" s="189">
        <v>86410.25</v>
      </c>
      <c r="P655" s="26">
        <f>T655-N655</f>
        <v>-60000</v>
      </c>
      <c r="Q655" s="189">
        <v>200000</v>
      </c>
      <c r="R655" s="189">
        <v>300000</v>
      </c>
      <c r="S655" s="189">
        <v>200000</v>
      </c>
      <c r="T655" s="190">
        <v>140000</v>
      </c>
      <c r="U655" s="190"/>
      <c r="V655" s="189">
        <v>0</v>
      </c>
      <c r="W655" s="189">
        <v>0</v>
      </c>
      <c r="X655" s="189">
        <v>0</v>
      </c>
      <c r="Y655" s="189">
        <v>0</v>
      </c>
      <c r="Z655" s="189" t="e">
        <f>ROUND(Y655/V655*100,2)</f>
        <v>#DIV/0!</v>
      </c>
      <c r="AA655" s="189">
        <f>AB655-V655</f>
        <v>100000</v>
      </c>
      <c r="AB655" s="189">
        <v>100000</v>
      </c>
      <c r="AC655" s="189">
        <v>0</v>
      </c>
      <c r="AD655" s="189">
        <f t="shared" si="455"/>
        <v>0</v>
      </c>
      <c r="AE655" s="701">
        <f t="shared" si="413"/>
        <v>-100000</v>
      </c>
      <c r="AF655" s="701">
        <v>0</v>
      </c>
      <c r="AG655" s="189">
        <v>0</v>
      </c>
      <c r="AH655" s="189">
        <v>0</v>
      </c>
      <c r="AI655" s="189">
        <v>0</v>
      </c>
      <c r="AJ655" s="162" t="b">
        <f t="shared" si="451"/>
        <v>0</v>
      </c>
      <c r="AK655" s="162" t="str">
        <f t="shared" si="452"/>
        <v>PUNO</v>
      </c>
      <c r="AM655" s="164"/>
    </row>
    <row r="656" spans="1:39" s="264" customFormat="1" ht="15.75" x14ac:dyDescent="0.2">
      <c r="A656" s="259"/>
      <c r="B656" s="260"/>
      <c r="C656" s="260"/>
      <c r="D656" s="260"/>
      <c r="E656" s="260"/>
      <c r="F656" s="260"/>
      <c r="G656" s="260"/>
      <c r="H656" s="261" t="s">
        <v>826</v>
      </c>
      <c r="I656" s="181"/>
      <c r="J656" s="181"/>
      <c r="K656" s="181"/>
      <c r="L656" s="181"/>
      <c r="M656" s="262"/>
      <c r="N656" s="262"/>
      <c r="O656" s="262"/>
      <c r="P656" s="445"/>
      <c r="Q656" s="262"/>
      <c r="R656" s="262"/>
      <c r="S656" s="262"/>
      <c r="T656" s="342"/>
      <c r="U656" s="342"/>
      <c r="V656" s="262">
        <f>V657</f>
        <v>300000</v>
      </c>
      <c r="W656" s="262" t="e">
        <f>W657</f>
        <v>#REF!</v>
      </c>
      <c r="X656" s="262" t="e">
        <f>X657</f>
        <v>#REF!</v>
      </c>
      <c r="Y656" s="262">
        <f>Y657</f>
        <v>0</v>
      </c>
      <c r="Z656" s="262">
        <f t="shared" ref="Z656:Z712" si="456">ROUND(Y656/V656*100,2)</f>
        <v>0</v>
      </c>
      <c r="AA656" s="262">
        <f t="shared" si="426"/>
        <v>-100000</v>
      </c>
      <c r="AB656" s="262">
        <f>AB657</f>
        <v>200000</v>
      </c>
      <c r="AC656" s="262">
        <f>AC657</f>
        <v>0</v>
      </c>
      <c r="AD656" s="262">
        <f t="shared" si="455"/>
        <v>0</v>
      </c>
      <c r="AE656" s="703">
        <f t="shared" si="413"/>
        <v>-200000</v>
      </c>
      <c r="AF656" s="703">
        <f t="shared" ref="AF656:AI657" si="457">AF657</f>
        <v>0</v>
      </c>
      <c r="AG656" s="262">
        <f t="shared" si="457"/>
        <v>0</v>
      </c>
      <c r="AH656" s="262">
        <f t="shared" si="457"/>
        <v>0</v>
      </c>
      <c r="AI656" s="262">
        <f t="shared" si="457"/>
        <v>0</v>
      </c>
      <c r="AJ656" s="162" t="b">
        <f t="shared" si="451"/>
        <v>1</v>
      </c>
      <c r="AK656" s="162" t="str">
        <f t="shared" si="452"/>
        <v>PRAZNO</v>
      </c>
      <c r="AL656" s="263"/>
    </row>
    <row r="657" spans="1:39" s="174" customFormat="1" ht="15.75" x14ac:dyDescent="0.2">
      <c r="A657" s="259"/>
      <c r="B657" s="172">
        <v>4</v>
      </c>
      <c r="C657" s="172"/>
      <c r="D657" s="172"/>
      <c r="E657" s="172"/>
      <c r="F657" s="172"/>
      <c r="G657" s="172"/>
      <c r="H657" s="14" t="s">
        <v>552</v>
      </c>
      <c r="I657" s="20" t="e">
        <f>#REF!+I658</f>
        <v>#REF!</v>
      </c>
      <c r="J657" s="20" t="e">
        <f>#REF!+J658</f>
        <v>#REF!</v>
      </c>
      <c r="K657" s="20" t="e">
        <f>ROUND(J657/I657*100,2)</f>
        <v>#REF!</v>
      </c>
      <c r="L657" s="20" t="e">
        <f>M657-I657</f>
        <v>#REF!</v>
      </c>
      <c r="M657" s="20" t="e">
        <f>#REF!+M658</f>
        <v>#REF!</v>
      </c>
      <c r="N657" s="20" t="e">
        <f>#REF!+N658</f>
        <v>#REF!</v>
      </c>
      <c r="O657" s="20" t="e">
        <f>#REF!+O658</f>
        <v>#REF!</v>
      </c>
      <c r="P657" s="55" t="e">
        <f>T657-N657</f>
        <v>#REF!</v>
      </c>
      <c r="Q657" s="20" t="e">
        <f>#REF!+Q658</f>
        <v>#REF!</v>
      </c>
      <c r="R657" s="20" t="e">
        <f>#REF!+R658</f>
        <v>#REF!</v>
      </c>
      <c r="S657" s="20" t="e">
        <f>#REF!+S658</f>
        <v>#REF!</v>
      </c>
      <c r="T657" s="20">
        <f>T658</f>
        <v>0</v>
      </c>
      <c r="U657" s="20">
        <f>U658</f>
        <v>207404.14</v>
      </c>
      <c r="V657" s="20">
        <f>V658</f>
        <v>300000</v>
      </c>
      <c r="W657" s="20" t="e">
        <f>#REF!+W658</f>
        <v>#REF!</v>
      </c>
      <c r="X657" s="20" t="e">
        <f>#REF!+X658</f>
        <v>#REF!</v>
      </c>
      <c r="Y657" s="20">
        <f>Y658</f>
        <v>0</v>
      </c>
      <c r="Z657" s="20">
        <f t="shared" si="456"/>
        <v>0</v>
      </c>
      <c r="AA657" s="20">
        <f t="shared" si="426"/>
        <v>-100000</v>
      </c>
      <c r="AB657" s="20">
        <f>AB658</f>
        <v>200000</v>
      </c>
      <c r="AC657" s="20">
        <f>AC658</f>
        <v>0</v>
      </c>
      <c r="AD657" s="20">
        <f t="shared" si="455"/>
        <v>0</v>
      </c>
      <c r="AE657" s="702">
        <f t="shared" si="413"/>
        <v>-200000</v>
      </c>
      <c r="AF657" s="702">
        <f t="shared" si="457"/>
        <v>0</v>
      </c>
      <c r="AG657" s="20">
        <f t="shared" si="457"/>
        <v>0</v>
      </c>
      <c r="AH657" s="20">
        <f t="shared" si="457"/>
        <v>0</v>
      </c>
      <c r="AI657" s="20">
        <f t="shared" si="457"/>
        <v>0</v>
      </c>
      <c r="AJ657" s="162" t="b">
        <f t="shared" si="451"/>
        <v>1</v>
      </c>
      <c r="AK657" s="162" t="str">
        <f t="shared" si="452"/>
        <v>PRAZNO</v>
      </c>
      <c r="AL657" s="173"/>
      <c r="AM657" s="164"/>
    </row>
    <row r="658" spans="1:39" ht="18.75" customHeight="1" x14ac:dyDescent="0.2">
      <c r="B658" s="200"/>
      <c r="C658" s="200">
        <v>41</v>
      </c>
      <c r="D658" s="200"/>
      <c r="E658" s="200"/>
      <c r="F658" s="200"/>
      <c r="G658" s="200"/>
      <c r="H658" s="30" t="s">
        <v>753</v>
      </c>
      <c r="I658" s="203">
        <f>I659</f>
        <v>0</v>
      </c>
      <c r="J658" s="203">
        <f>J659</f>
        <v>0</v>
      </c>
      <c r="K658" s="203" t="e">
        <f>ROUND(J658/I658*100,2)</f>
        <v>#DIV/0!</v>
      </c>
      <c r="L658" s="203">
        <f>M658-I658</f>
        <v>0</v>
      </c>
      <c r="M658" s="203">
        <f>M659</f>
        <v>0</v>
      </c>
      <c r="N658" s="203">
        <f>N659</f>
        <v>0</v>
      </c>
      <c r="O658" s="203">
        <f>O659</f>
        <v>0</v>
      </c>
      <c r="P658" s="26">
        <f>T658-N658</f>
        <v>0</v>
      </c>
      <c r="Q658" s="203">
        <f t="shared" ref="Q658:AI658" si="458">Q659</f>
        <v>0</v>
      </c>
      <c r="R658" s="203">
        <f t="shared" si="458"/>
        <v>0</v>
      </c>
      <c r="S658" s="203">
        <f t="shared" si="458"/>
        <v>0</v>
      </c>
      <c r="T658" s="204">
        <f t="shared" si="458"/>
        <v>0</v>
      </c>
      <c r="U658" s="204">
        <f t="shared" si="458"/>
        <v>207404.14</v>
      </c>
      <c r="V658" s="203">
        <f t="shared" si="458"/>
        <v>300000</v>
      </c>
      <c r="W658" s="203">
        <f t="shared" si="458"/>
        <v>0</v>
      </c>
      <c r="X658" s="203">
        <f t="shared" si="458"/>
        <v>0</v>
      </c>
      <c r="Y658" s="203">
        <f t="shared" si="458"/>
        <v>0</v>
      </c>
      <c r="Z658" s="203">
        <f t="shared" si="456"/>
        <v>0</v>
      </c>
      <c r="AA658" s="203">
        <f t="shared" si="426"/>
        <v>-100000</v>
      </c>
      <c r="AB658" s="203">
        <f t="shared" si="458"/>
        <v>200000</v>
      </c>
      <c r="AC658" s="203">
        <f t="shared" si="458"/>
        <v>0</v>
      </c>
      <c r="AD658" s="203">
        <f t="shared" si="455"/>
        <v>0</v>
      </c>
      <c r="AE658" s="704">
        <f t="shared" si="413"/>
        <v>-200000</v>
      </c>
      <c r="AF658" s="704">
        <f t="shared" si="458"/>
        <v>0</v>
      </c>
      <c r="AG658" s="203">
        <f t="shared" si="458"/>
        <v>0</v>
      </c>
      <c r="AH658" s="203">
        <f t="shared" si="458"/>
        <v>0</v>
      </c>
      <c r="AI658" s="203">
        <f t="shared" si="458"/>
        <v>0</v>
      </c>
      <c r="AJ658" s="162" t="b">
        <f t="shared" si="451"/>
        <v>1</v>
      </c>
      <c r="AK658" s="162" t="str">
        <f t="shared" si="452"/>
        <v>PRAZNO</v>
      </c>
      <c r="AM658" s="164"/>
    </row>
    <row r="659" spans="1:39" ht="15.75" x14ac:dyDescent="0.2">
      <c r="B659" s="177"/>
      <c r="C659" s="177"/>
      <c r="D659" s="177">
        <v>411</v>
      </c>
      <c r="E659" s="177"/>
      <c r="F659" s="177"/>
      <c r="G659" s="177"/>
      <c r="H659" s="29" t="s">
        <v>754</v>
      </c>
      <c r="I659" s="18">
        <f>SUM(I660:I660)</f>
        <v>0</v>
      </c>
      <c r="J659" s="18">
        <f>SUM(J660:J660)</f>
        <v>0</v>
      </c>
      <c r="K659" s="18" t="e">
        <f>ROUND(J659/I659*100,2)</f>
        <v>#DIV/0!</v>
      </c>
      <c r="L659" s="18">
        <f>M659-I659</f>
        <v>0</v>
      </c>
      <c r="M659" s="18">
        <f>SUM(M660:M660)</f>
        <v>0</v>
      </c>
      <c r="N659" s="18">
        <f>SUM(N660:N660)</f>
        <v>0</v>
      </c>
      <c r="O659" s="18">
        <f>SUM(O660:O660)</f>
        <v>0</v>
      </c>
      <c r="P659" s="26">
        <f>T659-N659</f>
        <v>0</v>
      </c>
      <c r="Q659" s="18">
        <f t="shared" ref="Q659:Y659" si="459">SUM(Q660:Q660)</f>
        <v>0</v>
      </c>
      <c r="R659" s="18">
        <f t="shared" si="459"/>
        <v>0</v>
      </c>
      <c r="S659" s="18">
        <f t="shared" si="459"/>
        <v>0</v>
      </c>
      <c r="T659" s="27">
        <f t="shared" si="459"/>
        <v>0</v>
      </c>
      <c r="U659" s="27">
        <f t="shared" si="459"/>
        <v>207404.14</v>
      </c>
      <c r="V659" s="18">
        <f t="shared" si="459"/>
        <v>300000</v>
      </c>
      <c r="W659" s="18">
        <f t="shared" si="459"/>
        <v>0</v>
      </c>
      <c r="X659" s="18">
        <f t="shared" si="459"/>
        <v>0</v>
      </c>
      <c r="Y659" s="18">
        <f t="shared" si="459"/>
        <v>0</v>
      </c>
      <c r="Z659" s="18">
        <f t="shared" si="456"/>
        <v>0</v>
      </c>
      <c r="AA659" s="18">
        <f t="shared" si="426"/>
        <v>-100000</v>
      </c>
      <c r="AB659" s="18">
        <f>SUM(AB660:AB660)</f>
        <v>200000</v>
      </c>
      <c r="AC659" s="18">
        <f>SUM(AC660:AC660)</f>
        <v>0</v>
      </c>
      <c r="AD659" s="18">
        <f t="shared" si="455"/>
        <v>0</v>
      </c>
      <c r="AE659" s="700">
        <f t="shared" si="413"/>
        <v>-200000</v>
      </c>
      <c r="AF659" s="700">
        <f>SUM(AF660:AF660)</f>
        <v>0</v>
      </c>
      <c r="AG659" s="18">
        <f>SUM(AG660:AG660)</f>
        <v>0</v>
      </c>
      <c r="AH659" s="18">
        <f>SUM(AH660:AH660)</f>
        <v>0</v>
      </c>
      <c r="AI659" s="18">
        <f>SUM(AI660:AI660)</f>
        <v>0</v>
      </c>
      <c r="AJ659" s="162" t="b">
        <f t="shared" si="451"/>
        <v>1</v>
      </c>
      <c r="AK659" s="162" t="str">
        <f t="shared" si="452"/>
        <v>PRAZNO</v>
      </c>
      <c r="AM659" s="164"/>
    </row>
    <row r="660" spans="1:39" ht="15.75" x14ac:dyDescent="0.2">
      <c r="B660" s="177"/>
      <c r="C660" s="177"/>
      <c r="D660" s="177"/>
      <c r="E660" s="177">
        <v>4111</v>
      </c>
      <c r="F660" s="176">
        <v>71</v>
      </c>
      <c r="G660" s="176"/>
      <c r="H660" s="29" t="s">
        <v>755</v>
      </c>
      <c r="I660" s="189"/>
      <c r="J660" s="189"/>
      <c r="K660" s="189"/>
      <c r="L660" s="189"/>
      <c r="M660" s="189"/>
      <c r="N660" s="189"/>
      <c r="O660" s="189"/>
      <c r="P660" s="26"/>
      <c r="Q660" s="189"/>
      <c r="R660" s="189"/>
      <c r="S660" s="189"/>
      <c r="T660" s="190"/>
      <c r="U660" s="190">
        <v>207404.14</v>
      </c>
      <c r="V660" s="189">
        <v>300000</v>
      </c>
      <c r="W660" s="189"/>
      <c r="X660" s="189"/>
      <c r="Y660" s="189"/>
      <c r="Z660" s="189">
        <f t="shared" si="456"/>
        <v>0</v>
      </c>
      <c r="AA660" s="189">
        <f t="shared" si="426"/>
        <v>-100000</v>
      </c>
      <c r="AB660" s="189">
        <v>200000</v>
      </c>
      <c r="AC660" s="189">
        <v>0</v>
      </c>
      <c r="AD660" s="189">
        <f t="shared" si="455"/>
        <v>0</v>
      </c>
      <c r="AE660" s="701">
        <f t="shared" si="413"/>
        <v>-200000</v>
      </c>
      <c r="AF660" s="701">
        <v>0</v>
      </c>
      <c r="AG660" s="189">
        <v>0</v>
      </c>
      <c r="AH660" s="189">
        <v>0</v>
      </c>
      <c r="AI660" s="189">
        <v>0</v>
      </c>
      <c r="AJ660" s="162" t="b">
        <f t="shared" si="451"/>
        <v>0</v>
      </c>
      <c r="AK660" s="162" t="str">
        <f t="shared" si="452"/>
        <v>PUNO</v>
      </c>
      <c r="AM660" s="164"/>
    </row>
    <row r="661" spans="1:39" s="171" customFormat="1" ht="31.5" x14ac:dyDescent="0.2">
      <c r="A661" s="259"/>
      <c r="B661" s="168"/>
      <c r="C661" s="168"/>
      <c r="D661" s="168"/>
      <c r="E661" s="168"/>
      <c r="F661" s="168"/>
      <c r="G661" s="168"/>
      <c r="H661" s="12" t="s">
        <v>158</v>
      </c>
      <c r="I661" s="169">
        <f>I663</f>
        <v>200000</v>
      </c>
      <c r="J661" s="169">
        <f>J663</f>
        <v>0</v>
      </c>
      <c r="K661" s="169">
        <f t="shared" ref="K661:K666" si="460">ROUND(J661/I661*100,2)</f>
        <v>0</v>
      </c>
      <c r="L661" s="169">
        <f t="shared" ref="L661:L666" si="461">M661-I661</f>
        <v>-200000</v>
      </c>
      <c r="M661" s="19">
        <f>M663</f>
        <v>0</v>
      </c>
      <c r="N661" s="19">
        <f>N663</f>
        <v>300000</v>
      </c>
      <c r="O661" s="19">
        <f>O663</f>
        <v>0</v>
      </c>
      <c r="P661" s="303">
        <f t="shared" ref="P661:P672" si="462">T661-N661</f>
        <v>0</v>
      </c>
      <c r="Q661" s="19">
        <f t="shared" ref="Q661:X661" si="463">Q663</f>
        <v>300000</v>
      </c>
      <c r="R661" s="19">
        <f t="shared" si="463"/>
        <v>100000</v>
      </c>
      <c r="S661" s="19">
        <f t="shared" si="463"/>
        <v>100000</v>
      </c>
      <c r="T661" s="53">
        <f t="shared" si="463"/>
        <v>300000</v>
      </c>
      <c r="U661" s="53">
        <f>U663</f>
        <v>300000</v>
      </c>
      <c r="V661" s="19">
        <f t="shared" si="463"/>
        <v>300000</v>
      </c>
      <c r="W661" s="19">
        <f t="shared" si="463"/>
        <v>0</v>
      </c>
      <c r="X661" s="19">
        <f t="shared" si="463"/>
        <v>0</v>
      </c>
      <c r="Y661" s="19">
        <f>Y663</f>
        <v>200000</v>
      </c>
      <c r="Z661" s="19">
        <f t="shared" si="456"/>
        <v>66.67</v>
      </c>
      <c r="AA661" s="19">
        <f t="shared" si="426"/>
        <v>0</v>
      </c>
      <c r="AB661" s="19">
        <f>AB663</f>
        <v>300000</v>
      </c>
      <c r="AC661" s="19">
        <f>AC663</f>
        <v>200000</v>
      </c>
      <c r="AD661" s="19">
        <f t="shared" si="455"/>
        <v>66.666666666666657</v>
      </c>
      <c r="AE661" s="19">
        <f t="shared" ref="AE661:AE726" si="464">AF661-AB661</f>
        <v>-100000</v>
      </c>
      <c r="AF661" s="19">
        <f>AF663</f>
        <v>200000</v>
      </c>
      <c r="AG661" s="19">
        <f>AG663</f>
        <v>100000</v>
      </c>
      <c r="AH661" s="19">
        <f>AH663</f>
        <v>0</v>
      </c>
      <c r="AI661" s="19">
        <f>AI663</f>
        <v>0</v>
      </c>
      <c r="AJ661" s="162" t="b">
        <f t="shared" si="451"/>
        <v>1</v>
      </c>
      <c r="AK661" s="162" t="str">
        <f t="shared" si="452"/>
        <v>PRAZNO</v>
      </c>
      <c r="AL661" s="170"/>
      <c r="AM661" s="164"/>
    </row>
    <row r="662" spans="1:39" s="264" customFormat="1" ht="15.75" x14ac:dyDescent="0.2">
      <c r="A662" s="259"/>
      <c r="B662" s="260"/>
      <c r="C662" s="260"/>
      <c r="D662" s="260"/>
      <c r="E662" s="260"/>
      <c r="F662" s="260"/>
      <c r="G662" s="260"/>
      <c r="H662" s="441" t="s">
        <v>824</v>
      </c>
      <c r="I662" s="181"/>
      <c r="J662" s="181"/>
      <c r="K662" s="181"/>
      <c r="L662" s="181"/>
      <c r="M662" s="262"/>
      <c r="N662" s="262"/>
      <c r="O662" s="262"/>
      <c r="P662" s="445"/>
      <c r="Q662" s="262"/>
      <c r="R662" s="262"/>
      <c r="S662" s="262"/>
      <c r="T662" s="342"/>
      <c r="U662" s="342"/>
      <c r="V662" s="262">
        <f>V663</f>
        <v>300000</v>
      </c>
      <c r="W662" s="262">
        <f>W663</f>
        <v>0</v>
      </c>
      <c r="X662" s="262">
        <f>X663</f>
        <v>0</v>
      </c>
      <c r="Y662" s="262">
        <f>Y663</f>
        <v>200000</v>
      </c>
      <c r="Z662" s="262">
        <f t="shared" si="456"/>
        <v>66.67</v>
      </c>
      <c r="AA662" s="262">
        <f t="shared" si="426"/>
        <v>0</v>
      </c>
      <c r="AB662" s="262">
        <f>AB663</f>
        <v>300000</v>
      </c>
      <c r="AC662" s="262">
        <f>AC663</f>
        <v>200000</v>
      </c>
      <c r="AD662" s="262">
        <f t="shared" si="455"/>
        <v>66.666666666666657</v>
      </c>
      <c r="AE662" s="262">
        <f t="shared" si="464"/>
        <v>-100000</v>
      </c>
      <c r="AF662" s="262">
        <f>AF663</f>
        <v>200000</v>
      </c>
      <c r="AG662" s="262">
        <f>AG663</f>
        <v>100000</v>
      </c>
      <c r="AH662" s="262">
        <f>AH663</f>
        <v>0</v>
      </c>
      <c r="AI662" s="262">
        <f>AI663</f>
        <v>0</v>
      </c>
      <c r="AJ662" s="162" t="b">
        <f t="shared" si="451"/>
        <v>1</v>
      </c>
      <c r="AK662" s="162" t="str">
        <f t="shared" si="452"/>
        <v>PRAZNO</v>
      </c>
      <c r="AL662" s="263"/>
    </row>
    <row r="663" spans="1:39" s="174" customFormat="1" ht="15.75" x14ac:dyDescent="0.2">
      <c r="A663" s="259"/>
      <c r="B663" s="172">
        <v>3</v>
      </c>
      <c r="C663" s="172"/>
      <c r="D663" s="172"/>
      <c r="E663" s="172"/>
      <c r="F663" s="172"/>
      <c r="G663" s="172"/>
      <c r="H663" s="14" t="s">
        <v>524</v>
      </c>
      <c r="I663" s="20">
        <f t="shared" ref="I663:AI664" si="465">I664</f>
        <v>200000</v>
      </c>
      <c r="J663" s="20">
        <f t="shared" si="465"/>
        <v>0</v>
      </c>
      <c r="K663" s="20">
        <f t="shared" si="460"/>
        <v>0</v>
      </c>
      <c r="L663" s="20">
        <f t="shared" si="461"/>
        <v>-200000</v>
      </c>
      <c r="M663" s="20">
        <f t="shared" si="465"/>
        <v>0</v>
      </c>
      <c r="N663" s="20">
        <f t="shared" si="465"/>
        <v>300000</v>
      </c>
      <c r="O663" s="20">
        <f t="shared" si="465"/>
        <v>0</v>
      </c>
      <c r="P663" s="55">
        <f t="shared" si="462"/>
        <v>0</v>
      </c>
      <c r="Q663" s="20">
        <f t="shared" si="465"/>
        <v>300000</v>
      </c>
      <c r="R663" s="20">
        <f t="shared" si="465"/>
        <v>100000</v>
      </c>
      <c r="S663" s="20">
        <f t="shared" si="465"/>
        <v>100000</v>
      </c>
      <c r="T663" s="55">
        <f t="shared" si="465"/>
        <v>300000</v>
      </c>
      <c r="U663" s="55">
        <f t="shared" si="465"/>
        <v>300000</v>
      </c>
      <c r="V663" s="20">
        <f t="shared" si="465"/>
        <v>300000</v>
      </c>
      <c r="W663" s="20">
        <f t="shared" si="465"/>
        <v>0</v>
      </c>
      <c r="X663" s="20">
        <f t="shared" si="465"/>
        <v>0</v>
      </c>
      <c r="Y663" s="20">
        <f t="shared" si="465"/>
        <v>200000</v>
      </c>
      <c r="Z663" s="20">
        <f t="shared" si="456"/>
        <v>66.67</v>
      </c>
      <c r="AA663" s="20">
        <f t="shared" si="426"/>
        <v>0</v>
      </c>
      <c r="AB663" s="20">
        <f t="shared" si="465"/>
        <v>300000</v>
      </c>
      <c r="AC663" s="20">
        <f t="shared" si="465"/>
        <v>200000</v>
      </c>
      <c r="AD663" s="20">
        <f t="shared" si="455"/>
        <v>66.666666666666657</v>
      </c>
      <c r="AE663" s="20">
        <f t="shared" si="464"/>
        <v>-100000</v>
      </c>
      <c r="AF663" s="20">
        <f t="shared" si="465"/>
        <v>200000</v>
      </c>
      <c r="AG663" s="20">
        <f t="shared" si="465"/>
        <v>100000</v>
      </c>
      <c r="AH663" s="20">
        <f t="shared" si="465"/>
        <v>0</v>
      </c>
      <c r="AI663" s="20">
        <f t="shared" si="465"/>
        <v>0</v>
      </c>
      <c r="AJ663" s="162" t="b">
        <f t="shared" si="451"/>
        <v>1</v>
      </c>
      <c r="AK663" s="162" t="str">
        <f t="shared" si="452"/>
        <v>PRAZNO</v>
      </c>
      <c r="AL663" s="173"/>
      <c r="AM663" s="164"/>
    </row>
    <row r="664" spans="1:39" ht="16.5" customHeight="1" x14ac:dyDescent="0.2">
      <c r="B664" s="175"/>
      <c r="C664" s="175">
        <v>36</v>
      </c>
      <c r="D664" s="175"/>
      <c r="E664" s="175"/>
      <c r="F664" s="175"/>
      <c r="G664" s="175"/>
      <c r="H664" s="16" t="s">
        <v>751</v>
      </c>
      <c r="I664" s="22">
        <f t="shared" si="465"/>
        <v>200000</v>
      </c>
      <c r="J664" s="22">
        <f t="shared" si="465"/>
        <v>0</v>
      </c>
      <c r="K664" s="22">
        <f t="shared" si="460"/>
        <v>0</v>
      </c>
      <c r="L664" s="22">
        <f t="shared" si="461"/>
        <v>-200000</v>
      </c>
      <c r="M664" s="22">
        <f t="shared" si="465"/>
        <v>0</v>
      </c>
      <c r="N664" s="22">
        <f t="shared" si="465"/>
        <v>300000</v>
      </c>
      <c r="O664" s="22">
        <f t="shared" si="465"/>
        <v>0</v>
      </c>
      <c r="P664" s="26">
        <f t="shared" si="462"/>
        <v>0</v>
      </c>
      <c r="Q664" s="22">
        <f t="shared" si="465"/>
        <v>300000</v>
      </c>
      <c r="R664" s="22">
        <f t="shared" si="465"/>
        <v>100000</v>
      </c>
      <c r="S664" s="22">
        <f t="shared" si="465"/>
        <v>100000</v>
      </c>
      <c r="T664" s="38">
        <f t="shared" si="465"/>
        <v>300000</v>
      </c>
      <c r="U664" s="38">
        <f t="shared" si="465"/>
        <v>300000</v>
      </c>
      <c r="V664" s="22">
        <f t="shared" si="465"/>
        <v>300000</v>
      </c>
      <c r="W664" s="22">
        <f t="shared" si="465"/>
        <v>0</v>
      </c>
      <c r="X664" s="22">
        <f t="shared" si="465"/>
        <v>0</v>
      </c>
      <c r="Y664" s="22">
        <f t="shared" si="465"/>
        <v>200000</v>
      </c>
      <c r="Z664" s="22">
        <f t="shared" si="456"/>
        <v>66.67</v>
      </c>
      <c r="AA664" s="22">
        <f t="shared" si="426"/>
        <v>0</v>
      </c>
      <c r="AB664" s="22">
        <f t="shared" si="465"/>
        <v>300000</v>
      </c>
      <c r="AC664" s="22">
        <f t="shared" si="465"/>
        <v>200000</v>
      </c>
      <c r="AD664" s="22">
        <f t="shared" si="455"/>
        <v>66.666666666666657</v>
      </c>
      <c r="AE664" s="22">
        <f t="shared" si="464"/>
        <v>-100000</v>
      </c>
      <c r="AF664" s="22">
        <f t="shared" si="465"/>
        <v>200000</v>
      </c>
      <c r="AG664" s="22">
        <f t="shared" si="465"/>
        <v>100000</v>
      </c>
      <c r="AH664" s="22">
        <f t="shared" si="465"/>
        <v>0</v>
      </c>
      <c r="AI664" s="22">
        <f t="shared" si="465"/>
        <v>0</v>
      </c>
      <c r="AJ664" s="162" t="b">
        <f t="shared" si="451"/>
        <v>1</v>
      </c>
      <c r="AK664" s="162" t="str">
        <f t="shared" si="452"/>
        <v>PRAZNO</v>
      </c>
      <c r="AM664" s="164"/>
    </row>
    <row r="665" spans="1:39" ht="15.75" x14ac:dyDescent="0.2">
      <c r="B665" s="177"/>
      <c r="C665" s="177"/>
      <c r="D665" s="177">
        <v>363</v>
      </c>
      <c r="E665" s="177"/>
      <c r="F665" s="177"/>
      <c r="G665" s="177"/>
      <c r="H665" s="16" t="s">
        <v>536</v>
      </c>
      <c r="I665" s="17">
        <f>SUM(I666:I666)</f>
        <v>200000</v>
      </c>
      <c r="J665" s="17">
        <f>SUM(J666:J666)</f>
        <v>0</v>
      </c>
      <c r="K665" s="17">
        <f t="shared" si="460"/>
        <v>0</v>
      </c>
      <c r="L665" s="17">
        <f t="shared" si="461"/>
        <v>-200000</v>
      </c>
      <c r="M665" s="17">
        <f>SUM(M666:M666)</f>
        <v>0</v>
      </c>
      <c r="N665" s="17">
        <f>SUM(N666:N666)</f>
        <v>300000</v>
      </c>
      <c r="O665" s="17">
        <f>SUM(O666:O666)</f>
        <v>0</v>
      </c>
      <c r="P665" s="26">
        <f t="shared" si="462"/>
        <v>0</v>
      </c>
      <c r="Q665" s="17">
        <f t="shared" ref="Q665:AI665" si="466">SUM(Q666:Q666)</f>
        <v>300000</v>
      </c>
      <c r="R665" s="17">
        <f t="shared" si="466"/>
        <v>100000</v>
      </c>
      <c r="S665" s="17">
        <f t="shared" si="466"/>
        <v>100000</v>
      </c>
      <c r="T665" s="26">
        <f t="shared" si="466"/>
        <v>300000</v>
      </c>
      <c r="U665" s="26">
        <f t="shared" si="466"/>
        <v>300000</v>
      </c>
      <c r="V665" s="17">
        <f t="shared" si="466"/>
        <v>300000</v>
      </c>
      <c r="W665" s="17">
        <f t="shared" si="466"/>
        <v>0</v>
      </c>
      <c r="X665" s="17">
        <f t="shared" si="466"/>
        <v>0</v>
      </c>
      <c r="Y665" s="17">
        <f t="shared" si="466"/>
        <v>200000</v>
      </c>
      <c r="Z665" s="17">
        <f t="shared" si="456"/>
        <v>66.67</v>
      </c>
      <c r="AA665" s="17">
        <f t="shared" si="426"/>
        <v>0</v>
      </c>
      <c r="AB665" s="17">
        <f t="shared" si="466"/>
        <v>300000</v>
      </c>
      <c r="AC665" s="17">
        <f t="shared" si="466"/>
        <v>200000</v>
      </c>
      <c r="AD665" s="17">
        <f t="shared" si="455"/>
        <v>66.666666666666657</v>
      </c>
      <c r="AE665" s="17">
        <f t="shared" si="464"/>
        <v>-100000</v>
      </c>
      <c r="AF665" s="17">
        <f t="shared" si="466"/>
        <v>200000</v>
      </c>
      <c r="AG665" s="17">
        <f t="shared" si="466"/>
        <v>100000</v>
      </c>
      <c r="AH665" s="17">
        <f t="shared" si="466"/>
        <v>0</v>
      </c>
      <c r="AI665" s="17">
        <f t="shared" si="466"/>
        <v>0</v>
      </c>
      <c r="AJ665" s="162" t="b">
        <f t="shared" si="451"/>
        <v>1</v>
      </c>
      <c r="AK665" s="162" t="str">
        <f t="shared" si="452"/>
        <v>PRAZNO</v>
      </c>
      <c r="AM665" s="164"/>
    </row>
    <row r="666" spans="1:39" ht="31.5" customHeight="1" x14ac:dyDescent="0.2">
      <c r="B666" s="177"/>
      <c r="C666" s="177"/>
      <c r="D666" s="177"/>
      <c r="E666" s="177">
        <v>3632</v>
      </c>
      <c r="F666" s="176">
        <v>14</v>
      </c>
      <c r="G666" s="176"/>
      <c r="H666" s="16" t="s">
        <v>367</v>
      </c>
      <c r="I666" s="18">
        <v>200000</v>
      </c>
      <c r="J666" s="18">
        <v>0</v>
      </c>
      <c r="K666" s="18">
        <f t="shared" si="460"/>
        <v>0</v>
      </c>
      <c r="L666" s="18">
        <f t="shared" si="461"/>
        <v>-200000</v>
      </c>
      <c r="M666" s="18"/>
      <c r="N666" s="18">
        <v>300000</v>
      </c>
      <c r="O666" s="18">
        <v>0</v>
      </c>
      <c r="P666" s="26">
        <f t="shared" si="462"/>
        <v>0</v>
      </c>
      <c r="Q666" s="18">
        <v>300000</v>
      </c>
      <c r="R666" s="18">
        <v>100000</v>
      </c>
      <c r="S666" s="18">
        <v>100000</v>
      </c>
      <c r="T666" s="27">
        <v>300000</v>
      </c>
      <c r="U666" s="27">
        <v>300000</v>
      </c>
      <c r="V666" s="18">
        <v>300000</v>
      </c>
      <c r="W666" s="18">
        <v>0</v>
      </c>
      <c r="X666" s="18">
        <v>0</v>
      </c>
      <c r="Y666" s="18">
        <v>200000</v>
      </c>
      <c r="Z666" s="18">
        <f t="shared" si="456"/>
        <v>66.67</v>
      </c>
      <c r="AA666" s="18">
        <f t="shared" si="426"/>
        <v>0</v>
      </c>
      <c r="AB666" s="18">
        <v>300000</v>
      </c>
      <c r="AC666" s="18">
        <v>200000</v>
      </c>
      <c r="AD666" s="18">
        <f t="shared" si="455"/>
        <v>66.666666666666657</v>
      </c>
      <c r="AE666" s="18">
        <f t="shared" si="464"/>
        <v>-100000</v>
      </c>
      <c r="AF666" s="18">
        <v>200000</v>
      </c>
      <c r="AG666" s="18">
        <v>100000</v>
      </c>
      <c r="AH666" s="18">
        <v>0</v>
      </c>
      <c r="AI666" s="18">
        <v>0</v>
      </c>
      <c r="AJ666" s="162" t="b">
        <f t="shared" si="451"/>
        <v>0</v>
      </c>
      <c r="AK666" s="162" t="str">
        <f t="shared" si="452"/>
        <v>PUNO</v>
      </c>
      <c r="AM666" s="164"/>
    </row>
    <row r="667" spans="1:39" s="171" customFormat="1" ht="62.25" customHeight="1" x14ac:dyDescent="0.2">
      <c r="A667" s="259"/>
      <c r="B667" s="209"/>
      <c r="C667" s="209"/>
      <c r="D667" s="209"/>
      <c r="E667" s="209"/>
      <c r="F667" s="219"/>
      <c r="G667" s="219"/>
      <c r="H667" s="12" t="s">
        <v>336</v>
      </c>
      <c r="I667" s="242"/>
      <c r="J667" s="242"/>
      <c r="K667" s="242"/>
      <c r="L667" s="242"/>
      <c r="M667" s="242"/>
      <c r="N667" s="308">
        <f>N669</f>
        <v>600000</v>
      </c>
      <c r="O667" s="308">
        <f>O669</f>
        <v>0</v>
      </c>
      <c r="P667" s="303">
        <f t="shared" si="462"/>
        <v>0</v>
      </c>
      <c r="Q667" s="242">
        <f t="shared" ref="Q667:X667" si="467">Q669</f>
        <v>600000</v>
      </c>
      <c r="R667" s="242">
        <f t="shared" si="467"/>
        <v>600000</v>
      </c>
      <c r="S667" s="242">
        <f t="shared" si="467"/>
        <v>800000</v>
      </c>
      <c r="T667" s="323">
        <f t="shared" si="467"/>
        <v>600000</v>
      </c>
      <c r="U667" s="323">
        <f>U669</f>
        <v>0</v>
      </c>
      <c r="V667" s="308">
        <f t="shared" si="467"/>
        <v>470000</v>
      </c>
      <c r="W667" s="308">
        <f t="shared" si="467"/>
        <v>0</v>
      </c>
      <c r="X667" s="308">
        <f t="shared" si="467"/>
        <v>0</v>
      </c>
      <c r="Y667" s="308">
        <f>Y669</f>
        <v>0</v>
      </c>
      <c r="Z667" s="308">
        <f t="shared" si="456"/>
        <v>0</v>
      </c>
      <c r="AA667" s="308">
        <f t="shared" si="426"/>
        <v>126000</v>
      </c>
      <c r="AB667" s="308">
        <f>AB669</f>
        <v>596000</v>
      </c>
      <c r="AC667" s="308">
        <f>AC669</f>
        <v>101766.76</v>
      </c>
      <c r="AD667" s="308">
        <f t="shared" si="455"/>
        <v>17.074959731543622</v>
      </c>
      <c r="AE667" s="308">
        <f t="shared" si="464"/>
        <v>0</v>
      </c>
      <c r="AF667" s="308">
        <f>AF669</f>
        <v>596000</v>
      </c>
      <c r="AG667" s="308">
        <f>AG669</f>
        <v>0</v>
      </c>
      <c r="AH667" s="308">
        <f>AH669</f>
        <v>0</v>
      </c>
      <c r="AI667" s="308">
        <f>AI669</f>
        <v>0</v>
      </c>
      <c r="AJ667" s="162" t="b">
        <f t="shared" si="451"/>
        <v>1</v>
      </c>
      <c r="AK667" s="162" t="str">
        <f t="shared" si="452"/>
        <v>PRAZNO</v>
      </c>
      <c r="AL667" s="170"/>
    </row>
    <row r="668" spans="1:39" s="264" customFormat="1" ht="15.75" x14ac:dyDescent="0.2">
      <c r="A668" s="259"/>
      <c r="B668" s="177"/>
      <c r="C668" s="177"/>
      <c r="D668" s="177"/>
      <c r="E668" s="177"/>
      <c r="F668" s="265"/>
      <c r="G668" s="265"/>
      <c r="H668" s="441" t="s">
        <v>824</v>
      </c>
      <c r="I668" s="178"/>
      <c r="J668" s="178"/>
      <c r="K668" s="178"/>
      <c r="L668" s="178"/>
      <c r="M668" s="178"/>
      <c r="N668" s="443"/>
      <c r="O668" s="443"/>
      <c r="P668" s="445"/>
      <c r="Q668" s="178"/>
      <c r="R668" s="178"/>
      <c r="S668" s="178"/>
      <c r="T668" s="444"/>
      <c r="U668" s="444"/>
      <c r="V668" s="443">
        <f>V669</f>
        <v>470000</v>
      </c>
      <c r="W668" s="443">
        <f>W669</f>
        <v>0</v>
      </c>
      <c r="X668" s="443">
        <f>X669</f>
        <v>0</v>
      </c>
      <c r="Y668" s="443">
        <f>Y669</f>
        <v>0</v>
      </c>
      <c r="Z668" s="443">
        <f t="shared" si="456"/>
        <v>0</v>
      </c>
      <c r="AA668" s="443">
        <f t="shared" si="426"/>
        <v>126000</v>
      </c>
      <c r="AB668" s="443">
        <f>AB669</f>
        <v>596000</v>
      </c>
      <c r="AC668" s="443">
        <f>AC669</f>
        <v>101766.76</v>
      </c>
      <c r="AD668" s="443">
        <f t="shared" si="455"/>
        <v>17.074959731543622</v>
      </c>
      <c r="AE668" s="443">
        <f t="shared" si="464"/>
        <v>0</v>
      </c>
      <c r="AF668" s="443">
        <f>AF669</f>
        <v>596000</v>
      </c>
      <c r="AG668" s="443">
        <f>AG669</f>
        <v>0</v>
      </c>
      <c r="AH668" s="443">
        <f>AH669</f>
        <v>0</v>
      </c>
      <c r="AI668" s="443">
        <f>AI669</f>
        <v>0</v>
      </c>
      <c r="AJ668" s="162" t="b">
        <f t="shared" si="451"/>
        <v>1</v>
      </c>
      <c r="AK668" s="162" t="str">
        <f t="shared" si="452"/>
        <v>PRAZNO</v>
      </c>
      <c r="AL668" s="263"/>
    </row>
    <row r="669" spans="1:39" s="174" customFormat="1" ht="15.75" x14ac:dyDescent="0.2">
      <c r="A669" s="259"/>
      <c r="B669" s="172">
        <v>3</v>
      </c>
      <c r="C669" s="172"/>
      <c r="D669" s="172"/>
      <c r="E669" s="172"/>
      <c r="F669" s="172"/>
      <c r="G669" s="172"/>
      <c r="H669" s="14" t="s">
        <v>524</v>
      </c>
      <c r="I669" s="184"/>
      <c r="J669" s="184"/>
      <c r="K669" s="184"/>
      <c r="L669" s="184"/>
      <c r="M669" s="184"/>
      <c r="N669" s="184">
        <f t="shared" ref="N669:AI671" si="468">N670</f>
        <v>600000</v>
      </c>
      <c r="O669" s="184">
        <f t="shared" si="468"/>
        <v>0</v>
      </c>
      <c r="P669" s="55">
        <f t="shared" si="462"/>
        <v>0</v>
      </c>
      <c r="Q669" s="184">
        <f t="shared" si="468"/>
        <v>600000</v>
      </c>
      <c r="R669" s="184">
        <f t="shared" si="468"/>
        <v>600000</v>
      </c>
      <c r="S669" s="184">
        <f t="shared" si="468"/>
        <v>800000</v>
      </c>
      <c r="T669" s="185">
        <f t="shared" si="468"/>
        <v>600000</v>
      </c>
      <c r="U669" s="185">
        <f t="shared" si="468"/>
        <v>0</v>
      </c>
      <c r="V669" s="184">
        <f t="shared" si="468"/>
        <v>470000</v>
      </c>
      <c r="W669" s="184">
        <f t="shared" si="468"/>
        <v>0</v>
      </c>
      <c r="X669" s="184">
        <f t="shared" si="468"/>
        <v>0</v>
      </c>
      <c r="Y669" s="184">
        <f t="shared" si="468"/>
        <v>0</v>
      </c>
      <c r="Z669" s="184">
        <f t="shared" si="456"/>
        <v>0</v>
      </c>
      <c r="AA669" s="184">
        <f t="shared" si="426"/>
        <v>126000</v>
      </c>
      <c r="AB669" s="184">
        <f t="shared" si="468"/>
        <v>596000</v>
      </c>
      <c r="AC669" s="184">
        <f t="shared" si="468"/>
        <v>101766.76</v>
      </c>
      <c r="AD669" s="184">
        <f t="shared" si="455"/>
        <v>17.074959731543622</v>
      </c>
      <c r="AE669" s="184">
        <f t="shared" si="464"/>
        <v>0</v>
      </c>
      <c r="AF669" s="184">
        <f t="shared" si="468"/>
        <v>596000</v>
      </c>
      <c r="AG669" s="184">
        <f t="shared" si="468"/>
        <v>0</v>
      </c>
      <c r="AH669" s="184">
        <f t="shared" si="468"/>
        <v>0</v>
      </c>
      <c r="AI669" s="184">
        <f t="shared" si="468"/>
        <v>0</v>
      </c>
      <c r="AJ669" s="162" t="b">
        <f t="shared" si="451"/>
        <v>1</v>
      </c>
      <c r="AK669" s="162" t="str">
        <f t="shared" si="452"/>
        <v>PRAZNO</v>
      </c>
      <c r="AL669" s="173"/>
    </row>
    <row r="670" spans="1:39" ht="20.25" customHeight="1" x14ac:dyDescent="0.2">
      <c r="B670" s="177"/>
      <c r="C670" s="177">
        <v>36</v>
      </c>
      <c r="D670" s="177"/>
      <c r="E670" s="177"/>
      <c r="F670" s="177"/>
      <c r="G670" s="177"/>
      <c r="H670" s="16" t="s">
        <v>751</v>
      </c>
      <c r="I670" s="18"/>
      <c r="J670" s="18"/>
      <c r="K670" s="18"/>
      <c r="L670" s="18"/>
      <c r="M670" s="18"/>
      <c r="N670" s="18">
        <f t="shared" si="468"/>
        <v>600000</v>
      </c>
      <c r="O670" s="18">
        <f t="shared" si="468"/>
        <v>0</v>
      </c>
      <c r="P670" s="26">
        <f t="shared" si="462"/>
        <v>0</v>
      </c>
      <c r="Q670" s="18">
        <f t="shared" si="468"/>
        <v>600000</v>
      </c>
      <c r="R670" s="18">
        <f t="shared" si="468"/>
        <v>600000</v>
      </c>
      <c r="S670" s="18">
        <f t="shared" si="468"/>
        <v>800000</v>
      </c>
      <c r="T670" s="27">
        <f t="shared" si="468"/>
        <v>600000</v>
      </c>
      <c r="U670" s="27">
        <f t="shared" si="468"/>
        <v>0</v>
      </c>
      <c r="V670" s="18">
        <f t="shared" si="468"/>
        <v>470000</v>
      </c>
      <c r="W670" s="18">
        <f t="shared" si="468"/>
        <v>0</v>
      </c>
      <c r="X670" s="18">
        <f t="shared" si="468"/>
        <v>0</v>
      </c>
      <c r="Y670" s="18">
        <f t="shared" si="468"/>
        <v>0</v>
      </c>
      <c r="Z670" s="18">
        <f t="shared" si="456"/>
        <v>0</v>
      </c>
      <c r="AA670" s="18">
        <f t="shared" si="426"/>
        <v>126000</v>
      </c>
      <c r="AB670" s="18">
        <f t="shared" si="468"/>
        <v>596000</v>
      </c>
      <c r="AC670" s="18">
        <f t="shared" si="468"/>
        <v>101766.76</v>
      </c>
      <c r="AD670" s="18">
        <f t="shared" si="455"/>
        <v>17.074959731543622</v>
      </c>
      <c r="AE670" s="18">
        <f t="shared" si="464"/>
        <v>0</v>
      </c>
      <c r="AF670" s="18">
        <f t="shared" si="468"/>
        <v>596000</v>
      </c>
      <c r="AG670" s="18">
        <f t="shared" si="468"/>
        <v>0</v>
      </c>
      <c r="AH670" s="18">
        <f t="shared" si="468"/>
        <v>0</v>
      </c>
      <c r="AI670" s="18">
        <f t="shared" si="468"/>
        <v>0</v>
      </c>
      <c r="AJ670" s="162" t="b">
        <f t="shared" si="451"/>
        <v>1</v>
      </c>
      <c r="AK670" s="162" t="str">
        <f t="shared" si="452"/>
        <v>PRAZNO</v>
      </c>
      <c r="AM670" s="164"/>
    </row>
    <row r="671" spans="1:39" ht="15.75" x14ac:dyDescent="0.2">
      <c r="B671" s="177"/>
      <c r="C671" s="177"/>
      <c r="D671" s="177">
        <v>363</v>
      </c>
      <c r="E671" s="177"/>
      <c r="F671" s="176"/>
      <c r="G671" s="176"/>
      <c r="H671" s="16" t="s">
        <v>536</v>
      </c>
      <c r="I671" s="18"/>
      <c r="J671" s="18"/>
      <c r="K671" s="18"/>
      <c r="L671" s="18"/>
      <c r="M671" s="18"/>
      <c r="N671" s="18">
        <f t="shared" si="468"/>
        <v>600000</v>
      </c>
      <c r="O671" s="18">
        <f t="shared" si="468"/>
        <v>0</v>
      </c>
      <c r="P671" s="26">
        <f t="shared" si="462"/>
        <v>0</v>
      </c>
      <c r="Q671" s="18">
        <f t="shared" si="468"/>
        <v>600000</v>
      </c>
      <c r="R671" s="18">
        <f t="shared" si="468"/>
        <v>600000</v>
      </c>
      <c r="S671" s="18">
        <f t="shared" si="468"/>
        <v>800000</v>
      </c>
      <c r="T671" s="27">
        <f t="shared" si="468"/>
        <v>600000</v>
      </c>
      <c r="U671" s="27">
        <f t="shared" si="468"/>
        <v>0</v>
      </c>
      <c r="V671" s="18">
        <f t="shared" si="468"/>
        <v>470000</v>
      </c>
      <c r="W671" s="18">
        <f t="shared" si="468"/>
        <v>0</v>
      </c>
      <c r="X671" s="18">
        <f t="shared" si="468"/>
        <v>0</v>
      </c>
      <c r="Y671" s="18">
        <f t="shared" si="468"/>
        <v>0</v>
      </c>
      <c r="Z671" s="18">
        <f t="shared" si="456"/>
        <v>0</v>
      </c>
      <c r="AA671" s="18">
        <f t="shared" si="426"/>
        <v>126000</v>
      </c>
      <c r="AB671" s="18">
        <f t="shared" si="468"/>
        <v>596000</v>
      </c>
      <c r="AC671" s="18">
        <f t="shared" si="468"/>
        <v>101766.76</v>
      </c>
      <c r="AD671" s="18">
        <f t="shared" si="455"/>
        <v>17.074959731543622</v>
      </c>
      <c r="AE671" s="18">
        <f t="shared" si="464"/>
        <v>0</v>
      </c>
      <c r="AF671" s="18">
        <f t="shared" si="468"/>
        <v>596000</v>
      </c>
      <c r="AG671" s="18">
        <f t="shared" si="468"/>
        <v>0</v>
      </c>
      <c r="AH671" s="18">
        <f t="shared" si="468"/>
        <v>0</v>
      </c>
      <c r="AI671" s="18">
        <f t="shared" si="468"/>
        <v>0</v>
      </c>
      <c r="AJ671" s="162" t="b">
        <f t="shared" si="451"/>
        <v>1</v>
      </c>
      <c r="AK671" s="162" t="str">
        <f t="shared" si="452"/>
        <v>PRAZNO</v>
      </c>
      <c r="AM671" s="164"/>
    </row>
    <row r="672" spans="1:39" ht="15.75" x14ac:dyDescent="0.2">
      <c r="B672" s="177"/>
      <c r="C672" s="177"/>
      <c r="D672" s="177"/>
      <c r="E672" s="177">
        <v>3632</v>
      </c>
      <c r="F672" s="176">
        <v>14</v>
      </c>
      <c r="G672" s="176"/>
      <c r="H672" s="16" t="s">
        <v>227</v>
      </c>
      <c r="I672" s="18"/>
      <c r="J672" s="18"/>
      <c r="K672" s="18"/>
      <c r="L672" s="18"/>
      <c r="M672" s="18"/>
      <c r="N672" s="18">
        <v>600000</v>
      </c>
      <c r="O672" s="18">
        <v>0</v>
      </c>
      <c r="P672" s="26">
        <f t="shared" si="462"/>
        <v>0</v>
      </c>
      <c r="Q672" s="18">
        <v>600000</v>
      </c>
      <c r="R672" s="18">
        <v>600000</v>
      </c>
      <c r="S672" s="18">
        <v>800000</v>
      </c>
      <c r="T672" s="27">
        <v>600000</v>
      </c>
      <c r="U672" s="27">
        <v>0</v>
      </c>
      <c r="V672" s="18">
        <v>470000</v>
      </c>
      <c r="W672" s="18">
        <v>0</v>
      </c>
      <c r="X672" s="18">
        <v>0</v>
      </c>
      <c r="Y672" s="18">
        <v>0</v>
      </c>
      <c r="Z672" s="18">
        <f t="shared" si="456"/>
        <v>0</v>
      </c>
      <c r="AA672" s="18">
        <f t="shared" si="426"/>
        <v>126000</v>
      </c>
      <c r="AB672" s="18">
        <v>596000</v>
      </c>
      <c r="AC672" s="18">
        <v>101766.76</v>
      </c>
      <c r="AD672" s="18">
        <f t="shared" si="455"/>
        <v>17.074959731543622</v>
      </c>
      <c r="AE672" s="18">
        <f t="shared" si="464"/>
        <v>0</v>
      </c>
      <c r="AF672" s="18">
        <v>596000</v>
      </c>
      <c r="AG672" s="18"/>
      <c r="AH672" s="18"/>
      <c r="AI672" s="18"/>
      <c r="AJ672" s="162" t="b">
        <f t="shared" si="451"/>
        <v>0</v>
      </c>
      <c r="AK672" s="162" t="str">
        <f t="shared" si="452"/>
        <v>PUNO</v>
      </c>
      <c r="AM672" s="164"/>
    </row>
    <row r="673" spans="1:39" s="164" customFormat="1" ht="15.75" x14ac:dyDescent="0.2">
      <c r="A673" s="259"/>
      <c r="B673" s="194"/>
      <c r="C673" s="194"/>
      <c r="D673" s="194"/>
      <c r="E673" s="194"/>
      <c r="F673" s="159"/>
      <c r="G673" s="159"/>
      <c r="H673" s="11" t="s">
        <v>304</v>
      </c>
      <c r="I673" s="196"/>
      <c r="J673" s="196"/>
      <c r="K673" s="196"/>
      <c r="L673" s="196"/>
      <c r="M673" s="195"/>
      <c r="N673" s="195"/>
      <c r="O673" s="195"/>
      <c r="P673" s="353"/>
      <c r="Q673" s="195"/>
      <c r="R673" s="195"/>
      <c r="S673" s="195"/>
      <c r="T673" s="197"/>
      <c r="U673" s="197"/>
      <c r="V673" s="195"/>
      <c r="W673" s="195"/>
      <c r="X673" s="195"/>
      <c r="Y673" s="195"/>
      <c r="Z673" s="195"/>
      <c r="AA673" s="195"/>
      <c r="AB673" s="195"/>
      <c r="AC673" s="195"/>
      <c r="AD673" s="195"/>
      <c r="AE673" s="195">
        <f t="shared" si="464"/>
        <v>0</v>
      </c>
      <c r="AF673" s="195"/>
      <c r="AG673" s="195"/>
      <c r="AH673" s="195"/>
      <c r="AI673" s="195"/>
      <c r="AJ673" s="162" t="b">
        <f t="shared" si="451"/>
        <v>1</v>
      </c>
      <c r="AK673" s="162" t="str">
        <f t="shared" si="452"/>
        <v>PRAZNO</v>
      </c>
      <c r="AL673" s="165"/>
    </row>
    <row r="674" spans="1:39" s="171" customFormat="1" ht="15.75" x14ac:dyDescent="0.2">
      <c r="A674" s="259"/>
      <c r="B674" s="270"/>
      <c r="C674" s="270"/>
      <c r="D674" s="270"/>
      <c r="E674" s="270"/>
      <c r="F674" s="270"/>
      <c r="G674" s="270"/>
      <c r="H674" s="274" t="s">
        <v>712</v>
      </c>
      <c r="I674" s="273" t="e">
        <f>#REF!+I682+I676</f>
        <v>#REF!</v>
      </c>
      <c r="J674" s="273" t="e">
        <f>#REF!+J682+J676</f>
        <v>#REF!</v>
      </c>
      <c r="K674" s="273" t="e">
        <f>ROUND(J674/I674*100,2)</f>
        <v>#REF!</v>
      </c>
      <c r="L674" s="273" t="e">
        <f>M674-I674</f>
        <v>#REF!</v>
      </c>
      <c r="M674" s="272">
        <f>M676+M682+M693</f>
        <v>1507838</v>
      </c>
      <c r="N674" s="272">
        <f>N676+N682+N693</f>
        <v>1810000</v>
      </c>
      <c r="O674" s="272">
        <f>O676+O682+O693</f>
        <v>379795.88</v>
      </c>
      <c r="P674" s="336">
        <f>T674-N674</f>
        <v>270000</v>
      </c>
      <c r="Q674" s="272">
        <f t="shared" ref="Q674:X674" si="469">Q676+Q682+Q693</f>
        <v>1810000</v>
      </c>
      <c r="R674" s="272">
        <f t="shared" si="469"/>
        <v>1050000</v>
      </c>
      <c r="S674" s="272">
        <f t="shared" si="469"/>
        <v>1200000</v>
      </c>
      <c r="T674" s="275">
        <f t="shared" si="469"/>
        <v>2080000</v>
      </c>
      <c r="U674" s="275">
        <f>U676+U682+U693</f>
        <v>1556922.8599999999</v>
      </c>
      <c r="V674" s="272">
        <f t="shared" si="469"/>
        <v>2450000</v>
      </c>
      <c r="W674" s="272">
        <f t="shared" si="469"/>
        <v>3150000</v>
      </c>
      <c r="X674" s="272">
        <f t="shared" si="469"/>
        <v>3150000</v>
      </c>
      <c r="Y674" s="272">
        <f>Y676+Y682+Y693</f>
        <v>0</v>
      </c>
      <c r="Z674" s="272">
        <f t="shared" si="456"/>
        <v>0</v>
      </c>
      <c r="AA674" s="272">
        <f t="shared" si="426"/>
        <v>-60000</v>
      </c>
      <c r="AB674" s="272">
        <f>AB676+AB682+AB693</f>
        <v>2390000</v>
      </c>
      <c r="AC674" s="272">
        <f>AC676+AC682+AC693</f>
        <v>343418.11</v>
      </c>
      <c r="AD674" s="272">
        <f t="shared" si="455"/>
        <v>14.368958577405857</v>
      </c>
      <c r="AE674" s="272">
        <f t="shared" si="464"/>
        <v>-780600</v>
      </c>
      <c r="AF674" s="272">
        <f>AF676+AF682+AF693</f>
        <v>1609400</v>
      </c>
      <c r="AG674" s="272">
        <f>AG676+AG682+AG693</f>
        <v>2362500</v>
      </c>
      <c r="AH674" s="272">
        <f>AH676+AH682+AH693</f>
        <v>2150000</v>
      </c>
      <c r="AI674" s="272">
        <f>AI676+AI682+AI693</f>
        <v>2150000</v>
      </c>
      <c r="AJ674" s="162" t="b">
        <f t="shared" si="451"/>
        <v>1</v>
      </c>
      <c r="AK674" s="162" t="str">
        <f t="shared" si="452"/>
        <v>PRAZNO</v>
      </c>
      <c r="AL674" s="170"/>
      <c r="AM674" s="164"/>
    </row>
    <row r="675" spans="1:39" s="171" customFormat="1" ht="15.75" x14ac:dyDescent="0.2">
      <c r="A675" s="259"/>
      <c r="B675" s="168"/>
      <c r="C675" s="168"/>
      <c r="D675" s="168"/>
      <c r="E675" s="168"/>
      <c r="F675" s="168"/>
      <c r="G675" s="168"/>
      <c r="H675" s="13" t="s">
        <v>444</v>
      </c>
      <c r="I675" s="169"/>
      <c r="J675" s="169"/>
      <c r="K675" s="169"/>
      <c r="L675" s="169"/>
      <c r="M675" s="19"/>
      <c r="N675" s="19"/>
      <c r="O675" s="19"/>
      <c r="P675" s="205"/>
      <c r="Q675" s="19"/>
      <c r="R675" s="19"/>
      <c r="S675" s="19"/>
      <c r="T675" s="53"/>
      <c r="U675" s="53"/>
      <c r="V675" s="19"/>
      <c r="W675" s="19"/>
      <c r="X675" s="19"/>
      <c r="Y675" s="19"/>
      <c r="Z675" s="19"/>
      <c r="AA675" s="19"/>
      <c r="AB675" s="19"/>
      <c r="AC675" s="19"/>
      <c r="AD675" s="19"/>
      <c r="AE675" s="19">
        <f t="shared" si="464"/>
        <v>0</v>
      </c>
      <c r="AF675" s="19"/>
      <c r="AG675" s="19"/>
      <c r="AH675" s="19"/>
      <c r="AI675" s="19"/>
      <c r="AJ675" s="162" t="b">
        <f t="shared" si="451"/>
        <v>1</v>
      </c>
      <c r="AK675" s="162" t="str">
        <f t="shared" si="452"/>
        <v>PRAZNO</v>
      </c>
      <c r="AL675" s="170"/>
      <c r="AM675" s="164"/>
    </row>
    <row r="676" spans="1:39" s="171" customFormat="1" ht="15.75" x14ac:dyDescent="0.2">
      <c r="A676" s="259"/>
      <c r="B676" s="168"/>
      <c r="C676" s="168"/>
      <c r="D676" s="168"/>
      <c r="E676" s="168"/>
      <c r="F676" s="168"/>
      <c r="G676" s="168"/>
      <c r="H676" s="13" t="s">
        <v>5</v>
      </c>
      <c r="I676" s="169">
        <f>I678</f>
        <v>10000</v>
      </c>
      <c r="J676" s="169">
        <f>J678</f>
        <v>10000</v>
      </c>
      <c r="K676" s="169">
        <f t="shared" ref="K676:K698" si="470">ROUND(J676/I676*100,2)</f>
        <v>100</v>
      </c>
      <c r="L676" s="169">
        <f t="shared" ref="L676:L698" si="471">M676-I676</f>
        <v>0</v>
      </c>
      <c r="M676" s="19">
        <f>M678</f>
        <v>10000</v>
      </c>
      <c r="N676" s="19">
        <f>N678</f>
        <v>50000</v>
      </c>
      <c r="O676" s="19">
        <f>O678</f>
        <v>0</v>
      </c>
      <c r="P676" s="303">
        <f t="shared" ref="P676:P699" si="472">T676-N676</f>
        <v>100000</v>
      </c>
      <c r="Q676" s="19">
        <f t="shared" ref="Q676:X676" si="473">Q678</f>
        <v>50000</v>
      </c>
      <c r="R676" s="19">
        <f t="shared" si="473"/>
        <v>50000</v>
      </c>
      <c r="S676" s="19">
        <f t="shared" si="473"/>
        <v>50000</v>
      </c>
      <c r="T676" s="53">
        <f t="shared" si="473"/>
        <v>150000</v>
      </c>
      <c r="U676" s="53">
        <f>U678</f>
        <v>149999.99</v>
      </c>
      <c r="V676" s="19">
        <f t="shared" si="473"/>
        <v>150000</v>
      </c>
      <c r="W676" s="19">
        <f t="shared" si="473"/>
        <v>150000</v>
      </c>
      <c r="X676" s="19">
        <f t="shared" si="473"/>
        <v>150000</v>
      </c>
      <c r="Y676" s="19">
        <f>Y678</f>
        <v>0</v>
      </c>
      <c r="Z676" s="19">
        <f t="shared" si="456"/>
        <v>0</v>
      </c>
      <c r="AA676" s="19">
        <f t="shared" si="426"/>
        <v>0</v>
      </c>
      <c r="AB676" s="19">
        <f t="shared" ref="AB676:AI677" si="474">AB678</f>
        <v>150000</v>
      </c>
      <c r="AC676" s="19">
        <f t="shared" si="474"/>
        <v>75000</v>
      </c>
      <c r="AD676" s="19">
        <f t="shared" si="455"/>
        <v>50</v>
      </c>
      <c r="AE676" s="19">
        <f t="shared" si="464"/>
        <v>0</v>
      </c>
      <c r="AF676" s="19">
        <f t="shared" si="474"/>
        <v>150000</v>
      </c>
      <c r="AG676" s="19">
        <f t="shared" si="474"/>
        <v>250000</v>
      </c>
      <c r="AH676" s="19">
        <f t="shared" si="474"/>
        <v>150000</v>
      </c>
      <c r="AI676" s="19">
        <f t="shared" si="474"/>
        <v>150000</v>
      </c>
      <c r="AJ676" s="162" t="b">
        <f t="shared" si="451"/>
        <v>1</v>
      </c>
      <c r="AK676" s="162" t="str">
        <f t="shared" si="452"/>
        <v>PRAZNO</v>
      </c>
      <c r="AL676" s="170"/>
      <c r="AM676" s="164"/>
    </row>
    <row r="677" spans="1:39" s="264" customFormat="1" ht="15.75" x14ac:dyDescent="0.2">
      <c r="A677" s="259"/>
      <c r="B677" s="260"/>
      <c r="C677" s="260"/>
      <c r="D677" s="260"/>
      <c r="E677" s="260"/>
      <c r="F677" s="260"/>
      <c r="G677" s="260"/>
      <c r="H677" s="440" t="s">
        <v>824</v>
      </c>
      <c r="I677" s="181"/>
      <c r="J677" s="181"/>
      <c r="K677" s="181"/>
      <c r="L677" s="181"/>
      <c r="M677" s="262"/>
      <c r="N677" s="262"/>
      <c r="O677" s="262"/>
      <c r="P677" s="307"/>
      <c r="Q677" s="262"/>
      <c r="R677" s="262"/>
      <c r="S677" s="262"/>
      <c r="T677" s="342"/>
      <c r="U677" s="342"/>
      <c r="V677" s="262">
        <f>V679</f>
        <v>150000</v>
      </c>
      <c r="W677" s="262">
        <f>W679</f>
        <v>150000</v>
      </c>
      <c r="X677" s="262">
        <f>X679</f>
        <v>150000</v>
      </c>
      <c r="Y677" s="262">
        <f>Y679</f>
        <v>0</v>
      </c>
      <c r="Z677" s="262">
        <f t="shared" si="456"/>
        <v>0</v>
      </c>
      <c r="AA677" s="262">
        <f t="shared" si="426"/>
        <v>0</v>
      </c>
      <c r="AB677" s="262">
        <f t="shared" si="474"/>
        <v>150000</v>
      </c>
      <c r="AC677" s="262">
        <f t="shared" si="474"/>
        <v>75000</v>
      </c>
      <c r="AD677" s="262">
        <f t="shared" si="455"/>
        <v>50</v>
      </c>
      <c r="AE677" s="262">
        <f t="shared" si="464"/>
        <v>0</v>
      </c>
      <c r="AF677" s="262">
        <f t="shared" si="474"/>
        <v>150000</v>
      </c>
      <c r="AG677" s="262">
        <f t="shared" si="474"/>
        <v>250000</v>
      </c>
      <c r="AH677" s="262">
        <f t="shared" si="474"/>
        <v>150000</v>
      </c>
      <c r="AI677" s="262">
        <f t="shared" si="474"/>
        <v>150000</v>
      </c>
      <c r="AJ677" s="162" t="b">
        <f t="shared" si="451"/>
        <v>1</v>
      </c>
      <c r="AK677" s="162" t="str">
        <f t="shared" si="452"/>
        <v>PRAZNO</v>
      </c>
      <c r="AL677" s="263"/>
    </row>
    <row r="678" spans="1:39" s="174" customFormat="1" ht="15.75" x14ac:dyDescent="0.2">
      <c r="A678" s="259"/>
      <c r="B678" s="172">
        <v>3</v>
      </c>
      <c r="C678" s="172"/>
      <c r="D678" s="172"/>
      <c r="E678" s="172"/>
      <c r="F678" s="172"/>
      <c r="G678" s="172"/>
      <c r="H678" s="14" t="s">
        <v>524</v>
      </c>
      <c r="I678" s="20">
        <f t="shared" ref="I678:AI680" si="475">I679</f>
        <v>10000</v>
      </c>
      <c r="J678" s="20">
        <f t="shared" si="475"/>
        <v>10000</v>
      </c>
      <c r="K678" s="20">
        <f t="shared" si="470"/>
        <v>100</v>
      </c>
      <c r="L678" s="20">
        <f t="shared" si="471"/>
        <v>0</v>
      </c>
      <c r="M678" s="20">
        <f t="shared" si="475"/>
        <v>10000</v>
      </c>
      <c r="N678" s="20">
        <f t="shared" si="475"/>
        <v>50000</v>
      </c>
      <c r="O678" s="20">
        <f t="shared" si="475"/>
        <v>0</v>
      </c>
      <c r="P678" s="55">
        <f t="shared" si="472"/>
        <v>100000</v>
      </c>
      <c r="Q678" s="20">
        <f t="shared" si="475"/>
        <v>50000</v>
      </c>
      <c r="R678" s="20">
        <f t="shared" si="475"/>
        <v>50000</v>
      </c>
      <c r="S678" s="20">
        <f t="shared" si="475"/>
        <v>50000</v>
      </c>
      <c r="T678" s="55">
        <f t="shared" si="475"/>
        <v>150000</v>
      </c>
      <c r="U678" s="55">
        <f t="shared" si="475"/>
        <v>149999.99</v>
      </c>
      <c r="V678" s="20">
        <f t="shared" si="475"/>
        <v>150000</v>
      </c>
      <c r="W678" s="20">
        <f t="shared" si="475"/>
        <v>150000</v>
      </c>
      <c r="X678" s="20">
        <f t="shared" si="475"/>
        <v>150000</v>
      </c>
      <c r="Y678" s="20">
        <f t="shared" si="475"/>
        <v>0</v>
      </c>
      <c r="Z678" s="20">
        <f t="shared" si="456"/>
        <v>0</v>
      </c>
      <c r="AA678" s="20">
        <f t="shared" si="426"/>
        <v>0</v>
      </c>
      <c r="AB678" s="20">
        <f t="shared" si="475"/>
        <v>150000</v>
      </c>
      <c r="AC678" s="20">
        <f t="shared" si="475"/>
        <v>75000</v>
      </c>
      <c r="AD678" s="20">
        <f t="shared" si="455"/>
        <v>50</v>
      </c>
      <c r="AE678" s="20">
        <f t="shared" si="464"/>
        <v>0</v>
      </c>
      <c r="AF678" s="20">
        <f t="shared" si="475"/>
        <v>150000</v>
      </c>
      <c r="AG678" s="20">
        <f t="shared" si="475"/>
        <v>250000</v>
      </c>
      <c r="AH678" s="20">
        <f t="shared" si="475"/>
        <v>150000</v>
      </c>
      <c r="AI678" s="20">
        <f t="shared" si="475"/>
        <v>150000</v>
      </c>
      <c r="AJ678" s="162" t="b">
        <f t="shared" si="451"/>
        <v>1</v>
      </c>
      <c r="AK678" s="162" t="str">
        <f t="shared" si="452"/>
        <v>PRAZNO</v>
      </c>
      <c r="AL678" s="173"/>
      <c r="AM678" s="164"/>
    </row>
    <row r="679" spans="1:39" ht="15.75" x14ac:dyDescent="0.2">
      <c r="B679" s="177"/>
      <c r="C679" s="177">
        <v>32</v>
      </c>
      <c r="D679" s="177"/>
      <c r="E679" s="177"/>
      <c r="F679" s="177"/>
      <c r="G679" s="177"/>
      <c r="H679" s="16" t="s">
        <v>525</v>
      </c>
      <c r="I679" s="17">
        <f t="shared" si="475"/>
        <v>10000</v>
      </c>
      <c r="J679" s="17">
        <f t="shared" si="475"/>
        <v>10000</v>
      </c>
      <c r="K679" s="17">
        <f t="shared" si="470"/>
        <v>100</v>
      </c>
      <c r="L679" s="17">
        <f t="shared" si="471"/>
        <v>0</v>
      </c>
      <c r="M679" s="17">
        <f t="shared" si="475"/>
        <v>10000</v>
      </c>
      <c r="N679" s="17">
        <f t="shared" si="475"/>
        <v>50000</v>
      </c>
      <c r="O679" s="17">
        <f t="shared" si="475"/>
        <v>0</v>
      </c>
      <c r="P679" s="26">
        <f t="shared" si="472"/>
        <v>100000</v>
      </c>
      <c r="Q679" s="17">
        <f t="shared" si="475"/>
        <v>50000</v>
      </c>
      <c r="R679" s="17">
        <f t="shared" si="475"/>
        <v>50000</v>
      </c>
      <c r="S679" s="17">
        <f t="shared" si="475"/>
        <v>50000</v>
      </c>
      <c r="T679" s="26">
        <f t="shared" si="475"/>
        <v>150000</v>
      </c>
      <c r="U679" s="26">
        <f t="shared" si="475"/>
        <v>149999.99</v>
      </c>
      <c r="V679" s="17">
        <f t="shared" si="475"/>
        <v>150000</v>
      </c>
      <c r="W679" s="17">
        <f t="shared" si="475"/>
        <v>150000</v>
      </c>
      <c r="X679" s="17">
        <f t="shared" si="475"/>
        <v>150000</v>
      </c>
      <c r="Y679" s="17">
        <f t="shared" si="475"/>
        <v>0</v>
      </c>
      <c r="Z679" s="17">
        <f t="shared" si="456"/>
        <v>0</v>
      </c>
      <c r="AA679" s="17">
        <f t="shared" si="426"/>
        <v>0</v>
      </c>
      <c r="AB679" s="17">
        <f t="shared" si="475"/>
        <v>150000</v>
      </c>
      <c r="AC679" s="17">
        <f t="shared" si="475"/>
        <v>75000</v>
      </c>
      <c r="AD679" s="17">
        <f t="shared" si="455"/>
        <v>50</v>
      </c>
      <c r="AE679" s="17">
        <f t="shared" si="464"/>
        <v>0</v>
      </c>
      <c r="AF679" s="17">
        <f t="shared" si="475"/>
        <v>150000</v>
      </c>
      <c r="AG679" s="17">
        <f t="shared" si="475"/>
        <v>250000</v>
      </c>
      <c r="AH679" s="17">
        <f t="shared" si="475"/>
        <v>150000</v>
      </c>
      <c r="AI679" s="17">
        <f t="shared" si="475"/>
        <v>150000</v>
      </c>
      <c r="AJ679" s="162" t="b">
        <f t="shared" si="451"/>
        <v>1</v>
      </c>
      <c r="AK679" s="162" t="str">
        <f t="shared" si="452"/>
        <v>PRAZNO</v>
      </c>
      <c r="AM679" s="164"/>
    </row>
    <row r="680" spans="1:39" ht="15.75" x14ac:dyDescent="0.2">
      <c r="B680" s="177"/>
      <c r="C680" s="177"/>
      <c r="D680" s="177">
        <v>323</v>
      </c>
      <c r="E680" s="177"/>
      <c r="F680" s="177"/>
      <c r="G680" s="177"/>
      <c r="H680" s="16" t="s">
        <v>526</v>
      </c>
      <c r="I680" s="17">
        <f t="shared" si="475"/>
        <v>10000</v>
      </c>
      <c r="J680" s="17">
        <f t="shared" si="475"/>
        <v>10000</v>
      </c>
      <c r="K680" s="17">
        <f t="shared" si="470"/>
        <v>100</v>
      </c>
      <c r="L680" s="17">
        <f t="shared" si="471"/>
        <v>0</v>
      </c>
      <c r="M680" s="17">
        <f t="shared" si="475"/>
        <v>10000</v>
      </c>
      <c r="N680" s="17">
        <f t="shared" si="475"/>
        <v>50000</v>
      </c>
      <c r="O680" s="17">
        <f t="shared" si="475"/>
        <v>0</v>
      </c>
      <c r="P680" s="26">
        <f t="shared" si="472"/>
        <v>100000</v>
      </c>
      <c r="Q680" s="17">
        <f t="shared" si="475"/>
        <v>50000</v>
      </c>
      <c r="R680" s="17">
        <f t="shared" si="475"/>
        <v>50000</v>
      </c>
      <c r="S680" s="17">
        <f t="shared" si="475"/>
        <v>50000</v>
      </c>
      <c r="T680" s="26">
        <f t="shared" si="475"/>
        <v>150000</v>
      </c>
      <c r="U680" s="26">
        <f t="shared" si="475"/>
        <v>149999.99</v>
      </c>
      <c r="V680" s="17">
        <f t="shared" si="475"/>
        <v>150000</v>
      </c>
      <c r="W680" s="17">
        <f t="shared" si="475"/>
        <v>150000</v>
      </c>
      <c r="X680" s="17">
        <f t="shared" si="475"/>
        <v>150000</v>
      </c>
      <c r="Y680" s="17">
        <f t="shared" si="475"/>
        <v>0</v>
      </c>
      <c r="Z680" s="17">
        <f t="shared" si="456"/>
        <v>0</v>
      </c>
      <c r="AA680" s="17">
        <f t="shared" si="426"/>
        <v>0</v>
      </c>
      <c r="AB680" s="17">
        <f t="shared" si="475"/>
        <v>150000</v>
      </c>
      <c r="AC680" s="17">
        <f t="shared" si="475"/>
        <v>75000</v>
      </c>
      <c r="AD680" s="17">
        <f t="shared" si="455"/>
        <v>50</v>
      </c>
      <c r="AE680" s="17">
        <f t="shared" si="464"/>
        <v>0</v>
      </c>
      <c r="AF680" s="17">
        <f t="shared" si="475"/>
        <v>150000</v>
      </c>
      <c r="AG680" s="17">
        <f t="shared" si="475"/>
        <v>250000</v>
      </c>
      <c r="AH680" s="17">
        <f t="shared" si="475"/>
        <v>150000</v>
      </c>
      <c r="AI680" s="17">
        <f t="shared" si="475"/>
        <v>150000</v>
      </c>
      <c r="AJ680" s="162" t="b">
        <f t="shared" si="451"/>
        <v>1</v>
      </c>
      <c r="AK680" s="162" t="str">
        <f t="shared" si="452"/>
        <v>PRAZNO</v>
      </c>
      <c r="AM680" s="164"/>
    </row>
    <row r="681" spans="1:39" ht="15.75" x14ac:dyDescent="0.2">
      <c r="B681" s="177"/>
      <c r="C681" s="177"/>
      <c r="D681" s="177"/>
      <c r="E681" s="177">
        <v>3237</v>
      </c>
      <c r="F681" s="176">
        <v>14</v>
      </c>
      <c r="G681" s="176" t="s">
        <v>424</v>
      </c>
      <c r="H681" s="16" t="s">
        <v>763</v>
      </c>
      <c r="I681" s="17">
        <v>10000</v>
      </c>
      <c r="J681" s="17">
        <v>10000</v>
      </c>
      <c r="K681" s="17">
        <f t="shared" si="470"/>
        <v>100</v>
      </c>
      <c r="L681" s="17">
        <f t="shared" si="471"/>
        <v>0</v>
      </c>
      <c r="M681" s="17">
        <v>10000</v>
      </c>
      <c r="N681" s="17">
        <v>50000</v>
      </c>
      <c r="O681" s="17">
        <v>0</v>
      </c>
      <c r="P681" s="26">
        <f t="shared" si="472"/>
        <v>100000</v>
      </c>
      <c r="Q681" s="17">
        <v>50000</v>
      </c>
      <c r="R681" s="17">
        <v>50000</v>
      </c>
      <c r="S681" s="17">
        <v>50000</v>
      </c>
      <c r="T681" s="26">
        <f>50000+100000</f>
        <v>150000</v>
      </c>
      <c r="U681" s="26">
        <v>149999.99</v>
      </c>
      <c r="V681" s="26">
        <f>50000+100000</f>
        <v>150000</v>
      </c>
      <c r="W681" s="26">
        <f>50000+100000</f>
        <v>150000</v>
      </c>
      <c r="X681" s="26">
        <f>50000+100000</f>
        <v>150000</v>
      </c>
      <c r="Y681" s="26">
        <v>0</v>
      </c>
      <c r="Z681" s="26">
        <f t="shared" si="456"/>
        <v>0</v>
      </c>
      <c r="AA681" s="26">
        <f t="shared" si="426"/>
        <v>0</v>
      </c>
      <c r="AB681" s="26">
        <f>50000+100000</f>
        <v>150000</v>
      </c>
      <c r="AC681" s="26">
        <v>75000</v>
      </c>
      <c r="AD681" s="26">
        <f t="shared" si="455"/>
        <v>50</v>
      </c>
      <c r="AE681" s="26">
        <f t="shared" si="464"/>
        <v>0</v>
      </c>
      <c r="AF681" s="26">
        <f>50000+100000</f>
        <v>150000</v>
      </c>
      <c r="AG681" s="26">
        <v>250000</v>
      </c>
      <c r="AH681" s="26">
        <f>50000+100000</f>
        <v>150000</v>
      </c>
      <c r="AI681" s="26">
        <f>50000+100000</f>
        <v>150000</v>
      </c>
      <c r="AJ681" s="162" t="b">
        <f t="shared" si="451"/>
        <v>0</v>
      </c>
      <c r="AK681" s="162" t="str">
        <f t="shared" si="452"/>
        <v>PUNO</v>
      </c>
      <c r="AM681" s="164"/>
    </row>
    <row r="682" spans="1:39" s="171" customFormat="1" ht="36.75" customHeight="1" x14ac:dyDescent="0.2">
      <c r="A682" s="259"/>
      <c r="B682" s="168"/>
      <c r="C682" s="168"/>
      <c r="D682" s="168"/>
      <c r="E682" s="168"/>
      <c r="F682" s="168"/>
      <c r="G682" s="168"/>
      <c r="H682" s="13" t="s">
        <v>159</v>
      </c>
      <c r="I682" s="169">
        <f>I684</f>
        <v>800000</v>
      </c>
      <c r="J682" s="169">
        <f>J684</f>
        <v>197838</v>
      </c>
      <c r="K682" s="169">
        <f t="shared" si="470"/>
        <v>24.73</v>
      </c>
      <c r="L682" s="169">
        <f t="shared" si="471"/>
        <v>-602162</v>
      </c>
      <c r="M682" s="19">
        <f>M684</f>
        <v>197838</v>
      </c>
      <c r="N682" s="19">
        <f>N684</f>
        <v>660000</v>
      </c>
      <c r="O682" s="19">
        <f>O684</f>
        <v>100000</v>
      </c>
      <c r="P682" s="303">
        <f t="shared" si="472"/>
        <v>0</v>
      </c>
      <c r="Q682" s="19">
        <f>Q684</f>
        <v>660000</v>
      </c>
      <c r="R682" s="19">
        <f>R684</f>
        <v>100000</v>
      </c>
      <c r="S682" s="19">
        <f>S684</f>
        <v>0</v>
      </c>
      <c r="T682" s="53">
        <f>T684</f>
        <v>660000</v>
      </c>
      <c r="U682" s="19">
        <f t="shared" ref="U682:AA682" si="476">U684+U689</f>
        <v>487500</v>
      </c>
      <c r="V682" s="19">
        <f t="shared" si="476"/>
        <v>300000</v>
      </c>
      <c r="W682" s="19">
        <f t="shared" si="476"/>
        <v>0</v>
      </c>
      <c r="X682" s="19">
        <f t="shared" si="476"/>
        <v>0</v>
      </c>
      <c r="Y682" s="19">
        <f t="shared" si="476"/>
        <v>0</v>
      </c>
      <c r="Z682" s="19">
        <f t="shared" si="476"/>
        <v>0</v>
      </c>
      <c r="AA682" s="19">
        <f t="shared" si="476"/>
        <v>-60000</v>
      </c>
      <c r="AB682" s="19">
        <f>AB684+AB689</f>
        <v>240000</v>
      </c>
      <c r="AC682" s="19">
        <f>AC684+AC689</f>
        <v>68375</v>
      </c>
      <c r="AD682" s="19">
        <f t="shared" si="455"/>
        <v>28.489583333333336</v>
      </c>
      <c r="AE682" s="19">
        <f t="shared" si="464"/>
        <v>-80600</v>
      </c>
      <c r="AF682" s="19">
        <f>AF684+AF689</f>
        <v>159400</v>
      </c>
      <c r="AG682" s="19">
        <f>AG684+AG689</f>
        <v>112500</v>
      </c>
      <c r="AH682" s="19">
        <f>AH684+AH689</f>
        <v>0</v>
      </c>
      <c r="AI682" s="19">
        <f>AI684+AI689</f>
        <v>0</v>
      </c>
      <c r="AJ682" s="162" t="b">
        <f t="shared" si="451"/>
        <v>1</v>
      </c>
      <c r="AK682" s="162" t="str">
        <f t="shared" si="452"/>
        <v>PRAZNO</v>
      </c>
      <c r="AL682" s="170"/>
      <c r="AM682" s="164"/>
    </row>
    <row r="683" spans="1:39" s="264" customFormat="1" ht="17.25" customHeight="1" x14ac:dyDescent="0.2">
      <c r="A683" s="259"/>
      <c r="B683" s="260"/>
      <c r="C683" s="260"/>
      <c r="D683" s="260"/>
      <c r="E683" s="260"/>
      <c r="F683" s="260"/>
      <c r="G683" s="260"/>
      <c r="H683" s="440" t="s">
        <v>824</v>
      </c>
      <c r="I683" s="181"/>
      <c r="J683" s="181"/>
      <c r="K683" s="181"/>
      <c r="L683" s="181"/>
      <c r="M683" s="262"/>
      <c r="N683" s="262"/>
      <c r="O683" s="262"/>
      <c r="P683" s="445"/>
      <c r="Q683" s="262"/>
      <c r="R683" s="262"/>
      <c r="S683" s="262"/>
      <c r="T683" s="342"/>
      <c r="U683" s="262">
        <f t="shared" ref="U683:AA683" si="477">U684</f>
        <v>243750</v>
      </c>
      <c r="V683" s="262">
        <f t="shared" si="477"/>
        <v>175000</v>
      </c>
      <c r="W683" s="262">
        <f t="shared" si="477"/>
        <v>0</v>
      </c>
      <c r="X683" s="262">
        <f t="shared" si="477"/>
        <v>0</v>
      </c>
      <c r="Y683" s="262">
        <f t="shared" si="477"/>
        <v>0</v>
      </c>
      <c r="Z683" s="262">
        <f t="shared" si="477"/>
        <v>0</v>
      </c>
      <c r="AA683" s="262">
        <f t="shared" si="477"/>
        <v>-103000</v>
      </c>
      <c r="AB683" s="262">
        <f>AB684</f>
        <v>72000</v>
      </c>
      <c r="AC683" s="262">
        <f>AC684</f>
        <v>68375</v>
      </c>
      <c r="AD683" s="262">
        <f t="shared" si="455"/>
        <v>94.965277777777786</v>
      </c>
      <c r="AE683" s="262">
        <f t="shared" si="464"/>
        <v>-3600</v>
      </c>
      <c r="AF683" s="262">
        <f>AF684</f>
        <v>68400</v>
      </c>
      <c r="AG683" s="262">
        <f>AG684</f>
        <v>56250</v>
      </c>
      <c r="AH683" s="262">
        <f>AH684</f>
        <v>0</v>
      </c>
      <c r="AI683" s="262">
        <f>AI684</f>
        <v>0</v>
      </c>
      <c r="AJ683" s="162" t="b">
        <f t="shared" si="451"/>
        <v>1</v>
      </c>
      <c r="AK683" s="162" t="str">
        <f t="shared" si="452"/>
        <v>PRAZNO</v>
      </c>
      <c r="AL683" s="263"/>
    </row>
    <row r="684" spans="1:39" s="174" customFormat="1" ht="15.75" x14ac:dyDescent="0.2">
      <c r="A684" s="259"/>
      <c r="B684" s="172">
        <v>4</v>
      </c>
      <c r="C684" s="172"/>
      <c r="D684" s="172"/>
      <c r="E684" s="172"/>
      <c r="F684" s="172"/>
      <c r="G684" s="172"/>
      <c r="H684" s="14" t="s">
        <v>552</v>
      </c>
      <c r="I684" s="20">
        <f t="shared" ref="I684:AI686" si="478">I685</f>
        <v>800000</v>
      </c>
      <c r="J684" s="20">
        <f t="shared" si="478"/>
        <v>197838</v>
      </c>
      <c r="K684" s="20">
        <f t="shared" si="470"/>
        <v>24.73</v>
      </c>
      <c r="L684" s="20">
        <f t="shared" si="471"/>
        <v>-602162</v>
      </c>
      <c r="M684" s="20">
        <f t="shared" si="478"/>
        <v>197838</v>
      </c>
      <c r="N684" s="20">
        <f t="shared" si="478"/>
        <v>660000</v>
      </c>
      <c r="O684" s="20">
        <f t="shared" si="478"/>
        <v>100000</v>
      </c>
      <c r="P684" s="55">
        <f t="shared" si="472"/>
        <v>0</v>
      </c>
      <c r="Q684" s="20">
        <f t="shared" si="478"/>
        <v>660000</v>
      </c>
      <c r="R684" s="20">
        <f t="shared" si="478"/>
        <v>100000</v>
      </c>
      <c r="S684" s="20">
        <f t="shared" si="478"/>
        <v>0</v>
      </c>
      <c r="T684" s="55">
        <f t="shared" si="478"/>
        <v>660000</v>
      </c>
      <c r="U684" s="55">
        <f t="shared" si="478"/>
        <v>243750</v>
      </c>
      <c r="V684" s="20">
        <f t="shared" si="478"/>
        <v>175000</v>
      </c>
      <c r="W684" s="20">
        <f t="shared" si="478"/>
        <v>0</v>
      </c>
      <c r="X684" s="20">
        <f t="shared" si="478"/>
        <v>0</v>
      </c>
      <c r="Y684" s="20">
        <f t="shared" si="478"/>
        <v>0</v>
      </c>
      <c r="Z684" s="20">
        <f t="shared" si="456"/>
        <v>0</v>
      </c>
      <c r="AA684" s="20">
        <f t="shared" si="426"/>
        <v>-103000</v>
      </c>
      <c r="AB684" s="20">
        <f t="shared" si="478"/>
        <v>72000</v>
      </c>
      <c r="AC684" s="20">
        <f t="shared" si="478"/>
        <v>68375</v>
      </c>
      <c r="AD684" s="20">
        <f t="shared" si="455"/>
        <v>94.965277777777786</v>
      </c>
      <c r="AE684" s="20">
        <f t="shared" si="464"/>
        <v>-3600</v>
      </c>
      <c r="AF684" s="20">
        <f t="shared" si="478"/>
        <v>68400</v>
      </c>
      <c r="AG684" s="20">
        <f t="shared" si="478"/>
        <v>56250</v>
      </c>
      <c r="AH684" s="20">
        <f t="shared" si="478"/>
        <v>0</v>
      </c>
      <c r="AI684" s="20">
        <f t="shared" si="478"/>
        <v>0</v>
      </c>
      <c r="AJ684" s="162" t="b">
        <f t="shared" si="451"/>
        <v>1</v>
      </c>
      <c r="AK684" s="162" t="str">
        <f t="shared" si="452"/>
        <v>PRAZNO</v>
      </c>
      <c r="AL684" s="173"/>
      <c r="AM684" s="164"/>
    </row>
    <row r="685" spans="1:39" ht="15.75" x14ac:dyDescent="0.2">
      <c r="B685" s="177"/>
      <c r="C685" s="177">
        <v>42</v>
      </c>
      <c r="D685" s="177"/>
      <c r="E685" s="177"/>
      <c r="F685" s="177"/>
      <c r="G685" s="177"/>
      <c r="H685" s="16" t="s">
        <v>212</v>
      </c>
      <c r="I685" s="18">
        <f t="shared" si="478"/>
        <v>800000</v>
      </c>
      <c r="J685" s="18">
        <f t="shared" si="478"/>
        <v>197838</v>
      </c>
      <c r="K685" s="18">
        <f t="shared" si="470"/>
        <v>24.73</v>
      </c>
      <c r="L685" s="18">
        <f t="shared" si="471"/>
        <v>-602162</v>
      </c>
      <c r="M685" s="18">
        <f t="shared" si="478"/>
        <v>197838</v>
      </c>
      <c r="N685" s="18">
        <f t="shared" si="478"/>
        <v>660000</v>
      </c>
      <c r="O685" s="18">
        <f t="shared" si="478"/>
        <v>100000</v>
      </c>
      <c r="P685" s="26">
        <f t="shared" si="472"/>
        <v>0</v>
      </c>
      <c r="Q685" s="18">
        <f t="shared" si="478"/>
        <v>660000</v>
      </c>
      <c r="R685" s="18">
        <f t="shared" si="478"/>
        <v>100000</v>
      </c>
      <c r="S685" s="18">
        <f t="shared" si="478"/>
        <v>0</v>
      </c>
      <c r="T685" s="27">
        <f t="shared" si="478"/>
        <v>660000</v>
      </c>
      <c r="U685" s="27">
        <f t="shared" si="478"/>
        <v>243750</v>
      </c>
      <c r="V685" s="18">
        <f t="shared" si="478"/>
        <v>175000</v>
      </c>
      <c r="W685" s="18">
        <f t="shared" si="478"/>
        <v>0</v>
      </c>
      <c r="X685" s="18">
        <f t="shared" si="478"/>
        <v>0</v>
      </c>
      <c r="Y685" s="18">
        <f t="shared" si="478"/>
        <v>0</v>
      </c>
      <c r="Z685" s="18">
        <f t="shared" si="456"/>
        <v>0</v>
      </c>
      <c r="AA685" s="18">
        <f t="shared" si="426"/>
        <v>-103000</v>
      </c>
      <c r="AB685" s="18">
        <f t="shared" si="478"/>
        <v>72000</v>
      </c>
      <c r="AC685" s="18">
        <f t="shared" si="478"/>
        <v>68375</v>
      </c>
      <c r="AD685" s="18">
        <f t="shared" si="455"/>
        <v>94.965277777777786</v>
      </c>
      <c r="AE685" s="18">
        <f t="shared" si="464"/>
        <v>-3600</v>
      </c>
      <c r="AF685" s="18">
        <f t="shared" si="478"/>
        <v>68400</v>
      </c>
      <c r="AG685" s="18">
        <f t="shared" si="478"/>
        <v>56250</v>
      </c>
      <c r="AH685" s="18">
        <f t="shared" si="478"/>
        <v>0</v>
      </c>
      <c r="AI685" s="18">
        <f t="shared" si="478"/>
        <v>0</v>
      </c>
      <c r="AJ685" s="162" t="b">
        <f t="shared" si="451"/>
        <v>1</v>
      </c>
      <c r="AK685" s="162" t="str">
        <f t="shared" si="452"/>
        <v>PRAZNO</v>
      </c>
      <c r="AM685" s="164"/>
    </row>
    <row r="686" spans="1:39" ht="15.75" x14ac:dyDescent="0.2">
      <c r="B686" s="177"/>
      <c r="C686" s="177"/>
      <c r="D686" s="177">
        <v>426</v>
      </c>
      <c r="E686" s="177"/>
      <c r="F686" s="177"/>
      <c r="G686" s="177"/>
      <c r="H686" s="16" t="s">
        <v>560</v>
      </c>
      <c r="I686" s="17">
        <f>I687+I692</f>
        <v>800000</v>
      </c>
      <c r="J686" s="17">
        <f>J687+J692</f>
        <v>197838</v>
      </c>
      <c r="K686" s="17">
        <f t="shared" si="470"/>
        <v>24.73</v>
      </c>
      <c r="L686" s="17">
        <f t="shared" si="471"/>
        <v>-602162</v>
      </c>
      <c r="M686" s="17">
        <f>M687+M692</f>
        <v>197838</v>
      </c>
      <c r="N686" s="17">
        <f>N687+N692</f>
        <v>660000</v>
      </c>
      <c r="O686" s="17">
        <f>O687+O692</f>
        <v>100000</v>
      </c>
      <c r="P686" s="26">
        <f t="shared" si="472"/>
        <v>0</v>
      </c>
      <c r="Q686" s="17">
        <f>Q687+Q692</f>
        <v>660000</v>
      </c>
      <c r="R686" s="17">
        <f>R687+R692</f>
        <v>100000</v>
      </c>
      <c r="S686" s="17">
        <f>S687+S692</f>
        <v>0</v>
      </c>
      <c r="T686" s="26">
        <f>T687+T692</f>
        <v>660000</v>
      </c>
      <c r="U686" s="17">
        <f t="shared" si="478"/>
        <v>243750</v>
      </c>
      <c r="V686" s="17">
        <f t="shared" si="478"/>
        <v>175000</v>
      </c>
      <c r="W686" s="17">
        <f t="shared" si="478"/>
        <v>0</v>
      </c>
      <c r="X686" s="17">
        <f t="shared" si="478"/>
        <v>0</v>
      </c>
      <c r="Y686" s="17">
        <f t="shared" si="478"/>
        <v>0</v>
      </c>
      <c r="Z686" s="17">
        <f t="shared" si="478"/>
        <v>0</v>
      </c>
      <c r="AA686" s="17">
        <f t="shared" si="478"/>
        <v>-103000</v>
      </c>
      <c r="AB686" s="17">
        <f>AB687</f>
        <v>72000</v>
      </c>
      <c r="AC686" s="17">
        <f>AC687</f>
        <v>68375</v>
      </c>
      <c r="AD686" s="17">
        <f t="shared" si="455"/>
        <v>94.965277777777786</v>
      </c>
      <c r="AE686" s="17">
        <f t="shared" si="464"/>
        <v>-3600</v>
      </c>
      <c r="AF686" s="17">
        <f>AF687</f>
        <v>68400</v>
      </c>
      <c r="AG686" s="17">
        <f>AG687</f>
        <v>56250</v>
      </c>
      <c r="AH686" s="17">
        <f>AH687</f>
        <v>0</v>
      </c>
      <c r="AI686" s="17">
        <f>AI687</f>
        <v>0</v>
      </c>
      <c r="AJ686" s="162" t="b">
        <f t="shared" si="451"/>
        <v>1</v>
      </c>
      <c r="AK686" s="162" t="str">
        <f t="shared" si="452"/>
        <v>PRAZNO</v>
      </c>
      <c r="AM686" s="164"/>
    </row>
    <row r="687" spans="1:39" ht="31.5" customHeight="1" x14ac:dyDescent="0.2">
      <c r="B687" s="177"/>
      <c r="C687" s="177"/>
      <c r="D687" s="177"/>
      <c r="E687" s="177">
        <v>4264</v>
      </c>
      <c r="F687" s="176">
        <v>14</v>
      </c>
      <c r="G687" s="176" t="s">
        <v>424</v>
      </c>
      <c r="H687" s="16" t="s">
        <v>950</v>
      </c>
      <c r="I687" s="18">
        <v>400000</v>
      </c>
      <c r="J687" s="18">
        <v>99438</v>
      </c>
      <c r="K687" s="18">
        <f t="shared" si="470"/>
        <v>24.86</v>
      </c>
      <c r="L687" s="18">
        <f t="shared" si="471"/>
        <v>-300562</v>
      </c>
      <c r="M687" s="18">
        <v>99438</v>
      </c>
      <c r="N687" s="18">
        <v>330000</v>
      </c>
      <c r="O687" s="18">
        <v>50000</v>
      </c>
      <c r="P687" s="26">
        <f t="shared" si="472"/>
        <v>0</v>
      </c>
      <c r="Q687" s="18">
        <v>330000</v>
      </c>
      <c r="R687" s="18">
        <v>50000</v>
      </c>
      <c r="S687" s="18">
        <v>0</v>
      </c>
      <c r="T687" s="27">
        <v>330000</v>
      </c>
      <c r="U687" s="27">
        <v>243750</v>
      </c>
      <c r="V687" s="18">
        <v>175000</v>
      </c>
      <c r="W687" s="18">
        <v>0</v>
      </c>
      <c r="X687" s="18">
        <v>0</v>
      </c>
      <c r="Y687" s="18">
        <v>0</v>
      </c>
      <c r="Z687" s="18">
        <f t="shared" si="456"/>
        <v>0</v>
      </c>
      <c r="AA687" s="18">
        <f t="shared" ref="AA687:AA750" si="479">AB687-V687</f>
        <v>-103000</v>
      </c>
      <c r="AB687" s="18">
        <v>72000</v>
      </c>
      <c r="AC687" s="700">
        <v>68375</v>
      </c>
      <c r="AD687" s="700">
        <f t="shared" si="455"/>
        <v>94.965277777777786</v>
      </c>
      <c r="AE687" s="700">
        <f t="shared" si="464"/>
        <v>-3600</v>
      </c>
      <c r="AF687" s="700">
        <v>68400</v>
      </c>
      <c r="AG687" s="18">
        <v>56250</v>
      </c>
      <c r="AH687" s="18"/>
      <c r="AI687" s="18"/>
      <c r="AJ687" s="162" t="b">
        <f t="shared" si="451"/>
        <v>0</v>
      </c>
      <c r="AK687" s="162" t="str">
        <f t="shared" si="452"/>
        <v>PUNO</v>
      </c>
      <c r="AM687" s="164"/>
    </row>
    <row r="688" spans="1:39" s="453" customFormat="1" ht="16.5" customHeight="1" x14ac:dyDescent="0.25">
      <c r="A688" s="378"/>
      <c r="B688" s="260"/>
      <c r="C688" s="260"/>
      <c r="D688" s="260"/>
      <c r="E688" s="260"/>
      <c r="F688" s="448"/>
      <c r="G688" s="448"/>
      <c r="H688" s="440" t="s">
        <v>825</v>
      </c>
      <c r="I688" s="449"/>
      <c r="J688" s="449"/>
      <c r="K688" s="449"/>
      <c r="L688" s="449"/>
      <c r="M688" s="449"/>
      <c r="N688" s="449"/>
      <c r="O688" s="449"/>
      <c r="P688" s="202"/>
      <c r="Q688" s="449"/>
      <c r="R688" s="449"/>
      <c r="S688" s="449"/>
      <c r="T688" s="450"/>
      <c r="U688" s="449">
        <f t="shared" ref="U688:AI691" si="480">U689</f>
        <v>243750</v>
      </c>
      <c r="V688" s="449">
        <f t="shared" si="480"/>
        <v>125000</v>
      </c>
      <c r="W688" s="449">
        <f t="shared" si="480"/>
        <v>0</v>
      </c>
      <c r="X688" s="449">
        <f t="shared" si="480"/>
        <v>0</v>
      </c>
      <c r="Y688" s="449">
        <f t="shared" si="480"/>
        <v>0</v>
      </c>
      <c r="Z688" s="449">
        <f t="shared" si="480"/>
        <v>0</v>
      </c>
      <c r="AA688" s="449">
        <f t="shared" si="480"/>
        <v>43000</v>
      </c>
      <c r="AB688" s="449">
        <f t="shared" si="480"/>
        <v>168000</v>
      </c>
      <c r="AC688" s="449">
        <f t="shared" si="480"/>
        <v>0</v>
      </c>
      <c r="AD688" s="449">
        <f t="shared" si="455"/>
        <v>0</v>
      </c>
      <c r="AE688" s="449">
        <f t="shared" si="464"/>
        <v>-77000</v>
      </c>
      <c r="AF688" s="449">
        <f t="shared" si="480"/>
        <v>91000</v>
      </c>
      <c r="AG688" s="449">
        <f t="shared" si="480"/>
        <v>56250</v>
      </c>
      <c r="AH688" s="449">
        <f t="shared" si="480"/>
        <v>0</v>
      </c>
      <c r="AI688" s="449">
        <f t="shared" si="480"/>
        <v>0</v>
      </c>
      <c r="AJ688" s="162" t="b">
        <f t="shared" si="451"/>
        <v>1</v>
      </c>
      <c r="AK688" s="162" t="str">
        <f t="shared" si="452"/>
        <v>PRAZNO</v>
      </c>
      <c r="AL688" s="452"/>
      <c r="AM688" s="287"/>
    </row>
    <row r="689" spans="1:39" s="174" customFormat="1" ht="17.25" customHeight="1" x14ac:dyDescent="0.2">
      <c r="A689" s="259"/>
      <c r="B689" s="172">
        <v>4</v>
      </c>
      <c r="C689" s="172"/>
      <c r="D689" s="172"/>
      <c r="E689" s="172"/>
      <c r="F689" s="220"/>
      <c r="G689" s="220"/>
      <c r="H689" s="14" t="s">
        <v>294</v>
      </c>
      <c r="I689" s="184"/>
      <c r="J689" s="184"/>
      <c r="K689" s="184"/>
      <c r="L689" s="184"/>
      <c r="M689" s="184"/>
      <c r="N689" s="184"/>
      <c r="O689" s="184"/>
      <c r="P689" s="55"/>
      <c r="Q689" s="184"/>
      <c r="R689" s="184"/>
      <c r="S689" s="184"/>
      <c r="T689" s="185"/>
      <c r="U689" s="184">
        <f t="shared" si="480"/>
        <v>243750</v>
      </c>
      <c r="V689" s="184">
        <f t="shared" si="480"/>
        <v>125000</v>
      </c>
      <c r="W689" s="184">
        <f t="shared" si="480"/>
        <v>0</v>
      </c>
      <c r="X689" s="184">
        <f t="shared" si="480"/>
        <v>0</v>
      </c>
      <c r="Y689" s="184">
        <f t="shared" si="480"/>
        <v>0</v>
      </c>
      <c r="Z689" s="184">
        <f t="shared" si="480"/>
        <v>0</v>
      </c>
      <c r="AA689" s="184">
        <f t="shared" si="480"/>
        <v>43000</v>
      </c>
      <c r="AB689" s="184">
        <f t="shared" si="480"/>
        <v>168000</v>
      </c>
      <c r="AC689" s="184">
        <f t="shared" si="480"/>
        <v>0</v>
      </c>
      <c r="AD689" s="184">
        <f t="shared" si="455"/>
        <v>0</v>
      </c>
      <c r="AE689" s="184">
        <f t="shared" si="464"/>
        <v>-77000</v>
      </c>
      <c r="AF689" s="184">
        <f t="shared" si="480"/>
        <v>91000</v>
      </c>
      <c r="AG689" s="184">
        <f t="shared" si="480"/>
        <v>56250</v>
      </c>
      <c r="AH689" s="184">
        <f t="shared" si="480"/>
        <v>0</v>
      </c>
      <c r="AI689" s="184">
        <f t="shared" si="480"/>
        <v>0</v>
      </c>
      <c r="AJ689" s="162" t="b">
        <f t="shared" si="451"/>
        <v>1</v>
      </c>
      <c r="AK689" s="162" t="str">
        <f t="shared" si="452"/>
        <v>PRAZNO</v>
      </c>
      <c r="AL689" s="173"/>
    </row>
    <row r="690" spans="1:39" ht="18.75" customHeight="1" x14ac:dyDescent="0.2">
      <c r="B690" s="177"/>
      <c r="C690" s="177">
        <v>42</v>
      </c>
      <c r="D690" s="177"/>
      <c r="E690" s="177"/>
      <c r="F690" s="176"/>
      <c r="G690" s="176"/>
      <c r="H690" s="16" t="s">
        <v>212</v>
      </c>
      <c r="I690" s="18"/>
      <c r="J690" s="18"/>
      <c r="K690" s="18"/>
      <c r="L690" s="18"/>
      <c r="M690" s="18"/>
      <c r="N690" s="18"/>
      <c r="O690" s="18"/>
      <c r="P690" s="26"/>
      <c r="Q690" s="18"/>
      <c r="R690" s="18"/>
      <c r="S690" s="18"/>
      <c r="T690" s="27"/>
      <c r="U690" s="18">
        <f t="shared" si="480"/>
        <v>243750</v>
      </c>
      <c r="V690" s="18">
        <f t="shared" si="480"/>
        <v>125000</v>
      </c>
      <c r="W690" s="18">
        <f t="shared" si="480"/>
        <v>0</v>
      </c>
      <c r="X690" s="18">
        <f t="shared" si="480"/>
        <v>0</v>
      </c>
      <c r="Y690" s="18">
        <f t="shared" si="480"/>
        <v>0</v>
      </c>
      <c r="Z690" s="18">
        <f t="shared" si="480"/>
        <v>0</v>
      </c>
      <c r="AA690" s="18">
        <f t="shared" si="480"/>
        <v>43000</v>
      </c>
      <c r="AB690" s="18">
        <f t="shared" si="480"/>
        <v>168000</v>
      </c>
      <c r="AC690" s="18">
        <f t="shared" si="480"/>
        <v>0</v>
      </c>
      <c r="AD690" s="18">
        <f t="shared" si="455"/>
        <v>0</v>
      </c>
      <c r="AE690" s="18">
        <f t="shared" si="464"/>
        <v>-77000</v>
      </c>
      <c r="AF690" s="18">
        <f t="shared" si="480"/>
        <v>91000</v>
      </c>
      <c r="AG690" s="18">
        <f t="shared" si="480"/>
        <v>56250</v>
      </c>
      <c r="AH690" s="18">
        <f t="shared" si="480"/>
        <v>0</v>
      </c>
      <c r="AI690" s="18">
        <f t="shared" si="480"/>
        <v>0</v>
      </c>
      <c r="AJ690" s="162" t="b">
        <f t="shared" si="451"/>
        <v>1</v>
      </c>
      <c r="AK690" s="162" t="str">
        <f t="shared" si="452"/>
        <v>PRAZNO</v>
      </c>
      <c r="AM690" s="164"/>
    </row>
    <row r="691" spans="1:39" ht="18" customHeight="1" x14ac:dyDescent="0.2">
      <c r="B691" s="177"/>
      <c r="C691" s="177"/>
      <c r="D691" s="177">
        <v>426</v>
      </c>
      <c r="E691" s="177"/>
      <c r="F691" s="176"/>
      <c r="G691" s="176"/>
      <c r="H691" s="16" t="s">
        <v>560</v>
      </c>
      <c r="I691" s="18"/>
      <c r="J691" s="18"/>
      <c r="K691" s="18"/>
      <c r="L691" s="18"/>
      <c r="M691" s="18"/>
      <c r="N691" s="18"/>
      <c r="O691" s="18"/>
      <c r="P691" s="26"/>
      <c r="Q691" s="18"/>
      <c r="R691" s="18"/>
      <c r="S691" s="18"/>
      <c r="T691" s="27"/>
      <c r="U691" s="18">
        <f t="shared" si="480"/>
        <v>243750</v>
      </c>
      <c r="V691" s="18">
        <f t="shared" si="480"/>
        <v>125000</v>
      </c>
      <c r="W691" s="18">
        <f t="shared" si="480"/>
        <v>0</v>
      </c>
      <c r="X691" s="18">
        <f t="shared" si="480"/>
        <v>0</v>
      </c>
      <c r="Y691" s="18">
        <f t="shared" si="480"/>
        <v>0</v>
      </c>
      <c r="Z691" s="18">
        <f t="shared" si="480"/>
        <v>0</v>
      </c>
      <c r="AA691" s="18">
        <f t="shared" si="480"/>
        <v>43000</v>
      </c>
      <c r="AB691" s="18">
        <f t="shared" si="480"/>
        <v>168000</v>
      </c>
      <c r="AC691" s="18">
        <f t="shared" si="480"/>
        <v>0</v>
      </c>
      <c r="AD691" s="18">
        <f t="shared" si="455"/>
        <v>0</v>
      </c>
      <c r="AE691" s="18">
        <f t="shared" si="464"/>
        <v>-77000</v>
      </c>
      <c r="AF691" s="18">
        <f t="shared" si="480"/>
        <v>91000</v>
      </c>
      <c r="AG691" s="18">
        <f t="shared" si="480"/>
        <v>56250</v>
      </c>
      <c r="AH691" s="18">
        <f t="shared" si="480"/>
        <v>0</v>
      </c>
      <c r="AI691" s="18">
        <f t="shared" si="480"/>
        <v>0</v>
      </c>
      <c r="AJ691" s="162" t="b">
        <f t="shared" si="451"/>
        <v>1</v>
      </c>
      <c r="AK691" s="162" t="str">
        <f t="shared" si="452"/>
        <v>PRAZNO</v>
      </c>
      <c r="AM691" s="164"/>
    </row>
    <row r="692" spans="1:39" ht="30" customHeight="1" x14ac:dyDescent="0.2">
      <c r="B692" s="177"/>
      <c r="C692" s="177"/>
      <c r="D692" s="177"/>
      <c r="E692" s="177">
        <v>4264</v>
      </c>
      <c r="F692" s="176">
        <v>53</v>
      </c>
      <c r="G692" s="176" t="s">
        <v>424</v>
      </c>
      <c r="H692" s="16" t="s">
        <v>951</v>
      </c>
      <c r="I692" s="18">
        <v>400000</v>
      </c>
      <c r="J692" s="18">
        <v>98400</v>
      </c>
      <c r="K692" s="18">
        <f t="shared" si="470"/>
        <v>24.6</v>
      </c>
      <c r="L692" s="18">
        <f t="shared" si="471"/>
        <v>-301600</v>
      </c>
      <c r="M692" s="18">
        <v>98400</v>
      </c>
      <c r="N692" s="18">
        <v>330000</v>
      </c>
      <c r="O692" s="18">
        <v>50000</v>
      </c>
      <c r="P692" s="26">
        <f t="shared" si="472"/>
        <v>0</v>
      </c>
      <c r="Q692" s="18">
        <v>330000</v>
      </c>
      <c r="R692" s="18">
        <v>50000</v>
      </c>
      <c r="S692" s="18">
        <v>0</v>
      </c>
      <c r="T692" s="27">
        <v>330000</v>
      </c>
      <c r="U692" s="27">
        <v>243750</v>
      </c>
      <c r="V692" s="18">
        <v>125000</v>
      </c>
      <c r="W692" s="18">
        <v>0</v>
      </c>
      <c r="X692" s="18">
        <v>0</v>
      </c>
      <c r="Y692" s="18">
        <v>0</v>
      </c>
      <c r="Z692" s="18">
        <f t="shared" si="456"/>
        <v>0</v>
      </c>
      <c r="AA692" s="18">
        <f t="shared" si="479"/>
        <v>43000</v>
      </c>
      <c r="AB692" s="18">
        <v>168000</v>
      </c>
      <c r="AC692" s="18">
        <v>0</v>
      </c>
      <c r="AD692" s="18">
        <f t="shared" si="455"/>
        <v>0</v>
      </c>
      <c r="AE692" s="18">
        <f t="shared" si="464"/>
        <v>-77000</v>
      </c>
      <c r="AF692" s="18">
        <v>91000</v>
      </c>
      <c r="AG692" s="18">
        <v>56250</v>
      </c>
      <c r="AH692" s="18"/>
      <c r="AI692" s="18"/>
      <c r="AJ692" s="162" t="b">
        <f t="shared" si="451"/>
        <v>0</v>
      </c>
      <c r="AK692" s="162" t="str">
        <f t="shared" si="452"/>
        <v>PUNO</v>
      </c>
      <c r="AM692" s="164"/>
    </row>
    <row r="693" spans="1:39" s="171" customFormat="1" ht="31.5" x14ac:dyDescent="0.2">
      <c r="A693" s="259"/>
      <c r="B693" s="168"/>
      <c r="C693" s="168"/>
      <c r="D693" s="168"/>
      <c r="E693" s="168"/>
      <c r="F693" s="168"/>
      <c r="G693" s="168"/>
      <c r="H693" s="12" t="s">
        <v>1007</v>
      </c>
      <c r="I693" s="169">
        <f>I695</f>
        <v>2000000</v>
      </c>
      <c r="J693" s="169">
        <f>J695</f>
        <v>186285.39</v>
      </c>
      <c r="K693" s="169">
        <f t="shared" si="470"/>
        <v>9.31</v>
      </c>
      <c r="L693" s="169">
        <f t="shared" si="471"/>
        <v>-700000</v>
      </c>
      <c r="M693" s="19">
        <f>M695</f>
        <v>1300000</v>
      </c>
      <c r="N693" s="19">
        <f>N695</f>
        <v>1100000</v>
      </c>
      <c r="O693" s="19">
        <f>O695</f>
        <v>279795.88</v>
      </c>
      <c r="P693" s="303">
        <f t="shared" si="472"/>
        <v>170000</v>
      </c>
      <c r="Q693" s="19">
        <f t="shared" ref="Q693:X693" si="481">Q695</f>
        <v>1100000</v>
      </c>
      <c r="R693" s="19">
        <f t="shared" si="481"/>
        <v>900000</v>
      </c>
      <c r="S693" s="19">
        <f t="shared" si="481"/>
        <v>1150000</v>
      </c>
      <c r="T693" s="53">
        <f t="shared" si="481"/>
        <v>1270000</v>
      </c>
      <c r="U693" s="53">
        <f>U695</f>
        <v>919422.87</v>
      </c>
      <c r="V693" s="19">
        <f t="shared" si="481"/>
        <v>2000000</v>
      </c>
      <c r="W693" s="19">
        <f t="shared" si="481"/>
        <v>3000000</v>
      </c>
      <c r="X693" s="19">
        <f t="shared" si="481"/>
        <v>3000000</v>
      </c>
      <c r="Y693" s="19">
        <f>Y695</f>
        <v>0</v>
      </c>
      <c r="Z693" s="19">
        <f t="shared" si="456"/>
        <v>0</v>
      </c>
      <c r="AA693" s="19">
        <f t="shared" si="479"/>
        <v>0</v>
      </c>
      <c r="AB693" s="19">
        <f>AB695</f>
        <v>2000000</v>
      </c>
      <c r="AC693" s="19">
        <f>AC695</f>
        <v>200043.11</v>
      </c>
      <c r="AD693" s="19">
        <f t="shared" si="455"/>
        <v>10.002155500000001</v>
      </c>
      <c r="AE693" s="19">
        <f t="shared" si="464"/>
        <v>-700000</v>
      </c>
      <c r="AF693" s="19">
        <f>AF695</f>
        <v>1300000</v>
      </c>
      <c r="AG693" s="19">
        <f>AG695</f>
        <v>2000000</v>
      </c>
      <c r="AH693" s="19">
        <f>AH695</f>
        <v>2000000</v>
      </c>
      <c r="AI693" s="19">
        <f>AI695</f>
        <v>2000000</v>
      </c>
      <c r="AJ693" s="162" t="b">
        <f t="shared" si="451"/>
        <v>1</v>
      </c>
      <c r="AK693" s="162" t="str">
        <f t="shared" si="452"/>
        <v>PRAZNO</v>
      </c>
      <c r="AL693" s="170"/>
      <c r="AM693" s="164"/>
    </row>
    <row r="694" spans="1:39" s="264" customFormat="1" ht="15.75" x14ac:dyDescent="0.2">
      <c r="A694" s="259"/>
      <c r="B694" s="260"/>
      <c r="C694" s="260"/>
      <c r="D694" s="260"/>
      <c r="E694" s="260"/>
      <c r="F694" s="260"/>
      <c r="G694" s="260"/>
      <c r="H694" s="441" t="s">
        <v>824</v>
      </c>
      <c r="I694" s="181"/>
      <c r="J694" s="181"/>
      <c r="K694" s="181"/>
      <c r="L694" s="181"/>
      <c r="M694" s="262"/>
      <c r="N694" s="262"/>
      <c r="O694" s="262"/>
      <c r="P694" s="445"/>
      <c r="Q694" s="262"/>
      <c r="R694" s="262"/>
      <c r="S694" s="262"/>
      <c r="T694" s="342"/>
      <c r="U694" s="342"/>
      <c r="V694" s="262">
        <f>V695</f>
        <v>2000000</v>
      </c>
      <c r="W694" s="262">
        <f>W695</f>
        <v>3000000</v>
      </c>
      <c r="X694" s="262">
        <f>X695</f>
        <v>3000000</v>
      </c>
      <c r="Y694" s="262">
        <f>Y695</f>
        <v>0</v>
      </c>
      <c r="Z694" s="262">
        <f t="shared" si="456"/>
        <v>0</v>
      </c>
      <c r="AA694" s="262">
        <f t="shared" si="479"/>
        <v>0</v>
      </c>
      <c r="AB694" s="262">
        <f>AB695</f>
        <v>2000000</v>
      </c>
      <c r="AC694" s="262">
        <f>AC695</f>
        <v>200043.11</v>
      </c>
      <c r="AD694" s="262">
        <f t="shared" si="455"/>
        <v>10.002155500000001</v>
      </c>
      <c r="AE694" s="262">
        <f t="shared" si="464"/>
        <v>-700000</v>
      </c>
      <c r="AF694" s="262">
        <f>AF695</f>
        <v>1300000</v>
      </c>
      <c r="AG694" s="262">
        <f>AG695</f>
        <v>2000000</v>
      </c>
      <c r="AH694" s="262">
        <f>AH695</f>
        <v>2000000</v>
      </c>
      <c r="AI694" s="262">
        <f>AI695</f>
        <v>2000000</v>
      </c>
      <c r="AJ694" s="162" t="b">
        <f t="shared" si="451"/>
        <v>1</v>
      </c>
      <c r="AK694" s="162" t="str">
        <f t="shared" si="452"/>
        <v>PRAZNO</v>
      </c>
      <c r="AL694" s="263"/>
    </row>
    <row r="695" spans="1:39" s="174" customFormat="1" ht="15.75" x14ac:dyDescent="0.2">
      <c r="A695" s="259"/>
      <c r="B695" s="172">
        <v>3</v>
      </c>
      <c r="C695" s="172"/>
      <c r="D695" s="172"/>
      <c r="E695" s="172"/>
      <c r="F695" s="172"/>
      <c r="G695" s="172"/>
      <c r="H695" s="14" t="s">
        <v>524</v>
      </c>
      <c r="I695" s="20">
        <f t="shared" ref="I695:AI696" si="482">I696</f>
        <v>2000000</v>
      </c>
      <c r="J695" s="20">
        <f t="shared" si="482"/>
        <v>186285.39</v>
      </c>
      <c r="K695" s="20">
        <f t="shared" si="470"/>
        <v>9.31</v>
      </c>
      <c r="L695" s="20">
        <f t="shared" si="471"/>
        <v>-700000</v>
      </c>
      <c r="M695" s="20">
        <f t="shared" si="482"/>
        <v>1300000</v>
      </c>
      <c r="N695" s="20">
        <f t="shared" si="482"/>
        <v>1100000</v>
      </c>
      <c r="O695" s="20">
        <f t="shared" si="482"/>
        <v>279795.88</v>
      </c>
      <c r="P695" s="55">
        <f t="shared" si="472"/>
        <v>170000</v>
      </c>
      <c r="Q695" s="20">
        <f t="shared" si="482"/>
        <v>1100000</v>
      </c>
      <c r="R695" s="20">
        <f t="shared" si="482"/>
        <v>900000</v>
      </c>
      <c r="S695" s="20">
        <f t="shared" si="482"/>
        <v>1150000</v>
      </c>
      <c r="T695" s="55">
        <f t="shared" si="482"/>
        <v>1270000</v>
      </c>
      <c r="U695" s="55">
        <f t="shared" si="482"/>
        <v>919422.87</v>
      </c>
      <c r="V695" s="20">
        <f t="shared" si="482"/>
        <v>2000000</v>
      </c>
      <c r="W695" s="20">
        <f t="shared" si="482"/>
        <v>3000000</v>
      </c>
      <c r="X695" s="20">
        <f t="shared" si="482"/>
        <v>3000000</v>
      </c>
      <c r="Y695" s="20">
        <f t="shared" si="482"/>
        <v>0</v>
      </c>
      <c r="Z695" s="20">
        <f t="shared" si="456"/>
        <v>0</v>
      </c>
      <c r="AA695" s="20">
        <f t="shared" si="479"/>
        <v>0</v>
      </c>
      <c r="AB695" s="20">
        <f t="shared" si="482"/>
        <v>2000000</v>
      </c>
      <c r="AC695" s="20">
        <f t="shared" si="482"/>
        <v>200043.11</v>
      </c>
      <c r="AD695" s="20">
        <f t="shared" si="455"/>
        <v>10.002155500000001</v>
      </c>
      <c r="AE695" s="20">
        <f t="shared" si="464"/>
        <v>-700000</v>
      </c>
      <c r="AF695" s="20">
        <f t="shared" si="482"/>
        <v>1300000</v>
      </c>
      <c r="AG695" s="20">
        <f t="shared" si="482"/>
        <v>2000000</v>
      </c>
      <c r="AH695" s="20">
        <f t="shared" si="482"/>
        <v>2000000</v>
      </c>
      <c r="AI695" s="20">
        <f t="shared" si="482"/>
        <v>2000000</v>
      </c>
      <c r="AJ695" s="162" t="b">
        <f t="shared" si="451"/>
        <v>1</v>
      </c>
      <c r="AK695" s="162" t="str">
        <f t="shared" si="452"/>
        <v>PRAZNO</v>
      </c>
      <c r="AL695" s="173"/>
      <c r="AM695" s="164"/>
    </row>
    <row r="696" spans="1:39" ht="19.5" customHeight="1" x14ac:dyDescent="0.2">
      <c r="B696" s="175"/>
      <c r="C696" s="175">
        <v>36</v>
      </c>
      <c r="D696" s="175"/>
      <c r="E696" s="175"/>
      <c r="F696" s="175"/>
      <c r="G696" s="175"/>
      <c r="H696" s="16" t="s">
        <v>751</v>
      </c>
      <c r="I696" s="22">
        <f t="shared" si="482"/>
        <v>2000000</v>
      </c>
      <c r="J696" s="22">
        <f t="shared" si="482"/>
        <v>186285.39</v>
      </c>
      <c r="K696" s="22">
        <f t="shared" si="470"/>
        <v>9.31</v>
      </c>
      <c r="L696" s="22">
        <f t="shared" si="471"/>
        <v>-700000</v>
      </c>
      <c r="M696" s="22">
        <f t="shared" si="482"/>
        <v>1300000</v>
      </c>
      <c r="N696" s="22">
        <f t="shared" si="482"/>
        <v>1100000</v>
      </c>
      <c r="O696" s="22">
        <f t="shared" si="482"/>
        <v>279795.88</v>
      </c>
      <c r="P696" s="26">
        <f t="shared" si="472"/>
        <v>170000</v>
      </c>
      <c r="Q696" s="22">
        <f t="shared" si="482"/>
        <v>1100000</v>
      </c>
      <c r="R696" s="22">
        <f t="shared" si="482"/>
        <v>900000</v>
      </c>
      <c r="S696" s="22">
        <f t="shared" si="482"/>
        <v>1150000</v>
      </c>
      <c r="T696" s="38">
        <f t="shared" si="482"/>
        <v>1270000</v>
      </c>
      <c r="U696" s="38">
        <f t="shared" si="482"/>
        <v>919422.87</v>
      </c>
      <c r="V696" s="22">
        <f t="shared" si="482"/>
        <v>2000000</v>
      </c>
      <c r="W696" s="22">
        <f t="shared" si="482"/>
        <v>3000000</v>
      </c>
      <c r="X696" s="22">
        <f t="shared" si="482"/>
        <v>3000000</v>
      </c>
      <c r="Y696" s="22">
        <f t="shared" si="482"/>
        <v>0</v>
      </c>
      <c r="Z696" s="22">
        <f t="shared" si="456"/>
        <v>0</v>
      </c>
      <c r="AA696" s="22">
        <f t="shared" si="479"/>
        <v>0</v>
      </c>
      <c r="AB696" s="22">
        <f t="shared" si="482"/>
        <v>2000000</v>
      </c>
      <c r="AC696" s="22">
        <f t="shared" si="482"/>
        <v>200043.11</v>
      </c>
      <c r="AD696" s="22">
        <f t="shared" si="455"/>
        <v>10.002155500000001</v>
      </c>
      <c r="AE696" s="22">
        <f t="shared" si="464"/>
        <v>-700000</v>
      </c>
      <c r="AF696" s="22">
        <f t="shared" si="482"/>
        <v>1300000</v>
      </c>
      <c r="AG696" s="22">
        <f t="shared" si="482"/>
        <v>2000000</v>
      </c>
      <c r="AH696" s="22">
        <f t="shared" si="482"/>
        <v>2000000</v>
      </c>
      <c r="AI696" s="22">
        <f t="shared" si="482"/>
        <v>2000000</v>
      </c>
      <c r="AJ696" s="162" t="b">
        <f t="shared" si="451"/>
        <v>1</v>
      </c>
      <c r="AK696" s="162" t="str">
        <f t="shared" si="452"/>
        <v>PRAZNO</v>
      </c>
      <c r="AM696" s="164"/>
    </row>
    <row r="697" spans="1:39" ht="15.75" x14ac:dyDescent="0.2">
      <c r="B697" s="177"/>
      <c r="C697" s="177"/>
      <c r="D697" s="177">
        <v>363</v>
      </c>
      <c r="E697" s="177"/>
      <c r="F697" s="177"/>
      <c r="G697" s="177"/>
      <c r="H697" s="16" t="s">
        <v>536</v>
      </c>
      <c r="I697" s="17">
        <f>SUM(I698:I698)</f>
        <v>2000000</v>
      </c>
      <c r="J697" s="17">
        <f>SUM(J698:J698)</f>
        <v>186285.39</v>
      </c>
      <c r="K697" s="17">
        <f t="shared" si="470"/>
        <v>9.31</v>
      </c>
      <c r="L697" s="17">
        <f t="shared" si="471"/>
        <v>-700000</v>
      </c>
      <c r="M697" s="17">
        <f>SUM(M698:M698)</f>
        <v>1300000</v>
      </c>
      <c r="N697" s="17">
        <f>SUM(N698:N698)</f>
        <v>1100000</v>
      </c>
      <c r="O697" s="17">
        <f>SUM(O698:O698)</f>
        <v>279795.88</v>
      </c>
      <c r="P697" s="26">
        <f t="shared" si="472"/>
        <v>170000</v>
      </c>
      <c r="Q697" s="17">
        <f t="shared" ref="Q697:Y697" si="483">SUM(Q698:Q698)</f>
        <v>1100000</v>
      </c>
      <c r="R697" s="17">
        <f t="shared" si="483"/>
        <v>900000</v>
      </c>
      <c r="S697" s="17">
        <f t="shared" si="483"/>
        <v>1150000</v>
      </c>
      <c r="T697" s="26">
        <f t="shared" si="483"/>
        <v>1270000</v>
      </c>
      <c r="U697" s="26">
        <f t="shared" si="483"/>
        <v>919422.87</v>
      </c>
      <c r="V697" s="17">
        <f t="shared" si="483"/>
        <v>2000000</v>
      </c>
      <c r="W697" s="17">
        <f t="shared" si="483"/>
        <v>3000000</v>
      </c>
      <c r="X697" s="17">
        <f t="shared" si="483"/>
        <v>3000000</v>
      </c>
      <c r="Y697" s="17">
        <f t="shared" si="483"/>
        <v>0</v>
      </c>
      <c r="Z697" s="17">
        <f t="shared" si="456"/>
        <v>0</v>
      </c>
      <c r="AA697" s="17">
        <f t="shared" si="479"/>
        <v>0</v>
      </c>
      <c r="AB697" s="17">
        <f>SUM(AB698:AB698)</f>
        <v>2000000</v>
      </c>
      <c r="AC697" s="17">
        <f>SUM(AC698:AC698)</f>
        <v>200043.11</v>
      </c>
      <c r="AD697" s="17">
        <f t="shared" si="455"/>
        <v>10.002155500000001</v>
      </c>
      <c r="AE697" s="17">
        <f t="shared" si="464"/>
        <v>-700000</v>
      </c>
      <c r="AF697" s="17">
        <f>SUM(AF698:AF698)</f>
        <v>1300000</v>
      </c>
      <c r="AG697" s="17">
        <f>SUM(AG698:AG698)</f>
        <v>2000000</v>
      </c>
      <c r="AH697" s="17">
        <f>SUM(AH698:AH698)</f>
        <v>2000000</v>
      </c>
      <c r="AI697" s="17">
        <f>SUM(AI698:AI698)</f>
        <v>2000000</v>
      </c>
      <c r="AJ697" s="162" t="b">
        <f t="shared" si="451"/>
        <v>1</v>
      </c>
      <c r="AK697" s="162" t="str">
        <f t="shared" si="452"/>
        <v>PRAZNO</v>
      </c>
      <c r="AM697" s="164"/>
    </row>
    <row r="698" spans="1:39" ht="30" x14ac:dyDescent="0.2">
      <c r="B698" s="177"/>
      <c r="C698" s="177"/>
      <c r="D698" s="177"/>
      <c r="E698" s="177">
        <v>3632</v>
      </c>
      <c r="F698" s="176">
        <v>14</v>
      </c>
      <c r="G698" s="176" t="s">
        <v>803</v>
      </c>
      <c r="H698" s="16" t="s">
        <v>366</v>
      </c>
      <c r="I698" s="18">
        <v>2000000</v>
      </c>
      <c r="J698" s="18">
        <v>186285.39</v>
      </c>
      <c r="K698" s="18">
        <f t="shared" si="470"/>
        <v>9.31</v>
      </c>
      <c r="L698" s="18">
        <f t="shared" si="471"/>
        <v>-700000</v>
      </c>
      <c r="M698" s="18">
        <v>1300000</v>
      </c>
      <c r="N698" s="18">
        <v>1100000</v>
      </c>
      <c r="O698" s="18">
        <v>279795.88</v>
      </c>
      <c r="P698" s="26">
        <f t="shared" si="472"/>
        <v>170000</v>
      </c>
      <c r="Q698" s="18">
        <v>1100000</v>
      </c>
      <c r="R698" s="18">
        <v>900000</v>
      </c>
      <c r="S698" s="18">
        <v>1150000</v>
      </c>
      <c r="T698" s="27">
        <f>1100000+170000</f>
        <v>1270000</v>
      </c>
      <c r="U698" s="27">
        <v>919422.87</v>
      </c>
      <c r="V698" s="18">
        <v>2000000</v>
      </c>
      <c r="W698" s="18">
        <v>3000000</v>
      </c>
      <c r="X698" s="18">
        <v>3000000</v>
      </c>
      <c r="Y698" s="18">
        <v>0</v>
      </c>
      <c r="Z698" s="18">
        <f t="shared" si="456"/>
        <v>0</v>
      </c>
      <c r="AA698" s="18">
        <f t="shared" si="479"/>
        <v>0</v>
      </c>
      <c r="AB698" s="18">
        <v>2000000</v>
      </c>
      <c r="AC698" s="18">
        <v>200043.11</v>
      </c>
      <c r="AD698" s="18">
        <f t="shared" si="455"/>
        <v>10.002155500000001</v>
      </c>
      <c r="AE698" s="18">
        <f t="shared" si="464"/>
        <v>-700000</v>
      </c>
      <c r="AF698" s="18">
        <v>1300000</v>
      </c>
      <c r="AG698" s="18">
        <v>2000000</v>
      </c>
      <c r="AH698" s="18">
        <v>2000000</v>
      </c>
      <c r="AI698" s="18">
        <v>2000000</v>
      </c>
      <c r="AJ698" s="162" t="b">
        <f t="shared" si="451"/>
        <v>0</v>
      </c>
      <c r="AK698" s="162" t="str">
        <f t="shared" si="452"/>
        <v>PUNO</v>
      </c>
      <c r="AM698" s="164"/>
    </row>
    <row r="699" spans="1:39" s="171" customFormat="1" ht="31.5" x14ac:dyDescent="0.2">
      <c r="A699" s="259"/>
      <c r="B699" s="270"/>
      <c r="C699" s="270"/>
      <c r="D699" s="270"/>
      <c r="E699" s="270"/>
      <c r="F699" s="270"/>
      <c r="G699" s="270"/>
      <c r="H699" s="274" t="s">
        <v>267</v>
      </c>
      <c r="I699" s="273"/>
      <c r="J699" s="273"/>
      <c r="K699" s="273"/>
      <c r="L699" s="273"/>
      <c r="M699" s="272" t="e">
        <f>M701+M707+M735</f>
        <v>#REF!</v>
      </c>
      <c r="N699" s="272">
        <f>N701+N707+N735</f>
        <v>350000</v>
      </c>
      <c r="O699" s="272">
        <f>O701+O707+O735</f>
        <v>0</v>
      </c>
      <c r="P699" s="336">
        <f t="shared" si="472"/>
        <v>0</v>
      </c>
      <c r="Q699" s="272">
        <f>Q701+Q707+Q735</f>
        <v>350000</v>
      </c>
      <c r="R699" s="272">
        <f>R701+R707+R735</f>
        <v>380000</v>
      </c>
      <c r="S699" s="272">
        <f>S701+S707+S735</f>
        <v>490000</v>
      </c>
      <c r="T699" s="275">
        <f>T701+T707+T735</f>
        <v>350000</v>
      </c>
      <c r="U699" s="275">
        <f>U701+U707+U735</f>
        <v>78250</v>
      </c>
      <c r="V699" s="272">
        <f>V701+V707+V735+V724+V718</f>
        <v>400000</v>
      </c>
      <c r="W699" s="272">
        <f>W701+W707+W735+W724</f>
        <v>300000</v>
      </c>
      <c r="X699" s="272">
        <f>X701+X707+X735+X724</f>
        <v>300000</v>
      </c>
      <c r="Y699" s="272">
        <f>Y701+Y707+Y735+Y724+Y718</f>
        <v>110</v>
      </c>
      <c r="Z699" s="272">
        <f t="shared" si="456"/>
        <v>0.03</v>
      </c>
      <c r="AA699" s="272">
        <f t="shared" si="479"/>
        <v>158000</v>
      </c>
      <c r="AB699" s="272">
        <f>AB701+AB707+AB735+AB724+AB718</f>
        <v>558000</v>
      </c>
      <c r="AC699" s="272">
        <f>AC701+AC707+AC735+AC724+AC718</f>
        <v>75360</v>
      </c>
      <c r="AD699" s="272">
        <f t="shared" si="455"/>
        <v>13.50537634408602</v>
      </c>
      <c r="AE699" s="272">
        <f t="shared" si="464"/>
        <v>0</v>
      </c>
      <c r="AF699" s="272">
        <f>AF701+AF707+AF735+AF724+AF718</f>
        <v>558000</v>
      </c>
      <c r="AG699" s="272">
        <f>AG701+AG707+AG735+AG724+AG718</f>
        <v>575000</v>
      </c>
      <c r="AH699" s="272">
        <f>AH701+AH707+AH735+AH724+AH718</f>
        <v>850000</v>
      </c>
      <c r="AI699" s="272">
        <f>AI701+AI707+AI735+AI724+AI718</f>
        <v>275000</v>
      </c>
      <c r="AJ699" s="162" t="b">
        <f t="shared" si="451"/>
        <v>1</v>
      </c>
      <c r="AK699" s="162" t="str">
        <f t="shared" si="452"/>
        <v>PRAZNO</v>
      </c>
      <c r="AL699" s="170"/>
      <c r="AM699" s="164"/>
    </row>
    <row r="700" spans="1:39" s="171" customFormat="1" ht="34.5" customHeight="1" x14ac:dyDescent="0.2">
      <c r="A700" s="259"/>
      <c r="B700" s="168"/>
      <c r="C700" s="168"/>
      <c r="D700" s="168"/>
      <c r="E700" s="168"/>
      <c r="F700" s="168"/>
      <c r="G700" s="168"/>
      <c r="H700" s="13" t="s">
        <v>43</v>
      </c>
      <c r="I700" s="169"/>
      <c r="J700" s="169"/>
      <c r="K700" s="169"/>
      <c r="L700" s="169"/>
      <c r="M700" s="19"/>
      <c r="N700" s="19"/>
      <c r="O700" s="19"/>
      <c r="P700" s="205"/>
      <c r="Q700" s="19"/>
      <c r="R700" s="19"/>
      <c r="S700" s="19"/>
      <c r="T700" s="53"/>
      <c r="U700" s="53"/>
      <c r="V700" s="19"/>
      <c r="W700" s="19"/>
      <c r="X700" s="19"/>
      <c r="Y700" s="19"/>
      <c r="Z700" s="19"/>
      <c r="AA700" s="19"/>
      <c r="AB700" s="19"/>
      <c r="AC700" s="19"/>
      <c r="AD700" s="19"/>
      <c r="AE700" s="19">
        <f t="shared" si="464"/>
        <v>0</v>
      </c>
      <c r="AF700" s="19"/>
      <c r="AG700" s="19"/>
      <c r="AH700" s="19"/>
      <c r="AI700" s="19"/>
      <c r="AJ700" s="162" t="b">
        <f t="shared" si="451"/>
        <v>1</v>
      </c>
      <c r="AK700" s="162" t="str">
        <f t="shared" si="452"/>
        <v>PRAZNO</v>
      </c>
      <c r="AL700" s="170"/>
      <c r="AM700" s="164"/>
    </row>
    <row r="701" spans="1:39" s="171" customFormat="1" ht="15.75" x14ac:dyDescent="0.2">
      <c r="A701" s="259"/>
      <c r="B701" s="168"/>
      <c r="C701" s="168"/>
      <c r="D701" s="168"/>
      <c r="E701" s="168"/>
      <c r="F701" s="168"/>
      <c r="G701" s="168"/>
      <c r="H701" s="13" t="s">
        <v>584</v>
      </c>
      <c r="I701" s="169">
        <f>I703</f>
        <v>0</v>
      </c>
      <c r="J701" s="169">
        <f>J703</f>
        <v>0</v>
      </c>
      <c r="K701" s="169" t="e">
        <f>ROUND(J701/I701*100,2)</f>
        <v>#DIV/0!</v>
      </c>
      <c r="L701" s="169" t="e">
        <f>M701-I701</f>
        <v>#REF!</v>
      </c>
      <c r="M701" s="19" t="e">
        <f>M703</f>
        <v>#REF!</v>
      </c>
      <c r="N701" s="19">
        <f>N703</f>
        <v>200000</v>
      </c>
      <c r="O701" s="19">
        <f>O703</f>
        <v>0</v>
      </c>
      <c r="P701" s="303">
        <f>T701-N701</f>
        <v>50000</v>
      </c>
      <c r="Q701" s="19">
        <f t="shared" ref="Q701:X701" si="484">Q703</f>
        <v>200000</v>
      </c>
      <c r="R701" s="19">
        <f t="shared" si="484"/>
        <v>200000</v>
      </c>
      <c r="S701" s="19">
        <f t="shared" si="484"/>
        <v>300000</v>
      </c>
      <c r="T701" s="53">
        <f t="shared" si="484"/>
        <v>250000</v>
      </c>
      <c r="U701" s="53">
        <f>U703</f>
        <v>0</v>
      </c>
      <c r="V701" s="19">
        <f t="shared" si="484"/>
        <v>200000</v>
      </c>
      <c r="W701" s="19">
        <f t="shared" si="484"/>
        <v>50000</v>
      </c>
      <c r="X701" s="19">
        <f t="shared" si="484"/>
        <v>50000</v>
      </c>
      <c r="Y701" s="19">
        <f>Y703</f>
        <v>0</v>
      </c>
      <c r="Z701" s="19">
        <f t="shared" si="456"/>
        <v>0</v>
      </c>
      <c r="AA701" s="19">
        <f t="shared" si="479"/>
        <v>-66000</v>
      </c>
      <c r="AB701" s="19">
        <f>AB703</f>
        <v>134000</v>
      </c>
      <c r="AC701" s="19">
        <f>AC703</f>
        <v>0</v>
      </c>
      <c r="AD701" s="19">
        <f t="shared" si="455"/>
        <v>0</v>
      </c>
      <c r="AE701" s="19">
        <f t="shared" si="464"/>
        <v>0</v>
      </c>
      <c r="AF701" s="19">
        <f>AF703</f>
        <v>134000</v>
      </c>
      <c r="AG701" s="19">
        <f>AG703</f>
        <v>35000</v>
      </c>
      <c r="AH701" s="19">
        <f>AH703</f>
        <v>150000</v>
      </c>
      <c r="AI701" s="19">
        <f>AI703</f>
        <v>35000</v>
      </c>
      <c r="AJ701" s="162" t="b">
        <f t="shared" si="451"/>
        <v>1</v>
      </c>
      <c r="AK701" s="162" t="str">
        <f t="shared" si="452"/>
        <v>PRAZNO</v>
      </c>
      <c r="AL701" s="170"/>
      <c r="AM701" s="164"/>
    </row>
    <row r="702" spans="1:39" s="264" customFormat="1" ht="15.75" x14ac:dyDescent="0.2">
      <c r="A702" s="259"/>
      <c r="B702" s="260"/>
      <c r="C702" s="260"/>
      <c r="D702" s="260"/>
      <c r="E702" s="260"/>
      <c r="F702" s="260"/>
      <c r="G702" s="260"/>
      <c r="H702" s="440" t="s">
        <v>824</v>
      </c>
      <c r="I702" s="181"/>
      <c r="J702" s="181"/>
      <c r="K702" s="181"/>
      <c r="L702" s="181"/>
      <c r="M702" s="262"/>
      <c r="N702" s="262"/>
      <c r="O702" s="262"/>
      <c r="P702" s="445"/>
      <c r="Q702" s="262"/>
      <c r="R702" s="262"/>
      <c r="S702" s="262"/>
      <c r="T702" s="342"/>
      <c r="U702" s="342"/>
      <c r="V702" s="262">
        <f>V703</f>
        <v>200000</v>
      </c>
      <c r="W702" s="262">
        <f>W703</f>
        <v>50000</v>
      </c>
      <c r="X702" s="262">
        <f>X703</f>
        <v>50000</v>
      </c>
      <c r="Y702" s="262">
        <f>Y703</f>
        <v>0</v>
      </c>
      <c r="Z702" s="262">
        <f t="shared" si="456"/>
        <v>0</v>
      </c>
      <c r="AA702" s="262">
        <f t="shared" si="479"/>
        <v>-66000</v>
      </c>
      <c r="AB702" s="262">
        <f>AB703</f>
        <v>134000</v>
      </c>
      <c r="AC702" s="262">
        <f>AC703</f>
        <v>0</v>
      </c>
      <c r="AD702" s="262">
        <f t="shared" si="455"/>
        <v>0</v>
      </c>
      <c r="AE702" s="262">
        <f t="shared" si="464"/>
        <v>0</v>
      </c>
      <c r="AF702" s="262">
        <f>AF703</f>
        <v>134000</v>
      </c>
      <c r="AG702" s="262">
        <f>AG703</f>
        <v>35000</v>
      </c>
      <c r="AH702" s="262">
        <f>AH703</f>
        <v>150000</v>
      </c>
      <c r="AI702" s="262">
        <f>AI703</f>
        <v>35000</v>
      </c>
      <c r="AJ702" s="162" t="b">
        <f t="shared" si="451"/>
        <v>1</v>
      </c>
      <c r="AK702" s="162" t="str">
        <f t="shared" si="452"/>
        <v>PRAZNO</v>
      </c>
      <c r="AL702" s="263"/>
    </row>
    <row r="703" spans="1:39" s="174" customFormat="1" ht="15.75" x14ac:dyDescent="0.2">
      <c r="A703" s="259"/>
      <c r="B703" s="172">
        <v>3</v>
      </c>
      <c r="C703" s="172"/>
      <c r="D703" s="172"/>
      <c r="E703" s="172"/>
      <c r="F703" s="172"/>
      <c r="G703" s="172"/>
      <c r="H703" s="14" t="s">
        <v>524</v>
      </c>
      <c r="I703" s="20">
        <f>I705</f>
        <v>0</v>
      </c>
      <c r="J703" s="20">
        <f>J705</f>
        <v>0</v>
      </c>
      <c r="K703" s="20" t="e">
        <f>ROUND(J703/I703*100,2)</f>
        <v>#DIV/0!</v>
      </c>
      <c r="L703" s="20" t="e">
        <f>M703-I703</f>
        <v>#REF!</v>
      </c>
      <c r="M703" s="20" t="e">
        <f>M705</f>
        <v>#REF!</v>
      </c>
      <c r="N703" s="20">
        <f>N705</f>
        <v>200000</v>
      </c>
      <c r="O703" s="20">
        <f>O705</f>
        <v>0</v>
      </c>
      <c r="P703" s="55">
        <f>T703-N703</f>
        <v>50000</v>
      </c>
      <c r="Q703" s="20">
        <f t="shared" ref="Q703:X703" si="485">Q705</f>
        <v>200000</v>
      </c>
      <c r="R703" s="20">
        <f t="shared" si="485"/>
        <v>200000</v>
      </c>
      <c r="S703" s="20">
        <f t="shared" si="485"/>
        <v>300000</v>
      </c>
      <c r="T703" s="55">
        <f t="shared" si="485"/>
        <v>250000</v>
      </c>
      <c r="U703" s="55">
        <f>U705</f>
        <v>0</v>
      </c>
      <c r="V703" s="20">
        <f t="shared" si="485"/>
        <v>200000</v>
      </c>
      <c r="W703" s="20">
        <f t="shared" si="485"/>
        <v>50000</v>
      </c>
      <c r="X703" s="20">
        <f t="shared" si="485"/>
        <v>50000</v>
      </c>
      <c r="Y703" s="20">
        <f>Y705</f>
        <v>0</v>
      </c>
      <c r="Z703" s="20">
        <f t="shared" si="456"/>
        <v>0</v>
      </c>
      <c r="AA703" s="20">
        <f t="shared" si="479"/>
        <v>-66000</v>
      </c>
      <c r="AB703" s="20">
        <f>AB705</f>
        <v>134000</v>
      </c>
      <c r="AC703" s="20">
        <f>AC705</f>
        <v>0</v>
      </c>
      <c r="AD703" s="20">
        <f t="shared" si="455"/>
        <v>0</v>
      </c>
      <c r="AE703" s="20">
        <f t="shared" si="464"/>
        <v>0</v>
      </c>
      <c r="AF703" s="20">
        <f>AF705</f>
        <v>134000</v>
      </c>
      <c r="AG703" s="20">
        <f>AG705</f>
        <v>35000</v>
      </c>
      <c r="AH703" s="20">
        <f>AH705</f>
        <v>150000</v>
      </c>
      <c r="AI703" s="20">
        <f>AI705</f>
        <v>35000</v>
      </c>
      <c r="AJ703" s="162" t="b">
        <f t="shared" si="451"/>
        <v>1</v>
      </c>
      <c r="AK703" s="162" t="str">
        <f t="shared" si="452"/>
        <v>PRAZNO</v>
      </c>
      <c r="AL703" s="173"/>
      <c r="AM703" s="164"/>
    </row>
    <row r="704" spans="1:39" ht="15.75" x14ac:dyDescent="0.2">
      <c r="B704" s="177"/>
      <c r="C704" s="177">
        <v>32</v>
      </c>
      <c r="D704" s="177"/>
      <c r="E704" s="177"/>
      <c r="F704" s="177"/>
      <c r="G704" s="177"/>
      <c r="H704" s="16" t="s">
        <v>525</v>
      </c>
      <c r="I704" s="17">
        <f>I705</f>
        <v>0</v>
      </c>
      <c r="J704" s="17">
        <f>J705</f>
        <v>0</v>
      </c>
      <c r="K704" s="17" t="e">
        <f>ROUND(J704/I704*100,2)</f>
        <v>#DIV/0!</v>
      </c>
      <c r="L704" s="17" t="e">
        <f>M704-I704</f>
        <v>#REF!</v>
      </c>
      <c r="M704" s="17" t="e">
        <f>M705</f>
        <v>#REF!</v>
      </c>
      <c r="N704" s="17">
        <f>N705</f>
        <v>200000</v>
      </c>
      <c r="O704" s="17">
        <f>O705</f>
        <v>0</v>
      </c>
      <c r="P704" s="26">
        <f>T704-N704</f>
        <v>50000</v>
      </c>
      <c r="Q704" s="17">
        <f t="shared" ref="Q704:AI704" si="486">Q705</f>
        <v>200000</v>
      </c>
      <c r="R704" s="17">
        <f t="shared" si="486"/>
        <v>200000</v>
      </c>
      <c r="S704" s="17">
        <f t="shared" si="486"/>
        <v>300000</v>
      </c>
      <c r="T704" s="26">
        <f t="shared" si="486"/>
        <v>250000</v>
      </c>
      <c r="U704" s="26">
        <f t="shared" si="486"/>
        <v>0</v>
      </c>
      <c r="V704" s="17">
        <f t="shared" si="486"/>
        <v>200000</v>
      </c>
      <c r="W704" s="17">
        <f t="shared" si="486"/>
        <v>50000</v>
      </c>
      <c r="X704" s="17">
        <f t="shared" si="486"/>
        <v>50000</v>
      </c>
      <c r="Y704" s="17">
        <f t="shared" si="486"/>
        <v>0</v>
      </c>
      <c r="Z704" s="17">
        <f t="shared" si="456"/>
        <v>0</v>
      </c>
      <c r="AA704" s="17">
        <f t="shared" si="479"/>
        <v>-66000</v>
      </c>
      <c r="AB704" s="17">
        <f t="shared" si="486"/>
        <v>134000</v>
      </c>
      <c r="AC704" s="17">
        <f t="shared" si="486"/>
        <v>0</v>
      </c>
      <c r="AD704" s="17">
        <f t="shared" si="455"/>
        <v>0</v>
      </c>
      <c r="AE704" s="17">
        <f t="shared" si="464"/>
        <v>0</v>
      </c>
      <c r="AF704" s="17">
        <f t="shared" si="486"/>
        <v>134000</v>
      </c>
      <c r="AG704" s="17">
        <f t="shared" si="486"/>
        <v>35000</v>
      </c>
      <c r="AH704" s="17">
        <f t="shared" si="486"/>
        <v>150000</v>
      </c>
      <c r="AI704" s="17">
        <f t="shared" si="486"/>
        <v>35000</v>
      </c>
      <c r="AJ704" s="162" t="b">
        <f t="shared" si="451"/>
        <v>1</v>
      </c>
      <c r="AK704" s="162" t="str">
        <f t="shared" si="452"/>
        <v>PRAZNO</v>
      </c>
      <c r="AM704" s="164"/>
    </row>
    <row r="705" spans="1:39" ht="18.75" customHeight="1" x14ac:dyDescent="0.2">
      <c r="B705" s="177"/>
      <c r="C705" s="177"/>
      <c r="D705" s="177">
        <v>323</v>
      </c>
      <c r="E705" s="177"/>
      <c r="F705" s="177"/>
      <c r="G705" s="177"/>
      <c r="H705" s="16" t="s">
        <v>526</v>
      </c>
      <c r="I705" s="17">
        <f>SUM(I706:I706)</f>
        <v>0</v>
      </c>
      <c r="J705" s="17">
        <f>SUM(J706:J706)</f>
        <v>0</v>
      </c>
      <c r="K705" s="17" t="e">
        <f>ROUND(J705/I705*100,2)</f>
        <v>#DIV/0!</v>
      </c>
      <c r="L705" s="17" t="e">
        <f>M705-I705</f>
        <v>#REF!</v>
      </c>
      <c r="M705" s="17" t="e">
        <f>#REF!+#REF!+M706+#REF!</f>
        <v>#REF!</v>
      </c>
      <c r="N705" s="17">
        <f>SUM(N706:N706)</f>
        <v>200000</v>
      </c>
      <c r="O705" s="17">
        <f>SUM(O706:O706)</f>
        <v>0</v>
      </c>
      <c r="P705" s="26">
        <f>T705-N705</f>
        <v>50000</v>
      </c>
      <c r="Q705" s="17">
        <f t="shared" ref="Q705:Y705" si="487">SUM(Q706:Q706)</f>
        <v>200000</v>
      </c>
      <c r="R705" s="17">
        <f t="shared" si="487"/>
        <v>200000</v>
      </c>
      <c r="S705" s="17">
        <f t="shared" si="487"/>
        <v>300000</v>
      </c>
      <c r="T705" s="26">
        <f t="shared" si="487"/>
        <v>250000</v>
      </c>
      <c r="U705" s="26">
        <f t="shared" si="487"/>
        <v>0</v>
      </c>
      <c r="V705" s="17">
        <f t="shared" si="487"/>
        <v>200000</v>
      </c>
      <c r="W705" s="17">
        <f t="shared" si="487"/>
        <v>50000</v>
      </c>
      <c r="X705" s="17">
        <f t="shared" si="487"/>
        <v>50000</v>
      </c>
      <c r="Y705" s="17">
        <f t="shared" si="487"/>
        <v>0</v>
      </c>
      <c r="Z705" s="17">
        <f t="shared" si="456"/>
        <v>0</v>
      </c>
      <c r="AA705" s="17">
        <f t="shared" si="479"/>
        <v>-66000</v>
      </c>
      <c r="AB705" s="17">
        <f>SUM(AB706:AB706)</f>
        <v>134000</v>
      </c>
      <c r="AC705" s="17">
        <f>SUM(AC706:AC706)</f>
        <v>0</v>
      </c>
      <c r="AD705" s="17">
        <f t="shared" si="455"/>
        <v>0</v>
      </c>
      <c r="AE705" s="17">
        <f t="shared" si="464"/>
        <v>0</v>
      </c>
      <c r="AF705" s="17">
        <f>SUM(AF706:AF706)</f>
        <v>134000</v>
      </c>
      <c r="AG705" s="17">
        <f>SUM(AG706:AG706)</f>
        <v>35000</v>
      </c>
      <c r="AH705" s="17">
        <f>SUM(AH706:AH706)</f>
        <v>150000</v>
      </c>
      <c r="AI705" s="17">
        <f>SUM(AI706:AI706)</f>
        <v>35000</v>
      </c>
      <c r="AJ705" s="162" t="b">
        <f t="shared" si="451"/>
        <v>1</v>
      </c>
      <c r="AK705" s="162" t="str">
        <f t="shared" si="452"/>
        <v>PRAZNO</v>
      </c>
      <c r="AM705" s="164"/>
    </row>
    <row r="706" spans="1:39" ht="30" x14ac:dyDescent="0.2">
      <c r="B706" s="177"/>
      <c r="C706" s="177"/>
      <c r="D706" s="177"/>
      <c r="E706" s="177">
        <v>3237</v>
      </c>
      <c r="F706" s="176">
        <v>14</v>
      </c>
      <c r="G706" s="176"/>
      <c r="H706" s="16" t="s">
        <v>33</v>
      </c>
      <c r="I706" s="18"/>
      <c r="J706" s="18"/>
      <c r="K706" s="18"/>
      <c r="L706" s="18"/>
      <c r="M706" s="18"/>
      <c r="N706" s="18">
        <v>200000</v>
      </c>
      <c r="O706" s="18">
        <v>0</v>
      </c>
      <c r="P706" s="26">
        <f>T706-N706</f>
        <v>50000</v>
      </c>
      <c r="Q706" s="18">
        <v>200000</v>
      </c>
      <c r="R706" s="18">
        <v>200000</v>
      </c>
      <c r="S706" s="18">
        <v>300000</v>
      </c>
      <c r="T706" s="27">
        <v>250000</v>
      </c>
      <c r="U706" s="27">
        <v>0</v>
      </c>
      <c r="V706" s="18">
        <v>200000</v>
      </c>
      <c r="W706" s="18">
        <v>50000</v>
      </c>
      <c r="X706" s="18">
        <v>50000</v>
      </c>
      <c r="Y706" s="18">
        <v>0</v>
      </c>
      <c r="Z706" s="18">
        <f t="shared" si="456"/>
        <v>0</v>
      </c>
      <c r="AA706" s="18">
        <f t="shared" si="479"/>
        <v>-66000</v>
      </c>
      <c r="AB706" s="18">
        <v>134000</v>
      </c>
      <c r="AC706" s="18">
        <v>0</v>
      </c>
      <c r="AD706" s="18">
        <f t="shared" si="455"/>
        <v>0</v>
      </c>
      <c r="AE706" s="18">
        <f t="shared" si="464"/>
        <v>0</v>
      </c>
      <c r="AF706" s="18">
        <v>134000</v>
      </c>
      <c r="AG706" s="18">
        <v>35000</v>
      </c>
      <c r="AH706" s="18">
        <v>150000</v>
      </c>
      <c r="AI706" s="18">
        <v>35000</v>
      </c>
      <c r="AJ706" s="162" t="b">
        <f t="shared" si="451"/>
        <v>0</v>
      </c>
      <c r="AK706" s="162" t="str">
        <f t="shared" si="452"/>
        <v>PUNO</v>
      </c>
      <c r="AM706" s="164"/>
    </row>
    <row r="707" spans="1:39" s="171" customFormat="1" ht="31.5" x14ac:dyDescent="0.2">
      <c r="A707" s="259"/>
      <c r="B707" s="168"/>
      <c r="C707" s="168"/>
      <c r="D707" s="168"/>
      <c r="E707" s="168"/>
      <c r="F707" s="168"/>
      <c r="G707" s="168"/>
      <c r="H707" s="25" t="s">
        <v>874</v>
      </c>
      <c r="I707" s="169">
        <f>I709</f>
        <v>30000</v>
      </c>
      <c r="J707" s="169">
        <f>J709</f>
        <v>0</v>
      </c>
      <c r="K707" s="169">
        <f>ROUND(J707/I707*100,2)</f>
        <v>0</v>
      </c>
      <c r="L707" s="169">
        <f>M707-I707</f>
        <v>-9877</v>
      </c>
      <c r="M707" s="19">
        <f>M709</f>
        <v>20123</v>
      </c>
      <c r="N707" s="19">
        <f>N709</f>
        <v>100000</v>
      </c>
      <c r="O707" s="19">
        <f>O709</f>
        <v>0</v>
      </c>
      <c r="P707" s="303">
        <f>T707-N707</f>
        <v>0</v>
      </c>
      <c r="Q707" s="19">
        <f t="shared" ref="Q707:X707" si="488">Q709</f>
        <v>100000</v>
      </c>
      <c r="R707" s="19">
        <f t="shared" si="488"/>
        <v>100000</v>
      </c>
      <c r="S707" s="19">
        <f t="shared" si="488"/>
        <v>100000</v>
      </c>
      <c r="T707" s="53">
        <f t="shared" si="488"/>
        <v>100000</v>
      </c>
      <c r="U707" s="53">
        <f>U709</f>
        <v>78250</v>
      </c>
      <c r="V707" s="19">
        <f t="shared" si="488"/>
        <v>100000</v>
      </c>
      <c r="W707" s="19">
        <f t="shared" si="488"/>
        <v>150000</v>
      </c>
      <c r="X707" s="19">
        <f t="shared" si="488"/>
        <v>150000</v>
      </c>
      <c r="Y707" s="19">
        <f>Y709</f>
        <v>110</v>
      </c>
      <c r="Z707" s="19">
        <f t="shared" si="456"/>
        <v>0.11</v>
      </c>
      <c r="AA707" s="19">
        <f t="shared" si="479"/>
        <v>0</v>
      </c>
      <c r="AB707" s="19">
        <f>AB708+AB713</f>
        <v>100000</v>
      </c>
      <c r="AC707" s="19">
        <f>AC708+AC713</f>
        <v>75360</v>
      </c>
      <c r="AD707" s="19">
        <f t="shared" si="455"/>
        <v>75.36</v>
      </c>
      <c r="AE707" s="19">
        <f t="shared" si="464"/>
        <v>0</v>
      </c>
      <c r="AF707" s="19">
        <f>AF708+AF713</f>
        <v>100000</v>
      </c>
      <c r="AG707" s="19">
        <f>AG708+AG713</f>
        <v>100000</v>
      </c>
      <c r="AH707" s="19">
        <f>AH708+AH713</f>
        <v>500000</v>
      </c>
      <c r="AI707" s="19">
        <f>AI708+AI713</f>
        <v>0</v>
      </c>
      <c r="AJ707" s="162" t="b">
        <f t="shared" si="451"/>
        <v>1</v>
      </c>
      <c r="AK707" s="162" t="str">
        <f t="shared" si="452"/>
        <v>PRAZNO</v>
      </c>
      <c r="AL707" s="170"/>
      <c r="AM707" s="164"/>
    </row>
    <row r="708" spans="1:39" s="264" customFormat="1" ht="15.75" x14ac:dyDescent="0.2">
      <c r="A708" s="259"/>
      <c r="B708" s="260"/>
      <c r="C708" s="260"/>
      <c r="D708" s="260"/>
      <c r="E708" s="260"/>
      <c r="F708" s="260"/>
      <c r="G708" s="260"/>
      <c r="H708" s="261" t="s">
        <v>824</v>
      </c>
      <c r="I708" s="181"/>
      <c r="J708" s="181"/>
      <c r="K708" s="181"/>
      <c r="L708" s="181"/>
      <c r="M708" s="262"/>
      <c r="N708" s="262"/>
      <c r="O708" s="262"/>
      <c r="P708" s="445"/>
      <c r="Q708" s="262"/>
      <c r="R708" s="262"/>
      <c r="S708" s="262"/>
      <c r="T708" s="342"/>
      <c r="U708" s="342"/>
      <c r="V708" s="262">
        <f>V709</f>
        <v>100000</v>
      </c>
      <c r="W708" s="262">
        <f>W709</f>
        <v>150000</v>
      </c>
      <c r="X708" s="262">
        <f>X709</f>
        <v>150000</v>
      </c>
      <c r="Y708" s="262">
        <f>Y709</f>
        <v>110</v>
      </c>
      <c r="Z708" s="262">
        <f t="shared" si="456"/>
        <v>0.11</v>
      </c>
      <c r="AA708" s="262">
        <f t="shared" si="479"/>
        <v>0</v>
      </c>
      <c r="AB708" s="262">
        <f>AB709</f>
        <v>100000</v>
      </c>
      <c r="AC708" s="262">
        <f>AC709</f>
        <v>75360</v>
      </c>
      <c r="AD708" s="262">
        <f t="shared" si="455"/>
        <v>75.36</v>
      </c>
      <c r="AE708" s="262">
        <f t="shared" si="464"/>
        <v>0</v>
      </c>
      <c r="AF708" s="262">
        <f>AF709</f>
        <v>100000</v>
      </c>
      <c r="AG708" s="262">
        <f>AG709</f>
        <v>60000</v>
      </c>
      <c r="AH708" s="262">
        <f>AH709</f>
        <v>300000</v>
      </c>
      <c r="AI708" s="262">
        <f>AI709</f>
        <v>0</v>
      </c>
      <c r="AJ708" s="162" t="b">
        <f t="shared" si="451"/>
        <v>1</v>
      </c>
      <c r="AK708" s="162" t="str">
        <f t="shared" si="452"/>
        <v>PRAZNO</v>
      </c>
      <c r="AL708" s="263"/>
    </row>
    <row r="709" spans="1:39" s="174" customFormat="1" ht="15.75" x14ac:dyDescent="0.2">
      <c r="A709" s="259"/>
      <c r="B709" s="172">
        <v>3</v>
      </c>
      <c r="C709" s="172"/>
      <c r="D709" s="172"/>
      <c r="E709" s="172"/>
      <c r="F709" s="172"/>
      <c r="G709" s="172"/>
      <c r="H709" s="14" t="s">
        <v>524</v>
      </c>
      <c r="I709" s="20">
        <f t="shared" ref="I709:AI710" si="489">I710</f>
        <v>30000</v>
      </c>
      <c r="J709" s="20">
        <f t="shared" si="489"/>
        <v>0</v>
      </c>
      <c r="K709" s="20">
        <f>ROUND(J709/I709*100,2)</f>
        <v>0</v>
      </c>
      <c r="L709" s="20">
        <f>M709-I709</f>
        <v>-9877</v>
      </c>
      <c r="M709" s="20">
        <f t="shared" si="489"/>
        <v>20123</v>
      </c>
      <c r="N709" s="20">
        <f t="shared" si="489"/>
        <v>100000</v>
      </c>
      <c r="O709" s="20">
        <f t="shared" si="489"/>
        <v>0</v>
      </c>
      <c r="P709" s="55">
        <f>T709-N709</f>
        <v>0</v>
      </c>
      <c r="Q709" s="20">
        <f t="shared" si="489"/>
        <v>100000</v>
      </c>
      <c r="R709" s="20">
        <f t="shared" si="489"/>
        <v>100000</v>
      </c>
      <c r="S709" s="20">
        <f t="shared" si="489"/>
        <v>100000</v>
      </c>
      <c r="T709" s="55">
        <f t="shared" si="489"/>
        <v>100000</v>
      </c>
      <c r="U709" s="55">
        <f t="shared" si="489"/>
        <v>78250</v>
      </c>
      <c r="V709" s="20">
        <f t="shared" si="489"/>
        <v>100000</v>
      </c>
      <c r="W709" s="20">
        <f t="shared" si="489"/>
        <v>150000</v>
      </c>
      <c r="X709" s="20">
        <f t="shared" si="489"/>
        <v>150000</v>
      </c>
      <c r="Y709" s="20">
        <f t="shared" si="489"/>
        <v>110</v>
      </c>
      <c r="Z709" s="20">
        <f t="shared" si="456"/>
        <v>0.11</v>
      </c>
      <c r="AA709" s="20">
        <f t="shared" si="479"/>
        <v>0</v>
      </c>
      <c r="AB709" s="20">
        <f t="shared" si="489"/>
        <v>100000</v>
      </c>
      <c r="AC709" s="20">
        <f t="shared" si="489"/>
        <v>75360</v>
      </c>
      <c r="AD709" s="20">
        <f t="shared" si="455"/>
        <v>75.36</v>
      </c>
      <c r="AE709" s="20">
        <f t="shared" si="464"/>
        <v>0</v>
      </c>
      <c r="AF709" s="20">
        <f t="shared" si="489"/>
        <v>100000</v>
      </c>
      <c r="AG709" s="20">
        <f t="shared" si="489"/>
        <v>60000</v>
      </c>
      <c r="AH709" s="20">
        <f t="shared" si="489"/>
        <v>300000</v>
      </c>
      <c r="AI709" s="20">
        <f t="shared" si="489"/>
        <v>0</v>
      </c>
      <c r="AJ709" s="162" t="b">
        <f t="shared" si="451"/>
        <v>1</v>
      </c>
      <c r="AK709" s="162" t="str">
        <f t="shared" si="452"/>
        <v>PRAZNO</v>
      </c>
      <c r="AL709" s="173"/>
      <c r="AM709" s="164"/>
    </row>
    <row r="710" spans="1:39" ht="15.75" x14ac:dyDescent="0.2">
      <c r="B710" s="177"/>
      <c r="C710" s="177">
        <v>32</v>
      </c>
      <c r="D710" s="177"/>
      <c r="E710" s="177"/>
      <c r="F710" s="177"/>
      <c r="G710" s="177"/>
      <c r="H710" s="16" t="s">
        <v>525</v>
      </c>
      <c r="I710" s="17">
        <f t="shared" si="489"/>
        <v>30000</v>
      </c>
      <c r="J710" s="17">
        <f t="shared" si="489"/>
        <v>0</v>
      </c>
      <c r="K710" s="17">
        <f>ROUND(J710/I710*100,2)</f>
        <v>0</v>
      </c>
      <c r="L710" s="17">
        <f>M710-I710</f>
        <v>-9877</v>
      </c>
      <c r="M710" s="17">
        <f t="shared" si="489"/>
        <v>20123</v>
      </c>
      <c r="N710" s="17">
        <f t="shared" si="489"/>
        <v>100000</v>
      </c>
      <c r="O710" s="17">
        <f t="shared" si="489"/>
        <v>0</v>
      </c>
      <c r="P710" s="26">
        <f>T710-N710</f>
        <v>0</v>
      </c>
      <c r="Q710" s="17">
        <f t="shared" si="489"/>
        <v>100000</v>
      </c>
      <c r="R710" s="17">
        <f t="shared" si="489"/>
        <v>100000</v>
      </c>
      <c r="S710" s="17">
        <f t="shared" si="489"/>
        <v>100000</v>
      </c>
      <c r="T710" s="26">
        <f t="shared" si="489"/>
        <v>100000</v>
      </c>
      <c r="U710" s="26">
        <f t="shared" si="489"/>
        <v>78250</v>
      </c>
      <c r="V710" s="17">
        <f t="shared" si="489"/>
        <v>100000</v>
      </c>
      <c r="W710" s="17">
        <f t="shared" si="489"/>
        <v>150000</v>
      </c>
      <c r="X710" s="17">
        <f t="shared" si="489"/>
        <v>150000</v>
      </c>
      <c r="Y710" s="17">
        <f t="shared" si="489"/>
        <v>110</v>
      </c>
      <c r="Z710" s="17">
        <f t="shared" si="456"/>
        <v>0.11</v>
      </c>
      <c r="AA710" s="17">
        <f t="shared" si="479"/>
        <v>0</v>
      </c>
      <c r="AB710" s="17">
        <f t="shared" si="489"/>
        <v>100000</v>
      </c>
      <c r="AC710" s="17">
        <f t="shared" si="489"/>
        <v>75360</v>
      </c>
      <c r="AD710" s="17">
        <f t="shared" si="455"/>
        <v>75.36</v>
      </c>
      <c r="AE710" s="17">
        <f t="shared" si="464"/>
        <v>0</v>
      </c>
      <c r="AF710" s="17">
        <f t="shared" si="489"/>
        <v>100000</v>
      </c>
      <c r="AG710" s="17">
        <f t="shared" si="489"/>
        <v>60000</v>
      </c>
      <c r="AH710" s="17">
        <f t="shared" si="489"/>
        <v>300000</v>
      </c>
      <c r="AI710" s="17">
        <f t="shared" si="489"/>
        <v>0</v>
      </c>
      <c r="AJ710" s="162" t="b">
        <f t="shared" si="451"/>
        <v>1</v>
      </c>
      <c r="AK710" s="162" t="str">
        <f t="shared" si="452"/>
        <v>PRAZNO</v>
      </c>
      <c r="AM710" s="164"/>
    </row>
    <row r="711" spans="1:39" ht="15.75" x14ac:dyDescent="0.2">
      <c r="B711" s="177"/>
      <c r="C711" s="177"/>
      <c r="D711" s="177">
        <v>323</v>
      </c>
      <c r="E711" s="177"/>
      <c r="F711" s="177"/>
      <c r="G711" s="177"/>
      <c r="H711" s="16" t="s">
        <v>526</v>
      </c>
      <c r="I711" s="17">
        <f>SUM(I712:I712)</f>
        <v>30000</v>
      </c>
      <c r="J711" s="17">
        <f>SUM(J712:J712)</f>
        <v>0</v>
      </c>
      <c r="K711" s="17">
        <f>ROUND(J711/I711*100,2)</f>
        <v>0</v>
      </c>
      <c r="L711" s="17">
        <f>M711-I711</f>
        <v>-9877</v>
      </c>
      <c r="M711" s="17">
        <f>SUM(M712:M717)</f>
        <v>20123</v>
      </c>
      <c r="N711" s="17">
        <f>SUM(N712:N717)</f>
        <v>100000</v>
      </c>
      <c r="O711" s="17">
        <f>SUM(O712:O717)</f>
        <v>0</v>
      </c>
      <c r="P711" s="26">
        <f>T711-N711</f>
        <v>0</v>
      </c>
      <c r="Q711" s="17">
        <f>SUM(Q712:Q717)</f>
        <v>100000</v>
      </c>
      <c r="R711" s="17">
        <f>SUM(R712:R712)</f>
        <v>100000</v>
      </c>
      <c r="S711" s="17">
        <f>SUM(S712:S712)</f>
        <v>100000</v>
      </c>
      <c r="T711" s="26">
        <f t="shared" ref="T711:Y711" si="490">SUM(T712:T717)</f>
        <v>100000</v>
      </c>
      <c r="U711" s="26">
        <f t="shared" si="490"/>
        <v>78250</v>
      </c>
      <c r="V711" s="17">
        <f t="shared" si="490"/>
        <v>100000</v>
      </c>
      <c r="W711" s="17">
        <f t="shared" si="490"/>
        <v>150000</v>
      </c>
      <c r="X711" s="17">
        <f t="shared" si="490"/>
        <v>150000</v>
      </c>
      <c r="Y711" s="17">
        <f t="shared" si="490"/>
        <v>110</v>
      </c>
      <c r="Z711" s="17">
        <f t="shared" si="456"/>
        <v>0.11</v>
      </c>
      <c r="AA711" s="17">
        <f t="shared" si="479"/>
        <v>0</v>
      </c>
      <c r="AB711" s="17">
        <f>AB712</f>
        <v>100000</v>
      </c>
      <c r="AC711" s="17">
        <f>AC712</f>
        <v>75360</v>
      </c>
      <c r="AD711" s="17">
        <f t="shared" si="455"/>
        <v>75.36</v>
      </c>
      <c r="AE711" s="17">
        <f t="shared" si="464"/>
        <v>0</v>
      </c>
      <c r="AF711" s="17">
        <f>AF712</f>
        <v>100000</v>
      </c>
      <c r="AG711" s="17">
        <f>AG712</f>
        <v>60000</v>
      </c>
      <c r="AH711" s="17">
        <f>AH712</f>
        <v>300000</v>
      </c>
      <c r="AI711" s="17">
        <f>AI712</f>
        <v>0</v>
      </c>
      <c r="AJ711" s="162" t="b">
        <f t="shared" si="451"/>
        <v>1</v>
      </c>
      <c r="AK711" s="162" t="str">
        <f t="shared" si="452"/>
        <v>PRAZNO</v>
      </c>
      <c r="AM711" s="164"/>
    </row>
    <row r="712" spans="1:39" ht="33.75" customHeight="1" x14ac:dyDescent="0.2">
      <c r="B712" s="177"/>
      <c r="C712" s="177"/>
      <c r="D712" s="177"/>
      <c r="E712" s="177">
        <v>3237</v>
      </c>
      <c r="F712" s="176">
        <v>14</v>
      </c>
      <c r="G712" s="177"/>
      <c r="H712" s="705" t="s">
        <v>491</v>
      </c>
      <c r="I712" s="17">
        <v>30000</v>
      </c>
      <c r="J712" s="17">
        <v>0</v>
      </c>
      <c r="K712" s="17">
        <f>ROUND(J712/I712*100,2)</f>
        <v>0</v>
      </c>
      <c r="L712" s="17">
        <f>M712-I712</f>
        <v>-9877</v>
      </c>
      <c r="M712" s="18">
        <v>20123</v>
      </c>
      <c r="N712" s="18">
        <v>100000</v>
      </c>
      <c r="O712" s="18">
        <v>0</v>
      </c>
      <c r="P712" s="26">
        <f>T712-N712</f>
        <v>0</v>
      </c>
      <c r="Q712" s="18">
        <v>100000</v>
      </c>
      <c r="R712" s="18">
        <v>100000</v>
      </c>
      <c r="S712" s="18">
        <v>100000</v>
      </c>
      <c r="T712" s="27">
        <v>100000</v>
      </c>
      <c r="U712" s="27">
        <v>78250</v>
      </c>
      <c r="V712" s="18">
        <v>100000</v>
      </c>
      <c r="W712" s="18">
        <v>150000</v>
      </c>
      <c r="X712" s="18">
        <v>150000</v>
      </c>
      <c r="Y712" s="18">
        <v>110</v>
      </c>
      <c r="Z712" s="18">
        <f t="shared" si="456"/>
        <v>0.11</v>
      </c>
      <c r="AA712" s="18">
        <f t="shared" si="479"/>
        <v>0</v>
      </c>
      <c r="AB712" s="18">
        <v>100000</v>
      </c>
      <c r="AC712" s="18">
        <v>75360</v>
      </c>
      <c r="AD712" s="18">
        <f t="shared" si="455"/>
        <v>75.36</v>
      </c>
      <c r="AE712" s="18">
        <f t="shared" si="464"/>
        <v>0</v>
      </c>
      <c r="AF712" s="18">
        <v>100000</v>
      </c>
      <c r="AG712" s="18">
        <v>60000</v>
      </c>
      <c r="AH712" s="18">
        <v>300000</v>
      </c>
      <c r="AI712" s="18">
        <v>0</v>
      </c>
      <c r="AJ712" s="162" t="b">
        <f t="shared" si="451"/>
        <v>0</v>
      </c>
      <c r="AK712" s="162" t="str">
        <f t="shared" si="452"/>
        <v>PUNO</v>
      </c>
      <c r="AM712" s="164"/>
    </row>
    <row r="713" spans="1:39" s="264" customFormat="1" ht="15.75" x14ac:dyDescent="0.2">
      <c r="A713" s="259"/>
      <c r="B713" s="260"/>
      <c r="C713" s="260"/>
      <c r="D713" s="260"/>
      <c r="E713" s="260"/>
      <c r="F713" s="260"/>
      <c r="G713" s="260"/>
      <c r="H713" s="261" t="s">
        <v>825</v>
      </c>
      <c r="I713" s="181"/>
      <c r="J713" s="181"/>
      <c r="K713" s="181"/>
      <c r="L713" s="181"/>
      <c r="M713" s="262"/>
      <c r="N713" s="262"/>
      <c r="O713" s="262"/>
      <c r="P713" s="445"/>
      <c r="Q713" s="262"/>
      <c r="R713" s="262"/>
      <c r="S713" s="262"/>
      <c r="T713" s="342"/>
      <c r="U713" s="342">
        <f t="shared" ref="U713:AC716" si="491">U714</f>
        <v>0</v>
      </c>
      <c r="V713" s="262">
        <f t="shared" si="491"/>
        <v>0</v>
      </c>
      <c r="W713" s="262">
        <f t="shared" si="491"/>
        <v>0</v>
      </c>
      <c r="X713" s="262">
        <f t="shared" si="491"/>
        <v>0</v>
      </c>
      <c r="Y713" s="262">
        <f t="shared" si="491"/>
        <v>0</v>
      </c>
      <c r="Z713" s="262">
        <f t="shared" si="491"/>
        <v>0</v>
      </c>
      <c r="AA713" s="262">
        <f t="shared" si="491"/>
        <v>0</v>
      </c>
      <c r="AB713" s="262">
        <f t="shared" si="491"/>
        <v>0</v>
      </c>
      <c r="AC713" s="262">
        <f t="shared" si="491"/>
        <v>0</v>
      </c>
      <c r="AD713" s="262"/>
      <c r="AE713" s="262">
        <f t="shared" ref="AE713:AI716" si="492">AE714</f>
        <v>0</v>
      </c>
      <c r="AF713" s="262">
        <f t="shared" si="492"/>
        <v>0</v>
      </c>
      <c r="AG713" s="262">
        <f t="shared" si="492"/>
        <v>40000</v>
      </c>
      <c r="AH713" s="262">
        <f t="shared" si="492"/>
        <v>200000</v>
      </c>
      <c r="AI713" s="262">
        <f t="shared" si="492"/>
        <v>0</v>
      </c>
      <c r="AJ713" s="162" t="b">
        <f t="shared" ref="AJ713:AJ776" si="493">ISBLANK(E713)</f>
        <v>1</v>
      </c>
      <c r="AK713" s="162" t="str">
        <f t="shared" ref="AK713:AK776" si="494">IF(AJ713,"PRAZNO","PUNO")</f>
        <v>PRAZNO</v>
      </c>
      <c r="AL713" s="263"/>
    </row>
    <row r="714" spans="1:39" ht="15.75" x14ac:dyDescent="0.2">
      <c r="B714" s="172">
        <v>3</v>
      </c>
      <c r="C714" s="172"/>
      <c r="D714" s="172"/>
      <c r="E714" s="172"/>
      <c r="F714" s="220"/>
      <c r="G714" s="220"/>
      <c r="H714" s="609" t="s">
        <v>524</v>
      </c>
      <c r="I714" s="603"/>
      <c r="J714" s="603"/>
      <c r="K714" s="603"/>
      <c r="L714" s="603"/>
      <c r="M714" s="603"/>
      <c r="N714" s="603"/>
      <c r="O714" s="603"/>
      <c r="P714" s="608"/>
      <c r="Q714" s="603"/>
      <c r="R714" s="603"/>
      <c r="S714" s="603"/>
      <c r="T714" s="604"/>
      <c r="U714" s="604">
        <f t="shared" si="491"/>
        <v>0</v>
      </c>
      <c r="V714" s="603">
        <f t="shared" si="491"/>
        <v>0</v>
      </c>
      <c r="W714" s="603">
        <f t="shared" si="491"/>
        <v>0</v>
      </c>
      <c r="X714" s="603">
        <f t="shared" si="491"/>
        <v>0</v>
      </c>
      <c r="Y714" s="603">
        <f t="shared" si="491"/>
        <v>0</v>
      </c>
      <c r="Z714" s="603">
        <f t="shared" si="491"/>
        <v>0</v>
      </c>
      <c r="AA714" s="603">
        <f t="shared" si="491"/>
        <v>0</v>
      </c>
      <c r="AB714" s="603">
        <f t="shared" si="491"/>
        <v>0</v>
      </c>
      <c r="AC714" s="603">
        <f t="shared" si="491"/>
        <v>0</v>
      </c>
      <c r="AD714" s="603"/>
      <c r="AE714" s="603">
        <f t="shared" si="492"/>
        <v>0</v>
      </c>
      <c r="AF714" s="603">
        <f t="shared" si="492"/>
        <v>0</v>
      </c>
      <c r="AG714" s="603">
        <f t="shared" si="492"/>
        <v>40000</v>
      </c>
      <c r="AH714" s="603">
        <f t="shared" si="492"/>
        <v>200000</v>
      </c>
      <c r="AI714" s="603">
        <f t="shared" si="492"/>
        <v>0</v>
      </c>
      <c r="AJ714" s="162" t="b">
        <f t="shared" si="493"/>
        <v>1</v>
      </c>
      <c r="AK714" s="162" t="str">
        <f t="shared" si="494"/>
        <v>PRAZNO</v>
      </c>
      <c r="AM714" s="164"/>
    </row>
    <row r="715" spans="1:39" ht="24" customHeight="1" x14ac:dyDescent="0.2">
      <c r="B715" s="177"/>
      <c r="C715" s="177">
        <v>32</v>
      </c>
      <c r="D715" s="177"/>
      <c r="E715" s="177"/>
      <c r="F715" s="177"/>
      <c r="G715" s="177"/>
      <c r="H715" s="16" t="s">
        <v>525</v>
      </c>
      <c r="I715" s="17"/>
      <c r="J715" s="17"/>
      <c r="K715" s="17"/>
      <c r="L715" s="17"/>
      <c r="M715" s="18"/>
      <c r="N715" s="18"/>
      <c r="O715" s="18"/>
      <c r="P715" s="26"/>
      <c r="Q715" s="18"/>
      <c r="R715" s="18"/>
      <c r="S715" s="18"/>
      <c r="T715" s="27"/>
      <c r="U715" s="18">
        <f t="shared" si="491"/>
        <v>0</v>
      </c>
      <c r="V715" s="18">
        <f t="shared" si="491"/>
        <v>0</v>
      </c>
      <c r="W715" s="18">
        <f t="shared" si="491"/>
        <v>0</v>
      </c>
      <c r="X715" s="18">
        <f t="shared" si="491"/>
        <v>0</v>
      </c>
      <c r="Y715" s="18">
        <f t="shared" si="491"/>
        <v>0</v>
      </c>
      <c r="Z715" s="18">
        <f t="shared" si="491"/>
        <v>0</v>
      </c>
      <c r="AA715" s="18">
        <f t="shared" si="491"/>
        <v>0</v>
      </c>
      <c r="AB715" s="18">
        <f t="shared" si="491"/>
        <v>0</v>
      </c>
      <c r="AC715" s="18">
        <f t="shared" si="491"/>
        <v>0</v>
      </c>
      <c r="AD715" s="18"/>
      <c r="AE715" s="18">
        <f t="shared" si="492"/>
        <v>0</v>
      </c>
      <c r="AF715" s="18">
        <f t="shared" si="492"/>
        <v>0</v>
      </c>
      <c r="AG715" s="18">
        <f t="shared" si="492"/>
        <v>40000</v>
      </c>
      <c r="AH715" s="18">
        <f t="shared" si="492"/>
        <v>200000</v>
      </c>
      <c r="AI715" s="18">
        <f t="shared" si="492"/>
        <v>0</v>
      </c>
      <c r="AJ715" s="162" t="b">
        <f t="shared" si="493"/>
        <v>1</v>
      </c>
      <c r="AK715" s="162" t="str">
        <f t="shared" si="494"/>
        <v>PRAZNO</v>
      </c>
      <c r="AM715" s="164"/>
    </row>
    <row r="716" spans="1:39" ht="22.5" customHeight="1" x14ac:dyDescent="0.2">
      <c r="B716" s="177"/>
      <c r="C716" s="177"/>
      <c r="D716" s="177">
        <v>323</v>
      </c>
      <c r="E716" s="177"/>
      <c r="F716" s="177"/>
      <c r="G716" s="177"/>
      <c r="H716" s="16" t="s">
        <v>526</v>
      </c>
      <c r="I716" s="17"/>
      <c r="J716" s="17"/>
      <c r="K716" s="17"/>
      <c r="L716" s="17"/>
      <c r="M716" s="18"/>
      <c r="N716" s="18"/>
      <c r="O716" s="18"/>
      <c r="P716" s="26"/>
      <c r="Q716" s="18"/>
      <c r="R716" s="18"/>
      <c r="S716" s="18"/>
      <c r="T716" s="27"/>
      <c r="U716" s="18">
        <f t="shared" si="491"/>
        <v>0</v>
      </c>
      <c r="V716" s="18">
        <f t="shared" si="491"/>
        <v>0</v>
      </c>
      <c r="W716" s="18">
        <f t="shared" si="491"/>
        <v>0</v>
      </c>
      <c r="X716" s="18">
        <f t="shared" si="491"/>
        <v>0</v>
      </c>
      <c r="Y716" s="18">
        <f t="shared" si="491"/>
        <v>0</v>
      </c>
      <c r="Z716" s="18">
        <f t="shared" si="491"/>
        <v>0</v>
      </c>
      <c r="AA716" s="18">
        <f t="shared" si="491"/>
        <v>0</v>
      </c>
      <c r="AB716" s="18">
        <f t="shared" si="491"/>
        <v>0</v>
      </c>
      <c r="AC716" s="18">
        <f t="shared" si="491"/>
        <v>0</v>
      </c>
      <c r="AD716" s="18"/>
      <c r="AE716" s="18">
        <f t="shared" si="492"/>
        <v>0</v>
      </c>
      <c r="AF716" s="18">
        <f t="shared" si="492"/>
        <v>0</v>
      </c>
      <c r="AG716" s="18">
        <f t="shared" si="492"/>
        <v>40000</v>
      </c>
      <c r="AH716" s="18">
        <f t="shared" si="492"/>
        <v>200000</v>
      </c>
      <c r="AI716" s="18">
        <f t="shared" si="492"/>
        <v>0</v>
      </c>
      <c r="AJ716" s="162" t="b">
        <f t="shared" si="493"/>
        <v>1</v>
      </c>
      <c r="AK716" s="162" t="str">
        <f t="shared" si="494"/>
        <v>PRAZNO</v>
      </c>
      <c r="AM716" s="164"/>
    </row>
    <row r="717" spans="1:39" ht="33.75" customHeight="1" x14ac:dyDescent="0.2">
      <c r="B717" s="177"/>
      <c r="C717" s="177"/>
      <c r="D717" s="177"/>
      <c r="E717" s="177">
        <v>3237</v>
      </c>
      <c r="F717" s="176">
        <v>53</v>
      </c>
      <c r="G717" s="177"/>
      <c r="H717" s="708" t="s">
        <v>491</v>
      </c>
      <c r="I717" s="17"/>
      <c r="J717" s="17"/>
      <c r="K717" s="17"/>
      <c r="L717" s="17"/>
      <c r="M717" s="18"/>
      <c r="N717" s="18"/>
      <c r="O717" s="18"/>
      <c r="P717" s="26"/>
      <c r="Q717" s="18"/>
      <c r="R717" s="18"/>
      <c r="S717" s="18"/>
      <c r="T717" s="27"/>
      <c r="U717" s="27"/>
      <c r="V717" s="18"/>
      <c r="W717" s="18"/>
      <c r="X717" s="18"/>
      <c r="Y717" s="18"/>
      <c r="Z717" s="18"/>
      <c r="AA717" s="18"/>
      <c r="AB717" s="18">
        <v>0</v>
      </c>
      <c r="AC717" s="18">
        <v>0</v>
      </c>
      <c r="AD717" s="18"/>
      <c r="AE717" s="18">
        <v>0</v>
      </c>
      <c r="AF717" s="18">
        <v>0</v>
      </c>
      <c r="AG717" s="18">
        <v>40000</v>
      </c>
      <c r="AH717" s="18">
        <v>200000</v>
      </c>
      <c r="AI717" s="18">
        <v>0</v>
      </c>
      <c r="AJ717" s="162" t="b">
        <f t="shared" si="493"/>
        <v>0</v>
      </c>
      <c r="AK717" s="162" t="str">
        <f t="shared" si="494"/>
        <v>PUNO</v>
      </c>
      <c r="AM717" s="164"/>
    </row>
    <row r="718" spans="1:39" ht="31.5" x14ac:dyDescent="0.2">
      <c r="B718" s="172"/>
      <c r="C718" s="172"/>
      <c r="D718" s="172"/>
      <c r="E718" s="172"/>
      <c r="F718" s="220"/>
      <c r="G718" s="220"/>
      <c r="H718" s="609" t="s">
        <v>31</v>
      </c>
      <c r="I718" s="603"/>
      <c r="J718" s="603"/>
      <c r="K718" s="603"/>
      <c r="L718" s="603"/>
      <c r="M718" s="603"/>
      <c r="N718" s="603"/>
      <c r="O718" s="603"/>
      <c r="P718" s="608"/>
      <c r="Q718" s="603"/>
      <c r="R718" s="603"/>
      <c r="S718" s="603"/>
      <c r="T718" s="604"/>
      <c r="U718" s="604"/>
      <c r="V718" s="603">
        <f>V720</f>
        <v>0</v>
      </c>
      <c r="W718" s="603"/>
      <c r="X718" s="603"/>
      <c r="Y718" s="603">
        <f>Y719</f>
        <v>0</v>
      </c>
      <c r="Z718" s="603"/>
      <c r="AA718" s="603">
        <f t="shared" si="479"/>
        <v>24000</v>
      </c>
      <c r="AB718" s="603">
        <f>AB720</f>
        <v>24000</v>
      </c>
      <c r="AC718" s="603">
        <f>AC720</f>
        <v>0</v>
      </c>
      <c r="AD718" s="603">
        <f t="shared" ref="AD718:AD781" si="495">AC718/AB718*100</f>
        <v>0</v>
      </c>
      <c r="AE718" s="603">
        <f t="shared" si="464"/>
        <v>0</v>
      </c>
      <c r="AF718" s="603">
        <f>AF720</f>
        <v>24000</v>
      </c>
      <c r="AG718" s="603">
        <f>AG720</f>
        <v>0</v>
      </c>
      <c r="AH718" s="603">
        <f>AH720</f>
        <v>0</v>
      </c>
      <c r="AI718" s="603">
        <f>AI720</f>
        <v>0</v>
      </c>
      <c r="AJ718" s="162" t="b">
        <f t="shared" si="493"/>
        <v>1</v>
      </c>
      <c r="AK718" s="162" t="str">
        <f t="shared" si="494"/>
        <v>PRAZNO</v>
      </c>
      <c r="AM718" s="164"/>
    </row>
    <row r="719" spans="1:39" ht="15.75" x14ac:dyDescent="0.2">
      <c r="B719" s="177"/>
      <c r="C719" s="177"/>
      <c r="D719" s="177"/>
      <c r="E719" s="177"/>
      <c r="F719" s="176"/>
      <c r="G719" s="176"/>
      <c r="H719" s="261" t="s">
        <v>824</v>
      </c>
      <c r="I719" s="606"/>
      <c r="J719" s="606"/>
      <c r="K719" s="606"/>
      <c r="L719" s="606"/>
      <c r="M719" s="606"/>
      <c r="N719" s="606"/>
      <c r="O719" s="606"/>
      <c r="P719" s="451"/>
      <c r="Q719" s="606"/>
      <c r="R719" s="606"/>
      <c r="S719" s="606"/>
      <c r="T719" s="607"/>
      <c r="U719" s="607"/>
      <c r="V719" s="606">
        <f>V720</f>
        <v>0</v>
      </c>
      <c r="W719" s="606"/>
      <c r="X719" s="606"/>
      <c r="Y719" s="606">
        <f>Y720</f>
        <v>0</v>
      </c>
      <c r="Z719" s="606"/>
      <c r="AA719" s="606">
        <f t="shared" si="479"/>
        <v>24000</v>
      </c>
      <c r="AB719" s="606">
        <f t="shared" ref="AB719:AI722" si="496">AB720</f>
        <v>24000</v>
      </c>
      <c r="AC719" s="606">
        <f t="shared" si="496"/>
        <v>0</v>
      </c>
      <c r="AD719" s="606">
        <f t="shared" si="495"/>
        <v>0</v>
      </c>
      <c r="AE719" s="606">
        <f t="shared" si="464"/>
        <v>0</v>
      </c>
      <c r="AF719" s="606">
        <f t="shared" si="496"/>
        <v>24000</v>
      </c>
      <c r="AG719" s="606">
        <f t="shared" si="496"/>
        <v>0</v>
      </c>
      <c r="AH719" s="606">
        <f t="shared" si="496"/>
        <v>0</v>
      </c>
      <c r="AI719" s="606">
        <f t="shared" si="496"/>
        <v>0</v>
      </c>
      <c r="AJ719" s="162" t="b">
        <f t="shared" si="493"/>
        <v>1</v>
      </c>
      <c r="AK719" s="162" t="str">
        <f t="shared" si="494"/>
        <v>PRAZNO</v>
      </c>
      <c r="AM719" s="164"/>
    </row>
    <row r="720" spans="1:39" ht="15.75" x14ac:dyDescent="0.2">
      <c r="B720" s="172">
        <v>3</v>
      </c>
      <c r="C720" s="172"/>
      <c r="D720" s="172"/>
      <c r="E720" s="172"/>
      <c r="F720" s="220"/>
      <c r="G720" s="220"/>
      <c r="H720" s="331" t="s">
        <v>524</v>
      </c>
      <c r="I720" s="184"/>
      <c r="J720" s="184"/>
      <c r="K720" s="184"/>
      <c r="L720" s="184"/>
      <c r="M720" s="184"/>
      <c r="N720" s="184"/>
      <c r="O720" s="184"/>
      <c r="P720" s="55"/>
      <c r="Q720" s="184"/>
      <c r="R720" s="184"/>
      <c r="S720" s="184"/>
      <c r="T720" s="185"/>
      <c r="U720" s="185"/>
      <c r="V720" s="184">
        <f>V721</f>
        <v>0</v>
      </c>
      <c r="W720" s="184"/>
      <c r="X720" s="184"/>
      <c r="Y720" s="184">
        <f>Y721</f>
        <v>0</v>
      </c>
      <c r="Z720" s="184"/>
      <c r="AA720" s="184">
        <f t="shared" si="479"/>
        <v>24000</v>
      </c>
      <c r="AB720" s="184">
        <f t="shared" si="496"/>
        <v>24000</v>
      </c>
      <c r="AC720" s="184">
        <f t="shared" si="496"/>
        <v>0</v>
      </c>
      <c r="AD720" s="184">
        <f t="shared" si="495"/>
        <v>0</v>
      </c>
      <c r="AE720" s="184">
        <f t="shared" si="464"/>
        <v>0</v>
      </c>
      <c r="AF720" s="184">
        <f t="shared" si="496"/>
        <v>24000</v>
      </c>
      <c r="AG720" s="184">
        <f t="shared" si="496"/>
        <v>0</v>
      </c>
      <c r="AH720" s="184">
        <f t="shared" si="496"/>
        <v>0</v>
      </c>
      <c r="AI720" s="184">
        <f t="shared" si="496"/>
        <v>0</v>
      </c>
      <c r="AJ720" s="162" t="b">
        <f t="shared" si="493"/>
        <v>1</v>
      </c>
      <c r="AK720" s="162" t="str">
        <f t="shared" si="494"/>
        <v>PRAZNO</v>
      </c>
      <c r="AM720" s="164"/>
    </row>
    <row r="721" spans="1:39" ht="15.75" x14ac:dyDescent="0.2">
      <c r="B721" s="177"/>
      <c r="C721" s="177">
        <v>38</v>
      </c>
      <c r="D721" s="177"/>
      <c r="E721" s="177"/>
      <c r="F721" s="265"/>
      <c r="G721" s="265"/>
      <c r="H721" s="29" t="s">
        <v>539</v>
      </c>
      <c r="I721" s="178"/>
      <c r="J721" s="178"/>
      <c r="K721" s="178"/>
      <c r="L721" s="178"/>
      <c r="M721" s="178"/>
      <c r="N721" s="178"/>
      <c r="O721" s="178"/>
      <c r="P721" s="307"/>
      <c r="Q721" s="178"/>
      <c r="R721" s="178"/>
      <c r="S721" s="178"/>
      <c r="T721" s="266"/>
      <c r="U721" s="266"/>
      <c r="V721" s="178">
        <f>V722</f>
        <v>0</v>
      </c>
      <c r="W721" s="178"/>
      <c r="X721" s="178"/>
      <c r="Y721" s="178">
        <f>Y722</f>
        <v>0</v>
      </c>
      <c r="Z721" s="178"/>
      <c r="AA721" s="178">
        <f t="shared" si="479"/>
        <v>24000</v>
      </c>
      <c r="AB721" s="178">
        <f t="shared" si="496"/>
        <v>24000</v>
      </c>
      <c r="AC721" s="178">
        <f t="shared" si="496"/>
        <v>0</v>
      </c>
      <c r="AD721" s="178">
        <f t="shared" si="495"/>
        <v>0</v>
      </c>
      <c r="AE721" s="178">
        <f t="shared" si="464"/>
        <v>0</v>
      </c>
      <c r="AF721" s="178">
        <f t="shared" si="496"/>
        <v>24000</v>
      </c>
      <c r="AG721" s="178">
        <f t="shared" si="496"/>
        <v>0</v>
      </c>
      <c r="AH721" s="178">
        <f t="shared" si="496"/>
        <v>0</v>
      </c>
      <c r="AI721" s="178">
        <f t="shared" si="496"/>
        <v>0</v>
      </c>
      <c r="AJ721" s="162" t="b">
        <f t="shared" si="493"/>
        <v>1</v>
      </c>
      <c r="AK721" s="162" t="str">
        <f t="shared" si="494"/>
        <v>PRAZNO</v>
      </c>
      <c r="AM721" s="164"/>
    </row>
    <row r="722" spans="1:39" ht="15.75" x14ac:dyDescent="0.2">
      <c r="B722" s="177"/>
      <c r="C722" s="177"/>
      <c r="D722" s="177">
        <v>382</v>
      </c>
      <c r="E722" s="177"/>
      <c r="F722" s="176"/>
      <c r="G722" s="176"/>
      <c r="H722" s="29" t="s">
        <v>230</v>
      </c>
      <c r="I722" s="18"/>
      <c r="J722" s="18"/>
      <c r="K722" s="18"/>
      <c r="L722" s="18"/>
      <c r="M722" s="18"/>
      <c r="N722" s="18"/>
      <c r="O722" s="18"/>
      <c r="P722" s="26"/>
      <c r="Q722" s="18"/>
      <c r="R722" s="18"/>
      <c r="S722" s="18"/>
      <c r="T722" s="27"/>
      <c r="U722" s="27"/>
      <c r="V722" s="18">
        <f>V723</f>
        <v>0</v>
      </c>
      <c r="W722" s="18"/>
      <c r="X722" s="18"/>
      <c r="Y722" s="18">
        <f>Y723</f>
        <v>0</v>
      </c>
      <c r="Z722" s="18"/>
      <c r="AA722" s="18">
        <f t="shared" si="479"/>
        <v>24000</v>
      </c>
      <c r="AB722" s="18">
        <f t="shared" si="496"/>
        <v>24000</v>
      </c>
      <c r="AC722" s="18">
        <f t="shared" si="496"/>
        <v>0</v>
      </c>
      <c r="AD722" s="18">
        <f t="shared" si="495"/>
        <v>0</v>
      </c>
      <c r="AE722" s="18">
        <f t="shared" si="464"/>
        <v>0</v>
      </c>
      <c r="AF722" s="18">
        <f t="shared" si="496"/>
        <v>24000</v>
      </c>
      <c r="AG722" s="18">
        <f t="shared" si="496"/>
        <v>0</v>
      </c>
      <c r="AH722" s="18">
        <f t="shared" si="496"/>
        <v>0</v>
      </c>
      <c r="AI722" s="18">
        <f t="shared" si="496"/>
        <v>0</v>
      </c>
      <c r="AJ722" s="162" t="b">
        <f t="shared" si="493"/>
        <v>1</v>
      </c>
      <c r="AK722" s="162" t="str">
        <f t="shared" si="494"/>
        <v>PRAZNO</v>
      </c>
      <c r="AM722" s="164"/>
    </row>
    <row r="723" spans="1:39" ht="30" x14ac:dyDescent="0.2">
      <c r="B723" s="177"/>
      <c r="C723" s="177"/>
      <c r="D723" s="177"/>
      <c r="E723" s="177">
        <v>3821</v>
      </c>
      <c r="F723" s="176">
        <v>14</v>
      </c>
      <c r="G723" s="176"/>
      <c r="H723" s="29" t="s">
        <v>255</v>
      </c>
      <c r="I723" s="18"/>
      <c r="J723" s="18"/>
      <c r="K723" s="18"/>
      <c r="L723" s="18"/>
      <c r="M723" s="18"/>
      <c r="N723" s="18"/>
      <c r="O723" s="18"/>
      <c r="P723" s="26"/>
      <c r="Q723" s="18"/>
      <c r="R723" s="18"/>
      <c r="S723" s="18"/>
      <c r="T723" s="27"/>
      <c r="U723" s="27"/>
      <c r="V723" s="18">
        <v>0</v>
      </c>
      <c r="W723" s="18"/>
      <c r="X723" s="18"/>
      <c r="Y723" s="18">
        <v>0</v>
      </c>
      <c r="Z723" s="18"/>
      <c r="AA723" s="18">
        <f t="shared" si="479"/>
        <v>24000</v>
      </c>
      <c r="AB723" s="18">
        <v>24000</v>
      </c>
      <c r="AC723" s="18">
        <v>0</v>
      </c>
      <c r="AD723" s="18">
        <f t="shared" si="495"/>
        <v>0</v>
      </c>
      <c r="AE723" s="18">
        <f t="shared" si="464"/>
        <v>0</v>
      </c>
      <c r="AF723" s="18">
        <v>24000</v>
      </c>
      <c r="AG723" s="18"/>
      <c r="AH723" s="18"/>
      <c r="AI723" s="18"/>
      <c r="AJ723" s="162" t="b">
        <f t="shared" si="493"/>
        <v>0</v>
      </c>
      <c r="AK723" s="162" t="str">
        <f t="shared" si="494"/>
        <v>PUNO</v>
      </c>
      <c r="AM723" s="164"/>
    </row>
    <row r="724" spans="1:39" ht="47.25" customHeight="1" x14ac:dyDescent="0.2">
      <c r="B724" s="209"/>
      <c r="C724" s="209"/>
      <c r="D724" s="209"/>
      <c r="E724" s="209"/>
      <c r="F724" s="379"/>
      <c r="G724" s="209"/>
      <c r="H724" s="12" t="s">
        <v>799</v>
      </c>
      <c r="I724" s="305">
        <f t="shared" ref="I724:O724" si="497">I726</f>
        <v>0</v>
      </c>
      <c r="J724" s="305">
        <f t="shared" si="497"/>
        <v>0</v>
      </c>
      <c r="K724" s="305">
        <f t="shared" si="497"/>
        <v>0</v>
      </c>
      <c r="L724" s="305">
        <f t="shared" si="497"/>
        <v>0</v>
      </c>
      <c r="M724" s="305">
        <f t="shared" si="497"/>
        <v>0</v>
      </c>
      <c r="N724" s="305">
        <f t="shared" si="497"/>
        <v>0</v>
      </c>
      <c r="O724" s="305">
        <f t="shared" si="497"/>
        <v>0</v>
      </c>
      <c r="P724" s="303">
        <f>T724-N724</f>
        <v>0</v>
      </c>
      <c r="Q724" s="301"/>
      <c r="R724" s="301"/>
      <c r="S724" s="301"/>
      <c r="T724" s="305">
        <f t="shared" ref="T724:Y724" si="498">T726</f>
        <v>0</v>
      </c>
      <c r="U724" s="305">
        <f t="shared" si="498"/>
        <v>0</v>
      </c>
      <c r="V724" s="301">
        <f t="shared" si="498"/>
        <v>100000</v>
      </c>
      <c r="W724" s="301">
        <f t="shared" si="498"/>
        <v>100000</v>
      </c>
      <c r="X724" s="301">
        <f t="shared" si="498"/>
        <v>100000</v>
      </c>
      <c r="Y724" s="301">
        <f t="shared" si="498"/>
        <v>0</v>
      </c>
      <c r="Z724" s="301">
        <f t="shared" ref="Z724:Z784" si="499">ROUND(Y724/V724*100,2)</f>
        <v>0</v>
      </c>
      <c r="AA724" s="301">
        <f t="shared" si="479"/>
        <v>200000</v>
      </c>
      <c r="AB724" s="301">
        <f>AB725+AB730</f>
        <v>300000</v>
      </c>
      <c r="AC724" s="301">
        <f>AC725+AC730</f>
        <v>0</v>
      </c>
      <c r="AD724" s="301">
        <f t="shared" si="495"/>
        <v>0</v>
      </c>
      <c r="AE724" s="301">
        <f t="shared" si="464"/>
        <v>0</v>
      </c>
      <c r="AF724" s="301">
        <f>AF725+AF730</f>
        <v>300000</v>
      </c>
      <c r="AG724" s="301">
        <f>AG725+AG730</f>
        <v>440000</v>
      </c>
      <c r="AH724" s="301">
        <f>AH725+AH730</f>
        <v>200000</v>
      </c>
      <c r="AI724" s="301">
        <f>AI725+AI730</f>
        <v>240000</v>
      </c>
      <c r="AJ724" s="162" t="b">
        <f t="shared" si="493"/>
        <v>1</v>
      </c>
      <c r="AK724" s="162" t="str">
        <f t="shared" si="494"/>
        <v>PRAZNO</v>
      </c>
      <c r="AM724" s="164"/>
    </row>
    <row r="725" spans="1:39" s="264" customFormat="1" ht="21" customHeight="1" x14ac:dyDescent="0.2">
      <c r="A725" s="259"/>
      <c r="B725" s="177"/>
      <c r="C725" s="177"/>
      <c r="D725" s="177"/>
      <c r="E725" s="177"/>
      <c r="F725" s="467"/>
      <c r="G725" s="177"/>
      <c r="H725" s="441" t="s">
        <v>824</v>
      </c>
      <c r="I725" s="430"/>
      <c r="J725" s="430"/>
      <c r="K725" s="430"/>
      <c r="L725" s="430"/>
      <c r="M725" s="430"/>
      <c r="N725" s="430"/>
      <c r="O725" s="430"/>
      <c r="P725" s="445"/>
      <c r="Q725" s="462"/>
      <c r="R725" s="462"/>
      <c r="S725" s="462"/>
      <c r="T725" s="430"/>
      <c r="U725" s="430"/>
      <c r="V725" s="462">
        <f>V726</f>
        <v>100000</v>
      </c>
      <c r="W725" s="462">
        <f>W726</f>
        <v>100000</v>
      </c>
      <c r="X725" s="462">
        <f>X726</f>
        <v>100000</v>
      </c>
      <c r="Y725" s="462">
        <f>Y726</f>
        <v>0</v>
      </c>
      <c r="Z725" s="462">
        <f t="shared" si="499"/>
        <v>0</v>
      </c>
      <c r="AA725" s="462">
        <f t="shared" si="479"/>
        <v>0</v>
      </c>
      <c r="AB725" s="462">
        <f t="shared" ref="AB725:AI728" si="500">AB726</f>
        <v>100000</v>
      </c>
      <c r="AC725" s="462">
        <f t="shared" si="500"/>
        <v>0</v>
      </c>
      <c r="AD725" s="462">
        <f t="shared" si="495"/>
        <v>0</v>
      </c>
      <c r="AE725" s="462">
        <f t="shared" si="464"/>
        <v>0</v>
      </c>
      <c r="AF725" s="462">
        <f t="shared" si="500"/>
        <v>100000</v>
      </c>
      <c r="AG725" s="462">
        <f t="shared" si="500"/>
        <v>40000</v>
      </c>
      <c r="AH725" s="462">
        <f t="shared" si="500"/>
        <v>20000</v>
      </c>
      <c r="AI725" s="462">
        <f t="shared" si="500"/>
        <v>24000</v>
      </c>
      <c r="AJ725" s="162" t="b">
        <f t="shared" si="493"/>
        <v>1</v>
      </c>
      <c r="AK725" s="162" t="str">
        <f t="shared" si="494"/>
        <v>PRAZNO</v>
      </c>
      <c r="AL725" s="263"/>
    </row>
    <row r="726" spans="1:39" ht="18.75" customHeight="1" x14ac:dyDescent="0.2">
      <c r="B726" s="172">
        <v>3</v>
      </c>
      <c r="C726" s="172"/>
      <c r="D726" s="172"/>
      <c r="E726" s="172"/>
      <c r="F726" s="380"/>
      <c r="G726" s="172"/>
      <c r="H726" s="14" t="s">
        <v>524</v>
      </c>
      <c r="I726" s="185">
        <f t="shared" ref="I726:O728" si="501">I727</f>
        <v>0</v>
      </c>
      <c r="J726" s="185">
        <f t="shared" si="501"/>
        <v>0</v>
      </c>
      <c r="K726" s="185">
        <f t="shared" si="501"/>
        <v>0</v>
      </c>
      <c r="L726" s="185">
        <f t="shared" si="501"/>
        <v>0</v>
      </c>
      <c r="M726" s="185">
        <f t="shared" si="501"/>
        <v>0</v>
      </c>
      <c r="N726" s="185">
        <f t="shared" si="501"/>
        <v>0</v>
      </c>
      <c r="O726" s="185">
        <f t="shared" si="501"/>
        <v>0</v>
      </c>
      <c r="P726" s="205">
        <f>T726-N726</f>
        <v>0</v>
      </c>
      <c r="Q726" s="184"/>
      <c r="R726" s="184"/>
      <c r="S726" s="184"/>
      <c r="T726" s="185">
        <f t="shared" ref="T726:Y728" si="502">T727</f>
        <v>0</v>
      </c>
      <c r="U726" s="185">
        <f t="shared" si="502"/>
        <v>0</v>
      </c>
      <c r="V726" s="184">
        <f t="shared" si="502"/>
        <v>100000</v>
      </c>
      <c r="W726" s="184">
        <f t="shared" si="502"/>
        <v>100000</v>
      </c>
      <c r="X726" s="184">
        <f t="shared" si="502"/>
        <v>100000</v>
      </c>
      <c r="Y726" s="184">
        <f t="shared" si="502"/>
        <v>0</v>
      </c>
      <c r="Z726" s="184">
        <f t="shared" si="499"/>
        <v>0</v>
      </c>
      <c r="AA726" s="184">
        <f t="shared" si="479"/>
        <v>0</v>
      </c>
      <c r="AB726" s="184">
        <f t="shared" si="500"/>
        <v>100000</v>
      </c>
      <c r="AC726" s="184">
        <f t="shared" si="500"/>
        <v>0</v>
      </c>
      <c r="AD726" s="184">
        <f t="shared" si="495"/>
        <v>0</v>
      </c>
      <c r="AE726" s="184">
        <f t="shared" si="464"/>
        <v>0</v>
      </c>
      <c r="AF726" s="184">
        <f t="shared" si="500"/>
        <v>100000</v>
      </c>
      <c r="AG726" s="184">
        <f t="shared" si="500"/>
        <v>40000</v>
      </c>
      <c r="AH726" s="184">
        <f t="shared" si="500"/>
        <v>20000</v>
      </c>
      <c r="AI726" s="184">
        <f t="shared" si="500"/>
        <v>24000</v>
      </c>
      <c r="AJ726" s="162" t="b">
        <f t="shared" si="493"/>
        <v>1</v>
      </c>
      <c r="AK726" s="162" t="str">
        <f t="shared" si="494"/>
        <v>PRAZNO</v>
      </c>
      <c r="AM726" s="164"/>
    </row>
    <row r="727" spans="1:39" ht="18.75" customHeight="1" x14ac:dyDescent="0.2">
      <c r="B727" s="177"/>
      <c r="C727" s="177">
        <v>38</v>
      </c>
      <c r="D727" s="177"/>
      <c r="E727" s="177"/>
      <c r="F727" s="292"/>
      <c r="G727" s="177"/>
      <c r="H727" s="16" t="s">
        <v>539</v>
      </c>
      <c r="I727" s="27">
        <f t="shared" si="501"/>
        <v>0</v>
      </c>
      <c r="J727" s="27">
        <f t="shared" si="501"/>
        <v>0</v>
      </c>
      <c r="K727" s="27">
        <f t="shared" si="501"/>
        <v>0</v>
      </c>
      <c r="L727" s="27">
        <f t="shared" si="501"/>
        <v>0</v>
      </c>
      <c r="M727" s="27">
        <f t="shared" si="501"/>
        <v>0</v>
      </c>
      <c r="N727" s="27">
        <f t="shared" si="501"/>
        <v>0</v>
      </c>
      <c r="O727" s="27">
        <f t="shared" si="501"/>
        <v>0</v>
      </c>
      <c r="P727" s="26">
        <f>T727-N727</f>
        <v>0</v>
      </c>
      <c r="Q727" s="18"/>
      <c r="R727" s="18"/>
      <c r="S727" s="18"/>
      <c r="T727" s="27">
        <f t="shared" si="502"/>
        <v>0</v>
      </c>
      <c r="U727" s="27">
        <f t="shared" si="502"/>
        <v>0</v>
      </c>
      <c r="V727" s="18">
        <f t="shared" si="502"/>
        <v>100000</v>
      </c>
      <c r="W727" s="18">
        <f t="shared" si="502"/>
        <v>100000</v>
      </c>
      <c r="X727" s="18">
        <f t="shared" si="502"/>
        <v>100000</v>
      </c>
      <c r="Y727" s="18">
        <f t="shared" si="502"/>
        <v>0</v>
      </c>
      <c r="Z727" s="18">
        <f t="shared" si="499"/>
        <v>0</v>
      </c>
      <c r="AA727" s="18">
        <f t="shared" si="479"/>
        <v>0</v>
      </c>
      <c r="AB727" s="18">
        <f t="shared" si="500"/>
        <v>100000</v>
      </c>
      <c r="AC727" s="18">
        <f t="shared" si="500"/>
        <v>0</v>
      </c>
      <c r="AD727" s="18">
        <f t="shared" si="495"/>
        <v>0</v>
      </c>
      <c r="AE727" s="18">
        <f t="shared" ref="AE727:AE797" si="503">AF727-AB727</f>
        <v>0</v>
      </c>
      <c r="AF727" s="18">
        <f t="shared" si="500"/>
        <v>100000</v>
      </c>
      <c r="AG727" s="18">
        <f t="shared" si="500"/>
        <v>40000</v>
      </c>
      <c r="AH727" s="18">
        <f t="shared" si="500"/>
        <v>20000</v>
      </c>
      <c r="AI727" s="18">
        <f t="shared" si="500"/>
        <v>24000</v>
      </c>
      <c r="AJ727" s="162" t="b">
        <f t="shared" si="493"/>
        <v>1</v>
      </c>
      <c r="AK727" s="162" t="str">
        <f t="shared" si="494"/>
        <v>PRAZNO</v>
      </c>
      <c r="AM727" s="164"/>
    </row>
    <row r="728" spans="1:39" ht="15" customHeight="1" x14ac:dyDescent="0.2">
      <c r="B728" s="177"/>
      <c r="C728" s="177"/>
      <c r="D728" s="177">
        <v>382</v>
      </c>
      <c r="E728" s="177"/>
      <c r="F728" s="292"/>
      <c r="G728" s="177"/>
      <c r="H728" s="16" t="s">
        <v>230</v>
      </c>
      <c r="I728" s="27">
        <f t="shared" si="501"/>
        <v>0</v>
      </c>
      <c r="J728" s="27">
        <f t="shared" si="501"/>
        <v>0</v>
      </c>
      <c r="K728" s="27">
        <f t="shared" si="501"/>
        <v>0</v>
      </c>
      <c r="L728" s="27">
        <f t="shared" si="501"/>
        <v>0</v>
      </c>
      <c r="M728" s="27">
        <f t="shared" si="501"/>
        <v>0</v>
      </c>
      <c r="N728" s="27">
        <f t="shared" si="501"/>
        <v>0</v>
      </c>
      <c r="O728" s="27">
        <f t="shared" si="501"/>
        <v>0</v>
      </c>
      <c r="P728" s="26">
        <f>T728-N728</f>
        <v>0</v>
      </c>
      <c r="Q728" s="18"/>
      <c r="R728" s="18"/>
      <c r="S728" s="18"/>
      <c r="T728" s="27">
        <f t="shared" si="502"/>
        <v>0</v>
      </c>
      <c r="U728" s="27">
        <f t="shared" si="502"/>
        <v>0</v>
      </c>
      <c r="V728" s="18">
        <f>V729+V734</f>
        <v>100000</v>
      </c>
      <c r="W728" s="18">
        <f t="shared" si="502"/>
        <v>100000</v>
      </c>
      <c r="X728" s="18">
        <f t="shared" si="502"/>
        <v>100000</v>
      </c>
      <c r="Y728" s="18">
        <f>Y729+Y734</f>
        <v>0</v>
      </c>
      <c r="Z728" s="18">
        <f t="shared" si="499"/>
        <v>0</v>
      </c>
      <c r="AA728" s="18">
        <f t="shared" si="479"/>
        <v>0</v>
      </c>
      <c r="AB728" s="18">
        <f t="shared" si="500"/>
        <v>100000</v>
      </c>
      <c r="AC728" s="18">
        <f>AC729+AC734</f>
        <v>0</v>
      </c>
      <c r="AD728" s="18">
        <f t="shared" si="495"/>
        <v>0</v>
      </c>
      <c r="AE728" s="18">
        <f t="shared" si="503"/>
        <v>0</v>
      </c>
      <c r="AF728" s="18">
        <f t="shared" si="500"/>
        <v>100000</v>
      </c>
      <c r="AG728" s="18">
        <f t="shared" si="500"/>
        <v>40000</v>
      </c>
      <c r="AH728" s="18">
        <f t="shared" si="500"/>
        <v>20000</v>
      </c>
      <c r="AI728" s="18">
        <f>AI729</f>
        <v>24000</v>
      </c>
      <c r="AJ728" s="162" t="b">
        <f t="shared" si="493"/>
        <v>1</v>
      </c>
      <c r="AK728" s="162" t="str">
        <f t="shared" si="494"/>
        <v>PRAZNO</v>
      </c>
      <c r="AM728" s="164"/>
    </row>
    <row r="729" spans="1:39" ht="18.75" customHeight="1" x14ac:dyDescent="0.2">
      <c r="B729" s="177"/>
      <c r="C729" s="177"/>
      <c r="D729" s="177"/>
      <c r="E729" s="177">
        <v>3822</v>
      </c>
      <c r="F729" s="176">
        <v>14</v>
      </c>
      <c r="G729" s="177"/>
      <c r="H729" s="705" t="s">
        <v>734</v>
      </c>
      <c r="I729" s="27">
        <v>0</v>
      </c>
      <c r="J729" s="27">
        <v>0</v>
      </c>
      <c r="K729" s="27">
        <v>0</v>
      </c>
      <c r="L729" s="27">
        <v>0</v>
      </c>
      <c r="M729" s="27">
        <v>0</v>
      </c>
      <c r="N729" s="27">
        <v>0</v>
      </c>
      <c r="O729" s="18">
        <v>0</v>
      </c>
      <c r="P729" s="26">
        <f>T729-N729</f>
        <v>0</v>
      </c>
      <c r="Q729" s="18"/>
      <c r="R729" s="18"/>
      <c r="S729" s="18"/>
      <c r="T729" s="27">
        <v>0</v>
      </c>
      <c r="U729" s="27"/>
      <c r="V729" s="18">
        <v>100000</v>
      </c>
      <c r="W729" s="18">
        <v>100000</v>
      </c>
      <c r="X729" s="18">
        <v>100000</v>
      </c>
      <c r="Y729" s="18">
        <v>0</v>
      </c>
      <c r="Z729" s="18">
        <f t="shared" si="499"/>
        <v>0</v>
      </c>
      <c r="AA729" s="18">
        <f t="shared" si="479"/>
        <v>0</v>
      </c>
      <c r="AB729" s="18">
        <v>100000</v>
      </c>
      <c r="AC729" s="18">
        <v>0</v>
      </c>
      <c r="AD729" s="18">
        <f t="shared" si="495"/>
        <v>0</v>
      </c>
      <c r="AE729" s="18">
        <f t="shared" si="503"/>
        <v>0</v>
      </c>
      <c r="AF729" s="18">
        <v>100000</v>
      </c>
      <c r="AG729" s="18">
        <v>40000</v>
      </c>
      <c r="AH729" s="18">
        <v>20000</v>
      </c>
      <c r="AI729" s="18">
        <v>24000</v>
      </c>
      <c r="AJ729" s="162" t="b">
        <f t="shared" si="493"/>
        <v>0</v>
      </c>
      <c r="AK729" s="162" t="str">
        <f t="shared" si="494"/>
        <v>PUNO</v>
      </c>
      <c r="AM729" s="164"/>
    </row>
    <row r="730" spans="1:39" ht="18.75" customHeight="1" x14ac:dyDescent="0.2">
      <c r="B730" s="177"/>
      <c r="C730" s="177"/>
      <c r="D730" s="177"/>
      <c r="E730" s="177"/>
      <c r="F730" s="176"/>
      <c r="G730" s="177"/>
      <c r="H730" s="656" t="s">
        <v>825</v>
      </c>
      <c r="I730" s="27"/>
      <c r="J730" s="27"/>
      <c r="K730" s="27"/>
      <c r="L730" s="27"/>
      <c r="M730" s="27"/>
      <c r="N730" s="27"/>
      <c r="O730" s="18"/>
      <c r="P730" s="26"/>
      <c r="Q730" s="18"/>
      <c r="R730" s="18"/>
      <c r="S730" s="18"/>
      <c r="T730" s="27"/>
      <c r="U730" s="27"/>
      <c r="V730" s="18"/>
      <c r="W730" s="18"/>
      <c r="X730" s="18"/>
      <c r="Y730" s="18"/>
      <c r="Z730" s="18"/>
      <c r="AA730" s="18"/>
      <c r="AB730" s="462">
        <f t="shared" ref="AB730:AI733" si="504">AB731</f>
        <v>200000</v>
      </c>
      <c r="AC730" s="462">
        <f t="shared" si="504"/>
        <v>0</v>
      </c>
      <c r="AD730" s="462">
        <f t="shared" si="495"/>
        <v>0</v>
      </c>
      <c r="AE730" s="462">
        <f t="shared" si="503"/>
        <v>0</v>
      </c>
      <c r="AF730" s="462">
        <f t="shared" si="504"/>
        <v>200000</v>
      </c>
      <c r="AG730" s="462">
        <f t="shared" si="504"/>
        <v>400000</v>
      </c>
      <c r="AH730" s="462">
        <f t="shared" si="504"/>
        <v>180000</v>
      </c>
      <c r="AI730" s="462">
        <f t="shared" si="504"/>
        <v>216000</v>
      </c>
      <c r="AJ730" s="162" t="b">
        <f t="shared" si="493"/>
        <v>1</v>
      </c>
      <c r="AK730" s="162" t="str">
        <f t="shared" si="494"/>
        <v>PRAZNO</v>
      </c>
      <c r="AM730" s="164"/>
    </row>
    <row r="731" spans="1:39" ht="18.75" customHeight="1" x14ac:dyDescent="0.2">
      <c r="B731" s="172">
        <v>3</v>
      </c>
      <c r="C731" s="172"/>
      <c r="D731" s="172"/>
      <c r="E731" s="172"/>
      <c r="F731" s="380"/>
      <c r="G731" s="172"/>
      <c r="H731" s="14" t="s">
        <v>524</v>
      </c>
      <c r="I731" s="27"/>
      <c r="J731" s="27"/>
      <c r="K731" s="27"/>
      <c r="L731" s="27"/>
      <c r="M731" s="27"/>
      <c r="N731" s="27"/>
      <c r="O731" s="18"/>
      <c r="P731" s="26"/>
      <c r="Q731" s="18"/>
      <c r="R731" s="18"/>
      <c r="S731" s="18"/>
      <c r="T731" s="27"/>
      <c r="U731" s="27"/>
      <c r="V731" s="14"/>
      <c r="W731" s="18"/>
      <c r="X731" s="18"/>
      <c r="Y731" s="18"/>
      <c r="Z731" s="18"/>
      <c r="AA731" s="18"/>
      <c r="AB731" s="184">
        <f t="shared" si="504"/>
        <v>200000</v>
      </c>
      <c r="AC731" s="184">
        <f t="shared" si="504"/>
        <v>0</v>
      </c>
      <c r="AD731" s="184">
        <f t="shared" si="495"/>
        <v>0</v>
      </c>
      <c r="AE731" s="184">
        <f t="shared" si="503"/>
        <v>0</v>
      </c>
      <c r="AF731" s="184">
        <f t="shared" si="504"/>
        <v>200000</v>
      </c>
      <c r="AG731" s="184">
        <f t="shared" si="504"/>
        <v>400000</v>
      </c>
      <c r="AH731" s="184">
        <f t="shared" si="504"/>
        <v>180000</v>
      </c>
      <c r="AI731" s="184">
        <f t="shared" si="504"/>
        <v>216000</v>
      </c>
      <c r="AJ731" s="162" t="b">
        <f t="shared" si="493"/>
        <v>1</v>
      </c>
      <c r="AK731" s="162" t="str">
        <f t="shared" si="494"/>
        <v>PRAZNO</v>
      </c>
      <c r="AM731" s="164"/>
    </row>
    <row r="732" spans="1:39" ht="18.75" customHeight="1" x14ac:dyDescent="0.2">
      <c r="B732" s="177"/>
      <c r="C732" s="177">
        <v>38</v>
      </c>
      <c r="D732" s="177"/>
      <c r="E732" s="177"/>
      <c r="F732" s="292"/>
      <c r="G732" s="177"/>
      <c r="H732" s="16" t="s">
        <v>539</v>
      </c>
      <c r="I732" s="27"/>
      <c r="J732" s="27"/>
      <c r="K732" s="27"/>
      <c r="L732" s="27"/>
      <c r="M732" s="27"/>
      <c r="N732" s="27"/>
      <c r="O732" s="18"/>
      <c r="P732" s="26"/>
      <c r="Q732" s="18"/>
      <c r="R732" s="18"/>
      <c r="S732" s="18"/>
      <c r="T732" s="27"/>
      <c r="U732" s="27"/>
      <c r="V732" s="18"/>
      <c r="W732" s="18"/>
      <c r="X732" s="18"/>
      <c r="Y732" s="18"/>
      <c r="Z732" s="18"/>
      <c r="AA732" s="18"/>
      <c r="AB732" s="18">
        <f t="shared" si="504"/>
        <v>200000</v>
      </c>
      <c r="AC732" s="18">
        <f t="shared" si="504"/>
        <v>0</v>
      </c>
      <c r="AD732" s="18">
        <f t="shared" si="495"/>
        <v>0</v>
      </c>
      <c r="AE732" s="18">
        <f>AF732-AB732</f>
        <v>0</v>
      </c>
      <c r="AF732" s="18">
        <f t="shared" si="504"/>
        <v>200000</v>
      </c>
      <c r="AG732" s="18">
        <f t="shared" si="504"/>
        <v>400000</v>
      </c>
      <c r="AH732" s="18">
        <f t="shared" si="504"/>
        <v>180000</v>
      </c>
      <c r="AI732" s="18">
        <f t="shared" si="504"/>
        <v>216000</v>
      </c>
      <c r="AJ732" s="162" t="b">
        <f t="shared" si="493"/>
        <v>1</v>
      </c>
      <c r="AK732" s="162" t="str">
        <f t="shared" si="494"/>
        <v>PRAZNO</v>
      </c>
      <c r="AM732" s="164"/>
    </row>
    <row r="733" spans="1:39" ht="18.75" customHeight="1" x14ac:dyDescent="0.2">
      <c r="B733" s="177"/>
      <c r="C733" s="177"/>
      <c r="D733" s="177">
        <v>382</v>
      </c>
      <c r="E733" s="177"/>
      <c r="F733" s="292"/>
      <c r="G733" s="177"/>
      <c r="H733" s="16" t="s">
        <v>230</v>
      </c>
      <c r="I733" s="27"/>
      <c r="J733" s="27"/>
      <c r="K733" s="27"/>
      <c r="L733" s="27"/>
      <c r="M733" s="27"/>
      <c r="N733" s="27"/>
      <c r="O733" s="18"/>
      <c r="P733" s="26"/>
      <c r="Q733" s="18"/>
      <c r="R733" s="18"/>
      <c r="S733" s="18"/>
      <c r="T733" s="27"/>
      <c r="U733" s="27"/>
      <c r="V733" s="18"/>
      <c r="W733" s="18"/>
      <c r="X733" s="18"/>
      <c r="Y733" s="18"/>
      <c r="Z733" s="18"/>
      <c r="AA733" s="18"/>
      <c r="AB733" s="18">
        <f t="shared" si="504"/>
        <v>200000</v>
      </c>
      <c r="AC733" s="18">
        <f t="shared" si="504"/>
        <v>0</v>
      </c>
      <c r="AD733" s="18">
        <f t="shared" si="495"/>
        <v>0</v>
      </c>
      <c r="AE733" s="18">
        <f t="shared" si="504"/>
        <v>0</v>
      </c>
      <c r="AF733" s="18">
        <f t="shared" si="504"/>
        <v>200000</v>
      </c>
      <c r="AG733" s="18">
        <f t="shared" si="504"/>
        <v>400000</v>
      </c>
      <c r="AH733" s="18">
        <f t="shared" si="504"/>
        <v>180000</v>
      </c>
      <c r="AI733" s="18">
        <f>AI734</f>
        <v>216000</v>
      </c>
      <c r="AJ733" s="162" t="b">
        <f t="shared" si="493"/>
        <v>1</v>
      </c>
      <c r="AK733" s="162" t="str">
        <f t="shared" si="494"/>
        <v>PRAZNO</v>
      </c>
      <c r="AM733" s="164"/>
    </row>
    <row r="734" spans="1:39" ht="15.75" x14ac:dyDescent="0.2">
      <c r="B734" s="177"/>
      <c r="C734" s="177"/>
      <c r="D734" s="177"/>
      <c r="E734" s="177">
        <v>3822</v>
      </c>
      <c r="F734" s="176">
        <v>53</v>
      </c>
      <c r="G734" s="176"/>
      <c r="H734" s="16" t="s">
        <v>734</v>
      </c>
      <c r="I734" s="18"/>
      <c r="J734" s="18"/>
      <c r="K734" s="18"/>
      <c r="L734" s="18"/>
      <c r="M734" s="18"/>
      <c r="N734" s="18"/>
      <c r="O734" s="18"/>
      <c r="P734" s="26"/>
      <c r="Q734" s="18"/>
      <c r="R734" s="18"/>
      <c r="S734" s="18"/>
      <c r="T734" s="27"/>
      <c r="U734" s="27"/>
      <c r="V734" s="18">
        <v>0</v>
      </c>
      <c r="W734" s="18"/>
      <c r="X734" s="18"/>
      <c r="Y734" s="18"/>
      <c r="Z734" s="18"/>
      <c r="AA734" s="18">
        <f>AB734-V734</f>
        <v>200000</v>
      </c>
      <c r="AB734" s="18">
        <v>200000</v>
      </c>
      <c r="AC734" s="18">
        <v>0</v>
      </c>
      <c r="AD734" s="18">
        <f t="shared" si="495"/>
        <v>0</v>
      </c>
      <c r="AE734" s="18">
        <f t="shared" si="503"/>
        <v>0</v>
      </c>
      <c r="AF734" s="18">
        <v>200000</v>
      </c>
      <c r="AG734" s="18">
        <v>400000</v>
      </c>
      <c r="AH734" s="18">
        <v>180000</v>
      </c>
      <c r="AI734" s="18">
        <v>216000</v>
      </c>
      <c r="AJ734" s="162" t="b">
        <f t="shared" si="493"/>
        <v>0</v>
      </c>
      <c r="AK734" s="162" t="str">
        <f t="shared" si="494"/>
        <v>PUNO</v>
      </c>
      <c r="AM734" s="164"/>
    </row>
    <row r="735" spans="1:39" s="171" customFormat="1" ht="31.5" x14ac:dyDescent="0.2">
      <c r="A735" s="259"/>
      <c r="B735" s="168"/>
      <c r="C735" s="168"/>
      <c r="D735" s="168"/>
      <c r="E735" s="168"/>
      <c r="F735" s="168"/>
      <c r="G735" s="168"/>
      <c r="H735" s="25" t="s">
        <v>689</v>
      </c>
      <c r="I735" s="169">
        <f t="shared" ref="I735:AI737" si="505">I736</f>
        <v>48000</v>
      </c>
      <c r="J735" s="169">
        <f t="shared" si="505"/>
        <v>0</v>
      </c>
      <c r="K735" s="169">
        <f>ROUND(J735/I735*100,2)</f>
        <v>0</v>
      </c>
      <c r="L735" s="169">
        <f>M735-I735</f>
        <v>-48000</v>
      </c>
      <c r="M735" s="19">
        <f t="shared" si="505"/>
        <v>0</v>
      </c>
      <c r="N735" s="19">
        <f t="shared" si="505"/>
        <v>50000</v>
      </c>
      <c r="O735" s="19">
        <f t="shared" si="505"/>
        <v>0</v>
      </c>
      <c r="P735" s="303">
        <f t="shared" ref="P735:P740" si="506">T735-N735</f>
        <v>-50000</v>
      </c>
      <c r="Q735" s="19">
        <f t="shared" si="505"/>
        <v>50000</v>
      </c>
      <c r="R735" s="19">
        <f t="shared" si="505"/>
        <v>80000</v>
      </c>
      <c r="S735" s="19">
        <f t="shared" si="505"/>
        <v>90000</v>
      </c>
      <c r="T735" s="53">
        <f t="shared" si="505"/>
        <v>0</v>
      </c>
      <c r="U735" s="53">
        <f t="shared" si="505"/>
        <v>0</v>
      </c>
      <c r="V735" s="19">
        <f t="shared" si="505"/>
        <v>0</v>
      </c>
      <c r="W735" s="19">
        <f t="shared" si="505"/>
        <v>0</v>
      </c>
      <c r="X735" s="19">
        <f t="shared" si="505"/>
        <v>0</v>
      </c>
      <c r="Y735" s="19">
        <f t="shared" si="505"/>
        <v>0</v>
      </c>
      <c r="Z735" s="19" t="e">
        <f t="shared" si="499"/>
        <v>#DIV/0!</v>
      </c>
      <c r="AA735" s="19">
        <f t="shared" si="479"/>
        <v>0</v>
      </c>
      <c r="AB735" s="19">
        <f t="shared" si="505"/>
        <v>0</v>
      </c>
      <c r="AC735" s="19">
        <f t="shared" si="505"/>
        <v>0</v>
      </c>
      <c r="AD735" s="19" t="e">
        <f t="shared" si="495"/>
        <v>#DIV/0!</v>
      </c>
      <c r="AE735" s="19">
        <f t="shared" si="503"/>
        <v>0</v>
      </c>
      <c r="AF735" s="19">
        <f t="shared" si="505"/>
        <v>0</v>
      </c>
      <c r="AG735" s="19">
        <f t="shared" si="505"/>
        <v>0</v>
      </c>
      <c r="AH735" s="19">
        <f t="shared" si="505"/>
        <v>0</v>
      </c>
      <c r="AI735" s="19">
        <f t="shared" si="505"/>
        <v>0</v>
      </c>
      <c r="AJ735" s="162" t="b">
        <f t="shared" si="493"/>
        <v>1</v>
      </c>
      <c r="AK735" s="162" t="str">
        <f t="shared" si="494"/>
        <v>PRAZNO</v>
      </c>
      <c r="AL735" s="170"/>
      <c r="AM735" s="164"/>
    </row>
    <row r="736" spans="1:39" s="174" customFormat="1" ht="15.75" x14ac:dyDescent="0.2">
      <c r="A736" s="259"/>
      <c r="B736" s="172">
        <v>3</v>
      </c>
      <c r="C736" s="172"/>
      <c r="D736" s="172"/>
      <c r="E736" s="172"/>
      <c r="F736" s="172"/>
      <c r="G736" s="172"/>
      <c r="H736" s="14" t="s">
        <v>524</v>
      </c>
      <c r="I736" s="20">
        <f t="shared" si="505"/>
        <v>48000</v>
      </c>
      <c r="J736" s="20">
        <f t="shared" si="505"/>
        <v>0</v>
      </c>
      <c r="K736" s="20">
        <f>ROUND(J736/I736*100,2)</f>
        <v>0</v>
      </c>
      <c r="L736" s="20">
        <f>M736-I736</f>
        <v>-48000</v>
      </c>
      <c r="M736" s="20">
        <f t="shared" si="505"/>
        <v>0</v>
      </c>
      <c r="N736" s="20">
        <f t="shared" si="505"/>
        <v>50000</v>
      </c>
      <c r="O736" s="20">
        <f t="shared" si="505"/>
        <v>0</v>
      </c>
      <c r="P736" s="55">
        <f t="shared" si="506"/>
        <v>-50000</v>
      </c>
      <c r="Q736" s="20">
        <f t="shared" si="505"/>
        <v>50000</v>
      </c>
      <c r="R736" s="20">
        <f t="shared" si="505"/>
        <v>80000</v>
      </c>
      <c r="S736" s="20">
        <f t="shared" si="505"/>
        <v>90000</v>
      </c>
      <c r="T736" s="55">
        <f t="shared" si="505"/>
        <v>0</v>
      </c>
      <c r="U736" s="55">
        <f t="shared" si="505"/>
        <v>0</v>
      </c>
      <c r="V736" s="20">
        <f t="shared" si="505"/>
        <v>0</v>
      </c>
      <c r="W736" s="20">
        <f t="shared" si="505"/>
        <v>0</v>
      </c>
      <c r="X736" s="20">
        <f t="shared" si="505"/>
        <v>0</v>
      </c>
      <c r="Y736" s="20">
        <f t="shared" si="505"/>
        <v>0</v>
      </c>
      <c r="Z736" s="20" t="e">
        <f t="shared" si="499"/>
        <v>#DIV/0!</v>
      </c>
      <c r="AA736" s="20">
        <f t="shared" si="479"/>
        <v>0</v>
      </c>
      <c r="AB736" s="20">
        <f t="shared" si="505"/>
        <v>0</v>
      </c>
      <c r="AC736" s="20">
        <f t="shared" si="505"/>
        <v>0</v>
      </c>
      <c r="AD736" s="20" t="e">
        <f t="shared" si="495"/>
        <v>#DIV/0!</v>
      </c>
      <c r="AE736" s="20">
        <f t="shared" si="503"/>
        <v>0</v>
      </c>
      <c r="AF736" s="20">
        <f t="shared" si="505"/>
        <v>0</v>
      </c>
      <c r="AG736" s="20">
        <f t="shared" si="505"/>
        <v>0</v>
      </c>
      <c r="AH736" s="20">
        <f t="shared" si="505"/>
        <v>0</v>
      </c>
      <c r="AI736" s="20">
        <f t="shared" si="505"/>
        <v>0</v>
      </c>
      <c r="AJ736" s="162" t="b">
        <f t="shared" si="493"/>
        <v>1</v>
      </c>
      <c r="AK736" s="162" t="str">
        <f t="shared" si="494"/>
        <v>PRAZNO</v>
      </c>
      <c r="AL736" s="173"/>
      <c r="AM736" s="164"/>
    </row>
    <row r="737" spans="1:39" ht="18.75" customHeight="1" x14ac:dyDescent="0.2">
      <c r="B737" s="199"/>
      <c r="C737" s="200">
        <v>36</v>
      </c>
      <c r="D737" s="200"/>
      <c r="E737" s="200"/>
      <c r="F737" s="200"/>
      <c r="G737" s="200"/>
      <c r="H737" s="30" t="s">
        <v>751</v>
      </c>
      <c r="I737" s="17">
        <f t="shared" si="505"/>
        <v>48000</v>
      </c>
      <c r="J737" s="17">
        <f t="shared" si="505"/>
        <v>0</v>
      </c>
      <c r="K737" s="17">
        <f>ROUND(J737/I737*100,2)</f>
        <v>0</v>
      </c>
      <c r="L737" s="17">
        <f>M737-I737</f>
        <v>-48000</v>
      </c>
      <c r="M737" s="201">
        <f t="shared" si="505"/>
        <v>0</v>
      </c>
      <c r="N737" s="203">
        <f t="shared" si="505"/>
        <v>50000</v>
      </c>
      <c r="O737" s="203">
        <f t="shared" si="505"/>
        <v>0</v>
      </c>
      <c r="P737" s="26">
        <f t="shared" si="506"/>
        <v>-50000</v>
      </c>
      <c r="Q737" s="201">
        <f t="shared" si="505"/>
        <v>50000</v>
      </c>
      <c r="R737" s="201">
        <f t="shared" si="505"/>
        <v>80000</v>
      </c>
      <c r="S737" s="201">
        <f t="shared" si="505"/>
        <v>90000</v>
      </c>
      <c r="T737" s="204">
        <f t="shared" si="505"/>
        <v>0</v>
      </c>
      <c r="U737" s="204">
        <f t="shared" si="505"/>
        <v>0</v>
      </c>
      <c r="V737" s="203">
        <f t="shared" si="505"/>
        <v>0</v>
      </c>
      <c r="W737" s="203">
        <f t="shared" si="505"/>
        <v>0</v>
      </c>
      <c r="X737" s="203">
        <f t="shared" si="505"/>
        <v>0</v>
      </c>
      <c r="Y737" s="203">
        <f t="shared" si="505"/>
        <v>0</v>
      </c>
      <c r="Z737" s="203" t="e">
        <f t="shared" si="499"/>
        <v>#DIV/0!</v>
      </c>
      <c r="AA737" s="203">
        <f t="shared" si="479"/>
        <v>0</v>
      </c>
      <c r="AB737" s="203">
        <f t="shared" si="505"/>
        <v>0</v>
      </c>
      <c r="AC737" s="203">
        <f t="shared" si="505"/>
        <v>0</v>
      </c>
      <c r="AD737" s="203" t="e">
        <f t="shared" si="495"/>
        <v>#DIV/0!</v>
      </c>
      <c r="AE737" s="203">
        <f t="shared" si="503"/>
        <v>0</v>
      </c>
      <c r="AF737" s="203">
        <f t="shared" si="505"/>
        <v>0</v>
      </c>
      <c r="AG737" s="203">
        <f t="shared" si="505"/>
        <v>0</v>
      </c>
      <c r="AH737" s="203">
        <f t="shared" si="505"/>
        <v>0</v>
      </c>
      <c r="AI737" s="203">
        <f t="shared" si="505"/>
        <v>0</v>
      </c>
      <c r="AJ737" s="162" t="b">
        <f t="shared" si="493"/>
        <v>1</v>
      </c>
      <c r="AK737" s="162" t="str">
        <f t="shared" si="494"/>
        <v>PRAZNO</v>
      </c>
      <c r="AM737" s="164"/>
    </row>
    <row r="738" spans="1:39" ht="15.75" x14ac:dyDescent="0.2">
      <c r="B738" s="177"/>
      <c r="C738" s="177"/>
      <c r="D738" s="177">
        <v>363</v>
      </c>
      <c r="E738" s="177"/>
      <c r="F738" s="177"/>
      <c r="G738" s="177"/>
      <c r="H738" s="29" t="s">
        <v>536</v>
      </c>
      <c r="I738" s="18">
        <f>SUM(I739:I739)</f>
        <v>48000</v>
      </c>
      <c r="J738" s="18">
        <f>SUM(J739:J739)</f>
        <v>0</v>
      </c>
      <c r="K738" s="18">
        <f>ROUND(J738/I738*100,2)</f>
        <v>0</v>
      </c>
      <c r="L738" s="18">
        <f>M738-I738</f>
        <v>-48000</v>
      </c>
      <c r="M738" s="18">
        <f>SUM(M739:M739)</f>
        <v>0</v>
      </c>
      <c r="N738" s="18">
        <f>SUM(N739:N739)</f>
        <v>50000</v>
      </c>
      <c r="O738" s="18">
        <f>SUM(O739:O739)</f>
        <v>0</v>
      </c>
      <c r="P738" s="26">
        <f t="shared" si="506"/>
        <v>-50000</v>
      </c>
      <c r="Q738" s="18">
        <f t="shared" ref="Q738:AI738" si="507">SUM(Q739:Q739)</f>
        <v>50000</v>
      </c>
      <c r="R738" s="18">
        <f t="shared" si="507"/>
        <v>80000</v>
      </c>
      <c r="S738" s="18">
        <f t="shared" si="507"/>
        <v>90000</v>
      </c>
      <c r="T738" s="27">
        <f t="shared" si="507"/>
        <v>0</v>
      </c>
      <c r="U738" s="27">
        <f t="shared" si="507"/>
        <v>0</v>
      </c>
      <c r="V738" s="18">
        <f t="shared" si="507"/>
        <v>0</v>
      </c>
      <c r="W738" s="18">
        <f t="shared" si="507"/>
        <v>0</v>
      </c>
      <c r="X738" s="18">
        <f t="shared" si="507"/>
        <v>0</v>
      </c>
      <c r="Y738" s="18">
        <f t="shared" si="507"/>
        <v>0</v>
      </c>
      <c r="Z738" s="18" t="e">
        <f t="shared" si="499"/>
        <v>#DIV/0!</v>
      </c>
      <c r="AA738" s="18">
        <f t="shared" si="479"/>
        <v>0</v>
      </c>
      <c r="AB738" s="18">
        <f t="shared" si="507"/>
        <v>0</v>
      </c>
      <c r="AC738" s="18">
        <f t="shared" si="507"/>
        <v>0</v>
      </c>
      <c r="AD738" s="18" t="e">
        <f t="shared" si="495"/>
        <v>#DIV/0!</v>
      </c>
      <c r="AE738" s="18">
        <f t="shared" si="503"/>
        <v>0</v>
      </c>
      <c r="AF738" s="18">
        <f t="shared" si="507"/>
        <v>0</v>
      </c>
      <c r="AG738" s="18">
        <f t="shared" si="507"/>
        <v>0</v>
      </c>
      <c r="AH738" s="18">
        <f t="shared" si="507"/>
        <v>0</v>
      </c>
      <c r="AI738" s="18">
        <f t="shared" si="507"/>
        <v>0</v>
      </c>
      <c r="AJ738" s="162" t="b">
        <f t="shared" si="493"/>
        <v>1</v>
      </c>
      <c r="AK738" s="162" t="str">
        <f t="shared" si="494"/>
        <v>PRAZNO</v>
      </c>
      <c r="AM738" s="164"/>
    </row>
    <row r="739" spans="1:39" ht="15.75" x14ac:dyDescent="0.2">
      <c r="B739" s="177"/>
      <c r="C739" s="177"/>
      <c r="D739" s="177"/>
      <c r="E739" s="177">
        <v>3631</v>
      </c>
      <c r="F739" s="176">
        <v>14</v>
      </c>
      <c r="G739" s="176"/>
      <c r="H739" s="29" t="s">
        <v>331</v>
      </c>
      <c r="I739" s="18">
        <v>48000</v>
      </c>
      <c r="J739" s="18">
        <v>0</v>
      </c>
      <c r="K739" s="18">
        <f>ROUND(J739/I739*100,2)</f>
        <v>0</v>
      </c>
      <c r="L739" s="18">
        <f>M739-I739</f>
        <v>-48000</v>
      </c>
      <c r="M739" s="18">
        <v>0</v>
      </c>
      <c r="N739" s="18">
        <v>50000</v>
      </c>
      <c r="O739" s="18">
        <v>0</v>
      </c>
      <c r="P739" s="26">
        <f t="shared" si="506"/>
        <v>-50000</v>
      </c>
      <c r="Q739" s="18">
        <v>50000</v>
      </c>
      <c r="R739" s="18">
        <v>80000</v>
      </c>
      <c r="S739" s="18">
        <v>90000</v>
      </c>
      <c r="T739" s="27">
        <v>0</v>
      </c>
      <c r="U739" s="27"/>
      <c r="V739" s="18">
        <v>0</v>
      </c>
      <c r="W739" s="18">
        <v>0</v>
      </c>
      <c r="X739" s="18">
        <v>0</v>
      </c>
      <c r="Y739" s="18"/>
      <c r="Z739" s="18" t="e">
        <f t="shared" si="499"/>
        <v>#DIV/0!</v>
      </c>
      <c r="AA739" s="18">
        <f t="shared" si="479"/>
        <v>0</v>
      </c>
      <c r="AB739" s="18">
        <v>0</v>
      </c>
      <c r="AC739" s="18"/>
      <c r="AD739" s="18" t="e">
        <f t="shared" si="495"/>
        <v>#DIV/0!</v>
      </c>
      <c r="AE739" s="18">
        <f t="shared" si="503"/>
        <v>0</v>
      </c>
      <c r="AF739" s="18">
        <v>0</v>
      </c>
      <c r="AG739" s="18">
        <v>0</v>
      </c>
      <c r="AH739" s="18">
        <v>0</v>
      </c>
      <c r="AI739" s="18">
        <v>0</v>
      </c>
      <c r="AJ739" s="162" t="b">
        <f t="shared" si="493"/>
        <v>0</v>
      </c>
      <c r="AK739" s="162" t="str">
        <f t="shared" si="494"/>
        <v>PUNO</v>
      </c>
      <c r="AM739" s="164"/>
    </row>
    <row r="740" spans="1:39" s="164" customFormat="1" ht="31.5" x14ac:dyDescent="0.2">
      <c r="A740" s="259"/>
      <c r="B740" s="194"/>
      <c r="C740" s="194"/>
      <c r="D740" s="194"/>
      <c r="E740" s="194"/>
      <c r="F740" s="159"/>
      <c r="G740" s="159"/>
      <c r="H740" s="24" t="s">
        <v>426</v>
      </c>
      <c r="I740" s="330" t="e">
        <f t="shared" ref="I740:O740" si="508">I743</f>
        <v>#REF!</v>
      </c>
      <c r="J740" s="330" t="e">
        <f t="shared" si="508"/>
        <v>#REF!</v>
      </c>
      <c r="K740" s="330" t="e">
        <f t="shared" si="508"/>
        <v>#REF!</v>
      </c>
      <c r="L740" s="330" t="e">
        <f t="shared" si="508"/>
        <v>#REF!</v>
      </c>
      <c r="M740" s="330" t="e">
        <f t="shared" si="508"/>
        <v>#REF!</v>
      </c>
      <c r="N740" s="330" t="e">
        <f t="shared" si="508"/>
        <v>#REF!</v>
      </c>
      <c r="O740" s="330" t="e">
        <f t="shared" si="508"/>
        <v>#REF!</v>
      </c>
      <c r="P740" s="351" t="e">
        <f t="shared" si="506"/>
        <v>#REF!</v>
      </c>
      <c r="Q740" s="195" t="e">
        <f t="shared" ref="Q740:X740" si="509">Q743</f>
        <v>#REF!</v>
      </c>
      <c r="R740" s="195" t="e">
        <f t="shared" si="509"/>
        <v>#REF!</v>
      </c>
      <c r="S740" s="195" t="e">
        <f t="shared" si="509"/>
        <v>#REF!</v>
      </c>
      <c r="T740" s="195">
        <f>T743</f>
        <v>0</v>
      </c>
      <c r="U740" s="195">
        <f>U743</f>
        <v>1514813.69</v>
      </c>
      <c r="V740" s="195">
        <f t="shared" si="509"/>
        <v>2046473</v>
      </c>
      <c r="W740" s="195" t="e">
        <f t="shared" si="509"/>
        <v>#REF!</v>
      </c>
      <c r="X740" s="195" t="e">
        <f t="shared" si="509"/>
        <v>#REF!</v>
      </c>
      <c r="Y740" s="195">
        <f>Y743</f>
        <v>562711.19999999995</v>
      </c>
      <c r="Z740" s="195">
        <f t="shared" si="499"/>
        <v>27.5</v>
      </c>
      <c r="AA740" s="195">
        <f t="shared" si="479"/>
        <v>161265</v>
      </c>
      <c r="AB740" s="195">
        <f>AB743</f>
        <v>2207738</v>
      </c>
      <c r="AC740" s="195">
        <f>AC743</f>
        <v>1023054.43</v>
      </c>
      <c r="AD740" s="195">
        <f t="shared" si="495"/>
        <v>46.339485482425907</v>
      </c>
      <c r="AE740" s="195">
        <f t="shared" si="503"/>
        <v>-94193</v>
      </c>
      <c r="AF740" s="195">
        <f>AF743</f>
        <v>2113545</v>
      </c>
      <c r="AG740" s="195">
        <f>AG743</f>
        <v>2471429</v>
      </c>
      <c r="AH740" s="195">
        <f>AH743</f>
        <v>2498593</v>
      </c>
      <c r="AI740" s="195">
        <f>AI743</f>
        <v>2533907</v>
      </c>
      <c r="AJ740" s="162" t="b">
        <f t="shared" si="493"/>
        <v>1</v>
      </c>
      <c r="AK740" s="162" t="str">
        <f t="shared" si="494"/>
        <v>PRAZNO</v>
      </c>
      <c r="AL740" s="165"/>
    </row>
    <row r="741" spans="1:39" s="164" customFormat="1" ht="15.75" x14ac:dyDescent="0.2">
      <c r="A741" s="259"/>
      <c r="B741" s="194"/>
      <c r="C741" s="194"/>
      <c r="D741" s="194"/>
      <c r="E741" s="194"/>
      <c r="F741" s="159"/>
      <c r="G741" s="159"/>
      <c r="H741" s="24"/>
      <c r="I741" s="196"/>
      <c r="J741" s="196"/>
      <c r="K741" s="196"/>
      <c r="L741" s="196"/>
      <c r="M741" s="195"/>
      <c r="N741" s="195"/>
      <c r="O741" s="195"/>
      <c r="P741" s="351"/>
      <c r="Q741" s="195"/>
      <c r="R741" s="195"/>
      <c r="S741" s="195"/>
      <c r="T741" s="195"/>
      <c r="U741" s="195"/>
      <c r="V741" s="195"/>
      <c r="W741" s="195"/>
      <c r="X741" s="195"/>
      <c r="Y741" s="195"/>
      <c r="Z741" s="195"/>
      <c r="AA741" s="195"/>
      <c r="AB741" s="195"/>
      <c r="AC741" s="195"/>
      <c r="AD741" s="195"/>
      <c r="AE741" s="195"/>
      <c r="AF741" s="195"/>
      <c r="AG741" s="195"/>
      <c r="AH741" s="195"/>
      <c r="AI741" s="195"/>
      <c r="AJ741" s="162" t="b">
        <f t="shared" si="493"/>
        <v>1</v>
      </c>
      <c r="AK741" s="162" t="str">
        <f t="shared" si="494"/>
        <v>PRAZNO</v>
      </c>
      <c r="AL741" s="165"/>
    </row>
    <row r="742" spans="1:39" s="164" customFormat="1" ht="15.75" x14ac:dyDescent="0.2">
      <c r="A742" s="259"/>
      <c r="B742" s="194"/>
      <c r="C742" s="194"/>
      <c r="D742" s="194"/>
      <c r="E742" s="194"/>
      <c r="F742" s="159"/>
      <c r="G742" s="159"/>
      <c r="H742" s="11" t="s">
        <v>421</v>
      </c>
      <c r="I742" s="196"/>
      <c r="J742" s="196"/>
      <c r="K742" s="196" t="e">
        <f>ROUND(J742/I742*100,2)</f>
        <v>#DIV/0!</v>
      </c>
      <c r="L742" s="196"/>
      <c r="M742" s="195"/>
      <c r="N742" s="195"/>
      <c r="O742" s="195"/>
      <c r="P742" s="353"/>
      <c r="Q742" s="195"/>
      <c r="R742" s="195"/>
      <c r="S742" s="195"/>
      <c r="T742" s="195"/>
      <c r="U742" s="195"/>
      <c r="V742" s="195"/>
      <c r="W742" s="195"/>
      <c r="X742" s="195"/>
      <c r="Y742" s="195"/>
      <c r="Z742" s="195"/>
      <c r="AA742" s="195"/>
      <c r="AB742" s="195"/>
      <c r="AC742" s="195"/>
      <c r="AD742" s="195"/>
      <c r="AE742" s="195"/>
      <c r="AF742" s="195"/>
      <c r="AG742" s="195"/>
      <c r="AH742" s="195"/>
      <c r="AI742" s="195"/>
      <c r="AJ742" s="162" t="b">
        <f t="shared" si="493"/>
        <v>1</v>
      </c>
      <c r="AK742" s="162" t="str">
        <f t="shared" si="494"/>
        <v>PRAZNO</v>
      </c>
      <c r="AL742" s="165"/>
    </row>
    <row r="743" spans="1:39" s="171" customFormat="1" ht="31.5" x14ac:dyDescent="0.2">
      <c r="A743" s="259"/>
      <c r="B743" s="270"/>
      <c r="C743" s="270"/>
      <c r="D743" s="270"/>
      <c r="E743" s="270"/>
      <c r="F743" s="270"/>
      <c r="G743" s="270"/>
      <c r="H743" s="274" t="s">
        <v>713</v>
      </c>
      <c r="I743" s="304" t="e">
        <f t="shared" ref="I743:O743" si="510">I744+I845</f>
        <v>#REF!</v>
      </c>
      <c r="J743" s="304" t="e">
        <f t="shared" si="510"/>
        <v>#REF!</v>
      </c>
      <c r="K743" s="304" t="e">
        <f t="shared" si="510"/>
        <v>#REF!</v>
      </c>
      <c r="L743" s="304" t="e">
        <f t="shared" si="510"/>
        <v>#REF!</v>
      </c>
      <c r="M743" s="304" t="e">
        <f t="shared" si="510"/>
        <v>#REF!</v>
      </c>
      <c r="N743" s="304" t="e">
        <f t="shared" si="510"/>
        <v>#REF!</v>
      </c>
      <c r="O743" s="304" t="e">
        <f t="shared" si="510"/>
        <v>#REF!</v>
      </c>
      <c r="P743" s="336" t="e">
        <f>T743-N743</f>
        <v>#REF!</v>
      </c>
      <c r="Q743" s="273" t="e">
        <f>#REF!+#REF!</f>
        <v>#REF!</v>
      </c>
      <c r="R743" s="272" t="e">
        <f>#REF!+#REF!</f>
        <v>#REF!</v>
      </c>
      <c r="S743" s="272" t="e">
        <f>#REF!+#REF!</f>
        <v>#REF!</v>
      </c>
      <c r="T743" s="336">
        <f t="shared" ref="T743:Y743" si="511">T744+T788+T845</f>
        <v>0</v>
      </c>
      <c r="U743" s="336">
        <f t="shared" si="511"/>
        <v>1514813.69</v>
      </c>
      <c r="V743" s="336">
        <f t="shared" si="511"/>
        <v>2046473</v>
      </c>
      <c r="W743" s="336" t="e">
        <f t="shared" si="511"/>
        <v>#REF!</v>
      </c>
      <c r="X743" s="336" t="e">
        <f t="shared" si="511"/>
        <v>#REF!</v>
      </c>
      <c r="Y743" s="336">
        <f t="shared" si="511"/>
        <v>562711.19999999995</v>
      </c>
      <c r="Z743" s="336">
        <f t="shared" si="499"/>
        <v>27.5</v>
      </c>
      <c r="AA743" s="336">
        <f t="shared" si="479"/>
        <v>161265</v>
      </c>
      <c r="AB743" s="336">
        <f>AB744+AB788+AB845</f>
        <v>2207738</v>
      </c>
      <c r="AC743" s="336">
        <f>AC744+AC788+AC845</f>
        <v>1023054.43</v>
      </c>
      <c r="AD743" s="336">
        <f t="shared" si="495"/>
        <v>46.339485482425907</v>
      </c>
      <c r="AE743" s="336">
        <f t="shared" si="503"/>
        <v>-94193</v>
      </c>
      <c r="AF743" s="336">
        <f>AF744+AF788+AF845</f>
        <v>2113545</v>
      </c>
      <c r="AG743" s="336">
        <f>AG744+AG788+AG845</f>
        <v>2471429</v>
      </c>
      <c r="AH743" s="336">
        <f>AH744+AH788+AH845</f>
        <v>2498593</v>
      </c>
      <c r="AI743" s="336">
        <f>AI744+AI788+AI845</f>
        <v>2533907</v>
      </c>
      <c r="AJ743" s="162" t="b">
        <f t="shared" si="493"/>
        <v>1</v>
      </c>
      <c r="AK743" s="162" t="str">
        <f t="shared" si="494"/>
        <v>PRAZNO</v>
      </c>
      <c r="AL743" s="170"/>
      <c r="AM743" s="164"/>
    </row>
    <row r="744" spans="1:39" s="171" customFormat="1" ht="31.5" x14ac:dyDescent="0.2">
      <c r="A744" s="259"/>
      <c r="B744" s="168"/>
      <c r="C744" s="168"/>
      <c r="D744" s="168"/>
      <c r="E744" s="168"/>
      <c r="F744" s="168"/>
      <c r="G744" s="168"/>
      <c r="H744" s="13" t="s">
        <v>585</v>
      </c>
      <c r="I744" s="169" t="e">
        <f>I746</f>
        <v>#REF!</v>
      </c>
      <c r="J744" s="169" t="e">
        <f>J746</f>
        <v>#REF!</v>
      </c>
      <c r="K744" s="169" t="e">
        <f>ROUND(J744/I744*100,2)</f>
        <v>#REF!</v>
      </c>
      <c r="L744" s="169" t="e">
        <f>M744-I744</f>
        <v>#REF!</v>
      </c>
      <c r="M744" s="19" t="e">
        <f>M746</f>
        <v>#REF!</v>
      </c>
      <c r="N744" s="19" t="e">
        <f>N746</f>
        <v>#REF!</v>
      </c>
      <c r="O744" s="19" t="e">
        <f>O746</f>
        <v>#REF!</v>
      </c>
      <c r="P744" s="303" t="e">
        <f t="shared" ref="P744:P770" si="512">T744-N744</f>
        <v>#REF!</v>
      </c>
      <c r="Q744" s="19" t="e">
        <f t="shared" ref="Q744:X744" si="513">Q746</f>
        <v>#REF!</v>
      </c>
      <c r="R744" s="19" t="e">
        <f t="shared" si="513"/>
        <v>#REF!</v>
      </c>
      <c r="S744" s="19" t="e">
        <f t="shared" si="513"/>
        <v>#REF!</v>
      </c>
      <c r="T744" s="19">
        <f>T746</f>
        <v>0</v>
      </c>
      <c r="U744" s="19">
        <f>U746</f>
        <v>1459855.05</v>
      </c>
      <c r="V744" s="19">
        <f t="shared" si="513"/>
        <v>1770272</v>
      </c>
      <c r="W744" s="19" t="e">
        <f t="shared" si="513"/>
        <v>#REF!</v>
      </c>
      <c r="X744" s="19" t="e">
        <f t="shared" si="513"/>
        <v>#REF!</v>
      </c>
      <c r="Y744" s="19">
        <f>Y746</f>
        <v>562711.19999999995</v>
      </c>
      <c r="Z744" s="19">
        <f t="shared" si="499"/>
        <v>31.79</v>
      </c>
      <c r="AA744" s="19">
        <f t="shared" si="479"/>
        <v>115153</v>
      </c>
      <c r="AB744" s="19">
        <f>AB746</f>
        <v>1885425</v>
      </c>
      <c r="AC744" s="19">
        <f>AC746</f>
        <v>1006334.39</v>
      </c>
      <c r="AD744" s="19">
        <f t="shared" si="495"/>
        <v>53.374405770582236</v>
      </c>
      <c r="AE744" s="19">
        <f t="shared" si="503"/>
        <v>-96880</v>
      </c>
      <c r="AF744" s="19">
        <f>AF746</f>
        <v>1788545</v>
      </c>
      <c r="AG744" s="19">
        <f>AG746</f>
        <v>1949250</v>
      </c>
      <c r="AH744" s="19">
        <f>AH746</f>
        <v>1978914</v>
      </c>
      <c r="AI744" s="19">
        <f>AI746</f>
        <v>2014228</v>
      </c>
      <c r="AJ744" s="162" t="b">
        <f t="shared" si="493"/>
        <v>1</v>
      </c>
      <c r="AK744" s="162" t="str">
        <f t="shared" si="494"/>
        <v>PRAZNO</v>
      </c>
      <c r="AL744" s="170"/>
      <c r="AM744" s="164"/>
    </row>
    <row r="745" spans="1:39" s="264" customFormat="1" ht="15.75" x14ac:dyDescent="0.2">
      <c r="A745" s="259"/>
      <c r="B745" s="260"/>
      <c r="C745" s="260"/>
      <c r="D745" s="260"/>
      <c r="E745" s="260"/>
      <c r="F745" s="260"/>
      <c r="G745" s="260"/>
      <c r="H745" s="440" t="s">
        <v>824</v>
      </c>
      <c r="I745" s="181"/>
      <c r="J745" s="181"/>
      <c r="K745" s="181"/>
      <c r="L745" s="181"/>
      <c r="M745" s="262"/>
      <c r="N745" s="262"/>
      <c r="O745" s="262"/>
      <c r="P745" s="445"/>
      <c r="Q745" s="262"/>
      <c r="R745" s="262"/>
      <c r="S745" s="262"/>
      <c r="T745" s="262">
        <f t="shared" ref="T745:Y745" si="514">T746</f>
        <v>0</v>
      </c>
      <c r="U745" s="262">
        <f t="shared" si="514"/>
        <v>1459855.05</v>
      </c>
      <c r="V745" s="262">
        <f t="shared" si="514"/>
        <v>1770272</v>
      </c>
      <c r="W745" s="262" t="e">
        <f t="shared" si="514"/>
        <v>#REF!</v>
      </c>
      <c r="X745" s="262" t="e">
        <f t="shared" si="514"/>
        <v>#REF!</v>
      </c>
      <c r="Y745" s="262">
        <f t="shared" si="514"/>
        <v>562711.19999999995</v>
      </c>
      <c r="Z745" s="262">
        <f t="shared" si="499"/>
        <v>31.79</v>
      </c>
      <c r="AA745" s="262">
        <f t="shared" si="479"/>
        <v>115153</v>
      </c>
      <c r="AB745" s="262">
        <f>AB746</f>
        <v>1885425</v>
      </c>
      <c r="AC745" s="262">
        <f>AC746</f>
        <v>1006334.39</v>
      </c>
      <c r="AD745" s="262">
        <f t="shared" si="495"/>
        <v>53.374405770582236</v>
      </c>
      <c r="AE745" s="262">
        <f t="shared" si="503"/>
        <v>-96880</v>
      </c>
      <c r="AF745" s="262">
        <f>AF746</f>
        <v>1788545</v>
      </c>
      <c r="AG745" s="262">
        <f>AG746</f>
        <v>1949250</v>
      </c>
      <c r="AH745" s="262">
        <f>AH746</f>
        <v>1978914</v>
      </c>
      <c r="AI745" s="262">
        <f>AI746</f>
        <v>2014228</v>
      </c>
      <c r="AJ745" s="162" t="b">
        <f t="shared" si="493"/>
        <v>1</v>
      </c>
      <c r="AK745" s="162" t="str">
        <f t="shared" si="494"/>
        <v>PRAZNO</v>
      </c>
      <c r="AL745" s="263"/>
    </row>
    <row r="746" spans="1:39" s="174" customFormat="1" ht="15.75" x14ac:dyDescent="0.2">
      <c r="A746" s="259"/>
      <c r="B746" s="172">
        <v>3</v>
      </c>
      <c r="C746" s="172"/>
      <c r="D746" s="172"/>
      <c r="E746" s="172"/>
      <c r="F746" s="172"/>
      <c r="G746" s="172"/>
      <c r="H746" s="14" t="s">
        <v>524</v>
      </c>
      <c r="I746" s="20" t="e">
        <f>#REF!</f>
        <v>#REF!</v>
      </c>
      <c r="J746" s="20" t="e">
        <f>#REF!</f>
        <v>#REF!</v>
      </c>
      <c r="K746" s="20" t="e">
        <f>ROUND(J746/I746*100,2)</f>
        <v>#REF!</v>
      </c>
      <c r="L746" s="20" t="e">
        <f>M746-I746</f>
        <v>#REF!</v>
      </c>
      <c r="M746" s="20" t="e">
        <f>#REF!</f>
        <v>#REF!</v>
      </c>
      <c r="N746" s="20" t="e">
        <f>#REF!</f>
        <v>#REF!</v>
      </c>
      <c r="O746" s="20" t="e">
        <f>#REF!</f>
        <v>#REF!</v>
      </c>
      <c r="P746" s="55" t="e">
        <f t="shared" si="512"/>
        <v>#REF!</v>
      </c>
      <c r="Q746" s="20" t="e">
        <f>#REF!</f>
        <v>#REF!</v>
      </c>
      <c r="R746" s="20" t="e">
        <f>#REF!</f>
        <v>#REF!</v>
      </c>
      <c r="S746" s="20" t="e">
        <f>#REF!</f>
        <v>#REF!</v>
      </c>
      <c r="T746" s="20">
        <f>T747+T755+T782</f>
        <v>0</v>
      </c>
      <c r="U746" s="20">
        <f>U747+U755+U782+U785</f>
        <v>1459855.05</v>
      </c>
      <c r="V746" s="20">
        <f>V747+V755+V782</f>
        <v>1770272</v>
      </c>
      <c r="W746" s="20" t="e">
        <f>W747+W755+W782+#REF!</f>
        <v>#REF!</v>
      </c>
      <c r="X746" s="20" t="e">
        <f>X747+X755+X782+#REF!</f>
        <v>#REF!</v>
      </c>
      <c r="Y746" s="20">
        <f>Y747+Y755+Y782</f>
        <v>562711.19999999995</v>
      </c>
      <c r="Z746" s="20">
        <f t="shared" si="499"/>
        <v>31.79</v>
      </c>
      <c r="AA746" s="20">
        <f t="shared" si="479"/>
        <v>115153</v>
      </c>
      <c r="AB746" s="20">
        <f>AB747+AB755+AB782</f>
        <v>1885425</v>
      </c>
      <c r="AC746" s="20">
        <f>AC747+AC755+AC782</f>
        <v>1006334.39</v>
      </c>
      <c r="AD746" s="20">
        <f t="shared" si="495"/>
        <v>53.374405770582236</v>
      </c>
      <c r="AE746" s="20">
        <f t="shared" si="503"/>
        <v>-96880</v>
      </c>
      <c r="AF746" s="20">
        <f>AF747+AF755+AF782</f>
        <v>1788545</v>
      </c>
      <c r="AG746" s="20">
        <f>AG747+AG755+AG782</f>
        <v>1949250</v>
      </c>
      <c r="AH746" s="20">
        <f>AH747+AH755+AH782</f>
        <v>1978914</v>
      </c>
      <c r="AI746" s="20">
        <f>AI747+AI755+AI782</f>
        <v>2014228</v>
      </c>
      <c r="AJ746" s="162" t="b">
        <f t="shared" si="493"/>
        <v>1</v>
      </c>
      <c r="AK746" s="162" t="str">
        <f t="shared" si="494"/>
        <v>PRAZNO</v>
      </c>
      <c r="AL746" s="173"/>
      <c r="AM746" s="164"/>
    </row>
    <row r="747" spans="1:39" s="638" customFormat="1" ht="15.75" x14ac:dyDescent="0.2">
      <c r="A747" s="633"/>
      <c r="B747" s="475"/>
      <c r="C747" s="314">
        <v>31</v>
      </c>
      <c r="D747" s="314"/>
      <c r="E747" s="314"/>
      <c r="F747" s="634"/>
      <c r="G747" s="634"/>
      <c r="H747" s="635" t="s">
        <v>197</v>
      </c>
      <c r="I747" s="639">
        <f t="shared" ref="I747:N747" si="515">I748+I750+I752</f>
        <v>0</v>
      </c>
      <c r="J747" s="639">
        <f t="shared" si="515"/>
        <v>0</v>
      </c>
      <c r="K747" s="639">
        <f t="shared" si="515"/>
        <v>0</v>
      </c>
      <c r="L747" s="639">
        <f t="shared" si="515"/>
        <v>0</v>
      </c>
      <c r="M747" s="639">
        <f t="shared" si="515"/>
        <v>0</v>
      </c>
      <c r="N747" s="317">
        <f t="shared" si="515"/>
        <v>0</v>
      </c>
      <c r="O747" s="317">
        <f>O748+O750+O752</f>
        <v>0</v>
      </c>
      <c r="P747" s="341">
        <f t="shared" si="512"/>
        <v>0</v>
      </c>
      <c r="Q747" s="317"/>
      <c r="R747" s="317"/>
      <c r="S747" s="317"/>
      <c r="T747" s="317">
        <f t="shared" ref="T747:Y747" si="516">T748+T750+T752</f>
        <v>0</v>
      </c>
      <c r="U747" s="317">
        <f t="shared" si="516"/>
        <v>0</v>
      </c>
      <c r="V747" s="317">
        <f t="shared" si="516"/>
        <v>1152782</v>
      </c>
      <c r="W747" s="317">
        <f t="shared" si="516"/>
        <v>1174255</v>
      </c>
      <c r="X747" s="317">
        <f t="shared" si="516"/>
        <v>1230345</v>
      </c>
      <c r="Y747" s="317">
        <f t="shared" si="516"/>
        <v>375529.02999999997</v>
      </c>
      <c r="Z747" s="317">
        <f t="shared" si="499"/>
        <v>32.58</v>
      </c>
      <c r="AA747" s="317">
        <f t="shared" si="479"/>
        <v>41128</v>
      </c>
      <c r="AB747" s="317">
        <f>AB748+AB750+AB752</f>
        <v>1193910</v>
      </c>
      <c r="AC747" s="317">
        <f>AC748+AC750+AC752</f>
        <v>709975.52</v>
      </c>
      <c r="AD747" s="317">
        <f t="shared" si="495"/>
        <v>59.466418741781212</v>
      </c>
      <c r="AE747" s="317">
        <f t="shared" si="503"/>
        <v>-85490</v>
      </c>
      <c r="AF747" s="317">
        <f>AF748+AF750+AF752</f>
        <v>1108420</v>
      </c>
      <c r="AG747" s="317">
        <f>AG748+AG750+AG752</f>
        <v>1217310</v>
      </c>
      <c r="AH747" s="317">
        <f>AH748+AH750+AH752</f>
        <v>1234560</v>
      </c>
      <c r="AI747" s="317">
        <f>AI748+AI750+AI752</f>
        <v>1257600</v>
      </c>
      <c r="AJ747" s="162" t="b">
        <f t="shared" si="493"/>
        <v>1</v>
      </c>
      <c r="AK747" s="162" t="str">
        <f t="shared" si="494"/>
        <v>PRAZNO</v>
      </c>
      <c r="AL747" s="637"/>
    </row>
    <row r="748" spans="1:39" s="264" customFormat="1" ht="15.75" x14ac:dyDescent="0.2">
      <c r="A748" s="259"/>
      <c r="B748" s="260"/>
      <c r="C748" s="212"/>
      <c r="D748" s="212">
        <v>311</v>
      </c>
      <c r="E748" s="212"/>
      <c r="F748" s="405"/>
      <c r="G748" s="405"/>
      <c r="H748" s="402" t="s">
        <v>198</v>
      </c>
      <c r="I748" s="213">
        <f t="shared" ref="I748:N748" si="517">I749</f>
        <v>0</v>
      </c>
      <c r="J748" s="213">
        <f t="shared" si="517"/>
        <v>0</v>
      </c>
      <c r="K748" s="213">
        <f t="shared" si="517"/>
        <v>0</v>
      </c>
      <c r="L748" s="213">
        <f t="shared" si="517"/>
        <v>0</v>
      </c>
      <c r="M748" s="213">
        <f t="shared" si="517"/>
        <v>0</v>
      </c>
      <c r="N748" s="213">
        <f t="shared" si="517"/>
        <v>0</v>
      </c>
      <c r="O748" s="213">
        <f>O749</f>
        <v>0</v>
      </c>
      <c r="P748" s="343">
        <f t="shared" si="512"/>
        <v>0</v>
      </c>
      <c r="Q748" s="262"/>
      <c r="R748" s="262"/>
      <c r="S748" s="262"/>
      <c r="T748" s="213">
        <f t="shared" ref="T748:Y748" si="518">T749</f>
        <v>0</v>
      </c>
      <c r="U748" s="213">
        <f t="shared" si="518"/>
        <v>0</v>
      </c>
      <c r="V748" s="213">
        <f t="shared" si="518"/>
        <v>936100</v>
      </c>
      <c r="W748" s="213">
        <f t="shared" si="518"/>
        <v>954750</v>
      </c>
      <c r="X748" s="213">
        <f t="shared" si="518"/>
        <v>1003443</v>
      </c>
      <c r="Y748" s="213">
        <f t="shared" si="518"/>
        <v>321285.59999999998</v>
      </c>
      <c r="Z748" s="213">
        <f t="shared" si="499"/>
        <v>34.32</v>
      </c>
      <c r="AA748" s="213">
        <f t="shared" si="479"/>
        <v>33900</v>
      </c>
      <c r="AB748" s="213">
        <f>AB749</f>
        <v>970000</v>
      </c>
      <c r="AC748" s="213">
        <f>AC749</f>
        <v>596881.39</v>
      </c>
      <c r="AD748" s="213">
        <f t="shared" si="495"/>
        <v>61.534163917525774</v>
      </c>
      <c r="AE748" s="213">
        <f t="shared" si="503"/>
        <v>-70000</v>
      </c>
      <c r="AF748" s="213">
        <f>AF749</f>
        <v>900000</v>
      </c>
      <c r="AG748" s="213">
        <f>AG749</f>
        <v>985000</v>
      </c>
      <c r="AH748" s="213">
        <f>AH749</f>
        <v>1000000</v>
      </c>
      <c r="AI748" s="213">
        <f>AI749</f>
        <v>1020000</v>
      </c>
      <c r="AJ748" s="162" t="b">
        <f t="shared" si="493"/>
        <v>1</v>
      </c>
      <c r="AK748" s="162" t="str">
        <f t="shared" si="494"/>
        <v>PRAZNO</v>
      </c>
      <c r="AL748" s="263"/>
    </row>
    <row r="749" spans="1:39" s="264" customFormat="1" ht="15.75" x14ac:dyDescent="0.2">
      <c r="A749" s="259"/>
      <c r="B749" s="260"/>
      <c r="C749" s="212"/>
      <c r="D749" s="212"/>
      <c r="E749" s="212">
        <v>3111</v>
      </c>
      <c r="F749" s="176">
        <v>11</v>
      </c>
      <c r="G749" s="405"/>
      <c r="H749" s="402" t="s">
        <v>199</v>
      </c>
      <c r="I749" s="213">
        <v>0</v>
      </c>
      <c r="J749" s="213">
        <v>0</v>
      </c>
      <c r="K749" s="213">
        <v>0</v>
      </c>
      <c r="L749" s="213">
        <v>0</v>
      </c>
      <c r="M749" s="213">
        <v>0</v>
      </c>
      <c r="N749" s="213">
        <v>0</v>
      </c>
      <c r="O749" s="213">
        <v>0</v>
      </c>
      <c r="P749" s="343">
        <f t="shared" si="512"/>
        <v>0</v>
      </c>
      <c r="Q749" s="262"/>
      <c r="R749" s="262"/>
      <c r="S749" s="262"/>
      <c r="T749" s="343">
        <v>0</v>
      </c>
      <c r="U749" s="343"/>
      <c r="V749" s="213">
        <v>936100</v>
      </c>
      <c r="W749" s="213">
        <f>954750</f>
        <v>954750</v>
      </c>
      <c r="X749" s="213">
        <f>1003443</f>
        <v>1003443</v>
      </c>
      <c r="Y749" s="213">
        <v>321285.59999999998</v>
      </c>
      <c r="Z749" s="213">
        <f t="shared" si="499"/>
        <v>34.32</v>
      </c>
      <c r="AA749" s="213">
        <f t="shared" si="479"/>
        <v>33900</v>
      </c>
      <c r="AB749" s="213">
        <v>970000</v>
      </c>
      <c r="AC749" s="213">
        <v>596881.39</v>
      </c>
      <c r="AD749" s="213">
        <f t="shared" si="495"/>
        <v>61.534163917525774</v>
      </c>
      <c r="AE749" s="213">
        <f t="shared" si="503"/>
        <v>-70000</v>
      </c>
      <c r="AF749" s="213">
        <v>900000</v>
      </c>
      <c r="AG749" s="213">
        <v>985000</v>
      </c>
      <c r="AH749" s="213">
        <v>1000000</v>
      </c>
      <c r="AI749" s="213">
        <v>1020000</v>
      </c>
      <c r="AJ749" s="162" t="b">
        <f t="shared" si="493"/>
        <v>0</v>
      </c>
      <c r="AK749" s="162" t="str">
        <f t="shared" si="494"/>
        <v>PUNO</v>
      </c>
      <c r="AL749" s="263"/>
    </row>
    <row r="750" spans="1:39" s="264" customFormat="1" ht="15.75" x14ac:dyDescent="0.2">
      <c r="A750" s="259"/>
      <c r="B750" s="260"/>
      <c r="C750" s="212"/>
      <c r="D750" s="212">
        <v>312</v>
      </c>
      <c r="E750" s="212"/>
      <c r="F750" s="405"/>
      <c r="G750" s="405"/>
      <c r="H750" s="402" t="s">
        <v>200</v>
      </c>
      <c r="I750" s="213">
        <f t="shared" ref="I750:N750" si="519">I751</f>
        <v>0</v>
      </c>
      <c r="J750" s="213">
        <f t="shared" si="519"/>
        <v>0</v>
      </c>
      <c r="K750" s="213">
        <f t="shared" si="519"/>
        <v>0</v>
      </c>
      <c r="L750" s="213">
        <f t="shared" si="519"/>
        <v>0</v>
      </c>
      <c r="M750" s="213">
        <f t="shared" si="519"/>
        <v>0</v>
      </c>
      <c r="N750" s="213">
        <f t="shared" si="519"/>
        <v>0</v>
      </c>
      <c r="O750" s="213">
        <f>O751</f>
        <v>0</v>
      </c>
      <c r="P750" s="343">
        <f t="shared" si="512"/>
        <v>0</v>
      </c>
      <c r="Q750" s="262"/>
      <c r="R750" s="262"/>
      <c r="S750" s="262"/>
      <c r="T750" s="213">
        <f t="shared" ref="T750:Y750" si="520">T751</f>
        <v>0</v>
      </c>
      <c r="U750" s="213">
        <f t="shared" si="520"/>
        <v>0</v>
      </c>
      <c r="V750" s="213">
        <f t="shared" si="520"/>
        <v>74460</v>
      </c>
      <c r="W750" s="213">
        <f t="shared" si="520"/>
        <v>74460</v>
      </c>
      <c r="X750" s="213">
        <f t="shared" si="520"/>
        <v>74460</v>
      </c>
      <c r="Y750" s="213">
        <f t="shared" si="520"/>
        <v>5407.99</v>
      </c>
      <c r="Z750" s="213">
        <f t="shared" si="499"/>
        <v>7.26</v>
      </c>
      <c r="AA750" s="213">
        <f t="shared" si="479"/>
        <v>2000</v>
      </c>
      <c r="AB750" s="213">
        <f>AB751</f>
        <v>76460</v>
      </c>
      <c r="AC750" s="213">
        <f>AC751</f>
        <v>22367.99</v>
      </c>
      <c r="AD750" s="213">
        <f t="shared" si="495"/>
        <v>29.254499084488621</v>
      </c>
      <c r="AE750" s="213">
        <f t="shared" si="503"/>
        <v>-4840</v>
      </c>
      <c r="AF750" s="213">
        <f>AF751</f>
        <v>71620</v>
      </c>
      <c r="AG750" s="213">
        <f>AG751</f>
        <v>82560</v>
      </c>
      <c r="AH750" s="213">
        <v>82560</v>
      </c>
      <c r="AI750" s="213">
        <f>AI751</f>
        <v>82560</v>
      </c>
      <c r="AJ750" s="162" t="b">
        <f t="shared" si="493"/>
        <v>1</v>
      </c>
      <c r="AK750" s="162" t="str">
        <f t="shared" si="494"/>
        <v>PRAZNO</v>
      </c>
      <c r="AL750" s="263"/>
    </row>
    <row r="751" spans="1:39" s="264" customFormat="1" ht="15.75" x14ac:dyDescent="0.2">
      <c r="A751" s="259"/>
      <c r="B751" s="260"/>
      <c r="C751" s="212"/>
      <c r="D751" s="212"/>
      <c r="E751" s="212">
        <v>3121</v>
      </c>
      <c r="F751" s="176">
        <v>11</v>
      </c>
      <c r="G751" s="405"/>
      <c r="H751" s="402" t="s">
        <v>200</v>
      </c>
      <c r="I751" s="213">
        <v>0</v>
      </c>
      <c r="J751" s="213">
        <v>0</v>
      </c>
      <c r="K751" s="213">
        <v>0</v>
      </c>
      <c r="L751" s="213">
        <v>0</v>
      </c>
      <c r="M751" s="213">
        <v>0</v>
      </c>
      <c r="N751" s="213">
        <v>0</v>
      </c>
      <c r="O751" s="213">
        <v>0</v>
      </c>
      <c r="P751" s="343">
        <f t="shared" si="512"/>
        <v>0</v>
      </c>
      <c r="Q751" s="262"/>
      <c r="R751" s="262"/>
      <c r="S751" s="262"/>
      <c r="T751" s="343">
        <v>0</v>
      </c>
      <c r="U751" s="343"/>
      <c r="V751" s="213">
        <v>74460</v>
      </c>
      <c r="W751" s="213">
        <v>74460</v>
      </c>
      <c r="X751" s="213">
        <v>74460</v>
      </c>
      <c r="Y751" s="213">
        <v>5407.99</v>
      </c>
      <c r="Z751" s="213">
        <f t="shared" si="499"/>
        <v>7.26</v>
      </c>
      <c r="AA751" s="213">
        <f t="shared" ref="AA751:AA815" si="521">AB751-V751</f>
        <v>2000</v>
      </c>
      <c r="AB751" s="213">
        <v>76460</v>
      </c>
      <c r="AC751" s="213">
        <v>22367.99</v>
      </c>
      <c r="AD751" s="213">
        <f t="shared" si="495"/>
        <v>29.254499084488621</v>
      </c>
      <c r="AE751" s="213">
        <f t="shared" si="503"/>
        <v>-4840</v>
      </c>
      <c r="AF751" s="213">
        <v>71620</v>
      </c>
      <c r="AG751" s="213">
        <v>82560</v>
      </c>
      <c r="AH751" s="213">
        <v>82560</v>
      </c>
      <c r="AI751" s="213">
        <v>82560</v>
      </c>
      <c r="AJ751" s="162" t="b">
        <f t="shared" si="493"/>
        <v>0</v>
      </c>
      <c r="AK751" s="162" t="str">
        <f t="shared" si="494"/>
        <v>PUNO</v>
      </c>
      <c r="AL751" s="263"/>
    </row>
    <row r="752" spans="1:39" s="264" customFormat="1" ht="15.75" x14ac:dyDescent="0.2">
      <c r="A752" s="259"/>
      <c r="B752" s="260"/>
      <c r="C752" s="212"/>
      <c r="D752" s="212">
        <v>313</v>
      </c>
      <c r="E752" s="212"/>
      <c r="F752" s="405"/>
      <c r="G752" s="405"/>
      <c r="H752" s="402" t="s">
        <v>201</v>
      </c>
      <c r="I752" s="213">
        <f t="shared" ref="I752:O752" si="522">I753+I754</f>
        <v>0</v>
      </c>
      <c r="J752" s="213">
        <f t="shared" si="522"/>
        <v>0</v>
      </c>
      <c r="K752" s="213">
        <f t="shared" si="522"/>
        <v>0</v>
      </c>
      <c r="L752" s="213">
        <f t="shared" si="522"/>
        <v>0</v>
      </c>
      <c r="M752" s="213">
        <f t="shared" si="522"/>
        <v>0</v>
      </c>
      <c r="N752" s="213">
        <f t="shared" si="522"/>
        <v>0</v>
      </c>
      <c r="O752" s="213">
        <f t="shared" si="522"/>
        <v>0</v>
      </c>
      <c r="P752" s="343">
        <f t="shared" si="512"/>
        <v>0</v>
      </c>
      <c r="Q752" s="262"/>
      <c r="R752" s="262"/>
      <c r="S752" s="262"/>
      <c r="T752" s="213">
        <f t="shared" ref="T752:Y752" si="523">T753+T754</f>
        <v>0</v>
      </c>
      <c r="U752" s="213">
        <f t="shared" si="523"/>
        <v>0</v>
      </c>
      <c r="V752" s="213">
        <f t="shared" si="523"/>
        <v>142222</v>
      </c>
      <c r="W752" s="213">
        <f t="shared" si="523"/>
        <v>145045</v>
      </c>
      <c r="X752" s="213">
        <f t="shared" si="523"/>
        <v>152442</v>
      </c>
      <c r="Y752" s="213">
        <f t="shared" si="523"/>
        <v>48835.439999999995</v>
      </c>
      <c r="Z752" s="213">
        <f t="shared" si="499"/>
        <v>34.340000000000003</v>
      </c>
      <c r="AA752" s="213">
        <f t="shared" si="521"/>
        <v>5228</v>
      </c>
      <c r="AB752" s="213">
        <f>AB753+AB754</f>
        <v>147450</v>
      </c>
      <c r="AC752" s="213">
        <f>AC753+AC754</f>
        <v>90726.14</v>
      </c>
      <c r="AD752" s="213">
        <f t="shared" si="495"/>
        <v>61.530105120379787</v>
      </c>
      <c r="AE752" s="213">
        <f t="shared" si="503"/>
        <v>-10650</v>
      </c>
      <c r="AF752" s="213">
        <f>AF753+AF754</f>
        <v>136800</v>
      </c>
      <c r="AG752" s="213">
        <f>AG753+AG754</f>
        <v>149750</v>
      </c>
      <c r="AH752" s="213">
        <f>AH753+AH754</f>
        <v>152000</v>
      </c>
      <c r="AI752" s="213">
        <f>AI753+AI754</f>
        <v>155040</v>
      </c>
      <c r="AJ752" s="162" t="b">
        <f t="shared" si="493"/>
        <v>1</v>
      </c>
      <c r="AK752" s="162" t="str">
        <f t="shared" si="494"/>
        <v>PRAZNO</v>
      </c>
      <c r="AL752" s="263"/>
    </row>
    <row r="753" spans="1:38" s="264" customFormat="1" ht="15.75" x14ac:dyDescent="0.2">
      <c r="A753" s="259"/>
      <c r="B753" s="260"/>
      <c r="C753" s="212"/>
      <c r="D753" s="212"/>
      <c r="E753" s="212">
        <v>3132</v>
      </c>
      <c r="F753" s="176">
        <v>11</v>
      </c>
      <c r="G753" s="405"/>
      <c r="H753" s="402" t="s">
        <v>202</v>
      </c>
      <c r="I753" s="213">
        <v>0</v>
      </c>
      <c r="J753" s="213">
        <v>0</v>
      </c>
      <c r="K753" s="213">
        <v>0</v>
      </c>
      <c r="L753" s="213">
        <v>0</v>
      </c>
      <c r="M753" s="213">
        <v>0</v>
      </c>
      <c r="N753" s="213">
        <v>0</v>
      </c>
      <c r="O753" s="213">
        <v>0</v>
      </c>
      <c r="P753" s="343">
        <f t="shared" si="512"/>
        <v>0</v>
      </c>
      <c r="Q753" s="262"/>
      <c r="R753" s="262"/>
      <c r="S753" s="262"/>
      <c r="T753" s="343">
        <v>0</v>
      </c>
      <c r="U753" s="343"/>
      <c r="V753" s="213">
        <v>126313</v>
      </c>
      <c r="W753" s="213">
        <f>128832</f>
        <v>128832</v>
      </c>
      <c r="X753" s="213">
        <f>135402</f>
        <v>135402</v>
      </c>
      <c r="Y753" s="213">
        <v>43373.59</v>
      </c>
      <c r="Z753" s="213">
        <f t="shared" si="499"/>
        <v>34.340000000000003</v>
      </c>
      <c r="AA753" s="213">
        <f t="shared" si="521"/>
        <v>4637</v>
      </c>
      <c r="AB753" s="213">
        <v>130950</v>
      </c>
      <c r="AC753" s="213">
        <v>80579.14</v>
      </c>
      <c r="AD753" s="213">
        <f t="shared" si="495"/>
        <v>61.534280259641086</v>
      </c>
      <c r="AE753" s="213">
        <f t="shared" si="503"/>
        <v>-9450</v>
      </c>
      <c r="AF753" s="213">
        <v>121500</v>
      </c>
      <c r="AG753" s="213">
        <v>133000</v>
      </c>
      <c r="AH753" s="213">
        <v>135000</v>
      </c>
      <c r="AI753" s="213">
        <v>137700</v>
      </c>
      <c r="AJ753" s="162" t="b">
        <f t="shared" si="493"/>
        <v>0</v>
      </c>
      <c r="AK753" s="162" t="str">
        <f t="shared" si="494"/>
        <v>PUNO</v>
      </c>
      <c r="AL753" s="263"/>
    </row>
    <row r="754" spans="1:38" s="264" customFormat="1" ht="30" x14ac:dyDescent="0.2">
      <c r="A754" s="259"/>
      <c r="B754" s="260"/>
      <c r="C754" s="212"/>
      <c r="D754" s="212"/>
      <c r="E754" s="212">
        <v>3133</v>
      </c>
      <c r="F754" s="176">
        <v>11</v>
      </c>
      <c r="G754" s="405"/>
      <c r="H754" s="402" t="s">
        <v>337</v>
      </c>
      <c r="I754" s="213">
        <v>0</v>
      </c>
      <c r="J754" s="213">
        <v>0</v>
      </c>
      <c r="K754" s="213">
        <v>0</v>
      </c>
      <c r="L754" s="213">
        <v>0</v>
      </c>
      <c r="M754" s="213">
        <v>0</v>
      </c>
      <c r="N754" s="213">
        <v>0</v>
      </c>
      <c r="O754" s="213">
        <v>0</v>
      </c>
      <c r="P754" s="343">
        <f t="shared" si="512"/>
        <v>0</v>
      </c>
      <c r="Q754" s="262"/>
      <c r="R754" s="262"/>
      <c r="S754" s="262"/>
      <c r="T754" s="342"/>
      <c r="U754" s="342"/>
      <c r="V754" s="213">
        <v>15909</v>
      </c>
      <c r="W754" s="213">
        <f>16213</f>
        <v>16213</v>
      </c>
      <c r="X754" s="213">
        <f>17040</f>
        <v>17040</v>
      </c>
      <c r="Y754" s="213">
        <v>5461.85</v>
      </c>
      <c r="Z754" s="213">
        <f t="shared" si="499"/>
        <v>34.33</v>
      </c>
      <c r="AA754" s="213">
        <f t="shared" si="521"/>
        <v>591</v>
      </c>
      <c r="AB754" s="213">
        <v>16500</v>
      </c>
      <c r="AC754" s="213">
        <v>10147</v>
      </c>
      <c r="AD754" s="213">
        <f t="shared" si="495"/>
        <v>61.496969696969693</v>
      </c>
      <c r="AE754" s="213">
        <f t="shared" si="503"/>
        <v>-1200</v>
      </c>
      <c r="AF754" s="213">
        <v>15300</v>
      </c>
      <c r="AG754" s="213">
        <v>16750</v>
      </c>
      <c r="AH754" s="213">
        <v>17000</v>
      </c>
      <c r="AI754" s="213">
        <v>17340</v>
      </c>
      <c r="AJ754" s="162" t="b">
        <f t="shared" si="493"/>
        <v>0</v>
      </c>
      <c r="AK754" s="162" t="str">
        <f t="shared" si="494"/>
        <v>PUNO</v>
      </c>
      <c r="AL754" s="263"/>
    </row>
    <row r="755" spans="1:38" s="638" customFormat="1" ht="15.75" x14ac:dyDescent="0.2">
      <c r="A755" s="633"/>
      <c r="B755" s="475"/>
      <c r="C755" s="314">
        <v>32</v>
      </c>
      <c r="D755" s="314"/>
      <c r="E755" s="314"/>
      <c r="F755" s="634"/>
      <c r="G755" s="634"/>
      <c r="H755" s="635" t="s">
        <v>525</v>
      </c>
      <c r="I755" s="317">
        <f t="shared" ref="I755:O755" si="524">I756+I761+I766+I775+I782</f>
        <v>0</v>
      </c>
      <c r="J755" s="317">
        <f t="shared" si="524"/>
        <v>0</v>
      </c>
      <c r="K755" s="317">
        <f t="shared" si="524"/>
        <v>0</v>
      </c>
      <c r="L755" s="317">
        <f t="shared" si="524"/>
        <v>0</v>
      </c>
      <c r="M755" s="317">
        <f t="shared" si="524"/>
        <v>0</v>
      </c>
      <c r="N755" s="317">
        <f t="shared" si="524"/>
        <v>0</v>
      </c>
      <c r="O755" s="317">
        <f t="shared" si="524"/>
        <v>0</v>
      </c>
      <c r="P755" s="341">
        <f t="shared" si="512"/>
        <v>0</v>
      </c>
      <c r="Q755" s="636"/>
      <c r="R755" s="636"/>
      <c r="S755" s="636"/>
      <c r="T755" s="317">
        <f>T756+T761+T766+T775+T782</f>
        <v>0</v>
      </c>
      <c r="U755" s="317">
        <f>U756+U761+U766+U775+U782</f>
        <v>0</v>
      </c>
      <c r="V755" s="317">
        <f>V756+V761+V766+V775</f>
        <v>606290</v>
      </c>
      <c r="W755" s="317">
        <f>W756+W761+W766+W775</f>
        <v>590290</v>
      </c>
      <c r="X755" s="317">
        <f>X756+X761+X766+X775</f>
        <v>608003</v>
      </c>
      <c r="Y755" s="317">
        <f>Y756+Y761+Y766+Y775</f>
        <v>184760.21999999997</v>
      </c>
      <c r="Z755" s="317">
        <f t="shared" si="499"/>
        <v>30.47</v>
      </c>
      <c r="AA755" s="317">
        <f t="shared" si="521"/>
        <v>74025</v>
      </c>
      <c r="AB755" s="317">
        <f>AB756+AB761+AB766+AB775</f>
        <v>680315</v>
      </c>
      <c r="AC755" s="317">
        <f>AC756+AC761+AC766+AC775</f>
        <v>292082.47000000003</v>
      </c>
      <c r="AD755" s="317">
        <f t="shared" si="495"/>
        <v>42.933416138112499</v>
      </c>
      <c r="AE755" s="317">
        <f t="shared" si="503"/>
        <v>-11390</v>
      </c>
      <c r="AF755" s="317">
        <f>AF756+AF761+AF766+AF775</f>
        <v>668925</v>
      </c>
      <c r="AG755" s="317">
        <f>AG756+AG761+AG766+AG775</f>
        <v>719940</v>
      </c>
      <c r="AH755" s="317">
        <f>AH756+AH761+AH766+AH775</f>
        <v>732114</v>
      </c>
      <c r="AI755" s="317">
        <f>AI756+AI761+AI766+AI775</f>
        <v>744143</v>
      </c>
      <c r="AJ755" s="162" t="b">
        <f t="shared" si="493"/>
        <v>1</v>
      </c>
      <c r="AK755" s="162" t="str">
        <f t="shared" si="494"/>
        <v>PRAZNO</v>
      </c>
      <c r="AL755" s="637"/>
    </row>
    <row r="756" spans="1:38" s="264" customFormat="1" ht="15.75" x14ac:dyDescent="0.2">
      <c r="A756" s="259"/>
      <c r="B756" s="260"/>
      <c r="C756" s="212"/>
      <c r="D756" s="212">
        <v>321</v>
      </c>
      <c r="E756" s="212"/>
      <c r="F756" s="405"/>
      <c r="G756" s="405"/>
      <c r="H756" s="402" t="s">
        <v>564</v>
      </c>
      <c r="I756" s="213">
        <f t="shared" ref="I756:O756" si="525">SUM(I757:I759)</f>
        <v>0</v>
      </c>
      <c r="J756" s="213">
        <f t="shared" si="525"/>
        <v>0</v>
      </c>
      <c r="K756" s="213">
        <f t="shared" si="525"/>
        <v>0</v>
      </c>
      <c r="L756" s="213">
        <f t="shared" si="525"/>
        <v>0</v>
      </c>
      <c r="M756" s="213">
        <f t="shared" si="525"/>
        <v>0</v>
      </c>
      <c r="N756" s="213">
        <f t="shared" si="525"/>
        <v>0</v>
      </c>
      <c r="O756" s="213">
        <f t="shared" si="525"/>
        <v>0</v>
      </c>
      <c r="P756" s="343">
        <f t="shared" si="512"/>
        <v>0</v>
      </c>
      <c r="Q756" s="262"/>
      <c r="R756" s="262"/>
      <c r="S756" s="262"/>
      <c r="T756" s="213">
        <f>SUM(T757:T759)</f>
        <v>0</v>
      </c>
      <c r="U756" s="213">
        <f>SUM(U757:U759)</f>
        <v>0</v>
      </c>
      <c r="V756" s="213">
        <f>SUM(V757:V760)</f>
        <v>122900</v>
      </c>
      <c r="W756" s="213">
        <f>SUM(W757:W759)</f>
        <v>122900</v>
      </c>
      <c r="X756" s="213">
        <f>SUM(X757:X759)</f>
        <v>126590</v>
      </c>
      <c r="Y756" s="213">
        <f>SUM(Y757:Y759)</f>
        <v>30678.43</v>
      </c>
      <c r="Z756" s="213">
        <f t="shared" si="499"/>
        <v>24.96</v>
      </c>
      <c r="AA756" s="213">
        <f t="shared" si="521"/>
        <v>2500</v>
      </c>
      <c r="AB756" s="213">
        <f>SUM(AB757:AB760)</f>
        <v>125400</v>
      </c>
      <c r="AC756" s="213">
        <f>SUM(AC757:AC760)</f>
        <v>49608.55</v>
      </c>
      <c r="AD756" s="213">
        <f t="shared" si="495"/>
        <v>39.560247208931422</v>
      </c>
      <c r="AE756" s="213">
        <f t="shared" si="503"/>
        <v>-16900</v>
      </c>
      <c r="AF756" s="213">
        <f>SUM(AF757:AF760)</f>
        <v>108500</v>
      </c>
      <c r="AG756" s="213">
        <f>SUM(AG757:AG760)</f>
        <v>140000</v>
      </c>
      <c r="AH756" s="213">
        <f>SUM(AH757:AH760)</f>
        <v>143520</v>
      </c>
      <c r="AI756" s="213">
        <f>SUM(AI757:AI760)</f>
        <v>146091</v>
      </c>
      <c r="AJ756" s="162" t="b">
        <f t="shared" si="493"/>
        <v>1</v>
      </c>
      <c r="AK756" s="162" t="str">
        <f t="shared" si="494"/>
        <v>PRAZNO</v>
      </c>
      <c r="AL756" s="263"/>
    </row>
    <row r="757" spans="1:38" s="264" customFormat="1" ht="15.75" x14ac:dyDescent="0.2">
      <c r="A757" s="259"/>
      <c r="B757" s="260"/>
      <c r="C757" s="212"/>
      <c r="D757" s="212"/>
      <c r="E757" s="212">
        <v>3211</v>
      </c>
      <c r="F757" s="176">
        <v>11</v>
      </c>
      <c r="G757" s="405"/>
      <c r="H757" s="402" t="s">
        <v>565</v>
      </c>
      <c r="I757" s="213">
        <v>0</v>
      </c>
      <c r="J757" s="213">
        <v>0</v>
      </c>
      <c r="K757" s="213">
        <v>0</v>
      </c>
      <c r="L757" s="213">
        <v>0</v>
      </c>
      <c r="M757" s="213">
        <v>0</v>
      </c>
      <c r="N757" s="213">
        <v>0</v>
      </c>
      <c r="O757" s="213">
        <v>0</v>
      </c>
      <c r="P757" s="343">
        <f t="shared" si="512"/>
        <v>0</v>
      </c>
      <c r="Q757" s="262"/>
      <c r="R757" s="262"/>
      <c r="S757" s="262"/>
      <c r="T757" s="342"/>
      <c r="U757" s="342"/>
      <c r="V757" s="213">
        <f>20400</f>
        <v>20400</v>
      </c>
      <c r="W757" s="213">
        <f>20400</f>
        <v>20400</v>
      </c>
      <c r="X757" s="213">
        <f>21015</f>
        <v>21015</v>
      </c>
      <c r="Y757" s="213">
        <v>5812.43</v>
      </c>
      <c r="Z757" s="213">
        <f t="shared" si="499"/>
        <v>28.49</v>
      </c>
      <c r="AA757" s="213">
        <f t="shared" si="521"/>
        <v>500</v>
      </c>
      <c r="AB757" s="213">
        <v>20900</v>
      </c>
      <c r="AC757" s="213">
        <v>7310.55</v>
      </c>
      <c r="AD757" s="213">
        <f t="shared" si="495"/>
        <v>34.978708133971296</v>
      </c>
      <c r="AE757" s="213">
        <f t="shared" si="503"/>
        <v>1600</v>
      </c>
      <c r="AF757" s="213">
        <v>22500</v>
      </c>
      <c r="AG757" s="213">
        <v>28000</v>
      </c>
      <c r="AH757" s="213">
        <v>28560</v>
      </c>
      <c r="AI757" s="213">
        <v>29130</v>
      </c>
      <c r="AJ757" s="162" t="b">
        <f t="shared" si="493"/>
        <v>0</v>
      </c>
      <c r="AK757" s="162" t="str">
        <f t="shared" si="494"/>
        <v>PUNO</v>
      </c>
      <c r="AL757" s="263"/>
    </row>
    <row r="758" spans="1:38" s="264" customFormat="1" ht="15.75" x14ac:dyDescent="0.2">
      <c r="A758" s="259"/>
      <c r="B758" s="260"/>
      <c r="C758" s="212"/>
      <c r="D758" s="212"/>
      <c r="E758" s="212">
        <v>3212</v>
      </c>
      <c r="F758" s="176">
        <v>11</v>
      </c>
      <c r="G758" s="405"/>
      <c r="H758" s="402" t="s">
        <v>338</v>
      </c>
      <c r="I758" s="213">
        <v>0</v>
      </c>
      <c r="J758" s="213">
        <v>0</v>
      </c>
      <c r="K758" s="213">
        <v>0</v>
      </c>
      <c r="L758" s="213">
        <v>0</v>
      </c>
      <c r="M758" s="213">
        <v>0</v>
      </c>
      <c r="N758" s="213">
        <v>0</v>
      </c>
      <c r="O758" s="213">
        <v>0</v>
      </c>
      <c r="P758" s="343">
        <f t="shared" si="512"/>
        <v>0</v>
      </c>
      <c r="Q758" s="262"/>
      <c r="R758" s="262"/>
      <c r="S758" s="262"/>
      <c r="T758" s="342"/>
      <c r="U758" s="342"/>
      <c r="V758" s="213">
        <f>93500</f>
        <v>93500</v>
      </c>
      <c r="W758" s="213">
        <f>93500</f>
        <v>93500</v>
      </c>
      <c r="X758" s="213">
        <f>96305</f>
        <v>96305</v>
      </c>
      <c r="Y758" s="213">
        <v>24866</v>
      </c>
      <c r="Z758" s="213">
        <f t="shared" si="499"/>
        <v>26.59</v>
      </c>
      <c r="AA758" s="213">
        <f t="shared" si="521"/>
        <v>0</v>
      </c>
      <c r="AB758" s="213">
        <f>93500</f>
        <v>93500</v>
      </c>
      <c r="AC758" s="213">
        <v>42298</v>
      </c>
      <c r="AD758" s="213">
        <f t="shared" si="495"/>
        <v>45.238502673796795</v>
      </c>
      <c r="AE758" s="213">
        <f t="shared" si="503"/>
        <v>-18500</v>
      </c>
      <c r="AF758" s="213">
        <v>75000</v>
      </c>
      <c r="AG758" s="213">
        <v>95000</v>
      </c>
      <c r="AH758" s="213">
        <v>96900</v>
      </c>
      <c r="AI758" s="213">
        <v>98840</v>
      </c>
      <c r="AJ758" s="162" t="b">
        <f t="shared" si="493"/>
        <v>0</v>
      </c>
      <c r="AK758" s="162" t="str">
        <f t="shared" si="494"/>
        <v>PUNO</v>
      </c>
      <c r="AL758" s="263"/>
    </row>
    <row r="759" spans="1:38" s="264" customFormat="1" ht="15.75" x14ac:dyDescent="0.2">
      <c r="A759" s="259"/>
      <c r="B759" s="260"/>
      <c r="C759" s="212"/>
      <c r="D759" s="212"/>
      <c r="E759" s="212">
        <v>3213</v>
      </c>
      <c r="F759" s="176">
        <v>11</v>
      </c>
      <c r="G759" s="405"/>
      <c r="H759" s="402" t="s">
        <v>221</v>
      </c>
      <c r="I759" s="213">
        <v>0</v>
      </c>
      <c r="J759" s="213">
        <v>0</v>
      </c>
      <c r="K759" s="213">
        <v>0</v>
      </c>
      <c r="L759" s="213">
        <v>0</v>
      </c>
      <c r="M759" s="213">
        <v>0</v>
      </c>
      <c r="N759" s="213">
        <v>0</v>
      </c>
      <c r="O759" s="213">
        <v>0</v>
      </c>
      <c r="P759" s="343">
        <f t="shared" si="512"/>
        <v>0</v>
      </c>
      <c r="Q759" s="262"/>
      <c r="R759" s="262"/>
      <c r="S759" s="262"/>
      <c r="T759" s="342"/>
      <c r="U759" s="342"/>
      <c r="V759" s="213">
        <v>9000</v>
      </c>
      <c r="W759" s="213">
        <v>9000</v>
      </c>
      <c r="X759" s="213">
        <f>9270</f>
        <v>9270</v>
      </c>
      <c r="Y759" s="213">
        <v>0</v>
      </c>
      <c r="Z759" s="213">
        <f t="shared" si="499"/>
        <v>0</v>
      </c>
      <c r="AA759" s="213">
        <f t="shared" si="521"/>
        <v>0</v>
      </c>
      <c r="AB759" s="213">
        <v>9000</v>
      </c>
      <c r="AC759" s="213">
        <v>0</v>
      </c>
      <c r="AD759" s="213">
        <f t="shared" si="495"/>
        <v>0</v>
      </c>
      <c r="AE759" s="213">
        <f t="shared" si="503"/>
        <v>0</v>
      </c>
      <c r="AF759" s="213">
        <v>9000</v>
      </c>
      <c r="AG759" s="213">
        <v>14000</v>
      </c>
      <c r="AH759" s="213">
        <v>15000</v>
      </c>
      <c r="AI759" s="213">
        <v>15000</v>
      </c>
      <c r="AJ759" s="162" t="b">
        <f t="shared" si="493"/>
        <v>0</v>
      </c>
      <c r="AK759" s="162" t="str">
        <f t="shared" si="494"/>
        <v>PUNO</v>
      </c>
      <c r="AL759" s="263"/>
    </row>
    <row r="760" spans="1:38" s="264" customFormat="1" ht="30" x14ac:dyDescent="0.2">
      <c r="A760" s="259"/>
      <c r="B760" s="260"/>
      <c r="C760" s="212"/>
      <c r="D760" s="212"/>
      <c r="E760" s="212">
        <v>3214</v>
      </c>
      <c r="F760" s="176">
        <v>11</v>
      </c>
      <c r="G760" s="405"/>
      <c r="H760" s="402" t="s">
        <v>187</v>
      </c>
      <c r="I760" s="213"/>
      <c r="J760" s="213"/>
      <c r="K760" s="213"/>
      <c r="L760" s="213"/>
      <c r="M760" s="213"/>
      <c r="N760" s="213"/>
      <c r="O760" s="213"/>
      <c r="P760" s="343"/>
      <c r="Q760" s="262"/>
      <c r="R760" s="262"/>
      <c r="S760" s="262"/>
      <c r="T760" s="342"/>
      <c r="U760" s="342"/>
      <c r="V760" s="213">
        <v>0</v>
      </c>
      <c r="W760" s="262"/>
      <c r="X760" s="213"/>
      <c r="Y760" s="213">
        <v>0</v>
      </c>
      <c r="Z760" s="213"/>
      <c r="AA760" s="213">
        <f t="shared" si="521"/>
        <v>2000</v>
      </c>
      <c r="AB760" s="213">
        <v>2000</v>
      </c>
      <c r="AC760" s="213">
        <v>0</v>
      </c>
      <c r="AD760" s="213">
        <f t="shared" si="495"/>
        <v>0</v>
      </c>
      <c r="AE760" s="213">
        <f t="shared" si="503"/>
        <v>0</v>
      </c>
      <c r="AF760" s="213">
        <v>2000</v>
      </c>
      <c r="AG760" s="213">
        <v>3000</v>
      </c>
      <c r="AH760" s="213">
        <v>3060</v>
      </c>
      <c r="AI760" s="213">
        <v>3121</v>
      </c>
      <c r="AJ760" s="162" t="b">
        <f t="shared" si="493"/>
        <v>0</v>
      </c>
      <c r="AK760" s="162" t="str">
        <f t="shared" si="494"/>
        <v>PUNO</v>
      </c>
      <c r="AL760" s="263"/>
    </row>
    <row r="761" spans="1:38" s="264" customFormat="1" ht="15.75" x14ac:dyDescent="0.2">
      <c r="A761" s="259"/>
      <c r="B761" s="260"/>
      <c r="C761" s="212"/>
      <c r="D761" s="212">
        <v>322</v>
      </c>
      <c r="E761" s="212"/>
      <c r="F761" s="405"/>
      <c r="G761" s="405"/>
      <c r="H761" s="402" t="s">
        <v>547</v>
      </c>
      <c r="I761" s="213">
        <f t="shared" ref="I761:O761" si="526">SUM(I762:I765)</f>
        <v>0</v>
      </c>
      <c r="J761" s="213">
        <f t="shared" si="526"/>
        <v>0</v>
      </c>
      <c r="K761" s="213">
        <f t="shared" si="526"/>
        <v>0</v>
      </c>
      <c r="L761" s="213">
        <f t="shared" si="526"/>
        <v>0</v>
      </c>
      <c r="M761" s="213">
        <f t="shared" si="526"/>
        <v>0</v>
      </c>
      <c r="N761" s="213">
        <f t="shared" si="526"/>
        <v>0</v>
      </c>
      <c r="O761" s="213">
        <f t="shared" si="526"/>
        <v>0</v>
      </c>
      <c r="P761" s="343">
        <f t="shared" si="512"/>
        <v>0</v>
      </c>
      <c r="Q761" s="262"/>
      <c r="R761" s="262"/>
      <c r="S761" s="262"/>
      <c r="T761" s="213">
        <f t="shared" ref="T761:Y761" si="527">SUM(T762:T765)</f>
        <v>0</v>
      </c>
      <c r="U761" s="213">
        <f t="shared" si="527"/>
        <v>0</v>
      </c>
      <c r="V761" s="213">
        <f t="shared" si="527"/>
        <v>104000</v>
      </c>
      <c r="W761" s="213">
        <f t="shared" si="527"/>
        <v>104000</v>
      </c>
      <c r="X761" s="213">
        <f t="shared" si="527"/>
        <v>107120</v>
      </c>
      <c r="Y761" s="213">
        <f t="shared" si="527"/>
        <v>40402.46</v>
      </c>
      <c r="Z761" s="213">
        <f t="shared" si="499"/>
        <v>38.85</v>
      </c>
      <c r="AA761" s="213">
        <f t="shared" si="521"/>
        <v>20500</v>
      </c>
      <c r="AB761" s="213">
        <f>SUM(AB762:AB765)</f>
        <v>124500</v>
      </c>
      <c r="AC761" s="213">
        <f>SUM(AC762:AC765)</f>
        <v>59623.840000000011</v>
      </c>
      <c r="AD761" s="213">
        <f t="shared" si="495"/>
        <v>47.890634538152618</v>
      </c>
      <c r="AE761" s="213">
        <f t="shared" si="503"/>
        <v>0</v>
      </c>
      <c r="AF761" s="213">
        <f>SUM(AF762:AF765)</f>
        <v>124500</v>
      </c>
      <c r="AG761" s="213">
        <f>SUM(AG762:AG765)</f>
        <v>128500</v>
      </c>
      <c r="AH761" s="213">
        <f>SUM(AH762:AH765)</f>
        <v>130910</v>
      </c>
      <c r="AI761" s="213">
        <f>SUM(AI762:AI765)</f>
        <v>133406</v>
      </c>
      <c r="AJ761" s="162" t="b">
        <f t="shared" si="493"/>
        <v>1</v>
      </c>
      <c r="AK761" s="162" t="str">
        <f t="shared" si="494"/>
        <v>PRAZNO</v>
      </c>
      <c r="AL761" s="263"/>
    </row>
    <row r="762" spans="1:38" s="264" customFormat="1" ht="15.75" x14ac:dyDescent="0.2">
      <c r="A762" s="259"/>
      <c r="B762" s="260"/>
      <c r="C762" s="212"/>
      <c r="D762" s="212"/>
      <c r="E762" s="212">
        <v>3221</v>
      </c>
      <c r="F762" s="176">
        <v>11</v>
      </c>
      <c r="G762" s="405"/>
      <c r="H762" s="402" t="s">
        <v>548</v>
      </c>
      <c r="I762" s="213">
        <v>0</v>
      </c>
      <c r="J762" s="213">
        <v>0</v>
      </c>
      <c r="K762" s="213">
        <v>0</v>
      </c>
      <c r="L762" s="213">
        <v>0</v>
      </c>
      <c r="M762" s="213">
        <v>0</v>
      </c>
      <c r="N762" s="213">
        <v>0</v>
      </c>
      <c r="O762" s="213">
        <v>0</v>
      </c>
      <c r="P762" s="343">
        <f t="shared" si="512"/>
        <v>0</v>
      </c>
      <c r="Q762" s="262"/>
      <c r="R762" s="262"/>
      <c r="S762" s="262"/>
      <c r="T762" s="342"/>
      <c r="U762" s="342"/>
      <c r="V762" s="213">
        <f>27000</f>
        <v>27000</v>
      </c>
      <c r="W762" s="213">
        <f>27000</f>
        <v>27000</v>
      </c>
      <c r="X762" s="213">
        <f>27810</f>
        <v>27810</v>
      </c>
      <c r="Y762" s="213">
        <v>14412.72</v>
      </c>
      <c r="Z762" s="213">
        <f t="shared" si="499"/>
        <v>53.38</v>
      </c>
      <c r="AA762" s="213">
        <f t="shared" si="521"/>
        <v>500</v>
      </c>
      <c r="AB762" s="213">
        <v>27500</v>
      </c>
      <c r="AC762" s="213">
        <v>18401.060000000001</v>
      </c>
      <c r="AD762" s="213">
        <f t="shared" si="495"/>
        <v>66.912945454545465</v>
      </c>
      <c r="AE762" s="213">
        <f t="shared" si="503"/>
        <v>1000</v>
      </c>
      <c r="AF762" s="213">
        <v>28500</v>
      </c>
      <c r="AG762" s="213">
        <v>29500</v>
      </c>
      <c r="AH762" s="213">
        <v>30090</v>
      </c>
      <c r="AI762" s="213">
        <v>30731</v>
      </c>
      <c r="AJ762" s="162" t="b">
        <f t="shared" si="493"/>
        <v>0</v>
      </c>
      <c r="AK762" s="162" t="str">
        <f t="shared" si="494"/>
        <v>PUNO</v>
      </c>
      <c r="AL762" s="263"/>
    </row>
    <row r="763" spans="1:38" s="264" customFormat="1" ht="15.75" x14ac:dyDescent="0.2">
      <c r="A763" s="259"/>
      <c r="B763" s="260"/>
      <c r="C763" s="212"/>
      <c r="D763" s="212"/>
      <c r="E763" s="212">
        <v>3223</v>
      </c>
      <c r="F763" s="176">
        <v>11</v>
      </c>
      <c r="G763" s="405"/>
      <c r="H763" s="402" t="s">
        <v>204</v>
      </c>
      <c r="I763" s="213">
        <v>0</v>
      </c>
      <c r="J763" s="213">
        <v>0</v>
      </c>
      <c r="K763" s="213">
        <v>0</v>
      </c>
      <c r="L763" s="213">
        <v>0</v>
      </c>
      <c r="M763" s="213">
        <v>0</v>
      </c>
      <c r="N763" s="213">
        <v>0</v>
      </c>
      <c r="O763" s="213">
        <v>0</v>
      </c>
      <c r="P763" s="343">
        <f t="shared" si="512"/>
        <v>0</v>
      </c>
      <c r="Q763" s="262"/>
      <c r="R763" s="262"/>
      <c r="S763" s="262"/>
      <c r="T763" s="342"/>
      <c r="U763" s="342"/>
      <c r="V763" s="213">
        <f>55000</f>
        <v>55000</v>
      </c>
      <c r="W763" s="213">
        <f>55000</f>
        <v>55000</v>
      </c>
      <c r="X763" s="213">
        <f>56650</f>
        <v>56650</v>
      </c>
      <c r="Y763" s="213">
        <v>24753.27</v>
      </c>
      <c r="Z763" s="213">
        <f t="shared" si="499"/>
        <v>45.01</v>
      </c>
      <c r="AA763" s="213">
        <f t="shared" si="521"/>
        <v>20000</v>
      </c>
      <c r="AB763" s="213">
        <v>75000</v>
      </c>
      <c r="AC763" s="213">
        <v>34489.870000000003</v>
      </c>
      <c r="AD763" s="213">
        <f t="shared" si="495"/>
        <v>45.986493333333343</v>
      </c>
      <c r="AE763" s="213">
        <f t="shared" si="503"/>
        <v>-2000</v>
      </c>
      <c r="AF763" s="213">
        <v>73000</v>
      </c>
      <c r="AG763" s="213">
        <v>82000</v>
      </c>
      <c r="AH763" s="213">
        <v>83640</v>
      </c>
      <c r="AI763" s="213">
        <v>85313</v>
      </c>
      <c r="AJ763" s="162" t="b">
        <f t="shared" si="493"/>
        <v>0</v>
      </c>
      <c r="AK763" s="162" t="str">
        <f t="shared" si="494"/>
        <v>PUNO</v>
      </c>
      <c r="AL763" s="263"/>
    </row>
    <row r="764" spans="1:38" s="264" customFormat="1" ht="15.75" x14ac:dyDescent="0.2">
      <c r="A764" s="259"/>
      <c r="B764" s="260"/>
      <c r="C764" s="212"/>
      <c r="D764" s="212"/>
      <c r="E764" s="212">
        <v>3224</v>
      </c>
      <c r="F764" s="176">
        <v>11</v>
      </c>
      <c r="G764" s="405"/>
      <c r="H764" s="402" t="s">
        <v>339</v>
      </c>
      <c r="I764" s="213">
        <v>0</v>
      </c>
      <c r="J764" s="213">
        <v>0</v>
      </c>
      <c r="K764" s="213">
        <v>0</v>
      </c>
      <c r="L764" s="213">
        <v>0</v>
      </c>
      <c r="M764" s="213">
        <v>0</v>
      </c>
      <c r="N764" s="213">
        <v>0</v>
      </c>
      <c r="O764" s="213">
        <v>0</v>
      </c>
      <c r="P764" s="343">
        <f t="shared" si="512"/>
        <v>0</v>
      </c>
      <c r="Q764" s="262"/>
      <c r="R764" s="262"/>
      <c r="S764" s="262"/>
      <c r="T764" s="342"/>
      <c r="U764" s="342"/>
      <c r="V764" s="213">
        <v>9000</v>
      </c>
      <c r="W764" s="213">
        <v>9000</v>
      </c>
      <c r="X764" s="213">
        <f>9270</f>
        <v>9270</v>
      </c>
      <c r="Y764" s="213">
        <v>34.97</v>
      </c>
      <c r="Z764" s="213">
        <f t="shared" si="499"/>
        <v>0.39</v>
      </c>
      <c r="AA764" s="213">
        <f t="shared" si="521"/>
        <v>0</v>
      </c>
      <c r="AB764" s="213">
        <v>9000</v>
      </c>
      <c r="AC764" s="213">
        <v>1981.22</v>
      </c>
      <c r="AD764" s="213">
        <f t="shared" si="495"/>
        <v>22.013555555555556</v>
      </c>
      <c r="AE764" s="213">
        <f t="shared" si="503"/>
        <v>1000</v>
      </c>
      <c r="AF764" s="213">
        <v>10000</v>
      </c>
      <c r="AG764" s="213">
        <v>9000</v>
      </c>
      <c r="AH764" s="213">
        <v>9180</v>
      </c>
      <c r="AI764" s="213">
        <v>9362</v>
      </c>
      <c r="AJ764" s="162" t="b">
        <f t="shared" si="493"/>
        <v>0</v>
      </c>
      <c r="AK764" s="162" t="str">
        <f t="shared" si="494"/>
        <v>PUNO</v>
      </c>
      <c r="AL764" s="263"/>
    </row>
    <row r="765" spans="1:38" s="264" customFormat="1" ht="15.75" x14ac:dyDescent="0.2">
      <c r="A765" s="259"/>
      <c r="B765" s="260"/>
      <c r="C765" s="212"/>
      <c r="D765" s="212"/>
      <c r="E765" s="212">
        <v>3225</v>
      </c>
      <c r="F765" s="176">
        <v>11</v>
      </c>
      <c r="G765" s="405"/>
      <c r="H765" s="402" t="s">
        <v>642</v>
      </c>
      <c r="I765" s="213">
        <v>0</v>
      </c>
      <c r="J765" s="213">
        <v>0</v>
      </c>
      <c r="K765" s="213">
        <v>0</v>
      </c>
      <c r="L765" s="213">
        <v>0</v>
      </c>
      <c r="M765" s="213">
        <v>0</v>
      </c>
      <c r="N765" s="213">
        <v>0</v>
      </c>
      <c r="O765" s="213">
        <v>0</v>
      </c>
      <c r="P765" s="343">
        <f t="shared" si="512"/>
        <v>0</v>
      </c>
      <c r="Q765" s="262"/>
      <c r="R765" s="262"/>
      <c r="S765" s="262"/>
      <c r="T765" s="342"/>
      <c r="U765" s="342"/>
      <c r="V765" s="213">
        <f>13000</f>
        <v>13000</v>
      </c>
      <c r="W765" s="213">
        <f>13000</f>
        <v>13000</v>
      </c>
      <c r="X765" s="213">
        <f>13390</f>
        <v>13390</v>
      </c>
      <c r="Y765" s="213">
        <v>1201.5</v>
      </c>
      <c r="Z765" s="213">
        <f t="shared" si="499"/>
        <v>9.24</v>
      </c>
      <c r="AA765" s="213">
        <f t="shared" si="521"/>
        <v>0</v>
      </c>
      <c r="AB765" s="213">
        <f>13000</f>
        <v>13000</v>
      </c>
      <c r="AC765" s="213">
        <v>4751.6899999999996</v>
      </c>
      <c r="AD765" s="213">
        <f t="shared" si="495"/>
        <v>36.551461538461531</v>
      </c>
      <c r="AE765" s="213">
        <f t="shared" si="503"/>
        <v>0</v>
      </c>
      <c r="AF765" s="213">
        <f>13000</f>
        <v>13000</v>
      </c>
      <c r="AG765" s="213">
        <v>8000</v>
      </c>
      <c r="AH765" s="213">
        <v>8000</v>
      </c>
      <c r="AI765" s="213">
        <v>8000</v>
      </c>
      <c r="AJ765" s="162" t="b">
        <f t="shared" si="493"/>
        <v>0</v>
      </c>
      <c r="AK765" s="162" t="str">
        <f t="shared" si="494"/>
        <v>PUNO</v>
      </c>
      <c r="AL765" s="263"/>
    </row>
    <row r="766" spans="1:38" s="264" customFormat="1" ht="15.75" x14ac:dyDescent="0.2">
      <c r="A766" s="259"/>
      <c r="B766" s="260"/>
      <c r="C766" s="212"/>
      <c r="D766" s="212">
        <v>323</v>
      </c>
      <c r="E766" s="212"/>
      <c r="F766" s="405"/>
      <c r="G766" s="405"/>
      <c r="H766" s="402" t="s">
        <v>526</v>
      </c>
      <c r="I766" s="213">
        <f t="shared" ref="I766:N766" si="528">SUM(I767:I774)</f>
        <v>0</v>
      </c>
      <c r="J766" s="213">
        <f t="shared" si="528"/>
        <v>0</v>
      </c>
      <c r="K766" s="213">
        <f t="shared" si="528"/>
        <v>0</v>
      </c>
      <c r="L766" s="213">
        <f t="shared" si="528"/>
        <v>0</v>
      </c>
      <c r="M766" s="213">
        <f t="shared" si="528"/>
        <v>0</v>
      </c>
      <c r="N766" s="213">
        <f t="shared" si="528"/>
        <v>0</v>
      </c>
      <c r="O766" s="213">
        <f>SUM(O767:O774)</f>
        <v>0</v>
      </c>
      <c r="P766" s="343">
        <f t="shared" si="512"/>
        <v>0</v>
      </c>
      <c r="Q766" s="262"/>
      <c r="R766" s="262"/>
      <c r="S766" s="262"/>
      <c r="T766" s="213">
        <f t="shared" ref="T766:Y766" si="529">SUM(T767:T774)</f>
        <v>0</v>
      </c>
      <c r="U766" s="213">
        <f t="shared" si="529"/>
        <v>0</v>
      </c>
      <c r="V766" s="213">
        <f t="shared" si="529"/>
        <v>280490</v>
      </c>
      <c r="W766" s="213">
        <f t="shared" si="529"/>
        <v>280490</v>
      </c>
      <c r="X766" s="213">
        <f t="shared" si="529"/>
        <v>288904</v>
      </c>
      <c r="Y766" s="213">
        <f t="shared" si="529"/>
        <v>93670.78</v>
      </c>
      <c r="Z766" s="213">
        <f t="shared" si="499"/>
        <v>33.4</v>
      </c>
      <c r="AA766" s="213">
        <f t="shared" si="521"/>
        <v>60025</v>
      </c>
      <c r="AB766" s="213">
        <f>SUM(AB767:AB774)</f>
        <v>340515</v>
      </c>
      <c r="AC766" s="213">
        <f>SUM(AC767:AC774)</f>
        <v>143936.56</v>
      </c>
      <c r="AD766" s="213">
        <f t="shared" si="495"/>
        <v>42.270255348516216</v>
      </c>
      <c r="AE766" s="213">
        <f t="shared" si="503"/>
        <v>3010</v>
      </c>
      <c r="AF766" s="213">
        <f>SUM(AF767:AF774)</f>
        <v>343525</v>
      </c>
      <c r="AG766" s="213">
        <f>SUM(AG767:AG774)</f>
        <v>346900</v>
      </c>
      <c r="AH766" s="213">
        <f>SUM(AH767:AH774)</f>
        <v>351730</v>
      </c>
      <c r="AI766" s="213">
        <f>SUM(AI767:AI774)</f>
        <v>356778</v>
      </c>
      <c r="AJ766" s="162" t="b">
        <f t="shared" si="493"/>
        <v>1</v>
      </c>
      <c r="AK766" s="162" t="str">
        <f t="shared" si="494"/>
        <v>PRAZNO</v>
      </c>
      <c r="AL766" s="263"/>
    </row>
    <row r="767" spans="1:38" s="264" customFormat="1" ht="15.75" x14ac:dyDescent="0.2">
      <c r="A767" s="259"/>
      <c r="B767" s="260"/>
      <c r="C767" s="212"/>
      <c r="D767" s="212"/>
      <c r="E767" s="212">
        <v>3231</v>
      </c>
      <c r="F767" s="176">
        <v>11</v>
      </c>
      <c r="G767" s="405"/>
      <c r="H767" s="402" t="s">
        <v>341</v>
      </c>
      <c r="I767" s="213">
        <v>0</v>
      </c>
      <c r="J767" s="213">
        <v>0</v>
      </c>
      <c r="K767" s="213">
        <v>0</v>
      </c>
      <c r="L767" s="213">
        <v>0</v>
      </c>
      <c r="M767" s="213">
        <v>0</v>
      </c>
      <c r="N767" s="213">
        <v>0</v>
      </c>
      <c r="O767" s="213">
        <v>0</v>
      </c>
      <c r="P767" s="343">
        <f t="shared" si="512"/>
        <v>0</v>
      </c>
      <c r="Q767" s="262"/>
      <c r="R767" s="262"/>
      <c r="S767" s="262"/>
      <c r="T767" s="342"/>
      <c r="U767" s="342"/>
      <c r="V767" s="213">
        <v>41000</v>
      </c>
      <c r="W767" s="213">
        <v>41000</v>
      </c>
      <c r="X767" s="213">
        <v>42230</v>
      </c>
      <c r="Y767" s="213">
        <v>10191.76</v>
      </c>
      <c r="Z767" s="213">
        <f t="shared" si="499"/>
        <v>24.86</v>
      </c>
      <c r="AA767" s="213">
        <f t="shared" si="521"/>
        <v>0</v>
      </c>
      <c r="AB767" s="213">
        <v>41000</v>
      </c>
      <c r="AC767" s="213">
        <v>18422.32</v>
      </c>
      <c r="AD767" s="213">
        <f t="shared" si="495"/>
        <v>44.932487804878043</v>
      </c>
      <c r="AE767" s="213">
        <f t="shared" si="503"/>
        <v>-6700</v>
      </c>
      <c r="AF767" s="213">
        <v>34300</v>
      </c>
      <c r="AG767" s="213">
        <v>43000</v>
      </c>
      <c r="AH767" s="213">
        <v>43860</v>
      </c>
      <c r="AI767" s="213">
        <v>44737</v>
      </c>
      <c r="AJ767" s="162" t="b">
        <f t="shared" si="493"/>
        <v>0</v>
      </c>
      <c r="AK767" s="162" t="str">
        <f t="shared" si="494"/>
        <v>PUNO</v>
      </c>
      <c r="AL767" s="263"/>
    </row>
    <row r="768" spans="1:38" s="264" customFormat="1" ht="15.75" x14ac:dyDescent="0.2">
      <c r="A768" s="259"/>
      <c r="B768" s="260"/>
      <c r="C768" s="212"/>
      <c r="D768" s="212"/>
      <c r="E768" s="212">
        <v>3232</v>
      </c>
      <c r="F768" s="176">
        <v>11</v>
      </c>
      <c r="G768" s="405"/>
      <c r="H768" s="402" t="s">
        <v>207</v>
      </c>
      <c r="I768" s="213">
        <v>0</v>
      </c>
      <c r="J768" s="213">
        <v>0</v>
      </c>
      <c r="K768" s="213">
        <v>0</v>
      </c>
      <c r="L768" s="213">
        <v>0</v>
      </c>
      <c r="M768" s="213">
        <v>0</v>
      </c>
      <c r="N768" s="213">
        <v>0</v>
      </c>
      <c r="O768" s="213">
        <v>0</v>
      </c>
      <c r="P768" s="343">
        <f t="shared" si="512"/>
        <v>0</v>
      </c>
      <c r="Q768" s="262"/>
      <c r="R768" s="262"/>
      <c r="S768" s="262"/>
      <c r="T768" s="342"/>
      <c r="U768" s="342"/>
      <c r="V768" s="213">
        <v>16000</v>
      </c>
      <c r="W768" s="213">
        <v>16000</v>
      </c>
      <c r="X768" s="213">
        <v>16480</v>
      </c>
      <c r="Y768" s="213">
        <v>5999.07</v>
      </c>
      <c r="Z768" s="213">
        <f t="shared" si="499"/>
        <v>37.49</v>
      </c>
      <c r="AA768" s="213">
        <f t="shared" si="521"/>
        <v>0</v>
      </c>
      <c r="AB768" s="213">
        <v>16000</v>
      </c>
      <c r="AC768" s="213">
        <v>7776.47</v>
      </c>
      <c r="AD768" s="213">
        <f t="shared" si="495"/>
        <v>48.602937500000003</v>
      </c>
      <c r="AE768" s="213">
        <f t="shared" si="503"/>
        <v>1300</v>
      </c>
      <c r="AF768" s="213">
        <v>17300</v>
      </c>
      <c r="AG768" s="213">
        <v>17000</v>
      </c>
      <c r="AH768" s="213">
        <v>17340</v>
      </c>
      <c r="AI768" s="213">
        <v>17726</v>
      </c>
      <c r="AJ768" s="162" t="b">
        <f t="shared" si="493"/>
        <v>0</v>
      </c>
      <c r="AK768" s="162" t="str">
        <f t="shared" si="494"/>
        <v>PUNO</v>
      </c>
      <c r="AL768" s="263"/>
    </row>
    <row r="769" spans="1:38" s="264" customFormat="1" ht="15.75" x14ac:dyDescent="0.2">
      <c r="A769" s="259"/>
      <c r="B769" s="260"/>
      <c r="C769" s="212"/>
      <c r="D769" s="212"/>
      <c r="E769" s="212">
        <v>3233</v>
      </c>
      <c r="F769" s="176">
        <v>11</v>
      </c>
      <c r="G769" s="405"/>
      <c r="H769" s="402" t="s">
        <v>528</v>
      </c>
      <c r="I769" s="213">
        <v>0</v>
      </c>
      <c r="J769" s="213">
        <v>0</v>
      </c>
      <c r="K769" s="213">
        <v>0</v>
      </c>
      <c r="L769" s="213">
        <v>0</v>
      </c>
      <c r="M769" s="213">
        <v>0</v>
      </c>
      <c r="N769" s="213">
        <v>0</v>
      </c>
      <c r="O769" s="213">
        <v>0</v>
      </c>
      <c r="P769" s="343">
        <f t="shared" si="512"/>
        <v>0</v>
      </c>
      <c r="Q769" s="262"/>
      <c r="R769" s="262"/>
      <c r="S769" s="262"/>
      <c r="T769" s="342"/>
      <c r="U769" s="342"/>
      <c r="V769" s="213">
        <f>120340</f>
        <v>120340</v>
      </c>
      <c r="W769" s="213">
        <f>120340</f>
        <v>120340</v>
      </c>
      <c r="X769" s="213">
        <f>123949</f>
        <v>123949</v>
      </c>
      <c r="Y769" s="213">
        <v>48515.75</v>
      </c>
      <c r="Z769" s="213">
        <f t="shared" si="499"/>
        <v>40.32</v>
      </c>
      <c r="AA769" s="213">
        <f t="shared" si="521"/>
        <v>24235</v>
      </c>
      <c r="AB769" s="213">
        <v>144575</v>
      </c>
      <c r="AC769" s="213">
        <v>60653.75</v>
      </c>
      <c r="AD769" s="213">
        <f t="shared" si="495"/>
        <v>41.953138509424178</v>
      </c>
      <c r="AE769" s="213">
        <f t="shared" si="503"/>
        <v>-18000</v>
      </c>
      <c r="AF769" s="213">
        <v>126575</v>
      </c>
      <c r="AG769" s="213">
        <v>135400</v>
      </c>
      <c r="AH769" s="213">
        <v>136000</v>
      </c>
      <c r="AI769" s="213">
        <v>136612</v>
      </c>
      <c r="AJ769" s="162" t="b">
        <f t="shared" si="493"/>
        <v>0</v>
      </c>
      <c r="AK769" s="162" t="str">
        <f t="shared" si="494"/>
        <v>PUNO</v>
      </c>
      <c r="AL769" s="263"/>
    </row>
    <row r="770" spans="1:38" s="264" customFormat="1" ht="15.75" x14ac:dyDescent="0.2">
      <c r="A770" s="259"/>
      <c r="B770" s="260"/>
      <c r="C770" s="212"/>
      <c r="D770" s="212"/>
      <c r="E770" s="212">
        <v>3234</v>
      </c>
      <c r="F770" s="176">
        <v>11</v>
      </c>
      <c r="G770" s="405"/>
      <c r="H770" s="402" t="s">
        <v>238</v>
      </c>
      <c r="I770" s="213">
        <v>0</v>
      </c>
      <c r="J770" s="213">
        <v>0</v>
      </c>
      <c r="K770" s="213">
        <v>0</v>
      </c>
      <c r="L770" s="213">
        <v>0</v>
      </c>
      <c r="M770" s="213">
        <v>0</v>
      </c>
      <c r="N770" s="213">
        <v>0</v>
      </c>
      <c r="O770" s="213">
        <v>0</v>
      </c>
      <c r="P770" s="343">
        <f t="shared" si="512"/>
        <v>0</v>
      </c>
      <c r="Q770" s="262"/>
      <c r="R770" s="262"/>
      <c r="S770" s="262"/>
      <c r="T770" s="342"/>
      <c r="U770" s="342"/>
      <c r="V770" s="213">
        <f>13900</f>
        <v>13900</v>
      </c>
      <c r="W770" s="213">
        <f>13900</f>
        <v>13900</v>
      </c>
      <c r="X770" s="213">
        <f>14317</f>
        <v>14317</v>
      </c>
      <c r="Y770" s="213">
        <v>4406.8</v>
      </c>
      <c r="Z770" s="213">
        <f t="shared" si="499"/>
        <v>31.7</v>
      </c>
      <c r="AA770" s="213">
        <f t="shared" si="521"/>
        <v>3600</v>
      </c>
      <c r="AB770" s="213">
        <v>17500</v>
      </c>
      <c r="AC770" s="213">
        <v>8637.2800000000007</v>
      </c>
      <c r="AD770" s="213">
        <f t="shared" si="495"/>
        <v>49.355885714285719</v>
      </c>
      <c r="AE770" s="213">
        <f t="shared" si="503"/>
        <v>-900</v>
      </c>
      <c r="AF770" s="213">
        <v>16600</v>
      </c>
      <c r="AG770" s="213">
        <v>18500</v>
      </c>
      <c r="AH770" s="213">
        <v>18870</v>
      </c>
      <c r="AI770" s="213">
        <v>19246</v>
      </c>
      <c r="AJ770" s="162" t="b">
        <f t="shared" si="493"/>
        <v>0</v>
      </c>
      <c r="AK770" s="162" t="str">
        <f t="shared" si="494"/>
        <v>PUNO</v>
      </c>
      <c r="AL770" s="263"/>
    </row>
    <row r="771" spans="1:38" s="264" customFormat="1" ht="15.75" x14ac:dyDescent="0.2">
      <c r="A771" s="259"/>
      <c r="B771" s="260"/>
      <c r="C771" s="212"/>
      <c r="D771" s="212"/>
      <c r="E771" s="212">
        <v>3235</v>
      </c>
      <c r="F771" s="176">
        <v>11</v>
      </c>
      <c r="G771" s="405"/>
      <c r="H771" s="402" t="s">
        <v>640</v>
      </c>
      <c r="I771" s="213"/>
      <c r="J771" s="213"/>
      <c r="K771" s="213"/>
      <c r="L771" s="213"/>
      <c r="M771" s="213"/>
      <c r="N771" s="213"/>
      <c r="O771" s="213"/>
      <c r="P771" s="343"/>
      <c r="Q771" s="262"/>
      <c r="R771" s="262"/>
      <c r="S771" s="262"/>
      <c r="T771" s="342"/>
      <c r="U771" s="342"/>
      <c r="V771" s="213">
        <v>4100</v>
      </c>
      <c r="W771" s="213">
        <v>4100</v>
      </c>
      <c r="X771" s="213">
        <f>4223</f>
        <v>4223</v>
      </c>
      <c r="Y771" s="213">
        <v>0</v>
      </c>
      <c r="Z771" s="213">
        <f t="shared" si="499"/>
        <v>0</v>
      </c>
      <c r="AA771" s="213">
        <f t="shared" si="521"/>
        <v>9300</v>
      </c>
      <c r="AB771" s="213">
        <v>13400</v>
      </c>
      <c r="AC771" s="213">
        <v>0</v>
      </c>
      <c r="AD771" s="213">
        <f t="shared" si="495"/>
        <v>0</v>
      </c>
      <c r="AE771" s="213">
        <f t="shared" si="503"/>
        <v>0</v>
      </c>
      <c r="AF771" s="213">
        <v>13400</v>
      </c>
      <c r="AG771" s="213">
        <v>12500</v>
      </c>
      <c r="AH771" s="213">
        <v>12750</v>
      </c>
      <c r="AI771" s="213">
        <v>13004</v>
      </c>
      <c r="AJ771" s="162" t="b">
        <f t="shared" si="493"/>
        <v>0</v>
      </c>
      <c r="AK771" s="162" t="str">
        <f t="shared" si="494"/>
        <v>PUNO</v>
      </c>
      <c r="AL771" s="263"/>
    </row>
    <row r="772" spans="1:38" s="264" customFormat="1" ht="15.75" x14ac:dyDescent="0.2">
      <c r="A772" s="259"/>
      <c r="B772" s="260"/>
      <c r="C772" s="212"/>
      <c r="D772" s="212"/>
      <c r="E772" s="212">
        <v>3236</v>
      </c>
      <c r="F772" s="176">
        <v>11</v>
      </c>
      <c r="G772" s="405"/>
      <c r="H772" s="402" t="s">
        <v>131</v>
      </c>
      <c r="I772" s="213"/>
      <c r="J772" s="213"/>
      <c r="K772" s="213"/>
      <c r="L772" s="213"/>
      <c r="M772" s="213"/>
      <c r="N772" s="213"/>
      <c r="O772" s="213"/>
      <c r="P772" s="343"/>
      <c r="Q772" s="262"/>
      <c r="R772" s="262"/>
      <c r="S772" s="262"/>
      <c r="T772" s="342"/>
      <c r="U772" s="342"/>
      <c r="V772" s="213">
        <v>150</v>
      </c>
      <c r="W772" s="213">
        <v>150</v>
      </c>
      <c r="X772" s="213">
        <v>155</v>
      </c>
      <c r="Y772" s="213">
        <v>0</v>
      </c>
      <c r="Z772" s="213">
        <f t="shared" si="499"/>
        <v>0</v>
      </c>
      <c r="AA772" s="213">
        <f t="shared" si="521"/>
        <v>0</v>
      </c>
      <c r="AB772" s="213">
        <v>150</v>
      </c>
      <c r="AC772" s="213">
        <v>0</v>
      </c>
      <c r="AD772" s="213">
        <f t="shared" si="495"/>
        <v>0</v>
      </c>
      <c r="AE772" s="213">
        <f t="shared" si="503"/>
        <v>150</v>
      </c>
      <c r="AF772" s="213">
        <v>300</v>
      </c>
      <c r="AG772" s="213">
        <v>500</v>
      </c>
      <c r="AH772" s="213">
        <v>510</v>
      </c>
      <c r="AI772" s="213">
        <v>520</v>
      </c>
      <c r="AJ772" s="162" t="b">
        <f t="shared" si="493"/>
        <v>0</v>
      </c>
      <c r="AK772" s="162" t="str">
        <f t="shared" si="494"/>
        <v>PUNO</v>
      </c>
      <c r="AL772" s="263"/>
    </row>
    <row r="773" spans="1:38" s="264" customFormat="1" ht="15.75" x14ac:dyDescent="0.2">
      <c r="A773" s="259"/>
      <c r="B773" s="260"/>
      <c r="C773" s="212"/>
      <c r="D773" s="212"/>
      <c r="E773" s="212">
        <v>3237</v>
      </c>
      <c r="F773" s="176">
        <v>11</v>
      </c>
      <c r="G773" s="405"/>
      <c r="H773" s="402" t="s">
        <v>566</v>
      </c>
      <c r="I773" s="213">
        <v>0</v>
      </c>
      <c r="J773" s="213">
        <v>0</v>
      </c>
      <c r="K773" s="213">
        <v>0</v>
      </c>
      <c r="L773" s="213">
        <v>0</v>
      </c>
      <c r="M773" s="213">
        <v>0</v>
      </c>
      <c r="N773" s="213">
        <v>0</v>
      </c>
      <c r="O773" s="213">
        <v>0</v>
      </c>
      <c r="P773" s="343">
        <f t="shared" ref="P773:P778" si="530">T773-N773</f>
        <v>0</v>
      </c>
      <c r="Q773" s="262"/>
      <c r="R773" s="262"/>
      <c r="S773" s="262"/>
      <c r="T773" s="342"/>
      <c r="U773" s="342"/>
      <c r="V773" s="213">
        <f>50000</f>
        <v>50000</v>
      </c>
      <c r="W773" s="213">
        <f>50000</f>
        <v>50000</v>
      </c>
      <c r="X773" s="213">
        <f>51500</f>
        <v>51500</v>
      </c>
      <c r="Y773" s="213">
        <v>16150</v>
      </c>
      <c r="Z773" s="213">
        <f t="shared" si="499"/>
        <v>32.299999999999997</v>
      </c>
      <c r="AA773" s="213">
        <f t="shared" si="521"/>
        <v>23000</v>
      </c>
      <c r="AB773" s="213">
        <v>73000</v>
      </c>
      <c r="AC773" s="213">
        <v>32592.5</v>
      </c>
      <c r="AD773" s="213">
        <f t="shared" si="495"/>
        <v>44.647260273972606</v>
      </c>
      <c r="AE773" s="213">
        <f t="shared" si="503"/>
        <v>27150</v>
      </c>
      <c r="AF773" s="213">
        <v>100150</v>
      </c>
      <c r="AG773" s="213">
        <v>84000</v>
      </c>
      <c r="AH773" s="213">
        <v>85680</v>
      </c>
      <c r="AI773" s="213">
        <v>87431</v>
      </c>
      <c r="AJ773" s="162" t="b">
        <f t="shared" si="493"/>
        <v>0</v>
      </c>
      <c r="AK773" s="162" t="str">
        <f t="shared" si="494"/>
        <v>PUNO</v>
      </c>
      <c r="AL773" s="263"/>
    </row>
    <row r="774" spans="1:38" s="264" customFormat="1" ht="15.75" x14ac:dyDescent="0.2">
      <c r="A774" s="259"/>
      <c r="B774" s="260"/>
      <c r="C774" s="212"/>
      <c r="D774" s="212"/>
      <c r="E774" s="212">
        <v>3239</v>
      </c>
      <c r="F774" s="176">
        <v>11</v>
      </c>
      <c r="G774" s="405"/>
      <c r="H774" s="402" t="s">
        <v>529</v>
      </c>
      <c r="I774" s="213">
        <v>0</v>
      </c>
      <c r="J774" s="213">
        <v>0</v>
      </c>
      <c r="K774" s="213">
        <v>0</v>
      </c>
      <c r="L774" s="213">
        <v>0</v>
      </c>
      <c r="M774" s="213">
        <v>0</v>
      </c>
      <c r="N774" s="213">
        <v>0</v>
      </c>
      <c r="O774" s="213">
        <v>0</v>
      </c>
      <c r="P774" s="343">
        <f t="shared" si="530"/>
        <v>0</v>
      </c>
      <c r="Q774" s="262"/>
      <c r="R774" s="262"/>
      <c r="S774" s="262"/>
      <c r="T774" s="342"/>
      <c r="U774" s="342"/>
      <c r="V774" s="213">
        <v>35000</v>
      </c>
      <c r="W774" s="213">
        <v>35000</v>
      </c>
      <c r="X774" s="213">
        <v>36050</v>
      </c>
      <c r="Y774" s="213">
        <v>8407.4</v>
      </c>
      <c r="Z774" s="213">
        <f t="shared" si="499"/>
        <v>24.02</v>
      </c>
      <c r="AA774" s="213">
        <f t="shared" si="521"/>
        <v>-110</v>
      </c>
      <c r="AB774" s="213">
        <v>34890</v>
      </c>
      <c r="AC774" s="213">
        <v>15854.24</v>
      </c>
      <c r="AD774" s="213">
        <f t="shared" si="495"/>
        <v>45.440642017770131</v>
      </c>
      <c r="AE774" s="213">
        <f t="shared" si="503"/>
        <v>10</v>
      </c>
      <c r="AF774" s="213">
        <v>34900</v>
      </c>
      <c r="AG774" s="213">
        <v>36000</v>
      </c>
      <c r="AH774" s="213">
        <v>36720</v>
      </c>
      <c r="AI774" s="213">
        <v>37502</v>
      </c>
      <c r="AJ774" s="162" t="b">
        <f t="shared" si="493"/>
        <v>0</v>
      </c>
      <c r="AK774" s="162" t="str">
        <f t="shared" si="494"/>
        <v>PUNO</v>
      </c>
      <c r="AL774" s="263"/>
    </row>
    <row r="775" spans="1:38" s="264" customFormat="1" ht="15.75" x14ac:dyDescent="0.2">
      <c r="A775" s="259"/>
      <c r="B775" s="260"/>
      <c r="C775" s="212"/>
      <c r="D775" s="212">
        <v>329</v>
      </c>
      <c r="E775" s="212"/>
      <c r="F775" s="405"/>
      <c r="G775" s="405"/>
      <c r="H775" s="402" t="s">
        <v>531</v>
      </c>
      <c r="I775" s="213">
        <f t="shared" ref="I775:N775" si="531">SUM(I776:I781)</f>
        <v>0</v>
      </c>
      <c r="J775" s="213">
        <f t="shared" si="531"/>
        <v>0</v>
      </c>
      <c r="K775" s="213">
        <f t="shared" si="531"/>
        <v>0</v>
      </c>
      <c r="L775" s="213">
        <f t="shared" si="531"/>
        <v>0</v>
      </c>
      <c r="M775" s="213">
        <f t="shared" si="531"/>
        <v>0</v>
      </c>
      <c r="N775" s="213">
        <f t="shared" si="531"/>
        <v>0</v>
      </c>
      <c r="O775" s="213">
        <f>SUM(O776:O781)</f>
        <v>0</v>
      </c>
      <c r="P775" s="343">
        <f t="shared" si="530"/>
        <v>0</v>
      </c>
      <c r="Q775" s="262"/>
      <c r="R775" s="262"/>
      <c r="S775" s="262"/>
      <c r="T775" s="213">
        <f t="shared" ref="T775:Y775" si="532">SUM(T776:T781)</f>
        <v>0</v>
      </c>
      <c r="U775" s="213">
        <f t="shared" si="532"/>
        <v>0</v>
      </c>
      <c r="V775" s="213">
        <f t="shared" si="532"/>
        <v>98900</v>
      </c>
      <c r="W775" s="213">
        <f t="shared" si="532"/>
        <v>82900</v>
      </c>
      <c r="X775" s="213">
        <f t="shared" si="532"/>
        <v>85389</v>
      </c>
      <c r="Y775" s="213">
        <f t="shared" si="532"/>
        <v>20008.55</v>
      </c>
      <c r="Z775" s="213">
        <f t="shared" si="499"/>
        <v>20.23</v>
      </c>
      <c r="AA775" s="213">
        <f t="shared" si="521"/>
        <v>-9000</v>
      </c>
      <c r="AB775" s="213">
        <f>SUM(AB776:AB781)</f>
        <v>89900</v>
      </c>
      <c r="AC775" s="213">
        <f>SUM(AC776:AC781)</f>
        <v>38913.519999999997</v>
      </c>
      <c r="AD775" s="213">
        <f t="shared" si="495"/>
        <v>43.285339265850943</v>
      </c>
      <c r="AE775" s="213">
        <f t="shared" si="503"/>
        <v>2500</v>
      </c>
      <c r="AF775" s="213">
        <f>SUM(AF776:AF781)</f>
        <v>92400</v>
      </c>
      <c r="AG775" s="213">
        <f>SUM(AG776:AG781)</f>
        <v>104540</v>
      </c>
      <c r="AH775" s="213">
        <f>SUM(AH776:AH781)</f>
        <v>105954</v>
      </c>
      <c r="AI775" s="213">
        <f>SUM(AI776:AI781)</f>
        <v>107868</v>
      </c>
      <c r="AJ775" s="162" t="b">
        <f t="shared" si="493"/>
        <v>1</v>
      </c>
      <c r="AK775" s="162" t="str">
        <f t="shared" si="494"/>
        <v>PRAZNO</v>
      </c>
      <c r="AL775" s="263"/>
    </row>
    <row r="776" spans="1:38" s="264" customFormat="1" ht="15.75" x14ac:dyDescent="0.2">
      <c r="A776" s="259"/>
      <c r="B776" s="260"/>
      <c r="C776" s="212"/>
      <c r="D776" s="212"/>
      <c r="E776" s="212">
        <v>3291</v>
      </c>
      <c r="F776" s="176">
        <v>11</v>
      </c>
      <c r="G776" s="405"/>
      <c r="H776" s="402" t="s">
        <v>343</v>
      </c>
      <c r="I776" s="213">
        <v>0</v>
      </c>
      <c r="J776" s="213">
        <v>0</v>
      </c>
      <c r="K776" s="213">
        <v>0</v>
      </c>
      <c r="L776" s="213">
        <v>0</v>
      </c>
      <c r="M776" s="213">
        <v>0</v>
      </c>
      <c r="N776" s="213">
        <v>0</v>
      </c>
      <c r="O776" s="213">
        <v>0</v>
      </c>
      <c r="P776" s="343">
        <f t="shared" si="530"/>
        <v>0</v>
      </c>
      <c r="Q776" s="262"/>
      <c r="R776" s="262"/>
      <c r="S776" s="262"/>
      <c r="T776" s="342"/>
      <c r="U776" s="342"/>
      <c r="V776" s="213">
        <v>24000</v>
      </c>
      <c r="W776" s="213">
        <v>24000</v>
      </c>
      <c r="X776" s="213">
        <v>24720</v>
      </c>
      <c r="Y776" s="213">
        <v>4216.08</v>
      </c>
      <c r="Z776" s="213">
        <f t="shared" si="499"/>
        <v>17.57</v>
      </c>
      <c r="AA776" s="213">
        <f t="shared" si="521"/>
        <v>-4000</v>
      </c>
      <c r="AB776" s="213">
        <v>20000</v>
      </c>
      <c r="AC776" s="213">
        <v>9645.2999999999993</v>
      </c>
      <c r="AD776" s="213">
        <f t="shared" si="495"/>
        <v>48.226499999999994</v>
      </c>
      <c r="AE776" s="213">
        <f t="shared" si="503"/>
        <v>3000</v>
      </c>
      <c r="AF776" s="213">
        <v>23000</v>
      </c>
      <c r="AG776" s="213">
        <v>23640</v>
      </c>
      <c r="AH776" s="213">
        <v>23640</v>
      </c>
      <c r="AI776" s="213">
        <v>24113</v>
      </c>
      <c r="AJ776" s="162" t="b">
        <f t="shared" si="493"/>
        <v>0</v>
      </c>
      <c r="AK776" s="162" t="str">
        <f t="shared" si="494"/>
        <v>PUNO</v>
      </c>
      <c r="AL776" s="263"/>
    </row>
    <row r="777" spans="1:38" s="264" customFormat="1" ht="15.75" x14ac:dyDescent="0.2">
      <c r="A777" s="259"/>
      <c r="B777" s="260"/>
      <c r="C777" s="212"/>
      <c r="D777" s="212"/>
      <c r="E777" s="212">
        <v>3292</v>
      </c>
      <c r="F777" s="176">
        <v>11</v>
      </c>
      <c r="G777" s="405"/>
      <c r="H777" s="402" t="s">
        <v>399</v>
      </c>
      <c r="I777" s="213">
        <v>0</v>
      </c>
      <c r="J777" s="213">
        <v>0</v>
      </c>
      <c r="K777" s="213">
        <v>0</v>
      </c>
      <c r="L777" s="213">
        <v>0</v>
      </c>
      <c r="M777" s="213">
        <v>0</v>
      </c>
      <c r="N777" s="213">
        <v>0</v>
      </c>
      <c r="O777" s="213">
        <v>0</v>
      </c>
      <c r="P777" s="343">
        <f t="shared" si="530"/>
        <v>0</v>
      </c>
      <c r="Q777" s="262"/>
      <c r="R777" s="262"/>
      <c r="S777" s="262"/>
      <c r="T777" s="342"/>
      <c r="U777" s="342"/>
      <c r="V777" s="213">
        <v>36700</v>
      </c>
      <c r="W777" s="213">
        <v>20700</v>
      </c>
      <c r="X777" s="213">
        <v>21323</v>
      </c>
      <c r="Y777" s="213">
        <v>8418.7999999999993</v>
      </c>
      <c r="Z777" s="213">
        <f t="shared" si="499"/>
        <v>22.94</v>
      </c>
      <c r="AA777" s="213">
        <f t="shared" si="521"/>
        <v>3000</v>
      </c>
      <c r="AB777" s="213">
        <v>39700</v>
      </c>
      <c r="AC777" s="213">
        <v>17448.71</v>
      </c>
      <c r="AD777" s="213">
        <f t="shared" si="495"/>
        <v>43.951410579345087</v>
      </c>
      <c r="AE777" s="213">
        <f t="shared" si="503"/>
        <v>4500</v>
      </c>
      <c r="AF777" s="213">
        <v>44200</v>
      </c>
      <c r="AG777" s="213">
        <v>42700</v>
      </c>
      <c r="AH777" s="213">
        <v>43554</v>
      </c>
      <c r="AI777" s="213">
        <v>44424</v>
      </c>
      <c r="AJ777" s="162" t="b">
        <f t="shared" ref="AJ777:AJ840" si="533">ISBLANK(E777)</f>
        <v>0</v>
      </c>
      <c r="AK777" s="162" t="str">
        <f t="shared" ref="AK777:AK840" si="534">IF(AJ777,"PRAZNO","PUNO")</f>
        <v>PUNO</v>
      </c>
      <c r="AL777" s="263"/>
    </row>
    <row r="778" spans="1:38" s="264" customFormat="1" ht="15.75" x14ac:dyDescent="0.2">
      <c r="A778" s="259"/>
      <c r="B778" s="260"/>
      <c r="C778" s="212"/>
      <c r="D778" s="212"/>
      <c r="E778" s="212">
        <v>3293</v>
      </c>
      <c r="F778" s="176">
        <v>11</v>
      </c>
      <c r="G778" s="405"/>
      <c r="H778" s="402" t="s">
        <v>533</v>
      </c>
      <c r="I778" s="213">
        <v>0</v>
      </c>
      <c r="J778" s="213">
        <v>0</v>
      </c>
      <c r="K778" s="213">
        <v>0</v>
      </c>
      <c r="L778" s="213">
        <v>0</v>
      </c>
      <c r="M778" s="213">
        <v>0</v>
      </c>
      <c r="N778" s="213">
        <v>0</v>
      </c>
      <c r="O778" s="213">
        <v>0</v>
      </c>
      <c r="P778" s="343">
        <f t="shared" si="530"/>
        <v>0</v>
      </c>
      <c r="Q778" s="262"/>
      <c r="R778" s="262"/>
      <c r="S778" s="262"/>
      <c r="T778" s="342"/>
      <c r="U778" s="342"/>
      <c r="V778" s="213">
        <f>28000</f>
        <v>28000</v>
      </c>
      <c r="W778" s="213">
        <f>28000</f>
        <v>28000</v>
      </c>
      <c r="X778" s="213">
        <f>28840</f>
        <v>28840</v>
      </c>
      <c r="Y778" s="213">
        <v>5148.67</v>
      </c>
      <c r="Z778" s="213">
        <f t="shared" si="499"/>
        <v>18.39</v>
      </c>
      <c r="AA778" s="213">
        <f t="shared" si="521"/>
        <v>-8000</v>
      </c>
      <c r="AB778" s="213">
        <v>20000</v>
      </c>
      <c r="AC778" s="213">
        <v>8479.51</v>
      </c>
      <c r="AD778" s="213">
        <f t="shared" si="495"/>
        <v>42.397550000000003</v>
      </c>
      <c r="AE778" s="213">
        <f t="shared" si="503"/>
        <v>-5000</v>
      </c>
      <c r="AF778" s="213">
        <v>15000</v>
      </c>
      <c r="AG778" s="213">
        <v>28000</v>
      </c>
      <c r="AH778" s="213">
        <v>28560</v>
      </c>
      <c r="AI778" s="213">
        <v>29131</v>
      </c>
      <c r="AJ778" s="162" t="b">
        <f t="shared" si="533"/>
        <v>0</v>
      </c>
      <c r="AK778" s="162" t="str">
        <f t="shared" si="534"/>
        <v>PUNO</v>
      </c>
      <c r="AL778" s="263"/>
    </row>
    <row r="779" spans="1:38" s="264" customFormat="1" ht="15.75" x14ac:dyDescent="0.2">
      <c r="A779" s="259"/>
      <c r="B779" s="260"/>
      <c r="C779" s="212"/>
      <c r="D779" s="212"/>
      <c r="E779" s="212">
        <v>3294</v>
      </c>
      <c r="F779" s="176">
        <v>11</v>
      </c>
      <c r="G779" s="405"/>
      <c r="H779" s="402" t="s">
        <v>567</v>
      </c>
      <c r="I779" s="213"/>
      <c r="J779" s="213"/>
      <c r="K779" s="213"/>
      <c r="L779" s="213"/>
      <c r="M779" s="213"/>
      <c r="N779" s="213"/>
      <c r="O779" s="213"/>
      <c r="P779" s="343"/>
      <c r="Q779" s="262"/>
      <c r="R779" s="262"/>
      <c r="S779" s="262"/>
      <c r="T779" s="342"/>
      <c r="U779" s="342"/>
      <c r="V779" s="213">
        <v>200</v>
      </c>
      <c r="W779" s="213">
        <v>200</v>
      </c>
      <c r="X779" s="213">
        <f>206</f>
        <v>206</v>
      </c>
      <c r="Y779" s="213">
        <v>0</v>
      </c>
      <c r="Z779" s="213">
        <f t="shared" si="499"/>
        <v>0</v>
      </c>
      <c r="AA779" s="213">
        <f t="shared" si="521"/>
        <v>0</v>
      </c>
      <c r="AB779" s="213">
        <v>200</v>
      </c>
      <c r="AC779" s="213">
        <v>160</v>
      </c>
      <c r="AD779" s="213">
        <f t="shared" si="495"/>
        <v>80</v>
      </c>
      <c r="AE779" s="213">
        <f t="shared" si="503"/>
        <v>0</v>
      </c>
      <c r="AF779" s="213">
        <v>200</v>
      </c>
      <c r="AG779" s="213">
        <v>200</v>
      </c>
      <c r="AH779" s="213">
        <v>200</v>
      </c>
      <c r="AI779" s="213">
        <v>200</v>
      </c>
      <c r="AJ779" s="162" t="b">
        <f t="shared" si="533"/>
        <v>0</v>
      </c>
      <c r="AK779" s="162" t="str">
        <f t="shared" si="534"/>
        <v>PUNO</v>
      </c>
      <c r="AL779" s="263"/>
    </row>
    <row r="780" spans="1:38" s="264" customFormat="1" ht="15.75" x14ac:dyDescent="0.2">
      <c r="A780" s="259"/>
      <c r="B780" s="260"/>
      <c r="C780" s="212"/>
      <c r="D780" s="212"/>
      <c r="E780" s="212">
        <v>3295</v>
      </c>
      <c r="F780" s="176">
        <v>11</v>
      </c>
      <c r="G780" s="405"/>
      <c r="H780" s="402" t="s">
        <v>400</v>
      </c>
      <c r="I780" s="213"/>
      <c r="J780" s="213"/>
      <c r="K780" s="213"/>
      <c r="L780" s="213"/>
      <c r="M780" s="213"/>
      <c r="N780" s="213"/>
      <c r="O780" s="213"/>
      <c r="P780" s="343"/>
      <c r="Q780" s="262"/>
      <c r="R780" s="262"/>
      <c r="S780" s="262"/>
      <c r="T780" s="342"/>
      <c r="U780" s="342"/>
      <c r="V780" s="213">
        <v>5000</v>
      </c>
      <c r="W780" s="213">
        <v>5000</v>
      </c>
      <c r="X780" s="213">
        <v>5150</v>
      </c>
      <c r="Y780" s="213">
        <v>1315</v>
      </c>
      <c r="Z780" s="213">
        <f t="shared" si="499"/>
        <v>26.3</v>
      </c>
      <c r="AA780" s="213">
        <f t="shared" si="521"/>
        <v>0</v>
      </c>
      <c r="AB780" s="213">
        <v>5000</v>
      </c>
      <c r="AC780" s="213">
        <v>1690</v>
      </c>
      <c r="AD780" s="213">
        <f t="shared" si="495"/>
        <v>33.800000000000004</v>
      </c>
      <c r="AE780" s="213">
        <f t="shared" si="503"/>
        <v>0</v>
      </c>
      <c r="AF780" s="213">
        <v>5000</v>
      </c>
      <c r="AG780" s="213">
        <v>5000</v>
      </c>
      <c r="AH780" s="213">
        <v>5000</v>
      </c>
      <c r="AI780" s="213">
        <v>5000</v>
      </c>
      <c r="AJ780" s="162" t="b">
        <f t="shared" si="533"/>
        <v>0</v>
      </c>
      <c r="AK780" s="162" t="str">
        <f t="shared" si="534"/>
        <v>PUNO</v>
      </c>
      <c r="AL780" s="263"/>
    </row>
    <row r="781" spans="1:38" s="264" customFormat="1" ht="15.75" x14ac:dyDescent="0.2">
      <c r="A781" s="259"/>
      <c r="B781" s="260"/>
      <c r="C781" s="212"/>
      <c r="D781" s="212"/>
      <c r="E781" s="212">
        <v>3299</v>
      </c>
      <c r="F781" s="176">
        <v>11</v>
      </c>
      <c r="G781" s="405"/>
      <c r="H781" s="402" t="s">
        <v>531</v>
      </c>
      <c r="I781" s="213">
        <v>0</v>
      </c>
      <c r="J781" s="213">
        <v>0</v>
      </c>
      <c r="K781" s="213">
        <v>0</v>
      </c>
      <c r="L781" s="213">
        <v>0</v>
      </c>
      <c r="M781" s="213">
        <v>0</v>
      </c>
      <c r="N781" s="213">
        <v>0</v>
      </c>
      <c r="O781" s="213">
        <v>0</v>
      </c>
      <c r="P781" s="343">
        <f>T781-N781</f>
        <v>0</v>
      </c>
      <c r="Q781" s="262"/>
      <c r="R781" s="262"/>
      <c r="S781" s="262"/>
      <c r="T781" s="342"/>
      <c r="U781" s="342"/>
      <c r="V781" s="213">
        <v>5000</v>
      </c>
      <c r="W781" s="213">
        <v>5000</v>
      </c>
      <c r="X781" s="213">
        <v>5150</v>
      </c>
      <c r="Y781" s="213">
        <v>910</v>
      </c>
      <c r="Z781" s="213">
        <f t="shared" si="499"/>
        <v>18.2</v>
      </c>
      <c r="AA781" s="213">
        <f t="shared" si="521"/>
        <v>0</v>
      </c>
      <c r="AB781" s="213">
        <v>5000</v>
      </c>
      <c r="AC781" s="213">
        <v>1490</v>
      </c>
      <c r="AD781" s="213">
        <f t="shared" si="495"/>
        <v>29.799999999999997</v>
      </c>
      <c r="AE781" s="213">
        <f t="shared" si="503"/>
        <v>0</v>
      </c>
      <c r="AF781" s="213">
        <v>5000</v>
      </c>
      <c r="AG781" s="213">
        <v>5000</v>
      </c>
      <c r="AH781" s="213">
        <v>5000</v>
      </c>
      <c r="AI781" s="213">
        <v>5000</v>
      </c>
      <c r="AJ781" s="162" t="b">
        <f t="shared" si="533"/>
        <v>0</v>
      </c>
      <c r="AK781" s="162" t="str">
        <f t="shared" si="534"/>
        <v>PUNO</v>
      </c>
      <c r="AL781" s="263"/>
    </row>
    <row r="782" spans="1:38" s="638" customFormat="1" ht="15.75" x14ac:dyDescent="0.2">
      <c r="A782" s="633"/>
      <c r="B782" s="475"/>
      <c r="C782" s="314">
        <v>34</v>
      </c>
      <c r="D782" s="314"/>
      <c r="E782" s="314"/>
      <c r="F782" s="634"/>
      <c r="G782" s="634"/>
      <c r="H782" s="635" t="s">
        <v>208</v>
      </c>
      <c r="I782" s="317">
        <f t="shared" ref="I782:N783" si="535">I783</f>
        <v>0</v>
      </c>
      <c r="J782" s="317">
        <f t="shared" si="535"/>
        <v>0</v>
      </c>
      <c r="K782" s="317">
        <f t="shared" si="535"/>
        <v>0</v>
      </c>
      <c r="L782" s="317">
        <f t="shared" si="535"/>
        <v>0</v>
      </c>
      <c r="M782" s="317">
        <f t="shared" si="535"/>
        <v>0</v>
      </c>
      <c r="N782" s="317">
        <f t="shared" si="535"/>
        <v>0</v>
      </c>
      <c r="O782" s="317">
        <f>O783</f>
        <v>0</v>
      </c>
      <c r="P782" s="341">
        <f>T782-N782</f>
        <v>0</v>
      </c>
      <c r="Q782" s="636"/>
      <c r="R782" s="636"/>
      <c r="S782" s="636"/>
      <c r="T782" s="317">
        <f t="shared" ref="T782:AI783" si="536">T783</f>
        <v>0</v>
      </c>
      <c r="U782" s="317">
        <f t="shared" si="536"/>
        <v>0</v>
      </c>
      <c r="V782" s="317">
        <f t="shared" si="536"/>
        <v>11200</v>
      </c>
      <c r="W782" s="317">
        <f t="shared" si="536"/>
        <v>11200</v>
      </c>
      <c r="X782" s="317">
        <f t="shared" si="536"/>
        <v>11200</v>
      </c>
      <c r="Y782" s="317">
        <f t="shared" si="536"/>
        <v>2421.9499999999998</v>
      </c>
      <c r="Z782" s="317">
        <f t="shared" si="499"/>
        <v>21.62</v>
      </c>
      <c r="AA782" s="317">
        <f t="shared" si="521"/>
        <v>0</v>
      </c>
      <c r="AB782" s="317">
        <f t="shared" si="536"/>
        <v>11200</v>
      </c>
      <c r="AC782" s="317">
        <f t="shared" si="536"/>
        <v>4276.3999999999996</v>
      </c>
      <c r="AD782" s="317">
        <f t="shared" ref="AD782:AD852" si="537">AC782/AB782*100</f>
        <v>38.18214285714285</v>
      </c>
      <c r="AE782" s="317">
        <f t="shared" si="503"/>
        <v>0</v>
      </c>
      <c r="AF782" s="317">
        <f t="shared" si="536"/>
        <v>11200</v>
      </c>
      <c r="AG782" s="317">
        <f t="shared" si="536"/>
        <v>12000</v>
      </c>
      <c r="AH782" s="317">
        <v>12240</v>
      </c>
      <c r="AI782" s="317">
        <f t="shared" si="536"/>
        <v>12485</v>
      </c>
      <c r="AJ782" s="162" t="b">
        <f t="shared" si="533"/>
        <v>1</v>
      </c>
      <c r="AK782" s="162" t="str">
        <f t="shared" si="534"/>
        <v>PRAZNO</v>
      </c>
      <c r="AL782" s="637"/>
    </row>
    <row r="783" spans="1:38" s="264" customFormat="1" ht="15.75" x14ac:dyDescent="0.2">
      <c r="A783" s="259"/>
      <c r="B783" s="260"/>
      <c r="C783" s="212"/>
      <c r="D783" s="212">
        <v>343</v>
      </c>
      <c r="E783" s="212"/>
      <c r="F783" s="405"/>
      <c r="G783" s="405"/>
      <c r="H783" s="402" t="s">
        <v>209</v>
      </c>
      <c r="I783" s="213">
        <f t="shared" si="535"/>
        <v>0</v>
      </c>
      <c r="J783" s="213">
        <f t="shared" si="535"/>
        <v>0</v>
      </c>
      <c r="K783" s="213">
        <f t="shared" si="535"/>
        <v>0</v>
      </c>
      <c r="L783" s="213">
        <f t="shared" si="535"/>
        <v>0</v>
      </c>
      <c r="M783" s="213">
        <f t="shared" si="535"/>
        <v>0</v>
      </c>
      <c r="N783" s="213">
        <f t="shared" si="535"/>
        <v>0</v>
      </c>
      <c r="O783" s="213">
        <f>O784</f>
        <v>0</v>
      </c>
      <c r="P783" s="343">
        <f>T783-N783</f>
        <v>0</v>
      </c>
      <c r="Q783" s="262"/>
      <c r="R783" s="262"/>
      <c r="S783" s="262"/>
      <c r="T783" s="213">
        <f t="shared" si="536"/>
        <v>0</v>
      </c>
      <c r="U783" s="213">
        <f t="shared" si="536"/>
        <v>0</v>
      </c>
      <c r="V783" s="213">
        <f t="shared" si="536"/>
        <v>11200</v>
      </c>
      <c r="W783" s="213">
        <f t="shared" si="536"/>
        <v>11200</v>
      </c>
      <c r="X783" s="213">
        <f t="shared" si="536"/>
        <v>11200</v>
      </c>
      <c r="Y783" s="213">
        <f t="shared" si="536"/>
        <v>2421.9499999999998</v>
      </c>
      <c r="Z783" s="213">
        <f t="shared" si="499"/>
        <v>21.62</v>
      </c>
      <c r="AA783" s="213">
        <f t="shared" si="521"/>
        <v>0</v>
      </c>
      <c r="AB783" s="213">
        <f t="shared" si="536"/>
        <v>11200</v>
      </c>
      <c r="AC783" s="213">
        <f t="shared" si="536"/>
        <v>4276.3999999999996</v>
      </c>
      <c r="AD783" s="213">
        <f t="shared" si="537"/>
        <v>38.18214285714285</v>
      </c>
      <c r="AE783" s="213">
        <f t="shared" si="503"/>
        <v>0</v>
      </c>
      <c r="AF783" s="213">
        <f t="shared" si="536"/>
        <v>11200</v>
      </c>
      <c r="AG783" s="213">
        <f t="shared" si="536"/>
        <v>12000</v>
      </c>
      <c r="AH783" s="213">
        <v>12240</v>
      </c>
      <c r="AI783" s="213">
        <f t="shared" si="536"/>
        <v>12485</v>
      </c>
      <c r="AJ783" s="162" t="b">
        <f t="shared" si="533"/>
        <v>1</v>
      </c>
      <c r="AK783" s="162" t="str">
        <f t="shared" si="534"/>
        <v>PRAZNO</v>
      </c>
      <c r="AL783" s="263"/>
    </row>
    <row r="784" spans="1:38" s="264" customFormat="1" ht="15.75" x14ac:dyDescent="0.2">
      <c r="A784" s="259"/>
      <c r="B784" s="260"/>
      <c r="C784" s="212"/>
      <c r="D784" s="212"/>
      <c r="E784" s="212">
        <v>3431</v>
      </c>
      <c r="F784" s="176">
        <v>11</v>
      </c>
      <c r="G784" s="405"/>
      <c r="H784" s="402" t="s">
        <v>211</v>
      </c>
      <c r="I784" s="213">
        <v>0</v>
      </c>
      <c r="J784" s="213">
        <v>0</v>
      </c>
      <c r="K784" s="213">
        <v>0</v>
      </c>
      <c r="L784" s="213">
        <v>0</v>
      </c>
      <c r="M784" s="213">
        <v>0</v>
      </c>
      <c r="N784" s="213">
        <v>0</v>
      </c>
      <c r="O784" s="213">
        <v>0</v>
      </c>
      <c r="P784" s="343">
        <f>T784-N784</f>
        <v>0</v>
      </c>
      <c r="Q784" s="262"/>
      <c r="R784" s="262"/>
      <c r="S784" s="262"/>
      <c r="T784" s="342"/>
      <c r="U784" s="342"/>
      <c r="V784" s="213">
        <f>11200</f>
        <v>11200</v>
      </c>
      <c r="W784" s="213">
        <f>11200</f>
        <v>11200</v>
      </c>
      <c r="X784" s="213">
        <f>11200</f>
        <v>11200</v>
      </c>
      <c r="Y784" s="213">
        <v>2421.9499999999998</v>
      </c>
      <c r="Z784" s="213">
        <f t="shared" si="499"/>
        <v>21.62</v>
      </c>
      <c r="AA784" s="213">
        <f t="shared" si="521"/>
        <v>0</v>
      </c>
      <c r="AB784" s="213">
        <f>11200</f>
        <v>11200</v>
      </c>
      <c r="AC784" s="213">
        <v>4276.3999999999996</v>
      </c>
      <c r="AD784" s="213">
        <f t="shared" si="537"/>
        <v>38.18214285714285</v>
      </c>
      <c r="AE784" s="213">
        <f t="shared" si="503"/>
        <v>0</v>
      </c>
      <c r="AF784" s="213">
        <f>11200</f>
        <v>11200</v>
      </c>
      <c r="AG784" s="213">
        <v>12000</v>
      </c>
      <c r="AH784" s="213">
        <v>12240</v>
      </c>
      <c r="AI784" s="213">
        <v>12485</v>
      </c>
      <c r="AJ784" s="162" t="b">
        <f t="shared" si="533"/>
        <v>0</v>
      </c>
      <c r="AK784" s="162" t="str">
        <f t="shared" si="534"/>
        <v>PUNO</v>
      </c>
      <c r="AL784" s="263"/>
    </row>
    <row r="785" spans="1:38" s="638" customFormat="1" ht="15.75" x14ac:dyDescent="0.2">
      <c r="A785" s="633"/>
      <c r="B785" s="475"/>
      <c r="C785" s="314">
        <v>38</v>
      </c>
      <c r="D785" s="314"/>
      <c r="E785" s="314"/>
      <c r="F785" s="634"/>
      <c r="G785" s="634"/>
      <c r="H785" s="635" t="s">
        <v>539</v>
      </c>
      <c r="I785" s="317"/>
      <c r="J785" s="317"/>
      <c r="K785" s="317"/>
      <c r="L785" s="317"/>
      <c r="M785" s="317"/>
      <c r="N785" s="317"/>
      <c r="O785" s="317"/>
      <c r="P785" s="341"/>
      <c r="Q785" s="636"/>
      <c r="R785" s="636"/>
      <c r="S785" s="636"/>
      <c r="T785" s="317"/>
      <c r="U785" s="317">
        <f>U786</f>
        <v>1459855.05</v>
      </c>
      <c r="V785" s="317"/>
      <c r="W785" s="317"/>
      <c r="X785" s="317"/>
      <c r="Y785" s="317"/>
      <c r="Z785" s="317"/>
      <c r="AA785" s="317"/>
      <c r="AB785" s="317"/>
      <c r="AC785" s="317"/>
      <c r="AD785" s="317"/>
      <c r="AE785" s="317"/>
      <c r="AF785" s="317"/>
      <c r="AG785" s="317"/>
      <c r="AH785" s="317"/>
      <c r="AI785" s="317"/>
      <c r="AJ785" s="162" t="b">
        <f t="shared" si="533"/>
        <v>1</v>
      </c>
      <c r="AK785" s="162" t="str">
        <f t="shared" si="534"/>
        <v>PRAZNO</v>
      </c>
      <c r="AL785" s="637"/>
    </row>
    <row r="786" spans="1:38" s="264" customFormat="1" ht="15.75" x14ac:dyDescent="0.2">
      <c r="A786" s="259"/>
      <c r="B786" s="260"/>
      <c r="C786" s="212"/>
      <c r="D786" s="212">
        <v>381</v>
      </c>
      <c r="E786" s="212"/>
      <c r="F786" s="405"/>
      <c r="G786" s="405"/>
      <c r="H786" s="402" t="s">
        <v>540</v>
      </c>
      <c r="I786" s="213"/>
      <c r="J786" s="213"/>
      <c r="K786" s="213"/>
      <c r="L786" s="213"/>
      <c r="M786" s="213"/>
      <c r="N786" s="213"/>
      <c r="O786" s="213"/>
      <c r="P786" s="343"/>
      <c r="Q786" s="262"/>
      <c r="R786" s="262"/>
      <c r="S786" s="262"/>
      <c r="T786" s="213"/>
      <c r="U786" s="213">
        <f>U787</f>
        <v>1459855.05</v>
      </c>
      <c r="V786" s="213"/>
      <c r="W786" s="213"/>
      <c r="X786" s="213"/>
      <c r="Y786" s="213"/>
      <c r="Z786" s="213"/>
      <c r="AA786" s="213"/>
      <c r="AB786" s="213"/>
      <c r="AC786" s="213"/>
      <c r="AD786" s="213"/>
      <c r="AE786" s="213"/>
      <c r="AF786" s="213"/>
      <c r="AG786" s="213"/>
      <c r="AH786" s="213"/>
      <c r="AI786" s="213"/>
      <c r="AJ786" s="162" t="b">
        <f t="shared" si="533"/>
        <v>1</v>
      </c>
      <c r="AK786" s="162" t="str">
        <f t="shared" si="534"/>
        <v>PRAZNO</v>
      </c>
      <c r="AL786" s="263"/>
    </row>
    <row r="787" spans="1:38" s="264" customFormat="1" ht="15.75" x14ac:dyDescent="0.2">
      <c r="A787" s="259"/>
      <c r="B787" s="260"/>
      <c r="C787" s="212"/>
      <c r="D787" s="212"/>
      <c r="E787" s="212">
        <v>3811</v>
      </c>
      <c r="F787" s="176">
        <v>11</v>
      </c>
      <c r="G787" s="405"/>
      <c r="H787" s="402" t="s">
        <v>936</v>
      </c>
      <c r="I787" s="213"/>
      <c r="J787" s="213"/>
      <c r="K787" s="213"/>
      <c r="L787" s="213"/>
      <c r="M787" s="213"/>
      <c r="N787" s="213"/>
      <c r="O787" s="213"/>
      <c r="P787" s="343"/>
      <c r="Q787" s="262"/>
      <c r="R787" s="262"/>
      <c r="S787" s="262"/>
      <c r="T787" s="342"/>
      <c r="U787" s="342">
        <v>1459855.05</v>
      </c>
      <c r="V787" s="213"/>
      <c r="W787" s="213"/>
      <c r="X787" s="213"/>
      <c r="Y787" s="213"/>
      <c r="Z787" s="213"/>
      <c r="AA787" s="213"/>
      <c r="AB787" s="213"/>
      <c r="AC787" s="213"/>
      <c r="AD787" s="213"/>
      <c r="AE787" s="213"/>
      <c r="AF787" s="213"/>
      <c r="AG787" s="213"/>
      <c r="AH787" s="213"/>
      <c r="AI787" s="213"/>
      <c r="AJ787" s="162" t="b">
        <f t="shared" si="533"/>
        <v>0</v>
      </c>
      <c r="AK787" s="162" t="str">
        <f t="shared" si="534"/>
        <v>PUNO</v>
      </c>
      <c r="AL787" s="263"/>
    </row>
    <row r="788" spans="1:38" s="171" customFormat="1" ht="15.75" x14ac:dyDescent="0.2">
      <c r="A788" s="259"/>
      <c r="B788" s="168"/>
      <c r="C788" s="404"/>
      <c r="D788" s="404"/>
      <c r="E788" s="404"/>
      <c r="F788" s="403"/>
      <c r="G788" s="403"/>
      <c r="H788" s="407" t="s">
        <v>292</v>
      </c>
      <c r="I788" s="302">
        <f t="shared" ref="I788:O788" si="538">I790</f>
        <v>0</v>
      </c>
      <c r="J788" s="302">
        <f t="shared" si="538"/>
        <v>0</v>
      </c>
      <c r="K788" s="302">
        <f t="shared" si="538"/>
        <v>0</v>
      </c>
      <c r="L788" s="302">
        <f t="shared" si="538"/>
        <v>0</v>
      </c>
      <c r="M788" s="302">
        <f t="shared" si="538"/>
        <v>0</v>
      </c>
      <c r="N788" s="302">
        <f t="shared" si="538"/>
        <v>0</v>
      </c>
      <c r="O788" s="302">
        <f t="shared" si="538"/>
        <v>0</v>
      </c>
      <c r="P788" s="303"/>
      <c r="Q788" s="19"/>
      <c r="R788" s="19"/>
      <c r="S788" s="19"/>
      <c r="T788" s="19">
        <f>T790</f>
        <v>0</v>
      </c>
      <c r="U788" s="19">
        <f>U790</f>
        <v>0</v>
      </c>
      <c r="V788" s="19">
        <f>V790+V834</f>
        <v>253701</v>
      </c>
      <c r="W788" s="19">
        <f>W790</f>
        <v>229318</v>
      </c>
      <c r="X788" s="19">
        <f>X790</f>
        <v>237756</v>
      </c>
      <c r="Y788" s="19">
        <f>Y790</f>
        <v>0</v>
      </c>
      <c r="Z788" s="19">
        <f t="shared" ref="Z788:Z857" si="539">ROUND(Y788/V788*100,2)</f>
        <v>0</v>
      </c>
      <c r="AA788" s="19">
        <f t="shared" si="521"/>
        <v>61112</v>
      </c>
      <c r="AB788" s="19">
        <f>AB790+AB834</f>
        <v>314813</v>
      </c>
      <c r="AC788" s="19">
        <f>AC790+AC834</f>
        <v>16720.04</v>
      </c>
      <c r="AD788" s="19">
        <f t="shared" si="537"/>
        <v>5.3111021463535497</v>
      </c>
      <c r="AE788" s="19">
        <f t="shared" si="503"/>
        <v>-34813</v>
      </c>
      <c r="AF788" s="19">
        <f>AF790+AF834</f>
        <v>280000</v>
      </c>
      <c r="AG788" s="19">
        <f>AG790+AG834</f>
        <v>509679</v>
      </c>
      <c r="AH788" s="19">
        <f>AH790+AH834</f>
        <v>509679</v>
      </c>
      <c r="AI788" s="19">
        <f>AI790+AI834</f>
        <v>509679</v>
      </c>
      <c r="AJ788" s="162" t="b">
        <f t="shared" si="533"/>
        <v>1</v>
      </c>
      <c r="AK788" s="162" t="str">
        <f t="shared" si="534"/>
        <v>PRAZNO</v>
      </c>
      <c r="AL788" s="170"/>
    </row>
    <row r="789" spans="1:38" s="264" customFormat="1" ht="15.75" x14ac:dyDescent="0.2">
      <c r="A789" s="259"/>
      <c r="B789" s="260"/>
      <c r="C789" s="212"/>
      <c r="D789" s="212"/>
      <c r="E789" s="212"/>
      <c r="F789" s="405"/>
      <c r="G789" s="405"/>
      <c r="H789" s="468" t="s">
        <v>824</v>
      </c>
      <c r="I789" s="406"/>
      <c r="J789" s="406"/>
      <c r="K789" s="406"/>
      <c r="L789" s="406"/>
      <c r="M789" s="406"/>
      <c r="N789" s="406"/>
      <c r="O789" s="406"/>
      <c r="P789" s="445"/>
      <c r="Q789" s="262"/>
      <c r="R789" s="262"/>
      <c r="S789" s="262"/>
      <c r="T789" s="262"/>
      <c r="U789" s="262"/>
      <c r="V789" s="262">
        <f>V790</f>
        <v>227351</v>
      </c>
      <c r="W789" s="262">
        <f>W790</f>
        <v>229318</v>
      </c>
      <c r="X789" s="262">
        <f>X790</f>
        <v>237756</v>
      </c>
      <c r="Y789" s="262">
        <f>Y790</f>
        <v>0</v>
      </c>
      <c r="Z789" s="262">
        <f t="shared" si="539"/>
        <v>0</v>
      </c>
      <c r="AA789" s="262">
        <f t="shared" si="521"/>
        <v>-167538</v>
      </c>
      <c r="AB789" s="262">
        <f>AB790</f>
        <v>59813</v>
      </c>
      <c r="AC789" s="262">
        <f>AC790</f>
        <v>16720.04</v>
      </c>
      <c r="AD789" s="262">
        <f t="shared" si="537"/>
        <v>27.953856185110261</v>
      </c>
      <c r="AE789" s="262">
        <f t="shared" si="503"/>
        <v>-17813</v>
      </c>
      <c r="AF789" s="262">
        <f>AF790</f>
        <v>42000</v>
      </c>
      <c r="AG789" s="262">
        <f>AG790</f>
        <v>76452</v>
      </c>
      <c r="AH789" s="262">
        <f>AH790</f>
        <v>76452</v>
      </c>
      <c r="AI789" s="262">
        <f>AI790</f>
        <v>76452</v>
      </c>
      <c r="AJ789" s="162" t="b">
        <f t="shared" si="533"/>
        <v>1</v>
      </c>
      <c r="AK789" s="162" t="str">
        <f t="shared" si="534"/>
        <v>PRAZNO</v>
      </c>
      <c r="AL789" s="263"/>
    </row>
    <row r="790" spans="1:38" s="174" customFormat="1" ht="15.75" x14ac:dyDescent="0.2">
      <c r="A790" s="259"/>
      <c r="B790" s="172">
        <v>3</v>
      </c>
      <c r="C790" s="247"/>
      <c r="D790" s="247"/>
      <c r="E790" s="247"/>
      <c r="F790" s="426"/>
      <c r="G790" s="426"/>
      <c r="H790" s="427" t="s">
        <v>524</v>
      </c>
      <c r="I790" s="20">
        <f t="shared" ref="I790:O790" si="540">I791+I799+I838</f>
        <v>0</v>
      </c>
      <c r="J790" s="20">
        <f t="shared" si="540"/>
        <v>0</v>
      </c>
      <c r="K790" s="20">
        <f t="shared" si="540"/>
        <v>0</v>
      </c>
      <c r="L790" s="20">
        <f t="shared" si="540"/>
        <v>0</v>
      </c>
      <c r="M790" s="20">
        <f t="shared" si="540"/>
        <v>0</v>
      </c>
      <c r="N790" s="20">
        <f t="shared" si="540"/>
        <v>0</v>
      </c>
      <c r="O790" s="20">
        <f t="shared" si="540"/>
        <v>0</v>
      </c>
      <c r="P790" s="54">
        <f t="shared" ref="P790:P839" si="541">T790-N790</f>
        <v>0</v>
      </c>
      <c r="Q790" s="20"/>
      <c r="R790" s="20"/>
      <c r="S790" s="20"/>
      <c r="T790" s="20">
        <f>T791+T799+T838</f>
        <v>0</v>
      </c>
      <c r="U790" s="20">
        <f>U791+U799+U838</f>
        <v>0</v>
      </c>
      <c r="V790" s="20">
        <f>V791+V799+V829</f>
        <v>227351</v>
      </c>
      <c r="W790" s="20">
        <f>W791+W799+W838</f>
        <v>229318</v>
      </c>
      <c r="X790" s="20">
        <f>X791+X799+X838</f>
        <v>237756</v>
      </c>
      <c r="Y790" s="20">
        <f>Y791+Y799+Y838+Y841</f>
        <v>0</v>
      </c>
      <c r="Z790" s="20">
        <f t="shared" si="539"/>
        <v>0</v>
      </c>
      <c r="AA790" s="20">
        <f t="shared" si="521"/>
        <v>-167538</v>
      </c>
      <c r="AB790" s="20">
        <f>AB791+AB799+AB829</f>
        <v>59813</v>
      </c>
      <c r="AC790" s="20">
        <f>AC791+AC799+AC829</f>
        <v>16720.04</v>
      </c>
      <c r="AD790" s="20">
        <f t="shared" si="537"/>
        <v>27.953856185110261</v>
      </c>
      <c r="AE790" s="20">
        <f t="shared" si="503"/>
        <v>-17813</v>
      </c>
      <c r="AF790" s="20">
        <f>AF791+AF799+AF829</f>
        <v>42000</v>
      </c>
      <c r="AG790" s="20">
        <f>AG791+AG799+AG829</f>
        <v>76452</v>
      </c>
      <c r="AH790" s="20">
        <f>AH791+AH799+AH829</f>
        <v>76452</v>
      </c>
      <c r="AI790" s="20">
        <f>AI791+AI799+AI829</f>
        <v>76452</v>
      </c>
      <c r="AJ790" s="162" t="b">
        <f t="shared" si="533"/>
        <v>1</v>
      </c>
      <c r="AK790" s="162" t="str">
        <f t="shared" si="534"/>
        <v>PRAZNO</v>
      </c>
      <c r="AL790" s="173"/>
    </row>
    <row r="791" spans="1:38" s="638" customFormat="1" ht="15.75" x14ac:dyDescent="0.2">
      <c r="A791" s="633"/>
      <c r="B791" s="475"/>
      <c r="C791" s="314">
        <v>31</v>
      </c>
      <c r="D791" s="314"/>
      <c r="E791" s="314"/>
      <c r="F791" s="634"/>
      <c r="G791" s="634"/>
      <c r="H791" s="635" t="s">
        <v>197</v>
      </c>
      <c r="I791" s="639">
        <f t="shared" ref="I791:N791" si="542">I792+I794+I796</f>
        <v>0</v>
      </c>
      <c r="J791" s="639">
        <f t="shared" si="542"/>
        <v>0</v>
      </c>
      <c r="K791" s="639">
        <f t="shared" si="542"/>
        <v>0</v>
      </c>
      <c r="L791" s="639">
        <f t="shared" si="542"/>
        <v>0</v>
      </c>
      <c r="M791" s="639">
        <f t="shared" si="542"/>
        <v>0</v>
      </c>
      <c r="N791" s="317">
        <f t="shared" si="542"/>
        <v>0</v>
      </c>
      <c r="O791" s="317">
        <f>O792+O794+O796</f>
        <v>0</v>
      </c>
      <c r="P791" s="341">
        <f t="shared" si="541"/>
        <v>0</v>
      </c>
      <c r="Q791" s="317"/>
      <c r="R791" s="317"/>
      <c r="S791" s="317"/>
      <c r="T791" s="317">
        <f t="shared" ref="T791:Y791" si="543">T792+T794+T796</f>
        <v>0</v>
      </c>
      <c r="U791" s="317">
        <f t="shared" si="543"/>
        <v>0</v>
      </c>
      <c r="V791" s="317">
        <f t="shared" si="543"/>
        <v>123110</v>
      </c>
      <c r="W791" s="317">
        <f t="shared" si="543"/>
        <v>123727</v>
      </c>
      <c r="X791" s="317">
        <f t="shared" si="543"/>
        <v>130036</v>
      </c>
      <c r="Y791" s="317">
        <f t="shared" si="543"/>
        <v>0</v>
      </c>
      <c r="Z791" s="317">
        <f t="shared" si="539"/>
        <v>0</v>
      </c>
      <c r="AA791" s="317">
        <f t="shared" si="521"/>
        <v>-123110</v>
      </c>
      <c r="AB791" s="317">
        <f>AB792+AB794+AB796</f>
        <v>0</v>
      </c>
      <c r="AC791" s="317">
        <f>AC792+AC794+AC796</f>
        <v>0</v>
      </c>
      <c r="AD791" s="317" t="e">
        <f t="shared" si="537"/>
        <v>#DIV/0!</v>
      </c>
      <c r="AE791" s="317">
        <f t="shared" si="503"/>
        <v>0</v>
      </c>
      <c r="AF791" s="317">
        <f>AF792+AF794+AF796</f>
        <v>0</v>
      </c>
      <c r="AG791" s="317">
        <f>AG792+AG794+AG796</f>
        <v>0</v>
      </c>
      <c r="AH791" s="317">
        <f>AH792+AH794+AH796</f>
        <v>0</v>
      </c>
      <c r="AI791" s="317">
        <f>AI792+AI794+AI796</f>
        <v>0</v>
      </c>
      <c r="AJ791" s="162" t="b">
        <f t="shared" si="533"/>
        <v>1</v>
      </c>
      <c r="AK791" s="162" t="str">
        <f t="shared" si="534"/>
        <v>PRAZNO</v>
      </c>
      <c r="AL791" s="637"/>
    </row>
    <row r="792" spans="1:38" s="264" customFormat="1" ht="15.75" x14ac:dyDescent="0.2">
      <c r="A792" s="259"/>
      <c r="B792" s="260"/>
      <c r="C792" s="212"/>
      <c r="D792" s="212">
        <v>311</v>
      </c>
      <c r="E792" s="212"/>
      <c r="F792" s="405"/>
      <c r="G792" s="405"/>
      <c r="H792" s="402" t="s">
        <v>198</v>
      </c>
      <c r="I792" s="213">
        <f t="shared" ref="I792:N792" si="544">I793</f>
        <v>0</v>
      </c>
      <c r="J792" s="213">
        <f t="shared" si="544"/>
        <v>0</v>
      </c>
      <c r="K792" s="213">
        <f t="shared" si="544"/>
        <v>0</v>
      </c>
      <c r="L792" s="213">
        <f t="shared" si="544"/>
        <v>0</v>
      </c>
      <c r="M792" s="213">
        <f t="shared" si="544"/>
        <v>0</v>
      </c>
      <c r="N792" s="213">
        <f t="shared" si="544"/>
        <v>0</v>
      </c>
      <c r="O792" s="213">
        <f>O793</f>
        <v>0</v>
      </c>
      <c r="P792" s="343">
        <f t="shared" si="541"/>
        <v>0</v>
      </c>
      <c r="Q792" s="262"/>
      <c r="R792" s="262"/>
      <c r="S792" s="262"/>
      <c r="T792" s="213">
        <f t="shared" ref="T792:Y792" si="545">T793</f>
        <v>0</v>
      </c>
      <c r="U792" s="213">
        <f t="shared" si="545"/>
        <v>0</v>
      </c>
      <c r="V792" s="213">
        <f t="shared" si="545"/>
        <v>106865</v>
      </c>
      <c r="W792" s="213">
        <f t="shared" si="545"/>
        <v>107400</v>
      </c>
      <c r="X792" s="213">
        <f t="shared" si="545"/>
        <v>112877</v>
      </c>
      <c r="Y792" s="213">
        <f t="shared" si="545"/>
        <v>0</v>
      </c>
      <c r="Z792" s="213">
        <f t="shared" si="539"/>
        <v>0</v>
      </c>
      <c r="AA792" s="213">
        <f t="shared" si="521"/>
        <v>-106865</v>
      </c>
      <c r="AB792" s="213">
        <f>AB793</f>
        <v>0</v>
      </c>
      <c r="AC792" s="213">
        <f>AC793</f>
        <v>0</v>
      </c>
      <c r="AD792" s="213" t="e">
        <f t="shared" si="537"/>
        <v>#DIV/0!</v>
      </c>
      <c r="AE792" s="213">
        <f t="shared" si="503"/>
        <v>0</v>
      </c>
      <c r="AF792" s="213">
        <f>AF793</f>
        <v>0</v>
      </c>
      <c r="AG792" s="213">
        <f>AG793</f>
        <v>0</v>
      </c>
      <c r="AH792" s="213">
        <f>AH793</f>
        <v>0</v>
      </c>
      <c r="AI792" s="213">
        <f>AI793</f>
        <v>0</v>
      </c>
      <c r="AJ792" s="162" t="b">
        <f t="shared" si="533"/>
        <v>1</v>
      </c>
      <c r="AK792" s="162" t="str">
        <f t="shared" si="534"/>
        <v>PRAZNO</v>
      </c>
      <c r="AL792" s="263"/>
    </row>
    <row r="793" spans="1:38" s="264" customFormat="1" ht="15.75" x14ac:dyDescent="0.2">
      <c r="A793" s="259"/>
      <c r="B793" s="260"/>
      <c r="C793" s="212"/>
      <c r="D793" s="212"/>
      <c r="E793" s="212">
        <v>3111</v>
      </c>
      <c r="F793" s="176">
        <v>51</v>
      </c>
      <c r="G793" s="405"/>
      <c r="H793" s="402" t="s">
        <v>199</v>
      </c>
      <c r="I793" s="213">
        <v>0</v>
      </c>
      <c r="J793" s="213">
        <v>0</v>
      </c>
      <c r="K793" s="213">
        <v>0</v>
      </c>
      <c r="L793" s="213">
        <v>0</v>
      </c>
      <c r="M793" s="213">
        <v>0</v>
      </c>
      <c r="N793" s="213">
        <v>0</v>
      </c>
      <c r="O793" s="213">
        <v>0</v>
      </c>
      <c r="P793" s="343">
        <f t="shared" si="541"/>
        <v>0</v>
      </c>
      <c r="Q793" s="262"/>
      <c r="R793" s="262"/>
      <c r="S793" s="262"/>
      <c r="T793" s="342">
        <v>0</v>
      </c>
      <c r="U793" s="342"/>
      <c r="V793" s="213">
        <f>106865</f>
        <v>106865</v>
      </c>
      <c r="W793" s="213">
        <f>107400</f>
        <v>107400</v>
      </c>
      <c r="X793" s="213">
        <v>112877</v>
      </c>
      <c r="Y793" s="213">
        <v>0</v>
      </c>
      <c r="Z793" s="213">
        <f t="shared" si="539"/>
        <v>0</v>
      </c>
      <c r="AA793" s="213">
        <f t="shared" si="521"/>
        <v>-106865</v>
      </c>
      <c r="AB793" s="213">
        <v>0</v>
      </c>
      <c r="AC793" s="213"/>
      <c r="AD793" s="213" t="e">
        <f t="shared" si="537"/>
        <v>#DIV/0!</v>
      </c>
      <c r="AE793" s="213">
        <f t="shared" si="503"/>
        <v>0</v>
      </c>
      <c r="AF793" s="213">
        <v>0</v>
      </c>
      <c r="AG793" s="213">
        <v>0</v>
      </c>
      <c r="AH793" s="213">
        <v>0</v>
      </c>
      <c r="AI793" s="213">
        <v>0</v>
      </c>
      <c r="AJ793" s="162" t="b">
        <f t="shared" si="533"/>
        <v>0</v>
      </c>
      <c r="AK793" s="162" t="str">
        <f t="shared" si="534"/>
        <v>PUNO</v>
      </c>
      <c r="AL793" s="263"/>
    </row>
    <row r="794" spans="1:38" s="264" customFormat="1" ht="15.75" x14ac:dyDescent="0.2">
      <c r="A794" s="259"/>
      <c r="B794" s="260"/>
      <c r="C794" s="212"/>
      <c r="D794" s="212">
        <v>312</v>
      </c>
      <c r="E794" s="212"/>
      <c r="F794" s="405"/>
      <c r="G794" s="405"/>
      <c r="H794" s="402" t="s">
        <v>200</v>
      </c>
      <c r="I794" s="213">
        <f t="shared" ref="I794:N794" si="546">I795</f>
        <v>0</v>
      </c>
      <c r="J794" s="213">
        <f t="shared" si="546"/>
        <v>0</v>
      </c>
      <c r="K794" s="213">
        <f t="shared" si="546"/>
        <v>0</v>
      </c>
      <c r="L794" s="213">
        <f t="shared" si="546"/>
        <v>0</v>
      </c>
      <c r="M794" s="213">
        <f t="shared" si="546"/>
        <v>0</v>
      </c>
      <c r="N794" s="213">
        <f t="shared" si="546"/>
        <v>0</v>
      </c>
      <c r="O794" s="213">
        <f>O795</f>
        <v>0</v>
      </c>
      <c r="P794" s="343">
        <f t="shared" si="541"/>
        <v>0</v>
      </c>
      <c r="Q794" s="262"/>
      <c r="R794" s="262"/>
      <c r="S794" s="262"/>
      <c r="T794" s="213">
        <f t="shared" ref="T794:Y794" si="547">T795</f>
        <v>0</v>
      </c>
      <c r="U794" s="213">
        <f t="shared" si="547"/>
        <v>0</v>
      </c>
      <c r="V794" s="213">
        <f t="shared" si="547"/>
        <v>0</v>
      </c>
      <c r="W794" s="213">
        <f t="shared" si="547"/>
        <v>0</v>
      </c>
      <c r="X794" s="213">
        <f t="shared" si="547"/>
        <v>0</v>
      </c>
      <c r="Y794" s="213">
        <f t="shared" si="547"/>
        <v>0</v>
      </c>
      <c r="Z794" s="213" t="e">
        <f t="shared" si="539"/>
        <v>#DIV/0!</v>
      </c>
      <c r="AA794" s="213">
        <f t="shared" si="521"/>
        <v>0</v>
      </c>
      <c r="AB794" s="213">
        <f>AB795</f>
        <v>0</v>
      </c>
      <c r="AC794" s="213">
        <f>AC795</f>
        <v>0</v>
      </c>
      <c r="AD794" s="213" t="e">
        <f t="shared" si="537"/>
        <v>#DIV/0!</v>
      </c>
      <c r="AE794" s="213">
        <f t="shared" si="503"/>
        <v>0</v>
      </c>
      <c r="AF794" s="213">
        <f>AF795</f>
        <v>0</v>
      </c>
      <c r="AG794" s="213">
        <f>AG795</f>
        <v>0</v>
      </c>
      <c r="AH794" s="213">
        <f>AH795</f>
        <v>0</v>
      </c>
      <c r="AI794" s="213">
        <f>AI795</f>
        <v>0</v>
      </c>
      <c r="AJ794" s="162" t="b">
        <f t="shared" si="533"/>
        <v>1</v>
      </c>
      <c r="AK794" s="162" t="str">
        <f t="shared" si="534"/>
        <v>PRAZNO</v>
      </c>
      <c r="AL794" s="263"/>
    </row>
    <row r="795" spans="1:38" s="264" customFormat="1" ht="15.75" x14ac:dyDescent="0.2">
      <c r="A795" s="259"/>
      <c r="B795" s="260"/>
      <c r="C795" s="212"/>
      <c r="D795" s="212"/>
      <c r="E795" s="212">
        <v>3121</v>
      </c>
      <c r="F795" s="176">
        <v>11</v>
      </c>
      <c r="G795" s="405"/>
      <c r="H795" s="402" t="s">
        <v>200</v>
      </c>
      <c r="I795" s="213">
        <v>0</v>
      </c>
      <c r="J795" s="213">
        <v>0</v>
      </c>
      <c r="K795" s="213">
        <v>0</v>
      </c>
      <c r="L795" s="213">
        <v>0</v>
      </c>
      <c r="M795" s="213">
        <v>0</v>
      </c>
      <c r="N795" s="213">
        <v>0</v>
      </c>
      <c r="O795" s="213">
        <v>0</v>
      </c>
      <c r="P795" s="343">
        <f t="shared" si="541"/>
        <v>0</v>
      </c>
      <c r="Q795" s="262"/>
      <c r="R795" s="262"/>
      <c r="S795" s="262"/>
      <c r="T795" s="343">
        <v>0</v>
      </c>
      <c r="U795" s="343"/>
      <c r="V795" s="213">
        <v>0</v>
      </c>
      <c r="W795" s="213">
        <v>0</v>
      </c>
      <c r="X795" s="213">
        <v>0</v>
      </c>
      <c r="Y795" s="213"/>
      <c r="Z795" s="213" t="e">
        <f t="shared" si="539"/>
        <v>#DIV/0!</v>
      </c>
      <c r="AA795" s="213">
        <f t="shared" si="521"/>
        <v>0</v>
      </c>
      <c r="AB795" s="213">
        <v>0</v>
      </c>
      <c r="AC795" s="213"/>
      <c r="AD795" s="213" t="e">
        <f t="shared" si="537"/>
        <v>#DIV/0!</v>
      </c>
      <c r="AE795" s="213">
        <f t="shared" si="503"/>
        <v>0</v>
      </c>
      <c r="AF795" s="213">
        <v>0</v>
      </c>
      <c r="AG795" s="213">
        <v>0</v>
      </c>
      <c r="AH795" s="213">
        <v>0</v>
      </c>
      <c r="AI795" s="213">
        <v>0</v>
      </c>
      <c r="AJ795" s="162" t="b">
        <f t="shared" si="533"/>
        <v>0</v>
      </c>
      <c r="AK795" s="162" t="str">
        <f t="shared" si="534"/>
        <v>PUNO</v>
      </c>
      <c r="AL795" s="263"/>
    </row>
    <row r="796" spans="1:38" s="264" customFormat="1" ht="15.75" x14ac:dyDescent="0.2">
      <c r="A796" s="259"/>
      <c r="B796" s="260"/>
      <c r="C796" s="212"/>
      <c r="D796" s="212">
        <v>313</v>
      </c>
      <c r="E796" s="212"/>
      <c r="F796" s="405"/>
      <c r="G796" s="405"/>
      <c r="H796" s="402" t="s">
        <v>201</v>
      </c>
      <c r="I796" s="213">
        <f t="shared" ref="I796:O796" si="548">I797+I798</f>
        <v>0</v>
      </c>
      <c r="J796" s="213">
        <f t="shared" si="548"/>
        <v>0</v>
      </c>
      <c r="K796" s="213">
        <f t="shared" si="548"/>
        <v>0</v>
      </c>
      <c r="L796" s="213">
        <f t="shared" si="548"/>
        <v>0</v>
      </c>
      <c r="M796" s="213">
        <f t="shared" si="548"/>
        <v>0</v>
      </c>
      <c r="N796" s="213">
        <f t="shared" si="548"/>
        <v>0</v>
      </c>
      <c r="O796" s="213">
        <f t="shared" si="548"/>
        <v>0</v>
      </c>
      <c r="P796" s="343">
        <f t="shared" si="541"/>
        <v>0</v>
      </c>
      <c r="Q796" s="262"/>
      <c r="R796" s="262"/>
      <c r="S796" s="262"/>
      <c r="T796" s="213">
        <f t="shared" ref="T796:Y796" si="549">T797+T798</f>
        <v>0</v>
      </c>
      <c r="U796" s="213">
        <f t="shared" si="549"/>
        <v>0</v>
      </c>
      <c r="V796" s="213">
        <f t="shared" si="549"/>
        <v>16245</v>
      </c>
      <c r="W796" s="213">
        <f t="shared" si="549"/>
        <v>16327</v>
      </c>
      <c r="X796" s="213">
        <f t="shared" si="549"/>
        <v>17159</v>
      </c>
      <c r="Y796" s="213">
        <f t="shared" si="549"/>
        <v>0</v>
      </c>
      <c r="Z796" s="213">
        <f t="shared" si="539"/>
        <v>0</v>
      </c>
      <c r="AA796" s="213">
        <f t="shared" si="521"/>
        <v>-16245</v>
      </c>
      <c r="AB796" s="213">
        <f>AB797+AB798</f>
        <v>0</v>
      </c>
      <c r="AC796" s="213">
        <f>AC797+AC798</f>
        <v>0</v>
      </c>
      <c r="AD796" s="213" t="e">
        <f t="shared" si="537"/>
        <v>#DIV/0!</v>
      </c>
      <c r="AE796" s="213">
        <f t="shared" si="503"/>
        <v>0</v>
      </c>
      <c r="AF796" s="213">
        <f>AF797+AF798</f>
        <v>0</v>
      </c>
      <c r="AG796" s="213">
        <f>AG797+AG798</f>
        <v>0</v>
      </c>
      <c r="AH796" s="213">
        <f>AH797+AH798</f>
        <v>0</v>
      </c>
      <c r="AI796" s="213">
        <f>AI797+AI798</f>
        <v>0</v>
      </c>
      <c r="AJ796" s="162" t="b">
        <f t="shared" si="533"/>
        <v>1</v>
      </c>
      <c r="AK796" s="162" t="str">
        <f t="shared" si="534"/>
        <v>PRAZNO</v>
      </c>
      <c r="AL796" s="263"/>
    </row>
    <row r="797" spans="1:38" s="264" customFormat="1" ht="15.75" x14ac:dyDescent="0.2">
      <c r="A797" s="259"/>
      <c r="B797" s="260"/>
      <c r="C797" s="212"/>
      <c r="D797" s="212"/>
      <c r="E797" s="212">
        <v>3132</v>
      </c>
      <c r="F797" s="176">
        <v>51</v>
      </c>
      <c r="G797" s="405"/>
      <c r="H797" s="402" t="s">
        <v>202</v>
      </c>
      <c r="I797" s="213">
        <v>0</v>
      </c>
      <c r="J797" s="213">
        <v>0</v>
      </c>
      <c r="K797" s="213">
        <v>0</v>
      </c>
      <c r="L797" s="213">
        <v>0</v>
      </c>
      <c r="M797" s="213">
        <v>0</v>
      </c>
      <c r="N797" s="213">
        <v>0</v>
      </c>
      <c r="O797" s="213">
        <v>0</v>
      </c>
      <c r="P797" s="343">
        <f t="shared" si="541"/>
        <v>0</v>
      </c>
      <c r="Q797" s="262"/>
      <c r="R797" s="262"/>
      <c r="S797" s="262"/>
      <c r="T797" s="343">
        <v>0</v>
      </c>
      <c r="U797" s="343"/>
      <c r="V797" s="213">
        <v>14425</v>
      </c>
      <c r="W797" s="213">
        <v>14497</v>
      </c>
      <c r="X797" s="213">
        <v>15236</v>
      </c>
      <c r="Y797" s="213">
        <v>0</v>
      </c>
      <c r="Z797" s="213">
        <f t="shared" si="539"/>
        <v>0</v>
      </c>
      <c r="AA797" s="213">
        <f t="shared" si="521"/>
        <v>-14425</v>
      </c>
      <c r="AB797" s="213">
        <v>0</v>
      </c>
      <c r="AC797" s="213"/>
      <c r="AD797" s="213" t="e">
        <f t="shared" si="537"/>
        <v>#DIV/0!</v>
      </c>
      <c r="AE797" s="213">
        <f t="shared" si="503"/>
        <v>0</v>
      </c>
      <c r="AF797" s="213">
        <v>0</v>
      </c>
      <c r="AG797" s="213">
        <v>0</v>
      </c>
      <c r="AH797" s="213">
        <v>0</v>
      </c>
      <c r="AI797" s="213">
        <v>0</v>
      </c>
      <c r="AJ797" s="162" t="b">
        <f t="shared" si="533"/>
        <v>0</v>
      </c>
      <c r="AK797" s="162" t="str">
        <f t="shared" si="534"/>
        <v>PUNO</v>
      </c>
      <c r="AL797" s="263"/>
    </row>
    <row r="798" spans="1:38" s="264" customFormat="1" ht="30" x14ac:dyDescent="0.2">
      <c r="A798" s="259"/>
      <c r="B798" s="260"/>
      <c r="C798" s="212"/>
      <c r="D798" s="212"/>
      <c r="E798" s="212">
        <v>3133</v>
      </c>
      <c r="F798" s="176">
        <v>51</v>
      </c>
      <c r="G798" s="405"/>
      <c r="H798" s="402" t="s">
        <v>337</v>
      </c>
      <c r="I798" s="213">
        <v>0</v>
      </c>
      <c r="J798" s="213">
        <v>0</v>
      </c>
      <c r="K798" s="213">
        <v>0</v>
      </c>
      <c r="L798" s="213">
        <v>0</v>
      </c>
      <c r="M798" s="213">
        <v>0</v>
      </c>
      <c r="N798" s="213">
        <v>0</v>
      </c>
      <c r="O798" s="213">
        <v>0</v>
      </c>
      <c r="P798" s="343">
        <f t="shared" si="541"/>
        <v>0</v>
      </c>
      <c r="Q798" s="262"/>
      <c r="R798" s="262"/>
      <c r="S798" s="262"/>
      <c r="T798" s="342"/>
      <c r="U798" s="342"/>
      <c r="V798" s="213">
        <v>1820</v>
      </c>
      <c r="W798" s="213">
        <v>1830</v>
      </c>
      <c r="X798" s="213">
        <v>1923</v>
      </c>
      <c r="Y798" s="213">
        <v>0</v>
      </c>
      <c r="Z798" s="213">
        <f t="shared" si="539"/>
        <v>0</v>
      </c>
      <c r="AA798" s="213">
        <f t="shared" si="521"/>
        <v>-1820</v>
      </c>
      <c r="AB798" s="213">
        <v>0</v>
      </c>
      <c r="AC798" s="213"/>
      <c r="AD798" s="213" t="e">
        <f t="shared" si="537"/>
        <v>#DIV/0!</v>
      </c>
      <c r="AE798" s="213">
        <f t="shared" ref="AE798:AE867" si="550">AF798-AB798</f>
        <v>0</v>
      </c>
      <c r="AF798" s="213">
        <v>0</v>
      </c>
      <c r="AG798" s="213">
        <v>0</v>
      </c>
      <c r="AH798" s="213">
        <v>0</v>
      </c>
      <c r="AI798" s="213">
        <v>0</v>
      </c>
      <c r="AJ798" s="162" t="b">
        <f t="shared" si="533"/>
        <v>0</v>
      </c>
      <c r="AK798" s="162" t="str">
        <f t="shared" si="534"/>
        <v>PUNO</v>
      </c>
      <c r="AL798" s="263"/>
    </row>
    <row r="799" spans="1:38" s="638" customFormat="1" ht="15.75" x14ac:dyDescent="0.2">
      <c r="A799" s="633"/>
      <c r="B799" s="475"/>
      <c r="C799" s="314">
        <v>32</v>
      </c>
      <c r="D799" s="314"/>
      <c r="E799" s="314"/>
      <c r="F799" s="634"/>
      <c r="G799" s="634"/>
      <c r="H799" s="635" t="s">
        <v>525</v>
      </c>
      <c r="I799" s="317">
        <f t="shared" ref="I799:O799" si="551">I800+I805+I811+I823+I838</f>
        <v>0</v>
      </c>
      <c r="J799" s="317">
        <f t="shared" si="551"/>
        <v>0</v>
      </c>
      <c r="K799" s="317">
        <f t="shared" si="551"/>
        <v>0</v>
      </c>
      <c r="L799" s="317">
        <f t="shared" si="551"/>
        <v>0</v>
      </c>
      <c r="M799" s="317">
        <f t="shared" si="551"/>
        <v>0</v>
      </c>
      <c r="N799" s="317">
        <f t="shared" si="551"/>
        <v>0</v>
      </c>
      <c r="O799" s="317">
        <f t="shared" si="551"/>
        <v>0</v>
      </c>
      <c r="P799" s="341">
        <f t="shared" si="541"/>
        <v>0</v>
      </c>
      <c r="Q799" s="636"/>
      <c r="R799" s="636"/>
      <c r="S799" s="636"/>
      <c r="T799" s="317">
        <f>T800+T805+T811+T823+T838</f>
        <v>0</v>
      </c>
      <c r="U799" s="317">
        <f>U800+U805+U811+U823+U838</f>
        <v>0</v>
      </c>
      <c r="V799" s="317">
        <f>V800+V805+V811+V821+V823</f>
        <v>104241</v>
      </c>
      <c r="W799" s="317">
        <f>W800+W805+W811+W823</f>
        <v>104241</v>
      </c>
      <c r="X799" s="317">
        <f>X800+X805+X811+X823</f>
        <v>106370</v>
      </c>
      <c r="Y799" s="317">
        <f>Y800+Y805+Y811+Y823</f>
        <v>0</v>
      </c>
      <c r="Z799" s="317">
        <f t="shared" si="539"/>
        <v>0</v>
      </c>
      <c r="AA799" s="317">
        <f t="shared" si="521"/>
        <v>-104241</v>
      </c>
      <c r="AB799" s="317">
        <f>AB800+AB805+AB811+AB823+AB821</f>
        <v>0</v>
      </c>
      <c r="AC799" s="317">
        <f>AC800+AC805+AC811+AC823+AC821</f>
        <v>0</v>
      </c>
      <c r="AD799" s="317" t="e">
        <f t="shared" si="537"/>
        <v>#DIV/0!</v>
      </c>
      <c r="AE799" s="317">
        <f t="shared" si="550"/>
        <v>0</v>
      </c>
      <c r="AF799" s="317">
        <f>AF800+AF805+AF811+AF823+AF821</f>
        <v>0</v>
      </c>
      <c r="AG799" s="317">
        <f>AG800+AG805+AG811+AG823+AG821</f>
        <v>0</v>
      </c>
      <c r="AH799" s="317">
        <f>AH800+AH805+AH811+AH823+AH821</f>
        <v>0</v>
      </c>
      <c r="AI799" s="317">
        <f>AI800+AI805+AI811+AI823+AI821</f>
        <v>0</v>
      </c>
      <c r="AJ799" s="162" t="b">
        <f t="shared" si="533"/>
        <v>1</v>
      </c>
      <c r="AK799" s="162" t="str">
        <f t="shared" si="534"/>
        <v>PRAZNO</v>
      </c>
      <c r="AL799" s="637"/>
    </row>
    <row r="800" spans="1:38" s="264" customFormat="1" ht="15.75" x14ac:dyDescent="0.2">
      <c r="A800" s="259"/>
      <c r="B800" s="260"/>
      <c r="C800" s="212"/>
      <c r="D800" s="212">
        <v>321</v>
      </c>
      <c r="E800" s="212"/>
      <c r="F800" s="405"/>
      <c r="G800" s="405"/>
      <c r="H800" s="402" t="s">
        <v>564</v>
      </c>
      <c r="I800" s="213">
        <f t="shared" ref="I800:N800" si="552">SUM(I801:I804)</f>
        <v>0</v>
      </c>
      <c r="J800" s="213">
        <f t="shared" si="552"/>
        <v>0</v>
      </c>
      <c r="K800" s="213">
        <f t="shared" si="552"/>
        <v>0</v>
      </c>
      <c r="L800" s="213">
        <f t="shared" si="552"/>
        <v>0</v>
      </c>
      <c r="M800" s="213">
        <f t="shared" si="552"/>
        <v>0</v>
      </c>
      <c r="N800" s="213">
        <f t="shared" si="552"/>
        <v>0</v>
      </c>
      <c r="O800" s="213">
        <f>SUM(O801:O804)</f>
        <v>0</v>
      </c>
      <c r="P800" s="343">
        <f t="shared" si="541"/>
        <v>0</v>
      </c>
      <c r="Q800" s="262"/>
      <c r="R800" s="262"/>
      <c r="S800" s="262"/>
      <c r="T800" s="213">
        <f t="shared" ref="T800:Y800" si="553">SUM(T801:T804)</f>
        <v>0</v>
      </c>
      <c r="U800" s="213">
        <f t="shared" si="553"/>
        <v>0</v>
      </c>
      <c r="V800" s="213">
        <f t="shared" si="553"/>
        <v>25263</v>
      </c>
      <c r="W800" s="213">
        <f t="shared" si="553"/>
        <v>25263</v>
      </c>
      <c r="X800" s="213">
        <f t="shared" si="553"/>
        <v>26026</v>
      </c>
      <c r="Y800" s="213">
        <f t="shared" si="553"/>
        <v>0</v>
      </c>
      <c r="Z800" s="213">
        <f t="shared" si="539"/>
        <v>0</v>
      </c>
      <c r="AA800" s="213">
        <f t="shared" si="521"/>
        <v>-25263</v>
      </c>
      <c r="AB800" s="213">
        <f>SUM(AB801:AB804)</f>
        <v>0</v>
      </c>
      <c r="AC800" s="213">
        <f>SUM(AC801:AC804)</f>
        <v>0</v>
      </c>
      <c r="AD800" s="213" t="e">
        <f t="shared" si="537"/>
        <v>#DIV/0!</v>
      </c>
      <c r="AE800" s="213">
        <f t="shared" si="550"/>
        <v>0</v>
      </c>
      <c r="AF800" s="213">
        <f>SUM(AF801:AF804)</f>
        <v>0</v>
      </c>
      <c r="AG800" s="213">
        <f>SUM(AG801:AG804)</f>
        <v>0</v>
      </c>
      <c r="AH800" s="213">
        <f>SUM(AH801:AH804)</f>
        <v>0</v>
      </c>
      <c r="AI800" s="213">
        <f>SUM(AI801:AI804)</f>
        <v>0</v>
      </c>
      <c r="AJ800" s="162" t="b">
        <f t="shared" si="533"/>
        <v>1</v>
      </c>
      <c r="AK800" s="162" t="str">
        <f t="shared" si="534"/>
        <v>PRAZNO</v>
      </c>
      <c r="AL800" s="263"/>
    </row>
    <row r="801" spans="1:38" s="264" customFormat="1" ht="15.75" x14ac:dyDescent="0.2">
      <c r="A801" s="259"/>
      <c r="B801" s="260"/>
      <c r="C801" s="212"/>
      <c r="D801" s="212"/>
      <c r="E801" s="212">
        <v>3211</v>
      </c>
      <c r="F801" s="176">
        <v>51</v>
      </c>
      <c r="G801" s="405"/>
      <c r="H801" s="402" t="s">
        <v>565</v>
      </c>
      <c r="I801" s="213">
        <v>0</v>
      </c>
      <c r="J801" s="213">
        <v>0</v>
      </c>
      <c r="K801" s="213">
        <v>0</v>
      </c>
      <c r="L801" s="213">
        <v>0</v>
      </c>
      <c r="M801" s="213">
        <v>0</v>
      </c>
      <c r="N801" s="213">
        <v>0</v>
      </c>
      <c r="O801" s="213">
        <v>0</v>
      </c>
      <c r="P801" s="343">
        <f t="shared" si="541"/>
        <v>0</v>
      </c>
      <c r="Q801" s="262"/>
      <c r="R801" s="262"/>
      <c r="S801" s="262"/>
      <c r="T801" s="342"/>
      <c r="U801" s="342"/>
      <c r="V801" s="213">
        <v>16763</v>
      </c>
      <c r="W801" s="213">
        <v>16763</v>
      </c>
      <c r="X801" s="213">
        <v>17271</v>
      </c>
      <c r="Y801" s="213">
        <v>0</v>
      </c>
      <c r="Z801" s="213">
        <f t="shared" si="539"/>
        <v>0</v>
      </c>
      <c r="AA801" s="213">
        <f t="shared" si="521"/>
        <v>-16763</v>
      </c>
      <c r="AB801" s="213">
        <v>0</v>
      </c>
      <c r="AC801" s="213"/>
      <c r="AD801" s="213" t="e">
        <f t="shared" si="537"/>
        <v>#DIV/0!</v>
      </c>
      <c r="AE801" s="213">
        <f t="shared" si="550"/>
        <v>0</v>
      </c>
      <c r="AF801" s="213">
        <v>0</v>
      </c>
      <c r="AG801" s="213">
        <v>0</v>
      </c>
      <c r="AH801" s="213">
        <v>0</v>
      </c>
      <c r="AI801" s="213">
        <v>0</v>
      </c>
      <c r="AJ801" s="162" t="b">
        <f t="shared" si="533"/>
        <v>0</v>
      </c>
      <c r="AK801" s="162" t="str">
        <f t="shared" si="534"/>
        <v>PUNO</v>
      </c>
      <c r="AL801" s="263"/>
    </row>
    <row r="802" spans="1:38" s="264" customFormat="1" ht="15.75" x14ac:dyDescent="0.2">
      <c r="A802" s="259"/>
      <c r="B802" s="260"/>
      <c r="C802" s="212"/>
      <c r="D802" s="212"/>
      <c r="E802" s="212">
        <v>3212</v>
      </c>
      <c r="F802" s="176">
        <v>51</v>
      </c>
      <c r="G802" s="405"/>
      <c r="H802" s="402" t="s">
        <v>338</v>
      </c>
      <c r="I802" s="213">
        <v>0</v>
      </c>
      <c r="J802" s="213">
        <v>0</v>
      </c>
      <c r="K802" s="213">
        <v>0</v>
      </c>
      <c r="L802" s="213">
        <v>0</v>
      </c>
      <c r="M802" s="213">
        <v>0</v>
      </c>
      <c r="N802" s="213">
        <v>0</v>
      </c>
      <c r="O802" s="213">
        <v>0</v>
      </c>
      <c r="P802" s="343">
        <f t="shared" si="541"/>
        <v>0</v>
      </c>
      <c r="Q802" s="262"/>
      <c r="R802" s="262"/>
      <c r="S802" s="262"/>
      <c r="T802" s="342"/>
      <c r="U802" s="342"/>
      <c r="V802" s="213">
        <v>8500</v>
      </c>
      <c r="W802" s="213">
        <v>8500</v>
      </c>
      <c r="X802" s="213">
        <v>8755</v>
      </c>
      <c r="Y802" s="213">
        <v>0</v>
      </c>
      <c r="Z802" s="213">
        <f t="shared" si="539"/>
        <v>0</v>
      </c>
      <c r="AA802" s="213">
        <f t="shared" si="521"/>
        <v>-8500</v>
      </c>
      <c r="AB802" s="213">
        <v>0</v>
      </c>
      <c r="AC802" s="213"/>
      <c r="AD802" s="213" t="e">
        <f t="shared" si="537"/>
        <v>#DIV/0!</v>
      </c>
      <c r="AE802" s="213">
        <f t="shared" si="550"/>
        <v>0</v>
      </c>
      <c r="AF802" s="213">
        <v>0</v>
      </c>
      <c r="AG802" s="213">
        <v>0</v>
      </c>
      <c r="AH802" s="213">
        <v>0</v>
      </c>
      <c r="AI802" s="213">
        <v>0</v>
      </c>
      <c r="AJ802" s="162" t="b">
        <f t="shared" si="533"/>
        <v>0</v>
      </c>
      <c r="AK802" s="162" t="str">
        <f t="shared" si="534"/>
        <v>PUNO</v>
      </c>
      <c r="AL802" s="263"/>
    </row>
    <row r="803" spans="1:38" s="264" customFormat="1" ht="15.75" x14ac:dyDescent="0.2">
      <c r="A803" s="259"/>
      <c r="B803" s="260"/>
      <c r="C803" s="212"/>
      <c r="D803" s="212"/>
      <c r="E803" s="212">
        <v>3213</v>
      </c>
      <c r="F803" s="176">
        <v>11</v>
      </c>
      <c r="G803" s="405"/>
      <c r="H803" s="402" t="s">
        <v>221</v>
      </c>
      <c r="I803" s="213">
        <v>0</v>
      </c>
      <c r="J803" s="213">
        <v>0</v>
      </c>
      <c r="K803" s="213">
        <v>0</v>
      </c>
      <c r="L803" s="213">
        <v>0</v>
      </c>
      <c r="M803" s="213">
        <v>0</v>
      </c>
      <c r="N803" s="213">
        <v>0</v>
      </c>
      <c r="O803" s="213">
        <v>0</v>
      </c>
      <c r="P803" s="343">
        <f t="shared" si="541"/>
        <v>0</v>
      </c>
      <c r="Q803" s="262"/>
      <c r="R803" s="262"/>
      <c r="S803" s="262"/>
      <c r="T803" s="342"/>
      <c r="U803" s="342"/>
      <c r="V803" s="213">
        <v>0</v>
      </c>
      <c r="W803" s="213">
        <v>0</v>
      </c>
      <c r="X803" s="213">
        <v>0</v>
      </c>
      <c r="Y803" s="213">
        <v>0</v>
      </c>
      <c r="Z803" s="213" t="e">
        <f t="shared" si="539"/>
        <v>#DIV/0!</v>
      </c>
      <c r="AA803" s="213">
        <f t="shared" si="521"/>
        <v>0</v>
      </c>
      <c r="AB803" s="213">
        <v>0</v>
      </c>
      <c r="AC803" s="213"/>
      <c r="AD803" s="213" t="e">
        <f t="shared" si="537"/>
        <v>#DIV/0!</v>
      </c>
      <c r="AE803" s="213">
        <f t="shared" si="550"/>
        <v>0</v>
      </c>
      <c r="AF803" s="213">
        <v>0</v>
      </c>
      <c r="AG803" s="213">
        <v>0</v>
      </c>
      <c r="AH803" s="213">
        <v>0</v>
      </c>
      <c r="AI803" s="213">
        <v>0</v>
      </c>
      <c r="AJ803" s="162" t="b">
        <f t="shared" si="533"/>
        <v>0</v>
      </c>
      <c r="AK803" s="162" t="str">
        <f t="shared" si="534"/>
        <v>PUNO</v>
      </c>
      <c r="AL803" s="263"/>
    </row>
    <row r="804" spans="1:38" s="264" customFormat="1" ht="15.75" x14ac:dyDescent="0.2">
      <c r="A804" s="259"/>
      <c r="B804" s="260"/>
      <c r="C804" s="212"/>
      <c r="D804" s="212"/>
      <c r="E804" s="212">
        <v>3214</v>
      </c>
      <c r="F804" s="176">
        <v>11</v>
      </c>
      <c r="G804" s="405"/>
      <c r="H804" s="402" t="s">
        <v>852</v>
      </c>
      <c r="I804" s="213">
        <v>0</v>
      </c>
      <c r="J804" s="213">
        <v>0</v>
      </c>
      <c r="K804" s="213">
        <v>0</v>
      </c>
      <c r="L804" s="213">
        <v>0</v>
      </c>
      <c r="M804" s="213">
        <v>0</v>
      </c>
      <c r="N804" s="213">
        <v>0</v>
      </c>
      <c r="O804" s="213">
        <v>0</v>
      </c>
      <c r="P804" s="343">
        <f t="shared" si="541"/>
        <v>0</v>
      </c>
      <c r="Q804" s="262"/>
      <c r="R804" s="262"/>
      <c r="S804" s="262"/>
      <c r="T804" s="342"/>
      <c r="U804" s="342"/>
      <c r="V804" s="213"/>
      <c r="W804" s="262"/>
      <c r="X804" s="213"/>
      <c r="Y804" s="213"/>
      <c r="Z804" s="213" t="e">
        <f t="shared" si="539"/>
        <v>#DIV/0!</v>
      </c>
      <c r="AA804" s="213">
        <f t="shared" si="521"/>
        <v>0</v>
      </c>
      <c r="AB804" s="213"/>
      <c r="AC804" s="213"/>
      <c r="AD804" s="213" t="e">
        <f t="shared" si="537"/>
        <v>#DIV/0!</v>
      </c>
      <c r="AE804" s="213">
        <f t="shared" si="550"/>
        <v>0</v>
      </c>
      <c r="AF804" s="213"/>
      <c r="AG804" s="213"/>
      <c r="AH804" s="213"/>
      <c r="AI804" s="213"/>
      <c r="AJ804" s="162" t="b">
        <f t="shared" si="533"/>
        <v>0</v>
      </c>
      <c r="AK804" s="162" t="str">
        <f t="shared" si="534"/>
        <v>PUNO</v>
      </c>
      <c r="AL804" s="263"/>
    </row>
    <row r="805" spans="1:38" s="264" customFormat="1" ht="15.75" x14ac:dyDescent="0.2">
      <c r="A805" s="259"/>
      <c r="B805" s="260"/>
      <c r="C805" s="212"/>
      <c r="D805" s="212">
        <v>322</v>
      </c>
      <c r="E805" s="212"/>
      <c r="F805" s="405"/>
      <c r="G805" s="405"/>
      <c r="H805" s="402" t="s">
        <v>547</v>
      </c>
      <c r="I805" s="213">
        <f t="shared" ref="I805:N805" si="554">SUM(I806:I810)</f>
        <v>0</v>
      </c>
      <c r="J805" s="213">
        <f t="shared" si="554"/>
        <v>0</v>
      </c>
      <c r="K805" s="213">
        <f t="shared" si="554"/>
        <v>0</v>
      </c>
      <c r="L805" s="213">
        <f t="shared" si="554"/>
        <v>0</v>
      </c>
      <c r="M805" s="213">
        <f t="shared" si="554"/>
        <v>0</v>
      </c>
      <c r="N805" s="213">
        <f t="shared" si="554"/>
        <v>0</v>
      </c>
      <c r="O805" s="213">
        <f>SUM(O806:O810)</f>
        <v>0</v>
      </c>
      <c r="P805" s="343">
        <f t="shared" si="541"/>
        <v>0</v>
      </c>
      <c r="Q805" s="262"/>
      <c r="R805" s="262"/>
      <c r="S805" s="262"/>
      <c r="T805" s="213">
        <f t="shared" ref="T805:Y805" si="555">SUM(T806:T810)</f>
        <v>0</v>
      </c>
      <c r="U805" s="213">
        <f t="shared" si="555"/>
        <v>0</v>
      </c>
      <c r="V805" s="213">
        <f t="shared" si="555"/>
        <v>28328</v>
      </c>
      <c r="W805" s="213">
        <f t="shared" si="555"/>
        <v>28328</v>
      </c>
      <c r="X805" s="213">
        <f t="shared" si="555"/>
        <v>28174</v>
      </c>
      <c r="Y805" s="213">
        <f t="shared" si="555"/>
        <v>0</v>
      </c>
      <c r="Z805" s="213">
        <f t="shared" si="539"/>
        <v>0</v>
      </c>
      <c r="AA805" s="213">
        <f t="shared" si="521"/>
        <v>-28328</v>
      </c>
      <c r="AB805" s="213">
        <f>SUM(AB806:AB810)</f>
        <v>0</v>
      </c>
      <c r="AC805" s="213">
        <f>SUM(AC806:AC810)</f>
        <v>0</v>
      </c>
      <c r="AD805" s="213" t="e">
        <f t="shared" si="537"/>
        <v>#DIV/0!</v>
      </c>
      <c r="AE805" s="213">
        <f t="shared" si="550"/>
        <v>0</v>
      </c>
      <c r="AF805" s="213">
        <f>SUM(AF806:AF810)</f>
        <v>0</v>
      </c>
      <c r="AG805" s="213">
        <f>SUM(AG806:AG810)</f>
        <v>0</v>
      </c>
      <c r="AH805" s="213">
        <f>SUM(AH806:AH810)</f>
        <v>0</v>
      </c>
      <c r="AI805" s="213">
        <f>SUM(AI806:AI810)</f>
        <v>0</v>
      </c>
      <c r="AJ805" s="162" t="b">
        <f t="shared" si="533"/>
        <v>1</v>
      </c>
      <c r="AK805" s="162" t="str">
        <f t="shared" si="534"/>
        <v>PRAZNO</v>
      </c>
      <c r="AL805" s="263"/>
    </row>
    <row r="806" spans="1:38" s="264" customFormat="1" ht="15.75" x14ac:dyDescent="0.2">
      <c r="A806" s="259"/>
      <c r="B806" s="260"/>
      <c r="C806" s="212"/>
      <c r="D806" s="212"/>
      <c r="E806" s="212">
        <v>3221</v>
      </c>
      <c r="F806" s="176">
        <v>51</v>
      </c>
      <c r="G806" s="405"/>
      <c r="H806" s="402" t="s">
        <v>548</v>
      </c>
      <c r="I806" s="213">
        <v>0</v>
      </c>
      <c r="J806" s="213">
        <v>0</v>
      </c>
      <c r="K806" s="213">
        <v>0</v>
      </c>
      <c r="L806" s="213">
        <v>0</v>
      </c>
      <c r="M806" s="213">
        <v>0</v>
      </c>
      <c r="N806" s="213">
        <v>0</v>
      </c>
      <c r="O806" s="213">
        <v>0</v>
      </c>
      <c r="P806" s="343">
        <f t="shared" si="541"/>
        <v>0</v>
      </c>
      <c r="Q806" s="262"/>
      <c r="R806" s="262"/>
      <c r="S806" s="262"/>
      <c r="T806" s="342"/>
      <c r="U806" s="342"/>
      <c r="V806" s="213">
        <v>9900</v>
      </c>
      <c r="W806" s="213">
        <v>9900</v>
      </c>
      <c r="X806" s="213">
        <v>10197</v>
      </c>
      <c r="Y806" s="213">
        <v>0</v>
      </c>
      <c r="Z806" s="213">
        <f t="shared" si="539"/>
        <v>0</v>
      </c>
      <c r="AA806" s="213">
        <f t="shared" si="521"/>
        <v>-9900</v>
      </c>
      <c r="AB806" s="213">
        <v>0</v>
      </c>
      <c r="AC806" s="213"/>
      <c r="AD806" s="213" t="e">
        <f t="shared" si="537"/>
        <v>#DIV/0!</v>
      </c>
      <c r="AE806" s="213">
        <f t="shared" si="550"/>
        <v>0</v>
      </c>
      <c r="AF806" s="213">
        <v>0</v>
      </c>
      <c r="AG806" s="213">
        <v>0</v>
      </c>
      <c r="AH806" s="213">
        <v>0</v>
      </c>
      <c r="AI806" s="213">
        <v>0</v>
      </c>
      <c r="AJ806" s="162" t="b">
        <f t="shared" si="533"/>
        <v>0</v>
      </c>
      <c r="AK806" s="162" t="str">
        <f t="shared" si="534"/>
        <v>PUNO</v>
      </c>
      <c r="AL806" s="263"/>
    </row>
    <row r="807" spans="1:38" s="264" customFormat="1" ht="15.75" x14ac:dyDescent="0.2">
      <c r="A807" s="259"/>
      <c r="B807" s="260"/>
      <c r="C807" s="212"/>
      <c r="D807" s="212"/>
      <c r="E807" s="212">
        <v>3223</v>
      </c>
      <c r="F807" s="176">
        <v>51</v>
      </c>
      <c r="G807" s="405"/>
      <c r="H807" s="402" t="s">
        <v>204</v>
      </c>
      <c r="I807" s="213">
        <v>0</v>
      </c>
      <c r="J807" s="213">
        <v>0</v>
      </c>
      <c r="K807" s="213">
        <v>0</v>
      </c>
      <c r="L807" s="213">
        <v>0</v>
      </c>
      <c r="M807" s="213">
        <v>0</v>
      </c>
      <c r="N807" s="213">
        <v>0</v>
      </c>
      <c r="O807" s="213">
        <v>0</v>
      </c>
      <c r="P807" s="343">
        <f t="shared" si="541"/>
        <v>0</v>
      </c>
      <c r="Q807" s="262"/>
      <c r="R807" s="262"/>
      <c r="S807" s="262"/>
      <c r="T807" s="342"/>
      <c r="U807" s="342"/>
      <c r="V807" s="213">
        <v>17453</v>
      </c>
      <c r="W807" s="213">
        <v>17453</v>
      </c>
      <c r="X807" s="213">
        <v>17977</v>
      </c>
      <c r="Y807" s="213">
        <v>0</v>
      </c>
      <c r="Z807" s="213">
        <f t="shared" si="539"/>
        <v>0</v>
      </c>
      <c r="AA807" s="213">
        <f t="shared" si="521"/>
        <v>-17453</v>
      </c>
      <c r="AB807" s="213">
        <v>0</v>
      </c>
      <c r="AC807" s="213"/>
      <c r="AD807" s="213" t="e">
        <f t="shared" si="537"/>
        <v>#DIV/0!</v>
      </c>
      <c r="AE807" s="213">
        <f t="shared" si="550"/>
        <v>0</v>
      </c>
      <c r="AF807" s="213">
        <v>0</v>
      </c>
      <c r="AG807" s="213">
        <v>0</v>
      </c>
      <c r="AH807" s="213">
        <v>0</v>
      </c>
      <c r="AI807" s="213">
        <v>0</v>
      </c>
      <c r="AJ807" s="162" t="b">
        <f t="shared" si="533"/>
        <v>0</v>
      </c>
      <c r="AK807" s="162" t="str">
        <f t="shared" si="534"/>
        <v>PUNO</v>
      </c>
      <c r="AL807" s="263"/>
    </row>
    <row r="808" spans="1:38" s="264" customFormat="1" ht="15.75" x14ac:dyDescent="0.2">
      <c r="A808" s="259"/>
      <c r="B808" s="260"/>
      <c r="C808" s="212"/>
      <c r="D808" s="212"/>
      <c r="E808" s="212">
        <v>3224</v>
      </c>
      <c r="F808" s="176">
        <v>11</v>
      </c>
      <c r="G808" s="405"/>
      <c r="H808" s="402" t="s">
        <v>339</v>
      </c>
      <c r="I808" s="213">
        <v>0</v>
      </c>
      <c r="J808" s="213">
        <v>0</v>
      </c>
      <c r="K808" s="213">
        <v>0</v>
      </c>
      <c r="L808" s="213">
        <v>0</v>
      </c>
      <c r="M808" s="213">
        <v>0</v>
      </c>
      <c r="N808" s="213">
        <v>0</v>
      </c>
      <c r="O808" s="213">
        <v>0</v>
      </c>
      <c r="P808" s="343">
        <f t="shared" si="541"/>
        <v>0</v>
      </c>
      <c r="Q808" s="262"/>
      <c r="R808" s="262"/>
      <c r="S808" s="262"/>
      <c r="T808" s="342"/>
      <c r="U808" s="342"/>
      <c r="V808" s="213">
        <v>0</v>
      </c>
      <c r="W808" s="213">
        <v>0</v>
      </c>
      <c r="X808" s="213">
        <v>0</v>
      </c>
      <c r="Y808" s="213">
        <v>0</v>
      </c>
      <c r="Z808" s="213" t="e">
        <f t="shared" si="539"/>
        <v>#DIV/0!</v>
      </c>
      <c r="AA808" s="213">
        <f t="shared" si="521"/>
        <v>0</v>
      </c>
      <c r="AB808" s="213">
        <v>0</v>
      </c>
      <c r="AC808" s="213"/>
      <c r="AD808" s="213" t="e">
        <f t="shared" si="537"/>
        <v>#DIV/0!</v>
      </c>
      <c r="AE808" s="213">
        <f t="shared" si="550"/>
        <v>0</v>
      </c>
      <c r="AF808" s="213">
        <v>0</v>
      </c>
      <c r="AG808" s="213">
        <v>0</v>
      </c>
      <c r="AH808" s="213">
        <v>0</v>
      </c>
      <c r="AI808" s="213">
        <v>0</v>
      </c>
      <c r="AJ808" s="162" t="b">
        <f t="shared" si="533"/>
        <v>0</v>
      </c>
      <c r="AK808" s="162" t="str">
        <f t="shared" si="534"/>
        <v>PUNO</v>
      </c>
      <c r="AL808" s="263"/>
    </row>
    <row r="809" spans="1:38" s="264" customFormat="1" ht="15.75" x14ac:dyDescent="0.2">
      <c r="A809" s="259"/>
      <c r="B809" s="260"/>
      <c r="C809" s="212"/>
      <c r="D809" s="212"/>
      <c r="E809" s="212">
        <v>3225</v>
      </c>
      <c r="F809" s="176">
        <v>51</v>
      </c>
      <c r="G809" s="405"/>
      <c r="H809" s="402" t="s">
        <v>642</v>
      </c>
      <c r="I809" s="213">
        <v>0</v>
      </c>
      <c r="J809" s="213">
        <v>0</v>
      </c>
      <c r="K809" s="213">
        <v>0</v>
      </c>
      <c r="L809" s="213">
        <v>0</v>
      </c>
      <c r="M809" s="213">
        <v>0</v>
      </c>
      <c r="N809" s="213">
        <v>0</v>
      </c>
      <c r="O809" s="213">
        <v>0</v>
      </c>
      <c r="P809" s="343">
        <f t="shared" si="541"/>
        <v>0</v>
      </c>
      <c r="Q809" s="262"/>
      <c r="R809" s="262"/>
      <c r="S809" s="262"/>
      <c r="T809" s="342"/>
      <c r="U809" s="342"/>
      <c r="V809" s="213">
        <v>975</v>
      </c>
      <c r="W809" s="213">
        <v>975</v>
      </c>
      <c r="X809" s="213">
        <v>0</v>
      </c>
      <c r="Y809" s="213">
        <v>0</v>
      </c>
      <c r="Z809" s="213">
        <f t="shared" si="539"/>
        <v>0</v>
      </c>
      <c r="AA809" s="213">
        <f t="shared" si="521"/>
        <v>-975</v>
      </c>
      <c r="AB809" s="213">
        <v>0</v>
      </c>
      <c r="AC809" s="213"/>
      <c r="AD809" s="213" t="e">
        <f t="shared" si="537"/>
        <v>#DIV/0!</v>
      </c>
      <c r="AE809" s="213">
        <f t="shared" si="550"/>
        <v>0</v>
      </c>
      <c r="AF809" s="213">
        <v>0</v>
      </c>
      <c r="AG809" s="213">
        <v>0</v>
      </c>
      <c r="AH809" s="213">
        <v>0</v>
      </c>
      <c r="AI809" s="213">
        <v>0</v>
      </c>
      <c r="AJ809" s="162" t="b">
        <f t="shared" si="533"/>
        <v>0</v>
      </c>
      <c r="AK809" s="162" t="str">
        <f t="shared" si="534"/>
        <v>PUNO</v>
      </c>
      <c r="AL809" s="263"/>
    </row>
    <row r="810" spans="1:38" s="264" customFormat="1" ht="15.75" x14ac:dyDescent="0.2">
      <c r="A810" s="259"/>
      <c r="B810" s="260"/>
      <c r="C810" s="212"/>
      <c r="D810" s="212"/>
      <c r="E810" s="212">
        <v>3227</v>
      </c>
      <c r="F810" s="176">
        <v>11</v>
      </c>
      <c r="G810" s="405"/>
      <c r="H810" s="402" t="s">
        <v>340</v>
      </c>
      <c r="I810" s="213">
        <v>0</v>
      </c>
      <c r="J810" s="213">
        <v>0</v>
      </c>
      <c r="K810" s="213">
        <v>0</v>
      </c>
      <c r="L810" s="213">
        <v>0</v>
      </c>
      <c r="M810" s="213">
        <v>0</v>
      </c>
      <c r="N810" s="213">
        <v>0</v>
      </c>
      <c r="O810" s="213">
        <v>0</v>
      </c>
      <c r="P810" s="343">
        <f t="shared" si="541"/>
        <v>0</v>
      </c>
      <c r="Q810" s="262"/>
      <c r="R810" s="262"/>
      <c r="S810" s="262"/>
      <c r="T810" s="342"/>
      <c r="U810" s="342"/>
      <c r="V810" s="213"/>
      <c r="W810" s="262"/>
      <c r="X810" s="213"/>
      <c r="Y810" s="213"/>
      <c r="Z810" s="213" t="e">
        <f t="shared" si="539"/>
        <v>#DIV/0!</v>
      </c>
      <c r="AA810" s="213">
        <f t="shared" si="521"/>
        <v>0</v>
      </c>
      <c r="AB810" s="213"/>
      <c r="AC810" s="213"/>
      <c r="AD810" s="213" t="e">
        <f t="shared" si="537"/>
        <v>#DIV/0!</v>
      </c>
      <c r="AE810" s="213">
        <f t="shared" si="550"/>
        <v>0</v>
      </c>
      <c r="AF810" s="213"/>
      <c r="AG810" s="213"/>
      <c r="AH810" s="213"/>
      <c r="AI810" s="213"/>
      <c r="AJ810" s="162" t="b">
        <f t="shared" si="533"/>
        <v>0</v>
      </c>
      <c r="AK810" s="162" t="str">
        <f t="shared" si="534"/>
        <v>PUNO</v>
      </c>
      <c r="AL810" s="263"/>
    </row>
    <row r="811" spans="1:38" s="264" customFormat="1" ht="15.75" x14ac:dyDescent="0.2">
      <c r="A811" s="259"/>
      <c r="B811" s="260"/>
      <c r="C811" s="212"/>
      <c r="D811" s="212">
        <v>323</v>
      </c>
      <c r="E811" s="212"/>
      <c r="F811" s="405"/>
      <c r="G811" s="405"/>
      <c r="H811" s="402" t="s">
        <v>526</v>
      </c>
      <c r="I811" s="213">
        <f t="shared" ref="I811:N811" si="556">SUM(I812:I820)</f>
        <v>0</v>
      </c>
      <c r="J811" s="213">
        <f t="shared" si="556"/>
        <v>0</v>
      </c>
      <c r="K811" s="213">
        <f t="shared" si="556"/>
        <v>0</v>
      </c>
      <c r="L811" s="213">
        <f t="shared" si="556"/>
        <v>0</v>
      </c>
      <c r="M811" s="213">
        <f t="shared" si="556"/>
        <v>0</v>
      </c>
      <c r="N811" s="213">
        <f t="shared" si="556"/>
        <v>0</v>
      </c>
      <c r="O811" s="213">
        <f>SUM(O812:O820)</f>
        <v>0</v>
      </c>
      <c r="P811" s="343">
        <f t="shared" si="541"/>
        <v>0</v>
      </c>
      <c r="Q811" s="262"/>
      <c r="R811" s="262"/>
      <c r="S811" s="262"/>
      <c r="T811" s="213">
        <f t="shared" ref="T811:Y811" si="557">SUM(T812:T820)</f>
        <v>0</v>
      </c>
      <c r="U811" s="213">
        <f t="shared" si="557"/>
        <v>0</v>
      </c>
      <c r="V811" s="213">
        <f t="shared" si="557"/>
        <v>50650</v>
      </c>
      <c r="W811" s="213">
        <f t="shared" si="557"/>
        <v>50650</v>
      </c>
      <c r="X811" s="213">
        <f t="shared" si="557"/>
        <v>52170</v>
      </c>
      <c r="Y811" s="213">
        <f t="shared" si="557"/>
        <v>0</v>
      </c>
      <c r="Z811" s="213">
        <f t="shared" si="539"/>
        <v>0</v>
      </c>
      <c r="AA811" s="213">
        <f t="shared" si="521"/>
        <v>-50650</v>
      </c>
      <c r="AB811" s="213">
        <f>SUM(AB812:AB820)</f>
        <v>0</v>
      </c>
      <c r="AC811" s="213">
        <f>SUM(AC812:AC820)</f>
        <v>0</v>
      </c>
      <c r="AD811" s="213" t="e">
        <f t="shared" si="537"/>
        <v>#DIV/0!</v>
      </c>
      <c r="AE811" s="213">
        <f t="shared" si="550"/>
        <v>0</v>
      </c>
      <c r="AF811" s="213">
        <f>SUM(AF812:AF820)</f>
        <v>0</v>
      </c>
      <c r="AG811" s="213">
        <f>SUM(AG812:AG820)</f>
        <v>0</v>
      </c>
      <c r="AH811" s="213">
        <f>SUM(AH812:AH820)</f>
        <v>0</v>
      </c>
      <c r="AI811" s="213">
        <f>SUM(AI812:AI820)</f>
        <v>0</v>
      </c>
      <c r="AJ811" s="162" t="b">
        <f t="shared" si="533"/>
        <v>1</v>
      </c>
      <c r="AK811" s="162" t="str">
        <f t="shared" si="534"/>
        <v>PRAZNO</v>
      </c>
      <c r="AL811" s="263"/>
    </row>
    <row r="812" spans="1:38" s="264" customFormat="1" ht="15.75" x14ac:dyDescent="0.2">
      <c r="A812" s="259"/>
      <c r="B812" s="260"/>
      <c r="C812" s="212"/>
      <c r="D812" s="212"/>
      <c r="E812" s="212">
        <v>3231</v>
      </c>
      <c r="F812" s="176">
        <v>11</v>
      </c>
      <c r="G812" s="405"/>
      <c r="H812" s="402" t="s">
        <v>341</v>
      </c>
      <c r="I812" s="213">
        <v>0</v>
      </c>
      <c r="J812" s="213">
        <v>0</v>
      </c>
      <c r="K812" s="213">
        <v>0</v>
      </c>
      <c r="L812" s="213">
        <v>0</v>
      </c>
      <c r="M812" s="213">
        <v>0</v>
      </c>
      <c r="N812" s="213">
        <v>0</v>
      </c>
      <c r="O812" s="213">
        <v>0</v>
      </c>
      <c r="P812" s="343">
        <f t="shared" si="541"/>
        <v>0</v>
      </c>
      <c r="Q812" s="262"/>
      <c r="R812" s="262"/>
      <c r="S812" s="262"/>
      <c r="T812" s="342"/>
      <c r="U812" s="342"/>
      <c r="V812" s="213">
        <v>0</v>
      </c>
      <c r="W812" s="213">
        <v>0</v>
      </c>
      <c r="X812" s="213">
        <v>0</v>
      </c>
      <c r="Y812" s="213"/>
      <c r="Z812" s="213" t="e">
        <f t="shared" si="539"/>
        <v>#DIV/0!</v>
      </c>
      <c r="AA812" s="213">
        <f t="shared" si="521"/>
        <v>0</v>
      </c>
      <c r="AB812" s="213">
        <v>0</v>
      </c>
      <c r="AC812" s="213"/>
      <c r="AD812" s="213" t="e">
        <f t="shared" si="537"/>
        <v>#DIV/0!</v>
      </c>
      <c r="AE812" s="213">
        <f t="shared" si="550"/>
        <v>0</v>
      </c>
      <c r="AF812" s="213">
        <v>0</v>
      </c>
      <c r="AG812" s="213">
        <v>0</v>
      </c>
      <c r="AH812" s="213">
        <v>0</v>
      </c>
      <c r="AI812" s="213">
        <v>0</v>
      </c>
      <c r="AJ812" s="162" t="b">
        <f t="shared" si="533"/>
        <v>0</v>
      </c>
      <c r="AK812" s="162" t="str">
        <f t="shared" si="534"/>
        <v>PUNO</v>
      </c>
      <c r="AL812" s="263"/>
    </row>
    <row r="813" spans="1:38" s="264" customFormat="1" ht="15.75" x14ac:dyDescent="0.2">
      <c r="A813" s="259"/>
      <c r="B813" s="260"/>
      <c r="C813" s="212"/>
      <c r="D813" s="212"/>
      <c r="E813" s="212">
        <v>3232</v>
      </c>
      <c r="F813" s="176">
        <v>11</v>
      </c>
      <c r="G813" s="405"/>
      <c r="H813" s="402" t="s">
        <v>207</v>
      </c>
      <c r="I813" s="213">
        <v>0</v>
      </c>
      <c r="J813" s="213">
        <v>0</v>
      </c>
      <c r="K813" s="213">
        <v>0</v>
      </c>
      <c r="L813" s="213">
        <v>0</v>
      </c>
      <c r="M813" s="213">
        <v>0</v>
      </c>
      <c r="N813" s="213">
        <v>0</v>
      </c>
      <c r="O813" s="213">
        <v>0</v>
      </c>
      <c r="P813" s="343">
        <f t="shared" si="541"/>
        <v>0</v>
      </c>
      <c r="Q813" s="262"/>
      <c r="R813" s="262"/>
      <c r="S813" s="262"/>
      <c r="T813" s="342"/>
      <c r="U813" s="342"/>
      <c r="V813" s="213">
        <v>0</v>
      </c>
      <c r="W813" s="213">
        <v>0</v>
      </c>
      <c r="X813" s="213">
        <v>0</v>
      </c>
      <c r="Y813" s="213"/>
      <c r="Z813" s="213" t="e">
        <f t="shared" si="539"/>
        <v>#DIV/0!</v>
      </c>
      <c r="AA813" s="213">
        <f t="shared" si="521"/>
        <v>0</v>
      </c>
      <c r="AB813" s="213">
        <v>0</v>
      </c>
      <c r="AC813" s="213"/>
      <c r="AD813" s="213" t="e">
        <f t="shared" si="537"/>
        <v>#DIV/0!</v>
      </c>
      <c r="AE813" s="213">
        <f t="shared" si="550"/>
        <v>0</v>
      </c>
      <c r="AF813" s="213">
        <v>0</v>
      </c>
      <c r="AG813" s="213">
        <v>0</v>
      </c>
      <c r="AH813" s="213">
        <v>0</v>
      </c>
      <c r="AI813" s="213">
        <v>0</v>
      </c>
      <c r="AJ813" s="162" t="b">
        <f t="shared" si="533"/>
        <v>0</v>
      </c>
      <c r="AK813" s="162" t="str">
        <f t="shared" si="534"/>
        <v>PUNO</v>
      </c>
      <c r="AL813" s="263"/>
    </row>
    <row r="814" spans="1:38" s="264" customFormat="1" ht="15.75" x14ac:dyDescent="0.2">
      <c r="A814" s="259"/>
      <c r="B814" s="260"/>
      <c r="C814" s="212"/>
      <c r="D814" s="212"/>
      <c r="E814" s="212">
        <v>3231</v>
      </c>
      <c r="F814" s="176">
        <v>51</v>
      </c>
      <c r="G814" s="405"/>
      <c r="H814" s="402" t="s">
        <v>188</v>
      </c>
      <c r="I814" s="213"/>
      <c r="J814" s="213"/>
      <c r="K814" s="213"/>
      <c r="L814" s="213"/>
      <c r="M814" s="213"/>
      <c r="N814" s="213"/>
      <c r="O814" s="213"/>
      <c r="P814" s="343"/>
      <c r="Q814" s="262"/>
      <c r="R814" s="262"/>
      <c r="S814" s="262"/>
      <c r="T814" s="342"/>
      <c r="U814" s="342"/>
      <c r="V814" s="213">
        <v>0</v>
      </c>
      <c r="W814" s="213"/>
      <c r="X814" s="213"/>
      <c r="Y814" s="213">
        <v>0</v>
      </c>
      <c r="Z814" s="213"/>
      <c r="AA814" s="213">
        <f t="shared" si="521"/>
        <v>0</v>
      </c>
      <c r="AB814" s="213">
        <v>0</v>
      </c>
      <c r="AC814" s="213"/>
      <c r="AD814" s="213" t="e">
        <f t="shared" si="537"/>
        <v>#DIV/0!</v>
      </c>
      <c r="AE814" s="213">
        <f t="shared" si="550"/>
        <v>0</v>
      </c>
      <c r="AF814" s="213">
        <v>0</v>
      </c>
      <c r="AG814" s="213">
        <v>0</v>
      </c>
      <c r="AH814" s="213">
        <v>0</v>
      </c>
      <c r="AI814" s="213">
        <v>0</v>
      </c>
      <c r="AJ814" s="162" t="b">
        <f t="shared" si="533"/>
        <v>0</v>
      </c>
      <c r="AK814" s="162" t="str">
        <f t="shared" si="534"/>
        <v>PUNO</v>
      </c>
      <c r="AL814" s="263"/>
    </row>
    <row r="815" spans="1:38" s="264" customFormat="1" ht="15.75" x14ac:dyDescent="0.2">
      <c r="A815" s="259"/>
      <c r="B815" s="260"/>
      <c r="C815" s="212"/>
      <c r="D815" s="212"/>
      <c r="E815" s="212">
        <v>3233</v>
      </c>
      <c r="F815" s="176">
        <v>51</v>
      </c>
      <c r="G815" s="405"/>
      <c r="H815" s="402" t="s">
        <v>528</v>
      </c>
      <c r="I815" s="213">
        <v>0</v>
      </c>
      <c r="J815" s="213">
        <v>0</v>
      </c>
      <c r="K815" s="213">
        <v>0</v>
      </c>
      <c r="L815" s="213">
        <v>0</v>
      </c>
      <c r="M815" s="213">
        <v>0</v>
      </c>
      <c r="N815" s="213">
        <v>0</v>
      </c>
      <c r="O815" s="213">
        <v>0</v>
      </c>
      <c r="P815" s="343">
        <f t="shared" si="541"/>
        <v>0</v>
      </c>
      <c r="Q815" s="262"/>
      <c r="R815" s="262"/>
      <c r="S815" s="262"/>
      <c r="T815" s="342"/>
      <c r="U815" s="342"/>
      <c r="V815" s="213">
        <v>37840</v>
      </c>
      <c r="W815" s="213">
        <v>37840</v>
      </c>
      <c r="X815" s="213">
        <v>38975</v>
      </c>
      <c r="Y815" s="213">
        <v>0</v>
      </c>
      <c r="Z815" s="213">
        <f t="shared" si="539"/>
        <v>0</v>
      </c>
      <c r="AA815" s="213">
        <f t="shared" si="521"/>
        <v>-37840</v>
      </c>
      <c r="AB815" s="213">
        <v>0</v>
      </c>
      <c r="AC815" s="213"/>
      <c r="AD815" s="213" t="e">
        <f t="shared" si="537"/>
        <v>#DIV/0!</v>
      </c>
      <c r="AE815" s="213">
        <f t="shared" si="550"/>
        <v>0</v>
      </c>
      <c r="AF815" s="213">
        <v>0</v>
      </c>
      <c r="AG815" s="213">
        <v>0</v>
      </c>
      <c r="AH815" s="213">
        <v>0</v>
      </c>
      <c r="AI815" s="213">
        <v>0</v>
      </c>
      <c r="AJ815" s="162" t="b">
        <f t="shared" si="533"/>
        <v>0</v>
      </c>
      <c r="AK815" s="162" t="str">
        <f t="shared" si="534"/>
        <v>PUNO</v>
      </c>
      <c r="AL815" s="263"/>
    </row>
    <row r="816" spans="1:38" s="264" customFormat="1" ht="15.75" x14ac:dyDescent="0.2">
      <c r="A816" s="259"/>
      <c r="B816" s="260"/>
      <c r="C816" s="212"/>
      <c r="D816" s="212"/>
      <c r="E816" s="212">
        <v>3234</v>
      </c>
      <c r="F816" s="176">
        <v>51</v>
      </c>
      <c r="G816" s="405"/>
      <c r="H816" s="402" t="s">
        <v>238</v>
      </c>
      <c r="I816" s="213">
        <v>0</v>
      </c>
      <c r="J816" s="213">
        <v>0</v>
      </c>
      <c r="K816" s="213">
        <v>0</v>
      </c>
      <c r="L816" s="213">
        <v>0</v>
      </c>
      <c r="M816" s="213">
        <v>0</v>
      </c>
      <c r="N816" s="213">
        <v>0</v>
      </c>
      <c r="O816" s="213">
        <v>0</v>
      </c>
      <c r="P816" s="343">
        <f t="shared" si="541"/>
        <v>0</v>
      </c>
      <c r="Q816" s="262"/>
      <c r="R816" s="262"/>
      <c r="S816" s="262"/>
      <c r="T816" s="342"/>
      <c r="U816" s="342"/>
      <c r="V816" s="213">
        <v>2160</v>
      </c>
      <c r="W816" s="213">
        <v>2160</v>
      </c>
      <c r="X816" s="213">
        <v>2225</v>
      </c>
      <c r="Y816" s="213">
        <v>0</v>
      </c>
      <c r="Z816" s="213">
        <f t="shared" si="539"/>
        <v>0</v>
      </c>
      <c r="AA816" s="213">
        <f t="shared" ref="AA816:AA887" si="558">AB816-V816</f>
        <v>-2160</v>
      </c>
      <c r="AB816" s="213">
        <v>0</v>
      </c>
      <c r="AC816" s="213"/>
      <c r="AD816" s="213" t="e">
        <f t="shared" si="537"/>
        <v>#DIV/0!</v>
      </c>
      <c r="AE816" s="213">
        <f t="shared" si="550"/>
        <v>0</v>
      </c>
      <c r="AF816" s="213">
        <v>0</v>
      </c>
      <c r="AG816" s="213">
        <v>0</v>
      </c>
      <c r="AH816" s="213">
        <v>0</v>
      </c>
      <c r="AI816" s="213">
        <v>0</v>
      </c>
      <c r="AJ816" s="162" t="b">
        <f t="shared" si="533"/>
        <v>0</v>
      </c>
      <c r="AK816" s="162" t="str">
        <f t="shared" si="534"/>
        <v>PUNO</v>
      </c>
      <c r="AL816" s="263"/>
    </row>
    <row r="817" spans="1:38" s="264" customFormat="1" ht="15.75" x14ac:dyDescent="0.2">
      <c r="A817" s="259"/>
      <c r="B817" s="260"/>
      <c r="C817" s="212"/>
      <c r="D817" s="212"/>
      <c r="E817" s="212">
        <v>3235</v>
      </c>
      <c r="F817" s="176">
        <v>11</v>
      </c>
      <c r="G817" s="405"/>
      <c r="H817" s="402" t="s">
        <v>640</v>
      </c>
      <c r="I817" s="213"/>
      <c r="J817" s="213"/>
      <c r="K817" s="213"/>
      <c r="L817" s="213"/>
      <c r="M817" s="213"/>
      <c r="N817" s="213"/>
      <c r="O817" s="213"/>
      <c r="P817" s="343"/>
      <c r="Q817" s="262"/>
      <c r="R817" s="262"/>
      <c r="S817" s="262"/>
      <c r="T817" s="342"/>
      <c r="U817" s="342"/>
      <c r="V817" s="213">
        <v>0</v>
      </c>
      <c r="W817" s="213">
        <v>0</v>
      </c>
      <c r="X817" s="213">
        <v>0</v>
      </c>
      <c r="Y817" s="213"/>
      <c r="Z817" s="213" t="e">
        <f t="shared" si="539"/>
        <v>#DIV/0!</v>
      </c>
      <c r="AA817" s="213">
        <f t="shared" si="558"/>
        <v>0</v>
      </c>
      <c r="AB817" s="213">
        <v>0</v>
      </c>
      <c r="AC817" s="213"/>
      <c r="AD817" s="213" t="e">
        <f t="shared" si="537"/>
        <v>#DIV/0!</v>
      </c>
      <c r="AE817" s="213">
        <f t="shared" si="550"/>
        <v>0</v>
      </c>
      <c r="AF817" s="213">
        <v>0</v>
      </c>
      <c r="AG817" s="213">
        <v>0</v>
      </c>
      <c r="AH817" s="213">
        <v>0</v>
      </c>
      <c r="AI817" s="213">
        <v>0</v>
      </c>
      <c r="AJ817" s="162" t="b">
        <f t="shared" si="533"/>
        <v>0</v>
      </c>
      <c r="AK817" s="162" t="str">
        <f t="shared" si="534"/>
        <v>PUNO</v>
      </c>
      <c r="AL817" s="263"/>
    </row>
    <row r="818" spans="1:38" s="264" customFormat="1" ht="15.75" x14ac:dyDescent="0.2">
      <c r="A818" s="259"/>
      <c r="B818" s="260"/>
      <c r="C818" s="212"/>
      <c r="D818" s="212"/>
      <c r="E818" s="212">
        <v>3236</v>
      </c>
      <c r="F818" s="176">
        <v>11</v>
      </c>
      <c r="G818" s="405"/>
      <c r="H818" s="402" t="s">
        <v>131</v>
      </c>
      <c r="I818" s="213"/>
      <c r="J818" s="213"/>
      <c r="K818" s="213"/>
      <c r="L818" s="213"/>
      <c r="M818" s="213"/>
      <c r="N818" s="213"/>
      <c r="O818" s="213"/>
      <c r="P818" s="343"/>
      <c r="Q818" s="262"/>
      <c r="R818" s="262"/>
      <c r="S818" s="262"/>
      <c r="T818" s="342"/>
      <c r="U818" s="342"/>
      <c r="V818" s="213">
        <v>0</v>
      </c>
      <c r="W818" s="213">
        <v>0</v>
      </c>
      <c r="X818" s="213">
        <v>0</v>
      </c>
      <c r="Y818" s="213"/>
      <c r="Z818" s="213" t="e">
        <f t="shared" si="539"/>
        <v>#DIV/0!</v>
      </c>
      <c r="AA818" s="213">
        <f t="shared" si="558"/>
        <v>0</v>
      </c>
      <c r="AB818" s="213">
        <v>0</v>
      </c>
      <c r="AC818" s="213"/>
      <c r="AD818" s="213" t="e">
        <f t="shared" si="537"/>
        <v>#DIV/0!</v>
      </c>
      <c r="AE818" s="213">
        <f t="shared" si="550"/>
        <v>0</v>
      </c>
      <c r="AF818" s="213">
        <v>0</v>
      </c>
      <c r="AG818" s="213">
        <v>0</v>
      </c>
      <c r="AH818" s="213">
        <v>0</v>
      </c>
      <c r="AI818" s="213">
        <v>0</v>
      </c>
      <c r="AJ818" s="162" t="b">
        <f t="shared" si="533"/>
        <v>0</v>
      </c>
      <c r="AK818" s="162" t="str">
        <f t="shared" si="534"/>
        <v>PUNO</v>
      </c>
      <c r="AL818" s="263"/>
    </row>
    <row r="819" spans="1:38" s="264" customFormat="1" ht="15" customHeight="1" x14ac:dyDescent="0.2">
      <c r="A819" s="259"/>
      <c r="B819" s="260"/>
      <c r="C819" s="212"/>
      <c r="D819" s="212"/>
      <c r="E819" s="212">
        <v>3237</v>
      </c>
      <c r="F819" s="176">
        <v>51</v>
      </c>
      <c r="G819" s="405"/>
      <c r="H819" s="402" t="s">
        <v>566</v>
      </c>
      <c r="I819" s="213">
        <v>0</v>
      </c>
      <c r="J819" s="213">
        <v>0</v>
      </c>
      <c r="K819" s="213">
        <v>0</v>
      </c>
      <c r="L819" s="213">
        <v>0</v>
      </c>
      <c r="M819" s="213">
        <v>0</v>
      </c>
      <c r="N819" s="213">
        <v>0</v>
      </c>
      <c r="O819" s="213">
        <v>0</v>
      </c>
      <c r="P819" s="343">
        <f t="shared" si="541"/>
        <v>0</v>
      </c>
      <c r="Q819" s="262"/>
      <c r="R819" s="262"/>
      <c r="S819" s="262"/>
      <c r="T819" s="342"/>
      <c r="U819" s="342"/>
      <c r="V819" s="213">
        <v>10650</v>
      </c>
      <c r="W819" s="213">
        <v>10650</v>
      </c>
      <c r="X819" s="213">
        <v>10970</v>
      </c>
      <c r="Y819" s="213">
        <v>0</v>
      </c>
      <c r="Z819" s="213">
        <f t="shared" si="539"/>
        <v>0</v>
      </c>
      <c r="AA819" s="213">
        <f t="shared" si="558"/>
        <v>-10650</v>
      </c>
      <c r="AB819" s="213">
        <v>0</v>
      </c>
      <c r="AC819" s="213"/>
      <c r="AD819" s="213" t="e">
        <f t="shared" si="537"/>
        <v>#DIV/0!</v>
      </c>
      <c r="AE819" s="213">
        <f t="shared" si="550"/>
        <v>0</v>
      </c>
      <c r="AF819" s="213">
        <v>0</v>
      </c>
      <c r="AG819" s="213">
        <v>0</v>
      </c>
      <c r="AH819" s="213">
        <v>0</v>
      </c>
      <c r="AI819" s="213">
        <v>0</v>
      </c>
      <c r="AJ819" s="162" t="b">
        <f t="shared" si="533"/>
        <v>0</v>
      </c>
      <c r="AK819" s="162" t="str">
        <f t="shared" si="534"/>
        <v>PUNO</v>
      </c>
      <c r="AL819" s="263"/>
    </row>
    <row r="820" spans="1:38" s="264" customFormat="1" ht="15.75" x14ac:dyDescent="0.2">
      <c r="A820" s="259"/>
      <c r="B820" s="260"/>
      <c r="C820" s="212"/>
      <c r="D820" s="212"/>
      <c r="E820" s="212">
        <v>3239</v>
      </c>
      <c r="F820" s="176">
        <v>51</v>
      </c>
      <c r="G820" s="405"/>
      <c r="H820" s="402" t="s">
        <v>529</v>
      </c>
      <c r="I820" s="213">
        <v>0</v>
      </c>
      <c r="J820" s="213">
        <v>0</v>
      </c>
      <c r="K820" s="213">
        <v>0</v>
      </c>
      <c r="L820" s="213">
        <v>0</v>
      </c>
      <c r="M820" s="213">
        <v>0</v>
      </c>
      <c r="N820" s="213">
        <v>0</v>
      </c>
      <c r="O820" s="213">
        <v>0</v>
      </c>
      <c r="P820" s="343">
        <f t="shared" si="541"/>
        <v>0</v>
      </c>
      <c r="Q820" s="262"/>
      <c r="R820" s="262"/>
      <c r="S820" s="262"/>
      <c r="T820" s="342"/>
      <c r="U820" s="342"/>
      <c r="V820" s="213">
        <v>0</v>
      </c>
      <c r="W820" s="213">
        <v>0</v>
      </c>
      <c r="X820" s="213">
        <v>0</v>
      </c>
      <c r="Y820" s="213"/>
      <c r="Z820" s="213"/>
      <c r="AA820" s="213">
        <f t="shared" si="558"/>
        <v>0</v>
      </c>
      <c r="AB820" s="213">
        <v>0</v>
      </c>
      <c r="AC820" s="213"/>
      <c r="AD820" s="213" t="e">
        <f t="shared" si="537"/>
        <v>#DIV/0!</v>
      </c>
      <c r="AE820" s="213">
        <f t="shared" si="550"/>
        <v>0</v>
      </c>
      <c r="AF820" s="213">
        <v>0</v>
      </c>
      <c r="AG820" s="213">
        <v>0</v>
      </c>
      <c r="AH820" s="213">
        <v>0</v>
      </c>
      <c r="AI820" s="213">
        <v>0</v>
      </c>
      <c r="AJ820" s="162" t="b">
        <f t="shared" si="533"/>
        <v>0</v>
      </c>
      <c r="AK820" s="162" t="str">
        <f t="shared" si="534"/>
        <v>PUNO</v>
      </c>
      <c r="AL820" s="263"/>
    </row>
    <row r="821" spans="1:38" s="264" customFormat="1" ht="15.75" x14ac:dyDescent="0.2">
      <c r="A821" s="259"/>
      <c r="B821" s="260"/>
      <c r="C821" s="212"/>
      <c r="D821" s="212">
        <v>324</v>
      </c>
      <c r="E821" s="212"/>
      <c r="F821" s="176"/>
      <c r="G821" s="405"/>
      <c r="H821" s="402" t="s">
        <v>189</v>
      </c>
      <c r="I821" s="213"/>
      <c r="J821" s="213"/>
      <c r="K821" s="213"/>
      <c r="L821" s="213"/>
      <c r="M821" s="213"/>
      <c r="N821" s="213"/>
      <c r="O821" s="213"/>
      <c r="P821" s="343"/>
      <c r="Q821" s="262"/>
      <c r="R821" s="262"/>
      <c r="S821" s="262"/>
      <c r="T821" s="342"/>
      <c r="U821" s="342"/>
      <c r="V821" s="213">
        <f>V822</f>
        <v>0</v>
      </c>
      <c r="W821" s="213"/>
      <c r="X821" s="213"/>
      <c r="Y821" s="213"/>
      <c r="Z821" s="213"/>
      <c r="AA821" s="213">
        <f t="shared" si="558"/>
        <v>0</v>
      </c>
      <c r="AB821" s="213">
        <f>AB822</f>
        <v>0</v>
      </c>
      <c r="AC821" s="213">
        <f>AC822</f>
        <v>0</v>
      </c>
      <c r="AD821" s="213" t="e">
        <f t="shared" si="537"/>
        <v>#DIV/0!</v>
      </c>
      <c r="AE821" s="213">
        <f t="shared" si="550"/>
        <v>0</v>
      </c>
      <c r="AF821" s="213">
        <f>AF822</f>
        <v>0</v>
      </c>
      <c r="AG821" s="213">
        <f>AG822</f>
        <v>0</v>
      </c>
      <c r="AH821" s="213">
        <f>AH822</f>
        <v>0</v>
      </c>
      <c r="AI821" s="213">
        <f>AI822</f>
        <v>0</v>
      </c>
      <c r="AJ821" s="162" t="b">
        <f t="shared" si="533"/>
        <v>1</v>
      </c>
      <c r="AK821" s="162" t="str">
        <f t="shared" si="534"/>
        <v>PRAZNO</v>
      </c>
      <c r="AL821" s="263"/>
    </row>
    <row r="822" spans="1:38" s="264" customFormat="1" ht="15.75" x14ac:dyDescent="0.2">
      <c r="A822" s="259"/>
      <c r="B822" s="260"/>
      <c r="C822" s="212"/>
      <c r="D822" s="212"/>
      <c r="E822" s="212">
        <v>3241</v>
      </c>
      <c r="F822" s="176">
        <v>51</v>
      </c>
      <c r="G822" s="405"/>
      <c r="H822" s="402" t="s">
        <v>189</v>
      </c>
      <c r="I822" s="213"/>
      <c r="J822" s="213"/>
      <c r="K822" s="213"/>
      <c r="L822" s="213"/>
      <c r="M822" s="213"/>
      <c r="N822" s="213"/>
      <c r="O822" s="213"/>
      <c r="P822" s="343"/>
      <c r="Q822" s="262"/>
      <c r="R822" s="262"/>
      <c r="S822" s="262"/>
      <c r="T822" s="342"/>
      <c r="U822" s="342"/>
      <c r="V822" s="213">
        <v>0</v>
      </c>
      <c r="W822" s="213"/>
      <c r="X822" s="213"/>
      <c r="Y822" s="213"/>
      <c r="Z822" s="213"/>
      <c r="AA822" s="213">
        <f t="shared" si="558"/>
        <v>0</v>
      </c>
      <c r="AB822" s="213">
        <v>0</v>
      </c>
      <c r="AC822" s="213"/>
      <c r="AD822" s="213" t="e">
        <f t="shared" si="537"/>
        <v>#DIV/0!</v>
      </c>
      <c r="AE822" s="213">
        <f t="shared" si="550"/>
        <v>0</v>
      </c>
      <c r="AF822" s="213">
        <v>0</v>
      </c>
      <c r="AG822" s="213">
        <v>0</v>
      </c>
      <c r="AH822" s="213">
        <v>0</v>
      </c>
      <c r="AI822" s="213">
        <v>0</v>
      </c>
      <c r="AJ822" s="162" t="b">
        <f t="shared" si="533"/>
        <v>0</v>
      </c>
      <c r="AK822" s="162" t="str">
        <f t="shared" si="534"/>
        <v>PUNO</v>
      </c>
      <c r="AL822" s="263"/>
    </row>
    <row r="823" spans="1:38" s="264" customFormat="1" ht="15.75" x14ac:dyDescent="0.2">
      <c r="A823" s="259"/>
      <c r="B823" s="260"/>
      <c r="C823" s="212"/>
      <c r="D823" s="212">
        <v>329</v>
      </c>
      <c r="E823" s="212"/>
      <c r="F823" s="405"/>
      <c r="G823" s="405"/>
      <c r="H823" s="402" t="s">
        <v>531</v>
      </c>
      <c r="I823" s="213">
        <f t="shared" ref="I823:N823" si="559">SUM(I824:I828)</f>
        <v>0</v>
      </c>
      <c r="J823" s="213">
        <f t="shared" si="559"/>
        <v>0</v>
      </c>
      <c r="K823" s="213">
        <f t="shared" si="559"/>
        <v>0</v>
      </c>
      <c r="L823" s="213">
        <f t="shared" si="559"/>
        <v>0</v>
      </c>
      <c r="M823" s="213">
        <f t="shared" si="559"/>
        <v>0</v>
      </c>
      <c r="N823" s="213">
        <f t="shared" si="559"/>
        <v>0</v>
      </c>
      <c r="O823" s="213">
        <f>SUM(O824:O828)</f>
        <v>0</v>
      </c>
      <c r="P823" s="343">
        <f t="shared" si="541"/>
        <v>0</v>
      </c>
      <c r="Q823" s="262"/>
      <c r="R823" s="262"/>
      <c r="S823" s="262"/>
      <c r="T823" s="213">
        <f t="shared" ref="T823:Y823" si="560">SUM(T824:T828)</f>
        <v>0</v>
      </c>
      <c r="U823" s="213">
        <f t="shared" si="560"/>
        <v>0</v>
      </c>
      <c r="V823" s="213">
        <f t="shared" si="560"/>
        <v>0</v>
      </c>
      <c r="W823" s="213">
        <f t="shared" si="560"/>
        <v>0</v>
      </c>
      <c r="X823" s="213">
        <f t="shared" si="560"/>
        <v>0</v>
      </c>
      <c r="Y823" s="213">
        <f t="shared" si="560"/>
        <v>0</v>
      </c>
      <c r="Z823" s="213" t="e">
        <f t="shared" si="539"/>
        <v>#DIV/0!</v>
      </c>
      <c r="AA823" s="213">
        <f t="shared" si="558"/>
        <v>0</v>
      </c>
      <c r="AB823" s="213">
        <f>SUM(AB824:AB828)</f>
        <v>0</v>
      </c>
      <c r="AC823" s="213">
        <f>SUM(AC824:AC828)</f>
        <v>0</v>
      </c>
      <c r="AD823" s="213" t="e">
        <f t="shared" si="537"/>
        <v>#DIV/0!</v>
      </c>
      <c r="AE823" s="213">
        <f t="shared" si="550"/>
        <v>0</v>
      </c>
      <c r="AF823" s="213">
        <f>SUM(AF824:AF828)</f>
        <v>0</v>
      </c>
      <c r="AG823" s="213">
        <f>SUM(AG824:AG828)</f>
        <v>0</v>
      </c>
      <c r="AH823" s="213">
        <f>SUM(AH824:AH828)</f>
        <v>0</v>
      </c>
      <c r="AI823" s="213">
        <f>SUM(AI824:AI828)</f>
        <v>0</v>
      </c>
      <c r="AJ823" s="162" t="b">
        <f t="shared" si="533"/>
        <v>1</v>
      </c>
      <c r="AK823" s="162" t="str">
        <f t="shared" si="534"/>
        <v>PRAZNO</v>
      </c>
      <c r="AL823" s="263"/>
    </row>
    <row r="824" spans="1:38" s="264" customFormat="1" ht="15.75" x14ac:dyDescent="0.2">
      <c r="A824" s="259"/>
      <c r="B824" s="260"/>
      <c r="C824" s="212"/>
      <c r="D824" s="212"/>
      <c r="E824" s="212">
        <v>3291</v>
      </c>
      <c r="F824" s="176">
        <v>11</v>
      </c>
      <c r="G824" s="405"/>
      <c r="H824" s="402" t="s">
        <v>343</v>
      </c>
      <c r="I824" s="213">
        <v>0</v>
      </c>
      <c r="J824" s="213">
        <v>0</v>
      </c>
      <c r="K824" s="213">
        <v>0</v>
      </c>
      <c r="L824" s="213">
        <v>0</v>
      </c>
      <c r="M824" s="213">
        <v>0</v>
      </c>
      <c r="N824" s="213">
        <v>0</v>
      </c>
      <c r="O824" s="213">
        <v>0</v>
      </c>
      <c r="P824" s="343">
        <f t="shared" si="541"/>
        <v>0</v>
      </c>
      <c r="Q824" s="262"/>
      <c r="R824" s="262"/>
      <c r="S824" s="262"/>
      <c r="T824" s="342"/>
      <c r="U824" s="342"/>
      <c r="V824" s="213">
        <v>0</v>
      </c>
      <c r="W824" s="213">
        <v>0</v>
      </c>
      <c r="X824" s="213">
        <v>0</v>
      </c>
      <c r="Y824" s="213"/>
      <c r="Z824" s="213" t="e">
        <f t="shared" si="539"/>
        <v>#DIV/0!</v>
      </c>
      <c r="AA824" s="213">
        <f t="shared" si="558"/>
        <v>0</v>
      </c>
      <c r="AB824" s="213">
        <v>0</v>
      </c>
      <c r="AC824" s="213"/>
      <c r="AD824" s="213" t="e">
        <f t="shared" si="537"/>
        <v>#DIV/0!</v>
      </c>
      <c r="AE824" s="213">
        <f t="shared" si="550"/>
        <v>0</v>
      </c>
      <c r="AF824" s="213">
        <v>0</v>
      </c>
      <c r="AG824" s="213">
        <v>0</v>
      </c>
      <c r="AH824" s="213">
        <v>0</v>
      </c>
      <c r="AI824" s="213">
        <v>0</v>
      </c>
      <c r="AJ824" s="162" t="b">
        <f t="shared" si="533"/>
        <v>0</v>
      </c>
      <c r="AK824" s="162" t="str">
        <f t="shared" si="534"/>
        <v>PUNO</v>
      </c>
      <c r="AL824" s="263"/>
    </row>
    <row r="825" spans="1:38" s="264" customFormat="1" ht="15.75" x14ac:dyDescent="0.2">
      <c r="A825" s="259"/>
      <c r="B825" s="260"/>
      <c r="C825" s="212"/>
      <c r="D825" s="212"/>
      <c r="E825" s="212">
        <v>3292</v>
      </c>
      <c r="F825" s="176">
        <v>11</v>
      </c>
      <c r="G825" s="405"/>
      <c r="H825" s="402" t="s">
        <v>399</v>
      </c>
      <c r="I825" s="213">
        <v>0</v>
      </c>
      <c r="J825" s="213">
        <v>0</v>
      </c>
      <c r="K825" s="213">
        <v>0</v>
      </c>
      <c r="L825" s="213">
        <v>0</v>
      </c>
      <c r="M825" s="213">
        <v>0</v>
      </c>
      <c r="N825" s="213">
        <v>0</v>
      </c>
      <c r="O825" s="213">
        <v>0</v>
      </c>
      <c r="P825" s="343">
        <f t="shared" si="541"/>
        <v>0</v>
      </c>
      <c r="Q825" s="262"/>
      <c r="R825" s="262"/>
      <c r="S825" s="262"/>
      <c r="T825" s="342"/>
      <c r="U825" s="342"/>
      <c r="V825" s="213">
        <v>0</v>
      </c>
      <c r="W825" s="213">
        <v>0</v>
      </c>
      <c r="X825" s="213">
        <v>0</v>
      </c>
      <c r="Y825" s="213"/>
      <c r="Z825" s="213" t="e">
        <f t="shared" si="539"/>
        <v>#DIV/0!</v>
      </c>
      <c r="AA825" s="213">
        <f t="shared" si="558"/>
        <v>0</v>
      </c>
      <c r="AB825" s="213">
        <v>0</v>
      </c>
      <c r="AC825" s="213"/>
      <c r="AD825" s="213" t="e">
        <f t="shared" si="537"/>
        <v>#DIV/0!</v>
      </c>
      <c r="AE825" s="213">
        <f t="shared" si="550"/>
        <v>0</v>
      </c>
      <c r="AF825" s="213">
        <v>0</v>
      </c>
      <c r="AG825" s="213">
        <v>0</v>
      </c>
      <c r="AH825" s="213">
        <v>0</v>
      </c>
      <c r="AI825" s="213">
        <v>0</v>
      </c>
      <c r="AJ825" s="162" t="b">
        <f t="shared" si="533"/>
        <v>0</v>
      </c>
      <c r="AK825" s="162" t="str">
        <f t="shared" si="534"/>
        <v>PUNO</v>
      </c>
      <c r="AL825" s="263"/>
    </row>
    <row r="826" spans="1:38" s="264" customFormat="1" ht="15.75" x14ac:dyDescent="0.2">
      <c r="A826" s="259"/>
      <c r="B826" s="260"/>
      <c r="C826" s="212"/>
      <c r="D826" s="212"/>
      <c r="E826" s="212">
        <v>3294</v>
      </c>
      <c r="F826" s="176">
        <v>11</v>
      </c>
      <c r="G826" s="405"/>
      <c r="H826" s="402" t="s">
        <v>567</v>
      </c>
      <c r="I826" s="213"/>
      <c r="J826" s="213"/>
      <c r="K826" s="213"/>
      <c r="L826" s="213"/>
      <c r="M826" s="213"/>
      <c r="N826" s="213"/>
      <c r="O826" s="213"/>
      <c r="P826" s="343"/>
      <c r="Q826" s="262"/>
      <c r="R826" s="262"/>
      <c r="S826" s="262"/>
      <c r="T826" s="342"/>
      <c r="U826" s="342"/>
      <c r="V826" s="213">
        <v>0</v>
      </c>
      <c r="W826" s="213">
        <v>0</v>
      </c>
      <c r="X826" s="213">
        <v>0</v>
      </c>
      <c r="Y826" s="213"/>
      <c r="Z826" s="213" t="e">
        <f t="shared" si="539"/>
        <v>#DIV/0!</v>
      </c>
      <c r="AA826" s="213">
        <f t="shared" si="558"/>
        <v>0</v>
      </c>
      <c r="AB826" s="213">
        <v>0</v>
      </c>
      <c r="AC826" s="213"/>
      <c r="AD826" s="213" t="e">
        <f t="shared" si="537"/>
        <v>#DIV/0!</v>
      </c>
      <c r="AE826" s="213">
        <f t="shared" si="550"/>
        <v>0</v>
      </c>
      <c r="AF826" s="213">
        <v>0</v>
      </c>
      <c r="AG826" s="213">
        <v>0</v>
      </c>
      <c r="AH826" s="213">
        <v>0</v>
      </c>
      <c r="AI826" s="213">
        <v>0</v>
      </c>
      <c r="AJ826" s="162" t="b">
        <f t="shared" si="533"/>
        <v>0</v>
      </c>
      <c r="AK826" s="162" t="str">
        <f t="shared" si="534"/>
        <v>PUNO</v>
      </c>
      <c r="AL826" s="263"/>
    </row>
    <row r="827" spans="1:38" s="264" customFormat="1" ht="15.75" x14ac:dyDescent="0.2">
      <c r="A827" s="259"/>
      <c r="B827" s="260"/>
      <c r="C827" s="212"/>
      <c r="D827" s="212"/>
      <c r="E827" s="212">
        <v>3295</v>
      </c>
      <c r="F827" s="176">
        <v>11</v>
      </c>
      <c r="G827" s="405"/>
      <c r="H827" s="402" t="s">
        <v>400</v>
      </c>
      <c r="I827" s="213"/>
      <c r="J827" s="213"/>
      <c r="K827" s="213"/>
      <c r="L827" s="213"/>
      <c r="M827" s="213"/>
      <c r="N827" s="213"/>
      <c r="O827" s="213"/>
      <c r="P827" s="343"/>
      <c r="Q827" s="262"/>
      <c r="R827" s="262"/>
      <c r="S827" s="262"/>
      <c r="T827" s="342"/>
      <c r="U827" s="342"/>
      <c r="V827" s="213">
        <v>0</v>
      </c>
      <c r="W827" s="213">
        <v>0</v>
      </c>
      <c r="X827" s="213">
        <v>0</v>
      </c>
      <c r="Y827" s="213"/>
      <c r="Z827" s="213" t="e">
        <f t="shared" si="539"/>
        <v>#DIV/0!</v>
      </c>
      <c r="AA827" s="213">
        <f t="shared" si="558"/>
        <v>0</v>
      </c>
      <c r="AB827" s="213">
        <v>0</v>
      </c>
      <c r="AC827" s="213"/>
      <c r="AD827" s="213" t="e">
        <f t="shared" si="537"/>
        <v>#DIV/0!</v>
      </c>
      <c r="AE827" s="213">
        <f t="shared" si="550"/>
        <v>0</v>
      </c>
      <c r="AF827" s="213">
        <v>0</v>
      </c>
      <c r="AG827" s="213">
        <v>0</v>
      </c>
      <c r="AH827" s="213">
        <v>0</v>
      </c>
      <c r="AI827" s="213">
        <v>0</v>
      </c>
      <c r="AJ827" s="162" t="b">
        <f t="shared" si="533"/>
        <v>0</v>
      </c>
      <c r="AK827" s="162" t="str">
        <f t="shared" si="534"/>
        <v>PUNO</v>
      </c>
      <c r="AL827" s="263"/>
    </row>
    <row r="828" spans="1:38" s="264" customFormat="1" ht="15.75" x14ac:dyDescent="0.2">
      <c r="A828" s="259"/>
      <c r="B828" s="260"/>
      <c r="C828" s="212"/>
      <c r="D828" s="212"/>
      <c r="E828" s="212">
        <v>3299</v>
      </c>
      <c r="F828" s="176">
        <v>11</v>
      </c>
      <c r="G828" s="405"/>
      <c r="H828" s="402" t="s">
        <v>531</v>
      </c>
      <c r="I828" s="213">
        <v>0</v>
      </c>
      <c r="J828" s="213">
        <v>0</v>
      </c>
      <c r="K828" s="213">
        <v>0</v>
      </c>
      <c r="L828" s="213">
        <v>0</v>
      </c>
      <c r="M828" s="213">
        <v>0</v>
      </c>
      <c r="N828" s="213">
        <v>0</v>
      </c>
      <c r="O828" s="213">
        <v>0</v>
      </c>
      <c r="P828" s="343">
        <f t="shared" si="541"/>
        <v>0</v>
      </c>
      <c r="Q828" s="262"/>
      <c r="R828" s="262"/>
      <c r="S828" s="262"/>
      <c r="T828" s="342"/>
      <c r="U828" s="342"/>
      <c r="V828" s="213">
        <v>0</v>
      </c>
      <c r="W828" s="213">
        <v>0</v>
      </c>
      <c r="X828" s="213">
        <v>0</v>
      </c>
      <c r="Y828" s="213"/>
      <c r="Z828" s="213" t="e">
        <f t="shared" si="539"/>
        <v>#DIV/0!</v>
      </c>
      <c r="AA828" s="213">
        <f t="shared" si="558"/>
        <v>0</v>
      </c>
      <c r="AB828" s="213">
        <v>0</v>
      </c>
      <c r="AC828" s="213"/>
      <c r="AD828" s="213" t="e">
        <f t="shared" si="537"/>
        <v>#DIV/0!</v>
      </c>
      <c r="AE828" s="213">
        <f t="shared" si="550"/>
        <v>0</v>
      </c>
      <c r="AF828" s="213">
        <v>0</v>
      </c>
      <c r="AG828" s="213">
        <v>0</v>
      </c>
      <c r="AH828" s="213">
        <v>0</v>
      </c>
      <c r="AI828" s="213">
        <v>0</v>
      </c>
      <c r="AJ828" s="162" t="b">
        <f t="shared" si="533"/>
        <v>0</v>
      </c>
      <c r="AK828" s="162" t="str">
        <f t="shared" si="534"/>
        <v>PUNO</v>
      </c>
      <c r="AL828" s="263"/>
    </row>
    <row r="829" spans="1:38" s="638" customFormat="1" ht="15.75" x14ac:dyDescent="0.2">
      <c r="A829" s="633"/>
      <c r="B829" s="475"/>
      <c r="C829" s="314">
        <v>36</v>
      </c>
      <c r="D829" s="314"/>
      <c r="E829" s="314"/>
      <c r="F829" s="640"/>
      <c r="G829" s="634"/>
      <c r="H829" s="635" t="s">
        <v>751</v>
      </c>
      <c r="I829" s="317"/>
      <c r="J829" s="317"/>
      <c r="K829" s="317"/>
      <c r="L829" s="317"/>
      <c r="M829" s="317"/>
      <c r="N829" s="317"/>
      <c r="O829" s="317"/>
      <c r="P829" s="341"/>
      <c r="Q829" s="636"/>
      <c r="R829" s="636"/>
      <c r="S829" s="636"/>
      <c r="T829" s="641"/>
      <c r="U829" s="641"/>
      <c r="V829" s="317">
        <f>V830</f>
        <v>0</v>
      </c>
      <c r="W829" s="317"/>
      <c r="X829" s="317"/>
      <c r="Y829" s="317">
        <f>Y830</f>
        <v>0</v>
      </c>
      <c r="Z829" s="317"/>
      <c r="AA829" s="317">
        <f t="shared" si="558"/>
        <v>59813</v>
      </c>
      <c r="AB829" s="317">
        <f t="shared" ref="AB829:AI830" si="561">AB830</f>
        <v>59813</v>
      </c>
      <c r="AC829" s="317">
        <f t="shared" si="561"/>
        <v>16720.04</v>
      </c>
      <c r="AD829" s="317">
        <f t="shared" si="537"/>
        <v>27.953856185110261</v>
      </c>
      <c r="AE829" s="317">
        <f t="shared" si="550"/>
        <v>-17813</v>
      </c>
      <c r="AF829" s="317">
        <f t="shared" si="561"/>
        <v>42000</v>
      </c>
      <c r="AG829" s="317">
        <f t="shared" si="561"/>
        <v>76452</v>
      </c>
      <c r="AH829" s="317">
        <f t="shared" si="561"/>
        <v>76452</v>
      </c>
      <c r="AI829" s="317">
        <f t="shared" si="561"/>
        <v>76452</v>
      </c>
      <c r="AJ829" s="162" t="b">
        <f t="shared" si="533"/>
        <v>1</v>
      </c>
      <c r="AK829" s="162" t="str">
        <f t="shared" si="534"/>
        <v>PRAZNO</v>
      </c>
      <c r="AL829" s="637"/>
    </row>
    <row r="830" spans="1:38" s="264" customFormat="1" ht="15.75" x14ac:dyDescent="0.2">
      <c r="A830" s="259"/>
      <c r="B830" s="260"/>
      <c r="C830" s="212"/>
      <c r="D830" s="212">
        <v>363</v>
      </c>
      <c r="E830" s="212"/>
      <c r="F830" s="176"/>
      <c r="G830" s="405"/>
      <c r="H830" s="402" t="s">
        <v>536</v>
      </c>
      <c r="I830" s="213"/>
      <c r="J830" s="213"/>
      <c r="K830" s="213"/>
      <c r="L830" s="213"/>
      <c r="M830" s="213"/>
      <c r="N830" s="213"/>
      <c r="O830" s="213"/>
      <c r="P830" s="343"/>
      <c r="Q830" s="262"/>
      <c r="R830" s="262"/>
      <c r="S830" s="262"/>
      <c r="T830" s="342"/>
      <c r="U830" s="342"/>
      <c r="V830" s="213">
        <f>V831</f>
        <v>0</v>
      </c>
      <c r="W830" s="213"/>
      <c r="X830" s="213"/>
      <c r="Y830" s="213">
        <f>Y831</f>
        <v>0</v>
      </c>
      <c r="Z830" s="213"/>
      <c r="AA830" s="213">
        <f t="shared" si="558"/>
        <v>59813</v>
      </c>
      <c r="AB830" s="213">
        <f t="shared" si="561"/>
        <v>59813</v>
      </c>
      <c r="AC830" s="213">
        <f t="shared" si="561"/>
        <v>16720.04</v>
      </c>
      <c r="AD830" s="213">
        <f t="shared" si="537"/>
        <v>27.953856185110261</v>
      </c>
      <c r="AE830" s="213">
        <f t="shared" si="550"/>
        <v>-17813</v>
      </c>
      <c r="AF830" s="213">
        <f>AF831+AF832</f>
        <v>42000</v>
      </c>
      <c r="AG830" s="213">
        <f>AG831+AG832</f>
        <v>76452</v>
      </c>
      <c r="AH830" s="213">
        <f>AH831+AH832</f>
        <v>76452</v>
      </c>
      <c r="AI830" s="213">
        <f>AI831+AI832</f>
        <v>76452</v>
      </c>
      <c r="AJ830" s="162" t="b">
        <f t="shared" si="533"/>
        <v>1</v>
      </c>
      <c r="AK830" s="162" t="str">
        <f t="shared" si="534"/>
        <v>PRAZNO</v>
      </c>
      <c r="AL830" s="263"/>
    </row>
    <row r="831" spans="1:38" s="264" customFormat="1" ht="30" x14ac:dyDescent="0.2">
      <c r="A831" s="259"/>
      <c r="B831" s="260"/>
      <c r="C831" s="212"/>
      <c r="D831" s="212"/>
      <c r="E831" s="212">
        <v>3633</v>
      </c>
      <c r="F831" s="176">
        <v>11</v>
      </c>
      <c r="G831" s="405"/>
      <c r="H831" s="402" t="s">
        <v>256</v>
      </c>
      <c r="I831" s="213"/>
      <c r="J831" s="213"/>
      <c r="K831" s="213"/>
      <c r="L831" s="213"/>
      <c r="M831" s="213"/>
      <c r="N831" s="213"/>
      <c r="O831" s="213"/>
      <c r="P831" s="343"/>
      <c r="Q831" s="262"/>
      <c r="R831" s="262"/>
      <c r="S831" s="262"/>
      <c r="T831" s="342"/>
      <c r="U831" s="342"/>
      <c r="V831" s="213">
        <v>0</v>
      </c>
      <c r="W831" s="213"/>
      <c r="X831" s="213"/>
      <c r="Y831" s="213">
        <v>0</v>
      </c>
      <c r="Z831" s="213"/>
      <c r="AA831" s="213">
        <f>AB831-V831</f>
        <v>59813</v>
      </c>
      <c r="AB831" s="213">
        <v>59813</v>
      </c>
      <c r="AC831" s="213">
        <v>16720.04</v>
      </c>
      <c r="AD831" s="213">
        <f t="shared" si="537"/>
        <v>27.953856185110261</v>
      </c>
      <c r="AE831" s="213">
        <f t="shared" si="550"/>
        <v>-20813</v>
      </c>
      <c r="AF831" s="213">
        <v>39000</v>
      </c>
      <c r="AG831" s="343">
        <v>74652</v>
      </c>
      <c r="AH831" s="343">
        <v>74652</v>
      </c>
      <c r="AI831" s="343">
        <v>74652</v>
      </c>
      <c r="AJ831" s="162" t="b">
        <f t="shared" si="533"/>
        <v>0</v>
      </c>
      <c r="AK831" s="162" t="str">
        <f t="shared" si="534"/>
        <v>PUNO</v>
      </c>
      <c r="AL831" s="263"/>
    </row>
    <row r="832" spans="1:38" s="264" customFormat="1" ht="30" x14ac:dyDescent="0.2">
      <c r="A832" s="259"/>
      <c r="B832" s="260"/>
      <c r="C832" s="212"/>
      <c r="D832" s="212"/>
      <c r="E832" s="212">
        <v>3634</v>
      </c>
      <c r="F832" s="176">
        <v>11</v>
      </c>
      <c r="G832" s="405"/>
      <c r="H832" s="402" t="s">
        <v>257</v>
      </c>
      <c r="I832" s="213"/>
      <c r="J832" s="213"/>
      <c r="K832" s="213"/>
      <c r="L832" s="213"/>
      <c r="M832" s="213"/>
      <c r="N832" s="213"/>
      <c r="O832" s="213"/>
      <c r="P832" s="343"/>
      <c r="Q832" s="262"/>
      <c r="R832" s="262"/>
      <c r="S832" s="262"/>
      <c r="T832" s="342"/>
      <c r="U832" s="342"/>
      <c r="V832" s="213"/>
      <c r="W832" s="213"/>
      <c r="X832" s="213"/>
      <c r="Y832" s="213"/>
      <c r="Z832" s="213"/>
      <c r="AA832" s="213"/>
      <c r="AB832" s="213"/>
      <c r="AC832" s="213"/>
      <c r="AD832" s="213"/>
      <c r="AE832" s="213">
        <f t="shared" si="550"/>
        <v>3000</v>
      </c>
      <c r="AF832" s="213">
        <v>3000</v>
      </c>
      <c r="AG832" s="343">
        <v>1800</v>
      </c>
      <c r="AH832" s="343">
        <v>1800</v>
      </c>
      <c r="AI832" s="343">
        <v>1800</v>
      </c>
      <c r="AJ832" s="162" t="b">
        <f t="shared" si="533"/>
        <v>0</v>
      </c>
      <c r="AK832" s="162" t="str">
        <f t="shared" si="534"/>
        <v>PUNO</v>
      </c>
      <c r="AL832" s="263"/>
    </row>
    <row r="833" spans="1:39" s="264" customFormat="1" ht="15.75" x14ac:dyDescent="0.2">
      <c r="A833" s="259"/>
      <c r="B833" s="260"/>
      <c r="C833" s="212"/>
      <c r="D833" s="212"/>
      <c r="E833" s="212"/>
      <c r="F833" s="176"/>
      <c r="G833" s="405"/>
      <c r="H833" s="470" t="s">
        <v>825</v>
      </c>
      <c r="I833" s="213"/>
      <c r="J833" s="213"/>
      <c r="K833" s="213"/>
      <c r="L833" s="213"/>
      <c r="M833" s="213"/>
      <c r="N833" s="213"/>
      <c r="O833" s="213"/>
      <c r="P833" s="343"/>
      <c r="Q833" s="262"/>
      <c r="R833" s="262"/>
      <c r="S833" s="262"/>
      <c r="T833" s="342"/>
      <c r="U833" s="342"/>
      <c r="V833" s="406">
        <f>V834</f>
        <v>26350</v>
      </c>
      <c r="W833" s="406"/>
      <c r="X833" s="406"/>
      <c r="Y833" s="406">
        <f>Y834</f>
        <v>0</v>
      </c>
      <c r="Z833" s="406">
        <f t="shared" si="539"/>
        <v>0</v>
      </c>
      <c r="AA833" s="406">
        <f t="shared" si="558"/>
        <v>228650</v>
      </c>
      <c r="AB833" s="406">
        <f>AB834</f>
        <v>255000</v>
      </c>
      <c r="AC833" s="406">
        <f>AC834</f>
        <v>0</v>
      </c>
      <c r="AD833" s="406">
        <f t="shared" si="537"/>
        <v>0</v>
      </c>
      <c r="AE833" s="406">
        <f t="shared" si="550"/>
        <v>-17000</v>
      </c>
      <c r="AF833" s="406">
        <f>AF834</f>
        <v>238000</v>
      </c>
      <c r="AG833" s="406">
        <f>AG834</f>
        <v>433227</v>
      </c>
      <c r="AH833" s="406">
        <f>AH834</f>
        <v>433227</v>
      </c>
      <c r="AI833" s="406">
        <f>AI834</f>
        <v>433227</v>
      </c>
      <c r="AJ833" s="162" t="b">
        <f t="shared" si="533"/>
        <v>1</v>
      </c>
      <c r="AK833" s="162" t="str">
        <f t="shared" si="534"/>
        <v>PRAZNO</v>
      </c>
      <c r="AL833" s="263"/>
    </row>
    <row r="834" spans="1:39" s="174" customFormat="1" ht="15.75" x14ac:dyDescent="0.2">
      <c r="A834" s="259"/>
      <c r="B834" s="172">
        <v>3</v>
      </c>
      <c r="C834" s="247"/>
      <c r="D834" s="247"/>
      <c r="E834" s="247"/>
      <c r="F834" s="426"/>
      <c r="G834" s="426"/>
      <c r="H834" s="427" t="s">
        <v>524</v>
      </c>
      <c r="I834" s="20"/>
      <c r="J834" s="20"/>
      <c r="K834" s="20"/>
      <c r="L834" s="20"/>
      <c r="M834" s="20"/>
      <c r="N834" s="20"/>
      <c r="O834" s="20"/>
      <c r="P834" s="54"/>
      <c r="Q834" s="20"/>
      <c r="R834" s="20"/>
      <c r="S834" s="20"/>
      <c r="T834" s="20"/>
      <c r="U834" s="20"/>
      <c r="V834" s="20">
        <f>V835+V838+V841</f>
        <v>26350</v>
      </c>
      <c r="W834" s="20"/>
      <c r="X834" s="20"/>
      <c r="Y834" s="20">
        <f>Y835+Y838+Y841</f>
        <v>0</v>
      </c>
      <c r="Z834" s="20"/>
      <c r="AA834" s="20">
        <f t="shared" si="558"/>
        <v>228650</v>
      </c>
      <c r="AB834" s="20">
        <f>AB838+AB841</f>
        <v>255000</v>
      </c>
      <c r="AC834" s="20">
        <f>AC838+AC841</f>
        <v>0</v>
      </c>
      <c r="AD834" s="20">
        <f t="shared" si="537"/>
        <v>0</v>
      </c>
      <c r="AE834" s="20">
        <f t="shared" si="550"/>
        <v>-17000</v>
      </c>
      <c r="AF834" s="20">
        <f>AF838+AF841</f>
        <v>238000</v>
      </c>
      <c r="AG834" s="20">
        <f>AG838+AG841</f>
        <v>433227</v>
      </c>
      <c r="AH834" s="20">
        <f>AH838+AH841</f>
        <v>433227</v>
      </c>
      <c r="AI834" s="20">
        <f>AI838+AI841</f>
        <v>433227</v>
      </c>
      <c r="AJ834" s="162" t="b">
        <f t="shared" si="533"/>
        <v>1</v>
      </c>
      <c r="AK834" s="162" t="str">
        <f t="shared" si="534"/>
        <v>PRAZNO</v>
      </c>
      <c r="AL834" s="173"/>
    </row>
    <row r="835" spans="1:39" s="638" customFormat="1" ht="13.5" customHeight="1" x14ac:dyDescent="0.2">
      <c r="A835" s="633"/>
      <c r="B835" s="175"/>
      <c r="C835" s="314">
        <v>32</v>
      </c>
      <c r="D835" s="314"/>
      <c r="E835" s="314"/>
      <c r="F835" s="642"/>
      <c r="G835" s="642"/>
      <c r="H835" s="635" t="s">
        <v>525</v>
      </c>
      <c r="I835" s="183"/>
      <c r="J835" s="183"/>
      <c r="K835" s="183"/>
      <c r="L835" s="183"/>
      <c r="M835" s="183"/>
      <c r="N835" s="183"/>
      <c r="O835" s="183"/>
      <c r="P835" s="341"/>
      <c r="Q835" s="183"/>
      <c r="R835" s="183"/>
      <c r="S835" s="183"/>
      <c r="T835" s="183"/>
      <c r="U835" s="183"/>
      <c r="V835" s="183">
        <f>V836</f>
        <v>25000</v>
      </c>
      <c r="W835" s="183"/>
      <c r="X835" s="183"/>
      <c r="Y835" s="183">
        <f>Y836</f>
        <v>0</v>
      </c>
      <c r="Z835" s="183"/>
      <c r="AA835" s="317">
        <f>AB835-V835</f>
        <v>-25000</v>
      </c>
      <c r="AB835" s="183">
        <f t="shared" ref="AB835:AI836" si="562">AB836</f>
        <v>0</v>
      </c>
      <c r="AC835" s="183">
        <f t="shared" si="562"/>
        <v>0</v>
      </c>
      <c r="AD835" s="183" t="e">
        <f t="shared" si="537"/>
        <v>#DIV/0!</v>
      </c>
      <c r="AE835" s="183">
        <f t="shared" si="550"/>
        <v>0</v>
      </c>
      <c r="AF835" s="183">
        <f t="shared" si="562"/>
        <v>0</v>
      </c>
      <c r="AG835" s="183">
        <f t="shared" si="562"/>
        <v>0</v>
      </c>
      <c r="AH835" s="183">
        <f t="shared" si="562"/>
        <v>0</v>
      </c>
      <c r="AI835" s="183">
        <f t="shared" si="562"/>
        <v>0</v>
      </c>
      <c r="AJ835" s="162" t="b">
        <f t="shared" si="533"/>
        <v>1</v>
      </c>
      <c r="AK835" s="162" t="str">
        <f t="shared" si="534"/>
        <v>PRAZNO</v>
      </c>
      <c r="AL835" s="637"/>
    </row>
    <row r="836" spans="1:39" s="264" customFormat="1" ht="15.75" x14ac:dyDescent="0.2">
      <c r="A836" s="259"/>
      <c r="B836" s="177"/>
      <c r="C836" s="212"/>
      <c r="D836" s="212">
        <v>329</v>
      </c>
      <c r="E836" s="212"/>
      <c r="F836" s="632"/>
      <c r="G836" s="632"/>
      <c r="H836" s="402" t="s">
        <v>531</v>
      </c>
      <c r="I836" s="181"/>
      <c r="J836" s="181"/>
      <c r="K836" s="181"/>
      <c r="L836" s="181"/>
      <c r="M836" s="181"/>
      <c r="N836" s="181"/>
      <c r="O836" s="181"/>
      <c r="P836" s="343"/>
      <c r="Q836" s="181"/>
      <c r="R836" s="181"/>
      <c r="S836" s="181"/>
      <c r="T836" s="181"/>
      <c r="U836" s="181"/>
      <c r="V836" s="181">
        <f>V837</f>
        <v>25000</v>
      </c>
      <c r="W836" s="181"/>
      <c r="X836" s="181"/>
      <c r="Y836" s="181">
        <f>Y837</f>
        <v>0</v>
      </c>
      <c r="Z836" s="181"/>
      <c r="AA836" s="213">
        <f>AB836-V836</f>
        <v>-25000</v>
      </c>
      <c r="AB836" s="181">
        <f t="shared" si="562"/>
        <v>0</v>
      </c>
      <c r="AC836" s="181">
        <f t="shared" si="562"/>
        <v>0</v>
      </c>
      <c r="AD836" s="181" t="e">
        <f t="shared" si="537"/>
        <v>#DIV/0!</v>
      </c>
      <c r="AE836" s="181">
        <f t="shared" si="550"/>
        <v>0</v>
      </c>
      <c r="AF836" s="181">
        <f t="shared" si="562"/>
        <v>0</v>
      </c>
      <c r="AG836" s="181">
        <f t="shared" si="562"/>
        <v>0</v>
      </c>
      <c r="AH836" s="181">
        <f t="shared" si="562"/>
        <v>0</v>
      </c>
      <c r="AI836" s="181">
        <f t="shared" si="562"/>
        <v>0</v>
      </c>
      <c r="AJ836" s="162" t="b">
        <f t="shared" si="533"/>
        <v>1</v>
      </c>
      <c r="AK836" s="162" t="str">
        <f t="shared" si="534"/>
        <v>PRAZNO</v>
      </c>
      <c r="AL836" s="263"/>
    </row>
    <row r="837" spans="1:39" s="264" customFormat="1" ht="15.75" x14ac:dyDescent="0.2">
      <c r="A837" s="259"/>
      <c r="B837" s="260"/>
      <c r="C837" s="212"/>
      <c r="D837" s="212"/>
      <c r="E837" s="212">
        <v>3293</v>
      </c>
      <c r="F837" s="176">
        <v>51</v>
      </c>
      <c r="G837" s="405"/>
      <c r="H837" s="402" t="s">
        <v>533</v>
      </c>
      <c r="I837" s="213">
        <v>0</v>
      </c>
      <c r="J837" s="213">
        <v>0</v>
      </c>
      <c r="K837" s="213">
        <v>0</v>
      </c>
      <c r="L837" s="213">
        <v>0</v>
      </c>
      <c r="M837" s="213">
        <v>0</v>
      </c>
      <c r="N837" s="213">
        <v>0</v>
      </c>
      <c r="O837" s="213">
        <v>0</v>
      </c>
      <c r="P837" s="343">
        <f>T837-N837</f>
        <v>0</v>
      </c>
      <c r="Q837" s="262"/>
      <c r="R837" s="262"/>
      <c r="S837" s="262"/>
      <c r="T837" s="342"/>
      <c r="U837" s="342"/>
      <c r="V837" s="213">
        <v>25000</v>
      </c>
      <c r="W837" s="213">
        <v>25000</v>
      </c>
      <c r="X837" s="213">
        <v>25750</v>
      </c>
      <c r="Y837" s="213">
        <v>0</v>
      </c>
      <c r="Z837" s="213">
        <f>ROUND(Y837/V837*100,2)</f>
        <v>0</v>
      </c>
      <c r="AA837" s="213">
        <f>AB837-V837</f>
        <v>-25000</v>
      </c>
      <c r="AB837" s="213">
        <v>0</v>
      </c>
      <c r="AC837" s="213"/>
      <c r="AD837" s="213" t="e">
        <f t="shared" si="537"/>
        <v>#DIV/0!</v>
      </c>
      <c r="AE837" s="213">
        <f t="shared" si="550"/>
        <v>0</v>
      </c>
      <c r="AF837" s="213">
        <v>0</v>
      </c>
      <c r="AG837" s="213">
        <v>0</v>
      </c>
      <c r="AH837" s="213">
        <v>0</v>
      </c>
      <c r="AI837" s="213">
        <v>0</v>
      </c>
      <c r="AJ837" s="162" t="b">
        <f t="shared" si="533"/>
        <v>0</v>
      </c>
      <c r="AK837" s="162" t="str">
        <f t="shared" si="534"/>
        <v>PUNO</v>
      </c>
      <c r="AL837" s="263"/>
    </row>
    <row r="838" spans="1:39" s="638" customFormat="1" ht="15.75" x14ac:dyDescent="0.2">
      <c r="A838" s="633"/>
      <c r="B838" s="475"/>
      <c r="C838" s="314">
        <v>34</v>
      </c>
      <c r="D838" s="314"/>
      <c r="E838" s="314"/>
      <c r="F838" s="634"/>
      <c r="G838" s="634"/>
      <c r="H838" s="635" t="s">
        <v>208</v>
      </c>
      <c r="I838" s="317">
        <f t="shared" ref="I838:N839" si="563">I839</f>
        <v>0</v>
      </c>
      <c r="J838" s="317">
        <f t="shared" si="563"/>
        <v>0</v>
      </c>
      <c r="K838" s="317">
        <f t="shared" si="563"/>
        <v>0</v>
      </c>
      <c r="L838" s="317">
        <f t="shared" si="563"/>
        <v>0</v>
      </c>
      <c r="M838" s="317">
        <f t="shared" si="563"/>
        <v>0</v>
      </c>
      <c r="N838" s="317">
        <f t="shared" si="563"/>
        <v>0</v>
      </c>
      <c r="O838" s="317">
        <f>O839</f>
        <v>0</v>
      </c>
      <c r="P838" s="341">
        <f t="shared" si="541"/>
        <v>0</v>
      </c>
      <c r="Q838" s="636"/>
      <c r="R838" s="636"/>
      <c r="S838" s="636"/>
      <c r="T838" s="317">
        <f t="shared" ref="T838:AI839" si="564">T839</f>
        <v>0</v>
      </c>
      <c r="U838" s="317">
        <f t="shared" si="564"/>
        <v>0</v>
      </c>
      <c r="V838" s="317">
        <f t="shared" si="564"/>
        <v>1350</v>
      </c>
      <c r="W838" s="317">
        <f t="shared" si="564"/>
        <v>1350</v>
      </c>
      <c r="X838" s="317">
        <f t="shared" si="564"/>
        <v>1350</v>
      </c>
      <c r="Y838" s="317">
        <f t="shared" si="564"/>
        <v>0</v>
      </c>
      <c r="Z838" s="317">
        <f t="shared" si="539"/>
        <v>0</v>
      </c>
      <c r="AA838" s="317">
        <f t="shared" si="558"/>
        <v>-1350</v>
      </c>
      <c r="AB838" s="317">
        <f t="shared" si="564"/>
        <v>0</v>
      </c>
      <c r="AC838" s="317">
        <f t="shared" si="564"/>
        <v>0</v>
      </c>
      <c r="AD838" s="317" t="e">
        <f t="shared" si="537"/>
        <v>#DIV/0!</v>
      </c>
      <c r="AE838" s="317">
        <f t="shared" si="550"/>
        <v>0</v>
      </c>
      <c r="AF838" s="317">
        <f t="shared" si="564"/>
        <v>0</v>
      </c>
      <c r="AG838" s="317">
        <f t="shared" si="564"/>
        <v>0</v>
      </c>
      <c r="AH838" s="317">
        <f t="shared" si="564"/>
        <v>0</v>
      </c>
      <c r="AI838" s="317">
        <f t="shared" si="564"/>
        <v>0</v>
      </c>
      <c r="AJ838" s="162" t="b">
        <f t="shared" si="533"/>
        <v>1</v>
      </c>
      <c r="AK838" s="162" t="str">
        <f t="shared" si="534"/>
        <v>PRAZNO</v>
      </c>
      <c r="AL838" s="637"/>
    </row>
    <row r="839" spans="1:39" s="264" customFormat="1" ht="15.75" x14ac:dyDescent="0.2">
      <c r="A839" s="259"/>
      <c r="B839" s="260"/>
      <c r="C839" s="212"/>
      <c r="D839" s="212">
        <v>343</v>
      </c>
      <c r="E839" s="212"/>
      <c r="F839" s="405"/>
      <c r="G839" s="405"/>
      <c r="H839" s="402" t="s">
        <v>209</v>
      </c>
      <c r="I839" s="213">
        <f t="shared" si="563"/>
        <v>0</v>
      </c>
      <c r="J839" s="213">
        <f t="shared" si="563"/>
        <v>0</v>
      </c>
      <c r="K839" s="213">
        <f t="shared" si="563"/>
        <v>0</v>
      </c>
      <c r="L839" s="213">
        <f t="shared" si="563"/>
        <v>0</v>
      </c>
      <c r="M839" s="213">
        <f t="shared" si="563"/>
        <v>0</v>
      </c>
      <c r="N839" s="213">
        <f t="shared" si="563"/>
        <v>0</v>
      </c>
      <c r="O839" s="213">
        <f>O840</f>
        <v>0</v>
      </c>
      <c r="P839" s="343">
        <f t="shared" si="541"/>
        <v>0</v>
      </c>
      <c r="Q839" s="262"/>
      <c r="R839" s="262"/>
      <c r="S839" s="262"/>
      <c r="T839" s="213">
        <f t="shared" si="564"/>
        <v>0</v>
      </c>
      <c r="U839" s="213">
        <f t="shared" si="564"/>
        <v>0</v>
      </c>
      <c r="V839" s="213">
        <f t="shared" si="564"/>
        <v>1350</v>
      </c>
      <c r="W839" s="213">
        <f t="shared" si="564"/>
        <v>1350</v>
      </c>
      <c r="X839" s="213">
        <f t="shared" si="564"/>
        <v>1350</v>
      </c>
      <c r="Y839" s="213">
        <f t="shared" si="564"/>
        <v>0</v>
      </c>
      <c r="Z839" s="213">
        <f t="shared" si="539"/>
        <v>0</v>
      </c>
      <c r="AA839" s="213">
        <f t="shared" si="558"/>
        <v>-1350</v>
      </c>
      <c r="AB839" s="213">
        <f t="shared" si="564"/>
        <v>0</v>
      </c>
      <c r="AC839" s="213">
        <f t="shared" si="564"/>
        <v>0</v>
      </c>
      <c r="AD839" s="213" t="e">
        <f t="shared" si="537"/>
        <v>#DIV/0!</v>
      </c>
      <c r="AE839" s="213">
        <f t="shared" si="550"/>
        <v>0</v>
      </c>
      <c r="AF839" s="213">
        <f t="shared" si="564"/>
        <v>0</v>
      </c>
      <c r="AG839" s="213">
        <f t="shared" si="564"/>
        <v>0</v>
      </c>
      <c r="AH839" s="213">
        <f t="shared" si="564"/>
        <v>0</v>
      </c>
      <c r="AI839" s="213">
        <f t="shared" si="564"/>
        <v>0</v>
      </c>
      <c r="AJ839" s="162" t="b">
        <f t="shared" si="533"/>
        <v>1</v>
      </c>
      <c r="AK839" s="162" t="str">
        <f t="shared" si="534"/>
        <v>PRAZNO</v>
      </c>
      <c r="AL839" s="263"/>
    </row>
    <row r="840" spans="1:39" s="264" customFormat="1" ht="15.75" x14ac:dyDescent="0.2">
      <c r="A840" s="259"/>
      <c r="B840" s="260"/>
      <c r="C840" s="212"/>
      <c r="D840" s="212"/>
      <c r="E840" s="212">
        <v>3431</v>
      </c>
      <c r="F840" s="176">
        <v>51</v>
      </c>
      <c r="G840" s="405"/>
      <c r="H840" s="402" t="s">
        <v>211</v>
      </c>
      <c r="I840" s="213">
        <v>0</v>
      </c>
      <c r="J840" s="213">
        <v>0</v>
      </c>
      <c r="K840" s="213">
        <v>0</v>
      </c>
      <c r="L840" s="213">
        <v>0</v>
      </c>
      <c r="M840" s="213">
        <v>0</v>
      </c>
      <c r="N840" s="213">
        <v>0</v>
      </c>
      <c r="O840" s="213">
        <v>0</v>
      </c>
      <c r="P840" s="343">
        <f>T840-N840</f>
        <v>0</v>
      </c>
      <c r="Q840" s="262"/>
      <c r="R840" s="262"/>
      <c r="S840" s="262"/>
      <c r="T840" s="342"/>
      <c r="U840" s="342"/>
      <c r="V840" s="213">
        <v>1350</v>
      </c>
      <c r="W840" s="213">
        <v>1350</v>
      </c>
      <c r="X840" s="213">
        <v>1350</v>
      </c>
      <c r="Y840" s="213">
        <v>0</v>
      </c>
      <c r="Z840" s="213">
        <f t="shared" si="539"/>
        <v>0</v>
      </c>
      <c r="AA840" s="213">
        <f t="shared" si="558"/>
        <v>-1350</v>
      </c>
      <c r="AB840" s="213">
        <v>0</v>
      </c>
      <c r="AC840" s="213"/>
      <c r="AD840" s="213" t="e">
        <f t="shared" si="537"/>
        <v>#DIV/0!</v>
      </c>
      <c r="AE840" s="213">
        <f t="shared" si="550"/>
        <v>0</v>
      </c>
      <c r="AF840" s="213">
        <v>0</v>
      </c>
      <c r="AG840" s="213">
        <v>0</v>
      </c>
      <c r="AH840" s="213">
        <v>0</v>
      </c>
      <c r="AI840" s="213">
        <v>0</v>
      </c>
      <c r="AJ840" s="162" t="b">
        <f t="shared" si="533"/>
        <v>0</v>
      </c>
      <c r="AK840" s="162" t="str">
        <f t="shared" si="534"/>
        <v>PUNO</v>
      </c>
      <c r="AL840" s="263"/>
    </row>
    <row r="841" spans="1:39" s="264" customFormat="1" ht="15.75" x14ac:dyDescent="0.2">
      <c r="A841" s="259"/>
      <c r="B841" s="260"/>
      <c r="C841" s="212">
        <v>36</v>
      </c>
      <c r="D841" s="212"/>
      <c r="E841" s="212"/>
      <c r="F841" s="176"/>
      <c r="G841" s="405"/>
      <c r="H841" s="402" t="s">
        <v>751</v>
      </c>
      <c r="I841" s="213"/>
      <c r="J841" s="213"/>
      <c r="K841" s="213"/>
      <c r="L841" s="213"/>
      <c r="M841" s="213"/>
      <c r="N841" s="213"/>
      <c r="O841" s="213"/>
      <c r="P841" s="343"/>
      <c r="Q841" s="262"/>
      <c r="R841" s="262"/>
      <c r="S841" s="262"/>
      <c r="T841" s="342"/>
      <c r="U841" s="342"/>
      <c r="V841" s="213">
        <f>V842</f>
        <v>0</v>
      </c>
      <c r="W841" s="213"/>
      <c r="X841" s="213"/>
      <c r="Y841" s="213">
        <v>0</v>
      </c>
      <c r="Z841" s="213"/>
      <c r="AA841" s="213">
        <f t="shared" si="558"/>
        <v>255000</v>
      </c>
      <c r="AB841" s="213">
        <f>AB842</f>
        <v>255000</v>
      </c>
      <c r="AC841" s="213">
        <f>AC842</f>
        <v>0</v>
      </c>
      <c r="AD841" s="213">
        <f t="shared" si="537"/>
        <v>0</v>
      </c>
      <c r="AE841" s="213">
        <f t="shared" si="550"/>
        <v>-17000</v>
      </c>
      <c r="AF841" s="213">
        <f>AF842</f>
        <v>238000</v>
      </c>
      <c r="AG841" s="213">
        <f>AG842</f>
        <v>433227</v>
      </c>
      <c r="AH841" s="213">
        <f>AH842</f>
        <v>433227</v>
      </c>
      <c r="AI841" s="213">
        <f>AI842</f>
        <v>433227</v>
      </c>
      <c r="AJ841" s="162" t="b">
        <f t="shared" ref="AJ841:AJ904" si="565">ISBLANK(E841)</f>
        <v>1</v>
      </c>
      <c r="AK841" s="162" t="str">
        <f t="shared" ref="AK841:AK904" si="566">IF(AJ841,"PRAZNO","PUNO")</f>
        <v>PRAZNO</v>
      </c>
      <c r="AL841" s="263"/>
    </row>
    <row r="842" spans="1:39" s="264" customFormat="1" ht="15.75" x14ac:dyDescent="0.2">
      <c r="A842" s="259"/>
      <c r="B842" s="260"/>
      <c r="C842" s="212"/>
      <c r="D842" s="212">
        <v>363</v>
      </c>
      <c r="E842" s="212"/>
      <c r="F842" s="176"/>
      <c r="G842" s="405"/>
      <c r="H842" s="402" t="s">
        <v>536</v>
      </c>
      <c r="I842" s="213"/>
      <c r="J842" s="213"/>
      <c r="K842" s="213"/>
      <c r="L842" s="213"/>
      <c r="M842" s="213"/>
      <c r="N842" s="213"/>
      <c r="O842" s="213"/>
      <c r="P842" s="343"/>
      <c r="Q842" s="262"/>
      <c r="R842" s="262"/>
      <c r="S842" s="262"/>
      <c r="T842" s="342"/>
      <c r="U842" s="342"/>
      <c r="V842" s="213">
        <f>V843+V844</f>
        <v>0</v>
      </c>
      <c r="W842" s="213"/>
      <c r="X842" s="213"/>
      <c r="Y842" s="213">
        <f>Y843+Y844</f>
        <v>0</v>
      </c>
      <c r="Z842" s="213"/>
      <c r="AA842" s="213">
        <f t="shared" si="558"/>
        <v>255000</v>
      </c>
      <c r="AB842" s="213">
        <f>AB844+AB843</f>
        <v>255000</v>
      </c>
      <c r="AC842" s="213">
        <f>AC844+AC843</f>
        <v>0</v>
      </c>
      <c r="AD842" s="213">
        <f t="shared" si="537"/>
        <v>0</v>
      </c>
      <c r="AE842" s="213">
        <f t="shared" si="550"/>
        <v>-17000</v>
      </c>
      <c r="AF842" s="213">
        <f>AF844+AF843</f>
        <v>238000</v>
      </c>
      <c r="AG842" s="213">
        <f>AG844+AG843</f>
        <v>433227</v>
      </c>
      <c r="AH842" s="213">
        <f>AH844+AH843</f>
        <v>433227</v>
      </c>
      <c r="AI842" s="213">
        <f>AI844+AI843</f>
        <v>433227</v>
      </c>
      <c r="AJ842" s="162" t="b">
        <f t="shared" si="565"/>
        <v>1</v>
      </c>
      <c r="AK842" s="162" t="str">
        <f t="shared" si="566"/>
        <v>PRAZNO</v>
      </c>
      <c r="AL842" s="263"/>
    </row>
    <row r="843" spans="1:39" s="264" customFormat="1" ht="30" x14ac:dyDescent="0.2">
      <c r="A843" s="259"/>
      <c r="B843" s="260"/>
      <c r="C843" s="212"/>
      <c r="D843" s="212"/>
      <c r="E843" s="212">
        <v>3633</v>
      </c>
      <c r="F843" s="176">
        <v>51</v>
      </c>
      <c r="G843" s="405"/>
      <c r="H843" s="402" t="s">
        <v>256</v>
      </c>
      <c r="I843" s="213"/>
      <c r="J843" s="213"/>
      <c r="K843" s="213"/>
      <c r="L843" s="213"/>
      <c r="M843" s="213"/>
      <c r="N843" s="213"/>
      <c r="O843" s="213"/>
      <c r="P843" s="343"/>
      <c r="Q843" s="262"/>
      <c r="R843" s="262"/>
      <c r="S843" s="262"/>
      <c r="T843" s="342"/>
      <c r="U843" s="342"/>
      <c r="V843" s="213">
        <v>0</v>
      </c>
      <c r="W843" s="213"/>
      <c r="X843" s="213"/>
      <c r="Y843" s="213">
        <v>0</v>
      </c>
      <c r="Z843" s="213"/>
      <c r="AA843" s="213">
        <f t="shared" si="558"/>
        <v>235000</v>
      </c>
      <c r="AB843" s="213">
        <v>235000</v>
      </c>
      <c r="AC843" s="213">
        <v>0</v>
      </c>
      <c r="AD843" s="213">
        <f t="shared" si="537"/>
        <v>0</v>
      </c>
      <c r="AE843" s="213">
        <f t="shared" si="550"/>
        <v>-14000</v>
      </c>
      <c r="AF843" s="213">
        <v>221000</v>
      </c>
      <c r="AG843" s="213">
        <v>423027</v>
      </c>
      <c r="AH843" s="213">
        <v>423027</v>
      </c>
      <c r="AI843" s="213">
        <v>423027</v>
      </c>
      <c r="AJ843" s="162" t="b">
        <f t="shared" si="565"/>
        <v>0</v>
      </c>
      <c r="AK843" s="162" t="str">
        <f t="shared" si="566"/>
        <v>PUNO</v>
      </c>
      <c r="AL843" s="263"/>
    </row>
    <row r="844" spans="1:39" s="264" customFormat="1" ht="30" x14ac:dyDescent="0.2">
      <c r="A844" s="259"/>
      <c r="B844" s="260"/>
      <c r="C844" s="212"/>
      <c r="D844" s="212"/>
      <c r="E844" s="212">
        <v>3634</v>
      </c>
      <c r="F844" s="176">
        <v>51</v>
      </c>
      <c r="G844" s="405"/>
      <c r="H844" s="402" t="s">
        <v>257</v>
      </c>
      <c r="I844" s="213"/>
      <c r="J844" s="213"/>
      <c r="K844" s="213"/>
      <c r="L844" s="213"/>
      <c r="M844" s="213"/>
      <c r="N844" s="213"/>
      <c r="O844" s="213"/>
      <c r="P844" s="343"/>
      <c r="Q844" s="262"/>
      <c r="R844" s="262"/>
      <c r="S844" s="262"/>
      <c r="T844" s="342"/>
      <c r="U844" s="342"/>
      <c r="V844" s="213">
        <v>0</v>
      </c>
      <c r="W844" s="213"/>
      <c r="X844" s="213"/>
      <c r="Y844" s="213">
        <v>0</v>
      </c>
      <c r="Z844" s="213"/>
      <c r="AA844" s="213">
        <f t="shared" si="558"/>
        <v>20000</v>
      </c>
      <c r="AB844" s="213">
        <v>20000</v>
      </c>
      <c r="AC844" s="213">
        <v>0</v>
      </c>
      <c r="AD844" s="213">
        <f t="shared" si="537"/>
        <v>0</v>
      </c>
      <c r="AE844" s="213">
        <f t="shared" si="550"/>
        <v>-3000</v>
      </c>
      <c r="AF844" s="213">
        <v>17000</v>
      </c>
      <c r="AG844" s="343">
        <v>10200</v>
      </c>
      <c r="AH844" s="343">
        <v>10200</v>
      </c>
      <c r="AI844" s="343">
        <v>10200</v>
      </c>
      <c r="AJ844" s="162" t="b">
        <f t="shared" si="565"/>
        <v>0</v>
      </c>
      <c r="AK844" s="162" t="str">
        <f t="shared" si="566"/>
        <v>PUNO</v>
      </c>
      <c r="AL844" s="263"/>
    </row>
    <row r="845" spans="1:39" s="171" customFormat="1" ht="15.75" x14ac:dyDescent="0.2">
      <c r="A845" s="259"/>
      <c r="B845" s="168"/>
      <c r="C845" s="168"/>
      <c r="D845" s="168"/>
      <c r="E845" s="168"/>
      <c r="F845" s="168"/>
      <c r="G845" s="168"/>
      <c r="H845" s="13" t="s">
        <v>644</v>
      </c>
      <c r="I845" s="205" t="e">
        <f>#REF!</f>
        <v>#REF!</v>
      </c>
      <c r="J845" s="205" t="e">
        <f>#REF!</f>
        <v>#REF!</v>
      </c>
      <c r="K845" s="169" t="e">
        <f>ROUND(J845/I845*100,2)</f>
        <v>#REF!</v>
      </c>
      <c r="L845" s="205" t="e">
        <f>M845-I845</f>
        <v>#REF!</v>
      </c>
      <c r="M845" s="19" t="e">
        <f>#REF!</f>
        <v>#REF!</v>
      </c>
      <c r="N845" s="19" t="e">
        <f>#REF!</f>
        <v>#REF!</v>
      </c>
      <c r="O845" s="19" t="e">
        <f>#REF!</f>
        <v>#REF!</v>
      </c>
      <c r="P845" s="205" t="e">
        <f>T845-N845</f>
        <v>#REF!</v>
      </c>
      <c r="Q845" s="19" t="e">
        <f>#REF!</f>
        <v>#REF!</v>
      </c>
      <c r="R845" s="19" t="e">
        <f>#REF!</f>
        <v>#REF!</v>
      </c>
      <c r="S845" s="19" t="e">
        <f>#REF!</f>
        <v>#REF!</v>
      </c>
      <c r="T845" s="19">
        <f>T851</f>
        <v>0</v>
      </c>
      <c r="U845" s="19">
        <f>U851+U847</f>
        <v>54958.64</v>
      </c>
      <c r="V845" s="19">
        <f>V851</f>
        <v>22500</v>
      </c>
      <c r="W845" s="19" t="e">
        <f>#REF!+W851+#REF!</f>
        <v>#REF!</v>
      </c>
      <c r="X845" s="19" t="e">
        <f>#REF!+X851+#REF!</f>
        <v>#REF!</v>
      </c>
      <c r="Y845" s="19">
        <f t="shared" ref="Y845:AI845" si="567">Y851</f>
        <v>0</v>
      </c>
      <c r="Z845" s="19">
        <f t="shared" si="567"/>
        <v>0</v>
      </c>
      <c r="AA845" s="19">
        <f t="shared" si="567"/>
        <v>-15000</v>
      </c>
      <c r="AB845" s="19">
        <f t="shared" si="567"/>
        <v>7500</v>
      </c>
      <c r="AC845" s="19">
        <f t="shared" si="567"/>
        <v>0</v>
      </c>
      <c r="AD845" s="19">
        <f t="shared" si="537"/>
        <v>0</v>
      </c>
      <c r="AE845" s="19">
        <f t="shared" si="550"/>
        <v>37500</v>
      </c>
      <c r="AF845" s="19">
        <f t="shared" si="567"/>
        <v>45000</v>
      </c>
      <c r="AG845" s="19">
        <f t="shared" si="567"/>
        <v>12500</v>
      </c>
      <c r="AH845" s="19">
        <f t="shared" si="567"/>
        <v>10000</v>
      </c>
      <c r="AI845" s="19">
        <f t="shared" si="567"/>
        <v>10000</v>
      </c>
      <c r="AJ845" s="162" t="b">
        <f t="shared" si="565"/>
        <v>1</v>
      </c>
      <c r="AK845" s="162" t="str">
        <f t="shared" si="566"/>
        <v>PRAZNO</v>
      </c>
      <c r="AL845" s="170"/>
      <c r="AM845" s="164"/>
    </row>
    <row r="846" spans="1:39" s="264" customFormat="1" ht="15.75" x14ac:dyDescent="0.2">
      <c r="A846" s="259"/>
      <c r="B846" s="260"/>
      <c r="C846" s="260"/>
      <c r="D846" s="260"/>
      <c r="E846" s="260"/>
      <c r="F846" s="260"/>
      <c r="G846" s="260"/>
      <c r="H846" s="440" t="s">
        <v>824</v>
      </c>
      <c r="I846" s="307"/>
      <c r="J846" s="307"/>
      <c r="K846" s="181"/>
      <c r="L846" s="307"/>
      <c r="M846" s="262"/>
      <c r="N846" s="262"/>
      <c r="O846" s="262"/>
      <c r="P846" s="307"/>
      <c r="Q846" s="262"/>
      <c r="R846" s="262"/>
      <c r="S846" s="262"/>
      <c r="T846" s="342"/>
      <c r="U846" s="262">
        <f>U847</f>
        <v>54958.64</v>
      </c>
      <c r="V846" s="262">
        <f t="shared" ref="V846:AA846" si="568">V851</f>
        <v>22500</v>
      </c>
      <c r="W846" s="262">
        <f t="shared" si="568"/>
        <v>7500</v>
      </c>
      <c r="X846" s="262">
        <f t="shared" si="568"/>
        <v>7500</v>
      </c>
      <c r="Y846" s="262">
        <f t="shared" si="568"/>
        <v>0</v>
      </c>
      <c r="Z846" s="262">
        <f t="shared" si="568"/>
        <v>0</v>
      </c>
      <c r="AA846" s="262">
        <f t="shared" si="568"/>
        <v>-15000</v>
      </c>
      <c r="AB846" s="262">
        <f>AB851</f>
        <v>7500</v>
      </c>
      <c r="AC846" s="262">
        <f>AC851</f>
        <v>0</v>
      </c>
      <c r="AD846" s="262">
        <f t="shared" si="537"/>
        <v>0</v>
      </c>
      <c r="AE846" s="262">
        <f t="shared" si="550"/>
        <v>37500</v>
      </c>
      <c r="AF846" s="262">
        <f>AF851</f>
        <v>45000</v>
      </c>
      <c r="AG846" s="262">
        <f>AG851</f>
        <v>12500</v>
      </c>
      <c r="AH846" s="262">
        <f>AH851</f>
        <v>10000</v>
      </c>
      <c r="AI846" s="262">
        <f>AI851</f>
        <v>10000</v>
      </c>
      <c r="AJ846" s="162" t="b">
        <f t="shared" si="565"/>
        <v>1</v>
      </c>
      <c r="AK846" s="162" t="str">
        <f t="shared" si="566"/>
        <v>PRAZNO</v>
      </c>
      <c r="AL846" s="263"/>
    </row>
    <row r="847" spans="1:39" s="174" customFormat="1" ht="15.75" x14ac:dyDescent="0.2">
      <c r="A847" s="259"/>
      <c r="B847" s="247">
        <v>3</v>
      </c>
      <c r="C847" s="247"/>
      <c r="D847" s="247"/>
      <c r="E847" s="247"/>
      <c r="F847" s="220"/>
      <c r="G847" s="408"/>
      <c r="H847" s="421" t="s">
        <v>524</v>
      </c>
      <c r="I847" s="37"/>
      <c r="J847" s="37"/>
      <c r="K847" s="37"/>
      <c r="L847" s="37"/>
      <c r="M847" s="37"/>
      <c r="N847" s="37"/>
      <c r="O847" s="37"/>
      <c r="P847" s="54"/>
      <c r="Q847" s="409"/>
      <c r="R847" s="409"/>
      <c r="S847" s="409"/>
      <c r="T847" s="422"/>
      <c r="U847" s="37">
        <f>U848</f>
        <v>54958.64</v>
      </c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F847" s="37"/>
      <c r="AG847" s="37"/>
      <c r="AH847" s="37"/>
      <c r="AI847" s="37"/>
      <c r="AJ847" s="162" t="b">
        <f t="shared" si="565"/>
        <v>1</v>
      </c>
      <c r="AK847" s="162" t="str">
        <f t="shared" si="566"/>
        <v>PRAZNO</v>
      </c>
      <c r="AL847" s="173"/>
    </row>
    <row r="848" spans="1:39" s="638" customFormat="1" ht="15.75" x14ac:dyDescent="0.2">
      <c r="A848" s="633"/>
      <c r="B848" s="475"/>
      <c r="C848" s="314">
        <v>38</v>
      </c>
      <c r="D848" s="314"/>
      <c r="E848" s="314"/>
      <c r="F848" s="640"/>
      <c r="G848" s="634"/>
      <c r="H848" s="635" t="s">
        <v>539</v>
      </c>
      <c r="I848" s="317"/>
      <c r="J848" s="317"/>
      <c r="K848" s="317"/>
      <c r="L848" s="317"/>
      <c r="M848" s="317"/>
      <c r="N848" s="317"/>
      <c r="O848" s="317"/>
      <c r="P848" s="341"/>
      <c r="Q848" s="636"/>
      <c r="R848" s="636"/>
      <c r="S848" s="636"/>
      <c r="T848" s="641"/>
      <c r="U848" s="317">
        <f>U849</f>
        <v>54958.64</v>
      </c>
      <c r="V848" s="317"/>
      <c r="W848" s="317"/>
      <c r="X848" s="317"/>
      <c r="Y848" s="317"/>
      <c r="Z848" s="317"/>
      <c r="AA848" s="317"/>
      <c r="AB848" s="317"/>
      <c r="AC848" s="317"/>
      <c r="AD848" s="317"/>
      <c r="AE848" s="317"/>
      <c r="AF848" s="317"/>
      <c r="AG848" s="317"/>
      <c r="AH848" s="317"/>
      <c r="AI848" s="317"/>
      <c r="AJ848" s="162" t="b">
        <f t="shared" si="565"/>
        <v>1</v>
      </c>
      <c r="AK848" s="162" t="str">
        <f t="shared" si="566"/>
        <v>PRAZNO</v>
      </c>
      <c r="AL848" s="637"/>
    </row>
    <row r="849" spans="1:39" s="264" customFormat="1" ht="15.75" x14ac:dyDescent="0.2">
      <c r="A849" s="259"/>
      <c r="B849" s="260"/>
      <c r="C849" s="212"/>
      <c r="D849" s="212">
        <v>382</v>
      </c>
      <c r="E849" s="212"/>
      <c r="F849" s="176"/>
      <c r="G849" s="405"/>
      <c r="H849" s="402" t="s">
        <v>230</v>
      </c>
      <c r="I849" s="213"/>
      <c r="J849" s="213"/>
      <c r="K849" s="213"/>
      <c r="L849" s="213"/>
      <c r="M849" s="213"/>
      <c r="N849" s="213"/>
      <c r="O849" s="213"/>
      <c r="P849" s="343"/>
      <c r="Q849" s="262"/>
      <c r="R849" s="262"/>
      <c r="S849" s="262"/>
      <c r="T849" s="342"/>
      <c r="U849" s="213">
        <f>U850</f>
        <v>54958.64</v>
      </c>
      <c r="V849" s="213"/>
      <c r="W849" s="213"/>
      <c r="X849" s="213"/>
      <c r="Y849" s="213"/>
      <c r="Z849" s="213"/>
      <c r="AA849" s="213"/>
      <c r="AB849" s="213"/>
      <c r="AC849" s="213"/>
      <c r="AD849" s="213"/>
      <c r="AE849" s="213"/>
      <c r="AF849" s="213"/>
      <c r="AG849" s="213"/>
      <c r="AH849" s="213"/>
      <c r="AI849" s="213"/>
      <c r="AJ849" s="162" t="b">
        <f t="shared" si="565"/>
        <v>1</v>
      </c>
      <c r="AK849" s="162" t="str">
        <f t="shared" si="566"/>
        <v>PRAZNO</v>
      </c>
      <c r="AL849" s="263"/>
    </row>
    <row r="850" spans="1:39" s="264" customFormat="1" ht="15.75" x14ac:dyDescent="0.2">
      <c r="A850" s="259"/>
      <c r="B850" s="260"/>
      <c r="C850" s="212"/>
      <c r="D850" s="212"/>
      <c r="E850" s="212">
        <v>3821</v>
      </c>
      <c r="F850" s="176">
        <v>11</v>
      </c>
      <c r="G850" s="405"/>
      <c r="H850" s="402" t="s">
        <v>1020</v>
      </c>
      <c r="I850" s="213"/>
      <c r="J850" s="213"/>
      <c r="K850" s="213"/>
      <c r="L850" s="213"/>
      <c r="M850" s="213"/>
      <c r="N850" s="213"/>
      <c r="O850" s="213"/>
      <c r="P850" s="343"/>
      <c r="Q850" s="262"/>
      <c r="R850" s="262"/>
      <c r="S850" s="262"/>
      <c r="T850" s="342"/>
      <c r="U850" s="213">
        <v>54958.64</v>
      </c>
      <c r="V850" s="213"/>
      <c r="W850" s="213"/>
      <c r="X850" s="213"/>
      <c r="Y850" s="213"/>
      <c r="Z850" s="213"/>
      <c r="AA850" s="213"/>
      <c r="AB850" s="213"/>
      <c r="AC850" s="213"/>
      <c r="AD850" s="213"/>
      <c r="AE850" s="213"/>
      <c r="AF850" s="213"/>
      <c r="AG850" s="213"/>
      <c r="AH850" s="213"/>
      <c r="AI850" s="213"/>
      <c r="AJ850" s="162" t="b">
        <f t="shared" si="565"/>
        <v>0</v>
      </c>
      <c r="AK850" s="162" t="str">
        <f t="shared" si="566"/>
        <v>PUNO</v>
      </c>
      <c r="AL850" s="263"/>
    </row>
    <row r="851" spans="1:39" s="174" customFormat="1" ht="15.75" x14ac:dyDescent="0.2">
      <c r="A851" s="259"/>
      <c r="B851" s="247">
        <v>4</v>
      </c>
      <c r="C851" s="247"/>
      <c r="D851" s="247"/>
      <c r="E851" s="247"/>
      <c r="F851" s="220"/>
      <c r="G851" s="408"/>
      <c r="H851" s="421" t="s">
        <v>552</v>
      </c>
      <c r="I851" s="37"/>
      <c r="J851" s="37"/>
      <c r="K851" s="37"/>
      <c r="L851" s="37"/>
      <c r="M851" s="37"/>
      <c r="N851" s="37"/>
      <c r="O851" s="37"/>
      <c r="P851" s="54"/>
      <c r="Q851" s="409"/>
      <c r="R851" s="409"/>
      <c r="S851" s="409"/>
      <c r="T851" s="422"/>
      <c r="U851" s="422"/>
      <c r="V851" s="37">
        <f>V852+V855</f>
        <v>22500</v>
      </c>
      <c r="W851" s="37">
        <f>W852+W855</f>
        <v>7500</v>
      </c>
      <c r="X851" s="37">
        <f>X852+X855</f>
        <v>7500</v>
      </c>
      <c r="Y851" s="37">
        <f>Y852+Y855</f>
        <v>0</v>
      </c>
      <c r="Z851" s="37">
        <f t="shared" si="539"/>
        <v>0</v>
      </c>
      <c r="AA851" s="37">
        <f t="shared" si="558"/>
        <v>-15000</v>
      </c>
      <c r="AB851" s="37">
        <f>AB852+AB855</f>
        <v>7500</v>
      </c>
      <c r="AC851" s="37">
        <f>AC852+AC855</f>
        <v>0</v>
      </c>
      <c r="AD851" s="37">
        <f t="shared" si="537"/>
        <v>0</v>
      </c>
      <c r="AE851" s="37">
        <f t="shared" si="550"/>
        <v>37500</v>
      </c>
      <c r="AF851" s="37">
        <f>AF852+AF855</f>
        <v>45000</v>
      </c>
      <c r="AG851" s="37">
        <f>AG852+AG855</f>
        <v>12500</v>
      </c>
      <c r="AH851" s="37">
        <f>AH852+AH855</f>
        <v>10000</v>
      </c>
      <c r="AI851" s="37">
        <f>AI852+AI855</f>
        <v>10000</v>
      </c>
      <c r="AJ851" s="162" t="b">
        <f t="shared" si="565"/>
        <v>1</v>
      </c>
      <c r="AK851" s="162" t="str">
        <f t="shared" si="566"/>
        <v>PRAZNO</v>
      </c>
      <c r="AL851" s="173"/>
    </row>
    <row r="852" spans="1:39" s="638" customFormat="1" ht="30" x14ac:dyDescent="0.2">
      <c r="A852" s="633"/>
      <c r="B852" s="475"/>
      <c r="C852" s="314">
        <v>41</v>
      </c>
      <c r="D852" s="314"/>
      <c r="E852" s="314"/>
      <c r="F852" s="640"/>
      <c r="G852" s="634"/>
      <c r="H852" s="635" t="s">
        <v>753</v>
      </c>
      <c r="I852" s="317"/>
      <c r="J852" s="317"/>
      <c r="K852" s="317"/>
      <c r="L852" s="317"/>
      <c r="M852" s="317"/>
      <c r="N852" s="317"/>
      <c r="O852" s="317"/>
      <c r="P852" s="341"/>
      <c r="Q852" s="636"/>
      <c r="R852" s="636"/>
      <c r="S852" s="636"/>
      <c r="T852" s="641"/>
      <c r="U852" s="641"/>
      <c r="V852" s="317">
        <f t="shared" ref="V852:AI853" si="569">V853</f>
        <v>2500</v>
      </c>
      <c r="W852" s="317">
        <f t="shared" si="569"/>
        <v>2500</v>
      </c>
      <c r="X852" s="317">
        <f t="shared" si="569"/>
        <v>2500</v>
      </c>
      <c r="Y852" s="317">
        <f t="shared" si="569"/>
        <v>0</v>
      </c>
      <c r="Z852" s="317">
        <f t="shared" si="539"/>
        <v>0</v>
      </c>
      <c r="AA852" s="317">
        <f t="shared" si="558"/>
        <v>0</v>
      </c>
      <c r="AB852" s="317">
        <f t="shared" si="569"/>
        <v>2500</v>
      </c>
      <c r="AC852" s="317">
        <f t="shared" si="569"/>
        <v>0</v>
      </c>
      <c r="AD852" s="317">
        <f t="shared" si="537"/>
        <v>0</v>
      </c>
      <c r="AE852" s="317">
        <f t="shared" si="550"/>
        <v>18500</v>
      </c>
      <c r="AF852" s="317">
        <f t="shared" si="569"/>
        <v>21000</v>
      </c>
      <c r="AG852" s="317">
        <f t="shared" si="569"/>
        <v>2500</v>
      </c>
      <c r="AH852" s="317">
        <f t="shared" si="569"/>
        <v>0</v>
      </c>
      <c r="AI852" s="317">
        <f t="shared" si="569"/>
        <v>0</v>
      </c>
      <c r="AJ852" s="162" t="b">
        <f t="shared" si="565"/>
        <v>1</v>
      </c>
      <c r="AK852" s="162" t="str">
        <f t="shared" si="566"/>
        <v>PRAZNO</v>
      </c>
      <c r="AL852" s="637"/>
    </row>
    <row r="853" spans="1:39" s="264" customFormat="1" ht="15.75" x14ac:dyDescent="0.2">
      <c r="A853" s="259"/>
      <c r="B853" s="260"/>
      <c r="C853" s="212"/>
      <c r="D853" s="212">
        <v>412</v>
      </c>
      <c r="E853" s="212"/>
      <c r="F853" s="176"/>
      <c r="G853" s="405"/>
      <c r="H853" s="402" t="s">
        <v>553</v>
      </c>
      <c r="I853" s="213"/>
      <c r="J853" s="213"/>
      <c r="K853" s="213"/>
      <c r="L853" s="213"/>
      <c r="M853" s="213"/>
      <c r="N853" s="213"/>
      <c r="O853" s="213"/>
      <c r="P853" s="343"/>
      <c r="Q853" s="262"/>
      <c r="R853" s="262"/>
      <c r="S853" s="262"/>
      <c r="T853" s="342"/>
      <c r="U853" s="342"/>
      <c r="V853" s="213">
        <f t="shared" si="569"/>
        <v>2500</v>
      </c>
      <c r="W853" s="213">
        <f t="shared" si="569"/>
        <v>2500</v>
      </c>
      <c r="X853" s="213">
        <f t="shared" si="569"/>
        <v>2500</v>
      </c>
      <c r="Y853" s="213">
        <f t="shared" si="569"/>
        <v>0</v>
      </c>
      <c r="Z853" s="213">
        <f t="shared" si="539"/>
        <v>0</v>
      </c>
      <c r="AA853" s="213">
        <f t="shared" si="558"/>
        <v>0</v>
      </c>
      <c r="AB853" s="213">
        <f t="shared" si="569"/>
        <v>2500</v>
      </c>
      <c r="AC853" s="213">
        <f t="shared" si="569"/>
        <v>0</v>
      </c>
      <c r="AD853" s="213">
        <f t="shared" ref="AD853:AD920" si="570">AC853/AB853*100</f>
        <v>0</v>
      </c>
      <c r="AE853" s="213">
        <f t="shared" si="550"/>
        <v>18500</v>
      </c>
      <c r="AF853" s="213">
        <f t="shared" si="569"/>
        <v>21000</v>
      </c>
      <c r="AG853" s="213">
        <f t="shared" si="569"/>
        <v>2500</v>
      </c>
      <c r="AH853" s="213">
        <f t="shared" si="569"/>
        <v>0</v>
      </c>
      <c r="AI853" s="213">
        <f t="shared" si="569"/>
        <v>0</v>
      </c>
      <c r="AJ853" s="162" t="b">
        <f t="shared" si="565"/>
        <v>1</v>
      </c>
      <c r="AK853" s="162" t="str">
        <f t="shared" si="566"/>
        <v>PRAZNO</v>
      </c>
      <c r="AL853" s="263"/>
    </row>
    <row r="854" spans="1:39" s="264" customFormat="1" ht="15.75" x14ac:dyDescent="0.2">
      <c r="A854" s="259"/>
      <c r="B854" s="260"/>
      <c r="C854" s="212"/>
      <c r="D854" s="212"/>
      <c r="E854" s="212">
        <v>4123</v>
      </c>
      <c r="F854" s="176">
        <v>11</v>
      </c>
      <c r="G854" s="405"/>
      <c r="H854" s="402" t="s">
        <v>554</v>
      </c>
      <c r="I854" s="213"/>
      <c r="J854" s="213"/>
      <c r="K854" s="213"/>
      <c r="L854" s="213"/>
      <c r="M854" s="213"/>
      <c r="N854" s="213"/>
      <c r="O854" s="213"/>
      <c r="P854" s="343"/>
      <c r="Q854" s="262"/>
      <c r="R854" s="262"/>
      <c r="S854" s="262"/>
      <c r="T854" s="342"/>
      <c r="U854" s="342"/>
      <c r="V854" s="213">
        <v>2500</v>
      </c>
      <c r="W854" s="213">
        <v>2500</v>
      </c>
      <c r="X854" s="213">
        <f>2500</f>
        <v>2500</v>
      </c>
      <c r="Y854" s="213">
        <v>0</v>
      </c>
      <c r="Z854" s="213">
        <f t="shared" si="539"/>
        <v>0</v>
      </c>
      <c r="AA854" s="213">
        <f t="shared" si="558"/>
        <v>0</v>
      </c>
      <c r="AB854" s="213">
        <v>2500</v>
      </c>
      <c r="AC854" s="213">
        <v>0</v>
      </c>
      <c r="AD854" s="213">
        <f t="shared" si="570"/>
        <v>0</v>
      </c>
      <c r="AE854" s="213">
        <f t="shared" si="550"/>
        <v>18500</v>
      </c>
      <c r="AF854" s="213">
        <v>21000</v>
      </c>
      <c r="AG854" s="213">
        <v>2500</v>
      </c>
      <c r="AH854" s="213">
        <v>0</v>
      </c>
      <c r="AI854" s="213">
        <v>0</v>
      </c>
      <c r="AJ854" s="162" t="b">
        <f t="shared" si="565"/>
        <v>0</v>
      </c>
      <c r="AK854" s="162" t="str">
        <f t="shared" si="566"/>
        <v>PUNO</v>
      </c>
      <c r="AL854" s="263"/>
    </row>
    <row r="855" spans="1:39" s="638" customFormat="1" ht="15.75" x14ac:dyDescent="0.2">
      <c r="A855" s="633"/>
      <c r="B855" s="475"/>
      <c r="C855" s="314">
        <v>42</v>
      </c>
      <c r="D855" s="314"/>
      <c r="E855" s="314"/>
      <c r="F855" s="640"/>
      <c r="G855" s="634"/>
      <c r="H855" s="635" t="s">
        <v>212</v>
      </c>
      <c r="I855" s="317"/>
      <c r="J855" s="317"/>
      <c r="K855" s="317"/>
      <c r="L855" s="317"/>
      <c r="M855" s="317"/>
      <c r="N855" s="317"/>
      <c r="O855" s="317"/>
      <c r="P855" s="341"/>
      <c r="Q855" s="636"/>
      <c r="R855" s="636"/>
      <c r="S855" s="636"/>
      <c r="T855" s="641"/>
      <c r="U855" s="641"/>
      <c r="V855" s="317">
        <f t="shared" ref="V855:AI856" si="571">V856</f>
        <v>20000</v>
      </c>
      <c r="W855" s="317">
        <f t="shared" si="571"/>
        <v>5000</v>
      </c>
      <c r="X855" s="317">
        <f t="shared" si="571"/>
        <v>5000</v>
      </c>
      <c r="Y855" s="317">
        <f t="shared" si="571"/>
        <v>0</v>
      </c>
      <c r="Z855" s="317">
        <f t="shared" si="539"/>
        <v>0</v>
      </c>
      <c r="AA855" s="317">
        <f t="shared" si="558"/>
        <v>-15000</v>
      </c>
      <c r="AB855" s="317">
        <f t="shared" si="571"/>
        <v>5000</v>
      </c>
      <c r="AC855" s="317">
        <f t="shared" si="571"/>
        <v>0</v>
      </c>
      <c r="AD855" s="317">
        <f t="shared" si="570"/>
        <v>0</v>
      </c>
      <c r="AE855" s="317">
        <f t="shared" si="550"/>
        <v>19000</v>
      </c>
      <c r="AF855" s="317">
        <f t="shared" si="571"/>
        <v>24000</v>
      </c>
      <c r="AG855" s="317">
        <f t="shared" si="571"/>
        <v>10000</v>
      </c>
      <c r="AH855" s="317">
        <f t="shared" si="571"/>
        <v>10000</v>
      </c>
      <c r="AI855" s="317">
        <f t="shared" si="571"/>
        <v>10000</v>
      </c>
      <c r="AJ855" s="162" t="b">
        <f t="shared" si="565"/>
        <v>1</v>
      </c>
      <c r="AK855" s="162" t="str">
        <f t="shared" si="566"/>
        <v>PRAZNO</v>
      </c>
      <c r="AL855" s="637"/>
    </row>
    <row r="856" spans="1:39" s="264" customFormat="1" ht="15.75" x14ac:dyDescent="0.2">
      <c r="A856" s="259"/>
      <c r="B856" s="260"/>
      <c r="C856" s="212"/>
      <c r="D856" s="212">
        <v>422</v>
      </c>
      <c r="E856" s="212"/>
      <c r="F856" s="176"/>
      <c r="G856" s="405"/>
      <c r="H856" s="402" t="s">
        <v>555</v>
      </c>
      <c r="I856" s="213"/>
      <c r="J856" s="213"/>
      <c r="K856" s="213"/>
      <c r="L856" s="213"/>
      <c r="M856" s="213"/>
      <c r="N856" s="213"/>
      <c r="O856" s="213"/>
      <c r="P856" s="343"/>
      <c r="Q856" s="262"/>
      <c r="R856" s="262"/>
      <c r="S856" s="262"/>
      <c r="T856" s="342"/>
      <c r="U856" s="342"/>
      <c r="V856" s="213">
        <f>V857+V858</f>
        <v>20000</v>
      </c>
      <c r="W856" s="213">
        <f t="shared" si="571"/>
        <v>5000</v>
      </c>
      <c r="X856" s="213">
        <f t="shared" si="571"/>
        <v>5000</v>
      </c>
      <c r="Y856" s="213">
        <f t="shared" si="571"/>
        <v>0</v>
      </c>
      <c r="Z856" s="213">
        <f t="shared" si="539"/>
        <v>0</v>
      </c>
      <c r="AA856" s="213">
        <f t="shared" si="558"/>
        <v>-15000</v>
      </c>
      <c r="AB856" s="213">
        <f t="shared" si="571"/>
        <v>5000</v>
      </c>
      <c r="AC856" s="213">
        <f t="shared" si="571"/>
        <v>0</v>
      </c>
      <c r="AD856" s="213">
        <f t="shared" si="570"/>
        <v>0</v>
      </c>
      <c r="AE856" s="213">
        <f t="shared" si="550"/>
        <v>19000</v>
      </c>
      <c r="AF856" s="213">
        <f t="shared" si="571"/>
        <v>24000</v>
      </c>
      <c r="AG856" s="213">
        <f t="shared" si="571"/>
        <v>10000</v>
      </c>
      <c r="AH856" s="213">
        <f t="shared" si="571"/>
        <v>10000</v>
      </c>
      <c r="AI856" s="213">
        <f t="shared" si="571"/>
        <v>10000</v>
      </c>
      <c r="AJ856" s="162" t="b">
        <f t="shared" si="565"/>
        <v>1</v>
      </c>
      <c r="AK856" s="162" t="str">
        <f t="shared" si="566"/>
        <v>PRAZNO</v>
      </c>
      <c r="AL856" s="263"/>
    </row>
    <row r="857" spans="1:39" s="264" customFormat="1" ht="15.75" x14ac:dyDescent="0.2">
      <c r="A857" s="259"/>
      <c r="B857" s="260"/>
      <c r="C857" s="212"/>
      <c r="D857" s="212"/>
      <c r="E857" s="212">
        <v>4221</v>
      </c>
      <c r="F857" s="176">
        <v>11</v>
      </c>
      <c r="G857" s="405"/>
      <c r="H857" s="402" t="s">
        <v>558</v>
      </c>
      <c r="I857" s="213"/>
      <c r="J857" s="213"/>
      <c r="K857" s="213"/>
      <c r="L857" s="213"/>
      <c r="M857" s="213"/>
      <c r="N857" s="213"/>
      <c r="O857" s="213"/>
      <c r="P857" s="343"/>
      <c r="Q857" s="262"/>
      <c r="R857" s="262"/>
      <c r="S857" s="262"/>
      <c r="T857" s="342"/>
      <c r="U857" s="342"/>
      <c r="V857" s="213">
        <v>5000</v>
      </c>
      <c r="W857" s="213">
        <v>5000</v>
      </c>
      <c r="X857" s="213">
        <v>5000</v>
      </c>
      <c r="Y857" s="213">
        <v>0</v>
      </c>
      <c r="Z857" s="213">
        <f t="shared" si="539"/>
        <v>0</v>
      </c>
      <c r="AA857" s="213">
        <f t="shared" si="558"/>
        <v>0</v>
      </c>
      <c r="AB857" s="213">
        <v>5000</v>
      </c>
      <c r="AC857" s="213">
        <v>0</v>
      </c>
      <c r="AD857" s="213">
        <f t="shared" si="570"/>
        <v>0</v>
      </c>
      <c r="AE857" s="213">
        <f t="shared" si="550"/>
        <v>19000</v>
      </c>
      <c r="AF857" s="213">
        <v>24000</v>
      </c>
      <c r="AG857" s="213">
        <v>10000</v>
      </c>
      <c r="AH857" s="213">
        <v>10000</v>
      </c>
      <c r="AI857" s="213">
        <v>10000</v>
      </c>
      <c r="AJ857" s="162" t="b">
        <f t="shared" si="565"/>
        <v>0</v>
      </c>
      <c r="AK857" s="162" t="str">
        <f t="shared" si="566"/>
        <v>PUNO</v>
      </c>
      <c r="AL857" s="263"/>
    </row>
    <row r="858" spans="1:39" s="264" customFormat="1" ht="15.75" x14ac:dyDescent="0.2">
      <c r="A858" s="259"/>
      <c r="B858" s="260"/>
      <c r="C858" s="212"/>
      <c r="D858" s="212"/>
      <c r="E858" s="212">
        <v>4221</v>
      </c>
      <c r="F858" s="176">
        <v>51</v>
      </c>
      <c r="G858" s="405"/>
      <c r="H858" s="402" t="s">
        <v>558</v>
      </c>
      <c r="I858" s="213"/>
      <c r="J858" s="213"/>
      <c r="K858" s="213"/>
      <c r="L858" s="213"/>
      <c r="M858" s="213"/>
      <c r="N858" s="213"/>
      <c r="O858" s="213"/>
      <c r="P858" s="343"/>
      <c r="Q858" s="262"/>
      <c r="R858" s="262"/>
      <c r="S858" s="262"/>
      <c r="T858" s="342"/>
      <c r="U858" s="342"/>
      <c r="V858" s="213">
        <v>15000</v>
      </c>
      <c r="W858" s="213"/>
      <c r="X858" s="213"/>
      <c r="Y858" s="213"/>
      <c r="Z858" s="213"/>
      <c r="AA858" s="213"/>
      <c r="AB858" s="213"/>
      <c r="AC858" s="213"/>
      <c r="AD858" s="213"/>
      <c r="AE858" s="213"/>
      <c r="AF858" s="213"/>
      <c r="AG858" s="213"/>
      <c r="AH858" s="213"/>
      <c r="AI858" s="213"/>
      <c r="AJ858" s="162" t="b">
        <f t="shared" si="565"/>
        <v>0</v>
      </c>
      <c r="AK858" s="162" t="str">
        <f t="shared" si="566"/>
        <v>PUNO</v>
      </c>
      <c r="AL858" s="263"/>
    </row>
    <row r="859" spans="1:39" s="287" customFormat="1" ht="31.5" x14ac:dyDescent="0.25">
      <c r="A859" s="378"/>
      <c r="B859" s="194"/>
      <c r="C859" s="194"/>
      <c r="D859" s="194"/>
      <c r="E859" s="194"/>
      <c r="F859" s="159"/>
      <c r="G859" s="159"/>
      <c r="H859" s="24" t="s">
        <v>918</v>
      </c>
      <c r="I859" s="195" t="e">
        <f>I860+I892+I1108</f>
        <v>#REF!</v>
      </c>
      <c r="J859" s="195" t="e">
        <f>J860+J892+J1108</f>
        <v>#REF!</v>
      </c>
      <c r="K859" s="195" t="e">
        <f t="shared" ref="K859:K922" si="572">ROUND(J859/I859*100,2)</f>
        <v>#REF!</v>
      </c>
      <c r="L859" s="195" t="e">
        <f t="shared" ref="L859:L923" si="573">M859-I859</f>
        <v>#REF!</v>
      </c>
      <c r="M859" s="195" t="e">
        <f>M860+M892+M1108</f>
        <v>#REF!</v>
      </c>
      <c r="N859" s="195" t="e">
        <f>N860+N892+N1108</f>
        <v>#REF!</v>
      </c>
      <c r="O859" s="195" t="e">
        <f>O860+O892+O1108</f>
        <v>#REF!</v>
      </c>
      <c r="P859" s="351" t="e">
        <f t="shared" ref="P859:P923" si="574">T859-N859</f>
        <v>#REF!</v>
      </c>
      <c r="Q859" s="195" t="e">
        <f t="shared" ref="Q859:Y859" si="575">Q860+Q892+Q1108</f>
        <v>#REF!</v>
      </c>
      <c r="R859" s="195" t="e">
        <f t="shared" si="575"/>
        <v>#REF!</v>
      </c>
      <c r="S859" s="195" t="e">
        <f t="shared" si="575"/>
        <v>#REF!</v>
      </c>
      <c r="T859" s="195">
        <f t="shared" si="575"/>
        <v>11814300</v>
      </c>
      <c r="U859" s="195">
        <f t="shared" si="575"/>
        <v>10424790.84</v>
      </c>
      <c r="V859" s="195">
        <f t="shared" si="575"/>
        <v>6778300</v>
      </c>
      <c r="W859" s="195" t="e">
        <f t="shared" si="575"/>
        <v>#REF!</v>
      </c>
      <c r="X859" s="195" t="e">
        <f t="shared" si="575"/>
        <v>#REF!</v>
      </c>
      <c r="Y859" s="195">
        <f t="shared" si="575"/>
        <v>1376607.57</v>
      </c>
      <c r="Z859" s="195">
        <f t="shared" ref="Z859:Z922" si="576">ROUND(Y859/V859*100,2)</f>
        <v>20.309999999999999</v>
      </c>
      <c r="AA859" s="195">
        <f t="shared" si="558"/>
        <v>-153025</v>
      </c>
      <c r="AB859" s="195">
        <f>AB860+AB892+AB1108</f>
        <v>6625275</v>
      </c>
      <c r="AC859" s="195">
        <f>AC860+AC892+AC1108</f>
        <v>2319005.69</v>
      </c>
      <c r="AD859" s="195">
        <f t="shared" si="570"/>
        <v>35.002406541615258</v>
      </c>
      <c r="AE859" s="195">
        <f t="shared" si="550"/>
        <v>-296000</v>
      </c>
      <c r="AF859" s="195">
        <f>AF860+AF892+AF1108</f>
        <v>6329275</v>
      </c>
      <c r="AG859" s="195">
        <f>AG860+AG892+AG1108</f>
        <v>6105100</v>
      </c>
      <c r="AH859" s="195">
        <f>AH860+AH892+AH1108</f>
        <v>6073800</v>
      </c>
      <c r="AI859" s="195">
        <f>AI860+AI892+AI1108</f>
        <v>6100500</v>
      </c>
      <c r="AJ859" s="162" t="b">
        <f t="shared" si="565"/>
        <v>1</v>
      </c>
      <c r="AK859" s="162" t="str">
        <f t="shared" si="566"/>
        <v>PRAZNO</v>
      </c>
      <c r="AL859" s="288"/>
    </row>
    <row r="860" spans="1:39" s="287" customFormat="1" ht="31.5" x14ac:dyDescent="0.25">
      <c r="A860" s="378"/>
      <c r="B860" s="194"/>
      <c r="C860" s="194"/>
      <c r="D860" s="194"/>
      <c r="E860" s="194"/>
      <c r="F860" s="159"/>
      <c r="G860" s="159"/>
      <c r="H860" s="11" t="s">
        <v>810</v>
      </c>
      <c r="I860" s="195">
        <f>I862</f>
        <v>1016000</v>
      </c>
      <c r="J860" s="195">
        <f>J862</f>
        <v>795773.54999999993</v>
      </c>
      <c r="K860" s="195">
        <f t="shared" si="572"/>
        <v>78.319999999999993</v>
      </c>
      <c r="L860" s="195">
        <f t="shared" si="573"/>
        <v>43939.610000000102</v>
      </c>
      <c r="M860" s="195">
        <f>M862</f>
        <v>1059939.6100000001</v>
      </c>
      <c r="N860" s="195">
        <f>N862</f>
        <v>1129300</v>
      </c>
      <c r="O860" s="195">
        <f>O862</f>
        <v>670008.59</v>
      </c>
      <c r="P860" s="351">
        <f t="shared" si="574"/>
        <v>-18000</v>
      </c>
      <c r="Q860" s="195">
        <f t="shared" ref="Q860:X860" si="577">Q862</f>
        <v>1129300</v>
      </c>
      <c r="R860" s="195">
        <f t="shared" si="577"/>
        <v>1144000</v>
      </c>
      <c r="S860" s="195">
        <f t="shared" si="577"/>
        <v>1161400</v>
      </c>
      <c r="T860" s="197">
        <f t="shared" si="577"/>
        <v>1111300</v>
      </c>
      <c r="U860" s="197">
        <f>U862</f>
        <v>990636.92999999993</v>
      </c>
      <c r="V860" s="195">
        <f t="shared" si="577"/>
        <v>1118300</v>
      </c>
      <c r="W860" s="195">
        <f t="shared" si="577"/>
        <v>1180300</v>
      </c>
      <c r="X860" s="195">
        <f t="shared" si="577"/>
        <v>1122400</v>
      </c>
      <c r="Y860" s="195">
        <f>Y862</f>
        <v>366839.06999999995</v>
      </c>
      <c r="Z860" s="195">
        <f t="shared" si="576"/>
        <v>32.799999999999997</v>
      </c>
      <c r="AA860" s="195">
        <f t="shared" si="558"/>
        <v>-170000</v>
      </c>
      <c r="AB860" s="195">
        <f>AB862</f>
        <v>948300</v>
      </c>
      <c r="AC860" s="195">
        <f>AC862</f>
        <v>655624.43999999994</v>
      </c>
      <c r="AD860" s="195">
        <f t="shared" si="570"/>
        <v>69.136817462828219</v>
      </c>
      <c r="AE860" s="195">
        <f t="shared" si="550"/>
        <v>-4000</v>
      </c>
      <c r="AF860" s="195">
        <f>AF862</f>
        <v>944300</v>
      </c>
      <c r="AG860" s="195">
        <f>AG862</f>
        <v>910100</v>
      </c>
      <c r="AH860" s="195">
        <f>AH862</f>
        <v>831800</v>
      </c>
      <c r="AI860" s="195">
        <f>AI862</f>
        <v>841500</v>
      </c>
      <c r="AJ860" s="162" t="b">
        <f t="shared" si="565"/>
        <v>1</v>
      </c>
      <c r="AK860" s="162" t="str">
        <f t="shared" si="566"/>
        <v>PRAZNO</v>
      </c>
      <c r="AL860" s="288"/>
    </row>
    <row r="861" spans="1:39" s="287" customFormat="1" ht="15.75" x14ac:dyDescent="0.25">
      <c r="A861" s="378"/>
      <c r="B861" s="194"/>
      <c r="C861" s="194"/>
      <c r="D861" s="194"/>
      <c r="E861" s="194"/>
      <c r="F861" s="159"/>
      <c r="G861" s="159"/>
      <c r="H861" s="11" t="s">
        <v>421</v>
      </c>
      <c r="I861" s="195"/>
      <c r="J861" s="195"/>
      <c r="K861" s="195" t="e">
        <f t="shared" si="572"/>
        <v>#DIV/0!</v>
      </c>
      <c r="L861" s="195"/>
      <c r="M861" s="195"/>
      <c r="N861" s="195"/>
      <c r="O861" s="195"/>
      <c r="P861" s="353"/>
      <c r="Q861" s="195"/>
      <c r="R861" s="195"/>
      <c r="S861" s="195"/>
      <c r="T861" s="197"/>
      <c r="U861" s="197"/>
      <c r="V861" s="195"/>
      <c r="W861" s="195"/>
      <c r="X861" s="195"/>
      <c r="Y861" s="195"/>
      <c r="Z861" s="195"/>
      <c r="AA861" s="195"/>
      <c r="AB861" s="195"/>
      <c r="AC861" s="195"/>
      <c r="AD861" s="195"/>
      <c r="AE861" s="195">
        <f t="shared" si="550"/>
        <v>0</v>
      </c>
      <c r="AF861" s="195"/>
      <c r="AG861" s="195"/>
      <c r="AH861" s="195"/>
      <c r="AI861" s="195"/>
      <c r="AJ861" s="162" t="b">
        <f t="shared" si="565"/>
        <v>1</v>
      </c>
      <c r="AK861" s="162" t="str">
        <f t="shared" si="566"/>
        <v>PRAZNO</v>
      </c>
      <c r="AL861" s="288"/>
    </row>
    <row r="862" spans="1:39" s="207" customFormat="1" ht="15.75" x14ac:dyDescent="0.25">
      <c r="A862" s="378"/>
      <c r="B862" s="270"/>
      <c r="C862" s="270"/>
      <c r="D862" s="270"/>
      <c r="E862" s="270"/>
      <c r="F862" s="270"/>
      <c r="G862" s="270"/>
      <c r="H862" s="274" t="s">
        <v>714</v>
      </c>
      <c r="I862" s="272">
        <f>I863+I885</f>
        <v>1016000</v>
      </c>
      <c r="J862" s="272">
        <f>J863+J885</f>
        <v>795773.54999999993</v>
      </c>
      <c r="K862" s="272">
        <f t="shared" si="572"/>
        <v>78.319999999999993</v>
      </c>
      <c r="L862" s="272">
        <f t="shared" si="573"/>
        <v>43939.610000000102</v>
      </c>
      <c r="M862" s="272">
        <f>M863+M885</f>
        <v>1059939.6100000001</v>
      </c>
      <c r="N862" s="272">
        <f>N863+N885</f>
        <v>1129300</v>
      </c>
      <c r="O862" s="272">
        <f>O863+O885</f>
        <v>670008.59</v>
      </c>
      <c r="P862" s="336">
        <f t="shared" si="574"/>
        <v>-18000</v>
      </c>
      <c r="Q862" s="272">
        <f t="shared" ref="Q862:X862" si="578">Q863+Q885</f>
        <v>1129300</v>
      </c>
      <c r="R862" s="272">
        <f t="shared" si="578"/>
        <v>1144000</v>
      </c>
      <c r="S862" s="272">
        <f t="shared" si="578"/>
        <v>1161400</v>
      </c>
      <c r="T862" s="275">
        <f t="shared" si="578"/>
        <v>1111300</v>
      </c>
      <c r="U862" s="275">
        <f>U863+U885</f>
        <v>990636.92999999993</v>
      </c>
      <c r="V862" s="272">
        <f t="shared" si="578"/>
        <v>1118300</v>
      </c>
      <c r="W862" s="272">
        <f t="shared" si="578"/>
        <v>1180300</v>
      </c>
      <c r="X862" s="272">
        <f t="shared" si="578"/>
        <v>1122400</v>
      </c>
      <c r="Y862" s="272">
        <f>Y863+Y885</f>
        <v>366839.06999999995</v>
      </c>
      <c r="Z862" s="272">
        <f t="shared" si="576"/>
        <v>32.799999999999997</v>
      </c>
      <c r="AA862" s="272">
        <f t="shared" si="558"/>
        <v>-170000</v>
      </c>
      <c r="AB862" s="272">
        <f>AB863+AB885</f>
        <v>948300</v>
      </c>
      <c r="AC862" s="272">
        <f>AC863+AC885</f>
        <v>655624.43999999994</v>
      </c>
      <c r="AD862" s="272">
        <f t="shared" si="570"/>
        <v>69.136817462828219</v>
      </c>
      <c r="AE862" s="272">
        <f t="shared" si="550"/>
        <v>-4000</v>
      </c>
      <c r="AF862" s="272">
        <f>AF863+AF885</f>
        <v>944300</v>
      </c>
      <c r="AG862" s="272">
        <f>AG863+AG885</f>
        <v>910100</v>
      </c>
      <c r="AH862" s="272">
        <f>AH863+AH885</f>
        <v>831800</v>
      </c>
      <c r="AI862" s="272">
        <f>AI863+AI885</f>
        <v>841500</v>
      </c>
      <c r="AJ862" s="162" t="b">
        <f t="shared" si="565"/>
        <v>1</v>
      </c>
      <c r="AK862" s="162" t="str">
        <f t="shared" si="566"/>
        <v>PRAZNO</v>
      </c>
      <c r="AL862" s="206"/>
      <c r="AM862" s="287"/>
    </row>
    <row r="863" spans="1:39" s="207" customFormat="1" ht="15.75" x14ac:dyDescent="0.25">
      <c r="A863" s="378"/>
      <c r="B863" s="168"/>
      <c r="C863" s="168"/>
      <c r="D863" s="168"/>
      <c r="E863" s="168"/>
      <c r="F863" s="168"/>
      <c r="G863" s="168"/>
      <c r="H863" s="13" t="s">
        <v>586</v>
      </c>
      <c r="I863" s="169">
        <f>I865</f>
        <v>1009000</v>
      </c>
      <c r="J863" s="169">
        <f>J865</f>
        <v>790199.84</v>
      </c>
      <c r="K863" s="169">
        <f t="shared" si="572"/>
        <v>78.319999999999993</v>
      </c>
      <c r="L863" s="169">
        <f t="shared" si="573"/>
        <v>45365.90000000014</v>
      </c>
      <c r="M863" s="19">
        <f>M865</f>
        <v>1054365.9000000001</v>
      </c>
      <c r="N863" s="19">
        <f>N865</f>
        <v>1124300</v>
      </c>
      <c r="O863" s="19">
        <f>O865</f>
        <v>666089.48</v>
      </c>
      <c r="P863" s="303">
        <f t="shared" si="574"/>
        <v>-18000</v>
      </c>
      <c r="Q863" s="19">
        <f t="shared" ref="Q863:X863" si="579">Q865</f>
        <v>1124300</v>
      </c>
      <c r="R863" s="19">
        <f t="shared" si="579"/>
        <v>1139000</v>
      </c>
      <c r="S863" s="19">
        <f t="shared" si="579"/>
        <v>1157400</v>
      </c>
      <c r="T863" s="53">
        <f t="shared" si="579"/>
        <v>1106300</v>
      </c>
      <c r="U863" s="53">
        <f>U865</f>
        <v>986717.82</v>
      </c>
      <c r="V863" s="19">
        <f t="shared" si="579"/>
        <v>1111300</v>
      </c>
      <c r="W863" s="19">
        <f t="shared" si="579"/>
        <v>1173300</v>
      </c>
      <c r="X863" s="19">
        <f t="shared" si="579"/>
        <v>1115400</v>
      </c>
      <c r="Y863" s="19">
        <f>Y865</f>
        <v>366839.06999999995</v>
      </c>
      <c r="Z863" s="19">
        <f t="shared" si="576"/>
        <v>33.01</v>
      </c>
      <c r="AA863" s="19">
        <f t="shared" si="558"/>
        <v>-170000</v>
      </c>
      <c r="AB863" s="19">
        <f>AB865</f>
        <v>941300</v>
      </c>
      <c r="AC863" s="19">
        <f>AC865</f>
        <v>652166.73</v>
      </c>
      <c r="AD863" s="19">
        <f t="shared" si="570"/>
        <v>69.283621587166678</v>
      </c>
      <c r="AE863" s="19">
        <f t="shared" si="550"/>
        <v>-4000</v>
      </c>
      <c r="AF863" s="19">
        <f>AF865</f>
        <v>937300</v>
      </c>
      <c r="AG863" s="19">
        <f>AG865</f>
        <v>906100</v>
      </c>
      <c r="AH863" s="19">
        <f>AH865</f>
        <v>827800</v>
      </c>
      <c r="AI863" s="19">
        <f>AI865</f>
        <v>837500</v>
      </c>
      <c r="AJ863" s="162" t="b">
        <f t="shared" si="565"/>
        <v>1</v>
      </c>
      <c r="AK863" s="162" t="str">
        <f t="shared" si="566"/>
        <v>PRAZNO</v>
      </c>
      <c r="AL863" s="206"/>
      <c r="AM863" s="164"/>
    </row>
    <row r="864" spans="1:39" s="447" customFormat="1" ht="15.75" x14ac:dyDescent="0.25">
      <c r="A864" s="378"/>
      <c r="B864" s="260"/>
      <c r="C864" s="260"/>
      <c r="D864" s="260"/>
      <c r="E864" s="260"/>
      <c r="F864" s="260"/>
      <c r="G864" s="260"/>
      <c r="H864" s="440" t="s">
        <v>824</v>
      </c>
      <c r="I864" s="181"/>
      <c r="J864" s="181"/>
      <c r="K864" s="181"/>
      <c r="L864" s="181"/>
      <c r="M864" s="262"/>
      <c r="N864" s="262"/>
      <c r="O864" s="262"/>
      <c r="P864" s="445"/>
      <c r="Q864" s="262"/>
      <c r="R864" s="262"/>
      <c r="S864" s="262"/>
      <c r="T864" s="342"/>
      <c r="U864" s="342"/>
      <c r="V864" s="262">
        <f>V865</f>
        <v>1111300</v>
      </c>
      <c r="W864" s="262">
        <f>W865</f>
        <v>1173300</v>
      </c>
      <c r="X864" s="262">
        <f>X865</f>
        <v>1115400</v>
      </c>
      <c r="Y864" s="262">
        <f>Y865</f>
        <v>366839.06999999995</v>
      </c>
      <c r="Z864" s="262">
        <f t="shared" si="576"/>
        <v>33.01</v>
      </c>
      <c r="AA864" s="262">
        <f t="shared" si="558"/>
        <v>-170000</v>
      </c>
      <c r="AB864" s="262">
        <f>AB865</f>
        <v>941300</v>
      </c>
      <c r="AC864" s="262">
        <f>AC865</f>
        <v>652166.73</v>
      </c>
      <c r="AD864" s="262">
        <f t="shared" si="570"/>
        <v>69.283621587166678</v>
      </c>
      <c r="AE864" s="262">
        <f t="shared" si="550"/>
        <v>-4000</v>
      </c>
      <c r="AF864" s="262">
        <f>AF865</f>
        <v>937300</v>
      </c>
      <c r="AG864" s="262">
        <f>AG865</f>
        <v>906100</v>
      </c>
      <c r="AH864" s="262">
        <f>AH865</f>
        <v>827800</v>
      </c>
      <c r="AI864" s="262">
        <f>AI865</f>
        <v>837500</v>
      </c>
      <c r="AJ864" s="162" t="b">
        <f t="shared" si="565"/>
        <v>1</v>
      </c>
      <c r="AK864" s="162" t="str">
        <f t="shared" si="566"/>
        <v>PRAZNO</v>
      </c>
      <c r="AL864" s="446"/>
      <c r="AM864" s="264"/>
    </row>
    <row r="865" spans="1:57" s="174" customFormat="1" ht="15.75" x14ac:dyDescent="0.2">
      <c r="A865" s="259"/>
      <c r="B865" s="172">
        <v>3</v>
      </c>
      <c r="C865" s="172"/>
      <c r="D865" s="172"/>
      <c r="E865" s="172"/>
      <c r="F865" s="172"/>
      <c r="G865" s="172"/>
      <c r="H865" s="14" t="s">
        <v>524</v>
      </c>
      <c r="I865" s="20">
        <f>I866+I874</f>
        <v>1009000</v>
      </c>
      <c r="J865" s="20">
        <f>J866+J874</f>
        <v>790199.84</v>
      </c>
      <c r="K865" s="20">
        <f t="shared" si="572"/>
        <v>78.319999999999993</v>
      </c>
      <c r="L865" s="20">
        <f t="shared" si="573"/>
        <v>45365.90000000014</v>
      </c>
      <c r="M865" s="20">
        <f>M866+M874</f>
        <v>1054365.9000000001</v>
      </c>
      <c r="N865" s="20">
        <f>N866+N874</f>
        <v>1124300</v>
      </c>
      <c r="O865" s="20">
        <f>O866+O874</f>
        <v>666089.48</v>
      </c>
      <c r="P865" s="55">
        <f t="shared" si="574"/>
        <v>-18000</v>
      </c>
      <c r="Q865" s="20">
        <f t="shared" ref="Q865:X865" si="580">Q866+Q874</f>
        <v>1124300</v>
      </c>
      <c r="R865" s="20">
        <f t="shared" si="580"/>
        <v>1139000</v>
      </c>
      <c r="S865" s="20">
        <f t="shared" si="580"/>
        <v>1157400</v>
      </c>
      <c r="T865" s="55">
        <f t="shared" si="580"/>
        <v>1106300</v>
      </c>
      <c r="U865" s="55">
        <f>U866+U874</f>
        <v>986717.82</v>
      </c>
      <c r="V865" s="20">
        <f t="shared" si="580"/>
        <v>1111300</v>
      </c>
      <c r="W865" s="20">
        <f t="shared" si="580"/>
        <v>1173300</v>
      </c>
      <c r="X865" s="20">
        <f t="shared" si="580"/>
        <v>1115400</v>
      </c>
      <c r="Y865" s="20">
        <f>Y866+Y874</f>
        <v>366839.06999999995</v>
      </c>
      <c r="Z865" s="20">
        <f t="shared" si="576"/>
        <v>33.01</v>
      </c>
      <c r="AA865" s="20">
        <f t="shared" si="558"/>
        <v>-170000</v>
      </c>
      <c r="AB865" s="20">
        <f>AB866+AB874</f>
        <v>941300</v>
      </c>
      <c r="AC865" s="20">
        <f>AC866+AC874</f>
        <v>652166.73</v>
      </c>
      <c r="AD865" s="20">
        <f t="shared" si="570"/>
        <v>69.283621587166678</v>
      </c>
      <c r="AE865" s="20">
        <f t="shared" si="550"/>
        <v>-4000</v>
      </c>
      <c r="AF865" s="20">
        <f>AF866+AF874</f>
        <v>937300</v>
      </c>
      <c r="AG865" s="20">
        <f>AG866+AG874</f>
        <v>906100</v>
      </c>
      <c r="AH865" s="20">
        <f>AH866+AH874</f>
        <v>827800</v>
      </c>
      <c r="AI865" s="20">
        <f>AI866+AI874</f>
        <v>837500</v>
      </c>
      <c r="AJ865" s="162" t="b">
        <f t="shared" si="565"/>
        <v>1</v>
      </c>
      <c r="AK865" s="162" t="str">
        <f t="shared" si="566"/>
        <v>PRAZNO</v>
      </c>
      <c r="AL865" s="173"/>
      <c r="AM865" s="164"/>
    </row>
    <row r="866" spans="1:57" ht="15.75" x14ac:dyDescent="0.2">
      <c r="B866" s="177"/>
      <c r="C866" s="177">
        <v>31</v>
      </c>
      <c r="D866" s="177"/>
      <c r="E866" s="177"/>
      <c r="F866" s="177"/>
      <c r="G866" s="177"/>
      <c r="H866" s="16" t="s">
        <v>197</v>
      </c>
      <c r="I866" s="18">
        <f>I867+I869+I871</f>
        <v>908000</v>
      </c>
      <c r="J866" s="18">
        <f>J867+J869+J871</f>
        <v>721405.85</v>
      </c>
      <c r="K866" s="18">
        <f t="shared" si="572"/>
        <v>79.45</v>
      </c>
      <c r="L866" s="18">
        <f t="shared" si="573"/>
        <v>50018.080000000075</v>
      </c>
      <c r="M866" s="18">
        <f>M867+M869+M871</f>
        <v>958018.08000000007</v>
      </c>
      <c r="N866" s="18">
        <f>N867+N869+N871</f>
        <v>1015300</v>
      </c>
      <c r="O866" s="18">
        <f>O867+O869+O871</f>
        <v>598954.46</v>
      </c>
      <c r="P866" s="26">
        <f t="shared" si="574"/>
        <v>-30000</v>
      </c>
      <c r="Q866" s="18">
        <f t="shared" ref="Q866:X866" si="581">Q867+Q869+Q871</f>
        <v>1015300</v>
      </c>
      <c r="R866" s="18">
        <f t="shared" si="581"/>
        <v>1026000</v>
      </c>
      <c r="S866" s="18">
        <f t="shared" si="581"/>
        <v>1040000</v>
      </c>
      <c r="T866" s="27">
        <f t="shared" si="581"/>
        <v>985300</v>
      </c>
      <c r="U866" s="27">
        <f>U867+U869+U871</f>
        <v>881265.46</v>
      </c>
      <c r="V866" s="18">
        <f t="shared" si="581"/>
        <v>990300</v>
      </c>
      <c r="W866" s="18">
        <f t="shared" si="581"/>
        <v>1052300</v>
      </c>
      <c r="X866" s="18">
        <f t="shared" si="581"/>
        <v>987400</v>
      </c>
      <c r="Y866" s="18">
        <f>Y867+Y869+Y871</f>
        <v>329887.28999999998</v>
      </c>
      <c r="Z866" s="18">
        <f t="shared" si="576"/>
        <v>33.31</v>
      </c>
      <c r="AA866" s="18">
        <f t="shared" si="558"/>
        <v>-168000</v>
      </c>
      <c r="AB866" s="18">
        <f>AB867+AB869+AB871</f>
        <v>822300</v>
      </c>
      <c r="AC866" s="18">
        <f>AC867+AC869+AC871</f>
        <v>593244.78999999992</v>
      </c>
      <c r="AD866" s="18">
        <f t="shared" si="570"/>
        <v>72.144568892131815</v>
      </c>
      <c r="AE866" s="18">
        <f t="shared" si="550"/>
        <v>0</v>
      </c>
      <c r="AF866" s="18">
        <f>AF867+AF869+AF871</f>
        <v>822300</v>
      </c>
      <c r="AG866" s="18">
        <f>AG867+AG869+AG871</f>
        <v>794100</v>
      </c>
      <c r="AH866" s="18">
        <f>AH867+AH869+AH871</f>
        <v>715800</v>
      </c>
      <c r="AI866" s="18">
        <f>AI867+AI869+AI871</f>
        <v>725500</v>
      </c>
      <c r="AJ866" s="162" t="b">
        <f t="shared" si="565"/>
        <v>1</v>
      </c>
      <c r="AK866" s="162" t="str">
        <f t="shared" si="566"/>
        <v>PRAZNO</v>
      </c>
      <c r="AM866" s="164"/>
    </row>
    <row r="867" spans="1:57" ht="15.75" x14ac:dyDescent="0.2">
      <c r="B867" s="177"/>
      <c r="C867" s="177"/>
      <c r="D867" s="177">
        <v>311</v>
      </c>
      <c r="E867" s="177"/>
      <c r="F867" s="177"/>
      <c r="G867" s="177"/>
      <c r="H867" s="16" t="s">
        <v>915</v>
      </c>
      <c r="I867" s="18">
        <f>SUM(I868:I868)</f>
        <v>740000</v>
      </c>
      <c r="J867" s="18">
        <f>SUM(J868:J868)</f>
        <v>592326.63</v>
      </c>
      <c r="K867" s="18">
        <f t="shared" si="572"/>
        <v>80.040000000000006</v>
      </c>
      <c r="L867" s="18">
        <f t="shared" si="573"/>
        <v>44314.420000000042</v>
      </c>
      <c r="M867" s="18">
        <f>SUM(M868:M868)</f>
        <v>784314.42</v>
      </c>
      <c r="N867" s="18">
        <f>SUM(N868:N868)</f>
        <v>820000</v>
      </c>
      <c r="O867" s="18">
        <f>SUM(O868:O868)</f>
        <v>502525.02</v>
      </c>
      <c r="P867" s="26">
        <f t="shared" si="574"/>
        <v>0</v>
      </c>
      <c r="Q867" s="18">
        <f t="shared" ref="Q867:AI867" si="582">SUM(Q868:Q868)</f>
        <v>820000</v>
      </c>
      <c r="R867" s="18">
        <f t="shared" si="582"/>
        <v>836000</v>
      </c>
      <c r="S867" s="18">
        <f t="shared" si="582"/>
        <v>851000</v>
      </c>
      <c r="T867" s="27">
        <f t="shared" si="582"/>
        <v>820000</v>
      </c>
      <c r="U867" s="27">
        <f t="shared" si="582"/>
        <v>737659.69</v>
      </c>
      <c r="V867" s="18">
        <f t="shared" si="582"/>
        <v>820000</v>
      </c>
      <c r="W867" s="18">
        <f t="shared" si="582"/>
        <v>820000</v>
      </c>
      <c r="X867" s="18">
        <f t="shared" si="582"/>
        <v>822000</v>
      </c>
      <c r="Y867" s="18">
        <f t="shared" si="582"/>
        <v>273882.78999999998</v>
      </c>
      <c r="Z867" s="18">
        <f t="shared" si="576"/>
        <v>33.4</v>
      </c>
      <c r="AA867" s="18">
        <f t="shared" si="558"/>
        <v>-140000</v>
      </c>
      <c r="AB867" s="18">
        <f t="shared" si="582"/>
        <v>680000</v>
      </c>
      <c r="AC867" s="18">
        <f t="shared" si="582"/>
        <v>492742.85</v>
      </c>
      <c r="AD867" s="18">
        <f t="shared" si="570"/>
        <v>72.462183823529415</v>
      </c>
      <c r="AE867" s="18">
        <f t="shared" si="550"/>
        <v>0</v>
      </c>
      <c r="AF867" s="18">
        <f t="shared" si="582"/>
        <v>680000</v>
      </c>
      <c r="AG867" s="18">
        <f t="shared" si="582"/>
        <v>595000</v>
      </c>
      <c r="AH867" s="18">
        <f t="shared" si="582"/>
        <v>598000</v>
      </c>
      <c r="AI867" s="18">
        <f t="shared" si="582"/>
        <v>602000</v>
      </c>
      <c r="AJ867" s="162" t="b">
        <f t="shared" si="565"/>
        <v>1</v>
      </c>
      <c r="AK867" s="162" t="str">
        <f t="shared" si="566"/>
        <v>PRAZNO</v>
      </c>
      <c r="AM867" s="164"/>
    </row>
    <row r="868" spans="1:57" ht="15.75" x14ac:dyDescent="0.2">
      <c r="B868" s="177"/>
      <c r="C868" s="177"/>
      <c r="D868" s="177"/>
      <c r="E868" s="177">
        <v>3111</v>
      </c>
      <c r="F868" s="176">
        <v>11</v>
      </c>
      <c r="G868" s="176" t="s">
        <v>424</v>
      </c>
      <c r="H868" s="16" t="s">
        <v>199</v>
      </c>
      <c r="I868" s="18">
        <v>740000</v>
      </c>
      <c r="J868" s="18">
        <v>592326.63</v>
      </c>
      <c r="K868" s="18">
        <f t="shared" si="572"/>
        <v>80.040000000000006</v>
      </c>
      <c r="L868" s="18">
        <f t="shared" si="573"/>
        <v>44314.420000000042</v>
      </c>
      <c r="M868" s="18">
        <v>784314.42</v>
      </c>
      <c r="N868" s="18">
        <v>820000</v>
      </c>
      <c r="O868" s="18">
        <v>502525.02</v>
      </c>
      <c r="P868" s="26">
        <f t="shared" si="574"/>
        <v>0</v>
      </c>
      <c r="Q868" s="18">
        <v>820000</v>
      </c>
      <c r="R868" s="18">
        <v>836000</v>
      </c>
      <c r="S868" s="18">
        <v>851000</v>
      </c>
      <c r="T868" s="27">
        <v>820000</v>
      </c>
      <c r="U868" s="27">
        <v>737659.69</v>
      </c>
      <c r="V868" s="27">
        <v>820000</v>
      </c>
      <c r="W868" s="27">
        <v>820000</v>
      </c>
      <c r="X868" s="18">
        <v>822000</v>
      </c>
      <c r="Y868" s="27">
        <v>273882.78999999998</v>
      </c>
      <c r="Z868" s="27">
        <f t="shared" si="576"/>
        <v>33.4</v>
      </c>
      <c r="AA868" s="27">
        <f t="shared" si="558"/>
        <v>-140000</v>
      </c>
      <c r="AB868" s="27">
        <v>680000</v>
      </c>
      <c r="AC868" s="27">
        <v>492742.85</v>
      </c>
      <c r="AD868" s="27">
        <f t="shared" si="570"/>
        <v>72.462183823529415</v>
      </c>
      <c r="AE868" s="27">
        <f t="shared" ref="AE868:AE934" si="583">AF868-AB868</f>
        <v>0</v>
      </c>
      <c r="AF868" s="27">
        <v>680000</v>
      </c>
      <c r="AG868" s="689">
        <v>595000</v>
      </c>
      <c r="AH868" s="689">
        <v>598000</v>
      </c>
      <c r="AI868" s="689">
        <v>602000</v>
      </c>
      <c r="AJ868" s="162" t="b">
        <f t="shared" si="565"/>
        <v>0</v>
      </c>
      <c r="AK868" s="162" t="str">
        <f t="shared" si="566"/>
        <v>PUNO</v>
      </c>
      <c r="AL868" s="179"/>
      <c r="AM868" s="164"/>
      <c r="AN868" s="179"/>
      <c r="AO868" s="179"/>
      <c r="AP868" s="179"/>
      <c r="AQ868" s="179"/>
      <c r="AR868" s="179"/>
      <c r="AS868" s="179"/>
      <c r="AT868" s="179"/>
      <c r="AU868" s="179"/>
      <c r="AV868" s="179"/>
      <c r="AW868" s="179"/>
      <c r="AX868" s="179"/>
      <c r="AY868" s="179"/>
      <c r="AZ868" s="179"/>
      <c r="BA868" s="179"/>
      <c r="BB868" s="179"/>
      <c r="BC868" s="179"/>
      <c r="BD868" s="179"/>
      <c r="BE868" s="179"/>
    </row>
    <row r="869" spans="1:57" ht="15.75" x14ac:dyDescent="0.2">
      <c r="B869" s="177"/>
      <c r="C869" s="177"/>
      <c r="D869" s="177">
        <v>312</v>
      </c>
      <c r="E869" s="177"/>
      <c r="F869" s="177"/>
      <c r="G869" s="177"/>
      <c r="H869" s="16" t="s">
        <v>200</v>
      </c>
      <c r="I869" s="18">
        <f>I870</f>
        <v>41000</v>
      </c>
      <c r="J869" s="18">
        <f>J870</f>
        <v>26606.720000000001</v>
      </c>
      <c r="K869" s="18">
        <f t="shared" si="572"/>
        <v>64.89</v>
      </c>
      <c r="L869" s="18">
        <f t="shared" si="573"/>
        <v>-2982.7099999999991</v>
      </c>
      <c r="M869" s="18">
        <f>M870</f>
        <v>38017.29</v>
      </c>
      <c r="N869" s="18">
        <f>N870</f>
        <v>53000</v>
      </c>
      <c r="O869" s="18">
        <f>O870</f>
        <v>13108.69</v>
      </c>
      <c r="P869" s="26">
        <f t="shared" si="574"/>
        <v>-20000</v>
      </c>
      <c r="Q869" s="18">
        <f t="shared" ref="Q869:AI869" si="584">Q870</f>
        <v>53000</v>
      </c>
      <c r="R869" s="18">
        <f t="shared" si="584"/>
        <v>41000</v>
      </c>
      <c r="S869" s="18">
        <f t="shared" si="584"/>
        <v>37000</v>
      </c>
      <c r="T869" s="27">
        <f t="shared" si="584"/>
        <v>33000</v>
      </c>
      <c r="U869" s="27">
        <f t="shared" si="584"/>
        <v>24309.42</v>
      </c>
      <c r="V869" s="18">
        <f t="shared" si="584"/>
        <v>38000</v>
      </c>
      <c r="W869" s="18">
        <f t="shared" si="584"/>
        <v>100000</v>
      </c>
      <c r="X869" s="18">
        <f t="shared" si="584"/>
        <v>32000</v>
      </c>
      <c r="Y869" s="18">
        <f t="shared" si="584"/>
        <v>14100.36</v>
      </c>
      <c r="Z869" s="18">
        <f t="shared" si="576"/>
        <v>37.11</v>
      </c>
      <c r="AA869" s="18">
        <f t="shared" si="558"/>
        <v>0</v>
      </c>
      <c r="AB869" s="18">
        <f t="shared" si="584"/>
        <v>38000</v>
      </c>
      <c r="AC869" s="18">
        <f t="shared" si="584"/>
        <v>25112.12</v>
      </c>
      <c r="AD869" s="18">
        <f t="shared" si="570"/>
        <v>66.084526315789475</v>
      </c>
      <c r="AE869" s="18">
        <f t="shared" si="583"/>
        <v>0</v>
      </c>
      <c r="AF869" s="18">
        <f t="shared" si="584"/>
        <v>38000</v>
      </c>
      <c r="AG869" s="689">
        <f t="shared" si="584"/>
        <v>108000</v>
      </c>
      <c r="AH869" s="689">
        <f t="shared" si="584"/>
        <v>26000</v>
      </c>
      <c r="AI869" s="689">
        <f t="shared" si="584"/>
        <v>31000</v>
      </c>
      <c r="AJ869" s="162" t="b">
        <f t="shared" si="565"/>
        <v>1</v>
      </c>
      <c r="AK869" s="162" t="str">
        <f t="shared" si="566"/>
        <v>PRAZNO</v>
      </c>
      <c r="AM869" s="164"/>
    </row>
    <row r="870" spans="1:57" ht="15.75" x14ac:dyDescent="0.2">
      <c r="B870" s="177"/>
      <c r="C870" s="177"/>
      <c r="D870" s="177"/>
      <c r="E870" s="177">
        <v>3121</v>
      </c>
      <c r="F870" s="176">
        <v>11</v>
      </c>
      <c r="G870" s="176" t="s">
        <v>424</v>
      </c>
      <c r="H870" s="16" t="s">
        <v>200</v>
      </c>
      <c r="I870" s="18">
        <v>41000</v>
      </c>
      <c r="J870" s="18">
        <v>26606.720000000001</v>
      </c>
      <c r="K870" s="18">
        <f t="shared" si="572"/>
        <v>64.89</v>
      </c>
      <c r="L870" s="18">
        <f t="shared" si="573"/>
        <v>-2982.7099999999991</v>
      </c>
      <c r="M870" s="18">
        <v>38017.29</v>
      </c>
      <c r="N870" s="18">
        <v>53000</v>
      </c>
      <c r="O870" s="18">
        <v>13108.69</v>
      </c>
      <c r="P870" s="26">
        <f t="shared" si="574"/>
        <v>-20000</v>
      </c>
      <c r="Q870" s="18">
        <v>53000</v>
      </c>
      <c r="R870" s="18">
        <v>41000</v>
      </c>
      <c r="S870" s="18">
        <v>37000</v>
      </c>
      <c r="T870" s="27">
        <v>33000</v>
      </c>
      <c r="U870" s="27">
        <v>24309.42</v>
      </c>
      <c r="V870" s="18">
        <v>38000</v>
      </c>
      <c r="W870" s="18">
        <v>100000</v>
      </c>
      <c r="X870" s="18">
        <v>32000</v>
      </c>
      <c r="Y870" s="18">
        <v>14100.36</v>
      </c>
      <c r="Z870" s="18">
        <f t="shared" si="576"/>
        <v>37.11</v>
      </c>
      <c r="AA870" s="18">
        <f t="shared" si="558"/>
        <v>0</v>
      </c>
      <c r="AB870" s="18">
        <v>38000</v>
      </c>
      <c r="AC870" s="18">
        <v>25112.12</v>
      </c>
      <c r="AD870" s="18">
        <f t="shared" si="570"/>
        <v>66.084526315789475</v>
      </c>
      <c r="AE870" s="18">
        <f t="shared" si="583"/>
        <v>0</v>
      </c>
      <c r="AF870" s="18">
        <v>38000</v>
      </c>
      <c r="AG870" s="689">
        <v>108000</v>
      </c>
      <c r="AH870" s="689">
        <v>26000</v>
      </c>
      <c r="AI870" s="689">
        <v>31000</v>
      </c>
      <c r="AJ870" s="162" t="b">
        <f t="shared" si="565"/>
        <v>0</v>
      </c>
      <c r="AK870" s="162" t="str">
        <f t="shared" si="566"/>
        <v>PUNO</v>
      </c>
      <c r="AM870" s="164"/>
    </row>
    <row r="871" spans="1:57" ht="15.75" x14ac:dyDescent="0.2">
      <c r="B871" s="177"/>
      <c r="C871" s="177"/>
      <c r="D871" s="177">
        <v>313</v>
      </c>
      <c r="E871" s="177"/>
      <c r="F871" s="177"/>
      <c r="G871" s="177"/>
      <c r="H871" s="16" t="s">
        <v>201</v>
      </c>
      <c r="I871" s="18">
        <f>SUM(I872:I873)</f>
        <v>127000</v>
      </c>
      <c r="J871" s="18">
        <f>SUM(J872:J873)</f>
        <v>102472.5</v>
      </c>
      <c r="K871" s="18">
        <f t="shared" si="572"/>
        <v>80.69</v>
      </c>
      <c r="L871" s="18">
        <f t="shared" si="573"/>
        <v>8686.3699999999953</v>
      </c>
      <c r="M871" s="18">
        <f>SUM(M872:M873)</f>
        <v>135686.37</v>
      </c>
      <c r="N871" s="18">
        <f>SUM(N872:N873)</f>
        <v>142300</v>
      </c>
      <c r="O871" s="18">
        <f>SUM(O872:O873)</f>
        <v>83320.75</v>
      </c>
      <c r="P871" s="26">
        <f t="shared" si="574"/>
        <v>-10000</v>
      </c>
      <c r="Q871" s="18">
        <f t="shared" ref="Q871:X871" si="585">SUM(Q872:Q873)</f>
        <v>142300</v>
      </c>
      <c r="R871" s="18">
        <f t="shared" si="585"/>
        <v>149000</v>
      </c>
      <c r="S871" s="18">
        <f t="shared" si="585"/>
        <v>152000</v>
      </c>
      <c r="T871" s="27">
        <f t="shared" si="585"/>
        <v>132300</v>
      </c>
      <c r="U871" s="27">
        <f>SUM(U872:U873)</f>
        <v>119296.35</v>
      </c>
      <c r="V871" s="18">
        <f t="shared" si="585"/>
        <v>132300</v>
      </c>
      <c r="W871" s="18">
        <f t="shared" si="585"/>
        <v>132300</v>
      </c>
      <c r="X871" s="18">
        <f t="shared" si="585"/>
        <v>133400</v>
      </c>
      <c r="Y871" s="18">
        <f>SUM(Y872:Y873)</f>
        <v>41904.14</v>
      </c>
      <c r="Z871" s="18">
        <f t="shared" si="576"/>
        <v>31.67</v>
      </c>
      <c r="AA871" s="18">
        <f t="shared" si="558"/>
        <v>-28000</v>
      </c>
      <c r="AB871" s="18">
        <f>SUM(AB872:AB873)</f>
        <v>104300</v>
      </c>
      <c r="AC871" s="18">
        <f>SUM(AC872:AC873)</f>
        <v>75389.819999999992</v>
      </c>
      <c r="AD871" s="18">
        <f t="shared" si="570"/>
        <v>72.281706615532116</v>
      </c>
      <c r="AE871" s="18">
        <f t="shared" si="583"/>
        <v>0</v>
      </c>
      <c r="AF871" s="18">
        <f>SUM(AF872:AF873)</f>
        <v>104300</v>
      </c>
      <c r="AG871" s="689">
        <f>SUM(AG872:AG873)</f>
        <v>91100</v>
      </c>
      <c r="AH871" s="689">
        <f>SUM(AH872:AH873)</f>
        <v>91800</v>
      </c>
      <c r="AI871" s="689">
        <f>SUM(AI872:AI873)</f>
        <v>92500</v>
      </c>
      <c r="AJ871" s="162" t="b">
        <f t="shared" si="565"/>
        <v>1</v>
      </c>
      <c r="AK871" s="162" t="str">
        <f t="shared" si="566"/>
        <v>PRAZNO</v>
      </c>
      <c r="AM871" s="164"/>
    </row>
    <row r="872" spans="1:57" ht="15.75" x14ac:dyDescent="0.2">
      <c r="B872" s="177"/>
      <c r="C872" s="177"/>
      <c r="D872" s="177"/>
      <c r="E872" s="177">
        <v>3132</v>
      </c>
      <c r="F872" s="176">
        <v>11</v>
      </c>
      <c r="G872" s="176" t="s">
        <v>424</v>
      </c>
      <c r="H872" s="16" t="s">
        <v>202</v>
      </c>
      <c r="I872" s="18">
        <v>115000</v>
      </c>
      <c r="J872" s="18">
        <v>91810.6</v>
      </c>
      <c r="K872" s="18">
        <f t="shared" si="572"/>
        <v>79.84</v>
      </c>
      <c r="L872" s="18">
        <f t="shared" si="573"/>
        <v>6568.6900000000023</v>
      </c>
      <c r="M872" s="18">
        <v>121568.69</v>
      </c>
      <c r="N872" s="18">
        <f>132000-5000</f>
        <v>127000</v>
      </c>
      <c r="O872" s="18">
        <v>74275.37</v>
      </c>
      <c r="P872" s="26">
        <f t="shared" si="574"/>
        <v>-10000</v>
      </c>
      <c r="Q872" s="18">
        <f>132000-5000</f>
        <v>127000</v>
      </c>
      <c r="R872" s="18">
        <v>133000</v>
      </c>
      <c r="S872" s="18">
        <v>136000</v>
      </c>
      <c r="T872" s="27">
        <v>117000</v>
      </c>
      <c r="U872" s="27">
        <v>106018.56</v>
      </c>
      <c r="V872" s="27">
        <v>117000</v>
      </c>
      <c r="W872" s="27">
        <v>117000</v>
      </c>
      <c r="X872" s="18">
        <v>119000</v>
      </c>
      <c r="Y872" s="27">
        <v>36974.239999999998</v>
      </c>
      <c r="Z872" s="27">
        <f t="shared" si="576"/>
        <v>31.6</v>
      </c>
      <c r="AA872" s="27">
        <f t="shared" si="558"/>
        <v>-25000</v>
      </c>
      <c r="AB872" s="27">
        <v>92000</v>
      </c>
      <c r="AC872" s="27">
        <v>66520.399999999994</v>
      </c>
      <c r="AD872" s="27">
        <f t="shared" si="570"/>
        <v>72.304782608695646</v>
      </c>
      <c r="AE872" s="27">
        <f t="shared" si="583"/>
        <v>0</v>
      </c>
      <c r="AF872" s="27">
        <v>92000</v>
      </c>
      <c r="AG872" s="689">
        <v>80400</v>
      </c>
      <c r="AH872" s="689">
        <v>81000</v>
      </c>
      <c r="AI872" s="689">
        <v>81500</v>
      </c>
      <c r="AJ872" s="162" t="b">
        <f t="shared" si="565"/>
        <v>0</v>
      </c>
      <c r="AK872" s="162" t="str">
        <f t="shared" si="566"/>
        <v>PUNO</v>
      </c>
      <c r="AM872" s="164"/>
    </row>
    <row r="873" spans="1:57" ht="30" x14ac:dyDescent="0.2">
      <c r="B873" s="177"/>
      <c r="C873" s="177"/>
      <c r="D873" s="177"/>
      <c r="E873" s="177">
        <v>3133</v>
      </c>
      <c r="F873" s="176">
        <v>11</v>
      </c>
      <c r="G873" s="176" t="s">
        <v>424</v>
      </c>
      <c r="H873" s="16" t="s">
        <v>203</v>
      </c>
      <c r="I873" s="18">
        <v>12000</v>
      </c>
      <c r="J873" s="18">
        <v>10661.9</v>
      </c>
      <c r="K873" s="18">
        <f t="shared" si="572"/>
        <v>88.85</v>
      </c>
      <c r="L873" s="18">
        <f t="shared" si="573"/>
        <v>2117.6800000000003</v>
      </c>
      <c r="M873" s="18">
        <v>14117.68</v>
      </c>
      <c r="N873" s="18">
        <v>15300</v>
      </c>
      <c r="O873" s="18">
        <v>9045.3799999999992</v>
      </c>
      <c r="P873" s="26">
        <f t="shared" si="574"/>
        <v>0</v>
      </c>
      <c r="Q873" s="18">
        <v>15300</v>
      </c>
      <c r="R873" s="18">
        <v>16000</v>
      </c>
      <c r="S873" s="18">
        <v>16000</v>
      </c>
      <c r="T873" s="27">
        <v>15300</v>
      </c>
      <c r="U873" s="27">
        <v>13277.79</v>
      </c>
      <c r="V873" s="27">
        <v>15300</v>
      </c>
      <c r="W873" s="27">
        <v>15300</v>
      </c>
      <c r="X873" s="27">
        <v>14400</v>
      </c>
      <c r="Y873" s="27">
        <v>4929.8999999999996</v>
      </c>
      <c r="Z873" s="27">
        <f t="shared" si="576"/>
        <v>32.22</v>
      </c>
      <c r="AA873" s="27">
        <f t="shared" si="558"/>
        <v>-3000</v>
      </c>
      <c r="AB873" s="27">
        <v>12300</v>
      </c>
      <c r="AC873" s="27">
        <v>8869.42</v>
      </c>
      <c r="AD873" s="27">
        <f t="shared" si="570"/>
        <v>72.109105691056911</v>
      </c>
      <c r="AE873" s="27">
        <f t="shared" si="583"/>
        <v>0</v>
      </c>
      <c r="AF873" s="27">
        <v>12300</v>
      </c>
      <c r="AG873" s="689">
        <v>10700</v>
      </c>
      <c r="AH873" s="689">
        <v>10800</v>
      </c>
      <c r="AI873" s="689">
        <v>11000</v>
      </c>
      <c r="AJ873" s="162" t="b">
        <f t="shared" si="565"/>
        <v>0</v>
      </c>
      <c r="AK873" s="162" t="str">
        <f t="shared" si="566"/>
        <v>PUNO</v>
      </c>
      <c r="AM873" s="164"/>
    </row>
    <row r="874" spans="1:57" ht="15.75" x14ac:dyDescent="0.2">
      <c r="B874" s="177"/>
      <c r="C874" s="177">
        <v>32</v>
      </c>
      <c r="D874" s="177"/>
      <c r="E874" s="177"/>
      <c r="F874" s="177"/>
      <c r="G874" s="177"/>
      <c r="H874" s="16" t="s">
        <v>525</v>
      </c>
      <c r="I874" s="18">
        <f>I875+I879+I881+I883</f>
        <v>101000</v>
      </c>
      <c r="J874" s="18">
        <f>J875+J879+J881+J883</f>
        <v>68793.989999999991</v>
      </c>
      <c r="K874" s="18">
        <f t="shared" si="572"/>
        <v>68.11</v>
      </c>
      <c r="L874" s="18">
        <f t="shared" si="573"/>
        <v>-4652.179999999993</v>
      </c>
      <c r="M874" s="18">
        <f>M875+M879+M881+M883</f>
        <v>96347.82</v>
      </c>
      <c r="N874" s="18">
        <f>N875+N879+N881+N883</f>
        <v>109000</v>
      </c>
      <c r="O874" s="18">
        <f>O875+O879+O881+O883</f>
        <v>67135.02</v>
      </c>
      <c r="P874" s="26">
        <f t="shared" si="574"/>
        <v>12000</v>
      </c>
      <c r="Q874" s="18">
        <f t="shared" ref="Q874:X874" si="586">Q875+Q879+Q881+Q883</f>
        <v>109000</v>
      </c>
      <c r="R874" s="18">
        <f t="shared" si="586"/>
        <v>113000</v>
      </c>
      <c r="S874" s="18">
        <f t="shared" si="586"/>
        <v>117400</v>
      </c>
      <c r="T874" s="27">
        <f t="shared" si="586"/>
        <v>121000</v>
      </c>
      <c r="U874" s="27">
        <f>U875+U879+U881+U883</f>
        <v>105452.36</v>
      </c>
      <c r="V874" s="18">
        <f t="shared" si="586"/>
        <v>121000</v>
      </c>
      <c r="W874" s="18">
        <f t="shared" si="586"/>
        <v>121000</v>
      </c>
      <c r="X874" s="18">
        <f t="shared" si="586"/>
        <v>128000</v>
      </c>
      <c r="Y874" s="18">
        <f>Y875+Y879+Y881+Y883</f>
        <v>36951.78</v>
      </c>
      <c r="Z874" s="18">
        <f t="shared" si="576"/>
        <v>30.54</v>
      </c>
      <c r="AA874" s="18">
        <f t="shared" si="558"/>
        <v>-2000</v>
      </c>
      <c r="AB874" s="18">
        <f>AB875+AB879+AB881+AB883</f>
        <v>119000</v>
      </c>
      <c r="AC874" s="18">
        <f>AC875+AC879+AC881+AC883</f>
        <v>58921.94</v>
      </c>
      <c r="AD874" s="18">
        <f t="shared" si="570"/>
        <v>49.514235294117647</v>
      </c>
      <c r="AE874" s="18">
        <f t="shared" si="583"/>
        <v>-4000</v>
      </c>
      <c r="AF874" s="18">
        <f>AF875+AF879+AF881+AF883</f>
        <v>115000</v>
      </c>
      <c r="AG874" s="18">
        <f>AG875+AG879+AG881+AG883</f>
        <v>112000</v>
      </c>
      <c r="AH874" s="18">
        <f>AH875+AH879+AH881+AH883</f>
        <v>112000</v>
      </c>
      <c r="AI874" s="18">
        <f>AI875+AI879+AI881+AI883</f>
        <v>112000</v>
      </c>
      <c r="AJ874" s="162" t="b">
        <f t="shared" si="565"/>
        <v>1</v>
      </c>
      <c r="AK874" s="162" t="str">
        <f t="shared" si="566"/>
        <v>PRAZNO</v>
      </c>
      <c r="AM874" s="164"/>
    </row>
    <row r="875" spans="1:57" ht="15.75" x14ac:dyDescent="0.2">
      <c r="B875" s="177"/>
      <c r="C875" s="177"/>
      <c r="D875" s="177">
        <v>321</v>
      </c>
      <c r="E875" s="177"/>
      <c r="F875" s="177"/>
      <c r="G875" s="177"/>
      <c r="H875" s="16" t="s">
        <v>564</v>
      </c>
      <c r="I875" s="18">
        <f>I876+I877+I878</f>
        <v>72000</v>
      </c>
      <c r="J875" s="18">
        <f>J876+J877+J878</f>
        <v>49566.59</v>
      </c>
      <c r="K875" s="18">
        <f t="shared" si="572"/>
        <v>68.84</v>
      </c>
      <c r="L875" s="18">
        <f t="shared" si="573"/>
        <v>-4006.9400000000023</v>
      </c>
      <c r="M875" s="18">
        <f>M876+M877+M878</f>
        <v>67993.06</v>
      </c>
      <c r="N875" s="18">
        <f>N876+N877+N878</f>
        <v>76000</v>
      </c>
      <c r="O875" s="18">
        <f>O876+O877+O878</f>
        <v>45081.94</v>
      </c>
      <c r="P875" s="26">
        <f t="shared" si="574"/>
        <v>5000</v>
      </c>
      <c r="Q875" s="18">
        <f t="shared" ref="Q875:X875" si="587">Q876+Q877+Q878</f>
        <v>76000</v>
      </c>
      <c r="R875" s="18">
        <f t="shared" si="587"/>
        <v>78500</v>
      </c>
      <c r="S875" s="18">
        <f t="shared" si="587"/>
        <v>80400</v>
      </c>
      <c r="T875" s="27">
        <f t="shared" si="587"/>
        <v>81000</v>
      </c>
      <c r="U875" s="27">
        <f>U876+U877+U878</f>
        <v>76460.38</v>
      </c>
      <c r="V875" s="18">
        <f t="shared" si="587"/>
        <v>81000</v>
      </c>
      <c r="W875" s="18">
        <f t="shared" si="587"/>
        <v>81000</v>
      </c>
      <c r="X875" s="18">
        <f t="shared" si="587"/>
        <v>84000</v>
      </c>
      <c r="Y875" s="18">
        <f>Y876+Y877+Y878</f>
        <v>27334.54</v>
      </c>
      <c r="Z875" s="18">
        <f t="shared" si="576"/>
        <v>33.75</v>
      </c>
      <c r="AA875" s="18">
        <f t="shared" si="558"/>
        <v>-5000</v>
      </c>
      <c r="AB875" s="18">
        <f>AB876+AB877+AB878</f>
        <v>76000</v>
      </c>
      <c r="AC875" s="18">
        <f>AC876+AC877+AC878</f>
        <v>44562.559999999998</v>
      </c>
      <c r="AD875" s="18">
        <f t="shared" si="570"/>
        <v>58.634947368421052</v>
      </c>
      <c r="AE875" s="18">
        <f t="shared" si="583"/>
        <v>-4000</v>
      </c>
      <c r="AF875" s="18">
        <f>AF876+AF877+AF878</f>
        <v>72000</v>
      </c>
      <c r="AG875" s="18">
        <f>AG876+AG877+AG878</f>
        <v>73000</v>
      </c>
      <c r="AH875" s="18">
        <f>AH876+AH877+AH878</f>
        <v>73000</v>
      </c>
      <c r="AI875" s="18">
        <f>AI876+AI877+AI878</f>
        <v>73000</v>
      </c>
      <c r="AJ875" s="162" t="b">
        <f t="shared" si="565"/>
        <v>1</v>
      </c>
      <c r="AK875" s="162" t="str">
        <f t="shared" si="566"/>
        <v>PRAZNO</v>
      </c>
      <c r="AM875" s="164"/>
    </row>
    <row r="876" spans="1:57" ht="15.75" x14ac:dyDescent="0.2">
      <c r="B876" s="177"/>
      <c r="C876" s="177"/>
      <c r="D876" s="177"/>
      <c r="E876" s="177">
        <v>3211</v>
      </c>
      <c r="F876" s="176">
        <v>11</v>
      </c>
      <c r="G876" s="176" t="s">
        <v>424</v>
      </c>
      <c r="H876" s="16" t="s">
        <v>565</v>
      </c>
      <c r="I876" s="18">
        <v>8000</v>
      </c>
      <c r="J876" s="18">
        <v>5739.59</v>
      </c>
      <c r="K876" s="18">
        <f t="shared" si="572"/>
        <v>71.739999999999995</v>
      </c>
      <c r="L876" s="18">
        <f t="shared" si="573"/>
        <v>484.86000000000058</v>
      </c>
      <c r="M876" s="18">
        <v>8484.86</v>
      </c>
      <c r="N876" s="18">
        <v>8000</v>
      </c>
      <c r="O876" s="18">
        <v>4152.04</v>
      </c>
      <c r="P876" s="26">
        <f t="shared" si="574"/>
        <v>2000</v>
      </c>
      <c r="Q876" s="18">
        <v>8000</v>
      </c>
      <c r="R876" s="18">
        <v>8500</v>
      </c>
      <c r="S876" s="18">
        <v>9000</v>
      </c>
      <c r="T876" s="27">
        <v>10000</v>
      </c>
      <c r="U876" s="27">
        <v>14859.48</v>
      </c>
      <c r="V876" s="27">
        <v>10000</v>
      </c>
      <c r="W876" s="27">
        <v>10000</v>
      </c>
      <c r="X876" s="27">
        <v>11000</v>
      </c>
      <c r="Y876" s="27">
        <v>3690.14</v>
      </c>
      <c r="Z876" s="27">
        <f t="shared" si="576"/>
        <v>36.9</v>
      </c>
      <c r="AA876" s="27">
        <f t="shared" si="558"/>
        <v>5000</v>
      </c>
      <c r="AB876" s="27">
        <v>15000</v>
      </c>
      <c r="AC876" s="27">
        <v>4074.96</v>
      </c>
      <c r="AD876" s="27">
        <f t="shared" si="570"/>
        <v>27.166400000000003</v>
      </c>
      <c r="AE876" s="27">
        <f t="shared" si="583"/>
        <v>-2000</v>
      </c>
      <c r="AF876" s="27">
        <v>13000</v>
      </c>
      <c r="AG876" s="27">
        <v>12000</v>
      </c>
      <c r="AH876" s="27">
        <v>12000</v>
      </c>
      <c r="AI876" s="27">
        <v>12000</v>
      </c>
      <c r="AJ876" s="162" t="b">
        <f t="shared" si="565"/>
        <v>0</v>
      </c>
      <c r="AK876" s="162" t="str">
        <f t="shared" si="566"/>
        <v>PUNO</v>
      </c>
      <c r="AM876" s="164"/>
    </row>
    <row r="877" spans="1:57" ht="15.75" x14ac:dyDescent="0.2">
      <c r="B877" s="177"/>
      <c r="C877" s="177"/>
      <c r="D877" s="177"/>
      <c r="E877" s="177">
        <v>3212</v>
      </c>
      <c r="F877" s="176">
        <v>11</v>
      </c>
      <c r="G877" s="176" t="s">
        <v>424</v>
      </c>
      <c r="H877" s="16" t="s">
        <v>220</v>
      </c>
      <c r="I877" s="18">
        <v>60000</v>
      </c>
      <c r="J877" s="18">
        <v>42907</v>
      </c>
      <c r="K877" s="18">
        <f t="shared" si="572"/>
        <v>71.510000000000005</v>
      </c>
      <c r="L877" s="18">
        <f t="shared" si="573"/>
        <v>-1551.8000000000029</v>
      </c>
      <c r="M877" s="18">
        <v>58448.2</v>
      </c>
      <c r="N877" s="18">
        <v>64000</v>
      </c>
      <c r="O877" s="18">
        <v>40929.9</v>
      </c>
      <c r="P877" s="26">
        <f t="shared" si="574"/>
        <v>3000</v>
      </c>
      <c r="Q877" s="18">
        <v>64000</v>
      </c>
      <c r="R877" s="18">
        <v>65000</v>
      </c>
      <c r="S877" s="18">
        <v>66400</v>
      </c>
      <c r="T877" s="27">
        <v>67000</v>
      </c>
      <c r="U877" s="27">
        <v>60100.9</v>
      </c>
      <c r="V877" s="27">
        <v>67000</v>
      </c>
      <c r="W877" s="27">
        <v>67000</v>
      </c>
      <c r="X877" s="18">
        <v>69000</v>
      </c>
      <c r="Y877" s="27">
        <v>23644.400000000001</v>
      </c>
      <c r="Z877" s="27">
        <f t="shared" si="576"/>
        <v>35.29</v>
      </c>
      <c r="AA877" s="27">
        <f t="shared" si="558"/>
        <v>-10000</v>
      </c>
      <c r="AB877" s="27">
        <v>57000</v>
      </c>
      <c r="AC877" s="27">
        <v>39987.599999999999</v>
      </c>
      <c r="AD877" s="27">
        <f t="shared" si="570"/>
        <v>70.153684210526308</v>
      </c>
      <c r="AE877" s="27">
        <f t="shared" si="583"/>
        <v>0</v>
      </c>
      <c r="AF877" s="27">
        <v>57000</v>
      </c>
      <c r="AG877" s="689">
        <v>57000</v>
      </c>
      <c r="AH877" s="689">
        <v>57000</v>
      </c>
      <c r="AI877" s="689">
        <v>57000</v>
      </c>
      <c r="AJ877" s="162" t="b">
        <f t="shared" si="565"/>
        <v>0</v>
      </c>
      <c r="AK877" s="162" t="str">
        <f t="shared" si="566"/>
        <v>PUNO</v>
      </c>
      <c r="AM877" s="164"/>
    </row>
    <row r="878" spans="1:57" ht="15.75" x14ac:dyDescent="0.2">
      <c r="B878" s="177"/>
      <c r="C878" s="177"/>
      <c r="D878" s="177"/>
      <c r="E878" s="177">
        <v>3213</v>
      </c>
      <c r="F878" s="176">
        <v>11</v>
      </c>
      <c r="G878" s="176" t="s">
        <v>424</v>
      </c>
      <c r="H878" s="16" t="s">
        <v>221</v>
      </c>
      <c r="I878" s="18">
        <v>4000</v>
      </c>
      <c r="J878" s="18">
        <v>920</v>
      </c>
      <c r="K878" s="18">
        <f t="shared" si="572"/>
        <v>23</v>
      </c>
      <c r="L878" s="18">
        <f t="shared" si="573"/>
        <v>-2940</v>
      </c>
      <c r="M878" s="18">
        <v>1060</v>
      </c>
      <c r="N878" s="18">
        <v>4000</v>
      </c>
      <c r="O878" s="18">
        <v>0</v>
      </c>
      <c r="P878" s="26">
        <f t="shared" si="574"/>
        <v>0</v>
      </c>
      <c r="Q878" s="18">
        <v>4000</v>
      </c>
      <c r="R878" s="18">
        <v>5000</v>
      </c>
      <c r="S878" s="18">
        <v>5000</v>
      </c>
      <c r="T878" s="27">
        <v>4000</v>
      </c>
      <c r="U878" s="27">
        <v>1500</v>
      </c>
      <c r="V878" s="27">
        <v>4000</v>
      </c>
      <c r="W878" s="27">
        <v>4000</v>
      </c>
      <c r="X878" s="18">
        <v>4000</v>
      </c>
      <c r="Y878" s="27">
        <v>0</v>
      </c>
      <c r="Z878" s="27">
        <f t="shared" si="576"/>
        <v>0</v>
      </c>
      <c r="AA878" s="27">
        <f t="shared" si="558"/>
        <v>0</v>
      </c>
      <c r="AB878" s="27">
        <v>4000</v>
      </c>
      <c r="AC878" s="27">
        <v>500</v>
      </c>
      <c r="AD878" s="27">
        <f t="shared" si="570"/>
        <v>12.5</v>
      </c>
      <c r="AE878" s="27">
        <f t="shared" si="583"/>
        <v>-2000</v>
      </c>
      <c r="AF878" s="27">
        <v>2000</v>
      </c>
      <c r="AG878" s="27">
        <v>4000</v>
      </c>
      <c r="AH878" s="27">
        <v>4000</v>
      </c>
      <c r="AI878" s="27">
        <v>4000</v>
      </c>
      <c r="AJ878" s="162" t="b">
        <f t="shared" si="565"/>
        <v>0</v>
      </c>
      <c r="AK878" s="162" t="str">
        <f t="shared" si="566"/>
        <v>PUNO</v>
      </c>
      <c r="AM878" s="164"/>
    </row>
    <row r="879" spans="1:57" ht="15.75" x14ac:dyDescent="0.2">
      <c r="B879" s="177"/>
      <c r="C879" s="177"/>
      <c r="D879" s="177">
        <v>322</v>
      </c>
      <c r="E879" s="177"/>
      <c r="F879" s="177"/>
      <c r="G879" s="177"/>
      <c r="H879" s="16" t="s">
        <v>547</v>
      </c>
      <c r="I879" s="18">
        <f>I880</f>
        <v>15000</v>
      </c>
      <c r="J879" s="18">
        <f>J880</f>
        <v>7833.94</v>
      </c>
      <c r="K879" s="18">
        <f t="shared" si="572"/>
        <v>52.23</v>
      </c>
      <c r="L879" s="18">
        <f t="shared" si="573"/>
        <v>-3218.17</v>
      </c>
      <c r="M879" s="18">
        <f>M880</f>
        <v>11781.83</v>
      </c>
      <c r="N879" s="18">
        <f>N880</f>
        <v>16000</v>
      </c>
      <c r="O879" s="18">
        <f>O880</f>
        <v>13815.64</v>
      </c>
      <c r="P879" s="26">
        <f t="shared" si="574"/>
        <v>6000</v>
      </c>
      <c r="Q879" s="18">
        <f t="shared" ref="Q879:AI879" si="588">Q880</f>
        <v>16000</v>
      </c>
      <c r="R879" s="18">
        <f t="shared" si="588"/>
        <v>16500</v>
      </c>
      <c r="S879" s="18">
        <f t="shared" si="588"/>
        <v>17000</v>
      </c>
      <c r="T879" s="27">
        <f t="shared" si="588"/>
        <v>22000</v>
      </c>
      <c r="U879" s="27">
        <f t="shared" si="588"/>
        <v>14654.72</v>
      </c>
      <c r="V879" s="18">
        <f t="shared" si="588"/>
        <v>22000</v>
      </c>
      <c r="W879" s="18">
        <f t="shared" si="588"/>
        <v>22000</v>
      </c>
      <c r="X879" s="18">
        <f t="shared" si="588"/>
        <v>25000</v>
      </c>
      <c r="Y879" s="18">
        <f t="shared" si="588"/>
        <v>4411.09</v>
      </c>
      <c r="Z879" s="18">
        <f t="shared" si="576"/>
        <v>20.05</v>
      </c>
      <c r="AA879" s="18">
        <f t="shared" si="558"/>
        <v>0</v>
      </c>
      <c r="AB879" s="18">
        <f t="shared" si="588"/>
        <v>22000</v>
      </c>
      <c r="AC879" s="18">
        <f t="shared" si="588"/>
        <v>5563.9</v>
      </c>
      <c r="AD879" s="18">
        <f t="shared" si="570"/>
        <v>25.290454545454544</v>
      </c>
      <c r="AE879" s="18">
        <f t="shared" si="583"/>
        <v>0</v>
      </c>
      <c r="AF879" s="18">
        <f t="shared" si="588"/>
        <v>22000</v>
      </c>
      <c r="AG879" s="18">
        <f t="shared" si="588"/>
        <v>18000</v>
      </c>
      <c r="AH879" s="18">
        <f t="shared" si="588"/>
        <v>18000</v>
      </c>
      <c r="AI879" s="18">
        <f t="shared" si="588"/>
        <v>18000</v>
      </c>
      <c r="AJ879" s="162" t="b">
        <f t="shared" si="565"/>
        <v>1</v>
      </c>
      <c r="AK879" s="162" t="str">
        <f t="shared" si="566"/>
        <v>PRAZNO</v>
      </c>
      <c r="AM879" s="164"/>
    </row>
    <row r="880" spans="1:57" ht="15.75" x14ac:dyDescent="0.2">
      <c r="B880" s="177"/>
      <c r="C880" s="177"/>
      <c r="D880" s="177"/>
      <c r="E880" s="177">
        <v>3221</v>
      </c>
      <c r="F880" s="176">
        <v>11</v>
      </c>
      <c r="G880" s="176" t="s">
        <v>424</v>
      </c>
      <c r="H880" s="16" t="s">
        <v>548</v>
      </c>
      <c r="I880" s="18">
        <v>15000</v>
      </c>
      <c r="J880" s="18">
        <v>7833.94</v>
      </c>
      <c r="K880" s="18">
        <f t="shared" si="572"/>
        <v>52.23</v>
      </c>
      <c r="L880" s="18">
        <f t="shared" si="573"/>
        <v>-3218.17</v>
      </c>
      <c r="M880" s="18">
        <v>11781.83</v>
      </c>
      <c r="N880" s="18">
        <v>16000</v>
      </c>
      <c r="O880" s="18">
        <v>13815.64</v>
      </c>
      <c r="P880" s="26">
        <f t="shared" si="574"/>
        <v>6000</v>
      </c>
      <c r="Q880" s="18">
        <v>16000</v>
      </c>
      <c r="R880" s="18">
        <v>16500</v>
      </c>
      <c r="S880" s="18">
        <v>17000</v>
      </c>
      <c r="T880" s="27">
        <v>22000</v>
      </c>
      <c r="U880" s="27">
        <v>14654.72</v>
      </c>
      <c r="V880" s="27">
        <v>22000</v>
      </c>
      <c r="W880" s="27">
        <v>22000</v>
      </c>
      <c r="X880" s="18">
        <v>25000</v>
      </c>
      <c r="Y880" s="27">
        <v>4411.09</v>
      </c>
      <c r="Z880" s="27">
        <f t="shared" si="576"/>
        <v>20.05</v>
      </c>
      <c r="AA880" s="27">
        <f t="shared" si="558"/>
        <v>0</v>
      </c>
      <c r="AB880" s="27">
        <v>22000</v>
      </c>
      <c r="AC880" s="27">
        <v>5563.9</v>
      </c>
      <c r="AD880" s="27">
        <f t="shared" si="570"/>
        <v>25.290454545454544</v>
      </c>
      <c r="AE880" s="27">
        <f t="shared" si="583"/>
        <v>0</v>
      </c>
      <c r="AF880" s="27">
        <v>22000</v>
      </c>
      <c r="AG880" s="27">
        <v>18000</v>
      </c>
      <c r="AH880" s="27">
        <v>18000</v>
      </c>
      <c r="AI880" s="27">
        <v>18000</v>
      </c>
      <c r="AJ880" s="162" t="b">
        <f t="shared" si="565"/>
        <v>0</v>
      </c>
      <c r="AK880" s="162" t="str">
        <f t="shared" si="566"/>
        <v>PUNO</v>
      </c>
      <c r="AM880" s="164"/>
    </row>
    <row r="881" spans="1:39" ht="15.75" x14ac:dyDescent="0.2">
      <c r="B881" s="177"/>
      <c r="C881" s="177"/>
      <c r="D881" s="177">
        <v>323</v>
      </c>
      <c r="E881" s="177"/>
      <c r="F881" s="177"/>
      <c r="G881" s="177"/>
      <c r="H881" s="16" t="s">
        <v>526</v>
      </c>
      <c r="I881" s="18">
        <f>I882</f>
        <v>13000</v>
      </c>
      <c r="J881" s="18">
        <f>J882</f>
        <v>11393.46</v>
      </c>
      <c r="K881" s="18">
        <f t="shared" si="572"/>
        <v>87.64</v>
      </c>
      <c r="L881" s="18">
        <f t="shared" si="573"/>
        <v>3572.9300000000003</v>
      </c>
      <c r="M881" s="18">
        <f>M882</f>
        <v>16572.93</v>
      </c>
      <c r="N881" s="18">
        <f>N882</f>
        <v>15000</v>
      </c>
      <c r="O881" s="18">
        <f>O882</f>
        <v>6982.83</v>
      </c>
      <c r="P881" s="26">
        <f t="shared" si="574"/>
        <v>0</v>
      </c>
      <c r="Q881" s="18">
        <f t="shared" ref="Q881:AI881" si="589">Q882</f>
        <v>15000</v>
      </c>
      <c r="R881" s="18">
        <f t="shared" si="589"/>
        <v>17000</v>
      </c>
      <c r="S881" s="18">
        <f t="shared" si="589"/>
        <v>18000</v>
      </c>
      <c r="T881" s="27">
        <f t="shared" si="589"/>
        <v>15000</v>
      </c>
      <c r="U881" s="27">
        <f t="shared" si="589"/>
        <v>12982.65</v>
      </c>
      <c r="V881" s="18">
        <f t="shared" si="589"/>
        <v>15000</v>
      </c>
      <c r="W881" s="18">
        <f t="shared" si="589"/>
        <v>15000</v>
      </c>
      <c r="X881" s="18">
        <f t="shared" si="589"/>
        <v>16000</v>
      </c>
      <c r="Y881" s="18">
        <f t="shared" si="589"/>
        <v>3907.4</v>
      </c>
      <c r="Z881" s="18">
        <f t="shared" si="576"/>
        <v>26.05</v>
      </c>
      <c r="AA881" s="18">
        <f t="shared" si="558"/>
        <v>0</v>
      </c>
      <c r="AB881" s="18">
        <f t="shared" si="589"/>
        <v>15000</v>
      </c>
      <c r="AC881" s="18">
        <f t="shared" si="589"/>
        <v>7496.73</v>
      </c>
      <c r="AD881" s="18">
        <f t="shared" si="570"/>
        <v>49.978199999999994</v>
      </c>
      <c r="AE881" s="18">
        <f t="shared" si="583"/>
        <v>0</v>
      </c>
      <c r="AF881" s="18">
        <f t="shared" si="589"/>
        <v>15000</v>
      </c>
      <c r="AG881" s="18">
        <f t="shared" si="589"/>
        <v>15000</v>
      </c>
      <c r="AH881" s="18">
        <f t="shared" si="589"/>
        <v>15000</v>
      </c>
      <c r="AI881" s="18">
        <f t="shared" si="589"/>
        <v>15000</v>
      </c>
      <c r="AJ881" s="162" t="b">
        <f t="shared" si="565"/>
        <v>1</v>
      </c>
      <c r="AK881" s="162" t="str">
        <f t="shared" si="566"/>
        <v>PRAZNO</v>
      </c>
      <c r="AM881" s="164"/>
    </row>
    <row r="882" spans="1:39" ht="15.75" x14ac:dyDescent="0.2">
      <c r="B882" s="177"/>
      <c r="C882" s="177"/>
      <c r="D882" s="177"/>
      <c r="E882" s="177">
        <v>3231</v>
      </c>
      <c r="F882" s="176">
        <v>11</v>
      </c>
      <c r="G882" s="176" t="s">
        <v>424</v>
      </c>
      <c r="H882" s="16" t="s">
        <v>206</v>
      </c>
      <c r="I882" s="18">
        <v>13000</v>
      </c>
      <c r="J882" s="18">
        <v>11393.46</v>
      </c>
      <c r="K882" s="18">
        <f t="shared" si="572"/>
        <v>87.64</v>
      </c>
      <c r="L882" s="18">
        <f t="shared" si="573"/>
        <v>3572.9300000000003</v>
      </c>
      <c r="M882" s="18">
        <v>16572.93</v>
      </c>
      <c r="N882" s="18">
        <v>15000</v>
      </c>
      <c r="O882" s="18">
        <v>6982.83</v>
      </c>
      <c r="P882" s="26">
        <f t="shared" si="574"/>
        <v>0</v>
      </c>
      <c r="Q882" s="18">
        <v>15000</v>
      </c>
      <c r="R882" s="18">
        <v>17000</v>
      </c>
      <c r="S882" s="18">
        <v>18000</v>
      </c>
      <c r="T882" s="27">
        <v>15000</v>
      </c>
      <c r="U882" s="27">
        <v>12982.65</v>
      </c>
      <c r="V882" s="27">
        <v>15000</v>
      </c>
      <c r="W882" s="27">
        <v>15000</v>
      </c>
      <c r="X882" s="18">
        <v>16000</v>
      </c>
      <c r="Y882" s="27">
        <v>3907.4</v>
      </c>
      <c r="Z882" s="27">
        <f t="shared" si="576"/>
        <v>26.05</v>
      </c>
      <c r="AA882" s="27">
        <f t="shared" si="558"/>
        <v>0</v>
      </c>
      <c r="AB882" s="27">
        <v>15000</v>
      </c>
      <c r="AC882" s="27">
        <v>7496.73</v>
      </c>
      <c r="AD882" s="27">
        <f t="shared" si="570"/>
        <v>49.978199999999994</v>
      </c>
      <c r="AE882" s="27">
        <f t="shared" si="583"/>
        <v>0</v>
      </c>
      <c r="AF882" s="27">
        <v>15000</v>
      </c>
      <c r="AG882" s="27">
        <v>15000</v>
      </c>
      <c r="AH882" s="27">
        <v>15000</v>
      </c>
      <c r="AI882" s="27">
        <v>15000</v>
      </c>
      <c r="AJ882" s="162" t="b">
        <f t="shared" si="565"/>
        <v>0</v>
      </c>
      <c r="AK882" s="162" t="str">
        <f t="shared" si="566"/>
        <v>PUNO</v>
      </c>
      <c r="AM882" s="164"/>
    </row>
    <row r="883" spans="1:39" ht="15.75" x14ac:dyDescent="0.2">
      <c r="B883" s="177"/>
      <c r="C883" s="177"/>
      <c r="D883" s="177">
        <v>329</v>
      </c>
      <c r="E883" s="177"/>
      <c r="F883" s="177"/>
      <c r="G883" s="177"/>
      <c r="H883" s="16" t="s">
        <v>531</v>
      </c>
      <c r="I883" s="18">
        <f>I884</f>
        <v>1000</v>
      </c>
      <c r="J883" s="18">
        <f>J884</f>
        <v>0</v>
      </c>
      <c r="K883" s="18">
        <f t="shared" si="572"/>
        <v>0</v>
      </c>
      <c r="L883" s="18">
        <f t="shared" si="573"/>
        <v>-1000</v>
      </c>
      <c r="M883" s="18">
        <f>M884</f>
        <v>0</v>
      </c>
      <c r="N883" s="18">
        <f>N884</f>
        <v>2000</v>
      </c>
      <c r="O883" s="18">
        <f>O884</f>
        <v>1254.6099999999999</v>
      </c>
      <c r="P883" s="26">
        <f t="shared" si="574"/>
        <v>1000</v>
      </c>
      <c r="Q883" s="18">
        <f t="shared" ref="Q883:AI883" si="590">Q884</f>
        <v>2000</v>
      </c>
      <c r="R883" s="18">
        <f t="shared" si="590"/>
        <v>1000</v>
      </c>
      <c r="S883" s="18">
        <f t="shared" si="590"/>
        <v>2000</v>
      </c>
      <c r="T883" s="27">
        <f t="shared" si="590"/>
        <v>3000</v>
      </c>
      <c r="U883" s="27">
        <f t="shared" si="590"/>
        <v>1354.61</v>
      </c>
      <c r="V883" s="18">
        <f t="shared" si="590"/>
        <v>3000</v>
      </c>
      <c r="W883" s="18">
        <f t="shared" si="590"/>
        <v>3000</v>
      </c>
      <c r="X883" s="18">
        <f t="shared" si="590"/>
        <v>3000</v>
      </c>
      <c r="Y883" s="18">
        <f t="shared" si="590"/>
        <v>1298.75</v>
      </c>
      <c r="Z883" s="18">
        <f t="shared" si="576"/>
        <v>43.29</v>
      </c>
      <c r="AA883" s="18">
        <f t="shared" si="558"/>
        <v>3000</v>
      </c>
      <c r="AB883" s="18">
        <f t="shared" si="590"/>
        <v>6000</v>
      </c>
      <c r="AC883" s="18">
        <f t="shared" si="590"/>
        <v>1298.75</v>
      </c>
      <c r="AD883" s="18">
        <f t="shared" si="570"/>
        <v>21.645833333333332</v>
      </c>
      <c r="AE883" s="18">
        <f t="shared" si="583"/>
        <v>0</v>
      </c>
      <c r="AF883" s="18">
        <f t="shared" si="590"/>
        <v>6000</v>
      </c>
      <c r="AG883" s="18">
        <f t="shared" si="590"/>
        <v>6000</v>
      </c>
      <c r="AH883" s="18">
        <f t="shared" si="590"/>
        <v>6000</v>
      </c>
      <c r="AI883" s="18">
        <f t="shared" si="590"/>
        <v>6000</v>
      </c>
      <c r="AJ883" s="162" t="b">
        <f t="shared" si="565"/>
        <v>1</v>
      </c>
      <c r="AK883" s="162" t="str">
        <f t="shared" si="566"/>
        <v>PRAZNO</v>
      </c>
      <c r="AM883" s="164"/>
    </row>
    <row r="884" spans="1:39" ht="15.75" x14ac:dyDescent="0.2">
      <c r="B884" s="177"/>
      <c r="C884" s="177"/>
      <c r="D884" s="177"/>
      <c r="E884" s="177">
        <v>3299</v>
      </c>
      <c r="F884" s="176">
        <v>11</v>
      </c>
      <c r="G884" s="176" t="s">
        <v>424</v>
      </c>
      <c r="H884" s="16" t="s">
        <v>531</v>
      </c>
      <c r="I884" s="18">
        <v>1000</v>
      </c>
      <c r="J884" s="18">
        <v>0</v>
      </c>
      <c r="K884" s="18">
        <f t="shared" si="572"/>
        <v>0</v>
      </c>
      <c r="L884" s="18">
        <f t="shared" si="573"/>
        <v>-1000</v>
      </c>
      <c r="M884" s="18">
        <v>0</v>
      </c>
      <c r="N884" s="18">
        <v>2000</v>
      </c>
      <c r="O884" s="18">
        <v>1254.6099999999999</v>
      </c>
      <c r="P884" s="26">
        <f t="shared" si="574"/>
        <v>1000</v>
      </c>
      <c r="Q884" s="18">
        <v>2000</v>
      </c>
      <c r="R884" s="18">
        <v>1000</v>
      </c>
      <c r="S884" s="18">
        <v>2000</v>
      </c>
      <c r="T884" s="27">
        <v>3000</v>
      </c>
      <c r="U884" s="27">
        <v>1354.61</v>
      </c>
      <c r="V884" s="27">
        <v>3000</v>
      </c>
      <c r="W884" s="27">
        <v>3000</v>
      </c>
      <c r="X884" s="27">
        <v>3000</v>
      </c>
      <c r="Y884" s="27">
        <v>1298.75</v>
      </c>
      <c r="Z884" s="27">
        <f t="shared" si="576"/>
        <v>43.29</v>
      </c>
      <c r="AA884" s="27">
        <f t="shared" si="558"/>
        <v>3000</v>
      </c>
      <c r="AB884" s="27">
        <v>6000</v>
      </c>
      <c r="AC884" s="27">
        <v>1298.75</v>
      </c>
      <c r="AD884" s="27">
        <f t="shared" si="570"/>
        <v>21.645833333333332</v>
      </c>
      <c r="AE884" s="27">
        <f t="shared" si="583"/>
        <v>0</v>
      </c>
      <c r="AF884" s="27">
        <v>6000</v>
      </c>
      <c r="AG884" s="27">
        <v>6000</v>
      </c>
      <c r="AH884" s="27">
        <v>6000</v>
      </c>
      <c r="AI884" s="27">
        <v>6000</v>
      </c>
      <c r="AJ884" s="162" t="b">
        <f t="shared" si="565"/>
        <v>0</v>
      </c>
      <c r="AK884" s="162" t="str">
        <f t="shared" si="566"/>
        <v>PUNO</v>
      </c>
      <c r="AM884" s="164"/>
    </row>
    <row r="885" spans="1:39" s="171" customFormat="1" ht="31.5" x14ac:dyDescent="0.2">
      <c r="A885" s="259"/>
      <c r="B885" s="168"/>
      <c r="C885" s="168"/>
      <c r="D885" s="168"/>
      <c r="E885" s="168"/>
      <c r="F885" s="168"/>
      <c r="G885" s="168"/>
      <c r="H885" s="13" t="s">
        <v>160</v>
      </c>
      <c r="I885" s="169">
        <f>I887</f>
        <v>7000</v>
      </c>
      <c r="J885" s="169">
        <f>J887</f>
        <v>5573.71</v>
      </c>
      <c r="K885" s="169">
        <f t="shared" si="572"/>
        <v>79.62</v>
      </c>
      <c r="L885" s="169">
        <f t="shared" si="573"/>
        <v>-1426.29</v>
      </c>
      <c r="M885" s="19">
        <f>M887</f>
        <v>5573.71</v>
      </c>
      <c r="N885" s="19">
        <f>N887</f>
        <v>5000</v>
      </c>
      <c r="O885" s="19">
        <f>O887</f>
        <v>3919.11</v>
      </c>
      <c r="P885" s="303">
        <f t="shared" si="574"/>
        <v>0</v>
      </c>
      <c r="Q885" s="19">
        <f t="shared" ref="Q885:X885" si="591">Q887</f>
        <v>5000</v>
      </c>
      <c r="R885" s="19">
        <f t="shared" si="591"/>
        <v>5000</v>
      </c>
      <c r="S885" s="19">
        <f t="shared" si="591"/>
        <v>4000</v>
      </c>
      <c r="T885" s="53">
        <f t="shared" si="591"/>
        <v>5000</v>
      </c>
      <c r="U885" s="53">
        <f>U887</f>
        <v>3919.11</v>
      </c>
      <c r="V885" s="19">
        <f t="shared" si="591"/>
        <v>7000</v>
      </c>
      <c r="W885" s="19">
        <f t="shared" si="591"/>
        <v>7000</v>
      </c>
      <c r="X885" s="19">
        <f t="shared" si="591"/>
        <v>7000</v>
      </c>
      <c r="Y885" s="19">
        <f>Y887</f>
        <v>0</v>
      </c>
      <c r="Z885" s="19">
        <f t="shared" si="576"/>
        <v>0</v>
      </c>
      <c r="AA885" s="19">
        <f t="shared" si="558"/>
        <v>0</v>
      </c>
      <c r="AB885" s="19">
        <f>AB887</f>
        <v>7000</v>
      </c>
      <c r="AC885" s="19">
        <f>AC887</f>
        <v>3457.71</v>
      </c>
      <c r="AD885" s="19">
        <f t="shared" si="570"/>
        <v>49.395857142857139</v>
      </c>
      <c r="AE885" s="19">
        <f t="shared" si="583"/>
        <v>0</v>
      </c>
      <c r="AF885" s="19">
        <f>AF887</f>
        <v>7000</v>
      </c>
      <c r="AG885" s="19">
        <f>AG887</f>
        <v>4000</v>
      </c>
      <c r="AH885" s="19">
        <f>AH887</f>
        <v>4000</v>
      </c>
      <c r="AI885" s="19">
        <f>AI887</f>
        <v>4000</v>
      </c>
      <c r="AJ885" s="162" t="b">
        <f t="shared" si="565"/>
        <v>1</v>
      </c>
      <c r="AK885" s="162" t="str">
        <f t="shared" si="566"/>
        <v>PRAZNO</v>
      </c>
      <c r="AL885" s="170"/>
      <c r="AM885" s="164"/>
    </row>
    <row r="886" spans="1:39" s="264" customFormat="1" ht="15.75" x14ac:dyDescent="0.2">
      <c r="A886" s="259"/>
      <c r="B886" s="260"/>
      <c r="C886" s="260"/>
      <c r="D886" s="260"/>
      <c r="E886" s="260"/>
      <c r="F886" s="260"/>
      <c r="G886" s="260"/>
      <c r="H886" s="440" t="s">
        <v>824</v>
      </c>
      <c r="I886" s="181"/>
      <c r="J886" s="181"/>
      <c r="K886" s="181"/>
      <c r="L886" s="181"/>
      <c r="M886" s="262"/>
      <c r="N886" s="262"/>
      <c r="O886" s="262"/>
      <c r="P886" s="445"/>
      <c r="Q886" s="262"/>
      <c r="R886" s="262"/>
      <c r="S886" s="262"/>
      <c r="T886" s="342"/>
      <c r="U886" s="342"/>
      <c r="V886" s="262">
        <f>V887</f>
        <v>7000</v>
      </c>
      <c r="W886" s="262">
        <f>W887</f>
        <v>7000</v>
      </c>
      <c r="X886" s="262">
        <f>X887</f>
        <v>7000</v>
      </c>
      <c r="Y886" s="262">
        <f>Y887</f>
        <v>0</v>
      </c>
      <c r="Z886" s="262">
        <f t="shared" si="576"/>
        <v>0</v>
      </c>
      <c r="AA886" s="262">
        <f t="shared" si="558"/>
        <v>0</v>
      </c>
      <c r="AB886" s="262">
        <f>AB887</f>
        <v>7000</v>
      </c>
      <c r="AC886" s="262">
        <f>AC887</f>
        <v>3457.71</v>
      </c>
      <c r="AD886" s="262">
        <f t="shared" si="570"/>
        <v>49.395857142857139</v>
      </c>
      <c r="AE886" s="262">
        <f t="shared" si="583"/>
        <v>0</v>
      </c>
      <c r="AF886" s="262">
        <f>AF887</f>
        <v>7000</v>
      </c>
      <c r="AG886" s="262">
        <f>AG887</f>
        <v>4000</v>
      </c>
      <c r="AH886" s="262">
        <f>AH887</f>
        <v>4000</v>
      </c>
      <c r="AI886" s="262">
        <f>AI887</f>
        <v>4000</v>
      </c>
      <c r="AJ886" s="162" t="b">
        <f t="shared" si="565"/>
        <v>1</v>
      </c>
      <c r="AK886" s="162" t="str">
        <f t="shared" si="566"/>
        <v>PRAZNO</v>
      </c>
      <c r="AL886" s="263"/>
    </row>
    <row r="887" spans="1:39" s="174" customFormat="1" ht="15.75" x14ac:dyDescent="0.2">
      <c r="A887" s="259"/>
      <c r="B887" s="172">
        <v>4</v>
      </c>
      <c r="C887" s="172"/>
      <c r="D887" s="172"/>
      <c r="E887" s="172"/>
      <c r="F887" s="172"/>
      <c r="G887" s="172"/>
      <c r="H887" s="14" t="s">
        <v>552</v>
      </c>
      <c r="I887" s="20">
        <f t="shared" ref="I887:AI888" si="592">I888</f>
        <v>7000</v>
      </c>
      <c r="J887" s="20">
        <f t="shared" si="592"/>
        <v>5573.71</v>
      </c>
      <c r="K887" s="20">
        <f t="shared" si="572"/>
        <v>79.62</v>
      </c>
      <c r="L887" s="20">
        <f t="shared" si="573"/>
        <v>-1426.29</v>
      </c>
      <c r="M887" s="20">
        <f t="shared" si="592"/>
        <v>5573.71</v>
      </c>
      <c r="N887" s="20">
        <f t="shared" si="592"/>
        <v>5000</v>
      </c>
      <c r="O887" s="20">
        <f t="shared" si="592"/>
        <v>3919.11</v>
      </c>
      <c r="P887" s="55">
        <f t="shared" si="574"/>
        <v>0</v>
      </c>
      <c r="Q887" s="20">
        <f t="shared" si="592"/>
        <v>5000</v>
      </c>
      <c r="R887" s="20">
        <f t="shared" si="592"/>
        <v>5000</v>
      </c>
      <c r="S887" s="20">
        <f t="shared" si="592"/>
        <v>4000</v>
      </c>
      <c r="T887" s="55">
        <f t="shared" si="592"/>
        <v>5000</v>
      </c>
      <c r="U887" s="55">
        <f t="shared" si="592"/>
        <v>3919.11</v>
      </c>
      <c r="V887" s="20">
        <f t="shared" si="592"/>
        <v>7000</v>
      </c>
      <c r="W887" s="20">
        <f t="shared" si="592"/>
        <v>7000</v>
      </c>
      <c r="X887" s="20">
        <f t="shared" si="592"/>
        <v>7000</v>
      </c>
      <c r="Y887" s="20">
        <f t="shared" si="592"/>
        <v>0</v>
      </c>
      <c r="Z887" s="20">
        <f t="shared" si="576"/>
        <v>0</v>
      </c>
      <c r="AA887" s="20">
        <f t="shared" si="558"/>
        <v>0</v>
      </c>
      <c r="AB887" s="20">
        <f t="shared" si="592"/>
        <v>7000</v>
      </c>
      <c r="AC887" s="20">
        <f t="shared" si="592"/>
        <v>3457.71</v>
      </c>
      <c r="AD887" s="20">
        <f t="shared" si="570"/>
        <v>49.395857142857139</v>
      </c>
      <c r="AE887" s="20">
        <f t="shared" si="583"/>
        <v>0</v>
      </c>
      <c r="AF887" s="20">
        <f t="shared" si="592"/>
        <v>7000</v>
      </c>
      <c r="AG887" s="20">
        <f t="shared" si="592"/>
        <v>4000</v>
      </c>
      <c r="AH887" s="20">
        <f t="shared" si="592"/>
        <v>4000</v>
      </c>
      <c r="AI887" s="20">
        <f t="shared" si="592"/>
        <v>4000</v>
      </c>
      <c r="AJ887" s="162" t="b">
        <f t="shared" si="565"/>
        <v>1</v>
      </c>
      <c r="AK887" s="162" t="str">
        <f t="shared" si="566"/>
        <v>PRAZNO</v>
      </c>
      <c r="AL887" s="173"/>
      <c r="AM887" s="164"/>
    </row>
    <row r="888" spans="1:39" ht="15.75" x14ac:dyDescent="0.2">
      <c r="B888" s="177"/>
      <c r="C888" s="177">
        <v>42</v>
      </c>
      <c r="D888" s="177"/>
      <c r="E888" s="177"/>
      <c r="F888" s="177"/>
      <c r="G888" s="177"/>
      <c r="H888" s="16" t="s">
        <v>212</v>
      </c>
      <c r="I888" s="18">
        <f t="shared" si="592"/>
        <v>7000</v>
      </c>
      <c r="J888" s="18">
        <f t="shared" si="592"/>
        <v>5573.71</v>
      </c>
      <c r="K888" s="18">
        <f t="shared" si="572"/>
        <v>79.62</v>
      </c>
      <c r="L888" s="18">
        <f t="shared" si="573"/>
        <v>-1426.29</v>
      </c>
      <c r="M888" s="18">
        <f t="shared" si="592"/>
        <v>5573.71</v>
      </c>
      <c r="N888" s="18">
        <f t="shared" si="592"/>
        <v>5000</v>
      </c>
      <c r="O888" s="18">
        <f t="shared" si="592"/>
        <v>3919.11</v>
      </c>
      <c r="P888" s="26">
        <f t="shared" si="574"/>
        <v>0</v>
      </c>
      <c r="Q888" s="18">
        <f t="shared" si="592"/>
        <v>5000</v>
      </c>
      <c r="R888" s="18">
        <f t="shared" si="592"/>
        <v>5000</v>
      </c>
      <c r="S888" s="18">
        <f t="shared" si="592"/>
        <v>4000</v>
      </c>
      <c r="T888" s="27">
        <f t="shared" si="592"/>
        <v>5000</v>
      </c>
      <c r="U888" s="27">
        <f t="shared" si="592"/>
        <v>3919.11</v>
      </c>
      <c r="V888" s="18">
        <f t="shared" si="592"/>
        <v>7000</v>
      </c>
      <c r="W888" s="18">
        <f t="shared" si="592"/>
        <v>7000</v>
      </c>
      <c r="X888" s="18">
        <f t="shared" si="592"/>
        <v>7000</v>
      </c>
      <c r="Y888" s="18">
        <f t="shared" si="592"/>
        <v>0</v>
      </c>
      <c r="Z888" s="18">
        <f t="shared" si="576"/>
        <v>0</v>
      </c>
      <c r="AA888" s="18">
        <f t="shared" ref="AA888:AA893" si="593">AB888-V888</f>
        <v>0</v>
      </c>
      <c r="AB888" s="18">
        <f t="shared" si="592"/>
        <v>7000</v>
      </c>
      <c r="AC888" s="18">
        <f t="shared" si="592"/>
        <v>3457.71</v>
      </c>
      <c r="AD888" s="18">
        <f t="shared" si="570"/>
        <v>49.395857142857139</v>
      </c>
      <c r="AE888" s="18">
        <f t="shared" si="583"/>
        <v>0</v>
      </c>
      <c r="AF888" s="18">
        <f t="shared" si="592"/>
        <v>7000</v>
      </c>
      <c r="AG888" s="18">
        <f t="shared" si="592"/>
        <v>4000</v>
      </c>
      <c r="AH888" s="18">
        <f t="shared" si="592"/>
        <v>4000</v>
      </c>
      <c r="AI888" s="18">
        <f t="shared" si="592"/>
        <v>4000</v>
      </c>
      <c r="AJ888" s="162" t="b">
        <f t="shared" si="565"/>
        <v>1</v>
      </c>
      <c r="AK888" s="162" t="str">
        <f t="shared" si="566"/>
        <v>PRAZNO</v>
      </c>
      <c r="AM888" s="164"/>
    </row>
    <row r="889" spans="1:39" ht="15.75" x14ac:dyDescent="0.2">
      <c r="B889" s="177"/>
      <c r="C889" s="177"/>
      <c r="D889" s="177">
        <v>422</v>
      </c>
      <c r="E889" s="177"/>
      <c r="F889" s="177"/>
      <c r="G889" s="177"/>
      <c r="H889" s="16" t="s">
        <v>555</v>
      </c>
      <c r="I889" s="18">
        <f>I890+I891</f>
        <v>7000</v>
      </c>
      <c r="J889" s="18">
        <f>J890+J891</f>
        <v>5573.71</v>
      </c>
      <c r="K889" s="18">
        <f t="shared" si="572"/>
        <v>79.62</v>
      </c>
      <c r="L889" s="18">
        <f t="shared" si="573"/>
        <v>-1426.29</v>
      </c>
      <c r="M889" s="18">
        <f>M890+M891</f>
        <v>5573.71</v>
      </c>
      <c r="N889" s="18">
        <f>N890+N891</f>
        <v>5000</v>
      </c>
      <c r="O889" s="18">
        <f>O890+O891</f>
        <v>3919.11</v>
      </c>
      <c r="P889" s="26">
        <f t="shared" si="574"/>
        <v>0</v>
      </c>
      <c r="Q889" s="18">
        <f t="shared" ref="Q889:X889" si="594">Q890+Q891</f>
        <v>5000</v>
      </c>
      <c r="R889" s="18">
        <f t="shared" si="594"/>
        <v>5000</v>
      </c>
      <c r="S889" s="18">
        <f t="shared" si="594"/>
        <v>4000</v>
      </c>
      <c r="T889" s="27">
        <f t="shared" si="594"/>
        <v>5000</v>
      </c>
      <c r="U889" s="27">
        <f>U890+U891</f>
        <v>3919.11</v>
      </c>
      <c r="V889" s="18">
        <f t="shared" si="594"/>
        <v>7000</v>
      </c>
      <c r="W889" s="18">
        <f t="shared" si="594"/>
        <v>7000</v>
      </c>
      <c r="X889" s="18">
        <f t="shared" si="594"/>
        <v>7000</v>
      </c>
      <c r="Y889" s="18">
        <f>Y890+Y891</f>
        <v>0</v>
      </c>
      <c r="Z889" s="18">
        <f t="shared" si="576"/>
        <v>0</v>
      </c>
      <c r="AA889" s="18">
        <f t="shared" si="593"/>
        <v>0</v>
      </c>
      <c r="AB889" s="18">
        <f>AB890+AB891</f>
        <v>7000</v>
      </c>
      <c r="AC889" s="18">
        <f>AC890+AC891</f>
        <v>3457.71</v>
      </c>
      <c r="AD889" s="18">
        <f t="shared" si="570"/>
        <v>49.395857142857139</v>
      </c>
      <c r="AE889" s="18">
        <f t="shared" si="583"/>
        <v>0</v>
      </c>
      <c r="AF889" s="18">
        <f>AF890+AF891</f>
        <v>7000</v>
      </c>
      <c r="AG889" s="18">
        <f>AG890+AG891</f>
        <v>4000</v>
      </c>
      <c r="AH889" s="18">
        <f>AH890+AH891</f>
        <v>4000</v>
      </c>
      <c r="AI889" s="18">
        <f>AI890+AI891</f>
        <v>4000</v>
      </c>
      <c r="AJ889" s="162" t="b">
        <f t="shared" si="565"/>
        <v>1</v>
      </c>
      <c r="AK889" s="162" t="str">
        <f t="shared" si="566"/>
        <v>PRAZNO</v>
      </c>
      <c r="AM889" s="164"/>
    </row>
    <row r="890" spans="1:39" ht="15.75" x14ac:dyDescent="0.2">
      <c r="B890" s="177"/>
      <c r="C890" s="177"/>
      <c r="D890" s="177"/>
      <c r="E890" s="177">
        <v>4221</v>
      </c>
      <c r="F890" s="176">
        <v>11</v>
      </c>
      <c r="G890" s="176" t="s">
        <v>424</v>
      </c>
      <c r="H890" s="16" t="s">
        <v>558</v>
      </c>
      <c r="I890" s="18">
        <v>7000</v>
      </c>
      <c r="J890" s="18">
        <v>5573.71</v>
      </c>
      <c r="K890" s="18">
        <f t="shared" si="572"/>
        <v>79.62</v>
      </c>
      <c r="L890" s="18">
        <f t="shared" si="573"/>
        <v>-1426.29</v>
      </c>
      <c r="M890" s="18">
        <v>5573.71</v>
      </c>
      <c r="N890" s="18">
        <v>5000</v>
      </c>
      <c r="O890" s="18">
        <v>3919.11</v>
      </c>
      <c r="P890" s="26">
        <f t="shared" si="574"/>
        <v>0</v>
      </c>
      <c r="Q890" s="18">
        <v>5000</v>
      </c>
      <c r="R890" s="18">
        <v>5000</v>
      </c>
      <c r="S890" s="18">
        <v>4000</v>
      </c>
      <c r="T890" s="27">
        <v>5000</v>
      </c>
      <c r="U890" s="27">
        <v>3919.11</v>
      </c>
      <c r="V890" s="18">
        <v>7000</v>
      </c>
      <c r="W890" s="18">
        <v>7000</v>
      </c>
      <c r="X890" s="18">
        <v>7000</v>
      </c>
      <c r="Y890" s="18">
        <v>0</v>
      </c>
      <c r="Z890" s="18">
        <f t="shared" si="576"/>
        <v>0</v>
      </c>
      <c r="AA890" s="18">
        <f t="shared" si="593"/>
        <v>0</v>
      </c>
      <c r="AB890" s="18">
        <v>7000</v>
      </c>
      <c r="AC890" s="18">
        <v>3457.71</v>
      </c>
      <c r="AD890" s="18">
        <f t="shared" si="570"/>
        <v>49.395857142857139</v>
      </c>
      <c r="AE890" s="18">
        <f t="shared" si="583"/>
        <v>0</v>
      </c>
      <c r="AF890" s="18">
        <v>7000</v>
      </c>
      <c r="AG890" s="18">
        <v>4000</v>
      </c>
      <c r="AH890" s="18">
        <v>4000</v>
      </c>
      <c r="AI890" s="18">
        <v>4000</v>
      </c>
      <c r="AJ890" s="162" t="b">
        <f t="shared" si="565"/>
        <v>0</v>
      </c>
      <c r="AK890" s="162" t="str">
        <f t="shared" si="566"/>
        <v>PUNO</v>
      </c>
      <c r="AM890" s="164"/>
    </row>
    <row r="891" spans="1:39" ht="15.75" x14ac:dyDescent="0.2">
      <c r="B891" s="177"/>
      <c r="C891" s="177"/>
      <c r="D891" s="177"/>
      <c r="E891" s="177">
        <v>4222</v>
      </c>
      <c r="F891" s="176">
        <v>11</v>
      </c>
      <c r="G891" s="176" t="s">
        <v>424</v>
      </c>
      <c r="H891" s="16" t="s">
        <v>559</v>
      </c>
      <c r="I891" s="18"/>
      <c r="J891" s="18"/>
      <c r="K891" s="18" t="e">
        <f t="shared" si="572"/>
        <v>#DIV/0!</v>
      </c>
      <c r="L891" s="18">
        <f t="shared" si="573"/>
        <v>0</v>
      </c>
      <c r="M891" s="18"/>
      <c r="N891" s="18"/>
      <c r="O891" s="18"/>
      <c r="P891" s="26">
        <f t="shared" si="574"/>
        <v>0</v>
      </c>
      <c r="Q891" s="18"/>
      <c r="R891" s="18"/>
      <c r="S891" s="18"/>
      <c r="T891" s="27"/>
      <c r="U891" s="27"/>
      <c r="V891" s="18"/>
      <c r="W891" s="18"/>
      <c r="X891" s="18"/>
      <c r="Y891" s="18"/>
      <c r="Z891" s="18" t="e">
        <f t="shared" si="576"/>
        <v>#DIV/0!</v>
      </c>
      <c r="AA891" s="18">
        <f t="shared" si="593"/>
        <v>0</v>
      </c>
      <c r="AB891" s="18"/>
      <c r="AC891" s="18"/>
      <c r="AD891" s="18"/>
      <c r="AE891" s="18">
        <f t="shared" si="583"/>
        <v>0</v>
      </c>
      <c r="AF891" s="18"/>
      <c r="AG891" s="18"/>
      <c r="AH891" s="18"/>
      <c r="AI891" s="18"/>
      <c r="AJ891" s="162" t="b">
        <f t="shared" si="565"/>
        <v>0</v>
      </c>
      <c r="AK891" s="162" t="str">
        <f t="shared" si="566"/>
        <v>PUNO</v>
      </c>
      <c r="AM891" s="164"/>
    </row>
    <row r="892" spans="1:39" s="164" customFormat="1" ht="15.75" x14ac:dyDescent="0.2">
      <c r="A892" s="259"/>
      <c r="B892" s="194"/>
      <c r="C892" s="194"/>
      <c r="D892" s="194"/>
      <c r="E892" s="194"/>
      <c r="F892" s="159"/>
      <c r="G892" s="159"/>
      <c r="H892" s="11" t="s">
        <v>812</v>
      </c>
      <c r="I892" s="195" t="e">
        <f t="shared" ref="I892:O892" si="595">I894+I1013+I1035</f>
        <v>#REF!</v>
      </c>
      <c r="J892" s="195" t="e">
        <f t="shared" si="595"/>
        <v>#REF!</v>
      </c>
      <c r="K892" s="195" t="e">
        <f t="shared" si="595"/>
        <v>#DIV/0!</v>
      </c>
      <c r="L892" s="195" t="e">
        <f t="shared" si="595"/>
        <v>#REF!</v>
      </c>
      <c r="M892" s="195" t="e">
        <f t="shared" si="595"/>
        <v>#REF!</v>
      </c>
      <c r="N892" s="195" t="e">
        <f t="shared" si="595"/>
        <v>#REF!</v>
      </c>
      <c r="O892" s="195" t="e">
        <f t="shared" si="595"/>
        <v>#REF!</v>
      </c>
      <c r="P892" s="351" t="e">
        <f t="shared" si="574"/>
        <v>#REF!</v>
      </c>
      <c r="Q892" s="195" t="e">
        <f t="shared" ref="Q892:Y892" si="596">Q894+Q1013+Q1035</f>
        <v>#REF!</v>
      </c>
      <c r="R892" s="195" t="e">
        <f t="shared" si="596"/>
        <v>#REF!</v>
      </c>
      <c r="S892" s="195" t="e">
        <f t="shared" si="596"/>
        <v>#REF!</v>
      </c>
      <c r="T892" s="195">
        <f t="shared" si="596"/>
        <v>9482000</v>
      </c>
      <c r="U892" s="195">
        <f t="shared" si="596"/>
        <v>8268712.0600000005</v>
      </c>
      <c r="V892" s="195">
        <f t="shared" si="596"/>
        <v>4439000</v>
      </c>
      <c r="W892" s="195" t="e">
        <f t="shared" si="596"/>
        <v>#REF!</v>
      </c>
      <c r="X892" s="195" t="e">
        <f t="shared" si="596"/>
        <v>#REF!</v>
      </c>
      <c r="Y892" s="195">
        <f t="shared" si="596"/>
        <v>508124.65</v>
      </c>
      <c r="Z892" s="195">
        <f t="shared" si="576"/>
        <v>11.45</v>
      </c>
      <c r="AA892" s="195">
        <f t="shared" si="593"/>
        <v>3475</v>
      </c>
      <c r="AB892" s="195">
        <f>AB894+AB1013+AB1035</f>
        <v>4442475</v>
      </c>
      <c r="AC892" s="195">
        <f>AC894+AC1013+AC1035</f>
        <v>904106.11</v>
      </c>
      <c r="AD892" s="195">
        <f t="shared" si="570"/>
        <v>20.351405691647113</v>
      </c>
      <c r="AE892" s="195">
        <f t="shared" si="583"/>
        <v>-292000</v>
      </c>
      <c r="AF892" s="195">
        <f>AF894+AF1013+AF1035</f>
        <v>4150475</v>
      </c>
      <c r="AG892" s="195">
        <f>AG894+AG1013+AG1035</f>
        <v>3907000</v>
      </c>
      <c r="AH892" s="195">
        <f>AH894+AH1013+AH1035</f>
        <v>3954000</v>
      </c>
      <c r="AI892" s="195">
        <f>AI894+AI1013+AI1035</f>
        <v>3971000</v>
      </c>
      <c r="AJ892" s="162" t="b">
        <f t="shared" si="565"/>
        <v>1</v>
      </c>
      <c r="AK892" s="162" t="str">
        <f t="shared" si="566"/>
        <v>PRAZNO</v>
      </c>
      <c r="AL892" s="165"/>
    </row>
    <row r="893" spans="1:39" s="164" customFormat="1" ht="15.75" x14ac:dyDescent="0.2">
      <c r="A893" s="259"/>
      <c r="B893" s="194"/>
      <c r="C893" s="194"/>
      <c r="D893" s="194"/>
      <c r="E893" s="194"/>
      <c r="F893" s="159"/>
      <c r="G893" s="159"/>
      <c r="H893" s="11" t="s">
        <v>421</v>
      </c>
      <c r="I893" s="196"/>
      <c r="J893" s="196"/>
      <c r="K893" s="196" t="e">
        <f t="shared" si="572"/>
        <v>#DIV/0!</v>
      </c>
      <c r="L893" s="196"/>
      <c r="M893" s="195"/>
      <c r="N893" s="195"/>
      <c r="O893" s="195"/>
      <c r="P893" s="353"/>
      <c r="Q893" s="195"/>
      <c r="R893" s="195"/>
      <c r="S893" s="195"/>
      <c r="T893" s="197"/>
      <c r="U893" s="197"/>
      <c r="V893" s="195"/>
      <c r="W893" s="195"/>
      <c r="X893" s="195"/>
      <c r="Y893" s="195"/>
      <c r="Z893" s="195"/>
      <c r="AA893" s="195">
        <f t="shared" si="593"/>
        <v>0</v>
      </c>
      <c r="AB893" s="195"/>
      <c r="AC893" s="195"/>
      <c r="AD893" s="195"/>
      <c r="AE893" s="195"/>
      <c r="AF893" s="195"/>
      <c r="AG893" s="195"/>
      <c r="AH893" s="195"/>
      <c r="AI893" s="195"/>
      <c r="AJ893" s="162" t="b">
        <f t="shared" si="565"/>
        <v>1</v>
      </c>
      <c r="AK893" s="162" t="str">
        <f t="shared" si="566"/>
        <v>PRAZNO</v>
      </c>
      <c r="AL893" s="165"/>
    </row>
    <row r="894" spans="1:39" s="171" customFormat="1" ht="15.75" x14ac:dyDescent="0.2">
      <c r="A894" s="259"/>
      <c r="B894" s="270"/>
      <c r="C894" s="270"/>
      <c r="D894" s="270"/>
      <c r="E894" s="270"/>
      <c r="F894" s="270"/>
      <c r="G894" s="270"/>
      <c r="H894" s="274" t="s">
        <v>715</v>
      </c>
      <c r="I894" s="272">
        <f t="shared" ref="I894:AC894" si="597">I902+I918+I924+I931+I937+I943+I949+I956+I962+I968+I973+I978+I984+I989+I995+I1001+I896+I1007</f>
        <v>1853000</v>
      </c>
      <c r="J894" s="272">
        <f t="shared" si="597"/>
        <v>810123.06</v>
      </c>
      <c r="K894" s="272" t="e">
        <f t="shared" si="597"/>
        <v>#DIV/0!</v>
      </c>
      <c r="L894" s="272">
        <f t="shared" si="597"/>
        <v>-159812.00999999992</v>
      </c>
      <c r="M894" s="272">
        <f t="shared" si="597"/>
        <v>1693187.99</v>
      </c>
      <c r="N894" s="272">
        <f t="shared" si="597"/>
        <v>6967000</v>
      </c>
      <c r="O894" s="272">
        <f t="shared" si="597"/>
        <v>5973981.5300000003</v>
      </c>
      <c r="P894" s="272">
        <f t="shared" si="597"/>
        <v>466000</v>
      </c>
      <c r="Q894" s="272">
        <f t="shared" si="597"/>
        <v>6967000</v>
      </c>
      <c r="R894" s="272">
        <f t="shared" si="597"/>
        <v>1220000</v>
      </c>
      <c r="S894" s="272">
        <f t="shared" si="597"/>
        <v>1230000</v>
      </c>
      <c r="T894" s="272">
        <f t="shared" si="597"/>
        <v>7433000</v>
      </c>
      <c r="U894" s="272">
        <f t="shared" si="597"/>
        <v>7075029.75</v>
      </c>
      <c r="V894" s="272">
        <f t="shared" si="597"/>
        <v>1910000</v>
      </c>
      <c r="W894" s="272">
        <f t="shared" si="597"/>
        <v>1963000</v>
      </c>
      <c r="X894" s="272">
        <f t="shared" si="597"/>
        <v>1970000</v>
      </c>
      <c r="Y894" s="272">
        <f t="shared" si="597"/>
        <v>319684</v>
      </c>
      <c r="Z894" s="272" t="e">
        <f t="shared" si="597"/>
        <v>#DIV/0!</v>
      </c>
      <c r="AA894" s="272">
        <f t="shared" si="597"/>
        <v>353475</v>
      </c>
      <c r="AB894" s="272">
        <f t="shared" si="597"/>
        <v>2263475</v>
      </c>
      <c r="AC894" s="272">
        <f t="shared" si="597"/>
        <v>502760.35</v>
      </c>
      <c r="AD894" s="272">
        <f t="shared" si="570"/>
        <v>22.21187996333072</v>
      </c>
      <c r="AE894" s="272">
        <f t="shared" si="583"/>
        <v>-292000</v>
      </c>
      <c r="AF894" s="272">
        <f>AF902+AF918+AF924+AF931+AF937+AF943+AF949+AF956+AF962+AF968+AF973+AF978+AF984+AF989+AF995+AF1001+AF896+AF1007</f>
        <v>1971475</v>
      </c>
      <c r="AG894" s="272">
        <f>AG902+AG918+AG924+AG931+AG937+AG943+AG949+AG956+AG962+AG968+AG973+AG978+AG984+AG989+AG995+AG1001+AG896+AG1007</f>
        <v>1871000</v>
      </c>
      <c r="AH894" s="272">
        <f>AH902+AH918+AH924+AH931+AH937+AH943+AH949+AH956+AH962+AH968+AH973+AH978+AH984+AH989+AH995+AH1001+AH896+AH1007</f>
        <v>1845000</v>
      </c>
      <c r="AI894" s="272">
        <f>AI902+AI918+AI924+AI931+AI937+AI943+AI949+AI956+AI962+AI968+AI973+AI978+AI984+AI989+AI995+AI1001+AI896+AI1007</f>
        <v>1862000</v>
      </c>
      <c r="AJ894" s="162" t="b">
        <f t="shared" si="565"/>
        <v>1</v>
      </c>
      <c r="AK894" s="162" t="str">
        <f t="shared" si="566"/>
        <v>PRAZNO</v>
      </c>
      <c r="AL894" s="170"/>
      <c r="AM894" s="164"/>
    </row>
    <row r="895" spans="1:39" s="171" customFormat="1" ht="31.5" x14ac:dyDescent="0.2">
      <c r="A895" s="259"/>
      <c r="B895" s="168"/>
      <c r="C895" s="168"/>
      <c r="D895" s="168"/>
      <c r="E895" s="168"/>
      <c r="F895" s="168"/>
      <c r="G895" s="168"/>
      <c r="H895" s="13" t="s">
        <v>807</v>
      </c>
      <c r="I895" s="169"/>
      <c r="J895" s="169"/>
      <c r="K895" s="169"/>
      <c r="L895" s="169"/>
      <c r="M895" s="19"/>
      <c r="N895" s="19"/>
      <c r="O895" s="19"/>
      <c r="P895" s="303"/>
      <c r="Q895" s="19"/>
      <c r="R895" s="19"/>
      <c r="S895" s="19"/>
      <c r="T895" s="53"/>
      <c r="U895" s="53"/>
      <c r="V895" s="19"/>
      <c r="W895" s="19"/>
      <c r="X895" s="19"/>
      <c r="Y895" s="19"/>
      <c r="Z895" s="19"/>
      <c r="AA895" s="19"/>
      <c r="AB895" s="19"/>
      <c r="AC895" s="19"/>
      <c r="AD895" s="19"/>
      <c r="AE895" s="19">
        <f t="shared" si="583"/>
        <v>0</v>
      </c>
      <c r="AF895" s="19"/>
      <c r="AG895" s="19"/>
      <c r="AH895" s="19"/>
      <c r="AI895" s="19"/>
      <c r="AJ895" s="162" t="b">
        <f t="shared" si="565"/>
        <v>1</v>
      </c>
      <c r="AK895" s="162" t="str">
        <f t="shared" si="566"/>
        <v>PRAZNO</v>
      </c>
      <c r="AL895" s="170"/>
      <c r="AM895" s="164"/>
    </row>
    <row r="896" spans="1:39" s="171" customFormat="1" ht="31.5" customHeight="1" x14ac:dyDescent="0.2">
      <c r="A896" s="259"/>
      <c r="B896" s="168"/>
      <c r="C896" s="168"/>
      <c r="D896" s="168"/>
      <c r="E896" s="168"/>
      <c r="F896" s="168"/>
      <c r="G896" s="168"/>
      <c r="H896" s="13" t="s">
        <v>99</v>
      </c>
      <c r="I896" s="53">
        <f t="shared" ref="I896:O898" si="598">I897</f>
        <v>0</v>
      </c>
      <c r="J896" s="53">
        <f t="shared" si="598"/>
        <v>0</v>
      </c>
      <c r="K896" s="53">
        <f t="shared" si="598"/>
        <v>0</v>
      </c>
      <c r="L896" s="53">
        <f t="shared" si="598"/>
        <v>0</v>
      </c>
      <c r="M896" s="53">
        <f t="shared" si="598"/>
        <v>0</v>
      </c>
      <c r="N896" s="19">
        <f t="shared" si="598"/>
        <v>5200000</v>
      </c>
      <c r="O896" s="19">
        <f t="shared" si="598"/>
        <v>5200000</v>
      </c>
      <c r="P896" s="303">
        <f t="shared" si="574"/>
        <v>441000</v>
      </c>
      <c r="Q896" s="19">
        <f>Q897</f>
        <v>5200000</v>
      </c>
      <c r="R896" s="19"/>
      <c r="S896" s="19"/>
      <c r="T896" s="53">
        <f t="shared" ref="T896:AI898" si="599">T897</f>
        <v>5641000</v>
      </c>
      <c r="U896" s="53">
        <f t="shared" si="599"/>
        <v>5631413.3700000001</v>
      </c>
      <c r="V896" s="19">
        <f t="shared" si="599"/>
        <v>0</v>
      </c>
      <c r="W896" s="19">
        <f t="shared" si="599"/>
        <v>0</v>
      </c>
      <c r="X896" s="19">
        <f t="shared" si="599"/>
        <v>0</v>
      </c>
      <c r="Y896" s="19">
        <f t="shared" si="599"/>
        <v>0</v>
      </c>
      <c r="Z896" s="19" t="e">
        <f t="shared" si="576"/>
        <v>#DIV/0!</v>
      </c>
      <c r="AA896" s="19">
        <f t="shared" ref="AA896:AA959" si="600">AB896-V896</f>
        <v>0</v>
      </c>
      <c r="AB896" s="19">
        <f t="shared" si="599"/>
        <v>0</v>
      </c>
      <c r="AC896" s="19">
        <f t="shared" si="599"/>
        <v>0</v>
      </c>
      <c r="AD896" s="19"/>
      <c r="AE896" s="19">
        <f t="shared" si="583"/>
        <v>0</v>
      </c>
      <c r="AF896" s="19">
        <f t="shared" si="599"/>
        <v>0</v>
      </c>
      <c r="AG896" s="19">
        <f t="shared" si="599"/>
        <v>0</v>
      </c>
      <c r="AH896" s="19">
        <f t="shared" si="599"/>
        <v>0</v>
      </c>
      <c r="AI896" s="19">
        <f t="shared" si="599"/>
        <v>0</v>
      </c>
      <c r="AJ896" s="162" t="b">
        <f t="shared" si="565"/>
        <v>1</v>
      </c>
      <c r="AK896" s="162" t="str">
        <f t="shared" si="566"/>
        <v>PRAZNO</v>
      </c>
      <c r="AL896" s="170"/>
      <c r="AM896" s="164"/>
    </row>
    <row r="897" spans="1:39" s="174" customFormat="1" ht="15.75" customHeight="1" x14ac:dyDescent="0.2">
      <c r="A897" s="259"/>
      <c r="B897" s="172">
        <v>3</v>
      </c>
      <c r="C897" s="172"/>
      <c r="D897" s="172"/>
      <c r="E897" s="172"/>
      <c r="F897" s="172"/>
      <c r="G897" s="172"/>
      <c r="H897" s="14" t="s">
        <v>524</v>
      </c>
      <c r="I897" s="55">
        <f t="shared" si="598"/>
        <v>0</v>
      </c>
      <c r="J897" s="55">
        <f t="shared" si="598"/>
        <v>0</v>
      </c>
      <c r="K897" s="55">
        <f t="shared" si="598"/>
        <v>0</v>
      </c>
      <c r="L897" s="55">
        <f t="shared" si="598"/>
        <v>0</v>
      </c>
      <c r="M897" s="55">
        <f t="shared" si="598"/>
        <v>0</v>
      </c>
      <c r="N897" s="20">
        <f t="shared" si="598"/>
        <v>5200000</v>
      </c>
      <c r="O897" s="20">
        <f t="shared" si="598"/>
        <v>5200000</v>
      </c>
      <c r="P897" s="55">
        <f t="shared" si="574"/>
        <v>441000</v>
      </c>
      <c r="Q897" s="20">
        <f>Q898</f>
        <v>5200000</v>
      </c>
      <c r="R897" s="20"/>
      <c r="S897" s="20"/>
      <c r="T897" s="55">
        <f t="shared" si="599"/>
        <v>5641000</v>
      </c>
      <c r="U897" s="55">
        <f t="shared" si="599"/>
        <v>5631413.3700000001</v>
      </c>
      <c r="V897" s="20">
        <f t="shared" si="599"/>
        <v>0</v>
      </c>
      <c r="W897" s="20">
        <f t="shared" si="599"/>
        <v>0</v>
      </c>
      <c r="X897" s="20">
        <f t="shared" si="599"/>
        <v>0</v>
      </c>
      <c r="Y897" s="20">
        <f t="shared" si="599"/>
        <v>0</v>
      </c>
      <c r="Z897" s="20" t="e">
        <f t="shared" si="576"/>
        <v>#DIV/0!</v>
      </c>
      <c r="AA897" s="20">
        <f t="shared" si="600"/>
        <v>0</v>
      </c>
      <c r="AB897" s="20">
        <f t="shared" si="599"/>
        <v>0</v>
      </c>
      <c r="AC897" s="20">
        <f t="shared" si="599"/>
        <v>0</v>
      </c>
      <c r="AD897" s="20" t="e">
        <f t="shared" si="570"/>
        <v>#DIV/0!</v>
      </c>
      <c r="AE897" s="20">
        <f t="shared" si="583"/>
        <v>0</v>
      </c>
      <c r="AF897" s="20">
        <f t="shared" si="599"/>
        <v>0</v>
      </c>
      <c r="AG897" s="20">
        <f t="shared" si="599"/>
        <v>0</v>
      </c>
      <c r="AH897" s="20">
        <f t="shared" si="599"/>
        <v>0</v>
      </c>
      <c r="AI897" s="20">
        <f t="shared" si="599"/>
        <v>0</v>
      </c>
      <c r="AJ897" s="162" t="b">
        <f t="shared" si="565"/>
        <v>1</v>
      </c>
      <c r="AK897" s="162" t="str">
        <f t="shared" si="566"/>
        <v>PRAZNO</v>
      </c>
      <c r="AL897" s="173"/>
      <c r="AM897" s="164"/>
    </row>
    <row r="898" spans="1:39" ht="18" customHeight="1" x14ac:dyDescent="0.2">
      <c r="B898" s="177"/>
      <c r="C898" s="177">
        <v>34</v>
      </c>
      <c r="D898" s="177"/>
      <c r="E898" s="177"/>
      <c r="F898" s="177"/>
      <c r="G898" s="177"/>
      <c r="H898" s="16" t="s">
        <v>208</v>
      </c>
      <c r="I898" s="27">
        <f t="shared" si="598"/>
        <v>0</v>
      </c>
      <c r="J898" s="27">
        <f t="shared" si="598"/>
        <v>0</v>
      </c>
      <c r="K898" s="27">
        <f t="shared" si="598"/>
        <v>0</v>
      </c>
      <c r="L898" s="27">
        <f t="shared" si="598"/>
        <v>0</v>
      </c>
      <c r="M898" s="27">
        <f t="shared" si="598"/>
        <v>0</v>
      </c>
      <c r="N898" s="18">
        <f t="shared" si="598"/>
        <v>5200000</v>
      </c>
      <c r="O898" s="18">
        <f t="shared" si="598"/>
        <v>5200000</v>
      </c>
      <c r="P898" s="26">
        <f t="shared" si="574"/>
        <v>441000</v>
      </c>
      <c r="Q898" s="18">
        <f>Q899</f>
        <v>5200000</v>
      </c>
      <c r="R898" s="18"/>
      <c r="S898" s="18"/>
      <c r="T898" s="27">
        <f t="shared" si="599"/>
        <v>5641000</v>
      </c>
      <c r="U898" s="27">
        <f t="shared" si="599"/>
        <v>5631413.3700000001</v>
      </c>
      <c r="V898" s="18">
        <f t="shared" si="599"/>
        <v>0</v>
      </c>
      <c r="W898" s="18">
        <f t="shared" si="599"/>
        <v>0</v>
      </c>
      <c r="X898" s="18">
        <f t="shared" si="599"/>
        <v>0</v>
      </c>
      <c r="Y898" s="18">
        <f t="shared" si="599"/>
        <v>0</v>
      </c>
      <c r="Z898" s="18" t="e">
        <f t="shared" si="576"/>
        <v>#DIV/0!</v>
      </c>
      <c r="AA898" s="18">
        <f t="shared" si="600"/>
        <v>0</v>
      </c>
      <c r="AB898" s="18">
        <f t="shared" si="599"/>
        <v>0</v>
      </c>
      <c r="AC898" s="18">
        <f t="shared" si="599"/>
        <v>0</v>
      </c>
      <c r="AD898" s="18" t="e">
        <f t="shared" si="570"/>
        <v>#DIV/0!</v>
      </c>
      <c r="AE898" s="18">
        <f t="shared" si="583"/>
        <v>0</v>
      </c>
      <c r="AF898" s="18">
        <f t="shared" si="599"/>
        <v>0</v>
      </c>
      <c r="AG898" s="18">
        <f t="shared" si="599"/>
        <v>0</v>
      </c>
      <c r="AH898" s="18">
        <f t="shared" si="599"/>
        <v>0</v>
      </c>
      <c r="AI898" s="18">
        <f t="shared" si="599"/>
        <v>0</v>
      </c>
      <c r="AJ898" s="162" t="b">
        <f t="shared" si="565"/>
        <v>1</v>
      </c>
      <c r="AK898" s="162" t="str">
        <f t="shared" si="566"/>
        <v>PRAZNO</v>
      </c>
      <c r="AM898" s="164"/>
    </row>
    <row r="899" spans="1:39" ht="15.75" customHeight="1" x14ac:dyDescent="0.2">
      <c r="B899" s="177"/>
      <c r="C899" s="177"/>
      <c r="D899" s="177">
        <v>343</v>
      </c>
      <c r="E899" s="177"/>
      <c r="F899" s="177"/>
      <c r="G899" s="177"/>
      <c r="H899" s="16" t="s">
        <v>209</v>
      </c>
      <c r="I899" s="27">
        <f>I900+I901</f>
        <v>0</v>
      </c>
      <c r="J899" s="27">
        <f>J900+J901</f>
        <v>0</v>
      </c>
      <c r="K899" s="27">
        <f>K900+K901</f>
        <v>0</v>
      </c>
      <c r="L899" s="27">
        <f>L900+L901</f>
        <v>0</v>
      </c>
      <c r="M899" s="27">
        <f>M900+M901</f>
        <v>0</v>
      </c>
      <c r="N899" s="18">
        <f>N901+N900</f>
        <v>5200000</v>
      </c>
      <c r="O899" s="18">
        <f>O901+O900</f>
        <v>5200000</v>
      </c>
      <c r="P899" s="26">
        <f t="shared" si="574"/>
        <v>441000</v>
      </c>
      <c r="Q899" s="18">
        <f>Q901+Q900</f>
        <v>5200000</v>
      </c>
      <c r="R899" s="18"/>
      <c r="S899" s="18"/>
      <c r="T899" s="27">
        <f t="shared" ref="T899:Y899" si="601">T901+T900</f>
        <v>5641000</v>
      </c>
      <c r="U899" s="27">
        <f t="shared" si="601"/>
        <v>5631413.3700000001</v>
      </c>
      <c r="V899" s="18">
        <f t="shared" si="601"/>
        <v>0</v>
      </c>
      <c r="W899" s="18">
        <f t="shared" si="601"/>
        <v>0</v>
      </c>
      <c r="X899" s="18">
        <f t="shared" si="601"/>
        <v>0</v>
      </c>
      <c r="Y899" s="18">
        <f t="shared" si="601"/>
        <v>0</v>
      </c>
      <c r="Z899" s="18" t="e">
        <f t="shared" si="576"/>
        <v>#DIV/0!</v>
      </c>
      <c r="AA899" s="18">
        <f t="shared" si="600"/>
        <v>0</v>
      </c>
      <c r="AB899" s="18">
        <f>AB901+AB900</f>
        <v>0</v>
      </c>
      <c r="AC899" s="18">
        <f>AC901+AC900</f>
        <v>0</v>
      </c>
      <c r="AD899" s="18" t="e">
        <f t="shared" si="570"/>
        <v>#DIV/0!</v>
      </c>
      <c r="AE899" s="18">
        <f t="shared" si="583"/>
        <v>0</v>
      </c>
      <c r="AF899" s="18">
        <f>AF901+AF900</f>
        <v>0</v>
      </c>
      <c r="AG899" s="18">
        <f>AG901+AG900</f>
        <v>0</v>
      </c>
      <c r="AH899" s="18">
        <f>AH901+AH900</f>
        <v>0</v>
      </c>
      <c r="AI899" s="18">
        <f>AI901+AI900</f>
        <v>0</v>
      </c>
      <c r="AJ899" s="162" t="b">
        <f t="shared" si="565"/>
        <v>1</v>
      </c>
      <c r="AK899" s="162" t="str">
        <f t="shared" si="566"/>
        <v>PRAZNO</v>
      </c>
      <c r="AM899" s="164"/>
    </row>
    <row r="900" spans="1:39" ht="15.75" customHeight="1" x14ac:dyDescent="0.2">
      <c r="B900" s="177"/>
      <c r="C900" s="177"/>
      <c r="D900" s="177"/>
      <c r="E900" s="177">
        <v>3434</v>
      </c>
      <c r="F900" s="177">
        <v>14</v>
      </c>
      <c r="G900" s="177"/>
      <c r="H900" s="16" t="s">
        <v>403</v>
      </c>
      <c r="I900" s="27">
        <v>0</v>
      </c>
      <c r="J900" s="27">
        <v>0</v>
      </c>
      <c r="K900" s="27">
        <v>0</v>
      </c>
      <c r="L900" s="27">
        <v>0</v>
      </c>
      <c r="M900" s="27">
        <v>0</v>
      </c>
      <c r="N900" s="18">
        <v>3663985</v>
      </c>
      <c r="O900" s="18">
        <v>3663985</v>
      </c>
      <c r="P900" s="26">
        <f t="shared" si="574"/>
        <v>352015</v>
      </c>
      <c r="Q900" s="18">
        <v>3663985</v>
      </c>
      <c r="R900" s="18"/>
      <c r="S900" s="18"/>
      <c r="T900" s="266">
        <f>4146000-130000</f>
        <v>4016000</v>
      </c>
      <c r="U900" s="266">
        <v>4040312.8</v>
      </c>
      <c r="V900" s="18">
        <v>0</v>
      </c>
      <c r="W900" s="18">
        <v>0</v>
      </c>
      <c r="X900" s="18">
        <v>0</v>
      </c>
      <c r="Y900" s="18"/>
      <c r="Z900" s="18" t="e">
        <f t="shared" si="576"/>
        <v>#DIV/0!</v>
      </c>
      <c r="AA900" s="18">
        <f t="shared" si="600"/>
        <v>0</v>
      </c>
      <c r="AB900" s="18">
        <v>0</v>
      </c>
      <c r="AC900" s="18"/>
      <c r="AD900" s="18" t="e">
        <f t="shared" si="570"/>
        <v>#DIV/0!</v>
      </c>
      <c r="AE900" s="18">
        <f t="shared" si="583"/>
        <v>0</v>
      </c>
      <c r="AF900" s="18">
        <v>0</v>
      </c>
      <c r="AG900" s="18">
        <v>0</v>
      </c>
      <c r="AH900" s="18">
        <v>0</v>
      </c>
      <c r="AI900" s="18">
        <v>0</v>
      </c>
      <c r="AJ900" s="162" t="b">
        <f t="shared" si="565"/>
        <v>0</v>
      </c>
      <c r="AK900" s="162" t="str">
        <f t="shared" si="566"/>
        <v>PUNO</v>
      </c>
      <c r="AM900" s="164"/>
    </row>
    <row r="901" spans="1:39" ht="15.75" customHeight="1" x14ac:dyDescent="0.2">
      <c r="B901" s="177"/>
      <c r="C901" s="177"/>
      <c r="D901" s="177"/>
      <c r="E901" s="177">
        <v>3434</v>
      </c>
      <c r="F901" s="176">
        <v>18</v>
      </c>
      <c r="G901" s="176" t="s">
        <v>424</v>
      </c>
      <c r="H901" s="16" t="s">
        <v>403</v>
      </c>
      <c r="I901" s="27">
        <v>0</v>
      </c>
      <c r="J901" s="27">
        <v>0</v>
      </c>
      <c r="K901" s="27">
        <v>0</v>
      </c>
      <c r="L901" s="27">
        <v>0</v>
      </c>
      <c r="M901" s="27">
        <v>0</v>
      </c>
      <c r="N901" s="178">
        <f>5200000-3663985</f>
        <v>1536015</v>
      </c>
      <c r="O901" s="178">
        <v>1536015</v>
      </c>
      <c r="P901" s="26">
        <f t="shared" si="574"/>
        <v>88985</v>
      </c>
      <c r="Q901" s="178">
        <f>5200000-3663985</f>
        <v>1536015</v>
      </c>
      <c r="R901" s="178"/>
      <c r="S901" s="178"/>
      <c r="T901" s="266">
        <f>1495000+130000</f>
        <v>1625000</v>
      </c>
      <c r="U901" s="266">
        <v>1591100.57</v>
      </c>
      <c r="V901" s="178">
        <v>0</v>
      </c>
      <c r="W901" s="178">
        <v>0</v>
      </c>
      <c r="X901" s="178">
        <v>0</v>
      </c>
      <c r="Y901" s="178"/>
      <c r="Z901" s="178" t="e">
        <f t="shared" si="576"/>
        <v>#DIV/0!</v>
      </c>
      <c r="AA901" s="178">
        <f t="shared" si="600"/>
        <v>0</v>
      </c>
      <c r="AB901" s="178">
        <v>0</v>
      </c>
      <c r="AC901" s="178"/>
      <c r="AD901" s="178" t="e">
        <f t="shared" si="570"/>
        <v>#DIV/0!</v>
      </c>
      <c r="AE901" s="178">
        <f t="shared" si="583"/>
        <v>0</v>
      </c>
      <c r="AF901" s="178">
        <v>0</v>
      </c>
      <c r="AG901" s="178">
        <v>0</v>
      </c>
      <c r="AH901" s="178">
        <v>0</v>
      </c>
      <c r="AI901" s="178">
        <v>0</v>
      </c>
      <c r="AJ901" s="162" t="b">
        <f t="shared" si="565"/>
        <v>0</v>
      </c>
      <c r="AK901" s="162" t="str">
        <f t="shared" si="566"/>
        <v>PUNO</v>
      </c>
      <c r="AM901" s="164"/>
    </row>
    <row r="902" spans="1:39" s="171" customFormat="1" ht="15.75" x14ac:dyDescent="0.2">
      <c r="A902" s="259"/>
      <c r="B902" s="168"/>
      <c r="C902" s="168"/>
      <c r="D902" s="168"/>
      <c r="E902" s="168"/>
      <c r="F902" s="168"/>
      <c r="G902" s="168"/>
      <c r="H902" s="13" t="s">
        <v>587</v>
      </c>
      <c r="I902" s="169">
        <f>I904</f>
        <v>200000</v>
      </c>
      <c r="J902" s="169">
        <f>J904</f>
        <v>118128.7</v>
      </c>
      <c r="K902" s="169">
        <f t="shared" si="572"/>
        <v>59.06</v>
      </c>
      <c r="L902" s="169">
        <f t="shared" si="573"/>
        <v>40515.700000000012</v>
      </c>
      <c r="M902" s="19">
        <f>M904</f>
        <v>240515.7</v>
      </c>
      <c r="N902" s="19">
        <f>N904</f>
        <v>205000</v>
      </c>
      <c r="O902" s="19">
        <f>O904</f>
        <v>90300</v>
      </c>
      <c r="P902" s="303">
        <f t="shared" si="574"/>
        <v>0</v>
      </c>
      <c r="Q902" s="19">
        <f t="shared" ref="Q902:X902" si="602">Q904</f>
        <v>205000</v>
      </c>
      <c r="R902" s="19">
        <f t="shared" si="602"/>
        <v>245000</v>
      </c>
      <c r="S902" s="19">
        <f t="shared" si="602"/>
        <v>245000</v>
      </c>
      <c r="T902" s="53">
        <f t="shared" si="602"/>
        <v>205000</v>
      </c>
      <c r="U902" s="53">
        <f>U904</f>
        <v>124100</v>
      </c>
      <c r="V902" s="19">
        <f t="shared" si="602"/>
        <v>280000</v>
      </c>
      <c r="W902" s="19">
        <f t="shared" si="602"/>
        <v>333000</v>
      </c>
      <c r="X902" s="19">
        <f t="shared" si="602"/>
        <v>340000</v>
      </c>
      <c r="Y902" s="19">
        <f>Y904</f>
        <v>42187.5</v>
      </c>
      <c r="Z902" s="19">
        <f t="shared" si="576"/>
        <v>15.07</v>
      </c>
      <c r="AA902" s="19">
        <f t="shared" si="600"/>
        <v>130950</v>
      </c>
      <c r="AB902" s="19">
        <f>AB904</f>
        <v>410950</v>
      </c>
      <c r="AC902" s="19">
        <f>AC904</f>
        <v>42187.5</v>
      </c>
      <c r="AD902" s="19">
        <f t="shared" si="570"/>
        <v>10.265847426694245</v>
      </c>
      <c r="AE902" s="19">
        <f t="shared" si="583"/>
        <v>0</v>
      </c>
      <c r="AF902" s="19">
        <f>AF904</f>
        <v>410950</v>
      </c>
      <c r="AG902" s="19">
        <f>AG904</f>
        <v>426000</v>
      </c>
      <c r="AH902" s="19">
        <f>AH904</f>
        <v>360000</v>
      </c>
      <c r="AI902" s="19">
        <f>AI904</f>
        <v>367000</v>
      </c>
      <c r="AJ902" s="162" t="b">
        <f t="shared" si="565"/>
        <v>1</v>
      </c>
      <c r="AK902" s="162" t="str">
        <f t="shared" si="566"/>
        <v>PRAZNO</v>
      </c>
      <c r="AL902" s="170"/>
      <c r="AM902" s="164"/>
    </row>
    <row r="903" spans="1:39" s="264" customFormat="1" ht="15.75" x14ac:dyDescent="0.2">
      <c r="A903" s="259"/>
      <c r="B903" s="260"/>
      <c r="C903" s="260"/>
      <c r="D903" s="260"/>
      <c r="E903" s="260"/>
      <c r="F903" s="260"/>
      <c r="G903" s="260"/>
      <c r="H903" s="440" t="s">
        <v>824</v>
      </c>
      <c r="I903" s="181"/>
      <c r="J903" s="181"/>
      <c r="K903" s="181"/>
      <c r="L903" s="181"/>
      <c r="M903" s="262"/>
      <c r="N903" s="262"/>
      <c r="O903" s="262"/>
      <c r="P903" s="445"/>
      <c r="Q903" s="262"/>
      <c r="R903" s="262"/>
      <c r="S903" s="262"/>
      <c r="T903" s="342"/>
      <c r="U903" s="342"/>
      <c r="V903" s="262">
        <f>V904</f>
        <v>280000</v>
      </c>
      <c r="W903" s="262">
        <f>W904</f>
        <v>333000</v>
      </c>
      <c r="X903" s="262">
        <f>X904</f>
        <v>340000</v>
      </c>
      <c r="Y903" s="262">
        <f>Y904</f>
        <v>42187.5</v>
      </c>
      <c r="Z903" s="262">
        <f t="shared" si="576"/>
        <v>15.07</v>
      </c>
      <c r="AA903" s="262">
        <f t="shared" si="600"/>
        <v>130950</v>
      </c>
      <c r="AB903" s="262">
        <f>AB904</f>
        <v>410950</v>
      </c>
      <c r="AC903" s="262">
        <f>AC904</f>
        <v>42187.5</v>
      </c>
      <c r="AD903" s="262">
        <f t="shared" si="570"/>
        <v>10.265847426694245</v>
      </c>
      <c r="AE903" s="262">
        <f t="shared" si="583"/>
        <v>0</v>
      </c>
      <c r="AF903" s="262">
        <f>AF904</f>
        <v>410950</v>
      </c>
      <c r="AG903" s="262">
        <f>AG904</f>
        <v>426000</v>
      </c>
      <c r="AH903" s="262">
        <f>AH904</f>
        <v>360000</v>
      </c>
      <c r="AI903" s="262">
        <f>AI904</f>
        <v>367000</v>
      </c>
      <c r="AJ903" s="162" t="b">
        <f t="shared" si="565"/>
        <v>1</v>
      </c>
      <c r="AK903" s="162" t="str">
        <f t="shared" si="566"/>
        <v>PRAZNO</v>
      </c>
      <c r="AL903" s="263"/>
    </row>
    <row r="904" spans="1:39" s="174" customFormat="1" ht="15.75" x14ac:dyDescent="0.2">
      <c r="A904" s="259"/>
      <c r="B904" s="172">
        <v>3</v>
      </c>
      <c r="C904" s="172"/>
      <c r="D904" s="172"/>
      <c r="E904" s="172"/>
      <c r="F904" s="172"/>
      <c r="G904" s="172"/>
      <c r="H904" s="14" t="s">
        <v>524</v>
      </c>
      <c r="I904" s="20">
        <f t="shared" ref="I904:AI905" si="603">I905</f>
        <v>200000</v>
      </c>
      <c r="J904" s="20">
        <f t="shared" si="603"/>
        <v>118128.7</v>
      </c>
      <c r="K904" s="20">
        <f t="shared" si="572"/>
        <v>59.06</v>
      </c>
      <c r="L904" s="20">
        <f t="shared" si="573"/>
        <v>40515.700000000012</v>
      </c>
      <c r="M904" s="20">
        <f t="shared" si="603"/>
        <v>240515.7</v>
      </c>
      <c r="N904" s="20">
        <f t="shared" si="603"/>
        <v>205000</v>
      </c>
      <c r="O904" s="20">
        <f t="shared" si="603"/>
        <v>90300</v>
      </c>
      <c r="P904" s="55">
        <f t="shared" si="574"/>
        <v>0</v>
      </c>
      <c r="Q904" s="20">
        <f t="shared" si="603"/>
        <v>205000</v>
      </c>
      <c r="R904" s="20">
        <f t="shared" si="603"/>
        <v>245000</v>
      </c>
      <c r="S904" s="20">
        <f t="shared" si="603"/>
        <v>245000</v>
      </c>
      <c r="T904" s="55">
        <f t="shared" si="603"/>
        <v>205000</v>
      </c>
      <c r="U904" s="55">
        <f t="shared" si="603"/>
        <v>124100</v>
      </c>
      <c r="V904" s="20">
        <f t="shared" si="603"/>
        <v>280000</v>
      </c>
      <c r="W904" s="20">
        <f t="shared" si="603"/>
        <v>333000</v>
      </c>
      <c r="X904" s="20">
        <f t="shared" si="603"/>
        <v>340000</v>
      </c>
      <c r="Y904" s="20">
        <f t="shared" si="603"/>
        <v>42187.5</v>
      </c>
      <c r="Z904" s="20">
        <f t="shared" si="576"/>
        <v>15.07</v>
      </c>
      <c r="AA904" s="20">
        <f t="shared" si="600"/>
        <v>130950</v>
      </c>
      <c r="AB904" s="20">
        <f t="shared" si="603"/>
        <v>410950</v>
      </c>
      <c r="AC904" s="20">
        <f t="shared" si="603"/>
        <v>42187.5</v>
      </c>
      <c r="AD904" s="20">
        <f t="shared" si="570"/>
        <v>10.265847426694245</v>
      </c>
      <c r="AE904" s="20">
        <f t="shared" si="583"/>
        <v>0</v>
      </c>
      <c r="AF904" s="20">
        <f t="shared" si="603"/>
        <v>410950</v>
      </c>
      <c r="AG904" s="20">
        <f t="shared" si="603"/>
        <v>426000</v>
      </c>
      <c r="AH904" s="20">
        <f t="shared" si="603"/>
        <v>360000</v>
      </c>
      <c r="AI904" s="20">
        <f t="shared" si="603"/>
        <v>367000</v>
      </c>
      <c r="AJ904" s="162" t="b">
        <f t="shared" si="565"/>
        <v>1</v>
      </c>
      <c r="AK904" s="162" t="str">
        <f t="shared" si="566"/>
        <v>PRAZNO</v>
      </c>
      <c r="AL904" s="173"/>
      <c r="AM904" s="164"/>
    </row>
    <row r="905" spans="1:39" ht="15.75" x14ac:dyDescent="0.2">
      <c r="B905" s="177"/>
      <c r="C905" s="177">
        <v>32</v>
      </c>
      <c r="D905" s="177"/>
      <c r="E905" s="177"/>
      <c r="F905" s="177"/>
      <c r="G905" s="177"/>
      <c r="H905" s="16" t="s">
        <v>525</v>
      </c>
      <c r="I905" s="18">
        <f t="shared" si="603"/>
        <v>200000</v>
      </c>
      <c r="J905" s="18">
        <f t="shared" si="603"/>
        <v>118128.7</v>
      </c>
      <c r="K905" s="18">
        <f t="shared" si="572"/>
        <v>59.06</v>
      </c>
      <c r="L905" s="18">
        <f t="shared" si="573"/>
        <v>40515.700000000012</v>
      </c>
      <c r="M905" s="18">
        <f t="shared" si="603"/>
        <v>240515.7</v>
      </c>
      <c r="N905" s="18">
        <f t="shared" si="603"/>
        <v>205000</v>
      </c>
      <c r="O905" s="18">
        <f t="shared" si="603"/>
        <v>90300</v>
      </c>
      <c r="P905" s="26">
        <f t="shared" si="574"/>
        <v>0</v>
      </c>
      <c r="Q905" s="18">
        <f t="shared" si="603"/>
        <v>205000</v>
      </c>
      <c r="R905" s="18">
        <f t="shared" si="603"/>
        <v>245000</v>
      </c>
      <c r="S905" s="18">
        <f t="shared" si="603"/>
        <v>245000</v>
      </c>
      <c r="T905" s="27">
        <f t="shared" si="603"/>
        <v>205000</v>
      </c>
      <c r="U905" s="27">
        <f t="shared" si="603"/>
        <v>124100</v>
      </c>
      <c r="V905" s="18">
        <f t="shared" si="603"/>
        <v>280000</v>
      </c>
      <c r="W905" s="18">
        <f t="shared" si="603"/>
        <v>333000</v>
      </c>
      <c r="X905" s="18">
        <f t="shared" si="603"/>
        <v>340000</v>
      </c>
      <c r="Y905" s="18">
        <f t="shared" si="603"/>
        <v>42187.5</v>
      </c>
      <c r="Z905" s="18">
        <f t="shared" si="576"/>
        <v>15.07</v>
      </c>
      <c r="AA905" s="18">
        <f t="shared" si="600"/>
        <v>130950</v>
      </c>
      <c r="AB905" s="18">
        <f t="shared" si="603"/>
        <v>410950</v>
      </c>
      <c r="AC905" s="18">
        <f t="shared" si="603"/>
        <v>42187.5</v>
      </c>
      <c r="AD905" s="18">
        <f t="shared" si="570"/>
        <v>10.265847426694245</v>
      </c>
      <c r="AE905" s="18">
        <f t="shared" si="583"/>
        <v>0</v>
      </c>
      <c r="AF905" s="18">
        <f t="shared" si="603"/>
        <v>410950</v>
      </c>
      <c r="AG905" s="18">
        <f t="shared" si="603"/>
        <v>426000</v>
      </c>
      <c r="AH905" s="18">
        <f t="shared" si="603"/>
        <v>360000</v>
      </c>
      <c r="AI905" s="18">
        <f t="shared" si="603"/>
        <v>367000</v>
      </c>
      <c r="AJ905" s="162" t="b">
        <f t="shared" ref="AJ905:AJ968" si="604">ISBLANK(E905)</f>
        <v>1</v>
      </c>
      <c r="AK905" s="162" t="str">
        <f t="shared" ref="AK905:AK968" si="605">IF(AJ905,"PRAZNO","PUNO")</f>
        <v>PRAZNO</v>
      </c>
      <c r="AM905" s="164"/>
    </row>
    <row r="906" spans="1:39" ht="15.75" x14ac:dyDescent="0.2">
      <c r="B906" s="177"/>
      <c r="C906" s="177"/>
      <c r="D906" s="177">
        <v>323</v>
      </c>
      <c r="E906" s="177"/>
      <c r="F906" s="177"/>
      <c r="G906" s="177"/>
      <c r="H906" s="16" t="s">
        <v>526</v>
      </c>
      <c r="I906" s="18">
        <f>SUM(I907:I911)</f>
        <v>200000</v>
      </c>
      <c r="J906" s="18">
        <f>SUM(J907:J911)</f>
        <v>118128.7</v>
      </c>
      <c r="K906" s="18">
        <f t="shared" si="572"/>
        <v>59.06</v>
      </c>
      <c r="L906" s="18">
        <f t="shared" si="573"/>
        <v>40515.700000000012</v>
      </c>
      <c r="M906" s="18">
        <f>SUM(M907:M911)</f>
        <v>240515.7</v>
      </c>
      <c r="N906" s="18">
        <f>SUM(N907:N911)</f>
        <v>205000</v>
      </c>
      <c r="O906" s="18">
        <f>SUM(O907:O911)</f>
        <v>90300</v>
      </c>
      <c r="P906" s="26">
        <f t="shared" si="574"/>
        <v>0</v>
      </c>
      <c r="Q906" s="18">
        <f t="shared" ref="Q906:X906" si="606">SUM(Q907:Q911)</f>
        <v>205000</v>
      </c>
      <c r="R906" s="18">
        <f t="shared" si="606"/>
        <v>245000</v>
      </c>
      <c r="S906" s="18">
        <f t="shared" si="606"/>
        <v>245000</v>
      </c>
      <c r="T906" s="27">
        <f t="shared" si="606"/>
        <v>205000</v>
      </c>
      <c r="U906" s="27">
        <f>SUM(U907:U911)</f>
        <v>124100</v>
      </c>
      <c r="V906" s="18">
        <f>SUM(V907:V911)</f>
        <v>280000</v>
      </c>
      <c r="W906" s="18">
        <f t="shared" si="606"/>
        <v>333000</v>
      </c>
      <c r="X906" s="18">
        <f t="shared" si="606"/>
        <v>340000</v>
      </c>
      <c r="Y906" s="18">
        <f>SUM(Y907:Y911)</f>
        <v>42187.5</v>
      </c>
      <c r="Z906" s="18">
        <f t="shared" si="576"/>
        <v>15.07</v>
      </c>
      <c r="AA906" s="18">
        <f t="shared" si="600"/>
        <v>130950</v>
      </c>
      <c r="AB906" s="18">
        <f>SUM(AB907:AB914)</f>
        <v>410950</v>
      </c>
      <c r="AC906" s="18">
        <f>SUM(AC907:AC914)</f>
        <v>42187.5</v>
      </c>
      <c r="AD906" s="18">
        <f t="shared" si="570"/>
        <v>10.265847426694245</v>
      </c>
      <c r="AE906" s="18">
        <f t="shared" si="583"/>
        <v>0</v>
      </c>
      <c r="AF906" s="18">
        <f>SUM(AF907:AF914)</f>
        <v>410950</v>
      </c>
      <c r="AG906" s="18">
        <f>SUM(AG907:AG917)</f>
        <v>426000</v>
      </c>
      <c r="AH906" s="18">
        <f>SUM(AH907:AH917)</f>
        <v>360000</v>
      </c>
      <c r="AI906" s="18">
        <f>SUM(AI907:AI917)</f>
        <v>367000</v>
      </c>
      <c r="AJ906" s="162" t="b">
        <f t="shared" si="604"/>
        <v>1</v>
      </c>
      <c r="AK906" s="162" t="str">
        <f t="shared" si="605"/>
        <v>PRAZNO</v>
      </c>
      <c r="AM906" s="164"/>
    </row>
    <row r="907" spans="1:39" ht="60" x14ac:dyDescent="0.2">
      <c r="B907" s="177"/>
      <c r="C907" s="177"/>
      <c r="D907" s="177"/>
      <c r="E907" s="177">
        <v>3237</v>
      </c>
      <c r="F907" s="176">
        <v>11</v>
      </c>
      <c r="G907" s="176" t="s">
        <v>424</v>
      </c>
      <c r="H907" s="16" t="s">
        <v>818</v>
      </c>
      <c r="I907" s="18">
        <v>110000</v>
      </c>
      <c r="J907" s="178">
        <v>109900</v>
      </c>
      <c r="K907" s="178">
        <f t="shared" si="572"/>
        <v>99.91</v>
      </c>
      <c r="L907" s="178">
        <f t="shared" si="573"/>
        <v>126100</v>
      </c>
      <c r="M907" s="178">
        <v>236100</v>
      </c>
      <c r="N907" s="178">
        <f>200000-70000</f>
        <v>130000</v>
      </c>
      <c r="O907" s="178">
        <v>90300</v>
      </c>
      <c r="P907" s="26">
        <f t="shared" si="574"/>
        <v>0</v>
      </c>
      <c r="Q907" s="178">
        <f>200000-70000</f>
        <v>130000</v>
      </c>
      <c r="R907" s="178">
        <v>240000</v>
      </c>
      <c r="S907" s="178">
        <v>240000</v>
      </c>
      <c r="T907" s="266">
        <v>130000</v>
      </c>
      <c r="U907" s="266">
        <v>90300</v>
      </c>
      <c r="V907" s="178">
        <v>240000</v>
      </c>
      <c r="W907" s="178">
        <v>270000</v>
      </c>
      <c r="X907" s="178">
        <v>310000</v>
      </c>
      <c r="Y907" s="178">
        <v>32050</v>
      </c>
      <c r="Z907" s="178">
        <f t="shared" si="576"/>
        <v>13.35</v>
      </c>
      <c r="AA907" s="178">
        <f t="shared" si="600"/>
        <v>30000</v>
      </c>
      <c r="AB907" s="178">
        <v>270000</v>
      </c>
      <c r="AC907" s="178">
        <v>32050</v>
      </c>
      <c r="AD907" s="178">
        <f t="shared" si="570"/>
        <v>11.87037037037037</v>
      </c>
      <c r="AE907" s="178">
        <f t="shared" si="583"/>
        <v>0</v>
      </c>
      <c r="AF907" s="178">
        <v>270000</v>
      </c>
      <c r="AG907" s="178">
        <v>192050</v>
      </c>
      <c r="AH907" s="178">
        <v>199050</v>
      </c>
      <c r="AI907" s="178">
        <v>206050</v>
      </c>
      <c r="AJ907" s="162" t="b">
        <f t="shared" si="604"/>
        <v>0</v>
      </c>
      <c r="AK907" s="162" t="str">
        <f t="shared" si="605"/>
        <v>PUNO</v>
      </c>
      <c r="AM907" s="164"/>
    </row>
    <row r="908" spans="1:39" ht="60" x14ac:dyDescent="0.2">
      <c r="B908" s="177"/>
      <c r="C908" s="177"/>
      <c r="D908" s="177"/>
      <c r="E908" s="177">
        <v>3237</v>
      </c>
      <c r="F908" s="176">
        <v>14</v>
      </c>
      <c r="G908" s="176" t="s">
        <v>424</v>
      </c>
      <c r="H908" s="16" t="s">
        <v>818</v>
      </c>
      <c r="I908" s="18"/>
      <c r="J908" s="178"/>
      <c r="K908" s="178"/>
      <c r="L908" s="178"/>
      <c r="M908" s="178"/>
      <c r="N908" s="178">
        <v>70000</v>
      </c>
      <c r="O908" s="178">
        <v>0</v>
      </c>
      <c r="P908" s="26">
        <f t="shared" si="574"/>
        <v>0</v>
      </c>
      <c r="Q908" s="178">
        <v>70000</v>
      </c>
      <c r="R908" s="178"/>
      <c r="S908" s="178"/>
      <c r="T908" s="266">
        <v>70000</v>
      </c>
      <c r="U908" s="266">
        <v>33800</v>
      </c>
      <c r="V908" s="178">
        <v>0</v>
      </c>
      <c r="W908" s="178">
        <v>0</v>
      </c>
      <c r="X908" s="178">
        <v>0</v>
      </c>
      <c r="Y908" s="178"/>
      <c r="Z908" s="178" t="e">
        <f t="shared" si="576"/>
        <v>#DIV/0!</v>
      </c>
      <c r="AA908" s="178">
        <f t="shared" si="600"/>
        <v>0</v>
      </c>
      <c r="AB908" s="178">
        <v>0</v>
      </c>
      <c r="AC908" s="178"/>
      <c r="AD908" s="178" t="e">
        <f t="shared" si="570"/>
        <v>#DIV/0!</v>
      </c>
      <c r="AE908" s="178">
        <f t="shared" si="583"/>
        <v>0</v>
      </c>
      <c r="AF908" s="178">
        <v>0</v>
      </c>
      <c r="AG908" s="178">
        <v>0</v>
      </c>
      <c r="AH908" s="178">
        <v>0</v>
      </c>
      <c r="AI908" s="178">
        <v>0</v>
      </c>
      <c r="AJ908" s="162" t="b">
        <f t="shared" si="604"/>
        <v>0</v>
      </c>
      <c r="AK908" s="162" t="str">
        <f t="shared" si="605"/>
        <v>PUNO</v>
      </c>
      <c r="AM908" s="164"/>
    </row>
    <row r="909" spans="1:39" ht="45" x14ac:dyDescent="0.2">
      <c r="B909" s="177"/>
      <c r="C909" s="177"/>
      <c r="D909" s="177"/>
      <c r="E909" s="177">
        <v>3237</v>
      </c>
      <c r="F909" s="176">
        <v>17</v>
      </c>
      <c r="G909" s="176" t="s">
        <v>424</v>
      </c>
      <c r="H909" s="16" t="s">
        <v>819</v>
      </c>
      <c r="I909" s="18">
        <v>30000</v>
      </c>
      <c r="J909" s="18">
        <v>0</v>
      </c>
      <c r="K909" s="18">
        <f t="shared" si="572"/>
        <v>0</v>
      </c>
      <c r="L909" s="18">
        <f t="shared" si="573"/>
        <v>-30000</v>
      </c>
      <c r="M909" s="18"/>
      <c r="N909" s="18">
        <v>0</v>
      </c>
      <c r="O909" s="18"/>
      <c r="P909" s="26">
        <f t="shared" si="574"/>
        <v>0</v>
      </c>
      <c r="Q909" s="18">
        <v>0</v>
      </c>
      <c r="R909" s="18">
        <v>0</v>
      </c>
      <c r="S909" s="18">
        <v>0</v>
      </c>
      <c r="T909" s="27"/>
      <c r="U909" s="27"/>
      <c r="V909" s="18">
        <v>0</v>
      </c>
      <c r="W909" s="18">
        <v>0</v>
      </c>
      <c r="X909" s="18">
        <v>0</v>
      </c>
      <c r="Y909" s="18"/>
      <c r="Z909" s="18" t="e">
        <f t="shared" si="576"/>
        <v>#DIV/0!</v>
      </c>
      <c r="AA909" s="18">
        <f t="shared" si="600"/>
        <v>0</v>
      </c>
      <c r="AB909" s="18">
        <v>0</v>
      </c>
      <c r="AC909" s="18"/>
      <c r="AD909" s="18" t="e">
        <f t="shared" si="570"/>
        <v>#DIV/0!</v>
      </c>
      <c r="AE909" s="18">
        <f t="shared" si="583"/>
        <v>0</v>
      </c>
      <c r="AF909" s="18">
        <v>0</v>
      </c>
      <c r="AG909" s="18">
        <v>0</v>
      </c>
      <c r="AH909" s="18">
        <v>0</v>
      </c>
      <c r="AI909" s="18">
        <v>0</v>
      </c>
      <c r="AJ909" s="162" t="b">
        <f t="shared" si="604"/>
        <v>0</v>
      </c>
      <c r="AK909" s="162" t="str">
        <f t="shared" si="605"/>
        <v>PUNO</v>
      </c>
      <c r="AM909" s="164"/>
    </row>
    <row r="910" spans="1:39" ht="38.25" customHeight="1" x14ac:dyDescent="0.2">
      <c r="B910" s="177"/>
      <c r="C910" s="177"/>
      <c r="D910" s="177"/>
      <c r="E910" s="177">
        <v>3237</v>
      </c>
      <c r="F910" s="176">
        <v>11</v>
      </c>
      <c r="G910" s="176" t="s">
        <v>424</v>
      </c>
      <c r="H910" s="16" t="s">
        <v>820</v>
      </c>
      <c r="I910" s="18">
        <v>15000</v>
      </c>
      <c r="J910" s="18">
        <v>8228.7000000000007</v>
      </c>
      <c r="K910" s="18">
        <f t="shared" si="572"/>
        <v>54.86</v>
      </c>
      <c r="L910" s="18">
        <f t="shared" si="573"/>
        <v>-10584.3</v>
      </c>
      <c r="M910" s="18">
        <v>4415.7</v>
      </c>
      <c r="N910" s="18">
        <v>5000</v>
      </c>
      <c r="O910" s="18">
        <v>0</v>
      </c>
      <c r="P910" s="26">
        <f t="shared" si="574"/>
        <v>0</v>
      </c>
      <c r="Q910" s="18">
        <v>5000</v>
      </c>
      <c r="R910" s="18">
        <v>5000</v>
      </c>
      <c r="S910" s="18">
        <v>5000</v>
      </c>
      <c r="T910" s="27">
        <v>5000</v>
      </c>
      <c r="U910" s="27">
        <v>0</v>
      </c>
      <c r="V910" s="18">
        <v>15000</v>
      </c>
      <c r="W910" s="18">
        <v>20000</v>
      </c>
      <c r="X910" s="18">
        <v>20000</v>
      </c>
      <c r="Y910" s="18">
        <v>1137.5</v>
      </c>
      <c r="Z910" s="18">
        <f t="shared" si="576"/>
        <v>7.58</v>
      </c>
      <c r="AA910" s="18">
        <f t="shared" si="600"/>
        <v>0</v>
      </c>
      <c r="AB910" s="18">
        <v>15000</v>
      </c>
      <c r="AC910" s="18">
        <v>1137.5</v>
      </c>
      <c r="AD910" s="18">
        <f t="shared" si="570"/>
        <v>7.5833333333333339</v>
      </c>
      <c r="AE910" s="18">
        <f t="shared" si="583"/>
        <v>-50</v>
      </c>
      <c r="AF910" s="18">
        <v>14950</v>
      </c>
      <c r="AG910" s="18">
        <v>15000</v>
      </c>
      <c r="AH910" s="18">
        <v>15000</v>
      </c>
      <c r="AI910" s="18">
        <v>15000</v>
      </c>
      <c r="AJ910" s="162" t="b">
        <f t="shared" si="604"/>
        <v>0</v>
      </c>
      <c r="AK910" s="162" t="str">
        <f t="shared" si="605"/>
        <v>PUNO</v>
      </c>
      <c r="AM910" s="164"/>
    </row>
    <row r="911" spans="1:39" ht="35.25" customHeight="1" x14ac:dyDescent="0.2">
      <c r="B911" s="177"/>
      <c r="C911" s="177"/>
      <c r="D911" s="177"/>
      <c r="E911" s="177">
        <v>3237</v>
      </c>
      <c r="F911" s="176">
        <v>11</v>
      </c>
      <c r="G911" s="176" t="s">
        <v>424</v>
      </c>
      <c r="H911" s="16" t="s">
        <v>821</v>
      </c>
      <c r="I911" s="18">
        <v>45000</v>
      </c>
      <c r="J911" s="18">
        <v>0</v>
      </c>
      <c r="K911" s="18">
        <f t="shared" si="572"/>
        <v>0</v>
      </c>
      <c r="L911" s="18">
        <f t="shared" si="573"/>
        <v>-45000</v>
      </c>
      <c r="M911" s="18"/>
      <c r="N911" s="18">
        <v>0</v>
      </c>
      <c r="O911" s="18"/>
      <c r="P911" s="26">
        <f t="shared" si="574"/>
        <v>0</v>
      </c>
      <c r="Q911" s="18">
        <v>0</v>
      </c>
      <c r="R911" s="18"/>
      <c r="S911" s="18"/>
      <c r="T911" s="27"/>
      <c r="U911" s="27"/>
      <c r="V911" s="18">
        <v>25000</v>
      </c>
      <c r="W911" s="18">
        <v>43000</v>
      </c>
      <c r="X911" s="18">
        <v>10000</v>
      </c>
      <c r="Y911" s="18">
        <v>9000</v>
      </c>
      <c r="Z911" s="18">
        <f t="shared" si="576"/>
        <v>36</v>
      </c>
      <c r="AA911" s="18">
        <f t="shared" si="600"/>
        <v>0</v>
      </c>
      <c r="AB911" s="18">
        <v>25000</v>
      </c>
      <c r="AC911" s="18">
        <v>9000</v>
      </c>
      <c r="AD911" s="18">
        <f t="shared" si="570"/>
        <v>36</v>
      </c>
      <c r="AE911" s="18">
        <f t="shared" si="583"/>
        <v>0</v>
      </c>
      <c r="AF911" s="18">
        <v>25000</v>
      </c>
      <c r="AG911" s="18">
        <v>25000</v>
      </c>
      <c r="AH911" s="18">
        <v>25000</v>
      </c>
      <c r="AI911" s="18">
        <v>25000</v>
      </c>
      <c r="AJ911" s="162" t="b">
        <f t="shared" si="604"/>
        <v>0</v>
      </c>
      <c r="AK911" s="162" t="str">
        <f t="shared" si="605"/>
        <v>PUNO</v>
      </c>
      <c r="AM911" s="164"/>
    </row>
    <row r="912" spans="1:39" ht="35.25" customHeight="1" x14ac:dyDescent="0.2">
      <c r="B912" s="177"/>
      <c r="C912" s="177"/>
      <c r="D912" s="177"/>
      <c r="E912" s="177">
        <v>3237</v>
      </c>
      <c r="F912" s="176">
        <v>11</v>
      </c>
      <c r="G912" s="176"/>
      <c r="H912" s="16" t="s">
        <v>35</v>
      </c>
      <c r="I912" s="18"/>
      <c r="J912" s="18"/>
      <c r="K912" s="18"/>
      <c r="L912" s="18"/>
      <c r="M912" s="18"/>
      <c r="N912" s="18"/>
      <c r="O912" s="18"/>
      <c r="P912" s="26"/>
      <c r="Q912" s="18"/>
      <c r="R912" s="18"/>
      <c r="S912" s="18"/>
      <c r="T912" s="27"/>
      <c r="U912" s="27"/>
      <c r="V912" s="18">
        <v>0</v>
      </c>
      <c r="W912" s="18"/>
      <c r="X912" s="18"/>
      <c r="Y912" s="18">
        <v>0</v>
      </c>
      <c r="Z912" s="18" t="e">
        <f t="shared" si="576"/>
        <v>#DIV/0!</v>
      </c>
      <c r="AA912" s="18">
        <f t="shared" si="600"/>
        <v>30000</v>
      </c>
      <c r="AB912" s="18">
        <v>30000</v>
      </c>
      <c r="AC912" s="18">
        <v>0</v>
      </c>
      <c r="AD912" s="18">
        <f t="shared" si="570"/>
        <v>0</v>
      </c>
      <c r="AE912" s="18">
        <f t="shared" si="583"/>
        <v>0</v>
      </c>
      <c r="AF912" s="18">
        <v>30000</v>
      </c>
      <c r="AG912" s="18">
        <v>30000</v>
      </c>
      <c r="AH912" s="18">
        <v>30000</v>
      </c>
      <c r="AI912" s="18">
        <v>30000</v>
      </c>
      <c r="AJ912" s="162" t="b">
        <f t="shared" si="604"/>
        <v>0</v>
      </c>
      <c r="AK912" s="162" t="str">
        <f t="shared" si="605"/>
        <v>PUNO</v>
      </c>
      <c r="AM912" s="164"/>
    </row>
    <row r="913" spans="1:39" ht="35.25" customHeight="1" x14ac:dyDescent="0.2">
      <c r="B913" s="177"/>
      <c r="C913" s="177"/>
      <c r="D913" s="177"/>
      <c r="E913" s="177">
        <v>3237</v>
      </c>
      <c r="F913" s="176">
        <v>11</v>
      </c>
      <c r="G913" s="176"/>
      <c r="H913" s="16" t="s">
        <v>36</v>
      </c>
      <c r="I913" s="18"/>
      <c r="J913" s="18"/>
      <c r="K913" s="18"/>
      <c r="L913" s="18"/>
      <c r="M913" s="18"/>
      <c r="N913" s="18"/>
      <c r="O913" s="18"/>
      <c r="P913" s="26"/>
      <c r="Q913" s="18"/>
      <c r="R913" s="18"/>
      <c r="S913" s="18"/>
      <c r="T913" s="27"/>
      <c r="U913" s="27"/>
      <c r="V913" s="18">
        <v>0</v>
      </c>
      <c r="W913" s="18"/>
      <c r="X913" s="18"/>
      <c r="Y913" s="18">
        <v>0</v>
      </c>
      <c r="Z913" s="18"/>
      <c r="AA913" s="18">
        <f t="shared" si="600"/>
        <v>40950</v>
      </c>
      <c r="AB913" s="18">
        <v>40950</v>
      </c>
      <c r="AC913" s="18">
        <v>0</v>
      </c>
      <c r="AD913" s="18">
        <f t="shared" si="570"/>
        <v>0</v>
      </c>
      <c r="AE913" s="18">
        <f t="shared" si="583"/>
        <v>-10950</v>
      </c>
      <c r="AF913" s="18">
        <v>30000</v>
      </c>
      <c r="AG913" s="18">
        <v>40950</v>
      </c>
      <c r="AH913" s="18">
        <v>40950</v>
      </c>
      <c r="AI913" s="18">
        <v>40950</v>
      </c>
      <c r="AJ913" s="162" t="b">
        <f t="shared" si="604"/>
        <v>0</v>
      </c>
      <c r="AK913" s="162" t="str">
        <f t="shared" si="605"/>
        <v>PUNO</v>
      </c>
      <c r="AM913" s="164"/>
    </row>
    <row r="914" spans="1:39" ht="35.25" customHeight="1" x14ac:dyDescent="0.2">
      <c r="B914" s="177"/>
      <c r="C914" s="177"/>
      <c r="D914" s="177"/>
      <c r="E914" s="177">
        <v>3237</v>
      </c>
      <c r="F914" s="176">
        <v>11</v>
      </c>
      <c r="G914" s="176"/>
      <c r="H914" s="16" t="s">
        <v>37</v>
      </c>
      <c r="I914" s="18"/>
      <c r="J914" s="18"/>
      <c r="K914" s="18"/>
      <c r="L914" s="18"/>
      <c r="M914" s="18"/>
      <c r="N914" s="18"/>
      <c r="O914" s="18"/>
      <c r="P914" s="26"/>
      <c r="Q914" s="18"/>
      <c r="R914" s="18"/>
      <c r="S914" s="18"/>
      <c r="T914" s="27"/>
      <c r="U914" s="27"/>
      <c r="V914" s="18">
        <v>0</v>
      </c>
      <c r="W914" s="18"/>
      <c r="X914" s="18"/>
      <c r="Y914" s="18">
        <v>0</v>
      </c>
      <c r="Z914" s="18"/>
      <c r="AA914" s="18">
        <f t="shared" si="600"/>
        <v>30000</v>
      </c>
      <c r="AB914" s="18">
        <v>30000</v>
      </c>
      <c r="AC914" s="18">
        <v>0</v>
      </c>
      <c r="AD914" s="18">
        <f t="shared" si="570"/>
        <v>0</v>
      </c>
      <c r="AE914" s="18">
        <f t="shared" si="583"/>
        <v>11000</v>
      </c>
      <c r="AF914" s="18">
        <v>41000</v>
      </c>
      <c r="AG914" s="18">
        <v>30000</v>
      </c>
      <c r="AH914" s="18">
        <v>30000</v>
      </c>
      <c r="AI914" s="18">
        <v>30000</v>
      </c>
      <c r="AJ914" s="162" t="b">
        <f t="shared" si="604"/>
        <v>0</v>
      </c>
      <c r="AK914" s="162" t="str">
        <f t="shared" si="605"/>
        <v>PUNO</v>
      </c>
      <c r="AM914" s="164"/>
    </row>
    <row r="915" spans="1:39" ht="35.25" customHeight="1" x14ac:dyDescent="0.2">
      <c r="B915" s="177"/>
      <c r="C915" s="177"/>
      <c r="D915" s="177"/>
      <c r="E915" s="177">
        <v>3237</v>
      </c>
      <c r="F915" s="176">
        <v>11</v>
      </c>
      <c r="G915" s="176"/>
      <c r="H915" s="16" t="s">
        <v>307</v>
      </c>
      <c r="I915" s="18"/>
      <c r="J915" s="18"/>
      <c r="K915" s="18"/>
      <c r="L915" s="18"/>
      <c r="M915" s="18"/>
      <c r="N915" s="18"/>
      <c r="O915" s="18"/>
      <c r="P915" s="26"/>
      <c r="Q915" s="18"/>
      <c r="R915" s="18"/>
      <c r="S915" s="18"/>
      <c r="T915" s="27"/>
      <c r="U915" s="27"/>
      <c r="V915" s="18"/>
      <c r="W915" s="18"/>
      <c r="X915" s="18"/>
      <c r="Y915" s="18"/>
      <c r="Z915" s="18"/>
      <c r="AA915" s="18"/>
      <c r="AB915" s="18"/>
      <c r="AC915" s="18"/>
      <c r="AD915" s="18"/>
      <c r="AE915" s="18"/>
      <c r="AF915" s="18"/>
      <c r="AG915" s="18">
        <v>70000</v>
      </c>
      <c r="AH915" s="18"/>
      <c r="AI915" s="18"/>
      <c r="AJ915" s="162" t="b">
        <f t="shared" si="604"/>
        <v>0</v>
      </c>
      <c r="AK915" s="162" t="str">
        <f t="shared" si="605"/>
        <v>PUNO</v>
      </c>
      <c r="AM915" s="164"/>
    </row>
    <row r="916" spans="1:39" ht="35.25" customHeight="1" x14ac:dyDescent="0.2">
      <c r="B916" s="177"/>
      <c r="C916" s="177"/>
      <c r="D916" s="177"/>
      <c r="E916" s="177">
        <v>3237</v>
      </c>
      <c r="F916" s="176">
        <v>11</v>
      </c>
      <c r="G916" s="176"/>
      <c r="H916" s="16" t="s">
        <v>308</v>
      </c>
      <c r="I916" s="18"/>
      <c r="J916" s="18"/>
      <c r="K916" s="18"/>
      <c r="L916" s="18"/>
      <c r="M916" s="18"/>
      <c r="N916" s="18"/>
      <c r="O916" s="18"/>
      <c r="P916" s="26"/>
      <c r="Q916" s="18"/>
      <c r="R916" s="18"/>
      <c r="S916" s="18"/>
      <c r="T916" s="27"/>
      <c r="U916" s="27"/>
      <c r="V916" s="18"/>
      <c r="W916" s="18"/>
      <c r="X916" s="18"/>
      <c r="Y916" s="18"/>
      <c r="Z916" s="18"/>
      <c r="AA916" s="18"/>
      <c r="AB916" s="18"/>
      <c r="AC916" s="18"/>
      <c r="AD916" s="18"/>
      <c r="AE916" s="18"/>
      <c r="AF916" s="18"/>
      <c r="AG916" s="18">
        <v>3000</v>
      </c>
      <c r="AH916" s="18"/>
      <c r="AI916" s="18"/>
      <c r="AJ916" s="162" t="b">
        <f t="shared" si="604"/>
        <v>0</v>
      </c>
      <c r="AK916" s="162" t="str">
        <f t="shared" si="605"/>
        <v>PUNO</v>
      </c>
      <c r="AM916" s="164"/>
    </row>
    <row r="917" spans="1:39" ht="35.25" customHeight="1" x14ac:dyDescent="0.2">
      <c r="B917" s="177"/>
      <c r="C917" s="177"/>
      <c r="D917" s="177"/>
      <c r="E917" s="177">
        <v>3237</v>
      </c>
      <c r="F917" s="176">
        <v>11</v>
      </c>
      <c r="G917" s="176"/>
      <c r="H917" s="16" t="s">
        <v>245</v>
      </c>
      <c r="I917" s="18"/>
      <c r="J917" s="18"/>
      <c r="K917" s="18"/>
      <c r="L917" s="18"/>
      <c r="M917" s="18"/>
      <c r="N917" s="18"/>
      <c r="O917" s="18"/>
      <c r="P917" s="26"/>
      <c r="Q917" s="18"/>
      <c r="R917" s="18"/>
      <c r="S917" s="18"/>
      <c r="T917" s="27"/>
      <c r="U917" s="27"/>
      <c r="V917" s="18"/>
      <c r="W917" s="18"/>
      <c r="X917" s="18"/>
      <c r="Y917" s="18"/>
      <c r="Z917" s="18"/>
      <c r="AA917" s="18"/>
      <c r="AB917" s="18"/>
      <c r="AC917" s="18"/>
      <c r="AD917" s="18"/>
      <c r="AE917" s="18"/>
      <c r="AF917" s="18"/>
      <c r="AG917" s="18">
        <v>20000</v>
      </c>
      <c r="AH917" s="18">
        <v>20000</v>
      </c>
      <c r="AI917" s="18">
        <v>20000</v>
      </c>
      <c r="AJ917" s="162" t="b">
        <f t="shared" si="604"/>
        <v>0</v>
      </c>
      <c r="AK917" s="162" t="str">
        <f t="shared" si="605"/>
        <v>PUNO</v>
      </c>
      <c r="AM917" s="164"/>
    </row>
    <row r="918" spans="1:39" s="171" customFormat="1" ht="15.75" x14ac:dyDescent="0.2">
      <c r="A918" s="259"/>
      <c r="B918" s="168"/>
      <c r="C918" s="168"/>
      <c r="D918" s="168"/>
      <c r="E918" s="168"/>
      <c r="F918" s="168"/>
      <c r="G918" s="168"/>
      <c r="H918" s="31" t="s">
        <v>690</v>
      </c>
      <c r="I918" s="169">
        <f>I920</f>
        <v>400000</v>
      </c>
      <c r="J918" s="169">
        <f>J920</f>
        <v>300000</v>
      </c>
      <c r="K918" s="169">
        <f t="shared" si="572"/>
        <v>75</v>
      </c>
      <c r="L918" s="169">
        <f t="shared" si="573"/>
        <v>-50685</v>
      </c>
      <c r="M918" s="19">
        <f>M920</f>
        <v>349315</v>
      </c>
      <c r="N918" s="19">
        <f>N920</f>
        <v>400000</v>
      </c>
      <c r="O918" s="19">
        <f>O920</f>
        <v>300000</v>
      </c>
      <c r="P918" s="303">
        <f t="shared" si="574"/>
        <v>0</v>
      </c>
      <c r="Q918" s="19">
        <f t="shared" ref="Q918:X918" si="607">Q920</f>
        <v>400000</v>
      </c>
      <c r="R918" s="19">
        <f t="shared" si="607"/>
        <v>410000</v>
      </c>
      <c r="S918" s="19">
        <f t="shared" si="607"/>
        <v>415000</v>
      </c>
      <c r="T918" s="53">
        <f t="shared" si="607"/>
        <v>400000</v>
      </c>
      <c r="U918" s="53">
        <f>U920</f>
        <v>400000</v>
      </c>
      <c r="V918" s="19">
        <f t="shared" si="607"/>
        <v>400000</v>
      </c>
      <c r="W918" s="19">
        <f t="shared" si="607"/>
        <v>400000</v>
      </c>
      <c r="X918" s="19">
        <f t="shared" si="607"/>
        <v>400000</v>
      </c>
      <c r="Y918" s="19">
        <f>Y920</f>
        <v>240000</v>
      </c>
      <c r="Z918" s="19">
        <f t="shared" si="576"/>
        <v>60</v>
      </c>
      <c r="AA918" s="19">
        <f t="shared" si="600"/>
        <v>2525</v>
      </c>
      <c r="AB918" s="19">
        <f>AB920</f>
        <v>402525</v>
      </c>
      <c r="AC918" s="19">
        <f>AC920</f>
        <v>301893.75</v>
      </c>
      <c r="AD918" s="19">
        <f t="shared" si="570"/>
        <v>75</v>
      </c>
      <c r="AE918" s="19">
        <f t="shared" si="583"/>
        <v>0</v>
      </c>
      <c r="AF918" s="19">
        <f>AF920</f>
        <v>402525</v>
      </c>
      <c r="AG918" s="19">
        <f>AG920</f>
        <v>400000</v>
      </c>
      <c r="AH918" s="19">
        <f>AH920</f>
        <v>400000</v>
      </c>
      <c r="AI918" s="19">
        <f>AI920</f>
        <v>400000</v>
      </c>
      <c r="AJ918" s="162" t="b">
        <f t="shared" si="604"/>
        <v>1</v>
      </c>
      <c r="AK918" s="162" t="str">
        <f t="shared" si="605"/>
        <v>PRAZNO</v>
      </c>
      <c r="AL918" s="170"/>
      <c r="AM918" s="164"/>
    </row>
    <row r="919" spans="1:39" s="264" customFormat="1" ht="15.75" x14ac:dyDescent="0.2">
      <c r="A919" s="259"/>
      <c r="B919" s="260"/>
      <c r="C919" s="260"/>
      <c r="D919" s="260"/>
      <c r="E919" s="260"/>
      <c r="F919" s="260"/>
      <c r="G919" s="260"/>
      <c r="H919" s="471" t="s">
        <v>824</v>
      </c>
      <c r="I919" s="181"/>
      <c r="J919" s="181"/>
      <c r="K919" s="181"/>
      <c r="L919" s="181"/>
      <c r="M919" s="262"/>
      <c r="N919" s="262"/>
      <c r="O919" s="262"/>
      <c r="P919" s="445"/>
      <c r="Q919" s="262"/>
      <c r="R919" s="262"/>
      <c r="S919" s="262"/>
      <c r="T919" s="342"/>
      <c r="U919" s="262">
        <f>U920</f>
        <v>400000</v>
      </c>
      <c r="V919" s="262">
        <f>V920</f>
        <v>400000</v>
      </c>
      <c r="W919" s="262">
        <f>W920</f>
        <v>400000</v>
      </c>
      <c r="X919" s="262">
        <f>X920</f>
        <v>400000</v>
      </c>
      <c r="Y919" s="262">
        <f>Y920</f>
        <v>240000</v>
      </c>
      <c r="Z919" s="262">
        <f t="shared" si="576"/>
        <v>60</v>
      </c>
      <c r="AA919" s="262">
        <f t="shared" si="600"/>
        <v>2525</v>
      </c>
      <c r="AB919" s="262">
        <f>AB920</f>
        <v>402525</v>
      </c>
      <c r="AC919" s="262">
        <f>AC920</f>
        <v>301893.75</v>
      </c>
      <c r="AD919" s="262">
        <f t="shared" si="570"/>
        <v>75</v>
      </c>
      <c r="AE919" s="262">
        <f t="shared" si="583"/>
        <v>0</v>
      </c>
      <c r="AF919" s="262">
        <f>AF920</f>
        <v>402525</v>
      </c>
      <c r="AG919" s="262">
        <f>AG920</f>
        <v>400000</v>
      </c>
      <c r="AH919" s="262">
        <f>AH920</f>
        <v>400000</v>
      </c>
      <c r="AI919" s="262">
        <f>AI920</f>
        <v>400000</v>
      </c>
      <c r="AJ919" s="162" t="b">
        <f t="shared" si="604"/>
        <v>1</v>
      </c>
      <c r="AK919" s="162" t="str">
        <f t="shared" si="605"/>
        <v>PRAZNO</v>
      </c>
      <c r="AL919" s="263"/>
    </row>
    <row r="920" spans="1:39" s="174" customFormat="1" ht="15.75" x14ac:dyDescent="0.2">
      <c r="A920" s="259"/>
      <c r="B920" s="172">
        <v>3</v>
      </c>
      <c r="C920" s="172"/>
      <c r="D920" s="172"/>
      <c r="E920" s="172"/>
      <c r="F920" s="172"/>
      <c r="G920" s="172"/>
      <c r="H920" s="14" t="s">
        <v>524</v>
      </c>
      <c r="I920" s="20">
        <f t="shared" ref="I920:AI922" si="608">I921</f>
        <v>400000</v>
      </c>
      <c r="J920" s="20">
        <f t="shared" si="608"/>
        <v>300000</v>
      </c>
      <c r="K920" s="20">
        <f t="shared" si="572"/>
        <v>75</v>
      </c>
      <c r="L920" s="20">
        <f t="shared" si="573"/>
        <v>-50685</v>
      </c>
      <c r="M920" s="20">
        <f t="shared" si="608"/>
        <v>349315</v>
      </c>
      <c r="N920" s="20">
        <f t="shared" si="608"/>
        <v>400000</v>
      </c>
      <c r="O920" s="20">
        <f t="shared" si="608"/>
        <v>300000</v>
      </c>
      <c r="P920" s="55">
        <f t="shared" si="574"/>
        <v>0</v>
      </c>
      <c r="Q920" s="20">
        <f t="shared" si="608"/>
        <v>400000</v>
      </c>
      <c r="R920" s="20">
        <f t="shared" si="608"/>
        <v>410000</v>
      </c>
      <c r="S920" s="20">
        <f t="shared" si="608"/>
        <v>415000</v>
      </c>
      <c r="T920" s="55">
        <f t="shared" si="608"/>
        <v>400000</v>
      </c>
      <c r="U920" s="55">
        <f t="shared" si="608"/>
        <v>400000</v>
      </c>
      <c r="V920" s="20">
        <f t="shared" si="608"/>
        <v>400000</v>
      </c>
      <c r="W920" s="20">
        <f t="shared" si="608"/>
        <v>400000</v>
      </c>
      <c r="X920" s="20">
        <f t="shared" si="608"/>
        <v>400000</v>
      </c>
      <c r="Y920" s="20">
        <f t="shared" si="608"/>
        <v>240000</v>
      </c>
      <c r="Z920" s="20">
        <f t="shared" si="576"/>
        <v>60</v>
      </c>
      <c r="AA920" s="20">
        <f t="shared" si="600"/>
        <v>2525</v>
      </c>
      <c r="AB920" s="20">
        <f t="shared" si="608"/>
        <v>402525</v>
      </c>
      <c r="AC920" s="20">
        <f t="shared" si="608"/>
        <v>301893.75</v>
      </c>
      <c r="AD920" s="20">
        <f t="shared" si="570"/>
        <v>75</v>
      </c>
      <c r="AE920" s="20">
        <f t="shared" si="583"/>
        <v>0</v>
      </c>
      <c r="AF920" s="20">
        <f t="shared" si="608"/>
        <v>402525</v>
      </c>
      <c r="AG920" s="20">
        <f t="shared" si="608"/>
        <v>400000</v>
      </c>
      <c r="AH920" s="20">
        <f t="shared" si="608"/>
        <v>400000</v>
      </c>
      <c r="AI920" s="20">
        <f t="shared" si="608"/>
        <v>400000</v>
      </c>
      <c r="AJ920" s="162" t="b">
        <f t="shared" si="604"/>
        <v>1</v>
      </c>
      <c r="AK920" s="162" t="str">
        <f t="shared" si="605"/>
        <v>PRAZNO</v>
      </c>
      <c r="AL920" s="173"/>
      <c r="AM920" s="164"/>
    </row>
    <row r="921" spans="1:39" ht="15.75" x14ac:dyDescent="0.2">
      <c r="B921" s="177"/>
      <c r="C921" s="177">
        <v>36</v>
      </c>
      <c r="D921" s="177"/>
      <c r="E921" s="177"/>
      <c r="F921" s="177"/>
      <c r="G921" s="177"/>
      <c r="H921" s="141" t="s">
        <v>751</v>
      </c>
      <c r="I921" s="18">
        <f t="shared" si="608"/>
        <v>400000</v>
      </c>
      <c r="J921" s="18">
        <f t="shared" si="608"/>
        <v>300000</v>
      </c>
      <c r="K921" s="18">
        <f t="shared" si="572"/>
        <v>75</v>
      </c>
      <c r="L921" s="18">
        <f t="shared" si="573"/>
        <v>-50685</v>
      </c>
      <c r="M921" s="18">
        <f t="shared" si="608"/>
        <v>349315</v>
      </c>
      <c r="N921" s="18">
        <f t="shared" si="608"/>
        <v>400000</v>
      </c>
      <c r="O921" s="18">
        <f t="shared" si="608"/>
        <v>300000</v>
      </c>
      <c r="P921" s="26">
        <f t="shared" si="574"/>
        <v>0</v>
      </c>
      <c r="Q921" s="18">
        <f t="shared" si="608"/>
        <v>400000</v>
      </c>
      <c r="R921" s="18">
        <f t="shared" si="608"/>
        <v>410000</v>
      </c>
      <c r="S921" s="18">
        <f t="shared" si="608"/>
        <v>415000</v>
      </c>
      <c r="T921" s="27">
        <f t="shared" si="608"/>
        <v>400000</v>
      </c>
      <c r="U921" s="27">
        <f t="shared" si="608"/>
        <v>400000</v>
      </c>
      <c r="V921" s="18">
        <f t="shared" si="608"/>
        <v>400000</v>
      </c>
      <c r="W921" s="18">
        <f t="shared" si="608"/>
        <v>400000</v>
      </c>
      <c r="X921" s="18">
        <f t="shared" si="608"/>
        <v>400000</v>
      </c>
      <c r="Y921" s="18">
        <f t="shared" si="608"/>
        <v>240000</v>
      </c>
      <c r="Z921" s="18">
        <f t="shared" si="576"/>
        <v>60</v>
      </c>
      <c r="AA921" s="18">
        <f t="shared" si="600"/>
        <v>2525</v>
      </c>
      <c r="AB921" s="18">
        <f t="shared" si="608"/>
        <v>402525</v>
      </c>
      <c r="AC921" s="18">
        <f t="shared" si="608"/>
        <v>301893.75</v>
      </c>
      <c r="AD921" s="18">
        <f t="shared" ref="AD921:AD985" si="609">AC921/AB921*100</f>
        <v>75</v>
      </c>
      <c r="AE921" s="18">
        <f t="shared" si="583"/>
        <v>0</v>
      </c>
      <c r="AF921" s="18">
        <f t="shared" si="608"/>
        <v>402525</v>
      </c>
      <c r="AG921" s="18">
        <f t="shared" si="608"/>
        <v>400000</v>
      </c>
      <c r="AH921" s="18">
        <f t="shared" si="608"/>
        <v>400000</v>
      </c>
      <c r="AI921" s="18">
        <f t="shared" si="608"/>
        <v>400000</v>
      </c>
      <c r="AJ921" s="162" t="b">
        <f t="shared" si="604"/>
        <v>1</v>
      </c>
      <c r="AK921" s="162" t="str">
        <f t="shared" si="605"/>
        <v>PRAZNO</v>
      </c>
      <c r="AM921" s="164"/>
    </row>
    <row r="922" spans="1:39" ht="15.75" x14ac:dyDescent="0.2">
      <c r="B922" s="177"/>
      <c r="C922" s="177"/>
      <c r="D922" s="177">
        <v>363</v>
      </c>
      <c r="E922" s="177"/>
      <c r="F922" s="177"/>
      <c r="G922" s="177"/>
      <c r="H922" s="16" t="s">
        <v>536</v>
      </c>
      <c r="I922" s="18">
        <f t="shared" si="608"/>
        <v>400000</v>
      </c>
      <c r="J922" s="18">
        <f t="shared" si="608"/>
        <v>300000</v>
      </c>
      <c r="K922" s="18">
        <f t="shared" si="572"/>
        <v>75</v>
      </c>
      <c r="L922" s="18">
        <f t="shared" si="573"/>
        <v>-50685</v>
      </c>
      <c r="M922" s="18">
        <f t="shared" si="608"/>
        <v>349315</v>
      </c>
      <c r="N922" s="18">
        <f t="shared" si="608"/>
        <v>400000</v>
      </c>
      <c r="O922" s="18">
        <f t="shared" si="608"/>
        <v>300000</v>
      </c>
      <c r="P922" s="26">
        <f t="shared" si="574"/>
        <v>0</v>
      </c>
      <c r="Q922" s="18">
        <f t="shared" si="608"/>
        <v>400000</v>
      </c>
      <c r="R922" s="18">
        <f t="shared" si="608"/>
        <v>410000</v>
      </c>
      <c r="S922" s="18">
        <f t="shared" si="608"/>
        <v>415000</v>
      </c>
      <c r="T922" s="27">
        <f t="shared" si="608"/>
        <v>400000</v>
      </c>
      <c r="U922" s="27">
        <f t="shared" si="608"/>
        <v>400000</v>
      </c>
      <c r="V922" s="18">
        <f t="shared" si="608"/>
        <v>400000</v>
      </c>
      <c r="W922" s="18">
        <f t="shared" si="608"/>
        <v>400000</v>
      </c>
      <c r="X922" s="18">
        <f t="shared" si="608"/>
        <v>400000</v>
      </c>
      <c r="Y922" s="18">
        <f t="shared" si="608"/>
        <v>240000</v>
      </c>
      <c r="Z922" s="18">
        <f t="shared" si="576"/>
        <v>60</v>
      </c>
      <c r="AA922" s="18">
        <f t="shared" si="600"/>
        <v>2525</v>
      </c>
      <c r="AB922" s="18">
        <f t="shared" si="608"/>
        <v>402525</v>
      </c>
      <c r="AC922" s="18">
        <f t="shared" si="608"/>
        <v>301893.75</v>
      </c>
      <c r="AD922" s="18">
        <f t="shared" si="609"/>
        <v>75</v>
      </c>
      <c r="AE922" s="18">
        <f t="shared" si="583"/>
        <v>0</v>
      </c>
      <c r="AF922" s="18">
        <f t="shared" si="608"/>
        <v>402525</v>
      </c>
      <c r="AG922" s="18">
        <f t="shared" si="608"/>
        <v>400000</v>
      </c>
      <c r="AH922" s="18">
        <f t="shared" si="608"/>
        <v>400000</v>
      </c>
      <c r="AI922" s="18">
        <f t="shared" si="608"/>
        <v>400000</v>
      </c>
      <c r="AJ922" s="162" t="b">
        <f t="shared" si="604"/>
        <v>1</v>
      </c>
      <c r="AK922" s="162" t="str">
        <f t="shared" si="605"/>
        <v>PRAZNO</v>
      </c>
      <c r="AM922" s="164"/>
    </row>
    <row r="923" spans="1:39" ht="30" x14ac:dyDescent="0.2">
      <c r="B923" s="177"/>
      <c r="C923" s="177"/>
      <c r="D923" s="177"/>
      <c r="E923" s="177">
        <v>3631</v>
      </c>
      <c r="F923" s="176">
        <v>14</v>
      </c>
      <c r="G923" s="176" t="s">
        <v>424</v>
      </c>
      <c r="H923" s="16" t="s">
        <v>359</v>
      </c>
      <c r="I923" s="18">
        <v>400000</v>
      </c>
      <c r="J923" s="18">
        <v>300000</v>
      </c>
      <c r="K923" s="18">
        <f t="shared" ref="K923:K986" si="610">ROUND(J923/I923*100,2)</f>
        <v>75</v>
      </c>
      <c r="L923" s="18">
        <f t="shared" si="573"/>
        <v>-50685</v>
      </c>
      <c r="M923" s="18">
        <v>349315</v>
      </c>
      <c r="N923" s="18">
        <v>400000</v>
      </c>
      <c r="O923" s="18">
        <v>300000</v>
      </c>
      <c r="P923" s="26">
        <f t="shared" si="574"/>
        <v>0</v>
      </c>
      <c r="Q923" s="18">
        <v>400000</v>
      </c>
      <c r="R923" s="18">
        <v>410000</v>
      </c>
      <c r="S923" s="18">
        <v>415000</v>
      </c>
      <c r="T923" s="27">
        <v>400000</v>
      </c>
      <c r="U923" s="27">
        <v>400000</v>
      </c>
      <c r="V923" s="18">
        <v>400000</v>
      </c>
      <c r="W923" s="18">
        <v>400000</v>
      </c>
      <c r="X923" s="18">
        <v>400000</v>
      </c>
      <c r="Y923" s="18">
        <v>240000</v>
      </c>
      <c r="Z923" s="18">
        <f t="shared" ref="Z923:Z986" si="611">ROUND(Y923/V923*100,2)</f>
        <v>60</v>
      </c>
      <c r="AA923" s="18">
        <f t="shared" si="600"/>
        <v>2525</v>
      </c>
      <c r="AB923" s="18">
        <v>402525</v>
      </c>
      <c r="AC923" s="18">
        <v>301893.75</v>
      </c>
      <c r="AD923" s="18">
        <f t="shared" si="609"/>
        <v>75</v>
      </c>
      <c r="AE923" s="18">
        <f t="shared" si="583"/>
        <v>0</v>
      </c>
      <c r="AF923" s="18">
        <v>402525</v>
      </c>
      <c r="AG923" s="18">
        <v>400000</v>
      </c>
      <c r="AH923" s="18">
        <v>400000</v>
      </c>
      <c r="AI923" s="18">
        <v>400000</v>
      </c>
      <c r="AJ923" s="162" t="b">
        <f t="shared" si="604"/>
        <v>0</v>
      </c>
      <c r="AK923" s="162" t="str">
        <f t="shared" si="605"/>
        <v>PUNO</v>
      </c>
      <c r="AM923" s="164"/>
    </row>
    <row r="924" spans="1:39" s="171" customFormat="1" ht="31.5" x14ac:dyDescent="0.2">
      <c r="A924" s="259"/>
      <c r="B924" s="168"/>
      <c r="C924" s="168"/>
      <c r="D924" s="168"/>
      <c r="E924" s="168"/>
      <c r="F924" s="168"/>
      <c r="G924" s="168"/>
      <c r="H924" s="31" t="s">
        <v>6</v>
      </c>
      <c r="I924" s="169">
        <f>I926</f>
        <v>550000</v>
      </c>
      <c r="J924" s="169">
        <f>J926</f>
        <v>224828.14</v>
      </c>
      <c r="K924" s="169">
        <f t="shared" si="610"/>
        <v>40.880000000000003</v>
      </c>
      <c r="L924" s="169">
        <f t="shared" ref="L924:L987" si="612">M924-I924</f>
        <v>-226733.72999999998</v>
      </c>
      <c r="M924" s="19">
        <f>M926</f>
        <v>323266.27</v>
      </c>
      <c r="N924" s="19">
        <f>N926</f>
        <v>450000</v>
      </c>
      <c r="O924" s="19">
        <f>O926</f>
        <v>113028.97</v>
      </c>
      <c r="P924" s="354">
        <f t="shared" ref="P924:P993" si="613">T924-N924</f>
        <v>0</v>
      </c>
      <c r="Q924" s="19">
        <f t="shared" ref="Q924:X924" si="614">Q926</f>
        <v>450000</v>
      </c>
      <c r="R924" s="19">
        <f t="shared" si="614"/>
        <v>430000</v>
      </c>
      <c r="S924" s="19">
        <f t="shared" si="614"/>
        <v>420000</v>
      </c>
      <c r="T924" s="53">
        <f t="shared" si="614"/>
        <v>450000</v>
      </c>
      <c r="U924" s="53">
        <f>U926</f>
        <v>197761.58000000002</v>
      </c>
      <c r="V924" s="19">
        <f t="shared" si="614"/>
        <v>450000</v>
      </c>
      <c r="W924" s="19">
        <f t="shared" si="614"/>
        <v>430000</v>
      </c>
      <c r="X924" s="19">
        <f t="shared" si="614"/>
        <v>420000</v>
      </c>
      <c r="Y924" s="19">
        <f>Y926</f>
        <v>32796.5</v>
      </c>
      <c r="Z924" s="19">
        <f t="shared" si="611"/>
        <v>7.29</v>
      </c>
      <c r="AA924" s="19">
        <f t="shared" si="600"/>
        <v>-100000</v>
      </c>
      <c r="AB924" s="19">
        <f>AB926</f>
        <v>350000</v>
      </c>
      <c r="AC924" s="19">
        <f>AC926</f>
        <v>60578.14</v>
      </c>
      <c r="AD924" s="19">
        <f t="shared" si="609"/>
        <v>17.308039999999998</v>
      </c>
      <c r="AE924" s="19">
        <f t="shared" si="583"/>
        <v>-120000</v>
      </c>
      <c r="AF924" s="19">
        <f>AF926</f>
        <v>230000</v>
      </c>
      <c r="AG924" s="19">
        <f>AG926</f>
        <v>235000</v>
      </c>
      <c r="AH924" s="19">
        <f>AH926</f>
        <v>235000</v>
      </c>
      <c r="AI924" s="19">
        <f>AI926</f>
        <v>235000</v>
      </c>
      <c r="AJ924" s="162" t="b">
        <f t="shared" si="604"/>
        <v>1</v>
      </c>
      <c r="AK924" s="162" t="str">
        <f t="shared" si="605"/>
        <v>PRAZNO</v>
      </c>
      <c r="AL924" s="170"/>
      <c r="AM924" s="164"/>
    </row>
    <row r="925" spans="1:39" s="264" customFormat="1" ht="15.75" x14ac:dyDescent="0.2">
      <c r="A925" s="259"/>
      <c r="B925" s="260"/>
      <c r="C925" s="260"/>
      <c r="D925" s="260"/>
      <c r="E925" s="260"/>
      <c r="F925" s="260"/>
      <c r="G925" s="260"/>
      <c r="H925" s="471" t="s">
        <v>824</v>
      </c>
      <c r="I925" s="181"/>
      <c r="J925" s="181"/>
      <c r="K925" s="181"/>
      <c r="L925" s="181"/>
      <c r="M925" s="262"/>
      <c r="N925" s="262"/>
      <c r="O925" s="262"/>
      <c r="P925" s="472"/>
      <c r="Q925" s="262"/>
      <c r="R925" s="262"/>
      <c r="S925" s="262"/>
      <c r="T925" s="342"/>
      <c r="U925" s="342"/>
      <c r="V925" s="262">
        <f>V926</f>
        <v>450000</v>
      </c>
      <c r="W925" s="262">
        <f>W926</f>
        <v>430000</v>
      </c>
      <c r="X925" s="262">
        <f>X926</f>
        <v>420000</v>
      </c>
      <c r="Y925" s="262">
        <f>Y926</f>
        <v>32796.5</v>
      </c>
      <c r="Z925" s="262">
        <f t="shared" si="611"/>
        <v>7.29</v>
      </c>
      <c r="AA925" s="262">
        <f t="shared" si="600"/>
        <v>-100000</v>
      </c>
      <c r="AB925" s="262">
        <f>AB926</f>
        <v>350000</v>
      </c>
      <c r="AC925" s="262">
        <f>AC926</f>
        <v>60578.14</v>
      </c>
      <c r="AD925" s="262">
        <f t="shared" si="609"/>
        <v>17.308039999999998</v>
      </c>
      <c r="AE925" s="262">
        <f t="shared" si="583"/>
        <v>-120000</v>
      </c>
      <c r="AF925" s="262">
        <f>AF926</f>
        <v>230000</v>
      </c>
      <c r="AG925" s="262">
        <f>AG926</f>
        <v>235000</v>
      </c>
      <c r="AH925" s="262">
        <f>AH926</f>
        <v>235000</v>
      </c>
      <c r="AI925" s="262">
        <f>AI926</f>
        <v>235000</v>
      </c>
      <c r="AJ925" s="162" t="b">
        <f t="shared" si="604"/>
        <v>1</v>
      </c>
      <c r="AK925" s="162" t="str">
        <f t="shared" si="605"/>
        <v>PRAZNO</v>
      </c>
      <c r="AL925" s="263"/>
    </row>
    <row r="926" spans="1:39" s="174" customFormat="1" ht="15.75" x14ac:dyDescent="0.2">
      <c r="A926" s="259"/>
      <c r="B926" s="172">
        <v>3</v>
      </c>
      <c r="C926" s="172"/>
      <c r="D926" s="172"/>
      <c r="E926" s="172"/>
      <c r="F926" s="172"/>
      <c r="G926" s="172"/>
      <c r="H926" s="14" t="s">
        <v>524</v>
      </c>
      <c r="I926" s="20">
        <f t="shared" ref="I926:AI927" si="615">I927</f>
        <v>550000</v>
      </c>
      <c r="J926" s="20">
        <f t="shared" si="615"/>
        <v>224828.14</v>
      </c>
      <c r="K926" s="20">
        <f t="shared" si="610"/>
        <v>40.880000000000003</v>
      </c>
      <c r="L926" s="20">
        <f t="shared" si="612"/>
        <v>-226733.72999999998</v>
      </c>
      <c r="M926" s="20">
        <f t="shared" si="615"/>
        <v>323266.27</v>
      </c>
      <c r="N926" s="20">
        <f t="shared" si="615"/>
        <v>450000</v>
      </c>
      <c r="O926" s="20">
        <f t="shared" si="615"/>
        <v>113028.97</v>
      </c>
      <c r="P926" s="55">
        <f t="shared" si="613"/>
        <v>0</v>
      </c>
      <c r="Q926" s="20">
        <f t="shared" si="615"/>
        <v>450000</v>
      </c>
      <c r="R926" s="20">
        <f t="shared" si="615"/>
        <v>430000</v>
      </c>
      <c r="S926" s="20">
        <f t="shared" si="615"/>
        <v>420000</v>
      </c>
      <c r="T926" s="55">
        <f t="shared" si="615"/>
        <v>450000</v>
      </c>
      <c r="U926" s="55">
        <f t="shared" si="615"/>
        <v>197761.58000000002</v>
      </c>
      <c r="V926" s="20">
        <f t="shared" si="615"/>
        <v>450000</v>
      </c>
      <c r="W926" s="20">
        <f t="shared" si="615"/>
        <v>430000</v>
      </c>
      <c r="X926" s="20">
        <f t="shared" si="615"/>
        <v>420000</v>
      </c>
      <c r="Y926" s="20">
        <f t="shared" si="615"/>
        <v>32796.5</v>
      </c>
      <c r="Z926" s="20">
        <f t="shared" si="611"/>
        <v>7.29</v>
      </c>
      <c r="AA926" s="20">
        <f t="shared" si="600"/>
        <v>-100000</v>
      </c>
      <c r="AB926" s="20">
        <f t="shared" si="615"/>
        <v>350000</v>
      </c>
      <c r="AC926" s="20">
        <f t="shared" si="615"/>
        <v>60578.14</v>
      </c>
      <c r="AD926" s="20">
        <f t="shared" si="609"/>
        <v>17.308039999999998</v>
      </c>
      <c r="AE926" s="20">
        <f t="shared" si="583"/>
        <v>-120000</v>
      </c>
      <c r="AF926" s="20">
        <f t="shared" si="615"/>
        <v>230000</v>
      </c>
      <c r="AG926" s="20">
        <f t="shared" si="615"/>
        <v>235000</v>
      </c>
      <c r="AH926" s="20">
        <f t="shared" si="615"/>
        <v>235000</v>
      </c>
      <c r="AI926" s="20">
        <f t="shared" si="615"/>
        <v>235000</v>
      </c>
      <c r="AJ926" s="162" t="b">
        <f t="shared" si="604"/>
        <v>1</v>
      </c>
      <c r="AK926" s="162" t="str">
        <f t="shared" si="605"/>
        <v>PRAZNO</v>
      </c>
      <c r="AL926" s="173"/>
      <c r="AM926" s="164"/>
    </row>
    <row r="927" spans="1:39" ht="15.75" x14ac:dyDescent="0.2">
      <c r="B927" s="177"/>
      <c r="C927" s="177">
        <v>35</v>
      </c>
      <c r="D927" s="177"/>
      <c r="E927" s="177"/>
      <c r="F927" s="177"/>
      <c r="G927" s="177"/>
      <c r="H927" s="16" t="s">
        <v>747</v>
      </c>
      <c r="I927" s="18">
        <f t="shared" si="615"/>
        <v>550000</v>
      </c>
      <c r="J927" s="18">
        <f t="shared" si="615"/>
        <v>224828.14</v>
      </c>
      <c r="K927" s="18">
        <f t="shared" si="610"/>
        <v>40.880000000000003</v>
      </c>
      <c r="L927" s="18">
        <f t="shared" si="612"/>
        <v>-226733.72999999998</v>
      </c>
      <c r="M927" s="18">
        <f t="shared" si="615"/>
        <v>323266.27</v>
      </c>
      <c r="N927" s="18">
        <f t="shared" si="615"/>
        <v>450000</v>
      </c>
      <c r="O927" s="18">
        <f t="shared" si="615"/>
        <v>113028.97</v>
      </c>
      <c r="P927" s="26">
        <f t="shared" si="613"/>
        <v>0</v>
      </c>
      <c r="Q927" s="18">
        <f t="shared" si="615"/>
        <v>450000</v>
      </c>
      <c r="R927" s="18">
        <f t="shared" si="615"/>
        <v>430000</v>
      </c>
      <c r="S927" s="18">
        <f t="shared" si="615"/>
        <v>420000</v>
      </c>
      <c r="T927" s="27">
        <f t="shared" si="615"/>
        <v>450000</v>
      </c>
      <c r="U927" s="27">
        <f t="shared" si="615"/>
        <v>197761.58000000002</v>
      </c>
      <c r="V927" s="18">
        <f t="shared" si="615"/>
        <v>450000</v>
      </c>
      <c r="W927" s="18">
        <f t="shared" si="615"/>
        <v>430000</v>
      </c>
      <c r="X927" s="18">
        <f t="shared" si="615"/>
        <v>420000</v>
      </c>
      <c r="Y927" s="18">
        <f t="shared" si="615"/>
        <v>32796.5</v>
      </c>
      <c r="Z927" s="18">
        <f t="shared" si="611"/>
        <v>7.29</v>
      </c>
      <c r="AA927" s="18">
        <f t="shared" si="600"/>
        <v>-100000</v>
      </c>
      <c r="AB927" s="18">
        <f t="shared" si="615"/>
        <v>350000</v>
      </c>
      <c r="AC927" s="18">
        <f t="shared" si="615"/>
        <v>60578.14</v>
      </c>
      <c r="AD927" s="18">
        <f t="shared" si="609"/>
        <v>17.308039999999998</v>
      </c>
      <c r="AE927" s="18">
        <f t="shared" si="583"/>
        <v>-120000</v>
      </c>
      <c r="AF927" s="18">
        <f t="shared" si="615"/>
        <v>230000</v>
      </c>
      <c r="AG927" s="18">
        <f t="shared" si="615"/>
        <v>235000</v>
      </c>
      <c r="AH927" s="18">
        <f t="shared" si="615"/>
        <v>235000</v>
      </c>
      <c r="AI927" s="18">
        <f t="shared" si="615"/>
        <v>235000</v>
      </c>
      <c r="AJ927" s="162" t="b">
        <f t="shared" si="604"/>
        <v>1</v>
      </c>
      <c r="AK927" s="162" t="str">
        <f t="shared" si="605"/>
        <v>PRAZNO</v>
      </c>
      <c r="AM927" s="164"/>
    </row>
    <row r="928" spans="1:39" ht="30" x14ac:dyDescent="0.2">
      <c r="B928" s="177"/>
      <c r="C928" s="177"/>
      <c r="D928" s="177">
        <v>352</v>
      </c>
      <c r="E928" s="177"/>
      <c r="F928" s="177"/>
      <c r="G928" s="177"/>
      <c r="H928" s="29" t="s">
        <v>748</v>
      </c>
      <c r="I928" s="18">
        <f>SUM(I929:I930)</f>
        <v>550000</v>
      </c>
      <c r="J928" s="18">
        <f>SUM(J929:J930)</f>
        <v>224828.14</v>
      </c>
      <c r="K928" s="18">
        <f t="shared" si="610"/>
        <v>40.880000000000003</v>
      </c>
      <c r="L928" s="18">
        <f t="shared" si="612"/>
        <v>-226733.72999999998</v>
      </c>
      <c r="M928" s="18">
        <f>SUM(M929:M930)</f>
        <v>323266.27</v>
      </c>
      <c r="N928" s="18">
        <f>SUM(N929:N930)</f>
        <v>450000</v>
      </c>
      <c r="O928" s="18">
        <f>SUM(O929:O930)</f>
        <v>113028.97</v>
      </c>
      <c r="P928" s="26">
        <f t="shared" si="613"/>
        <v>0</v>
      </c>
      <c r="Q928" s="18">
        <f t="shared" ref="Q928:X928" si="616">SUM(Q929:Q930)</f>
        <v>450000</v>
      </c>
      <c r="R928" s="18">
        <f t="shared" si="616"/>
        <v>430000</v>
      </c>
      <c r="S928" s="18">
        <f t="shared" si="616"/>
        <v>420000</v>
      </c>
      <c r="T928" s="27">
        <f t="shared" si="616"/>
        <v>450000</v>
      </c>
      <c r="U928" s="27">
        <f>SUM(U929:U930)</f>
        <v>197761.58000000002</v>
      </c>
      <c r="V928" s="18">
        <f t="shared" si="616"/>
        <v>450000</v>
      </c>
      <c r="W928" s="18">
        <f t="shared" si="616"/>
        <v>430000</v>
      </c>
      <c r="X928" s="18">
        <f t="shared" si="616"/>
        <v>420000</v>
      </c>
      <c r="Y928" s="18">
        <f>SUM(Y929:Y930)</f>
        <v>32796.5</v>
      </c>
      <c r="Z928" s="18">
        <f t="shared" si="611"/>
        <v>7.29</v>
      </c>
      <c r="AA928" s="18">
        <f t="shared" si="600"/>
        <v>-100000</v>
      </c>
      <c r="AB928" s="18">
        <f>SUM(AB929:AB930)</f>
        <v>350000</v>
      </c>
      <c r="AC928" s="18">
        <f>SUM(AC929:AC930)</f>
        <v>60578.14</v>
      </c>
      <c r="AD928" s="18">
        <f t="shared" si="609"/>
        <v>17.308039999999998</v>
      </c>
      <c r="AE928" s="18">
        <f t="shared" si="583"/>
        <v>-120000</v>
      </c>
      <c r="AF928" s="18">
        <f>SUM(AF929:AF930)</f>
        <v>230000</v>
      </c>
      <c r="AG928" s="18">
        <f>SUM(AG929:AG930)</f>
        <v>235000</v>
      </c>
      <c r="AH928" s="18">
        <f>SUM(AH929:AH930)</f>
        <v>235000</v>
      </c>
      <c r="AI928" s="18">
        <f>SUM(AI929:AI930)</f>
        <v>235000</v>
      </c>
      <c r="AJ928" s="162" t="b">
        <f t="shared" si="604"/>
        <v>1</v>
      </c>
      <c r="AK928" s="162" t="str">
        <f t="shared" si="605"/>
        <v>PRAZNO</v>
      </c>
      <c r="AM928" s="164"/>
    </row>
    <row r="929" spans="1:39" ht="45" x14ac:dyDescent="0.2">
      <c r="B929" s="177"/>
      <c r="C929" s="177"/>
      <c r="D929" s="177"/>
      <c r="E929" s="177">
        <v>3523</v>
      </c>
      <c r="F929" s="176">
        <v>13</v>
      </c>
      <c r="G929" s="176" t="s">
        <v>424</v>
      </c>
      <c r="H929" s="40" t="s">
        <v>326</v>
      </c>
      <c r="I929" s="18">
        <v>94507</v>
      </c>
      <c r="J929" s="178">
        <v>54017.23</v>
      </c>
      <c r="K929" s="178">
        <f t="shared" si="610"/>
        <v>57.16</v>
      </c>
      <c r="L929" s="178">
        <f t="shared" si="612"/>
        <v>-3445.320000000007</v>
      </c>
      <c r="M929" s="178">
        <v>91061.68</v>
      </c>
      <c r="N929" s="178">
        <v>235000</v>
      </c>
      <c r="O929" s="178">
        <v>67300.78</v>
      </c>
      <c r="P929" s="26">
        <f t="shared" si="613"/>
        <v>70000</v>
      </c>
      <c r="Q929" s="178">
        <v>215000</v>
      </c>
      <c r="R929" s="178"/>
      <c r="S929" s="178"/>
      <c r="T929" s="266">
        <f>235000+70000</f>
        <v>305000</v>
      </c>
      <c r="U929" s="266">
        <v>141226.79</v>
      </c>
      <c r="V929" s="178">
        <v>94507</v>
      </c>
      <c r="W929" s="178">
        <v>94507</v>
      </c>
      <c r="X929" s="178">
        <v>94507</v>
      </c>
      <c r="Y929" s="178">
        <v>5061.5600000000004</v>
      </c>
      <c r="Z929" s="178">
        <f t="shared" si="611"/>
        <v>5.36</v>
      </c>
      <c r="AA929" s="178">
        <f t="shared" si="600"/>
        <v>220493</v>
      </c>
      <c r="AB929" s="178">
        <v>315000</v>
      </c>
      <c r="AC929" s="178">
        <v>31277.75</v>
      </c>
      <c r="AD929" s="178">
        <f t="shared" si="609"/>
        <v>9.9294444444444441</v>
      </c>
      <c r="AE929" s="178">
        <f t="shared" si="583"/>
        <v>-115000</v>
      </c>
      <c r="AF929" s="686">
        <v>200000</v>
      </c>
      <c r="AG929" s="686">
        <v>200000</v>
      </c>
      <c r="AH929" s="686">
        <v>200000</v>
      </c>
      <c r="AI929" s="686">
        <v>200000</v>
      </c>
      <c r="AJ929" s="162" t="b">
        <f t="shared" si="604"/>
        <v>0</v>
      </c>
      <c r="AK929" s="162" t="str">
        <f t="shared" si="605"/>
        <v>PUNO</v>
      </c>
      <c r="AM929" s="164"/>
    </row>
    <row r="930" spans="1:39" ht="45" x14ac:dyDescent="0.2">
      <c r="B930" s="177"/>
      <c r="C930" s="177"/>
      <c r="D930" s="177"/>
      <c r="E930" s="177">
        <v>3523</v>
      </c>
      <c r="F930" s="176">
        <v>14</v>
      </c>
      <c r="G930" s="176"/>
      <c r="H930" s="40" t="s">
        <v>326</v>
      </c>
      <c r="I930" s="18">
        <v>455493</v>
      </c>
      <c r="J930" s="178">
        <v>170810.91</v>
      </c>
      <c r="K930" s="178">
        <f t="shared" si="610"/>
        <v>37.5</v>
      </c>
      <c r="L930" s="178">
        <f t="shared" si="612"/>
        <v>-223288.41</v>
      </c>
      <c r="M930" s="178">
        <v>232204.59</v>
      </c>
      <c r="N930" s="178">
        <v>215000</v>
      </c>
      <c r="O930" s="178">
        <v>45728.19</v>
      </c>
      <c r="P930" s="26">
        <f t="shared" si="613"/>
        <v>-70000</v>
      </c>
      <c r="Q930" s="178">
        <v>235000</v>
      </c>
      <c r="R930" s="178">
        <v>430000</v>
      </c>
      <c r="S930" s="178">
        <v>420000</v>
      </c>
      <c r="T930" s="266">
        <f>215000-70000</f>
        <v>145000</v>
      </c>
      <c r="U930" s="266">
        <v>56534.79</v>
      </c>
      <c r="V930" s="178">
        <v>355493</v>
      </c>
      <c r="W930" s="178">
        <v>335493</v>
      </c>
      <c r="X930" s="178">
        <v>325493</v>
      </c>
      <c r="Y930" s="178">
        <v>27734.94</v>
      </c>
      <c r="Z930" s="178">
        <f t="shared" si="611"/>
        <v>7.8</v>
      </c>
      <c r="AA930" s="178">
        <f t="shared" si="600"/>
        <v>-320493</v>
      </c>
      <c r="AB930" s="178">
        <v>35000</v>
      </c>
      <c r="AC930" s="178">
        <v>29300.39</v>
      </c>
      <c r="AD930" s="178">
        <f t="shared" si="609"/>
        <v>83.715399999999988</v>
      </c>
      <c r="AE930" s="178">
        <f t="shared" si="583"/>
        <v>-5000</v>
      </c>
      <c r="AF930" s="178">
        <v>30000</v>
      </c>
      <c r="AG930" s="178">
        <v>35000</v>
      </c>
      <c r="AH930" s="178">
        <v>35000</v>
      </c>
      <c r="AI930" s="178">
        <v>35000</v>
      </c>
      <c r="AJ930" s="162" t="b">
        <f t="shared" si="604"/>
        <v>0</v>
      </c>
      <c r="AK930" s="162" t="str">
        <f t="shared" si="605"/>
        <v>PUNO</v>
      </c>
      <c r="AM930" s="164"/>
    </row>
    <row r="931" spans="1:39" s="171" customFormat="1" ht="31.5" x14ac:dyDescent="0.2">
      <c r="A931" s="259"/>
      <c r="B931" s="168"/>
      <c r="C931" s="168"/>
      <c r="D931" s="168"/>
      <c r="E931" s="168"/>
      <c r="F931" s="168"/>
      <c r="G931" s="168"/>
      <c r="H931" s="31" t="s">
        <v>7</v>
      </c>
      <c r="I931" s="169">
        <f>I933</f>
        <v>250000</v>
      </c>
      <c r="J931" s="169">
        <f>J933</f>
        <v>26962.5</v>
      </c>
      <c r="K931" s="169">
        <f t="shared" si="610"/>
        <v>10.79</v>
      </c>
      <c r="L931" s="169">
        <f t="shared" si="612"/>
        <v>10087.350000000006</v>
      </c>
      <c r="M931" s="19">
        <f>M933</f>
        <v>260087.35</v>
      </c>
      <c r="N931" s="19">
        <f>N933</f>
        <v>175000</v>
      </c>
      <c r="O931" s="19">
        <f>O933</f>
        <v>92666.75</v>
      </c>
      <c r="P931" s="303">
        <f t="shared" si="613"/>
        <v>20000</v>
      </c>
      <c r="Q931" s="19">
        <f t="shared" ref="Q931:X931" si="617">Q933</f>
        <v>175000</v>
      </c>
      <c r="R931" s="19">
        <f t="shared" si="617"/>
        <v>0</v>
      </c>
      <c r="S931" s="19">
        <f t="shared" si="617"/>
        <v>0</v>
      </c>
      <c r="T931" s="53">
        <f t="shared" si="617"/>
        <v>195000</v>
      </c>
      <c r="U931" s="53">
        <f>U933</f>
        <v>182358.75</v>
      </c>
      <c r="V931" s="19">
        <f t="shared" si="617"/>
        <v>100000</v>
      </c>
      <c r="W931" s="19">
        <f t="shared" si="617"/>
        <v>100000</v>
      </c>
      <c r="X931" s="19">
        <f t="shared" si="617"/>
        <v>100000</v>
      </c>
      <c r="Y931" s="19">
        <f>Y933</f>
        <v>0</v>
      </c>
      <c r="Z931" s="19">
        <f t="shared" si="611"/>
        <v>0</v>
      </c>
      <c r="AA931" s="19">
        <f t="shared" si="600"/>
        <v>200000</v>
      </c>
      <c r="AB931" s="19">
        <f>AB933</f>
        <v>300000</v>
      </c>
      <c r="AC931" s="19">
        <f>AC933</f>
        <v>11250</v>
      </c>
      <c r="AD931" s="19">
        <f t="shared" si="609"/>
        <v>3.75</v>
      </c>
      <c r="AE931" s="19">
        <f t="shared" si="583"/>
        <v>0</v>
      </c>
      <c r="AF931" s="19">
        <f>AF933</f>
        <v>300000</v>
      </c>
      <c r="AG931" s="19">
        <f>AG933</f>
        <v>100000</v>
      </c>
      <c r="AH931" s="19">
        <f>AH933</f>
        <v>100000</v>
      </c>
      <c r="AI931" s="19">
        <f>AI933</f>
        <v>100000</v>
      </c>
      <c r="AJ931" s="162" t="b">
        <f t="shared" si="604"/>
        <v>1</v>
      </c>
      <c r="AK931" s="162" t="str">
        <f t="shared" si="605"/>
        <v>PRAZNO</v>
      </c>
      <c r="AL931" s="170"/>
      <c r="AM931" s="164"/>
    </row>
    <row r="932" spans="1:39" s="264" customFormat="1" ht="15.75" x14ac:dyDescent="0.2">
      <c r="A932" s="259"/>
      <c r="B932" s="260"/>
      <c r="C932" s="260"/>
      <c r="D932" s="260"/>
      <c r="E932" s="260"/>
      <c r="F932" s="260"/>
      <c r="G932" s="260"/>
      <c r="H932" s="471" t="s">
        <v>824</v>
      </c>
      <c r="I932" s="181"/>
      <c r="J932" s="181"/>
      <c r="K932" s="181"/>
      <c r="L932" s="181"/>
      <c r="M932" s="262"/>
      <c r="N932" s="262"/>
      <c r="O932" s="262"/>
      <c r="P932" s="445"/>
      <c r="Q932" s="262"/>
      <c r="R932" s="262"/>
      <c r="S932" s="262"/>
      <c r="T932" s="342"/>
      <c r="U932" s="342"/>
      <c r="V932" s="262">
        <f>V933</f>
        <v>100000</v>
      </c>
      <c r="W932" s="262">
        <f>W933</f>
        <v>100000</v>
      </c>
      <c r="X932" s="262">
        <f>X933</f>
        <v>100000</v>
      </c>
      <c r="Y932" s="262">
        <f>Y933</f>
        <v>0</v>
      </c>
      <c r="Z932" s="262">
        <f t="shared" si="611"/>
        <v>0</v>
      </c>
      <c r="AA932" s="262">
        <f t="shared" si="600"/>
        <v>200000</v>
      </c>
      <c r="AB932" s="262">
        <f>AB933</f>
        <v>300000</v>
      </c>
      <c r="AC932" s="262">
        <f>AC933</f>
        <v>11250</v>
      </c>
      <c r="AD932" s="262">
        <f t="shared" si="609"/>
        <v>3.75</v>
      </c>
      <c r="AE932" s="262">
        <f t="shared" si="583"/>
        <v>0</v>
      </c>
      <c r="AF932" s="262">
        <f>AF933</f>
        <v>300000</v>
      </c>
      <c r="AG932" s="262">
        <f>AG933</f>
        <v>100000</v>
      </c>
      <c r="AH932" s="262">
        <f>AH933</f>
        <v>100000</v>
      </c>
      <c r="AI932" s="262">
        <f>AI933</f>
        <v>100000</v>
      </c>
      <c r="AJ932" s="162" t="b">
        <f t="shared" si="604"/>
        <v>1</v>
      </c>
      <c r="AK932" s="162" t="str">
        <f t="shared" si="605"/>
        <v>PRAZNO</v>
      </c>
      <c r="AL932" s="263"/>
    </row>
    <row r="933" spans="1:39" s="174" customFormat="1" ht="15.75" x14ac:dyDescent="0.2">
      <c r="A933" s="259"/>
      <c r="B933" s="172">
        <v>3</v>
      </c>
      <c r="C933" s="172"/>
      <c r="D933" s="172"/>
      <c r="E933" s="172"/>
      <c r="F933" s="172"/>
      <c r="G933" s="172"/>
      <c r="H933" s="14" t="s">
        <v>524</v>
      </c>
      <c r="I933" s="20">
        <f t="shared" ref="I933:AI935" si="618">I934</f>
        <v>250000</v>
      </c>
      <c r="J933" s="20">
        <f t="shared" si="618"/>
        <v>26962.5</v>
      </c>
      <c r="K933" s="20">
        <f t="shared" si="610"/>
        <v>10.79</v>
      </c>
      <c r="L933" s="20">
        <f t="shared" si="612"/>
        <v>10087.350000000006</v>
      </c>
      <c r="M933" s="20">
        <f t="shared" si="618"/>
        <v>260087.35</v>
      </c>
      <c r="N933" s="20">
        <f t="shared" si="618"/>
        <v>175000</v>
      </c>
      <c r="O933" s="20">
        <f t="shared" si="618"/>
        <v>92666.75</v>
      </c>
      <c r="P933" s="55">
        <f t="shared" si="613"/>
        <v>20000</v>
      </c>
      <c r="Q933" s="20">
        <f t="shared" si="618"/>
        <v>175000</v>
      </c>
      <c r="R933" s="20">
        <f t="shared" si="618"/>
        <v>0</v>
      </c>
      <c r="S933" s="20">
        <f t="shared" si="618"/>
        <v>0</v>
      </c>
      <c r="T933" s="55">
        <f t="shared" si="618"/>
        <v>195000</v>
      </c>
      <c r="U933" s="55">
        <f t="shared" si="618"/>
        <v>182358.75</v>
      </c>
      <c r="V933" s="20">
        <f t="shared" si="618"/>
        <v>100000</v>
      </c>
      <c r="W933" s="20">
        <f t="shared" si="618"/>
        <v>100000</v>
      </c>
      <c r="X933" s="20">
        <f t="shared" si="618"/>
        <v>100000</v>
      </c>
      <c r="Y933" s="20">
        <f t="shared" si="618"/>
        <v>0</v>
      </c>
      <c r="Z933" s="20">
        <f t="shared" si="611"/>
        <v>0</v>
      </c>
      <c r="AA933" s="20">
        <f t="shared" si="600"/>
        <v>200000</v>
      </c>
      <c r="AB933" s="20">
        <f t="shared" si="618"/>
        <v>300000</v>
      </c>
      <c r="AC933" s="20">
        <f t="shared" si="618"/>
        <v>11250</v>
      </c>
      <c r="AD933" s="20">
        <f t="shared" si="609"/>
        <v>3.75</v>
      </c>
      <c r="AE933" s="20">
        <f t="shared" si="583"/>
        <v>0</v>
      </c>
      <c r="AF933" s="20">
        <f t="shared" si="618"/>
        <v>300000</v>
      </c>
      <c r="AG933" s="20">
        <f t="shared" si="618"/>
        <v>100000</v>
      </c>
      <c r="AH933" s="20">
        <f t="shared" si="618"/>
        <v>100000</v>
      </c>
      <c r="AI933" s="20">
        <f t="shared" si="618"/>
        <v>100000</v>
      </c>
      <c r="AJ933" s="162" t="b">
        <f t="shared" si="604"/>
        <v>1</v>
      </c>
      <c r="AK933" s="162" t="str">
        <f t="shared" si="605"/>
        <v>PRAZNO</v>
      </c>
      <c r="AL933" s="173"/>
      <c r="AM933" s="164"/>
    </row>
    <row r="934" spans="1:39" ht="15.75" x14ac:dyDescent="0.2">
      <c r="B934" s="177"/>
      <c r="C934" s="177">
        <v>35</v>
      </c>
      <c r="D934" s="177"/>
      <c r="E934" s="177"/>
      <c r="F934" s="177"/>
      <c r="G934" s="177"/>
      <c r="H934" s="16" t="s">
        <v>747</v>
      </c>
      <c r="I934" s="18">
        <f t="shared" si="618"/>
        <v>250000</v>
      </c>
      <c r="J934" s="18">
        <f t="shared" si="618"/>
        <v>26962.5</v>
      </c>
      <c r="K934" s="18">
        <f t="shared" si="610"/>
        <v>10.79</v>
      </c>
      <c r="L934" s="18">
        <f t="shared" si="612"/>
        <v>10087.350000000006</v>
      </c>
      <c r="M934" s="18">
        <f t="shared" si="618"/>
        <v>260087.35</v>
      </c>
      <c r="N934" s="18">
        <f t="shared" si="618"/>
        <v>175000</v>
      </c>
      <c r="O934" s="18">
        <f t="shared" si="618"/>
        <v>92666.75</v>
      </c>
      <c r="P934" s="26">
        <f t="shared" si="613"/>
        <v>20000</v>
      </c>
      <c r="Q934" s="18">
        <f t="shared" si="618"/>
        <v>175000</v>
      </c>
      <c r="R934" s="18">
        <f t="shared" si="618"/>
        <v>0</v>
      </c>
      <c r="S934" s="18">
        <f t="shared" si="618"/>
        <v>0</v>
      </c>
      <c r="T934" s="27">
        <f t="shared" si="618"/>
        <v>195000</v>
      </c>
      <c r="U934" s="27">
        <f t="shared" si="618"/>
        <v>182358.75</v>
      </c>
      <c r="V934" s="18">
        <f t="shared" si="618"/>
        <v>100000</v>
      </c>
      <c r="W934" s="18">
        <f t="shared" si="618"/>
        <v>100000</v>
      </c>
      <c r="X934" s="18">
        <f t="shared" si="618"/>
        <v>100000</v>
      </c>
      <c r="Y934" s="18">
        <f t="shared" si="618"/>
        <v>0</v>
      </c>
      <c r="Z934" s="18">
        <f t="shared" si="611"/>
        <v>0</v>
      </c>
      <c r="AA934" s="18">
        <f t="shared" si="600"/>
        <v>200000</v>
      </c>
      <c r="AB934" s="18">
        <f t="shared" si="618"/>
        <v>300000</v>
      </c>
      <c r="AC934" s="18">
        <f t="shared" si="618"/>
        <v>11250</v>
      </c>
      <c r="AD934" s="18">
        <f t="shared" si="609"/>
        <v>3.75</v>
      </c>
      <c r="AE934" s="18">
        <f t="shared" si="583"/>
        <v>0</v>
      </c>
      <c r="AF934" s="18">
        <f t="shared" si="618"/>
        <v>300000</v>
      </c>
      <c r="AG934" s="18">
        <f t="shared" si="618"/>
        <v>100000</v>
      </c>
      <c r="AH934" s="18">
        <f t="shared" si="618"/>
        <v>100000</v>
      </c>
      <c r="AI934" s="18">
        <f t="shared" si="618"/>
        <v>100000</v>
      </c>
      <c r="AJ934" s="162" t="b">
        <f t="shared" si="604"/>
        <v>1</v>
      </c>
      <c r="AK934" s="162" t="str">
        <f t="shared" si="605"/>
        <v>PRAZNO</v>
      </c>
      <c r="AM934" s="164"/>
    </row>
    <row r="935" spans="1:39" ht="30" x14ac:dyDescent="0.2">
      <c r="B935" s="177"/>
      <c r="C935" s="177"/>
      <c r="D935" s="177">
        <v>352</v>
      </c>
      <c r="E935" s="177"/>
      <c r="F935" s="177"/>
      <c r="G935" s="177"/>
      <c r="H935" s="29" t="s">
        <v>748</v>
      </c>
      <c r="I935" s="18">
        <f t="shared" si="618"/>
        <v>250000</v>
      </c>
      <c r="J935" s="18">
        <f t="shared" si="618"/>
        <v>26962.5</v>
      </c>
      <c r="K935" s="18">
        <f t="shared" si="610"/>
        <v>10.79</v>
      </c>
      <c r="L935" s="18">
        <f t="shared" si="612"/>
        <v>10087.350000000006</v>
      </c>
      <c r="M935" s="18">
        <f t="shared" si="618"/>
        <v>260087.35</v>
      </c>
      <c r="N935" s="18">
        <f t="shared" si="618"/>
        <v>175000</v>
      </c>
      <c r="O935" s="18">
        <f t="shared" si="618"/>
        <v>92666.75</v>
      </c>
      <c r="P935" s="26">
        <f t="shared" si="613"/>
        <v>20000</v>
      </c>
      <c r="Q935" s="18">
        <f t="shared" si="618"/>
        <v>175000</v>
      </c>
      <c r="R935" s="18">
        <f t="shared" si="618"/>
        <v>0</v>
      </c>
      <c r="S935" s="18">
        <f t="shared" si="618"/>
        <v>0</v>
      </c>
      <c r="T935" s="27">
        <f t="shared" si="618"/>
        <v>195000</v>
      </c>
      <c r="U935" s="27">
        <f t="shared" si="618"/>
        <v>182358.75</v>
      </c>
      <c r="V935" s="18">
        <f t="shared" si="618"/>
        <v>100000</v>
      </c>
      <c r="W935" s="18">
        <f t="shared" si="618"/>
        <v>100000</v>
      </c>
      <c r="X935" s="18">
        <f t="shared" si="618"/>
        <v>100000</v>
      </c>
      <c r="Y935" s="18">
        <f t="shared" si="618"/>
        <v>0</v>
      </c>
      <c r="Z935" s="18">
        <f t="shared" si="611"/>
        <v>0</v>
      </c>
      <c r="AA935" s="18">
        <f t="shared" si="600"/>
        <v>200000</v>
      </c>
      <c r="AB935" s="18">
        <f t="shared" si="618"/>
        <v>300000</v>
      </c>
      <c r="AC935" s="18">
        <f t="shared" si="618"/>
        <v>11250</v>
      </c>
      <c r="AD935" s="18">
        <f t="shared" si="609"/>
        <v>3.75</v>
      </c>
      <c r="AE935" s="18">
        <f t="shared" ref="AE935:AE999" si="619">AF935-AB935</f>
        <v>0</v>
      </c>
      <c r="AF935" s="18">
        <f t="shared" si="618"/>
        <v>300000</v>
      </c>
      <c r="AG935" s="18">
        <f t="shared" si="618"/>
        <v>100000</v>
      </c>
      <c r="AH935" s="18">
        <f t="shared" si="618"/>
        <v>100000</v>
      </c>
      <c r="AI935" s="18">
        <f t="shared" si="618"/>
        <v>100000</v>
      </c>
      <c r="AJ935" s="162" t="b">
        <f t="shared" si="604"/>
        <v>1</v>
      </c>
      <c r="AK935" s="162" t="str">
        <f t="shared" si="605"/>
        <v>PRAZNO</v>
      </c>
      <c r="AM935" s="164"/>
    </row>
    <row r="936" spans="1:39" ht="15.75" x14ac:dyDescent="0.2">
      <c r="B936" s="177"/>
      <c r="C936" s="177"/>
      <c r="D936" s="177"/>
      <c r="E936" s="177">
        <v>3523</v>
      </c>
      <c r="F936" s="176">
        <v>14</v>
      </c>
      <c r="G936" s="176"/>
      <c r="H936" s="40" t="s">
        <v>324</v>
      </c>
      <c r="I936" s="18">
        <v>250000</v>
      </c>
      <c r="J936" s="18">
        <v>26962.5</v>
      </c>
      <c r="K936" s="18">
        <f t="shared" si="610"/>
        <v>10.79</v>
      </c>
      <c r="L936" s="18">
        <f t="shared" si="612"/>
        <v>10087.350000000006</v>
      </c>
      <c r="M936" s="18">
        <v>260087.35</v>
      </c>
      <c r="N936" s="18">
        <v>175000</v>
      </c>
      <c r="O936" s="18">
        <v>92666.75</v>
      </c>
      <c r="P936" s="26">
        <f t="shared" si="613"/>
        <v>20000</v>
      </c>
      <c r="Q936" s="18">
        <v>175000</v>
      </c>
      <c r="R936" s="18">
        <v>0</v>
      </c>
      <c r="S936" s="18">
        <v>0</v>
      </c>
      <c r="T936" s="27">
        <v>195000</v>
      </c>
      <c r="U936" s="27">
        <v>182358.75</v>
      </c>
      <c r="V936" s="18">
        <v>100000</v>
      </c>
      <c r="W936" s="18">
        <v>100000</v>
      </c>
      <c r="X936" s="18">
        <v>100000</v>
      </c>
      <c r="Y936" s="18">
        <v>0</v>
      </c>
      <c r="Z936" s="18">
        <f t="shared" si="611"/>
        <v>0</v>
      </c>
      <c r="AA936" s="18">
        <f t="shared" si="600"/>
        <v>200000</v>
      </c>
      <c r="AB936" s="18">
        <v>300000</v>
      </c>
      <c r="AC936" s="18">
        <v>11250</v>
      </c>
      <c r="AD936" s="18">
        <f t="shared" si="609"/>
        <v>3.75</v>
      </c>
      <c r="AE936" s="18">
        <f t="shared" si="619"/>
        <v>0</v>
      </c>
      <c r="AF936" s="18">
        <v>300000</v>
      </c>
      <c r="AG936" s="18">
        <v>100000</v>
      </c>
      <c r="AH936" s="18">
        <v>100000</v>
      </c>
      <c r="AI936" s="18">
        <v>100000</v>
      </c>
      <c r="AJ936" s="162" t="b">
        <f t="shared" si="604"/>
        <v>0</v>
      </c>
      <c r="AK936" s="162" t="str">
        <f t="shared" si="605"/>
        <v>PUNO</v>
      </c>
      <c r="AM936" s="164"/>
    </row>
    <row r="937" spans="1:39" s="171" customFormat="1" ht="31.5" x14ac:dyDescent="0.2">
      <c r="A937" s="259"/>
      <c r="B937" s="168"/>
      <c r="C937" s="168"/>
      <c r="D937" s="168"/>
      <c r="E937" s="168"/>
      <c r="F937" s="168"/>
      <c r="G937" s="168"/>
      <c r="H937" s="31" t="s">
        <v>8</v>
      </c>
      <c r="I937" s="169">
        <f>I940</f>
        <v>50000</v>
      </c>
      <c r="J937" s="169">
        <f>J940</f>
        <v>0</v>
      </c>
      <c r="K937" s="169">
        <f t="shared" si="610"/>
        <v>0</v>
      </c>
      <c r="L937" s="169">
        <f t="shared" si="612"/>
        <v>-50000</v>
      </c>
      <c r="M937" s="19">
        <f>M940</f>
        <v>0</v>
      </c>
      <c r="N937" s="19">
        <f>N940</f>
        <v>30000</v>
      </c>
      <c r="O937" s="19">
        <f>O940</f>
        <v>30000</v>
      </c>
      <c r="P937" s="303">
        <f t="shared" si="613"/>
        <v>0</v>
      </c>
      <c r="Q937" s="19">
        <f t="shared" ref="Q937:X937" si="620">Q940</f>
        <v>30000</v>
      </c>
      <c r="R937" s="19">
        <f t="shared" si="620"/>
        <v>0</v>
      </c>
      <c r="S937" s="19">
        <f t="shared" si="620"/>
        <v>0</v>
      </c>
      <c r="T937" s="53">
        <f t="shared" si="620"/>
        <v>30000</v>
      </c>
      <c r="U937" s="53">
        <f>U940</f>
        <v>30000</v>
      </c>
      <c r="V937" s="19">
        <f t="shared" si="620"/>
        <v>0</v>
      </c>
      <c r="W937" s="19">
        <f t="shared" si="620"/>
        <v>0</v>
      </c>
      <c r="X937" s="19">
        <f t="shared" si="620"/>
        <v>0</v>
      </c>
      <c r="Y937" s="19">
        <f>Y940</f>
        <v>0</v>
      </c>
      <c r="Z937" s="19" t="e">
        <f t="shared" si="611"/>
        <v>#DIV/0!</v>
      </c>
      <c r="AA937" s="19">
        <f t="shared" si="600"/>
        <v>0</v>
      </c>
      <c r="AB937" s="19">
        <f>AB940</f>
        <v>0</v>
      </c>
      <c r="AC937" s="19">
        <f>AC940</f>
        <v>0</v>
      </c>
      <c r="AD937" s="19" t="e">
        <f t="shared" si="609"/>
        <v>#DIV/0!</v>
      </c>
      <c r="AE937" s="19">
        <f t="shared" si="619"/>
        <v>0</v>
      </c>
      <c r="AF937" s="19">
        <f>AF940</f>
        <v>0</v>
      </c>
      <c r="AG937" s="19">
        <f>AG940</f>
        <v>0</v>
      </c>
      <c r="AH937" s="19">
        <f>AH940</f>
        <v>0</v>
      </c>
      <c r="AI937" s="19">
        <f>AI940</f>
        <v>0</v>
      </c>
      <c r="AJ937" s="162" t="b">
        <f t="shared" si="604"/>
        <v>1</v>
      </c>
      <c r="AK937" s="162" t="str">
        <f t="shared" si="605"/>
        <v>PRAZNO</v>
      </c>
      <c r="AL937" s="170"/>
      <c r="AM937" s="164"/>
    </row>
    <row r="938" spans="1:39" s="264" customFormat="1" ht="15.75" x14ac:dyDescent="0.2">
      <c r="A938" s="259"/>
      <c r="B938" s="260"/>
      <c r="C938" s="260"/>
      <c r="D938" s="260"/>
      <c r="E938" s="260"/>
      <c r="F938" s="260"/>
      <c r="G938" s="260"/>
      <c r="H938" s="471" t="s">
        <v>824</v>
      </c>
      <c r="I938" s="181"/>
      <c r="J938" s="181"/>
      <c r="K938" s="181"/>
      <c r="L938" s="181"/>
      <c r="M938" s="262"/>
      <c r="N938" s="262"/>
      <c r="O938" s="262"/>
      <c r="P938" s="445"/>
      <c r="Q938" s="262"/>
      <c r="R938" s="262"/>
      <c r="S938" s="262"/>
      <c r="T938" s="342"/>
      <c r="U938" s="342"/>
      <c r="V938" s="262">
        <f>V939</f>
        <v>0</v>
      </c>
      <c r="W938" s="262">
        <f>W939</f>
        <v>0</v>
      </c>
      <c r="X938" s="262">
        <f>X939</f>
        <v>0</v>
      </c>
      <c r="Y938" s="262">
        <f>Y939</f>
        <v>0</v>
      </c>
      <c r="Z938" s="262" t="e">
        <f t="shared" si="611"/>
        <v>#DIV/0!</v>
      </c>
      <c r="AA938" s="262">
        <f t="shared" si="600"/>
        <v>0</v>
      </c>
      <c r="AB938" s="262">
        <f>AB939</f>
        <v>0</v>
      </c>
      <c r="AC938" s="262">
        <f>AC939</f>
        <v>0</v>
      </c>
      <c r="AD938" s="262" t="e">
        <f t="shared" si="609"/>
        <v>#DIV/0!</v>
      </c>
      <c r="AE938" s="262">
        <f t="shared" si="619"/>
        <v>0</v>
      </c>
      <c r="AF938" s="262">
        <f>AF939</f>
        <v>0</v>
      </c>
      <c r="AG938" s="262">
        <f>AG939</f>
        <v>0</v>
      </c>
      <c r="AH938" s="262">
        <f>AH939</f>
        <v>0</v>
      </c>
      <c r="AI938" s="262">
        <f>AI939</f>
        <v>0</v>
      </c>
      <c r="AJ938" s="162" t="b">
        <f t="shared" si="604"/>
        <v>1</v>
      </c>
      <c r="AK938" s="162" t="str">
        <f t="shared" si="605"/>
        <v>PRAZNO</v>
      </c>
      <c r="AL938" s="263"/>
    </row>
    <row r="939" spans="1:39" s="174" customFormat="1" ht="15.75" x14ac:dyDescent="0.2">
      <c r="A939" s="259"/>
      <c r="B939" s="172">
        <v>3</v>
      </c>
      <c r="C939" s="172"/>
      <c r="D939" s="172"/>
      <c r="E939" s="172"/>
      <c r="F939" s="172"/>
      <c r="G939" s="172"/>
      <c r="H939" s="14" t="s">
        <v>524</v>
      </c>
      <c r="I939" s="20">
        <f t="shared" ref="I939:AI941" si="621">I940</f>
        <v>50000</v>
      </c>
      <c r="J939" s="20">
        <f t="shared" si="621"/>
        <v>0</v>
      </c>
      <c r="K939" s="20">
        <f t="shared" si="610"/>
        <v>0</v>
      </c>
      <c r="L939" s="20">
        <f t="shared" si="612"/>
        <v>-50000</v>
      </c>
      <c r="M939" s="20">
        <f t="shared" si="621"/>
        <v>0</v>
      </c>
      <c r="N939" s="20">
        <f t="shared" si="621"/>
        <v>30000</v>
      </c>
      <c r="O939" s="20">
        <f t="shared" si="621"/>
        <v>30000</v>
      </c>
      <c r="P939" s="55">
        <f t="shared" si="613"/>
        <v>0</v>
      </c>
      <c r="Q939" s="20">
        <f t="shared" si="621"/>
        <v>30000</v>
      </c>
      <c r="R939" s="20">
        <f t="shared" si="621"/>
        <v>0</v>
      </c>
      <c r="S939" s="20">
        <f t="shared" si="621"/>
        <v>0</v>
      </c>
      <c r="T939" s="55">
        <f t="shared" si="621"/>
        <v>30000</v>
      </c>
      <c r="U939" s="55">
        <f t="shared" si="621"/>
        <v>30000</v>
      </c>
      <c r="V939" s="20">
        <f t="shared" si="621"/>
        <v>0</v>
      </c>
      <c r="W939" s="20">
        <f t="shared" si="621"/>
        <v>0</v>
      </c>
      <c r="X939" s="20">
        <f t="shared" si="621"/>
        <v>0</v>
      </c>
      <c r="Y939" s="20">
        <f t="shared" si="621"/>
        <v>0</v>
      </c>
      <c r="Z939" s="20" t="e">
        <f t="shared" si="611"/>
        <v>#DIV/0!</v>
      </c>
      <c r="AA939" s="20">
        <f t="shared" si="600"/>
        <v>0</v>
      </c>
      <c r="AB939" s="20">
        <f t="shared" si="621"/>
        <v>0</v>
      </c>
      <c r="AC939" s="20">
        <f t="shared" si="621"/>
        <v>0</v>
      </c>
      <c r="AD939" s="20" t="e">
        <f t="shared" si="609"/>
        <v>#DIV/0!</v>
      </c>
      <c r="AE939" s="20">
        <f t="shared" si="619"/>
        <v>0</v>
      </c>
      <c r="AF939" s="20">
        <f t="shared" si="621"/>
        <v>0</v>
      </c>
      <c r="AG939" s="20">
        <f t="shared" si="621"/>
        <v>0</v>
      </c>
      <c r="AH939" s="20">
        <f t="shared" si="621"/>
        <v>0</v>
      </c>
      <c r="AI939" s="20">
        <f t="shared" si="621"/>
        <v>0</v>
      </c>
      <c r="AJ939" s="162" t="b">
        <f t="shared" si="604"/>
        <v>1</v>
      </c>
      <c r="AK939" s="162" t="str">
        <f t="shared" si="605"/>
        <v>PRAZNO</v>
      </c>
      <c r="AL939" s="173"/>
      <c r="AM939" s="164"/>
    </row>
    <row r="940" spans="1:39" ht="15.75" x14ac:dyDescent="0.2">
      <c r="B940" s="177"/>
      <c r="C940" s="177">
        <v>35</v>
      </c>
      <c r="D940" s="177"/>
      <c r="E940" s="177"/>
      <c r="F940" s="177"/>
      <c r="G940" s="177"/>
      <c r="H940" s="16" t="s">
        <v>749</v>
      </c>
      <c r="I940" s="18">
        <f t="shared" si="621"/>
        <v>50000</v>
      </c>
      <c r="J940" s="18">
        <f t="shared" si="621"/>
        <v>0</v>
      </c>
      <c r="K940" s="18">
        <f t="shared" si="610"/>
        <v>0</v>
      </c>
      <c r="L940" s="18">
        <f t="shared" si="612"/>
        <v>-50000</v>
      </c>
      <c r="M940" s="18">
        <f t="shared" si="621"/>
        <v>0</v>
      </c>
      <c r="N940" s="18">
        <f t="shared" si="621"/>
        <v>30000</v>
      </c>
      <c r="O940" s="18">
        <f t="shared" si="621"/>
        <v>30000</v>
      </c>
      <c r="P940" s="26">
        <f t="shared" si="613"/>
        <v>0</v>
      </c>
      <c r="Q940" s="18">
        <f t="shared" si="621"/>
        <v>30000</v>
      </c>
      <c r="R940" s="18">
        <f t="shared" si="621"/>
        <v>0</v>
      </c>
      <c r="S940" s="18">
        <f t="shared" si="621"/>
        <v>0</v>
      </c>
      <c r="T940" s="27">
        <f t="shared" si="621"/>
        <v>30000</v>
      </c>
      <c r="U940" s="27">
        <f t="shared" si="621"/>
        <v>30000</v>
      </c>
      <c r="V940" s="18">
        <f t="shared" si="621"/>
        <v>0</v>
      </c>
      <c r="W940" s="18">
        <f t="shared" si="621"/>
        <v>0</v>
      </c>
      <c r="X940" s="18">
        <f t="shared" si="621"/>
        <v>0</v>
      </c>
      <c r="Y940" s="18">
        <f t="shared" si="621"/>
        <v>0</v>
      </c>
      <c r="Z940" s="18" t="e">
        <f t="shared" si="611"/>
        <v>#DIV/0!</v>
      </c>
      <c r="AA940" s="18">
        <f t="shared" si="600"/>
        <v>0</v>
      </c>
      <c r="AB940" s="18">
        <f t="shared" si="621"/>
        <v>0</v>
      </c>
      <c r="AC940" s="18">
        <f t="shared" si="621"/>
        <v>0</v>
      </c>
      <c r="AD940" s="18" t="e">
        <f t="shared" si="609"/>
        <v>#DIV/0!</v>
      </c>
      <c r="AE940" s="18">
        <f t="shared" si="619"/>
        <v>0</v>
      </c>
      <c r="AF940" s="18">
        <f t="shared" si="621"/>
        <v>0</v>
      </c>
      <c r="AG940" s="18">
        <f t="shared" si="621"/>
        <v>0</v>
      </c>
      <c r="AH940" s="18">
        <f t="shared" si="621"/>
        <v>0</v>
      </c>
      <c r="AI940" s="18">
        <f t="shared" si="621"/>
        <v>0</v>
      </c>
      <c r="AJ940" s="162" t="b">
        <f t="shared" si="604"/>
        <v>1</v>
      </c>
      <c r="AK940" s="162" t="str">
        <f t="shared" si="605"/>
        <v>PRAZNO</v>
      </c>
      <c r="AM940" s="164"/>
    </row>
    <row r="941" spans="1:39" ht="30" x14ac:dyDescent="0.2">
      <c r="B941" s="177"/>
      <c r="C941" s="177"/>
      <c r="D941" s="177">
        <v>352</v>
      </c>
      <c r="E941" s="177"/>
      <c r="F941" s="177"/>
      <c r="G941" s="177"/>
      <c r="H941" s="29" t="s">
        <v>748</v>
      </c>
      <c r="I941" s="18">
        <f t="shared" si="621"/>
        <v>50000</v>
      </c>
      <c r="J941" s="18">
        <f t="shared" si="621"/>
        <v>0</v>
      </c>
      <c r="K941" s="18">
        <f t="shared" si="610"/>
        <v>0</v>
      </c>
      <c r="L941" s="18">
        <f t="shared" si="612"/>
        <v>-50000</v>
      </c>
      <c r="M941" s="18">
        <f t="shared" si="621"/>
        <v>0</v>
      </c>
      <c r="N941" s="18">
        <f t="shared" si="621"/>
        <v>30000</v>
      </c>
      <c r="O941" s="18">
        <f t="shared" si="621"/>
        <v>30000</v>
      </c>
      <c r="P941" s="26">
        <f t="shared" si="613"/>
        <v>0</v>
      </c>
      <c r="Q941" s="18">
        <f t="shared" si="621"/>
        <v>30000</v>
      </c>
      <c r="R941" s="18">
        <f t="shared" si="621"/>
        <v>0</v>
      </c>
      <c r="S941" s="18">
        <f t="shared" si="621"/>
        <v>0</v>
      </c>
      <c r="T941" s="27">
        <f t="shared" si="621"/>
        <v>30000</v>
      </c>
      <c r="U941" s="27">
        <f t="shared" si="621"/>
        <v>30000</v>
      </c>
      <c r="V941" s="18">
        <f t="shared" si="621"/>
        <v>0</v>
      </c>
      <c r="W941" s="18">
        <f t="shared" si="621"/>
        <v>0</v>
      </c>
      <c r="X941" s="18">
        <f t="shared" si="621"/>
        <v>0</v>
      </c>
      <c r="Y941" s="18">
        <f t="shared" si="621"/>
        <v>0</v>
      </c>
      <c r="Z941" s="18" t="e">
        <f t="shared" si="611"/>
        <v>#DIV/0!</v>
      </c>
      <c r="AA941" s="18">
        <f t="shared" si="600"/>
        <v>0</v>
      </c>
      <c r="AB941" s="18">
        <f t="shared" si="621"/>
        <v>0</v>
      </c>
      <c r="AC941" s="18">
        <f t="shared" si="621"/>
        <v>0</v>
      </c>
      <c r="AD941" s="18" t="e">
        <f t="shared" si="609"/>
        <v>#DIV/0!</v>
      </c>
      <c r="AE941" s="18">
        <f t="shared" si="619"/>
        <v>0</v>
      </c>
      <c r="AF941" s="18">
        <f t="shared" si="621"/>
        <v>0</v>
      </c>
      <c r="AG941" s="18">
        <f t="shared" si="621"/>
        <v>0</v>
      </c>
      <c r="AH941" s="18">
        <f t="shared" si="621"/>
        <v>0</v>
      </c>
      <c r="AI941" s="18">
        <f t="shared" si="621"/>
        <v>0</v>
      </c>
      <c r="AJ941" s="162" t="b">
        <f t="shared" si="604"/>
        <v>1</v>
      </c>
      <c r="AK941" s="162" t="str">
        <f t="shared" si="605"/>
        <v>PRAZNO</v>
      </c>
      <c r="AM941" s="164"/>
    </row>
    <row r="942" spans="1:39" ht="15.75" x14ac:dyDescent="0.2">
      <c r="B942" s="177"/>
      <c r="C942" s="177"/>
      <c r="D942" s="177"/>
      <c r="E942" s="177">
        <v>3523</v>
      </c>
      <c r="F942" s="176">
        <v>14</v>
      </c>
      <c r="G942" s="176" t="s">
        <v>424</v>
      </c>
      <c r="H942" s="40" t="s">
        <v>324</v>
      </c>
      <c r="I942" s="18">
        <v>50000</v>
      </c>
      <c r="J942" s="18">
        <v>0</v>
      </c>
      <c r="K942" s="18">
        <f t="shared" si="610"/>
        <v>0</v>
      </c>
      <c r="L942" s="18">
        <f t="shared" si="612"/>
        <v>-50000</v>
      </c>
      <c r="M942" s="18">
        <v>0</v>
      </c>
      <c r="N942" s="18">
        <v>30000</v>
      </c>
      <c r="O942" s="18">
        <v>30000</v>
      </c>
      <c r="P942" s="26">
        <f t="shared" si="613"/>
        <v>0</v>
      </c>
      <c r="Q942" s="18">
        <v>30000</v>
      </c>
      <c r="R942" s="18">
        <v>0</v>
      </c>
      <c r="S942" s="18">
        <v>0</v>
      </c>
      <c r="T942" s="27">
        <v>30000</v>
      </c>
      <c r="U942" s="27">
        <v>30000</v>
      </c>
      <c r="V942" s="18">
        <v>0</v>
      </c>
      <c r="W942" s="18">
        <v>0</v>
      </c>
      <c r="X942" s="18">
        <v>0</v>
      </c>
      <c r="Y942" s="18"/>
      <c r="Z942" s="18" t="e">
        <f t="shared" si="611"/>
        <v>#DIV/0!</v>
      </c>
      <c r="AA942" s="18">
        <f t="shared" si="600"/>
        <v>0</v>
      </c>
      <c r="AB942" s="18">
        <v>0</v>
      </c>
      <c r="AC942" s="18"/>
      <c r="AD942" s="18" t="e">
        <f t="shared" si="609"/>
        <v>#DIV/0!</v>
      </c>
      <c r="AE942" s="18">
        <f t="shared" si="619"/>
        <v>0</v>
      </c>
      <c r="AF942" s="18">
        <v>0</v>
      </c>
      <c r="AG942" s="18">
        <v>0</v>
      </c>
      <c r="AH942" s="18">
        <v>0</v>
      </c>
      <c r="AI942" s="18">
        <v>0</v>
      </c>
      <c r="AJ942" s="162" t="b">
        <f t="shared" si="604"/>
        <v>0</v>
      </c>
      <c r="AK942" s="162" t="str">
        <f t="shared" si="605"/>
        <v>PUNO</v>
      </c>
      <c r="AM942" s="164"/>
    </row>
    <row r="943" spans="1:39" s="171" customFormat="1" ht="15.75" x14ac:dyDescent="0.2">
      <c r="A943" s="259"/>
      <c r="B943" s="168"/>
      <c r="C943" s="168"/>
      <c r="D943" s="168"/>
      <c r="E943" s="168"/>
      <c r="F943" s="168"/>
      <c r="G943" s="168"/>
      <c r="H943" s="31" t="s">
        <v>305</v>
      </c>
      <c r="I943" s="169">
        <f>I945</f>
        <v>42000</v>
      </c>
      <c r="J943" s="169">
        <f>J945</f>
        <v>17247</v>
      </c>
      <c r="K943" s="169">
        <f t="shared" si="610"/>
        <v>41.06</v>
      </c>
      <c r="L943" s="169">
        <f t="shared" si="612"/>
        <v>-11517.630000000001</v>
      </c>
      <c r="M943" s="19">
        <f>M945</f>
        <v>30482.37</v>
      </c>
      <c r="N943" s="19">
        <f>N945</f>
        <v>42000</v>
      </c>
      <c r="O943" s="19">
        <f>O945</f>
        <v>22925.17</v>
      </c>
      <c r="P943" s="205">
        <f t="shared" si="613"/>
        <v>0</v>
      </c>
      <c r="Q943" s="19">
        <f t="shared" ref="Q943:X943" si="622">Q945</f>
        <v>42000</v>
      </c>
      <c r="R943" s="19">
        <f t="shared" si="622"/>
        <v>0</v>
      </c>
      <c r="S943" s="19">
        <f t="shared" si="622"/>
        <v>0</v>
      </c>
      <c r="T943" s="53">
        <f t="shared" si="622"/>
        <v>42000</v>
      </c>
      <c r="U943" s="53">
        <f>U945</f>
        <v>37946.870000000003</v>
      </c>
      <c r="V943" s="19">
        <f t="shared" si="622"/>
        <v>40000</v>
      </c>
      <c r="W943" s="19">
        <f t="shared" si="622"/>
        <v>50000</v>
      </c>
      <c r="X943" s="19">
        <f t="shared" si="622"/>
        <v>60000</v>
      </c>
      <c r="Y943" s="19">
        <f>Y945</f>
        <v>0</v>
      </c>
      <c r="Z943" s="19">
        <f t="shared" si="611"/>
        <v>0</v>
      </c>
      <c r="AA943" s="19">
        <f t="shared" si="600"/>
        <v>0</v>
      </c>
      <c r="AB943" s="19">
        <f>AB945</f>
        <v>40000</v>
      </c>
      <c r="AC943" s="19">
        <f>AC945</f>
        <v>19341.91</v>
      </c>
      <c r="AD943" s="19">
        <f t="shared" si="609"/>
        <v>48.354774999999997</v>
      </c>
      <c r="AE943" s="19">
        <f t="shared" si="619"/>
        <v>0</v>
      </c>
      <c r="AF943" s="19">
        <f>AF945</f>
        <v>40000</v>
      </c>
      <c r="AG943" s="19">
        <f>AG945</f>
        <v>50000</v>
      </c>
      <c r="AH943" s="19">
        <f>AH945</f>
        <v>60000</v>
      </c>
      <c r="AI943" s="19">
        <f>AI945</f>
        <v>60000</v>
      </c>
      <c r="AJ943" s="162" t="b">
        <f t="shared" si="604"/>
        <v>1</v>
      </c>
      <c r="AK943" s="162" t="str">
        <f t="shared" si="605"/>
        <v>PRAZNO</v>
      </c>
      <c r="AL943" s="170"/>
      <c r="AM943" s="164"/>
    </row>
    <row r="944" spans="1:39" s="264" customFormat="1" ht="15.75" x14ac:dyDescent="0.2">
      <c r="A944" s="259"/>
      <c r="B944" s="260"/>
      <c r="C944" s="260"/>
      <c r="D944" s="260"/>
      <c r="E944" s="260"/>
      <c r="F944" s="260"/>
      <c r="G944" s="260"/>
      <c r="H944" s="471" t="s">
        <v>824</v>
      </c>
      <c r="I944" s="181"/>
      <c r="J944" s="181"/>
      <c r="K944" s="181"/>
      <c r="L944" s="181"/>
      <c r="M944" s="262"/>
      <c r="N944" s="262"/>
      <c r="O944" s="262"/>
      <c r="P944" s="307"/>
      <c r="Q944" s="262"/>
      <c r="R944" s="262"/>
      <c r="S944" s="262"/>
      <c r="T944" s="342"/>
      <c r="U944" s="342"/>
      <c r="V944" s="262">
        <f>V945</f>
        <v>40000</v>
      </c>
      <c r="W944" s="262">
        <f>W945</f>
        <v>50000</v>
      </c>
      <c r="X944" s="262">
        <f>X945</f>
        <v>60000</v>
      </c>
      <c r="Y944" s="262">
        <f>Y945</f>
        <v>0</v>
      </c>
      <c r="Z944" s="262">
        <f t="shared" si="611"/>
        <v>0</v>
      </c>
      <c r="AA944" s="262">
        <f t="shared" si="600"/>
        <v>0</v>
      </c>
      <c r="AB944" s="262">
        <f>AB945</f>
        <v>40000</v>
      </c>
      <c r="AC944" s="262">
        <f>AC945</f>
        <v>19341.91</v>
      </c>
      <c r="AD944" s="262">
        <f t="shared" si="609"/>
        <v>48.354774999999997</v>
      </c>
      <c r="AE944" s="262">
        <f t="shared" si="619"/>
        <v>0</v>
      </c>
      <c r="AF944" s="262">
        <f>AF945</f>
        <v>40000</v>
      </c>
      <c r="AG944" s="262">
        <f>AG945</f>
        <v>50000</v>
      </c>
      <c r="AH944" s="262">
        <f>AH945</f>
        <v>60000</v>
      </c>
      <c r="AI944" s="262">
        <f>AI945</f>
        <v>60000</v>
      </c>
      <c r="AJ944" s="162" t="b">
        <f t="shared" si="604"/>
        <v>1</v>
      </c>
      <c r="AK944" s="162" t="str">
        <f t="shared" si="605"/>
        <v>PRAZNO</v>
      </c>
      <c r="AL944" s="263"/>
    </row>
    <row r="945" spans="1:39" s="174" customFormat="1" ht="13.5" customHeight="1" x14ac:dyDescent="0.2">
      <c r="A945" s="259"/>
      <c r="B945" s="172">
        <v>3</v>
      </c>
      <c r="C945" s="172"/>
      <c r="D945" s="172"/>
      <c r="E945" s="172"/>
      <c r="F945" s="172"/>
      <c r="G945" s="172"/>
      <c r="H945" s="14" t="s">
        <v>524</v>
      </c>
      <c r="I945" s="20">
        <f t="shared" ref="I945:AI947" si="623">I946</f>
        <v>42000</v>
      </c>
      <c r="J945" s="20">
        <f t="shared" si="623"/>
        <v>17247</v>
      </c>
      <c r="K945" s="20">
        <f t="shared" si="610"/>
        <v>41.06</v>
      </c>
      <c r="L945" s="20">
        <f t="shared" si="612"/>
        <v>-11517.630000000001</v>
      </c>
      <c r="M945" s="20">
        <f t="shared" si="623"/>
        <v>30482.37</v>
      </c>
      <c r="N945" s="20">
        <f t="shared" si="623"/>
        <v>42000</v>
      </c>
      <c r="O945" s="20">
        <f t="shared" si="623"/>
        <v>22925.17</v>
      </c>
      <c r="P945" s="55">
        <f t="shared" si="613"/>
        <v>0</v>
      </c>
      <c r="Q945" s="20">
        <f t="shared" si="623"/>
        <v>42000</v>
      </c>
      <c r="R945" s="20">
        <f t="shared" si="623"/>
        <v>0</v>
      </c>
      <c r="S945" s="20">
        <f t="shared" si="623"/>
        <v>0</v>
      </c>
      <c r="T945" s="55">
        <f t="shared" si="623"/>
        <v>42000</v>
      </c>
      <c r="U945" s="55">
        <f t="shared" si="623"/>
        <v>37946.870000000003</v>
      </c>
      <c r="V945" s="20">
        <f t="shared" si="623"/>
        <v>40000</v>
      </c>
      <c r="W945" s="20">
        <f t="shared" si="623"/>
        <v>50000</v>
      </c>
      <c r="X945" s="20">
        <f t="shared" si="623"/>
        <v>60000</v>
      </c>
      <c r="Y945" s="20">
        <f t="shared" si="623"/>
        <v>0</v>
      </c>
      <c r="Z945" s="20">
        <f t="shared" si="611"/>
        <v>0</v>
      </c>
      <c r="AA945" s="20">
        <f t="shared" si="600"/>
        <v>0</v>
      </c>
      <c r="AB945" s="20">
        <f t="shared" si="623"/>
        <v>40000</v>
      </c>
      <c r="AC945" s="20">
        <f t="shared" si="623"/>
        <v>19341.91</v>
      </c>
      <c r="AD945" s="20">
        <f t="shared" si="609"/>
        <v>48.354774999999997</v>
      </c>
      <c r="AE945" s="20">
        <f t="shared" si="619"/>
        <v>0</v>
      </c>
      <c r="AF945" s="20">
        <f t="shared" si="623"/>
        <v>40000</v>
      </c>
      <c r="AG945" s="20">
        <f t="shared" si="623"/>
        <v>50000</v>
      </c>
      <c r="AH945" s="20">
        <f t="shared" si="623"/>
        <v>60000</v>
      </c>
      <c r="AI945" s="20">
        <f t="shared" si="623"/>
        <v>60000</v>
      </c>
      <c r="AJ945" s="162" t="b">
        <f t="shared" si="604"/>
        <v>1</v>
      </c>
      <c r="AK945" s="162" t="str">
        <f t="shared" si="605"/>
        <v>PRAZNO</v>
      </c>
      <c r="AL945" s="173"/>
      <c r="AM945" s="164"/>
    </row>
    <row r="946" spans="1:39" ht="15.75" x14ac:dyDescent="0.2">
      <c r="B946" s="177"/>
      <c r="C946" s="177">
        <v>35</v>
      </c>
      <c r="D946" s="177"/>
      <c r="E946" s="177"/>
      <c r="F946" s="177"/>
      <c r="G946" s="177"/>
      <c r="H946" s="16" t="s">
        <v>749</v>
      </c>
      <c r="I946" s="18">
        <f t="shared" si="623"/>
        <v>42000</v>
      </c>
      <c r="J946" s="18">
        <f t="shared" si="623"/>
        <v>17247</v>
      </c>
      <c r="K946" s="18">
        <f t="shared" si="610"/>
        <v>41.06</v>
      </c>
      <c r="L946" s="18">
        <f t="shared" si="612"/>
        <v>-11517.630000000001</v>
      </c>
      <c r="M946" s="18">
        <f t="shared" si="623"/>
        <v>30482.37</v>
      </c>
      <c r="N946" s="18">
        <f t="shared" si="623"/>
        <v>42000</v>
      </c>
      <c r="O946" s="18">
        <f t="shared" si="623"/>
        <v>22925.17</v>
      </c>
      <c r="P946" s="26">
        <f t="shared" si="613"/>
        <v>0</v>
      </c>
      <c r="Q946" s="18">
        <f t="shared" si="623"/>
        <v>42000</v>
      </c>
      <c r="R946" s="18">
        <f t="shared" si="623"/>
        <v>0</v>
      </c>
      <c r="S946" s="18">
        <f t="shared" si="623"/>
        <v>0</v>
      </c>
      <c r="T946" s="27">
        <f t="shared" si="623"/>
        <v>42000</v>
      </c>
      <c r="U946" s="27">
        <f t="shared" si="623"/>
        <v>37946.870000000003</v>
      </c>
      <c r="V946" s="18">
        <f t="shared" si="623"/>
        <v>40000</v>
      </c>
      <c r="W946" s="18">
        <f t="shared" si="623"/>
        <v>50000</v>
      </c>
      <c r="X946" s="18">
        <f t="shared" si="623"/>
        <v>60000</v>
      </c>
      <c r="Y946" s="18">
        <f t="shared" si="623"/>
        <v>0</v>
      </c>
      <c r="Z946" s="18">
        <f t="shared" si="611"/>
        <v>0</v>
      </c>
      <c r="AA946" s="18">
        <f t="shared" si="600"/>
        <v>0</v>
      </c>
      <c r="AB946" s="18">
        <f t="shared" si="623"/>
        <v>40000</v>
      </c>
      <c r="AC946" s="18">
        <f t="shared" si="623"/>
        <v>19341.91</v>
      </c>
      <c r="AD946" s="18">
        <f t="shared" si="609"/>
        <v>48.354774999999997</v>
      </c>
      <c r="AE946" s="18">
        <f t="shared" si="619"/>
        <v>0</v>
      </c>
      <c r="AF946" s="18">
        <f t="shared" si="623"/>
        <v>40000</v>
      </c>
      <c r="AG946" s="18">
        <f t="shared" si="623"/>
        <v>50000</v>
      </c>
      <c r="AH946" s="18">
        <f t="shared" si="623"/>
        <v>60000</v>
      </c>
      <c r="AI946" s="18">
        <f t="shared" si="623"/>
        <v>60000</v>
      </c>
      <c r="AJ946" s="162" t="b">
        <f t="shared" si="604"/>
        <v>1</v>
      </c>
      <c r="AK946" s="162" t="str">
        <f t="shared" si="605"/>
        <v>PRAZNO</v>
      </c>
      <c r="AM946" s="164"/>
    </row>
    <row r="947" spans="1:39" ht="30" x14ac:dyDescent="0.2">
      <c r="B947" s="177"/>
      <c r="C947" s="177"/>
      <c r="D947" s="177">
        <v>352</v>
      </c>
      <c r="E947" s="177"/>
      <c r="F947" s="177"/>
      <c r="G947" s="177"/>
      <c r="H947" s="29" t="s">
        <v>748</v>
      </c>
      <c r="I947" s="18">
        <f>I948</f>
        <v>42000</v>
      </c>
      <c r="J947" s="18">
        <f>J948</f>
        <v>17247</v>
      </c>
      <c r="K947" s="18">
        <f t="shared" si="610"/>
        <v>41.06</v>
      </c>
      <c r="L947" s="18">
        <f t="shared" si="612"/>
        <v>-11517.630000000001</v>
      </c>
      <c r="M947" s="18">
        <f>M948</f>
        <v>30482.37</v>
      </c>
      <c r="N947" s="18">
        <f>N948</f>
        <v>42000</v>
      </c>
      <c r="O947" s="18">
        <f>O948</f>
        <v>22925.17</v>
      </c>
      <c r="P947" s="26">
        <f t="shared" si="613"/>
        <v>0</v>
      </c>
      <c r="Q947" s="18">
        <f t="shared" si="623"/>
        <v>42000</v>
      </c>
      <c r="R947" s="18">
        <f t="shared" si="623"/>
        <v>0</v>
      </c>
      <c r="S947" s="18">
        <f t="shared" si="623"/>
        <v>0</v>
      </c>
      <c r="T947" s="27">
        <f t="shared" si="623"/>
        <v>42000</v>
      </c>
      <c r="U947" s="27">
        <f t="shared" si="623"/>
        <v>37946.870000000003</v>
      </c>
      <c r="V947" s="18">
        <f t="shared" si="623"/>
        <v>40000</v>
      </c>
      <c r="W947" s="18">
        <f t="shared" si="623"/>
        <v>50000</v>
      </c>
      <c r="X947" s="18">
        <f t="shared" si="623"/>
        <v>60000</v>
      </c>
      <c r="Y947" s="18">
        <f t="shared" si="623"/>
        <v>0</v>
      </c>
      <c r="Z947" s="18">
        <f t="shared" si="611"/>
        <v>0</v>
      </c>
      <c r="AA947" s="18">
        <f t="shared" si="600"/>
        <v>0</v>
      </c>
      <c r="AB947" s="18">
        <f t="shared" si="623"/>
        <v>40000</v>
      </c>
      <c r="AC947" s="18">
        <f t="shared" si="623"/>
        <v>19341.91</v>
      </c>
      <c r="AD947" s="18">
        <f t="shared" si="609"/>
        <v>48.354774999999997</v>
      </c>
      <c r="AE947" s="18">
        <f t="shared" si="619"/>
        <v>0</v>
      </c>
      <c r="AF947" s="18">
        <f t="shared" si="623"/>
        <v>40000</v>
      </c>
      <c r="AG947" s="18">
        <f t="shared" si="623"/>
        <v>50000</v>
      </c>
      <c r="AH947" s="18">
        <f t="shared" si="623"/>
        <v>60000</v>
      </c>
      <c r="AI947" s="18">
        <f t="shared" si="623"/>
        <v>60000</v>
      </c>
      <c r="AJ947" s="162" t="b">
        <f t="shared" si="604"/>
        <v>1</v>
      </c>
      <c r="AK947" s="162" t="str">
        <f t="shared" si="605"/>
        <v>PRAZNO</v>
      </c>
      <c r="AM947" s="164"/>
    </row>
    <row r="948" spans="1:39" ht="15.75" x14ac:dyDescent="0.2">
      <c r="B948" s="177"/>
      <c r="C948" s="177"/>
      <c r="D948" s="177"/>
      <c r="E948" s="177">
        <v>3523</v>
      </c>
      <c r="F948" s="176">
        <v>15</v>
      </c>
      <c r="G948" s="176" t="s">
        <v>424</v>
      </c>
      <c r="H948" s="40" t="s">
        <v>324</v>
      </c>
      <c r="I948" s="18">
        <v>42000</v>
      </c>
      <c r="J948" s="18">
        <v>17247</v>
      </c>
      <c r="K948" s="18">
        <f t="shared" si="610"/>
        <v>41.06</v>
      </c>
      <c r="L948" s="18">
        <f t="shared" si="612"/>
        <v>-11517.630000000001</v>
      </c>
      <c r="M948" s="18">
        <v>30482.37</v>
      </c>
      <c r="N948" s="18">
        <v>42000</v>
      </c>
      <c r="O948" s="18">
        <v>22925.17</v>
      </c>
      <c r="P948" s="26">
        <f t="shared" si="613"/>
        <v>0</v>
      </c>
      <c r="Q948" s="18">
        <v>42000</v>
      </c>
      <c r="R948" s="18">
        <v>0</v>
      </c>
      <c r="S948" s="18">
        <v>0</v>
      </c>
      <c r="T948" s="27">
        <v>42000</v>
      </c>
      <c r="U948" s="27">
        <v>37946.870000000003</v>
      </c>
      <c r="V948" s="18">
        <v>40000</v>
      </c>
      <c r="W948" s="18">
        <v>50000</v>
      </c>
      <c r="X948" s="18">
        <v>60000</v>
      </c>
      <c r="Y948" s="18">
        <v>0</v>
      </c>
      <c r="Z948" s="18">
        <f t="shared" si="611"/>
        <v>0</v>
      </c>
      <c r="AA948" s="18">
        <f t="shared" si="600"/>
        <v>0</v>
      </c>
      <c r="AB948" s="18">
        <v>40000</v>
      </c>
      <c r="AC948" s="18">
        <v>19341.91</v>
      </c>
      <c r="AD948" s="18">
        <f t="shared" si="609"/>
        <v>48.354774999999997</v>
      </c>
      <c r="AE948" s="18">
        <f t="shared" si="619"/>
        <v>0</v>
      </c>
      <c r="AF948" s="18">
        <v>40000</v>
      </c>
      <c r="AG948" s="18">
        <v>50000</v>
      </c>
      <c r="AH948" s="18">
        <v>60000</v>
      </c>
      <c r="AI948" s="18">
        <v>60000</v>
      </c>
      <c r="AJ948" s="162" t="b">
        <f t="shared" si="604"/>
        <v>0</v>
      </c>
      <c r="AK948" s="162" t="str">
        <f t="shared" si="605"/>
        <v>PUNO</v>
      </c>
      <c r="AM948" s="164"/>
    </row>
    <row r="949" spans="1:39" s="171" customFormat="1" ht="31.5" x14ac:dyDescent="0.2">
      <c r="A949" s="259"/>
      <c r="B949" s="168"/>
      <c r="C949" s="168"/>
      <c r="D949" s="168"/>
      <c r="E949" s="168"/>
      <c r="F949" s="168"/>
      <c r="G949" s="168"/>
      <c r="H949" s="31" t="s">
        <v>9</v>
      </c>
      <c r="I949" s="169">
        <f>I951</f>
        <v>93000</v>
      </c>
      <c r="J949" s="169">
        <f>J951</f>
        <v>93000</v>
      </c>
      <c r="K949" s="169">
        <f t="shared" si="610"/>
        <v>100</v>
      </c>
      <c r="L949" s="169">
        <f t="shared" si="612"/>
        <v>95317.37</v>
      </c>
      <c r="M949" s="19">
        <f>M951</f>
        <v>188317.37</v>
      </c>
      <c r="N949" s="19">
        <f>N951</f>
        <v>150000</v>
      </c>
      <c r="O949" s="19">
        <f>O951</f>
        <v>84283.1</v>
      </c>
      <c r="P949" s="303">
        <f t="shared" si="613"/>
        <v>0</v>
      </c>
      <c r="Q949" s="19">
        <f t="shared" ref="Q949:X949" si="624">Q951</f>
        <v>150000</v>
      </c>
      <c r="R949" s="19">
        <f t="shared" si="624"/>
        <v>0</v>
      </c>
      <c r="S949" s="19">
        <f t="shared" si="624"/>
        <v>0</v>
      </c>
      <c r="T949" s="53">
        <f t="shared" si="624"/>
        <v>150000</v>
      </c>
      <c r="U949" s="53">
        <f>U951</f>
        <v>133451.20000000001</v>
      </c>
      <c r="V949" s="19">
        <f t="shared" si="624"/>
        <v>0</v>
      </c>
      <c r="W949" s="19">
        <f t="shared" si="624"/>
        <v>0</v>
      </c>
      <c r="X949" s="19">
        <f t="shared" si="624"/>
        <v>0</v>
      </c>
      <c r="Y949" s="19">
        <f>Y951</f>
        <v>0</v>
      </c>
      <c r="Z949" s="19" t="e">
        <f t="shared" si="611"/>
        <v>#DIV/0!</v>
      </c>
      <c r="AA949" s="19">
        <f t="shared" si="600"/>
        <v>150000</v>
      </c>
      <c r="AB949" s="19">
        <f>AB951</f>
        <v>150000</v>
      </c>
      <c r="AC949" s="19">
        <f>AC951</f>
        <v>50000</v>
      </c>
      <c r="AD949" s="19">
        <f t="shared" si="609"/>
        <v>33.333333333333329</v>
      </c>
      <c r="AE949" s="19">
        <f t="shared" si="619"/>
        <v>0</v>
      </c>
      <c r="AF949" s="19">
        <f>AF951</f>
        <v>150000</v>
      </c>
      <c r="AG949" s="19">
        <f>AG951</f>
        <v>150000</v>
      </c>
      <c r="AH949" s="19">
        <f>AH951</f>
        <v>160000</v>
      </c>
      <c r="AI949" s="19">
        <f>AI951</f>
        <v>160000</v>
      </c>
      <c r="AJ949" s="162" t="b">
        <f t="shared" si="604"/>
        <v>1</v>
      </c>
      <c r="AK949" s="162" t="str">
        <f t="shared" si="605"/>
        <v>PRAZNO</v>
      </c>
      <c r="AL949" s="170"/>
      <c r="AM949" s="164"/>
    </row>
    <row r="950" spans="1:39" s="264" customFormat="1" ht="15.75" x14ac:dyDescent="0.2">
      <c r="A950" s="259"/>
      <c r="B950" s="260"/>
      <c r="C950" s="260"/>
      <c r="D950" s="260"/>
      <c r="E950" s="260"/>
      <c r="F950" s="260"/>
      <c r="G950" s="260"/>
      <c r="H950" s="471" t="s">
        <v>824</v>
      </c>
      <c r="I950" s="181"/>
      <c r="J950" s="181"/>
      <c r="K950" s="181"/>
      <c r="L950" s="181"/>
      <c r="M950" s="262"/>
      <c r="N950" s="262"/>
      <c r="O950" s="262"/>
      <c r="P950" s="445"/>
      <c r="Q950" s="262"/>
      <c r="R950" s="262"/>
      <c r="S950" s="262"/>
      <c r="T950" s="342"/>
      <c r="U950" s="342"/>
      <c r="V950" s="262">
        <f>V951</f>
        <v>0</v>
      </c>
      <c r="W950" s="262">
        <f>W951</f>
        <v>0</v>
      </c>
      <c r="X950" s="262">
        <f>X951</f>
        <v>0</v>
      </c>
      <c r="Y950" s="262">
        <f>Y951</f>
        <v>0</v>
      </c>
      <c r="Z950" s="262" t="e">
        <f t="shared" si="611"/>
        <v>#DIV/0!</v>
      </c>
      <c r="AA950" s="262">
        <f t="shared" si="600"/>
        <v>150000</v>
      </c>
      <c r="AB950" s="262">
        <f>AB951</f>
        <v>150000</v>
      </c>
      <c r="AC950" s="262">
        <f>AC951</f>
        <v>50000</v>
      </c>
      <c r="AD950" s="262">
        <f t="shared" si="609"/>
        <v>33.333333333333329</v>
      </c>
      <c r="AE950" s="262">
        <f t="shared" si="619"/>
        <v>0</v>
      </c>
      <c r="AF950" s="262">
        <f>AF951</f>
        <v>150000</v>
      </c>
      <c r="AG950" s="262">
        <f>AG951</f>
        <v>150000</v>
      </c>
      <c r="AH950" s="262">
        <f>AH951</f>
        <v>160000</v>
      </c>
      <c r="AI950" s="262">
        <f>AI951</f>
        <v>160000</v>
      </c>
      <c r="AJ950" s="162" t="b">
        <f t="shared" si="604"/>
        <v>1</v>
      </c>
      <c r="AK950" s="162" t="str">
        <f t="shared" si="605"/>
        <v>PRAZNO</v>
      </c>
      <c r="AL950" s="263"/>
    </row>
    <row r="951" spans="1:39" s="174" customFormat="1" ht="15.75" x14ac:dyDescent="0.2">
      <c r="A951" s="259"/>
      <c r="B951" s="172">
        <v>3</v>
      </c>
      <c r="C951" s="172"/>
      <c r="D951" s="172"/>
      <c r="E951" s="172"/>
      <c r="F951" s="172"/>
      <c r="G951" s="172"/>
      <c r="H951" s="14" t="s">
        <v>524</v>
      </c>
      <c r="I951" s="20">
        <f t="shared" ref="I951:AI952" si="625">I952</f>
        <v>93000</v>
      </c>
      <c r="J951" s="20">
        <f t="shared" si="625"/>
        <v>93000</v>
      </c>
      <c r="K951" s="20">
        <f t="shared" si="610"/>
        <v>100</v>
      </c>
      <c r="L951" s="20">
        <f t="shared" si="612"/>
        <v>95317.37</v>
      </c>
      <c r="M951" s="20">
        <f t="shared" si="625"/>
        <v>188317.37</v>
      </c>
      <c r="N951" s="20">
        <f t="shared" si="625"/>
        <v>150000</v>
      </c>
      <c r="O951" s="20">
        <f t="shared" si="625"/>
        <v>84283.1</v>
      </c>
      <c r="P951" s="55">
        <f t="shared" si="613"/>
        <v>0</v>
      </c>
      <c r="Q951" s="20">
        <f t="shared" si="625"/>
        <v>150000</v>
      </c>
      <c r="R951" s="20">
        <f t="shared" si="625"/>
        <v>0</v>
      </c>
      <c r="S951" s="20">
        <f t="shared" si="625"/>
        <v>0</v>
      </c>
      <c r="T951" s="55">
        <f t="shared" si="625"/>
        <v>150000</v>
      </c>
      <c r="U951" s="55">
        <f t="shared" si="625"/>
        <v>133451.20000000001</v>
      </c>
      <c r="V951" s="20">
        <f t="shared" si="625"/>
        <v>0</v>
      </c>
      <c r="W951" s="20">
        <f t="shared" si="625"/>
        <v>0</v>
      </c>
      <c r="X951" s="20">
        <f t="shared" si="625"/>
        <v>0</v>
      </c>
      <c r="Y951" s="20">
        <f t="shared" si="625"/>
        <v>0</v>
      </c>
      <c r="Z951" s="20" t="e">
        <f t="shared" si="611"/>
        <v>#DIV/0!</v>
      </c>
      <c r="AA951" s="20">
        <f t="shared" si="600"/>
        <v>150000</v>
      </c>
      <c r="AB951" s="20">
        <f t="shared" si="625"/>
        <v>150000</v>
      </c>
      <c r="AC951" s="20">
        <f t="shared" si="625"/>
        <v>50000</v>
      </c>
      <c r="AD951" s="20">
        <f t="shared" si="609"/>
        <v>33.333333333333329</v>
      </c>
      <c r="AE951" s="20">
        <f t="shared" si="619"/>
        <v>0</v>
      </c>
      <c r="AF951" s="20">
        <f t="shared" si="625"/>
        <v>150000</v>
      </c>
      <c r="AG951" s="20">
        <f t="shared" si="625"/>
        <v>150000</v>
      </c>
      <c r="AH951" s="20">
        <f t="shared" si="625"/>
        <v>160000</v>
      </c>
      <c r="AI951" s="20">
        <f t="shared" si="625"/>
        <v>160000</v>
      </c>
      <c r="AJ951" s="162" t="b">
        <f t="shared" si="604"/>
        <v>1</v>
      </c>
      <c r="AK951" s="162" t="str">
        <f t="shared" si="605"/>
        <v>PRAZNO</v>
      </c>
      <c r="AL951" s="173"/>
      <c r="AM951" s="164"/>
    </row>
    <row r="952" spans="1:39" ht="15.75" x14ac:dyDescent="0.2">
      <c r="B952" s="177"/>
      <c r="C952" s="177">
        <v>35</v>
      </c>
      <c r="D952" s="177"/>
      <c r="E952" s="177"/>
      <c r="F952" s="177"/>
      <c r="G952" s="177"/>
      <c r="H952" s="16" t="s">
        <v>749</v>
      </c>
      <c r="I952" s="18">
        <f>I953</f>
        <v>93000</v>
      </c>
      <c r="J952" s="18">
        <f>J953</f>
        <v>93000</v>
      </c>
      <c r="K952" s="18">
        <f t="shared" si="610"/>
        <v>100</v>
      </c>
      <c r="L952" s="18">
        <f t="shared" si="612"/>
        <v>95317.37</v>
      </c>
      <c r="M952" s="18">
        <f>M953</f>
        <v>188317.37</v>
      </c>
      <c r="N952" s="18">
        <f>N953</f>
        <v>150000</v>
      </c>
      <c r="O952" s="18">
        <f>O953</f>
        <v>84283.1</v>
      </c>
      <c r="P952" s="26">
        <f t="shared" si="613"/>
        <v>0</v>
      </c>
      <c r="Q952" s="18">
        <f t="shared" si="625"/>
        <v>150000</v>
      </c>
      <c r="R952" s="18">
        <f t="shared" si="625"/>
        <v>0</v>
      </c>
      <c r="S952" s="18">
        <f t="shared" si="625"/>
        <v>0</v>
      </c>
      <c r="T952" s="27">
        <f t="shared" si="625"/>
        <v>150000</v>
      </c>
      <c r="U952" s="27">
        <f t="shared" si="625"/>
        <v>133451.20000000001</v>
      </c>
      <c r="V952" s="18">
        <f t="shared" si="625"/>
        <v>0</v>
      </c>
      <c r="W952" s="18">
        <f t="shared" si="625"/>
        <v>0</v>
      </c>
      <c r="X952" s="18">
        <f t="shared" si="625"/>
        <v>0</v>
      </c>
      <c r="Y952" s="18">
        <f t="shared" si="625"/>
        <v>0</v>
      </c>
      <c r="Z952" s="18" t="e">
        <f t="shared" si="611"/>
        <v>#DIV/0!</v>
      </c>
      <c r="AA952" s="18">
        <f t="shared" si="600"/>
        <v>150000</v>
      </c>
      <c r="AB952" s="18">
        <f t="shared" si="625"/>
        <v>150000</v>
      </c>
      <c r="AC952" s="18">
        <f t="shared" si="625"/>
        <v>50000</v>
      </c>
      <c r="AD952" s="18">
        <f t="shared" si="609"/>
        <v>33.333333333333329</v>
      </c>
      <c r="AE952" s="18">
        <f t="shared" si="619"/>
        <v>0</v>
      </c>
      <c r="AF952" s="18">
        <f t="shared" si="625"/>
        <v>150000</v>
      </c>
      <c r="AG952" s="18">
        <f t="shared" si="625"/>
        <v>150000</v>
      </c>
      <c r="AH952" s="18">
        <f t="shared" si="625"/>
        <v>160000</v>
      </c>
      <c r="AI952" s="18">
        <f t="shared" si="625"/>
        <v>160000</v>
      </c>
      <c r="AJ952" s="162" t="b">
        <f t="shared" si="604"/>
        <v>1</v>
      </c>
      <c r="AK952" s="162" t="str">
        <f t="shared" si="605"/>
        <v>PRAZNO</v>
      </c>
      <c r="AM952" s="164"/>
    </row>
    <row r="953" spans="1:39" ht="30" x14ac:dyDescent="0.2">
      <c r="B953" s="177"/>
      <c r="C953" s="177"/>
      <c r="D953" s="177">
        <v>352</v>
      </c>
      <c r="E953" s="177"/>
      <c r="F953" s="177"/>
      <c r="G953" s="177"/>
      <c r="H953" s="29" t="s">
        <v>748</v>
      </c>
      <c r="I953" s="18">
        <f>I954+I955</f>
        <v>93000</v>
      </c>
      <c r="J953" s="18">
        <f>J954+J955</f>
        <v>93000</v>
      </c>
      <c r="K953" s="18">
        <f t="shared" si="610"/>
        <v>100</v>
      </c>
      <c r="L953" s="18">
        <f t="shared" si="612"/>
        <v>95317.37</v>
      </c>
      <c r="M953" s="18">
        <f>M954+M955</f>
        <v>188317.37</v>
      </c>
      <c r="N953" s="18">
        <f>N954+N955</f>
        <v>150000</v>
      </c>
      <c r="O953" s="18">
        <f>O954+O955</f>
        <v>84283.1</v>
      </c>
      <c r="P953" s="26">
        <f t="shared" si="613"/>
        <v>0</v>
      </c>
      <c r="Q953" s="18">
        <f t="shared" ref="Q953:X953" si="626">Q954+Q955</f>
        <v>150000</v>
      </c>
      <c r="R953" s="18">
        <f t="shared" si="626"/>
        <v>0</v>
      </c>
      <c r="S953" s="18">
        <f t="shared" si="626"/>
        <v>0</v>
      </c>
      <c r="T953" s="27">
        <f t="shared" si="626"/>
        <v>150000</v>
      </c>
      <c r="U953" s="27">
        <f>U954+U955</f>
        <v>133451.20000000001</v>
      </c>
      <c r="V953" s="18">
        <f t="shared" si="626"/>
        <v>0</v>
      </c>
      <c r="W953" s="18">
        <f t="shared" si="626"/>
        <v>0</v>
      </c>
      <c r="X953" s="18">
        <f t="shared" si="626"/>
        <v>0</v>
      </c>
      <c r="Y953" s="18">
        <f>Y954+Y955</f>
        <v>0</v>
      </c>
      <c r="Z953" s="18" t="e">
        <f t="shared" si="611"/>
        <v>#DIV/0!</v>
      </c>
      <c r="AA953" s="18">
        <f t="shared" si="600"/>
        <v>150000</v>
      </c>
      <c r="AB953" s="18">
        <f>AB954+AB955</f>
        <v>150000</v>
      </c>
      <c r="AC953" s="18">
        <f>AC954+AC955</f>
        <v>50000</v>
      </c>
      <c r="AD953" s="18">
        <f t="shared" si="609"/>
        <v>33.333333333333329</v>
      </c>
      <c r="AE953" s="18">
        <f t="shared" si="619"/>
        <v>0</v>
      </c>
      <c r="AF953" s="18">
        <f>AF954+AF955</f>
        <v>150000</v>
      </c>
      <c r="AG953" s="18">
        <f>AG954+AG955</f>
        <v>150000</v>
      </c>
      <c r="AH953" s="18">
        <f>AH954+AH955</f>
        <v>160000</v>
      </c>
      <c r="AI953" s="18">
        <f>AI954+AI955</f>
        <v>160000</v>
      </c>
      <c r="AJ953" s="162" t="b">
        <f t="shared" si="604"/>
        <v>1</v>
      </c>
      <c r="AK953" s="162" t="str">
        <f t="shared" si="605"/>
        <v>PRAZNO</v>
      </c>
      <c r="AM953" s="164"/>
    </row>
    <row r="954" spans="1:39" ht="15.75" x14ac:dyDescent="0.2">
      <c r="B954" s="177"/>
      <c r="C954" s="177"/>
      <c r="D954" s="177"/>
      <c r="E954" s="177">
        <v>3523</v>
      </c>
      <c r="F954" s="176">
        <v>11</v>
      </c>
      <c r="G954" s="176" t="s">
        <v>424</v>
      </c>
      <c r="H954" s="40" t="s">
        <v>324</v>
      </c>
      <c r="I954" s="18">
        <v>39036</v>
      </c>
      <c r="J954" s="18">
        <v>41317.83</v>
      </c>
      <c r="K954" s="18">
        <f t="shared" si="610"/>
        <v>105.85</v>
      </c>
      <c r="L954" s="18">
        <f t="shared" si="612"/>
        <v>15907.919999999998</v>
      </c>
      <c r="M954" s="18">
        <v>54943.92</v>
      </c>
      <c r="N954" s="18">
        <v>5112</v>
      </c>
      <c r="O954" s="18">
        <v>0</v>
      </c>
      <c r="P954" s="26">
        <f t="shared" si="613"/>
        <v>0</v>
      </c>
      <c r="Q954" s="18">
        <v>5112</v>
      </c>
      <c r="R954" s="18"/>
      <c r="S954" s="18"/>
      <c r="T954" s="27">
        <v>5112</v>
      </c>
      <c r="U954" s="27">
        <v>0</v>
      </c>
      <c r="V954" s="18">
        <v>0</v>
      </c>
      <c r="W954" s="18">
        <v>0</v>
      </c>
      <c r="X954" s="18">
        <v>0</v>
      </c>
      <c r="Y954" s="18">
        <v>0</v>
      </c>
      <c r="Z954" s="18" t="e">
        <f t="shared" si="611"/>
        <v>#DIV/0!</v>
      </c>
      <c r="AA954" s="18">
        <f t="shared" si="600"/>
        <v>150000</v>
      </c>
      <c r="AB954" s="18">
        <v>150000</v>
      </c>
      <c r="AC954" s="18">
        <v>50000</v>
      </c>
      <c r="AD954" s="18">
        <f t="shared" si="609"/>
        <v>33.333333333333329</v>
      </c>
      <c r="AE954" s="18">
        <f t="shared" si="619"/>
        <v>0</v>
      </c>
      <c r="AF954" s="18">
        <v>150000</v>
      </c>
      <c r="AG954" s="18">
        <v>150000</v>
      </c>
      <c r="AH954" s="18">
        <v>160000</v>
      </c>
      <c r="AI954" s="18">
        <v>160000</v>
      </c>
      <c r="AJ954" s="162" t="b">
        <f t="shared" si="604"/>
        <v>0</v>
      </c>
      <c r="AK954" s="162" t="str">
        <f t="shared" si="605"/>
        <v>PUNO</v>
      </c>
      <c r="AM954" s="164"/>
    </row>
    <row r="955" spans="1:39" ht="15.75" x14ac:dyDescent="0.2">
      <c r="B955" s="177"/>
      <c r="C955" s="177"/>
      <c r="D955" s="177"/>
      <c r="E955" s="177">
        <v>3523</v>
      </c>
      <c r="F955" s="176">
        <v>14</v>
      </c>
      <c r="G955" s="176"/>
      <c r="H955" s="40" t="s">
        <v>324</v>
      </c>
      <c r="I955" s="18">
        <v>53964</v>
      </c>
      <c r="J955" s="18">
        <v>51682.17</v>
      </c>
      <c r="K955" s="18">
        <f t="shared" si="610"/>
        <v>95.77</v>
      </c>
      <c r="L955" s="18">
        <f t="shared" si="612"/>
        <v>79409.450000000012</v>
      </c>
      <c r="M955" s="18">
        <v>133373.45000000001</v>
      </c>
      <c r="N955" s="18">
        <v>144888</v>
      </c>
      <c r="O955" s="18">
        <v>84283.1</v>
      </c>
      <c r="P955" s="26">
        <f t="shared" si="613"/>
        <v>0</v>
      </c>
      <c r="Q955" s="18">
        <v>144888</v>
      </c>
      <c r="R955" s="18">
        <v>0</v>
      </c>
      <c r="S955" s="18">
        <v>0</v>
      </c>
      <c r="T955" s="27">
        <v>144888</v>
      </c>
      <c r="U955" s="27">
        <v>133451.20000000001</v>
      </c>
      <c r="V955" s="18">
        <v>0</v>
      </c>
      <c r="W955" s="18">
        <v>0</v>
      </c>
      <c r="X955" s="18">
        <v>0</v>
      </c>
      <c r="Y955" s="18"/>
      <c r="Z955" s="18" t="e">
        <f t="shared" si="611"/>
        <v>#DIV/0!</v>
      </c>
      <c r="AA955" s="18">
        <f t="shared" si="600"/>
        <v>0</v>
      </c>
      <c r="AB955" s="18">
        <v>0</v>
      </c>
      <c r="AC955" s="18"/>
      <c r="AD955" s="18" t="e">
        <f t="shared" si="609"/>
        <v>#DIV/0!</v>
      </c>
      <c r="AE955" s="18">
        <f t="shared" si="619"/>
        <v>0</v>
      </c>
      <c r="AF955" s="18">
        <v>0</v>
      </c>
      <c r="AG955" s="18">
        <v>0</v>
      </c>
      <c r="AH955" s="18">
        <v>0</v>
      </c>
      <c r="AI955" s="18">
        <v>0</v>
      </c>
      <c r="AJ955" s="162" t="b">
        <f t="shared" si="604"/>
        <v>0</v>
      </c>
      <c r="AK955" s="162" t="str">
        <f t="shared" si="605"/>
        <v>PUNO</v>
      </c>
      <c r="AM955" s="164"/>
    </row>
    <row r="956" spans="1:39" s="171" customFormat="1" ht="31.5" x14ac:dyDescent="0.2">
      <c r="A956" s="259"/>
      <c r="B956" s="168"/>
      <c r="C956" s="168"/>
      <c r="D956" s="168"/>
      <c r="E956" s="168"/>
      <c r="F956" s="168"/>
      <c r="G956" s="168"/>
      <c r="H956" s="31" t="s">
        <v>10</v>
      </c>
      <c r="I956" s="169">
        <f t="shared" ref="I956:AI958" si="627">I957</f>
        <v>30000</v>
      </c>
      <c r="J956" s="169">
        <f t="shared" si="627"/>
        <v>3148.95</v>
      </c>
      <c r="K956" s="169">
        <f t="shared" si="610"/>
        <v>10.5</v>
      </c>
      <c r="L956" s="169">
        <f t="shared" si="612"/>
        <v>-17708.8</v>
      </c>
      <c r="M956" s="19">
        <f t="shared" si="627"/>
        <v>12291.2</v>
      </c>
      <c r="N956" s="19">
        <f t="shared" si="627"/>
        <v>20000</v>
      </c>
      <c r="O956" s="19">
        <f t="shared" si="627"/>
        <v>2148.75</v>
      </c>
      <c r="P956" s="303">
        <f t="shared" si="613"/>
        <v>0</v>
      </c>
      <c r="Q956" s="19">
        <f t="shared" si="627"/>
        <v>20000</v>
      </c>
      <c r="R956" s="19">
        <f t="shared" si="627"/>
        <v>0</v>
      </c>
      <c r="S956" s="19">
        <f t="shared" si="627"/>
        <v>0</v>
      </c>
      <c r="T956" s="53">
        <f t="shared" si="627"/>
        <v>20000</v>
      </c>
      <c r="U956" s="53">
        <f t="shared" si="627"/>
        <v>45905.61</v>
      </c>
      <c r="V956" s="19">
        <f t="shared" si="627"/>
        <v>0</v>
      </c>
      <c r="W956" s="19">
        <f t="shared" si="627"/>
        <v>0</v>
      </c>
      <c r="X956" s="19">
        <f t="shared" si="627"/>
        <v>0</v>
      </c>
      <c r="Y956" s="19">
        <f t="shared" si="627"/>
        <v>0</v>
      </c>
      <c r="Z956" s="19" t="e">
        <f t="shared" si="611"/>
        <v>#DIV/0!</v>
      </c>
      <c r="AA956" s="19">
        <f t="shared" si="600"/>
        <v>50000</v>
      </c>
      <c r="AB956" s="19">
        <f t="shared" si="627"/>
        <v>50000</v>
      </c>
      <c r="AC956" s="19">
        <f t="shared" si="627"/>
        <v>0</v>
      </c>
      <c r="AD956" s="19">
        <f t="shared" si="609"/>
        <v>0</v>
      </c>
      <c r="AE956" s="19">
        <f t="shared" si="619"/>
        <v>-30000</v>
      </c>
      <c r="AF956" s="19">
        <f t="shared" si="627"/>
        <v>20000</v>
      </c>
      <c r="AG956" s="19">
        <f t="shared" si="627"/>
        <v>50000</v>
      </c>
      <c r="AH956" s="19">
        <f t="shared" si="627"/>
        <v>60000</v>
      </c>
      <c r="AI956" s="19">
        <f t="shared" si="627"/>
        <v>70000</v>
      </c>
      <c r="AJ956" s="162" t="b">
        <f t="shared" si="604"/>
        <v>1</v>
      </c>
      <c r="AK956" s="162" t="str">
        <f t="shared" si="605"/>
        <v>PRAZNO</v>
      </c>
      <c r="AL956" s="170"/>
      <c r="AM956" s="164"/>
    </row>
    <row r="957" spans="1:39" s="174" customFormat="1" ht="15.75" x14ac:dyDescent="0.2">
      <c r="A957" s="259"/>
      <c r="B957" s="172">
        <v>3</v>
      </c>
      <c r="C957" s="172"/>
      <c r="D957" s="172"/>
      <c r="E957" s="172"/>
      <c r="F957" s="172"/>
      <c r="G957" s="172"/>
      <c r="H957" s="14" t="s">
        <v>524</v>
      </c>
      <c r="I957" s="20">
        <f t="shared" si="627"/>
        <v>30000</v>
      </c>
      <c r="J957" s="20">
        <f t="shared" si="627"/>
        <v>3148.95</v>
      </c>
      <c r="K957" s="20">
        <f t="shared" si="610"/>
        <v>10.5</v>
      </c>
      <c r="L957" s="20">
        <f t="shared" si="612"/>
        <v>-17708.8</v>
      </c>
      <c r="M957" s="20">
        <f t="shared" si="627"/>
        <v>12291.2</v>
      </c>
      <c r="N957" s="20">
        <f t="shared" si="627"/>
        <v>20000</v>
      </c>
      <c r="O957" s="20">
        <f t="shared" si="627"/>
        <v>2148.75</v>
      </c>
      <c r="P957" s="55">
        <f t="shared" si="613"/>
        <v>0</v>
      </c>
      <c r="Q957" s="20">
        <f t="shared" si="627"/>
        <v>20000</v>
      </c>
      <c r="R957" s="20">
        <f t="shared" si="627"/>
        <v>0</v>
      </c>
      <c r="S957" s="20">
        <f t="shared" si="627"/>
        <v>0</v>
      </c>
      <c r="T957" s="55">
        <f t="shared" si="627"/>
        <v>20000</v>
      </c>
      <c r="U957" s="55">
        <f t="shared" si="627"/>
        <v>45905.61</v>
      </c>
      <c r="V957" s="20">
        <f t="shared" si="627"/>
        <v>0</v>
      </c>
      <c r="W957" s="20">
        <f t="shared" si="627"/>
        <v>0</v>
      </c>
      <c r="X957" s="20">
        <f t="shared" si="627"/>
        <v>0</v>
      </c>
      <c r="Y957" s="20">
        <f t="shared" si="627"/>
        <v>0</v>
      </c>
      <c r="Z957" s="20" t="e">
        <f t="shared" si="611"/>
        <v>#DIV/0!</v>
      </c>
      <c r="AA957" s="20">
        <f t="shared" si="600"/>
        <v>50000</v>
      </c>
      <c r="AB957" s="20">
        <f t="shared" si="627"/>
        <v>50000</v>
      </c>
      <c r="AC957" s="20">
        <f t="shared" si="627"/>
        <v>0</v>
      </c>
      <c r="AD957" s="20">
        <f t="shared" si="609"/>
        <v>0</v>
      </c>
      <c r="AE957" s="20">
        <f t="shared" si="619"/>
        <v>-30000</v>
      </c>
      <c r="AF957" s="20">
        <f t="shared" si="627"/>
        <v>20000</v>
      </c>
      <c r="AG957" s="20">
        <f t="shared" si="627"/>
        <v>50000</v>
      </c>
      <c r="AH957" s="20">
        <f t="shared" si="627"/>
        <v>60000</v>
      </c>
      <c r="AI957" s="20">
        <f t="shared" si="627"/>
        <v>70000</v>
      </c>
      <c r="AJ957" s="162" t="b">
        <f t="shared" si="604"/>
        <v>1</v>
      </c>
      <c r="AK957" s="162" t="str">
        <f t="shared" si="605"/>
        <v>PRAZNO</v>
      </c>
      <c r="AL957" s="173"/>
      <c r="AM957" s="164"/>
    </row>
    <row r="958" spans="1:39" ht="15.75" x14ac:dyDescent="0.2">
      <c r="B958" s="177"/>
      <c r="C958" s="177">
        <v>35</v>
      </c>
      <c r="D958" s="177"/>
      <c r="E958" s="177"/>
      <c r="F958" s="177"/>
      <c r="G958" s="177"/>
      <c r="H958" s="16" t="s">
        <v>749</v>
      </c>
      <c r="I958" s="18">
        <f t="shared" si="627"/>
        <v>30000</v>
      </c>
      <c r="J958" s="18">
        <f t="shared" si="627"/>
        <v>3148.95</v>
      </c>
      <c r="K958" s="18">
        <f t="shared" si="610"/>
        <v>10.5</v>
      </c>
      <c r="L958" s="18">
        <f t="shared" si="612"/>
        <v>-17708.8</v>
      </c>
      <c r="M958" s="18">
        <f t="shared" si="627"/>
        <v>12291.2</v>
      </c>
      <c r="N958" s="18">
        <f t="shared" si="627"/>
        <v>20000</v>
      </c>
      <c r="O958" s="18">
        <f t="shared" si="627"/>
        <v>2148.75</v>
      </c>
      <c r="P958" s="26">
        <f t="shared" si="613"/>
        <v>0</v>
      </c>
      <c r="Q958" s="18">
        <f t="shared" si="627"/>
        <v>20000</v>
      </c>
      <c r="R958" s="18">
        <f t="shared" si="627"/>
        <v>0</v>
      </c>
      <c r="S958" s="18">
        <f t="shared" si="627"/>
        <v>0</v>
      </c>
      <c r="T958" s="27">
        <f t="shared" si="627"/>
        <v>20000</v>
      </c>
      <c r="U958" s="27">
        <f t="shared" si="627"/>
        <v>45905.61</v>
      </c>
      <c r="V958" s="18">
        <f t="shared" si="627"/>
        <v>0</v>
      </c>
      <c r="W958" s="18">
        <f t="shared" si="627"/>
        <v>0</v>
      </c>
      <c r="X958" s="18">
        <f t="shared" si="627"/>
        <v>0</v>
      </c>
      <c r="Y958" s="18">
        <f t="shared" si="627"/>
        <v>0</v>
      </c>
      <c r="Z958" s="18" t="e">
        <f t="shared" si="611"/>
        <v>#DIV/0!</v>
      </c>
      <c r="AA958" s="18">
        <f t="shared" si="600"/>
        <v>50000</v>
      </c>
      <c r="AB958" s="18">
        <f t="shared" si="627"/>
        <v>50000</v>
      </c>
      <c r="AC958" s="18">
        <f t="shared" si="627"/>
        <v>0</v>
      </c>
      <c r="AD958" s="18">
        <f t="shared" si="609"/>
        <v>0</v>
      </c>
      <c r="AE958" s="18">
        <f t="shared" si="619"/>
        <v>-30000</v>
      </c>
      <c r="AF958" s="18">
        <f t="shared" si="627"/>
        <v>20000</v>
      </c>
      <c r="AG958" s="18">
        <f t="shared" si="627"/>
        <v>50000</v>
      </c>
      <c r="AH958" s="18">
        <f t="shared" si="627"/>
        <v>60000</v>
      </c>
      <c r="AI958" s="18">
        <f t="shared" si="627"/>
        <v>70000</v>
      </c>
      <c r="AJ958" s="162" t="b">
        <f t="shared" si="604"/>
        <v>1</v>
      </c>
      <c r="AK958" s="162" t="str">
        <f t="shared" si="605"/>
        <v>PRAZNO</v>
      </c>
      <c r="AM958" s="164"/>
    </row>
    <row r="959" spans="1:39" ht="30" x14ac:dyDescent="0.2">
      <c r="B959" s="177"/>
      <c r="C959" s="177"/>
      <c r="D959" s="177">
        <v>352</v>
      </c>
      <c r="E959" s="177"/>
      <c r="F959" s="177"/>
      <c r="G959" s="177"/>
      <c r="H959" s="29" t="s">
        <v>748</v>
      </c>
      <c r="I959" s="18">
        <f>I961</f>
        <v>30000</v>
      </c>
      <c r="J959" s="18">
        <f>J961</f>
        <v>3148.95</v>
      </c>
      <c r="K959" s="18">
        <f t="shared" si="610"/>
        <v>10.5</v>
      </c>
      <c r="L959" s="18">
        <f t="shared" si="612"/>
        <v>-17708.8</v>
      </c>
      <c r="M959" s="18">
        <f>M960+M961</f>
        <v>12291.2</v>
      </c>
      <c r="N959" s="18">
        <f>N961</f>
        <v>20000</v>
      </c>
      <c r="O959" s="18">
        <f>O960+O961</f>
        <v>2148.75</v>
      </c>
      <c r="P959" s="26">
        <f t="shared" si="613"/>
        <v>0</v>
      </c>
      <c r="Q959" s="18">
        <f t="shared" ref="Q959:X959" si="628">Q961</f>
        <v>20000</v>
      </c>
      <c r="R959" s="18">
        <f t="shared" si="628"/>
        <v>0</v>
      </c>
      <c r="S959" s="18">
        <f t="shared" si="628"/>
        <v>0</v>
      </c>
      <c r="T959" s="27">
        <f t="shared" si="628"/>
        <v>20000</v>
      </c>
      <c r="U959" s="27">
        <f>U961</f>
        <v>45905.61</v>
      </c>
      <c r="V959" s="18">
        <f t="shared" si="628"/>
        <v>0</v>
      </c>
      <c r="W959" s="18">
        <f t="shared" si="628"/>
        <v>0</v>
      </c>
      <c r="X959" s="18">
        <f t="shared" si="628"/>
        <v>0</v>
      </c>
      <c r="Y959" s="18">
        <f>Y961</f>
        <v>0</v>
      </c>
      <c r="Z959" s="18" t="e">
        <f t="shared" si="611"/>
        <v>#DIV/0!</v>
      </c>
      <c r="AA959" s="18">
        <f t="shared" si="600"/>
        <v>50000</v>
      </c>
      <c r="AB959" s="18">
        <f>AB961</f>
        <v>50000</v>
      </c>
      <c r="AC959" s="18">
        <f>AC961</f>
        <v>0</v>
      </c>
      <c r="AD959" s="18">
        <f t="shared" si="609"/>
        <v>0</v>
      </c>
      <c r="AE959" s="18">
        <f t="shared" si="619"/>
        <v>-30000</v>
      </c>
      <c r="AF959" s="18">
        <f>AF961</f>
        <v>20000</v>
      </c>
      <c r="AG959" s="18">
        <f>AG961</f>
        <v>50000</v>
      </c>
      <c r="AH959" s="18">
        <f>AH961</f>
        <v>60000</v>
      </c>
      <c r="AI959" s="18">
        <f>AI961</f>
        <v>70000</v>
      </c>
      <c r="AJ959" s="162" t="b">
        <f t="shared" si="604"/>
        <v>1</v>
      </c>
      <c r="AK959" s="162" t="str">
        <f t="shared" si="605"/>
        <v>PRAZNO</v>
      </c>
      <c r="AM959" s="164"/>
    </row>
    <row r="960" spans="1:39" ht="15.75" x14ac:dyDescent="0.2">
      <c r="B960" s="177"/>
      <c r="C960" s="177"/>
      <c r="D960" s="177"/>
      <c r="E960" s="177">
        <v>3523</v>
      </c>
      <c r="F960" s="177">
        <v>11</v>
      </c>
      <c r="G960" s="177"/>
      <c r="H960" s="40" t="s">
        <v>324</v>
      </c>
      <c r="I960" s="18"/>
      <c r="J960" s="18"/>
      <c r="K960" s="18"/>
      <c r="L960" s="18"/>
      <c r="M960" s="18">
        <v>3292.96</v>
      </c>
      <c r="N960" s="18"/>
      <c r="O960" s="18"/>
      <c r="P960" s="26">
        <f t="shared" si="613"/>
        <v>0</v>
      </c>
      <c r="Q960" s="18"/>
      <c r="R960" s="18"/>
      <c r="S960" s="18"/>
      <c r="T960" s="27"/>
      <c r="U960" s="27"/>
      <c r="V960" s="18"/>
      <c r="W960" s="18"/>
      <c r="X960" s="18"/>
      <c r="Y960" s="18"/>
      <c r="Z960" s="18" t="e">
        <f t="shared" si="611"/>
        <v>#DIV/0!</v>
      </c>
      <c r="AA960" s="18">
        <f t="shared" ref="AA960:AA1023" si="629">AB960-V960</f>
        <v>0</v>
      </c>
      <c r="AB960" s="18"/>
      <c r="AC960" s="18"/>
      <c r="AD960" s="18" t="e">
        <f t="shared" si="609"/>
        <v>#DIV/0!</v>
      </c>
      <c r="AE960" s="18">
        <f t="shared" si="619"/>
        <v>0</v>
      </c>
      <c r="AF960" s="18"/>
      <c r="AG960" s="18"/>
      <c r="AH960" s="18"/>
      <c r="AI960" s="18"/>
      <c r="AJ960" s="162" t="b">
        <f t="shared" si="604"/>
        <v>0</v>
      </c>
      <c r="AK960" s="162" t="str">
        <f t="shared" si="605"/>
        <v>PUNO</v>
      </c>
      <c r="AM960" s="164"/>
    </row>
    <row r="961" spans="1:39" ht="17.25" customHeight="1" x14ac:dyDescent="0.2">
      <c r="B961" s="177"/>
      <c r="C961" s="177"/>
      <c r="D961" s="177"/>
      <c r="E961" s="177">
        <v>3523</v>
      </c>
      <c r="F961" s="176">
        <v>14</v>
      </c>
      <c r="G961" s="176" t="s">
        <v>424</v>
      </c>
      <c r="H961" s="40" t="s">
        <v>324</v>
      </c>
      <c r="I961" s="18">
        <v>30000</v>
      </c>
      <c r="J961" s="18">
        <v>3148.95</v>
      </c>
      <c r="K961" s="18">
        <f t="shared" si="610"/>
        <v>10.5</v>
      </c>
      <c r="L961" s="18">
        <f t="shared" si="612"/>
        <v>-21001.760000000002</v>
      </c>
      <c r="M961" s="18">
        <v>8998.24</v>
      </c>
      <c r="N961" s="18">
        <v>20000</v>
      </c>
      <c r="O961" s="18">
        <v>2148.75</v>
      </c>
      <c r="P961" s="26">
        <f t="shared" si="613"/>
        <v>0</v>
      </c>
      <c r="Q961" s="18">
        <v>20000</v>
      </c>
      <c r="R961" s="18">
        <v>0</v>
      </c>
      <c r="S961" s="18">
        <v>0</v>
      </c>
      <c r="T961" s="27">
        <v>20000</v>
      </c>
      <c r="U961" s="27">
        <v>45905.61</v>
      </c>
      <c r="V961" s="18">
        <v>0</v>
      </c>
      <c r="W961" s="18">
        <v>0</v>
      </c>
      <c r="X961" s="18">
        <v>0</v>
      </c>
      <c r="Y961" s="18">
        <v>0</v>
      </c>
      <c r="Z961" s="18" t="e">
        <f t="shared" si="611"/>
        <v>#DIV/0!</v>
      </c>
      <c r="AA961" s="18">
        <f t="shared" si="629"/>
        <v>50000</v>
      </c>
      <c r="AB961" s="18">
        <v>50000</v>
      </c>
      <c r="AC961" s="18">
        <v>0</v>
      </c>
      <c r="AD961" s="18">
        <f t="shared" si="609"/>
        <v>0</v>
      </c>
      <c r="AE961" s="18">
        <f t="shared" si="619"/>
        <v>-30000</v>
      </c>
      <c r="AF961" s="18">
        <v>20000</v>
      </c>
      <c r="AG961" s="18">
        <v>50000</v>
      </c>
      <c r="AH961" s="18">
        <v>60000</v>
      </c>
      <c r="AI961" s="18">
        <v>70000</v>
      </c>
      <c r="AJ961" s="162" t="b">
        <f t="shared" si="604"/>
        <v>0</v>
      </c>
      <c r="AK961" s="162" t="str">
        <f t="shared" si="605"/>
        <v>PUNO</v>
      </c>
      <c r="AM961" s="164"/>
    </row>
    <row r="962" spans="1:39" s="171" customFormat="1" ht="15.75" x14ac:dyDescent="0.2">
      <c r="A962" s="259"/>
      <c r="B962" s="168"/>
      <c r="C962" s="168"/>
      <c r="D962" s="168"/>
      <c r="E962" s="168"/>
      <c r="F962" s="168"/>
      <c r="G962" s="168"/>
      <c r="H962" s="31" t="s">
        <v>12</v>
      </c>
      <c r="I962" s="169">
        <f t="shared" ref="I962:AI964" si="630">I963</f>
        <v>170000</v>
      </c>
      <c r="J962" s="169">
        <f t="shared" si="630"/>
        <v>12949.28</v>
      </c>
      <c r="K962" s="169">
        <f t="shared" si="610"/>
        <v>7.62</v>
      </c>
      <c r="L962" s="169">
        <f t="shared" si="612"/>
        <v>64525.72</v>
      </c>
      <c r="M962" s="19">
        <f t="shared" si="630"/>
        <v>234525.72</v>
      </c>
      <c r="N962" s="19">
        <f t="shared" si="630"/>
        <v>230000</v>
      </c>
      <c r="O962" s="19">
        <f t="shared" si="630"/>
        <v>29394.75</v>
      </c>
      <c r="P962" s="303">
        <f t="shared" si="613"/>
        <v>0</v>
      </c>
      <c r="Q962" s="19">
        <f t="shared" si="630"/>
        <v>230000</v>
      </c>
      <c r="R962" s="19">
        <f t="shared" si="630"/>
        <v>0</v>
      </c>
      <c r="S962" s="19">
        <f t="shared" si="630"/>
        <v>0</v>
      </c>
      <c r="T962" s="53">
        <f t="shared" si="630"/>
        <v>230000</v>
      </c>
      <c r="U962" s="53">
        <f t="shared" si="630"/>
        <v>229066.68</v>
      </c>
      <c r="V962" s="19">
        <f t="shared" si="630"/>
        <v>0</v>
      </c>
      <c r="W962" s="19">
        <f t="shared" si="630"/>
        <v>0</v>
      </c>
      <c r="X962" s="19">
        <f t="shared" si="630"/>
        <v>0</v>
      </c>
      <c r="Y962" s="19">
        <f t="shared" si="630"/>
        <v>0</v>
      </c>
      <c r="Z962" s="19" t="e">
        <f t="shared" si="611"/>
        <v>#DIV/0!</v>
      </c>
      <c r="AA962" s="19">
        <f t="shared" si="629"/>
        <v>250000</v>
      </c>
      <c r="AB962" s="19">
        <f t="shared" si="630"/>
        <v>250000</v>
      </c>
      <c r="AC962" s="19">
        <f t="shared" si="630"/>
        <v>2171.2399999999998</v>
      </c>
      <c r="AD962" s="19">
        <f t="shared" si="609"/>
        <v>0.86849599999999982</v>
      </c>
      <c r="AE962" s="19">
        <f t="shared" si="619"/>
        <v>0</v>
      </c>
      <c r="AF962" s="19">
        <f t="shared" si="630"/>
        <v>250000</v>
      </c>
      <c r="AG962" s="19">
        <f t="shared" si="630"/>
        <v>250000</v>
      </c>
      <c r="AH962" s="19">
        <f t="shared" si="630"/>
        <v>260000</v>
      </c>
      <c r="AI962" s="19">
        <f t="shared" si="630"/>
        <v>260000</v>
      </c>
      <c r="AJ962" s="162" t="b">
        <f t="shared" si="604"/>
        <v>1</v>
      </c>
      <c r="AK962" s="162" t="str">
        <f t="shared" si="605"/>
        <v>PRAZNO</v>
      </c>
      <c r="AL962" s="170"/>
      <c r="AM962" s="164"/>
    </row>
    <row r="963" spans="1:39" s="174" customFormat="1" ht="15.75" x14ac:dyDescent="0.2">
      <c r="A963" s="259"/>
      <c r="B963" s="172">
        <v>3</v>
      </c>
      <c r="C963" s="172"/>
      <c r="D963" s="172"/>
      <c r="E963" s="172"/>
      <c r="F963" s="172"/>
      <c r="G963" s="172"/>
      <c r="H963" s="14" t="s">
        <v>524</v>
      </c>
      <c r="I963" s="20">
        <f t="shared" si="630"/>
        <v>170000</v>
      </c>
      <c r="J963" s="20">
        <f t="shared" si="630"/>
        <v>12949.28</v>
      </c>
      <c r="K963" s="20">
        <f t="shared" si="610"/>
        <v>7.62</v>
      </c>
      <c r="L963" s="20">
        <f t="shared" si="612"/>
        <v>64525.72</v>
      </c>
      <c r="M963" s="20">
        <f t="shared" si="630"/>
        <v>234525.72</v>
      </c>
      <c r="N963" s="20">
        <f t="shared" si="630"/>
        <v>230000</v>
      </c>
      <c r="O963" s="20">
        <f t="shared" si="630"/>
        <v>29394.75</v>
      </c>
      <c r="P963" s="55">
        <f t="shared" si="613"/>
        <v>0</v>
      </c>
      <c r="Q963" s="20">
        <f t="shared" si="630"/>
        <v>230000</v>
      </c>
      <c r="R963" s="20">
        <f t="shared" si="630"/>
        <v>0</v>
      </c>
      <c r="S963" s="20">
        <f t="shared" si="630"/>
        <v>0</v>
      </c>
      <c r="T963" s="55">
        <f t="shared" si="630"/>
        <v>230000</v>
      </c>
      <c r="U963" s="55">
        <f t="shared" si="630"/>
        <v>229066.68</v>
      </c>
      <c r="V963" s="20">
        <f t="shared" si="630"/>
        <v>0</v>
      </c>
      <c r="W963" s="20">
        <f t="shared" si="630"/>
        <v>0</v>
      </c>
      <c r="X963" s="20">
        <f t="shared" si="630"/>
        <v>0</v>
      </c>
      <c r="Y963" s="20">
        <f t="shared" si="630"/>
        <v>0</v>
      </c>
      <c r="Z963" s="20" t="e">
        <f t="shared" si="611"/>
        <v>#DIV/0!</v>
      </c>
      <c r="AA963" s="20">
        <f t="shared" si="629"/>
        <v>250000</v>
      </c>
      <c r="AB963" s="20">
        <f t="shared" si="630"/>
        <v>250000</v>
      </c>
      <c r="AC963" s="20">
        <f t="shared" si="630"/>
        <v>2171.2399999999998</v>
      </c>
      <c r="AD963" s="20">
        <f t="shared" si="609"/>
        <v>0.86849599999999982</v>
      </c>
      <c r="AE963" s="20">
        <f t="shared" si="619"/>
        <v>0</v>
      </c>
      <c r="AF963" s="20">
        <f t="shared" si="630"/>
        <v>250000</v>
      </c>
      <c r="AG963" s="20">
        <f t="shared" si="630"/>
        <v>250000</v>
      </c>
      <c r="AH963" s="20">
        <f t="shared" si="630"/>
        <v>260000</v>
      </c>
      <c r="AI963" s="20">
        <f t="shared" si="630"/>
        <v>260000</v>
      </c>
      <c r="AJ963" s="162" t="b">
        <f t="shared" si="604"/>
        <v>1</v>
      </c>
      <c r="AK963" s="162" t="str">
        <f t="shared" si="605"/>
        <v>PRAZNO</v>
      </c>
      <c r="AL963" s="173"/>
      <c r="AM963" s="164"/>
    </row>
    <row r="964" spans="1:39" ht="15.75" x14ac:dyDescent="0.2">
      <c r="B964" s="177"/>
      <c r="C964" s="177">
        <v>35</v>
      </c>
      <c r="D964" s="177"/>
      <c r="E964" s="177"/>
      <c r="F964" s="177"/>
      <c r="G964" s="177"/>
      <c r="H964" s="16" t="s">
        <v>749</v>
      </c>
      <c r="I964" s="18">
        <f t="shared" si="630"/>
        <v>170000</v>
      </c>
      <c r="J964" s="18">
        <f t="shared" si="630"/>
        <v>12949.28</v>
      </c>
      <c r="K964" s="18">
        <f t="shared" si="610"/>
        <v>7.62</v>
      </c>
      <c r="L964" s="18">
        <f t="shared" si="612"/>
        <v>64525.72</v>
      </c>
      <c r="M964" s="18">
        <f t="shared" si="630"/>
        <v>234525.72</v>
      </c>
      <c r="N964" s="18">
        <f t="shared" si="630"/>
        <v>230000</v>
      </c>
      <c r="O964" s="18">
        <f t="shared" si="630"/>
        <v>29394.75</v>
      </c>
      <c r="P964" s="26">
        <f t="shared" si="613"/>
        <v>0</v>
      </c>
      <c r="Q964" s="18">
        <f t="shared" si="630"/>
        <v>230000</v>
      </c>
      <c r="R964" s="18">
        <f t="shared" si="630"/>
        <v>0</v>
      </c>
      <c r="S964" s="18">
        <f t="shared" si="630"/>
        <v>0</v>
      </c>
      <c r="T964" s="27">
        <f t="shared" si="630"/>
        <v>230000</v>
      </c>
      <c r="U964" s="27">
        <f t="shared" si="630"/>
        <v>229066.68</v>
      </c>
      <c r="V964" s="18">
        <f t="shared" si="630"/>
        <v>0</v>
      </c>
      <c r="W964" s="18">
        <f t="shared" si="630"/>
        <v>0</v>
      </c>
      <c r="X964" s="18">
        <f t="shared" si="630"/>
        <v>0</v>
      </c>
      <c r="Y964" s="18">
        <f t="shared" si="630"/>
        <v>0</v>
      </c>
      <c r="Z964" s="18" t="e">
        <f t="shared" si="611"/>
        <v>#DIV/0!</v>
      </c>
      <c r="AA964" s="18">
        <f t="shared" si="629"/>
        <v>250000</v>
      </c>
      <c r="AB964" s="18">
        <f t="shared" si="630"/>
        <v>250000</v>
      </c>
      <c r="AC964" s="18">
        <f t="shared" si="630"/>
        <v>2171.2399999999998</v>
      </c>
      <c r="AD964" s="18">
        <f t="shared" si="609"/>
        <v>0.86849599999999982</v>
      </c>
      <c r="AE964" s="18">
        <f t="shared" si="619"/>
        <v>0</v>
      </c>
      <c r="AF964" s="18">
        <f t="shared" si="630"/>
        <v>250000</v>
      </c>
      <c r="AG964" s="18">
        <f t="shared" si="630"/>
        <v>250000</v>
      </c>
      <c r="AH964" s="18">
        <f t="shared" si="630"/>
        <v>260000</v>
      </c>
      <c r="AI964" s="18">
        <f t="shared" si="630"/>
        <v>260000</v>
      </c>
      <c r="AJ964" s="162" t="b">
        <f t="shared" si="604"/>
        <v>1</v>
      </c>
      <c r="AK964" s="162" t="str">
        <f t="shared" si="605"/>
        <v>PRAZNO</v>
      </c>
      <c r="AM964" s="164"/>
    </row>
    <row r="965" spans="1:39" ht="30" x14ac:dyDescent="0.2">
      <c r="B965" s="177"/>
      <c r="C965" s="177"/>
      <c r="D965" s="177">
        <v>352</v>
      </c>
      <c r="E965" s="177"/>
      <c r="F965" s="177"/>
      <c r="G965" s="177"/>
      <c r="H965" s="29" t="s">
        <v>748</v>
      </c>
      <c r="I965" s="18">
        <f>I967</f>
        <v>170000</v>
      </c>
      <c r="J965" s="18">
        <f>J967</f>
        <v>12949.28</v>
      </c>
      <c r="K965" s="18">
        <f t="shared" si="610"/>
        <v>7.62</v>
      </c>
      <c r="L965" s="18">
        <f t="shared" si="612"/>
        <v>64525.72</v>
      </c>
      <c r="M965" s="18">
        <f>M967</f>
        <v>234525.72</v>
      </c>
      <c r="N965" s="18">
        <f>N967</f>
        <v>230000</v>
      </c>
      <c r="O965" s="18">
        <f>O967</f>
        <v>29394.75</v>
      </c>
      <c r="P965" s="26">
        <f t="shared" si="613"/>
        <v>0</v>
      </c>
      <c r="Q965" s="18">
        <f t="shared" ref="Q965:AI965" si="631">Q967</f>
        <v>230000</v>
      </c>
      <c r="R965" s="18">
        <f t="shared" si="631"/>
        <v>0</v>
      </c>
      <c r="S965" s="18">
        <f t="shared" si="631"/>
        <v>0</v>
      </c>
      <c r="T965" s="27">
        <f t="shared" si="631"/>
        <v>230000</v>
      </c>
      <c r="U965" s="27">
        <f t="shared" si="631"/>
        <v>229066.68</v>
      </c>
      <c r="V965" s="18">
        <f t="shared" si="631"/>
        <v>0</v>
      </c>
      <c r="W965" s="18">
        <f t="shared" si="631"/>
        <v>0</v>
      </c>
      <c r="X965" s="18">
        <f t="shared" si="631"/>
        <v>0</v>
      </c>
      <c r="Y965" s="18">
        <f t="shared" si="631"/>
        <v>0</v>
      </c>
      <c r="Z965" s="18" t="e">
        <f t="shared" si="611"/>
        <v>#DIV/0!</v>
      </c>
      <c r="AA965" s="18">
        <f t="shared" si="629"/>
        <v>250000</v>
      </c>
      <c r="AB965" s="18">
        <f t="shared" si="631"/>
        <v>250000</v>
      </c>
      <c r="AC965" s="18">
        <f t="shared" si="631"/>
        <v>2171.2399999999998</v>
      </c>
      <c r="AD965" s="18">
        <f t="shared" si="609"/>
        <v>0.86849599999999982</v>
      </c>
      <c r="AE965" s="18">
        <f t="shared" si="619"/>
        <v>0</v>
      </c>
      <c r="AF965" s="18">
        <f t="shared" si="631"/>
        <v>250000</v>
      </c>
      <c r="AG965" s="18">
        <f t="shared" si="631"/>
        <v>250000</v>
      </c>
      <c r="AH965" s="18">
        <f t="shared" si="631"/>
        <v>260000</v>
      </c>
      <c r="AI965" s="18">
        <f t="shared" si="631"/>
        <v>260000</v>
      </c>
      <c r="AJ965" s="162" t="b">
        <f t="shared" si="604"/>
        <v>1</v>
      </c>
      <c r="AK965" s="162" t="str">
        <f t="shared" si="605"/>
        <v>PRAZNO</v>
      </c>
      <c r="AM965" s="164"/>
    </row>
    <row r="966" spans="1:39" ht="15.75" x14ac:dyDescent="0.2">
      <c r="B966" s="177"/>
      <c r="C966" s="177"/>
      <c r="D966" s="177"/>
      <c r="E966" s="177"/>
      <c r="F966" s="177"/>
      <c r="G966" s="177"/>
      <c r="H966" s="29"/>
      <c r="I966" s="18"/>
      <c r="J966" s="18"/>
      <c r="K966" s="18"/>
      <c r="L966" s="18"/>
      <c r="M966" s="18"/>
      <c r="N966" s="18"/>
      <c r="O966" s="18"/>
      <c r="P966" s="26"/>
      <c r="Q966" s="18"/>
      <c r="R966" s="18"/>
      <c r="S966" s="18"/>
      <c r="T966" s="27"/>
      <c r="U966" s="27"/>
      <c r="V966" s="18"/>
      <c r="W966" s="18"/>
      <c r="X966" s="18"/>
      <c r="Y966" s="18"/>
      <c r="Z966" s="18"/>
      <c r="AA966" s="18"/>
      <c r="AB966" s="18"/>
      <c r="AC966" s="18"/>
      <c r="AD966" s="18"/>
      <c r="AE966" s="18"/>
      <c r="AF966" s="18"/>
      <c r="AG966" s="18"/>
      <c r="AH966" s="18"/>
      <c r="AI966" s="18"/>
      <c r="AJ966" s="162" t="b">
        <f t="shared" si="604"/>
        <v>1</v>
      </c>
      <c r="AK966" s="162" t="str">
        <f t="shared" si="605"/>
        <v>PRAZNO</v>
      </c>
      <c r="AM966" s="164"/>
    </row>
    <row r="967" spans="1:39" ht="19.5" customHeight="1" x14ac:dyDescent="0.2">
      <c r="B967" s="177"/>
      <c r="C967" s="177"/>
      <c r="D967" s="177"/>
      <c r="E967" s="177">
        <v>3523</v>
      </c>
      <c r="F967" s="176">
        <v>14</v>
      </c>
      <c r="G967" s="176"/>
      <c r="H967" s="40" t="s">
        <v>324</v>
      </c>
      <c r="I967" s="18">
        <v>170000</v>
      </c>
      <c r="J967" s="178">
        <v>12949.28</v>
      </c>
      <c r="K967" s="178">
        <f t="shared" si="610"/>
        <v>7.62</v>
      </c>
      <c r="L967" s="178">
        <f t="shared" si="612"/>
        <v>64525.72</v>
      </c>
      <c r="M967" s="178">
        <v>234525.72</v>
      </c>
      <c r="N967" s="178">
        <v>230000</v>
      </c>
      <c r="O967" s="178">
        <v>29394.75</v>
      </c>
      <c r="P967" s="26">
        <f t="shared" si="613"/>
        <v>0</v>
      </c>
      <c r="Q967" s="178">
        <v>230000</v>
      </c>
      <c r="R967" s="178">
        <v>0</v>
      </c>
      <c r="S967" s="178">
        <v>0</v>
      </c>
      <c r="T967" s="266">
        <v>230000</v>
      </c>
      <c r="U967" s="266">
        <v>229066.68</v>
      </c>
      <c r="V967" s="178">
        <v>0</v>
      </c>
      <c r="W967" s="178">
        <v>0</v>
      </c>
      <c r="X967" s="178">
        <v>0</v>
      </c>
      <c r="Y967" s="178">
        <v>0</v>
      </c>
      <c r="Z967" s="178" t="e">
        <f t="shared" si="611"/>
        <v>#DIV/0!</v>
      </c>
      <c r="AA967" s="178">
        <f t="shared" si="629"/>
        <v>250000</v>
      </c>
      <c r="AB967" s="178">
        <v>250000</v>
      </c>
      <c r="AC967" s="178">
        <v>2171.2399999999998</v>
      </c>
      <c r="AD967" s="178">
        <f t="shared" si="609"/>
        <v>0.86849599999999982</v>
      </c>
      <c r="AE967" s="178">
        <f t="shared" si="619"/>
        <v>0</v>
      </c>
      <c r="AF967" s="178">
        <v>250000</v>
      </c>
      <c r="AG967" s="178">
        <v>250000</v>
      </c>
      <c r="AH967" s="178">
        <v>260000</v>
      </c>
      <c r="AI967" s="178">
        <v>260000</v>
      </c>
      <c r="AJ967" s="162" t="b">
        <f t="shared" si="604"/>
        <v>0</v>
      </c>
      <c r="AK967" s="162" t="str">
        <f t="shared" si="605"/>
        <v>PUNO</v>
      </c>
      <c r="AM967" s="164"/>
    </row>
    <row r="968" spans="1:39" s="171" customFormat="1" ht="31.5" x14ac:dyDescent="0.2">
      <c r="A968" s="259"/>
      <c r="B968" s="168"/>
      <c r="C968" s="168"/>
      <c r="D968" s="168"/>
      <c r="E968" s="168"/>
      <c r="F968" s="168"/>
      <c r="G968" s="168"/>
      <c r="H968" s="31" t="s">
        <v>13</v>
      </c>
      <c r="I968" s="169">
        <f t="shared" ref="I968:AI971" si="632">I969</f>
        <v>10000</v>
      </c>
      <c r="J968" s="169">
        <f t="shared" si="632"/>
        <v>5780</v>
      </c>
      <c r="K968" s="169">
        <f t="shared" si="610"/>
        <v>57.8</v>
      </c>
      <c r="L968" s="169">
        <f t="shared" si="612"/>
        <v>-2460</v>
      </c>
      <c r="M968" s="19">
        <f t="shared" si="632"/>
        <v>7540</v>
      </c>
      <c r="N968" s="19">
        <f t="shared" si="632"/>
        <v>10000</v>
      </c>
      <c r="O968" s="19">
        <f t="shared" si="632"/>
        <v>0</v>
      </c>
      <c r="P968" s="303">
        <f t="shared" si="613"/>
        <v>0</v>
      </c>
      <c r="Q968" s="19">
        <f t="shared" si="632"/>
        <v>10000</v>
      </c>
      <c r="R968" s="19">
        <f t="shared" si="632"/>
        <v>0</v>
      </c>
      <c r="S968" s="19">
        <f t="shared" si="632"/>
        <v>0</v>
      </c>
      <c r="T968" s="53">
        <f t="shared" si="632"/>
        <v>10000</v>
      </c>
      <c r="U968" s="53">
        <f t="shared" si="632"/>
        <v>0</v>
      </c>
      <c r="V968" s="19">
        <f t="shared" si="632"/>
        <v>0</v>
      </c>
      <c r="W968" s="19">
        <f t="shared" si="632"/>
        <v>0</v>
      </c>
      <c r="X968" s="19">
        <f t="shared" si="632"/>
        <v>0</v>
      </c>
      <c r="Y968" s="19">
        <f t="shared" si="632"/>
        <v>0</v>
      </c>
      <c r="Z968" s="19" t="e">
        <f t="shared" si="611"/>
        <v>#DIV/0!</v>
      </c>
      <c r="AA968" s="19">
        <f t="shared" si="629"/>
        <v>0</v>
      </c>
      <c r="AB968" s="19">
        <f t="shared" si="632"/>
        <v>0</v>
      </c>
      <c r="AC968" s="19">
        <f t="shared" si="632"/>
        <v>0</v>
      </c>
      <c r="AD968" s="19" t="e">
        <f t="shared" si="609"/>
        <v>#DIV/0!</v>
      </c>
      <c r="AE968" s="19">
        <f t="shared" si="619"/>
        <v>0</v>
      </c>
      <c r="AF968" s="19">
        <f t="shared" si="632"/>
        <v>0</v>
      </c>
      <c r="AG968" s="19">
        <f t="shared" si="632"/>
        <v>0</v>
      </c>
      <c r="AH968" s="19">
        <f t="shared" si="632"/>
        <v>0</v>
      </c>
      <c r="AI968" s="19">
        <f t="shared" si="632"/>
        <v>0</v>
      </c>
      <c r="AJ968" s="162" t="b">
        <f t="shared" si="604"/>
        <v>1</v>
      </c>
      <c r="AK968" s="162" t="str">
        <f t="shared" si="605"/>
        <v>PRAZNO</v>
      </c>
      <c r="AL968" s="170"/>
      <c r="AM968" s="164"/>
    </row>
    <row r="969" spans="1:39" s="174" customFormat="1" ht="15.75" x14ac:dyDescent="0.2">
      <c r="A969" s="259"/>
      <c r="B969" s="172">
        <v>3</v>
      </c>
      <c r="C969" s="172"/>
      <c r="D969" s="172"/>
      <c r="E969" s="172"/>
      <c r="F969" s="172"/>
      <c r="G969" s="172"/>
      <c r="H969" s="14" t="s">
        <v>524</v>
      </c>
      <c r="I969" s="20">
        <f t="shared" si="632"/>
        <v>10000</v>
      </c>
      <c r="J969" s="20">
        <f t="shared" si="632"/>
        <v>5780</v>
      </c>
      <c r="K969" s="20">
        <f t="shared" si="610"/>
        <v>57.8</v>
      </c>
      <c r="L969" s="20">
        <f t="shared" si="612"/>
        <v>-2460</v>
      </c>
      <c r="M969" s="20">
        <f t="shared" si="632"/>
        <v>7540</v>
      </c>
      <c r="N969" s="20">
        <f t="shared" si="632"/>
        <v>10000</v>
      </c>
      <c r="O969" s="20">
        <f t="shared" si="632"/>
        <v>0</v>
      </c>
      <c r="P969" s="55">
        <f t="shared" si="613"/>
        <v>0</v>
      </c>
      <c r="Q969" s="20">
        <f t="shared" si="632"/>
        <v>10000</v>
      </c>
      <c r="R969" s="20">
        <f t="shared" si="632"/>
        <v>0</v>
      </c>
      <c r="S969" s="20">
        <f t="shared" si="632"/>
        <v>0</v>
      </c>
      <c r="T969" s="55">
        <f t="shared" si="632"/>
        <v>10000</v>
      </c>
      <c r="U969" s="55">
        <f t="shared" si="632"/>
        <v>0</v>
      </c>
      <c r="V969" s="20">
        <f t="shared" si="632"/>
        <v>0</v>
      </c>
      <c r="W969" s="20">
        <f t="shared" si="632"/>
        <v>0</v>
      </c>
      <c r="X969" s="20">
        <f t="shared" si="632"/>
        <v>0</v>
      </c>
      <c r="Y969" s="20">
        <f t="shared" si="632"/>
        <v>0</v>
      </c>
      <c r="Z969" s="20" t="e">
        <f t="shared" si="611"/>
        <v>#DIV/0!</v>
      </c>
      <c r="AA969" s="20">
        <f t="shared" si="629"/>
        <v>0</v>
      </c>
      <c r="AB969" s="20">
        <f t="shared" si="632"/>
        <v>0</v>
      </c>
      <c r="AC969" s="20">
        <f t="shared" si="632"/>
        <v>0</v>
      </c>
      <c r="AD969" s="20" t="e">
        <f t="shared" si="609"/>
        <v>#DIV/0!</v>
      </c>
      <c r="AE969" s="20">
        <f t="shared" si="619"/>
        <v>0</v>
      </c>
      <c r="AF969" s="20">
        <f t="shared" si="632"/>
        <v>0</v>
      </c>
      <c r="AG969" s="20">
        <f t="shared" si="632"/>
        <v>0</v>
      </c>
      <c r="AH969" s="20">
        <f t="shared" si="632"/>
        <v>0</v>
      </c>
      <c r="AI969" s="20">
        <f t="shared" si="632"/>
        <v>0</v>
      </c>
      <c r="AJ969" s="162" t="b">
        <f t="shared" ref="AJ969:AJ1032" si="633">ISBLANK(E969)</f>
        <v>1</v>
      </c>
      <c r="AK969" s="162" t="str">
        <f t="shared" ref="AK969:AK1032" si="634">IF(AJ969,"PRAZNO","PUNO")</f>
        <v>PRAZNO</v>
      </c>
      <c r="AL969" s="173"/>
      <c r="AM969" s="164"/>
    </row>
    <row r="970" spans="1:39" ht="15.75" x14ac:dyDescent="0.2">
      <c r="B970" s="177"/>
      <c r="C970" s="177">
        <v>35</v>
      </c>
      <c r="D970" s="177"/>
      <c r="E970" s="177"/>
      <c r="F970" s="177"/>
      <c r="G970" s="177"/>
      <c r="H970" s="16" t="s">
        <v>749</v>
      </c>
      <c r="I970" s="18">
        <f t="shared" si="632"/>
        <v>10000</v>
      </c>
      <c r="J970" s="18">
        <f t="shared" si="632"/>
        <v>5780</v>
      </c>
      <c r="K970" s="18">
        <f t="shared" si="610"/>
        <v>57.8</v>
      </c>
      <c r="L970" s="18">
        <f t="shared" si="612"/>
        <v>-2460</v>
      </c>
      <c r="M970" s="18">
        <f t="shared" si="632"/>
        <v>7540</v>
      </c>
      <c r="N970" s="18">
        <f t="shared" si="632"/>
        <v>10000</v>
      </c>
      <c r="O970" s="18">
        <f t="shared" si="632"/>
        <v>0</v>
      </c>
      <c r="P970" s="26">
        <f t="shared" si="613"/>
        <v>0</v>
      </c>
      <c r="Q970" s="18">
        <f t="shared" si="632"/>
        <v>10000</v>
      </c>
      <c r="R970" s="18">
        <f t="shared" si="632"/>
        <v>0</v>
      </c>
      <c r="S970" s="18">
        <f t="shared" si="632"/>
        <v>0</v>
      </c>
      <c r="T970" s="27">
        <f t="shared" si="632"/>
        <v>10000</v>
      </c>
      <c r="U970" s="27">
        <f t="shared" si="632"/>
        <v>0</v>
      </c>
      <c r="V970" s="18">
        <f t="shared" si="632"/>
        <v>0</v>
      </c>
      <c r="W970" s="18">
        <f t="shared" si="632"/>
        <v>0</v>
      </c>
      <c r="X970" s="18">
        <f t="shared" si="632"/>
        <v>0</v>
      </c>
      <c r="Y970" s="18">
        <f t="shared" si="632"/>
        <v>0</v>
      </c>
      <c r="Z970" s="18" t="e">
        <f t="shared" si="611"/>
        <v>#DIV/0!</v>
      </c>
      <c r="AA970" s="18">
        <f t="shared" si="629"/>
        <v>0</v>
      </c>
      <c r="AB970" s="18">
        <f t="shared" si="632"/>
        <v>0</v>
      </c>
      <c r="AC970" s="18">
        <f t="shared" si="632"/>
        <v>0</v>
      </c>
      <c r="AD970" s="18" t="e">
        <f t="shared" si="609"/>
        <v>#DIV/0!</v>
      </c>
      <c r="AE970" s="18">
        <f t="shared" si="619"/>
        <v>0</v>
      </c>
      <c r="AF970" s="18">
        <f t="shared" si="632"/>
        <v>0</v>
      </c>
      <c r="AG970" s="18">
        <f t="shared" si="632"/>
        <v>0</v>
      </c>
      <c r="AH970" s="18">
        <f t="shared" si="632"/>
        <v>0</v>
      </c>
      <c r="AI970" s="18">
        <f t="shared" si="632"/>
        <v>0</v>
      </c>
      <c r="AJ970" s="162" t="b">
        <f t="shared" si="633"/>
        <v>1</v>
      </c>
      <c r="AK970" s="162" t="str">
        <f t="shared" si="634"/>
        <v>PRAZNO</v>
      </c>
      <c r="AM970" s="164"/>
    </row>
    <row r="971" spans="1:39" ht="30" x14ac:dyDescent="0.2">
      <c r="B971" s="177"/>
      <c r="C971" s="177"/>
      <c r="D971" s="177">
        <v>352</v>
      </c>
      <c r="E971" s="177"/>
      <c r="F971" s="177"/>
      <c r="G971" s="177"/>
      <c r="H971" s="29" t="s">
        <v>748</v>
      </c>
      <c r="I971" s="18">
        <f t="shared" si="632"/>
        <v>10000</v>
      </c>
      <c r="J971" s="18">
        <f t="shared" si="632"/>
        <v>5780</v>
      </c>
      <c r="K971" s="18">
        <f t="shared" si="610"/>
        <v>57.8</v>
      </c>
      <c r="L971" s="18">
        <f t="shared" si="612"/>
        <v>-2460</v>
      </c>
      <c r="M971" s="18">
        <f t="shared" si="632"/>
        <v>7540</v>
      </c>
      <c r="N971" s="18">
        <f t="shared" si="632"/>
        <v>10000</v>
      </c>
      <c r="O971" s="18">
        <f t="shared" si="632"/>
        <v>0</v>
      </c>
      <c r="P971" s="26">
        <f t="shared" si="613"/>
        <v>0</v>
      </c>
      <c r="Q971" s="18">
        <f t="shared" si="632"/>
        <v>10000</v>
      </c>
      <c r="R971" s="18">
        <f t="shared" si="632"/>
        <v>0</v>
      </c>
      <c r="S971" s="18">
        <f t="shared" si="632"/>
        <v>0</v>
      </c>
      <c r="T971" s="27">
        <f t="shared" si="632"/>
        <v>10000</v>
      </c>
      <c r="U971" s="27">
        <f t="shared" si="632"/>
        <v>0</v>
      </c>
      <c r="V971" s="18">
        <f t="shared" si="632"/>
        <v>0</v>
      </c>
      <c r="W971" s="18">
        <f t="shared" si="632"/>
        <v>0</v>
      </c>
      <c r="X971" s="18">
        <f t="shared" si="632"/>
        <v>0</v>
      </c>
      <c r="Y971" s="18">
        <f t="shared" si="632"/>
        <v>0</v>
      </c>
      <c r="Z971" s="18" t="e">
        <f t="shared" si="611"/>
        <v>#DIV/0!</v>
      </c>
      <c r="AA971" s="18">
        <f t="shared" si="629"/>
        <v>0</v>
      </c>
      <c r="AB971" s="18">
        <f t="shared" si="632"/>
        <v>0</v>
      </c>
      <c r="AC971" s="18">
        <f t="shared" si="632"/>
        <v>0</v>
      </c>
      <c r="AD971" s="18" t="e">
        <f t="shared" si="609"/>
        <v>#DIV/0!</v>
      </c>
      <c r="AE971" s="18">
        <f t="shared" si="619"/>
        <v>0</v>
      </c>
      <c r="AF971" s="18">
        <f t="shared" si="632"/>
        <v>0</v>
      </c>
      <c r="AG971" s="18">
        <f t="shared" si="632"/>
        <v>0</v>
      </c>
      <c r="AH971" s="18">
        <f t="shared" si="632"/>
        <v>0</v>
      </c>
      <c r="AI971" s="18">
        <f t="shared" si="632"/>
        <v>0</v>
      </c>
      <c r="AJ971" s="162" t="b">
        <f t="shared" si="633"/>
        <v>1</v>
      </c>
      <c r="AK971" s="162" t="str">
        <f t="shared" si="634"/>
        <v>PRAZNO</v>
      </c>
      <c r="AM971" s="164"/>
    </row>
    <row r="972" spans="1:39" ht="15.75" x14ac:dyDescent="0.2">
      <c r="B972" s="177"/>
      <c r="C972" s="177"/>
      <c r="D972" s="177"/>
      <c r="E972" s="177">
        <v>3523</v>
      </c>
      <c r="F972" s="176">
        <v>15</v>
      </c>
      <c r="G972" s="176" t="s">
        <v>424</v>
      </c>
      <c r="H972" s="40" t="s">
        <v>324</v>
      </c>
      <c r="I972" s="18">
        <v>10000</v>
      </c>
      <c r="J972" s="18">
        <v>5780</v>
      </c>
      <c r="K972" s="18">
        <f t="shared" si="610"/>
        <v>57.8</v>
      </c>
      <c r="L972" s="18">
        <f t="shared" si="612"/>
        <v>-2460</v>
      </c>
      <c r="M972" s="18">
        <v>7540</v>
      </c>
      <c r="N972" s="18">
        <v>10000</v>
      </c>
      <c r="O972" s="18">
        <v>0</v>
      </c>
      <c r="P972" s="26">
        <f t="shared" si="613"/>
        <v>0</v>
      </c>
      <c r="Q972" s="18">
        <v>10000</v>
      </c>
      <c r="R972" s="18">
        <v>0</v>
      </c>
      <c r="S972" s="18">
        <v>0</v>
      </c>
      <c r="T972" s="27">
        <v>10000</v>
      </c>
      <c r="U972" s="27">
        <v>0</v>
      </c>
      <c r="V972" s="18">
        <v>0</v>
      </c>
      <c r="W972" s="18">
        <v>0</v>
      </c>
      <c r="X972" s="18">
        <v>0</v>
      </c>
      <c r="Y972" s="18"/>
      <c r="Z972" s="18" t="e">
        <f t="shared" si="611"/>
        <v>#DIV/0!</v>
      </c>
      <c r="AA972" s="18">
        <f t="shared" si="629"/>
        <v>0</v>
      </c>
      <c r="AB972" s="18">
        <v>0</v>
      </c>
      <c r="AC972" s="18"/>
      <c r="AD972" s="18" t="e">
        <f t="shared" si="609"/>
        <v>#DIV/0!</v>
      </c>
      <c r="AE972" s="18">
        <f t="shared" si="619"/>
        <v>0</v>
      </c>
      <c r="AF972" s="18">
        <v>0</v>
      </c>
      <c r="AG972" s="18">
        <v>0</v>
      </c>
      <c r="AH972" s="18">
        <v>0</v>
      </c>
      <c r="AI972" s="18">
        <v>0</v>
      </c>
      <c r="AJ972" s="162" t="b">
        <f t="shared" si="633"/>
        <v>0</v>
      </c>
      <c r="AK972" s="162" t="str">
        <f t="shared" si="634"/>
        <v>PUNO</v>
      </c>
      <c r="AM972" s="164"/>
    </row>
    <row r="973" spans="1:39" s="171" customFormat="1" ht="15.75" x14ac:dyDescent="0.2">
      <c r="A973" s="259"/>
      <c r="B973" s="168"/>
      <c r="C973" s="168"/>
      <c r="D973" s="168"/>
      <c r="E973" s="168"/>
      <c r="F973" s="168"/>
      <c r="G973" s="168"/>
      <c r="H973" s="31" t="s">
        <v>22</v>
      </c>
      <c r="I973" s="169">
        <f t="shared" ref="I973:AI976" si="635">I974</f>
        <v>8000</v>
      </c>
      <c r="J973" s="169">
        <f t="shared" si="635"/>
        <v>4800</v>
      </c>
      <c r="K973" s="169">
        <f t="shared" si="610"/>
        <v>60</v>
      </c>
      <c r="L973" s="169">
        <f t="shared" si="612"/>
        <v>4900</v>
      </c>
      <c r="M973" s="19">
        <f t="shared" si="635"/>
        <v>12900</v>
      </c>
      <c r="N973" s="19">
        <f t="shared" si="635"/>
        <v>10000</v>
      </c>
      <c r="O973" s="19">
        <f t="shared" si="635"/>
        <v>6391.48</v>
      </c>
      <c r="P973" s="303">
        <f t="shared" si="613"/>
        <v>10000</v>
      </c>
      <c r="Q973" s="19">
        <f t="shared" si="635"/>
        <v>10000</v>
      </c>
      <c r="R973" s="19">
        <f t="shared" si="635"/>
        <v>0</v>
      </c>
      <c r="S973" s="19">
        <f t="shared" si="635"/>
        <v>0</v>
      </c>
      <c r="T973" s="53">
        <f t="shared" si="635"/>
        <v>20000</v>
      </c>
      <c r="U973" s="53">
        <f t="shared" si="635"/>
        <v>26016.48</v>
      </c>
      <c r="V973" s="19">
        <f t="shared" si="635"/>
        <v>0</v>
      </c>
      <c r="W973" s="19">
        <f t="shared" si="635"/>
        <v>0</v>
      </c>
      <c r="X973" s="19">
        <f t="shared" si="635"/>
        <v>0</v>
      </c>
      <c r="Y973" s="19">
        <f t="shared" si="635"/>
        <v>0</v>
      </c>
      <c r="Z973" s="19" t="e">
        <f t="shared" si="611"/>
        <v>#DIV/0!</v>
      </c>
      <c r="AA973" s="19">
        <f t="shared" si="629"/>
        <v>0</v>
      </c>
      <c r="AB973" s="19">
        <f t="shared" si="635"/>
        <v>0</v>
      </c>
      <c r="AC973" s="19">
        <f t="shared" si="635"/>
        <v>0</v>
      </c>
      <c r="AD973" s="19" t="e">
        <f t="shared" si="609"/>
        <v>#DIV/0!</v>
      </c>
      <c r="AE973" s="19">
        <f t="shared" si="619"/>
        <v>0</v>
      </c>
      <c r="AF973" s="19">
        <f t="shared" si="635"/>
        <v>0</v>
      </c>
      <c r="AG973" s="19">
        <f t="shared" si="635"/>
        <v>0</v>
      </c>
      <c r="AH973" s="19">
        <f t="shared" si="635"/>
        <v>0</v>
      </c>
      <c r="AI973" s="19">
        <f t="shared" si="635"/>
        <v>0</v>
      </c>
      <c r="AJ973" s="162" t="b">
        <f t="shared" si="633"/>
        <v>1</v>
      </c>
      <c r="AK973" s="162" t="str">
        <f t="shared" si="634"/>
        <v>PRAZNO</v>
      </c>
      <c r="AL973" s="170"/>
      <c r="AM973" s="164"/>
    </row>
    <row r="974" spans="1:39" s="174" customFormat="1" ht="15.75" x14ac:dyDescent="0.2">
      <c r="A974" s="259"/>
      <c r="B974" s="172">
        <v>3</v>
      </c>
      <c r="C974" s="172"/>
      <c r="D974" s="172"/>
      <c r="E974" s="172"/>
      <c r="F974" s="172"/>
      <c r="G974" s="172"/>
      <c r="H974" s="14" t="s">
        <v>524</v>
      </c>
      <c r="I974" s="20">
        <f t="shared" si="635"/>
        <v>8000</v>
      </c>
      <c r="J974" s="20">
        <f t="shared" si="635"/>
        <v>4800</v>
      </c>
      <c r="K974" s="20">
        <f t="shared" si="610"/>
        <v>60</v>
      </c>
      <c r="L974" s="20">
        <f t="shared" si="612"/>
        <v>4900</v>
      </c>
      <c r="M974" s="20">
        <f t="shared" si="635"/>
        <v>12900</v>
      </c>
      <c r="N974" s="20">
        <f t="shared" si="635"/>
        <v>10000</v>
      </c>
      <c r="O974" s="20">
        <f t="shared" si="635"/>
        <v>6391.48</v>
      </c>
      <c r="P974" s="55">
        <f t="shared" si="613"/>
        <v>10000</v>
      </c>
      <c r="Q974" s="20">
        <f t="shared" si="635"/>
        <v>10000</v>
      </c>
      <c r="R974" s="20">
        <f t="shared" si="635"/>
        <v>0</v>
      </c>
      <c r="S974" s="20">
        <f t="shared" si="635"/>
        <v>0</v>
      </c>
      <c r="T974" s="55">
        <f t="shared" si="635"/>
        <v>20000</v>
      </c>
      <c r="U974" s="55">
        <f t="shared" si="635"/>
        <v>26016.48</v>
      </c>
      <c r="V974" s="20">
        <f t="shared" si="635"/>
        <v>0</v>
      </c>
      <c r="W974" s="20">
        <f t="shared" si="635"/>
        <v>0</v>
      </c>
      <c r="X974" s="20">
        <f t="shared" si="635"/>
        <v>0</v>
      </c>
      <c r="Y974" s="20">
        <f t="shared" si="635"/>
        <v>0</v>
      </c>
      <c r="Z974" s="20" t="e">
        <f t="shared" si="611"/>
        <v>#DIV/0!</v>
      </c>
      <c r="AA974" s="20">
        <f t="shared" si="629"/>
        <v>0</v>
      </c>
      <c r="AB974" s="20">
        <f t="shared" si="635"/>
        <v>0</v>
      </c>
      <c r="AC974" s="20">
        <f t="shared" si="635"/>
        <v>0</v>
      </c>
      <c r="AD974" s="20" t="e">
        <f t="shared" si="609"/>
        <v>#DIV/0!</v>
      </c>
      <c r="AE974" s="20">
        <f t="shared" si="619"/>
        <v>0</v>
      </c>
      <c r="AF974" s="20">
        <f t="shared" si="635"/>
        <v>0</v>
      </c>
      <c r="AG974" s="20">
        <f t="shared" si="635"/>
        <v>0</v>
      </c>
      <c r="AH974" s="20">
        <f t="shared" si="635"/>
        <v>0</v>
      </c>
      <c r="AI974" s="20">
        <f t="shared" si="635"/>
        <v>0</v>
      </c>
      <c r="AJ974" s="162" t="b">
        <f t="shared" si="633"/>
        <v>1</v>
      </c>
      <c r="AK974" s="162" t="str">
        <f t="shared" si="634"/>
        <v>PRAZNO</v>
      </c>
      <c r="AL974" s="173"/>
      <c r="AM974" s="164"/>
    </row>
    <row r="975" spans="1:39" ht="15.75" x14ac:dyDescent="0.2">
      <c r="B975" s="177"/>
      <c r="C975" s="177">
        <v>35</v>
      </c>
      <c r="D975" s="177"/>
      <c r="E975" s="177"/>
      <c r="F975" s="177"/>
      <c r="G975" s="177"/>
      <c r="H975" s="16" t="s">
        <v>749</v>
      </c>
      <c r="I975" s="18">
        <f t="shared" si="635"/>
        <v>8000</v>
      </c>
      <c r="J975" s="18">
        <f t="shared" si="635"/>
        <v>4800</v>
      </c>
      <c r="K975" s="18">
        <f t="shared" si="610"/>
        <v>60</v>
      </c>
      <c r="L975" s="18">
        <f t="shared" si="612"/>
        <v>4900</v>
      </c>
      <c r="M975" s="18">
        <f t="shared" si="635"/>
        <v>12900</v>
      </c>
      <c r="N975" s="18">
        <f t="shared" si="635"/>
        <v>10000</v>
      </c>
      <c r="O975" s="18">
        <f t="shared" si="635"/>
        <v>6391.48</v>
      </c>
      <c r="P975" s="26">
        <f t="shared" si="613"/>
        <v>10000</v>
      </c>
      <c r="Q975" s="18">
        <f t="shared" si="635"/>
        <v>10000</v>
      </c>
      <c r="R975" s="18">
        <f t="shared" si="635"/>
        <v>0</v>
      </c>
      <c r="S975" s="18">
        <f t="shared" si="635"/>
        <v>0</v>
      </c>
      <c r="T975" s="27">
        <f t="shared" si="635"/>
        <v>20000</v>
      </c>
      <c r="U975" s="27">
        <f t="shared" si="635"/>
        <v>26016.48</v>
      </c>
      <c r="V975" s="18">
        <f t="shared" si="635"/>
        <v>0</v>
      </c>
      <c r="W975" s="18">
        <f t="shared" si="635"/>
        <v>0</v>
      </c>
      <c r="X975" s="18">
        <f t="shared" si="635"/>
        <v>0</v>
      </c>
      <c r="Y975" s="18">
        <f t="shared" si="635"/>
        <v>0</v>
      </c>
      <c r="Z975" s="18" t="e">
        <f t="shared" si="611"/>
        <v>#DIV/0!</v>
      </c>
      <c r="AA975" s="18">
        <f t="shared" si="629"/>
        <v>0</v>
      </c>
      <c r="AB975" s="18">
        <f t="shared" si="635"/>
        <v>0</v>
      </c>
      <c r="AC975" s="18">
        <f t="shared" si="635"/>
        <v>0</v>
      </c>
      <c r="AD975" s="18" t="e">
        <f t="shared" si="609"/>
        <v>#DIV/0!</v>
      </c>
      <c r="AE975" s="18">
        <f t="shared" si="619"/>
        <v>0</v>
      </c>
      <c r="AF975" s="18">
        <f t="shared" si="635"/>
        <v>0</v>
      </c>
      <c r="AG975" s="18">
        <f t="shared" si="635"/>
        <v>0</v>
      </c>
      <c r="AH975" s="18">
        <f t="shared" si="635"/>
        <v>0</v>
      </c>
      <c r="AI975" s="18">
        <f t="shared" si="635"/>
        <v>0</v>
      </c>
      <c r="AJ975" s="162" t="b">
        <f t="shared" si="633"/>
        <v>1</v>
      </c>
      <c r="AK975" s="162" t="str">
        <f t="shared" si="634"/>
        <v>PRAZNO</v>
      </c>
      <c r="AM975" s="164"/>
    </row>
    <row r="976" spans="1:39" ht="30" x14ac:dyDescent="0.2">
      <c r="B976" s="177"/>
      <c r="C976" s="177"/>
      <c r="D976" s="177">
        <v>352</v>
      </c>
      <c r="E976" s="177"/>
      <c r="F976" s="177"/>
      <c r="G976" s="177"/>
      <c r="H976" s="29" t="s">
        <v>748</v>
      </c>
      <c r="I976" s="18">
        <f>I977</f>
        <v>8000</v>
      </c>
      <c r="J976" s="18">
        <f>J977</f>
        <v>4800</v>
      </c>
      <c r="K976" s="18">
        <f t="shared" si="610"/>
        <v>60</v>
      </c>
      <c r="L976" s="18">
        <f t="shared" si="612"/>
        <v>4900</v>
      </c>
      <c r="M976" s="18">
        <f>M977</f>
        <v>12900</v>
      </c>
      <c r="N976" s="18">
        <f>N977</f>
        <v>10000</v>
      </c>
      <c r="O976" s="18">
        <f>O977</f>
        <v>6391.48</v>
      </c>
      <c r="P976" s="26">
        <f t="shared" si="613"/>
        <v>10000</v>
      </c>
      <c r="Q976" s="18">
        <f t="shared" si="635"/>
        <v>10000</v>
      </c>
      <c r="R976" s="18">
        <f t="shared" si="635"/>
        <v>0</v>
      </c>
      <c r="S976" s="18">
        <f t="shared" si="635"/>
        <v>0</v>
      </c>
      <c r="T976" s="27">
        <f t="shared" si="635"/>
        <v>20000</v>
      </c>
      <c r="U976" s="27">
        <f t="shared" si="635"/>
        <v>26016.48</v>
      </c>
      <c r="V976" s="18">
        <f t="shared" si="635"/>
        <v>0</v>
      </c>
      <c r="W976" s="18">
        <f t="shared" si="635"/>
        <v>0</v>
      </c>
      <c r="X976" s="18">
        <f t="shared" si="635"/>
        <v>0</v>
      </c>
      <c r="Y976" s="18">
        <f t="shared" si="635"/>
        <v>0</v>
      </c>
      <c r="Z976" s="18" t="e">
        <f t="shared" si="611"/>
        <v>#DIV/0!</v>
      </c>
      <c r="AA976" s="18">
        <f t="shared" si="629"/>
        <v>0</v>
      </c>
      <c r="AB976" s="18">
        <f t="shared" si="635"/>
        <v>0</v>
      </c>
      <c r="AC976" s="18">
        <f t="shared" si="635"/>
        <v>0</v>
      </c>
      <c r="AD976" s="18" t="e">
        <f t="shared" si="609"/>
        <v>#DIV/0!</v>
      </c>
      <c r="AE976" s="18">
        <f t="shared" si="619"/>
        <v>0</v>
      </c>
      <c r="AF976" s="18">
        <f t="shared" si="635"/>
        <v>0</v>
      </c>
      <c r="AG976" s="18">
        <f t="shared" si="635"/>
        <v>0</v>
      </c>
      <c r="AH976" s="18">
        <f t="shared" si="635"/>
        <v>0</v>
      </c>
      <c r="AI976" s="18">
        <f t="shared" si="635"/>
        <v>0</v>
      </c>
      <c r="AJ976" s="162" t="b">
        <f t="shared" si="633"/>
        <v>1</v>
      </c>
      <c r="AK976" s="162" t="str">
        <f t="shared" si="634"/>
        <v>PRAZNO</v>
      </c>
      <c r="AM976" s="164"/>
    </row>
    <row r="977" spans="1:39" ht="15.75" x14ac:dyDescent="0.2">
      <c r="B977" s="177"/>
      <c r="C977" s="177"/>
      <c r="D977" s="177"/>
      <c r="E977" s="177">
        <v>3523</v>
      </c>
      <c r="F977" s="265">
        <v>14</v>
      </c>
      <c r="G977" s="176"/>
      <c r="H977" s="40" t="s">
        <v>324</v>
      </c>
      <c r="I977" s="18">
        <v>8000</v>
      </c>
      <c r="J977" s="18">
        <v>4800</v>
      </c>
      <c r="K977" s="18">
        <f t="shared" si="610"/>
        <v>60</v>
      </c>
      <c r="L977" s="18">
        <f t="shared" si="612"/>
        <v>4900</v>
      </c>
      <c r="M977" s="18">
        <v>12900</v>
      </c>
      <c r="N977" s="18">
        <v>10000</v>
      </c>
      <c r="O977" s="18">
        <v>6391.48</v>
      </c>
      <c r="P977" s="26">
        <f t="shared" si="613"/>
        <v>10000</v>
      </c>
      <c r="Q977" s="18">
        <v>10000</v>
      </c>
      <c r="R977" s="18">
        <v>0</v>
      </c>
      <c r="S977" s="18">
        <v>0</v>
      </c>
      <c r="T977" s="27">
        <v>20000</v>
      </c>
      <c r="U977" s="27">
        <v>26016.48</v>
      </c>
      <c r="V977" s="18">
        <v>0</v>
      </c>
      <c r="W977" s="18">
        <v>0</v>
      </c>
      <c r="X977" s="18">
        <v>0</v>
      </c>
      <c r="Y977" s="18"/>
      <c r="Z977" s="18" t="e">
        <f t="shared" si="611"/>
        <v>#DIV/0!</v>
      </c>
      <c r="AA977" s="18">
        <f t="shared" si="629"/>
        <v>0</v>
      </c>
      <c r="AB977" s="18">
        <v>0</v>
      </c>
      <c r="AC977" s="18"/>
      <c r="AD977" s="18" t="e">
        <f t="shared" si="609"/>
        <v>#DIV/0!</v>
      </c>
      <c r="AE977" s="18">
        <f t="shared" si="619"/>
        <v>0</v>
      </c>
      <c r="AF977" s="18">
        <v>0</v>
      </c>
      <c r="AG977" s="18">
        <v>0</v>
      </c>
      <c r="AH977" s="18">
        <v>0</v>
      </c>
      <c r="AI977" s="18">
        <v>0</v>
      </c>
      <c r="AJ977" s="162" t="b">
        <f t="shared" si="633"/>
        <v>0</v>
      </c>
      <c r="AK977" s="162" t="str">
        <f t="shared" si="634"/>
        <v>PUNO</v>
      </c>
      <c r="AM977" s="164"/>
    </row>
    <row r="978" spans="1:39" s="171" customFormat="1" ht="34.5" customHeight="1" x14ac:dyDescent="0.2">
      <c r="A978" s="259"/>
      <c r="B978" s="168"/>
      <c r="C978" s="168"/>
      <c r="D978" s="168"/>
      <c r="E978" s="168"/>
      <c r="F978" s="168"/>
      <c r="G978" s="168"/>
      <c r="H978" s="31" t="s">
        <v>23</v>
      </c>
      <c r="I978" s="169">
        <f>I980</f>
        <v>20000</v>
      </c>
      <c r="J978" s="169">
        <f>J980</f>
        <v>3278.49</v>
      </c>
      <c r="K978" s="169">
        <f t="shared" si="610"/>
        <v>16.39</v>
      </c>
      <c r="L978" s="169">
        <f t="shared" si="612"/>
        <v>-15332.89</v>
      </c>
      <c r="M978" s="19">
        <f>M980</f>
        <v>4667.1099999999997</v>
      </c>
      <c r="N978" s="19">
        <f>N980</f>
        <v>15000</v>
      </c>
      <c r="O978" s="19">
        <f>O980</f>
        <v>2842.56</v>
      </c>
      <c r="P978" s="303">
        <f t="shared" si="613"/>
        <v>-5000</v>
      </c>
      <c r="Q978" s="19">
        <f t="shared" ref="Q978:X978" si="636">Q980</f>
        <v>15000</v>
      </c>
      <c r="R978" s="19">
        <f t="shared" si="636"/>
        <v>0</v>
      </c>
      <c r="S978" s="19">
        <f t="shared" si="636"/>
        <v>0</v>
      </c>
      <c r="T978" s="53">
        <f t="shared" si="636"/>
        <v>10000</v>
      </c>
      <c r="U978" s="53">
        <f>U980</f>
        <v>7253.21</v>
      </c>
      <c r="V978" s="19">
        <f t="shared" si="636"/>
        <v>10000</v>
      </c>
      <c r="W978" s="19">
        <f t="shared" si="636"/>
        <v>10000</v>
      </c>
      <c r="X978" s="19">
        <f t="shared" si="636"/>
        <v>10000</v>
      </c>
      <c r="Y978" s="19">
        <f>Y980</f>
        <v>0</v>
      </c>
      <c r="Z978" s="19">
        <f t="shared" si="611"/>
        <v>0</v>
      </c>
      <c r="AA978" s="19">
        <f t="shared" si="629"/>
        <v>0</v>
      </c>
      <c r="AB978" s="19">
        <f>AB980</f>
        <v>10000</v>
      </c>
      <c r="AC978" s="19">
        <f>AC980</f>
        <v>2375.85</v>
      </c>
      <c r="AD978" s="19">
        <f t="shared" si="609"/>
        <v>23.758499999999998</v>
      </c>
      <c r="AE978" s="19">
        <f t="shared" si="619"/>
        <v>8000</v>
      </c>
      <c r="AF978" s="19">
        <f>AF980</f>
        <v>18000</v>
      </c>
      <c r="AG978" s="19">
        <f>AG980</f>
        <v>10000</v>
      </c>
      <c r="AH978" s="19">
        <f>AH980</f>
        <v>10000</v>
      </c>
      <c r="AI978" s="19">
        <f>AI980</f>
        <v>10000</v>
      </c>
      <c r="AJ978" s="162" t="b">
        <f t="shared" si="633"/>
        <v>1</v>
      </c>
      <c r="AK978" s="162" t="str">
        <f t="shared" si="634"/>
        <v>PRAZNO</v>
      </c>
      <c r="AL978" s="170"/>
      <c r="AM978" s="164"/>
    </row>
    <row r="979" spans="1:39" s="264" customFormat="1" ht="17.25" customHeight="1" x14ac:dyDescent="0.2">
      <c r="A979" s="259"/>
      <c r="B979" s="260"/>
      <c r="C979" s="260"/>
      <c r="D979" s="260"/>
      <c r="E979" s="260"/>
      <c r="F979" s="260"/>
      <c r="G979" s="260"/>
      <c r="H979" s="471" t="s">
        <v>824</v>
      </c>
      <c r="I979" s="181"/>
      <c r="J979" s="181"/>
      <c r="K979" s="181"/>
      <c r="L979" s="181"/>
      <c r="M979" s="262"/>
      <c r="N979" s="262"/>
      <c r="O979" s="262"/>
      <c r="P979" s="445"/>
      <c r="Q979" s="262"/>
      <c r="R979" s="262"/>
      <c r="S979" s="262"/>
      <c r="T979" s="342"/>
      <c r="U979" s="342"/>
      <c r="V979" s="262">
        <f>V980</f>
        <v>10000</v>
      </c>
      <c r="W979" s="262">
        <f>W980</f>
        <v>10000</v>
      </c>
      <c r="X979" s="262">
        <f>X980</f>
        <v>10000</v>
      </c>
      <c r="Y979" s="262">
        <f>Y980</f>
        <v>0</v>
      </c>
      <c r="Z979" s="262">
        <f t="shared" si="611"/>
        <v>0</v>
      </c>
      <c r="AA979" s="262">
        <f t="shared" si="629"/>
        <v>0</v>
      </c>
      <c r="AB979" s="262">
        <f>AB980</f>
        <v>10000</v>
      </c>
      <c r="AC979" s="262">
        <f>AC980</f>
        <v>2375.85</v>
      </c>
      <c r="AD979" s="262">
        <f t="shared" si="609"/>
        <v>23.758499999999998</v>
      </c>
      <c r="AE979" s="262">
        <f t="shared" si="619"/>
        <v>8000</v>
      </c>
      <c r="AF979" s="262">
        <f>AF980</f>
        <v>18000</v>
      </c>
      <c r="AG979" s="262">
        <f>AG980</f>
        <v>10000</v>
      </c>
      <c r="AH979" s="262">
        <f>AH980</f>
        <v>10000</v>
      </c>
      <c r="AI979" s="262">
        <f>AI980</f>
        <v>10000</v>
      </c>
      <c r="AJ979" s="162" t="b">
        <f t="shared" si="633"/>
        <v>1</v>
      </c>
      <c r="AK979" s="162" t="str">
        <f t="shared" si="634"/>
        <v>PRAZNO</v>
      </c>
      <c r="AL979" s="263"/>
    </row>
    <row r="980" spans="1:39" s="174" customFormat="1" ht="15.75" x14ac:dyDescent="0.2">
      <c r="A980" s="259"/>
      <c r="B980" s="172">
        <v>3</v>
      </c>
      <c r="C980" s="172"/>
      <c r="D980" s="172"/>
      <c r="E980" s="172"/>
      <c r="F980" s="172"/>
      <c r="G980" s="172"/>
      <c r="H980" s="14" t="s">
        <v>524</v>
      </c>
      <c r="I980" s="20">
        <f t="shared" ref="I980:AI982" si="637">I981</f>
        <v>20000</v>
      </c>
      <c r="J980" s="20">
        <f t="shared" si="637"/>
        <v>3278.49</v>
      </c>
      <c r="K980" s="20">
        <f t="shared" si="610"/>
        <v>16.39</v>
      </c>
      <c r="L980" s="20">
        <f t="shared" si="612"/>
        <v>-15332.89</v>
      </c>
      <c r="M980" s="20">
        <f t="shared" si="637"/>
        <v>4667.1099999999997</v>
      </c>
      <c r="N980" s="20">
        <f t="shared" si="637"/>
        <v>15000</v>
      </c>
      <c r="O980" s="20">
        <f t="shared" si="637"/>
        <v>2842.56</v>
      </c>
      <c r="P980" s="55">
        <f t="shared" si="613"/>
        <v>-5000</v>
      </c>
      <c r="Q980" s="20">
        <f t="shared" si="637"/>
        <v>15000</v>
      </c>
      <c r="R980" s="20">
        <f t="shared" si="637"/>
        <v>0</v>
      </c>
      <c r="S980" s="20">
        <f t="shared" si="637"/>
        <v>0</v>
      </c>
      <c r="T980" s="55">
        <f t="shared" si="637"/>
        <v>10000</v>
      </c>
      <c r="U980" s="55">
        <f t="shared" si="637"/>
        <v>7253.21</v>
      </c>
      <c r="V980" s="20">
        <f t="shared" si="637"/>
        <v>10000</v>
      </c>
      <c r="W980" s="20">
        <f t="shared" si="637"/>
        <v>10000</v>
      </c>
      <c r="X980" s="20">
        <f t="shared" si="637"/>
        <v>10000</v>
      </c>
      <c r="Y980" s="20">
        <f t="shared" si="637"/>
        <v>0</v>
      </c>
      <c r="Z980" s="20">
        <f t="shared" si="611"/>
        <v>0</v>
      </c>
      <c r="AA980" s="20">
        <f t="shared" si="629"/>
        <v>0</v>
      </c>
      <c r="AB980" s="20">
        <f t="shared" si="637"/>
        <v>10000</v>
      </c>
      <c r="AC980" s="20">
        <f t="shared" si="637"/>
        <v>2375.85</v>
      </c>
      <c r="AD980" s="20">
        <f t="shared" si="609"/>
        <v>23.758499999999998</v>
      </c>
      <c r="AE980" s="20">
        <f t="shared" si="619"/>
        <v>8000</v>
      </c>
      <c r="AF980" s="20">
        <f t="shared" si="637"/>
        <v>18000</v>
      </c>
      <c r="AG980" s="20">
        <f t="shared" si="637"/>
        <v>10000</v>
      </c>
      <c r="AH980" s="20">
        <f t="shared" si="637"/>
        <v>10000</v>
      </c>
      <c r="AI980" s="20">
        <f t="shared" si="637"/>
        <v>10000</v>
      </c>
      <c r="AJ980" s="162" t="b">
        <f t="shared" si="633"/>
        <v>1</v>
      </c>
      <c r="AK980" s="162" t="str">
        <f t="shared" si="634"/>
        <v>PRAZNO</v>
      </c>
      <c r="AL980" s="173"/>
      <c r="AM980" s="164"/>
    </row>
    <row r="981" spans="1:39" ht="15.75" x14ac:dyDescent="0.2">
      <c r="B981" s="177"/>
      <c r="C981" s="177">
        <v>35</v>
      </c>
      <c r="D981" s="177"/>
      <c r="E981" s="177"/>
      <c r="F981" s="177"/>
      <c r="G981" s="177"/>
      <c r="H981" s="16" t="s">
        <v>749</v>
      </c>
      <c r="I981" s="18">
        <f t="shared" si="637"/>
        <v>20000</v>
      </c>
      <c r="J981" s="18">
        <f t="shared" si="637"/>
        <v>3278.49</v>
      </c>
      <c r="K981" s="18">
        <f t="shared" si="610"/>
        <v>16.39</v>
      </c>
      <c r="L981" s="18">
        <f t="shared" si="612"/>
        <v>-15332.89</v>
      </c>
      <c r="M981" s="18">
        <f t="shared" si="637"/>
        <v>4667.1099999999997</v>
      </c>
      <c r="N981" s="18">
        <f t="shared" si="637"/>
        <v>15000</v>
      </c>
      <c r="O981" s="18">
        <f t="shared" si="637"/>
        <v>2842.56</v>
      </c>
      <c r="P981" s="26">
        <f t="shared" si="613"/>
        <v>-5000</v>
      </c>
      <c r="Q981" s="18">
        <f t="shared" si="637"/>
        <v>15000</v>
      </c>
      <c r="R981" s="18">
        <f t="shared" si="637"/>
        <v>0</v>
      </c>
      <c r="S981" s="18">
        <f t="shared" si="637"/>
        <v>0</v>
      </c>
      <c r="T981" s="27">
        <f t="shared" si="637"/>
        <v>10000</v>
      </c>
      <c r="U981" s="27">
        <f t="shared" si="637"/>
        <v>7253.21</v>
      </c>
      <c r="V981" s="18">
        <f t="shared" si="637"/>
        <v>10000</v>
      </c>
      <c r="W981" s="18">
        <f t="shared" si="637"/>
        <v>10000</v>
      </c>
      <c r="X981" s="18">
        <f t="shared" si="637"/>
        <v>10000</v>
      </c>
      <c r="Y981" s="18">
        <f t="shared" si="637"/>
        <v>0</v>
      </c>
      <c r="Z981" s="18">
        <f t="shared" si="611"/>
        <v>0</v>
      </c>
      <c r="AA981" s="18">
        <f t="shared" si="629"/>
        <v>0</v>
      </c>
      <c r="AB981" s="18">
        <f t="shared" si="637"/>
        <v>10000</v>
      </c>
      <c r="AC981" s="18">
        <f t="shared" si="637"/>
        <v>2375.85</v>
      </c>
      <c r="AD981" s="18">
        <f t="shared" si="609"/>
        <v>23.758499999999998</v>
      </c>
      <c r="AE981" s="18">
        <f t="shared" si="619"/>
        <v>8000</v>
      </c>
      <c r="AF981" s="18">
        <f t="shared" si="637"/>
        <v>18000</v>
      </c>
      <c r="AG981" s="18">
        <f t="shared" si="637"/>
        <v>10000</v>
      </c>
      <c r="AH981" s="18">
        <f t="shared" si="637"/>
        <v>10000</v>
      </c>
      <c r="AI981" s="18">
        <f t="shared" si="637"/>
        <v>10000</v>
      </c>
      <c r="AJ981" s="162" t="b">
        <f t="shared" si="633"/>
        <v>1</v>
      </c>
      <c r="AK981" s="162" t="str">
        <f t="shared" si="634"/>
        <v>PRAZNO</v>
      </c>
      <c r="AM981" s="164"/>
    </row>
    <row r="982" spans="1:39" ht="30" x14ac:dyDescent="0.2">
      <c r="B982" s="177"/>
      <c r="C982" s="177"/>
      <c r="D982" s="177">
        <v>352</v>
      </c>
      <c r="E982" s="177"/>
      <c r="F982" s="177"/>
      <c r="G982" s="177"/>
      <c r="H982" s="29" t="s">
        <v>748</v>
      </c>
      <c r="I982" s="18">
        <f t="shared" si="637"/>
        <v>20000</v>
      </c>
      <c r="J982" s="18">
        <f t="shared" si="637"/>
        <v>3278.49</v>
      </c>
      <c r="K982" s="18">
        <f t="shared" si="610"/>
        <v>16.39</v>
      </c>
      <c r="L982" s="18">
        <f t="shared" si="612"/>
        <v>-15332.89</v>
      </c>
      <c r="M982" s="18">
        <f t="shared" si="637"/>
        <v>4667.1099999999997</v>
      </c>
      <c r="N982" s="18">
        <f t="shared" si="637"/>
        <v>15000</v>
      </c>
      <c r="O982" s="18">
        <f t="shared" si="637"/>
        <v>2842.56</v>
      </c>
      <c r="P982" s="26">
        <f t="shared" si="613"/>
        <v>-5000</v>
      </c>
      <c r="Q982" s="18">
        <f t="shared" si="637"/>
        <v>15000</v>
      </c>
      <c r="R982" s="18">
        <f t="shared" si="637"/>
        <v>0</v>
      </c>
      <c r="S982" s="18">
        <f t="shared" si="637"/>
        <v>0</v>
      </c>
      <c r="T982" s="27">
        <f t="shared" si="637"/>
        <v>10000</v>
      </c>
      <c r="U982" s="27">
        <f t="shared" si="637"/>
        <v>7253.21</v>
      </c>
      <c r="V982" s="18">
        <f t="shared" si="637"/>
        <v>10000</v>
      </c>
      <c r="W982" s="18">
        <f t="shared" si="637"/>
        <v>10000</v>
      </c>
      <c r="X982" s="18">
        <f t="shared" si="637"/>
        <v>10000</v>
      </c>
      <c r="Y982" s="18">
        <f t="shared" si="637"/>
        <v>0</v>
      </c>
      <c r="Z982" s="18">
        <f t="shared" si="611"/>
        <v>0</v>
      </c>
      <c r="AA982" s="18">
        <f t="shared" si="629"/>
        <v>0</v>
      </c>
      <c r="AB982" s="18">
        <f t="shared" si="637"/>
        <v>10000</v>
      </c>
      <c r="AC982" s="18">
        <f t="shared" si="637"/>
        <v>2375.85</v>
      </c>
      <c r="AD982" s="18">
        <f t="shared" si="609"/>
        <v>23.758499999999998</v>
      </c>
      <c r="AE982" s="18">
        <f t="shared" si="619"/>
        <v>8000</v>
      </c>
      <c r="AF982" s="18">
        <f t="shared" si="637"/>
        <v>18000</v>
      </c>
      <c r="AG982" s="18">
        <f t="shared" si="637"/>
        <v>10000</v>
      </c>
      <c r="AH982" s="18">
        <f t="shared" si="637"/>
        <v>10000</v>
      </c>
      <c r="AI982" s="18">
        <f t="shared" si="637"/>
        <v>10000</v>
      </c>
      <c r="AJ982" s="162" t="b">
        <f t="shared" si="633"/>
        <v>1</v>
      </c>
      <c r="AK982" s="162" t="str">
        <f t="shared" si="634"/>
        <v>PRAZNO</v>
      </c>
      <c r="AM982" s="164"/>
    </row>
    <row r="983" spans="1:39" ht="15.75" x14ac:dyDescent="0.2">
      <c r="B983" s="177"/>
      <c r="C983" s="177"/>
      <c r="D983" s="177"/>
      <c r="E983" s="177">
        <v>3523</v>
      </c>
      <c r="F983" s="176">
        <v>13</v>
      </c>
      <c r="G983" s="176" t="s">
        <v>424</v>
      </c>
      <c r="H983" s="40" t="s">
        <v>324</v>
      </c>
      <c r="I983" s="18">
        <v>20000</v>
      </c>
      <c r="J983" s="18">
        <v>3278.49</v>
      </c>
      <c r="K983" s="18">
        <f t="shared" si="610"/>
        <v>16.39</v>
      </c>
      <c r="L983" s="18">
        <f t="shared" si="612"/>
        <v>-15332.89</v>
      </c>
      <c r="M983" s="18">
        <v>4667.1099999999997</v>
      </c>
      <c r="N983" s="18">
        <v>15000</v>
      </c>
      <c r="O983" s="18">
        <v>2842.56</v>
      </c>
      <c r="P983" s="26">
        <f t="shared" si="613"/>
        <v>-5000</v>
      </c>
      <c r="Q983" s="18">
        <v>15000</v>
      </c>
      <c r="R983" s="18">
        <v>0</v>
      </c>
      <c r="S983" s="18">
        <v>0</v>
      </c>
      <c r="T983" s="27">
        <v>10000</v>
      </c>
      <c r="U983" s="27">
        <v>7253.21</v>
      </c>
      <c r="V983" s="18">
        <v>10000</v>
      </c>
      <c r="W983" s="18">
        <v>10000</v>
      </c>
      <c r="X983" s="18">
        <v>10000</v>
      </c>
      <c r="Y983" s="18">
        <v>0</v>
      </c>
      <c r="Z983" s="18">
        <f t="shared" si="611"/>
        <v>0</v>
      </c>
      <c r="AA983" s="18">
        <f t="shared" si="629"/>
        <v>0</v>
      </c>
      <c r="AB983" s="18">
        <v>10000</v>
      </c>
      <c r="AC983" s="18">
        <v>2375.85</v>
      </c>
      <c r="AD983" s="18">
        <f t="shared" si="609"/>
        <v>23.758499999999998</v>
      </c>
      <c r="AE983" s="18">
        <f t="shared" si="619"/>
        <v>8000</v>
      </c>
      <c r="AF983" s="18">
        <v>18000</v>
      </c>
      <c r="AG983" s="18">
        <v>10000</v>
      </c>
      <c r="AH983" s="18">
        <v>10000</v>
      </c>
      <c r="AI983" s="18">
        <v>10000</v>
      </c>
      <c r="AJ983" s="162" t="b">
        <f t="shared" si="633"/>
        <v>0</v>
      </c>
      <c r="AK983" s="162" t="str">
        <f t="shared" si="634"/>
        <v>PUNO</v>
      </c>
      <c r="AM983" s="164"/>
    </row>
    <row r="984" spans="1:39" s="171" customFormat="1" ht="28.5" customHeight="1" x14ac:dyDescent="0.2">
      <c r="A984" s="259"/>
      <c r="B984" s="168"/>
      <c r="C984" s="168"/>
      <c r="D984" s="168"/>
      <c r="E984" s="168"/>
      <c r="F984" s="168"/>
      <c r="G984" s="168"/>
      <c r="H984" s="31" t="s">
        <v>833</v>
      </c>
      <c r="I984" s="169">
        <f t="shared" ref="I984:AI987" si="638">I985</f>
        <v>0</v>
      </c>
      <c r="J984" s="169">
        <f t="shared" si="638"/>
        <v>0</v>
      </c>
      <c r="K984" s="169" t="e">
        <f t="shared" si="610"/>
        <v>#DIV/0!</v>
      </c>
      <c r="L984" s="169">
        <f t="shared" si="612"/>
        <v>0</v>
      </c>
      <c r="M984" s="19">
        <f t="shared" si="638"/>
        <v>0</v>
      </c>
      <c r="N984" s="19">
        <f t="shared" si="638"/>
        <v>0</v>
      </c>
      <c r="O984" s="19">
        <f t="shared" si="638"/>
        <v>0</v>
      </c>
      <c r="P984" s="26">
        <f t="shared" si="613"/>
        <v>0</v>
      </c>
      <c r="Q984" s="19">
        <f t="shared" si="638"/>
        <v>0</v>
      </c>
      <c r="R984" s="19">
        <f t="shared" si="638"/>
        <v>0</v>
      </c>
      <c r="S984" s="19">
        <f t="shared" si="638"/>
        <v>0</v>
      </c>
      <c r="T984" s="53">
        <f t="shared" si="638"/>
        <v>0</v>
      </c>
      <c r="U984" s="53">
        <f t="shared" si="638"/>
        <v>0</v>
      </c>
      <c r="V984" s="19">
        <f t="shared" si="638"/>
        <v>0</v>
      </c>
      <c r="W984" s="19">
        <f t="shared" si="638"/>
        <v>0</v>
      </c>
      <c r="X984" s="19">
        <f t="shared" si="638"/>
        <v>0</v>
      </c>
      <c r="Y984" s="19">
        <f t="shared" si="638"/>
        <v>0</v>
      </c>
      <c r="Z984" s="18" t="e">
        <f t="shared" si="611"/>
        <v>#DIV/0!</v>
      </c>
      <c r="AA984" s="19">
        <f t="shared" si="629"/>
        <v>0</v>
      </c>
      <c r="AB984" s="19">
        <f t="shared" si="638"/>
        <v>0</v>
      </c>
      <c r="AC984" s="19">
        <f t="shared" si="638"/>
        <v>0</v>
      </c>
      <c r="AD984" s="19" t="e">
        <f t="shared" si="609"/>
        <v>#DIV/0!</v>
      </c>
      <c r="AE984" s="19">
        <f t="shared" si="619"/>
        <v>0</v>
      </c>
      <c r="AF984" s="19">
        <f t="shared" si="638"/>
        <v>0</v>
      </c>
      <c r="AG984" s="19">
        <f t="shared" si="638"/>
        <v>0</v>
      </c>
      <c r="AH984" s="19">
        <f t="shared" si="638"/>
        <v>0</v>
      </c>
      <c r="AI984" s="19">
        <f t="shared" si="638"/>
        <v>0</v>
      </c>
      <c r="AJ984" s="162" t="b">
        <f t="shared" si="633"/>
        <v>1</v>
      </c>
      <c r="AK984" s="162" t="str">
        <f t="shared" si="634"/>
        <v>PRAZNO</v>
      </c>
      <c r="AL984" s="170"/>
      <c r="AM984" s="164"/>
    </row>
    <row r="985" spans="1:39" s="174" customFormat="1" ht="15.75" x14ac:dyDescent="0.2">
      <c r="A985" s="259"/>
      <c r="B985" s="172">
        <v>3</v>
      </c>
      <c r="C985" s="172"/>
      <c r="D985" s="172"/>
      <c r="E985" s="172"/>
      <c r="F985" s="172"/>
      <c r="G985" s="172"/>
      <c r="H985" s="14" t="s">
        <v>524</v>
      </c>
      <c r="I985" s="20">
        <f t="shared" si="638"/>
        <v>0</v>
      </c>
      <c r="J985" s="20">
        <f t="shared" si="638"/>
        <v>0</v>
      </c>
      <c r="K985" s="20" t="e">
        <f t="shared" si="610"/>
        <v>#DIV/0!</v>
      </c>
      <c r="L985" s="20">
        <f t="shared" si="612"/>
        <v>0</v>
      </c>
      <c r="M985" s="20">
        <f t="shared" si="638"/>
        <v>0</v>
      </c>
      <c r="N985" s="20">
        <f t="shared" si="638"/>
        <v>0</v>
      </c>
      <c r="O985" s="20">
        <f t="shared" si="638"/>
        <v>0</v>
      </c>
      <c r="P985" s="26">
        <f t="shared" si="613"/>
        <v>0</v>
      </c>
      <c r="Q985" s="20">
        <f t="shared" si="638"/>
        <v>0</v>
      </c>
      <c r="R985" s="20">
        <f t="shared" si="638"/>
        <v>0</v>
      </c>
      <c r="S985" s="20">
        <f t="shared" si="638"/>
        <v>0</v>
      </c>
      <c r="T985" s="55">
        <f t="shared" si="638"/>
        <v>0</v>
      </c>
      <c r="U985" s="55">
        <f t="shared" si="638"/>
        <v>0</v>
      </c>
      <c r="V985" s="20">
        <f t="shared" si="638"/>
        <v>0</v>
      </c>
      <c r="W985" s="20">
        <f t="shared" si="638"/>
        <v>0</v>
      </c>
      <c r="X985" s="20">
        <f t="shared" si="638"/>
        <v>0</v>
      </c>
      <c r="Y985" s="20">
        <f t="shared" si="638"/>
        <v>0</v>
      </c>
      <c r="Z985" s="18" t="e">
        <f t="shared" si="611"/>
        <v>#DIV/0!</v>
      </c>
      <c r="AA985" s="20">
        <f t="shared" si="629"/>
        <v>0</v>
      </c>
      <c r="AB985" s="20">
        <f t="shared" si="638"/>
        <v>0</v>
      </c>
      <c r="AC985" s="20">
        <f t="shared" si="638"/>
        <v>0</v>
      </c>
      <c r="AD985" s="20" t="e">
        <f t="shared" si="609"/>
        <v>#DIV/0!</v>
      </c>
      <c r="AE985" s="20">
        <f t="shared" si="619"/>
        <v>0</v>
      </c>
      <c r="AF985" s="20">
        <f t="shared" si="638"/>
        <v>0</v>
      </c>
      <c r="AG985" s="20">
        <f t="shared" si="638"/>
        <v>0</v>
      </c>
      <c r="AH985" s="20">
        <f t="shared" si="638"/>
        <v>0</v>
      </c>
      <c r="AI985" s="20">
        <f t="shared" si="638"/>
        <v>0</v>
      </c>
      <c r="AJ985" s="162" t="b">
        <f t="shared" si="633"/>
        <v>1</v>
      </c>
      <c r="AK985" s="162" t="str">
        <f t="shared" si="634"/>
        <v>PRAZNO</v>
      </c>
      <c r="AL985" s="173"/>
      <c r="AM985" s="164"/>
    </row>
    <row r="986" spans="1:39" ht="15.75" x14ac:dyDescent="0.2">
      <c r="B986" s="177"/>
      <c r="C986" s="177">
        <v>35</v>
      </c>
      <c r="D986" s="177"/>
      <c r="E986" s="177"/>
      <c r="F986" s="177"/>
      <c r="G986" s="177"/>
      <c r="H986" s="16" t="s">
        <v>749</v>
      </c>
      <c r="I986" s="18">
        <f t="shared" si="638"/>
        <v>0</v>
      </c>
      <c r="J986" s="18">
        <f t="shared" si="638"/>
        <v>0</v>
      </c>
      <c r="K986" s="18" t="e">
        <f t="shared" si="610"/>
        <v>#DIV/0!</v>
      </c>
      <c r="L986" s="18">
        <f t="shared" si="612"/>
        <v>0</v>
      </c>
      <c r="M986" s="18">
        <f t="shared" si="638"/>
        <v>0</v>
      </c>
      <c r="N986" s="18">
        <f t="shared" si="638"/>
        <v>0</v>
      </c>
      <c r="O986" s="18">
        <f t="shared" si="638"/>
        <v>0</v>
      </c>
      <c r="P986" s="26">
        <f t="shared" si="613"/>
        <v>0</v>
      </c>
      <c r="Q986" s="18">
        <f t="shared" si="638"/>
        <v>0</v>
      </c>
      <c r="R986" s="18">
        <f t="shared" si="638"/>
        <v>0</v>
      </c>
      <c r="S986" s="18">
        <f t="shared" si="638"/>
        <v>0</v>
      </c>
      <c r="T986" s="27">
        <f t="shared" si="638"/>
        <v>0</v>
      </c>
      <c r="U986" s="27">
        <f t="shared" si="638"/>
        <v>0</v>
      </c>
      <c r="V986" s="18">
        <f t="shared" si="638"/>
        <v>0</v>
      </c>
      <c r="W986" s="18">
        <f t="shared" si="638"/>
        <v>0</v>
      </c>
      <c r="X986" s="18">
        <f t="shared" si="638"/>
        <v>0</v>
      </c>
      <c r="Y986" s="18">
        <f t="shared" si="638"/>
        <v>0</v>
      </c>
      <c r="Z986" s="18" t="e">
        <f t="shared" si="611"/>
        <v>#DIV/0!</v>
      </c>
      <c r="AA986" s="18">
        <f t="shared" si="629"/>
        <v>0</v>
      </c>
      <c r="AB986" s="18">
        <f t="shared" si="638"/>
        <v>0</v>
      </c>
      <c r="AC986" s="18">
        <f t="shared" si="638"/>
        <v>0</v>
      </c>
      <c r="AD986" s="18" t="e">
        <f t="shared" ref="AD986:AD1049" si="639">AC986/AB986*100</f>
        <v>#DIV/0!</v>
      </c>
      <c r="AE986" s="18">
        <f t="shared" si="619"/>
        <v>0</v>
      </c>
      <c r="AF986" s="18">
        <f t="shared" si="638"/>
        <v>0</v>
      </c>
      <c r="AG986" s="18">
        <f t="shared" si="638"/>
        <v>0</v>
      </c>
      <c r="AH986" s="18">
        <f t="shared" si="638"/>
        <v>0</v>
      </c>
      <c r="AI986" s="18">
        <f t="shared" si="638"/>
        <v>0</v>
      </c>
      <c r="AJ986" s="162" t="b">
        <f t="shared" si="633"/>
        <v>1</v>
      </c>
      <c r="AK986" s="162" t="str">
        <f t="shared" si="634"/>
        <v>PRAZNO</v>
      </c>
      <c r="AM986" s="164"/>
    </row>
    <row r="987" spans="1:39" ht="30" x14ac:dyDescent="0.2">
      <c r="B987" s="177"/>
      <c r="C987" s="177"/>
      <c r="D987" s="177">
        <v>352</v>
      </c>
      <c r="E987" s="177"/>
      <c r="F987" s="177"/>
      <c r="G987" s="177"/>
      <c r="H987" s="29" t="s">
        <v>748</v>
      </c>
      <c r="I987" s="27">
        <f>I988</f>
        <v>0</v>
      </c>
      <c r="J987" s="27">
        <f>J988</f>
        <v>0</v>
      </c>
      <c r="K987" s="18" t="e">
        <f>ROUND(J987/I987*100,2)</f>
        <v>#DIV/0!</v>
      </c>
      <c r="L987" s="27">
        <f t="shared" si="612"/>
        <v>0</v>
      </c>
      <c r="M987" s="27">
        <f>M988</f>
        <v>0</v>
      </c>
      <c r="N987" s="27">
        <f>N988</f>
        <v>0</v>
      </c>
      <c r="O987" s="27">
        <f>O988</f>
        <v>0</v>
      </c>
      <c r="P987" s="26">
        <f t="shared" si="613"/>
        <v>0</v>
      </c>
      <c r="Q987" s="27">
        <f t="shared" si="638"/>
        <v>0</v>
      </c>
      <c r="R987" s="27">
        <f t="shared" si="638"/>
        <v>0</v>
      </c>
      <c r="S987" s="27">
        <f t="shared" si="638"/>
        <v>0</v>
      </c>
      <c r="T987" s="27">
        <f t="shared" si="638"/>
        <v>0</v>
      </c>
      <c r="U987" s="27">
        <f t="shared" si="638"/>
        <v>0</v>
      </c>
      <c r="V987" s="27">
        <f t="shared" si="638"/>
        <v>0</v>
      </c>
      <c r="W987" s="27">
        <f t="shared" si="638"/>
        <v>0</v>
      </c>
      <c r="X987" s="27">
        <f t="shared" si="638"/>
        <v>0</v>
      </c>
      <c r="Y987" s="27">
        <f t="shared" si="638"/>
        <v>0</v>
      </c>
      <c r="Z987" s="18" t="e">
        <f t="shared" ref="Z987:Z1035" si="640">ROUND(Y987/V987*100,2)</f>
        <v>#DIV/0!</v>
      </c>
      <c r="AA987" s="27">
        <f t="shared" si="629"/>
        <v>0</v>
      </c>
      <c r="AB987" s="27">
        <f t="shared" si="638"/>
        <v>0</v>
      </c>
      <c r="AC987" s="27">
        <f t="shared" si="638"/>
        <v>0</v>
      </c>
      <c r="AD987" s="27" t="e">
        <f t="shared" si="639"/>
        <v>#DIV/0!</v>
      </c>
      <c r="AE987" s="27">
        <f t="shared" si="619"/>
        <v>0</v>
      </c>
      <c r="AF987" s="27">
        <f t="shared" si="638"/>
        <v>0</v>
      </c>
      <c r="AG987" s="27">
        <f t="shared" si="638"/>
        <v>0</v>
      </c>
      <c r="AH987" s="27">
        <f t="shared" si="638"/>
        <v>0</v>
      </c>
      <c r="AI987" s="27">
        <f t="shared" si="638"/>
        <v>0</v>
      </c>
      <c r="AJ987" s="162" t="b">
        <f t="shared" si="633"/>
        <v>1</v>
      </c>
      <c r="AK987" s="162" t="str">
        <f t="shared" si="634"/>
        <v>PRAZNO</v>
      </c>
      <c r="AM987" s="164"/>
    </row>
    <row r="988" spans="1:39" ht="15.75" x14ac:dyDescent="0.2">
      <c r="B988" s="177"/>
      <c r="C988" s="177"/>
      <c r="D988" s="177"/>
      <c r="E988" s="177">
        <v>3523</v>
      </c>
      <c r="F988" s="176" t="s">
        <v>527</v>
      </c>
      <c r="G988" s="176"/>
      <c r="H988" s="40" t="s">
        <v>324</v>
      </c>
      <c r="I988" s="18"/>
      <c r="J988" s="18"/>
      <c r="K988" s="18" t="e">
        <f>ROUND(J988/I988*100,2)</f>
        <v>#DIV/0!</v>
      </c>
      <c r="L988" s="18">
        <f t="shared" ref="L988:L994" si="641">M988-I988</f>
        <v>0</v>
      </c>
      <c r="M988" s="18"/>
      <c r="N988" s="18"/>
      <c r="O988" s="18"/>
      <c r="P988" s="26">
        <f t="shared" si="613"/>
        <v>0</v>
      </c>
      <c r="Q988" s="18"/>
      <c r="R988" s="18"/>
      <c r="S988" s="18"/>
      <c r="T988" s="27"/>
      <c r="U988" s="27"/>
      <c r="V988" s="18"/>
      <c r="W988" s="18"/>
      <c r="X988" s="18"/>
      <c r="Y988" s="18"/>
      <c r="Z988" s="18" t="e">
        <f t="shared" si="640"/>
        <v>#DIV/0!</v>
      </c>
      <c r="AA988" s="18">
        <f t="shared" si="629"/>
        <v>0</v>
      </c>
      <c r="AB988" s="18"/>
      <c r="AC988" s="18"/>
      <c r="AD988" s="18" t="e">
        <f t="shared" si="639"/>
        <v>#DIV/0!</v>
      </c>
      <c r="AE988" s="18">
        <f t="shared" si="619"/>
        <v>0</v>
      </c>
      <c r="AF988" s="18"/>
      <c r="AG988" s="18"/>
      <c r="AH988" s="18"/>
      <c r="AI988" s="18"/>
      <c r="AJ988" s="162" t="b">
        <f t="shared" si="633"/>
        <v>0</v>
      </c>
      <c r="AK988" s="162" t="str">
        <f t="shared" si="634"/>
        <v>PUNO</v>
      </c>
      <c r="AM988" s="164"/>
    </row>
    <row r="989" spans="1:39" s="171" customFormat="1" ht="39.75" customHeight="1" x14ac:dyDescent="0.2">
      <c r="A989" s="259"/>
      <c r="B989" s="168"/>
      <c r="C989" s="168"/>
      <c r="D989" s="168"/>
      <c r="E989" s="168"/>
      <c r="F989" s="168"/>
      <c r="G989" s="168"/>
      <c r="H989" s="31" t="s">
        <v>24</v>
      </c>
      <c r="I989" s="169">
        <f>I991</f>
        <v>30000</v>
      </c>
      <c r="J989" s="169">
        <f>J991</f>
        <v>0</v>
      </c>
      <c r="K989" s="169">
        <f>ROUND(J989/I989*100,2)</f>
        <v>0</v>
      </c>
      <c r="L989" s="169">
        <f t="shared" si="641"/>
        <v>-720.09999999999854</v>
      </c>
      <c r="M989" s="19">
        <f>M991</f>
        <v>29279.9</v>
      </c>
      <c r="N989" s="19">
        <f>N991</f>
        <v>30000</v>
      </c>
      <c r="O989" s="19">
        <f>O991</f>
        <v>0</v>
      </c>
      <c r="P989" s="303">
        <f t="shared" si="613"/>
        <v>0</v>
      </c>
      <c r="Q989" s="19">
        <f t="shared" ref="Q989:X989" si="642">Q991</f>
        <v>30000</v>
      </c>
      <c r="R989" s="19">
        <f t="shared" si="642"/>
        <v>40000</v>
      </c>
      <c r="S989" s="19">
        <f t="shared" si="642"/>
        <v>45000</v>
      </c>
      <c r="T989" s="53">
        <f t="shared" si="642"/>
        <v>30000</v>
      </c>
      <c r="U989" s="53">
        <f>U991</f>
        <v>29756</v>
      </c>
      <c r="V989" s="19">
        <f t="shared" si="642"/>
        <v>30000</v>
      </c>
      <c r="W989" s="19">
        <f t="shared" si="642"/>
        <v>30000</v>
      </c>
      <c r="X989" s="19">
        <f t="shared" si="642"/>
        <v>30000</v>
      </c>
      <c r="Y989" s="19">
        <f>Y991</f>
        <v>0</v>
      </c>
      <c r="Z989" s="242">
        <f t="shared" si="640"/>
        <v>0</v>
      </c>
      <c r="AA989" s="19">
        <f t="shared" si="629"/>
        <v>-30000</v>
      </c>
      <c r="AB989" s="19">
        <f>AB991</f>
        <v>0</v>
      </c>
      <c r="AC989" s="19">
        <f>AC991</f>
        <v>0</v>
      </c>
      <c r="AD989" s="19" t="e">
        <f t="shared" si="639"/>
        <v>#DIV/0!</v>
      </c>
      <c r="AE989" s="19">
        <f t="shared" si="619"/>
        <v>0</v>
      </c>
      <c r="AF989" s="19">
        <f>AF991</f>
        <v>0</v>
      </c>
      <c r="AG989" s="19">
        <f>AG991</f>
        <v>0</v>
      </c>
      <c r="AH989" s="19">
        <f>AH991</f>
        <v>0</v>
      </c>
      <c r="AI989" s="19">
        <f>AI991</f>
        <v>0</v>
      </c>
      <c r="AJ989" s="162" t="b">
        <f t="shared" si="633"/>
        <v>1</v>
      </c>
      <c r="AK989" s="162" t="str">
        <f t="shared" si="634"/>
        <v>PRAZNO</v>
      </c>
      <c r="AL989" s="170"/>
      <c r="AM989" s="164"/>
    </row>
    <row r="990" spans="1:39" s="264" customFormat="1" ht="18" customHeight="1" x14ac:dyDescent="0.2">
      <c r="A990" s="259"/>
      <c r="B990" s="260"/>
      <c r="C990" s="260"/>
      <c r="D990" s="260"/>
      <c r="E990" s="260"/>
      <c r="F990" s="260"/>
      <c r="G990" s="260"/>
      <c r="H990" s="471" t="s">
        <v>824</v>
      </c>
      <c r="I990" s="181"/>
      <c r="J990" s="181"/>
      <c r="K990" s="181"/>
      <c r="L990" s="181"/>
      <c r="M990" s="262"/>
      <c r="N990" s="262"/>
      <c r="O990" s="262"/>
      <c r="P990" s="445"/>
      <c r="Q990" s="262"/>
      <c r="R990" s="262"/>
      <c r="S990" s="262"/>
      <c r="T990" s="342"/>
      <c r="U990" s="342"/>
      <c r="V990" s="262">
        <f t="shared" ref="V990:Y991" si="643">V991</f>
        <v>30000</v>
      </c>
      <c r="W990" s="262">
        <f t="shared" si="643"/>
        <v>30000</v>
      </c>
      <c r="X990" s="262">
        <f t="shared" si="643"/>
        <v>30000</v>
      </c>
      <c r="Y990" s="262">
        <f t="shared" si="643"/>
        <v>0</v>
      </c>
      <c r="Z990" s="18">
        <f t="shared" si="640"/>
        <v>0</v>
      </c>
      <c r="AA990" s="262">
        <f t="shared" si="629"/>
        <v>-30000</v>
      </c>
      <c r="AB990" s="262">
        <f t="shared" ref="AB990:AI991" si="644">AB991</f>
        <v>0</v>
      </c>
      <c r="AC990" s="262">
        <f t="shared" si="644"/>
        <v>0</v>
      </c>
      <c r="AD990" s="262" t="e">
        <f t="shared" si="639"/>
        <v>#DIV/0!</v>
      </c>
      <c r="AE990" s="262">
        <f t="shared" si="619"/>
        <v>0</v>
      </c>
      <c r="AF990" s="262">
        <f t="shared" si="644"/>
        <v>0</v>
      </c>
      <c r="AG990" s="262">
        <f t="shared" si="644"/>
        <v>0</v>
      </c>
      <c r="AH990" s="262">
        <f t="shared" si="644"/>
        <v>0</v>
      </c>
      <c r="AI990" s="262">
        <f t="shared" si="644"/>
        <v>0</v>
      </c>
      <c r="AJ990" s="162" t="b">
        <f t="shared" si="633"/>
        <v>1</v>
      </c>
      <c r="AK990" s="162" t="str">
        <f t="shared" si="634"/>
        <v>PRAZNO</v>
      </c>
      <c r="AL990" s="263"/>
    </row>
    <row r="991" spans="1:39" s="174" customFormat="1" ht="15.75" customHeight="1" x14ac:dyDescent="0.2">
      <c r="A991" s="259"/>
      <c r="B991" s="172">
        <v>3</v>
      </c>
      <c r="C991" s="172"/>
      <c r="D991" s="172"/>
      <c r="E991" s="172"/>
      <c r="F991" s="172"/>
      <c r="G991" s="172"/>
      <c r="H991" s="14" t="s">
        <v>524</v>
      </c>
      <c r="I991" s="184">
        <f>I992</f>
        <v>30000</v>
      </c>
      <c r="J991" s="184">
        <f>J992</f>
        <v>0</v>
      </c>
      <c r="K991" s="184">
        <f>ROUND(J991/I991*100,2)</f>
        <v>0</v>
      </c>
      <c r="L991" s="184">
        <f t="shared" si="641"/>
        <v>-720.09999999999854</v>
      </c>
      <c r="M991" s="184">
        <f>M992</f>
        <v>29279.9</v>
      </c>
      <c r="N991" s="184">
        <f>N992</f>
        <v>30000</v>
      </c>
      <c r="O991" s="184">
        <f>O992</f>
        <v>0</v>
      </c>
      <c r="P991" s="55">
        <f t="shared" si="613"/>
        <v>0</v>
      </c>
      <c r="Q991" s="184">
        <f>Q992</f>
        <v>30000</v>
      </c>
      <c r="R991" s="184">
        <f>R992</f>
        <v>40000</v>
      </c>
      <c r="S991" s="184">
        <f>S992</f>
        <v>45000</v>
      </c>
      <c r="T991" s="185">
        <f>T992</f>
        <v>30000</v>
      </c>
      <c r="U991" s="185">
        <f>U992</f>
        <v>29756</v>
      </c>
      <c r="V991" s="184">
        <f t="shared" si="643"/>
        <v>30000</v>
      </c>
      <c r="W991" s="184">
        <f t="shared" si="643"/>
        <v>30000</v>
      </c>
      <c r="X991" s="184">
        <f t="shared" si="643"/>
        <v>30000</v>
      </c>
      <c r="Y991" s="184">
        <f t="shared" si="643"/>
        <v>0</v>
      </c>
      <c r="Z991" s="242">
        <f t="shared" si="640"/>
        <v>0</v>
      </c>
      <c r="AA991" s="184">
        <f t="shared" si="629"/>
        <v>-30000</v>
      </c>
      <c r="AB991" s="184">
        <f t="shared" si="644"/>
        <v>0</v>
      </c>
      <c r="AC991" s="184">
        <f t="shared" si="644"/>
        <v>0</v>
      </c>
      <c r="AD991" s="184" t="e">
        <f t="shared" si="639"/>
        <v>#DIV/0!</v>
      </c>
      <c r="AE991" s="184">
        <f t="shared" si="619"/>
        <v>0</v>
      </c>
      <c r="AF991" s="184">
        <f t="shared" si="644"/>
        <v>0</v>
      </c>
      <c r="AG991" s="184">
        <f t="shared" si="644"/>
        <v>0</v>
      </c>
      <c r="AH991" s="184">
        <f t="shared" si="644"/>
        <v>0</v>
      </c>
      <c r="AI991" s="184">
        <f t="shared" si="644"/>
        <v>0</v>
      </c>
      <c r="AJ991" s="162" t="b">
        <f t="shared" si="633"/>
        <v>1</v>
      </c>
      <c r="AK991" s="162" t="str">
        <f t="shared" si="634"/>
        <v>PRAZNO</v>
      </c>
      <c r="AL991" s="173"/>
      <c r="AM991" s="164"/>
    </row>
    <row r="992" spans="1:39" ht="15.75" customHeight="1" x14ac:dyDescent="0.2">
      <c r="B992" s="177"/>
      <c r="C992" s="177">
        <v>35</v>
      </c>
      <c r="D992" s="177"/>
      <c r="E992" s="177"/>
      <c r="F992" s="176"/>
      <c r="G992" s="176"/>
      <c r="H992" s="16" t="s">
        <v>747</v>
      </c>
      <c r="I992" s="18">
        <f t="shared" ref="I992:AI993" si="645">I993</f>
        <v>30000</v>
      </c>
      <c r="J992" s="18">
        <f t="shared" si="645"/>
        <v>0</v>
      </c>
      <c r="K992" s="18">
        <f>ROUND(J992/I992*100,2)</f>
        <v>0</v>
      </c>
      <c r="L992" s="18">
        <f t="shared" si="641"/>
        <v>-720.09999999999854</v>
      </c>
      <c r="M992" s="18">
        <f t="shared" si="645"/>
        <v>29279.9</v>
      </c>
      <c r="N992" s="18">
        <f t="shared" si="645"/>
        <v>30000</v>
      </c>
      <c r="O992" s="18">
        <f t="shared" si="645"/>
        <v>0</v>
      </c>
      <c r="P992" s="26">
        <f t="shared" si="613"/>
        <v>0</v>
      </c>
      <c r="Q992" s="18">
        <f t="shared" si="645"/>
        <v>30000</v>
      </c>
      <c r="R992" s="18">
        <f t="shared" si="645"/>
        <v>40000</v>
      </c>
      <c r="S992" s="18">
        <f t="shared" si="645"/>
        <v>45000</v>
      </c>
      <c r="T992" s="27">
        <f t="shared" si="645"/>
        <v>30000</v>
      </c>
      <c r="U992" s="27">
        <f t="shared" si="645"/>
        <v>29756</v>
      </c>
      <c r="V992" s="18">
        <f t="shared" si="645"/>
        <v>30000</v>
      </c>
      <c r="W992" s="18">
        <f t="shared" si="645"/>
        <v>30000</v>
      </c>
      <c r="X992" s="18">
        <f t="shared" si="645"/>
        <v>30000</v>
      </c>
      <c r="Y992" s="18">
        <f t="shared" si="645"/>
        <v>0</v>
      </c>
      <c r="Z992" s="18">
        <f t="shared" si="640"/>
        <v>0</v>
      </c>
      <c r="AA992" s="18">
        <f t="shared" si="629"/>
        <v>-30000</v>
      </c>
      <c r="AB992" s="18">
        <f t="shared" si="645"/>
        <v>0</v>
      </c>
      <c r="AC992" s="18">
        <f t="shared" si="645"/>
        <v>0</v>
      </c>
      <c r="AD992" s="18" t="e">
        <f t="shared" si="639"/>
        <v>#DIV/0!</v>
      </c>
      <c r="AE992" s="18">
        <f t="shared" si="619"/>
        <v>0</v>
      </c>
      <c r="AF992" s="18">
        <f t="shared" si="645"/>
        <v>0</v>
      </c>
      <c r="AG992" s="18">
        <f t="shared" si="645"/>
        <v>0</v>
      </c>
      <c r="AH992" s="18">
        <f t="shared" si="645"/>
        <v>0</v>
      </c>
      <c r="AI992" s="18">
        <f t="shared" si="645"/>
        <v>0</v>
      </c>
      <c r="AJ992" s="162" t="b">
        <f t="shared" si="633"/>
        <v>1</v>
      </c>
      <c r="AK992" s="162" t="str">
        <f t="shared" si="634"/>
        <v>PRAZNO</v>
      </c>
      <c r="AM992" s="164"/>
    </row>
    <row r="993" spans="1:39" ht="31.5" customHeight="1" x14ac:dyDescent="0.2">
      <c r="B993" s="177"/>
      <c r="C993" s="177"/>
      <c r="D993" s="177">
        <v>352</v>
      </c>
      <c r="E993" s="177"/>
      <c r="F993" s="176"/>
      <c r="G993" s="176"/>
      <c r="H993" s="29" t="s">
        <v>748</v>
      </c>
      <c r="I993" s="18">
        <f t="shared" si="645"/>
        <v>30000</v>
      </c>
      <c r="J993" s="18">
        <f t="shared" si="645"/>
        <v>0</v>
      </c>
      <c r="K993" s="18">
        <f>ROUND(J993/I993*100,2)</f>
        <v>0</v>
      </c>
      <c r="L993" s="18">
        <f t="shared" si="641"/>
        <v>-720.09999999999854</v>
      </c>
      <c r="M993" s="18">
        <f t="shared" si="645"/>
        <v>29279.9</v>
      </c>
      <c r="N993" s="18">
        <f t="shared" si="645"/>
        <v>30000</v>
      </c>
      <c r="O993" s="18">
        <f t="shared" si="645"/>
        <v>0</v>
      </c>
      <c r="P993" s="26">
        <f t="shared" si="613"/>
        <v>0</v>
      </c>
      <c r="Q993" s="18">
        <f t="shared" si="645"/>
        <v>30000</v>
      </c>
      <c r="R993" s="18">
        <f t="shared" si="645"/>
        <v>40000</v>
      </c>
      <c r="S993" s="18">
        <f t="shared" si="645"/>
        <v>45000</v>
      </c>
      <c r="T993" s="27">
        <f t="shared" si="645"/>
        <v>30000</v>
      </c>
      <c r="U993" s="27">
        <f t="shared" si="645"/>
        <v>29756</v>
      </c>
      <c r="V993" s="18">
        <f t="shared" si="645"/>
        <v>30000</v>
      </c>
      <c r="W993" s="18">
        <f t="shared" si="645"/>
        <v>30000</v>
      </c>
      <c r="X993" s="18">
        <f t="shared" si="645"/>
        <v>30000</v>
      </c>
      <c r="Y993" s="18">
        <f t="shared" si="645"/>
        <v>0</v>
      </c>
      <c r="Z993" s="18">
        <f t="shared" si="640"/>
        <v>0</v>
      </c>
      <c r="AA993" s="18">
        <f t="shared" si="629"/>
        <v>-30000</v>
      </c>
      <c r="AB993" s="18">
        <f t="shared" si="645"/>
        <v>0</v>
      </c>
      <c r="AC993" s="18">
        <f t="shared" si="645"/>
        <v>0</v>
      </c>
      <c r="AD993" s="18" t="e">
        <f t="shared" si="639"/>
        <v>#DIV/0!</v>
      </c>
      <c r="AE993" s="18">
        <f t="shared" si="619"/>
        <v>0</v>
      </c>
      <c r="AF993" s="18">
        <f t="shared" si="645"/>
        <v>0</v>
      </c>
      <c r="AG993" s="18">
        <f t="shared" si="645"/>
        <v>0</v>
      </c>
      <c r="AH993" s="18">
        <f t="shared" si="645"/>
        <v>0</v>
      </c>
      <c r="AI993" s="18">
        <f t="shared" si="645"/>
        <v>0</v>
      </c>
      <c r="AJ993" s="162" t="b">
        <f t="shared" si="633"/>
        <v>1</v>
      </c>
      <c r="AK993" s="162" t="str">
        <f t="shared" si="634"/>
        <v>PRAZNO</v>
      </c>
      <c r="AM993" s="164"/>
    </row>
    <row r="994" spans="1:39" ht="22.5" customHeight="1" x14ac:dyDescent="0.2">
      <c r="B994" s="177"/>
      <c r="C994" s="177"/>
      <c r="D994" s="177"/>
      <c r="E994" s="177">
        <v>3523</v>
      </c>
      <c r="F994" s="176">
        <v>15</v>
      </c>
      <c r="G994" s="176"/>
      <c r="H994" s="40" t="s">
        <v>324</v>
      </c>
      <c r="I994" s="18">
        <v>30000</v>
      </c>
      <c r="J994" s="18">
        <v>0</v>
      </c>
      <c r="K994" s="18">
        <f>ROUND(J994/I994*100,2)</f>
        <v>0</v>
      </c>
      <c r="L994" s="18">
        <f t="shared" si="641"/>
        <v>-720.09999999999854</v>
      </c>
      <c r="M994" s="18">
        <v>29279.9</v>
      </c>
      <c r="N994" s="18">
        <v>30000</v>
      </c>
      <c r="O994" s="18">
        <v>0</v>
      </c>
      <c r="P994" s="26">
        <f t="shared" ref="P994:P1057" si="646">T994-N994</f>
        <v>0</v>
      </c>
      <c r="Q994" s="18">
        <v>30000</v>
      </c>
      <c r="R994" s="18">
        <v>40000</v>
      </c>
      <c r="S994" s="18">
        <v>45000</v>
      </c>
      <c r="T994" s="27">
        <v>30000</v>
      </c>
      <c r="U994" s="27">
        <v>29756</v>
      </c>
      <c r="V994" s="18">
        <v>30000</v>
      </c>
      <c r="W994" s="18">
        <v>30000</v>
      </c>
      <c r="X994" s="18">
        <v>30000</v>
      </c>
      <c r="Y994" s="18">
        <v>0</v>
      </c>
      <c r="Z994" s="18">
        <f t="shared" si="640"/>
        <v>0</v>
      </c>
      <c r="AA994" s="18">
        <f t="shared" si="629"/>
        <v>-30000</v>
      </c>
      <c r="AB994" s="18">
        <v>0</v>
      </c>
      <c r="AC994" s="18"/>
      <c r="AD994" s="18" t="e">
        <f t="shared" si="639"/>
        <v>#DIV/0!</v>
      </c>
      <c r="AE994" s="18">
        <f t="shared" si="619"/>
        <v>0</v>
      </c>
      <c r="AF994" s="18">
        <v>0</v>
      </c>
      <c r="AG994" s="18">
        <v>0</v>
      </c>
      <c r="AH994" s="18">
        <v>0</v>
      </c>
      <c r="AI994" s="18">
        <v>0</v>
      </c>
      <c r="AJ994" s="162" t="b">
        <f t="shared" si="633"/>
        <v>0</v>
      </c>
      <c r="AK994" s="162" t="str">
        <f t="shared" si="634"/>
        <v>PUNO</v>
      </c>
      <c r="AM994" s="164"/>
    </row>
    <row r="995" spans="1:39" s="171" customFormat="1" ht="36.75" customHeight="1" x14ac:dyDescent="0.2">
      <c r="A995" s="259"/>
      <c r="B995" s="209"/>
      <c r="C995" s="209"/>
      <c r="D995" s="209"/>
      <c r="E995" s="209"/>
      <c r="F995" s="219"/>
      <c r="G995" s="219"/>
      <c r="H995" s="12" t="s">
        <v>796</v>
      </c>
      <c r="I995" s="305">
        <f t="shared" ref="I995:O995" si="647">I997</f>
        <v>0</v>
      </c>
      <c r="J995" s="305">
        <f t="shared" si="647"/>
        <v>0</v>
      </c>
      <c r="K995" s="305">
        <f t="shared" si="647"/>
        <v>0</v>
      </c>
      <c r="L995" s="305">
        <f t="shared" si="647"/>
        <v>0</v>
      </c>
      <c r="M995" s="305">
        <f t="shared" si="647"/>
        <v>0</v>
      </c>
      <c r="N995" s="301">
        <f t="shared" si="647"/>
        <v>0</v>
      </c>
      <c r="O995" s="301">
        <f t="shared" si="647"/>
        <v>0</v>
      </c>
      <c r="P995" s="303">
        <f t="shared" si="646"/>
        <v>0</v>
      </c>
      <c r="Q995" s="242">
        <f t="shared" ref="Q995:X995" si="648">Q997</f>
        <v>0</v>
      </c>
      <c r="R995" s="242">
        <f t="shared" si="648"/>
        <v>60000</v>
      </c>
      <c r="S995" s="242">
        <f t="shared" si="648"/>
        <v>70000</v>
      </c>
      <c r="T995" s="305">
        <f t="shared" si="648"/>
        <v>0</v>
      </c>
      <c r="U995" s="305">
        <f>U997</f>
        <v>0</v>
      </c>
      <c r="V995" s="301">
        <f t="shared" si="648"/>
        <v>30000</v>
      </c>
      <c r="W995" s="301">
        <f t="shared" si="648"/>
        <v>40000</v>
      </c>
      <c r="X995" s="301">
        <f t="shared" si="648"/>
        <v>40000</v>
      </c>
      <c r="Y995" s="301">
        <f>Y997</f>
        <v>0</v>
      </c>
      <c r="Z995" s="301">
        <f t="shared" si="640"/>
        <v>0</v>
      </c>
      <c r="AA995" s="301">
        <f t="shared" si="629"/>
        <v>-30000</v>
      </c>
      <c r="AB995" s="301">
        <f>AB997</f>
        <v>0</v>
      </c>
      <c r="AC995" s="301">
        <f>AC997</f>
        <v>0</v>
      </c>
      <c r="AD995" s="301" t="e">
        <f t="shared" si="639"/>
        <v>#DIV/0!</v>
      </c>
      <c r="AE995" s="301">
        <f t="shared" si="619"/>
        <v>0</v>
      </c>
      <c r="AF995" s="301">
        <f>AF997</f>
        <v>0</v>
      </c>
      <c r="AG995" s="301">
        <f>AG997</f>
        <v>0</v>
      </c>
      <c r="AH995" s="301">
        <f>AH997</f>
        <v>0</v>
      </c>
      <c r="AI995" s="301">
        <f>AI997</f>
        <v>0</v>
      </c>
      <c r="AJ995" s="162" t="b">
        <f t="shared" si="633"/>
        <v>1</v>
      </c>
      <c r="AK995" s="162" t="str">
        <f t="shared" si="634"/>
        <v>PRAZNO</v>
      </c>
      <c r="AL995" s="170"/>
    </row>
    <row r="996" spans="1:39" s="264" customFormat="1" ht="16.5" customHeight="1" x14ac:dyDescent="0.2">
      <c r="A996" s="259"/>
      <c r="B996" s="177"/>
      <c r="C996" s="177"/>
      <c r="D996" s="177"/>
      <c r="E996" s="177"/>
      <c r="F996" s="265"/>
      <c r="G996" s="265"/>
      <c r="H996" s="441" t="s">
        <v>824</v>
      </c>
      <c r="I996" s="430"/>
      <c r="J996" s="430"/>
      <c r="K996" s="430"/>
      <c r="L996" s="430"/>
      <c r="M996" s="430"/>
      <c r="N996" s="462"/>
      <c r="O996" s="462"/>
      <c r="P996" s="445"/>
      <c r="Q996" s="178"/>
      <c r="R996" s="178"/>
      <c r="S996" s="178"/>
      <c r="T996" s="430"/>
      <c r="U996" s="430"/>
      <c r="V996" s="462">
        <f>V997</f>
        <v>30000</v>
      </c>
      <c r="W996" s="462">
        <f>W997</f>
        <v>40000</v>
      </c>
      <c r="X996" s="462">
        <f>X997</f>
        <v>40000</v>
      </c>
      <c r="Y996" s="462">
        <f>Y997</f>
        <v>0</v>
      </c>
      <c r="Z996" s="462">
        <f t="shared" si="640"/>
        <v>0</v>
      </c>
      <c r="AA996" s="462">
        <f t="shared" si="629"/>
        <v>-30000</v>
      </c>
      <c r="AB996" s="462">
        <f t="shared" ref="AB996:AI997" si="649">AB997</f>
        <v>0</v>
      </c>
      <c r="AC996" s="462">
        <f t="shared" si="649"/>
        <v>0</v>
      </c>
      <c r="AD996" s="462" t="e">
        <f t="shared" si="639"/>
        <v>#DIV/0!</v>
      </c>
      <c r="AE996" s="462">
        <f t="shared" si="619"/>
        <v>0</v>
      </c>
      <c r="AF996" s="462">
        <f t="shared" si="649"/>
        <v>0</v>
      </c>
      <c r="AG996" s="462">
        <f t="shared" si="649"/>
        <v>0</v>
      </c>
      <c r="AH996" s="462">
        <f t="shared" si="649"/>
        <v>0</v>
      </c>
      <c r="AI996" s="462">
        <f t="shared" si="649"/>
        <v>0</v>
      </c>
      <c r="AJ996" s="162" t="b">
        <f t="shared" si="633"/>
        <v>1</v>
      </c>
      <c r="AK996" s="162" t="str">
        <f t="shared" si="634"/>
        <v>PRAZNO</v>
      </c>
      <c r="AL996" s="263"/>
    </row>
    <row r="997" spans="1:39" s="174" customFormat="1" ht="19.5" customHeight="1" x14ac:dyDescent="0.2">
      <c r="A997" s="259"/>
      <c r="B997" s="172">
        <v>3</v>
      </c>
      <c r="C997" s="172"/>
      <c r="D997" s="172"/>
      <c r="E997" s="172"/>
      <c r="F997" s="220"/>
      <c r="G997" s="220"/>
      <c r="H997" s="14" t="s">
        <v>524</v>
      </c>
      <c r="I997" s="185">
        <f t="shared" ref="I997:X999" si="650">I998</f>
        <v>0</v>
      </c>
      <c r="J997" s="185">
        <f t="shared" si="650"/>
        <v>0</v>
      </c>
      <c r="K997" s="185">
        <f t="shared" si="650"/>
        <v>0</v>
      </c>
      <c r="L997" s="185">
        <f t="shared" si="650"/>
        <v>0</v>
      </c>
      <c r="M997" s="185">
        <f t="shared" si="650"/>
        <v>0</v>
      </c>
      <c r="N997" s="184">
        <f t="shared" si="650"/>
        <v>0</v>
      </c>
      <c r="O997" s="184">
        <f t="shared" si="650"/>
        <v>0</v>
      </c>
      <c r="P997" s="55">
        <f t="shared" si="646"/>
        <v>0</v>
      </c>
      <c r="Q997" s="184">
        <f t="shared" ref="Q997:X997" si="651">Q998</f>
        <v>0</v>
      </c>
      <c r="R997" s="184">
        <f t="shared" si="651"/>
        <v>60000</v>
      </c>
      <c r="S997" s="184">
        <f t="shared" si="651"/>
        <v>70000</v>
      </c>
      <c r="T997" s="185">
        <f t="shared" si="651"/>
        <v>0</v>
      </c>
      <c r="U997" s="185">
        <f t="shared" si="651"/>
        <v>0</v>
      </c>
      <c r="V997" s="184">
        <f t="shared" si="651"/>
        <v>30000</v>
      </c>
      <c r="W997" s="184">
        <f t="shared" si="651"/>
        <v>40000</v>
      </c>
      <c r="X997" s="184">
        <f t="shared" si="651"/>
        <v>40000</v>
      </c>
      <c r="Y997" s="184">
        <f>Y998</f>
        <v>0</v>
      </c>
      <c r="Z997" s="184">
        <f t="shared" si="640"/>
        <v>0</v>
      </c>
      <c r="AA997" s="184">
        <f t="shared" si="629"/>
        <v>-30000</v>
      </c>
      <c r="AB997" s="184">
        <f t="shared" si="649"/>
        <v>0</v>
      </c>
      <c r="AC997" s="184">
        <f t="shared" si="649"/>
        <v>0</v>
      </c>
      <c r="AD997" s="184" t="e">
        <f t="shared" si="639"/>
        <v>#DIV/0!</v>
      </c>
      <c r="AE997" s="184">
        <f t="shared" si="619"/>
        <v>0</v>
      </c>
      <c r="AF997" s="184">
        <f t="shared" si="649"/>
        <v>0</v>
      </c>
      <c r="AG997" s="184">
        <f t="shared" si="649"/>
        <v>0</v>
      </c>
      <c r="AH997" s="184">
        <f t="shared" si="649"/>
        <v>0</v>
      </c>
      <c r="AI997" s="184">
        <f t="shared" si="649"/>
        <v>0</v>
      </c>
      <c r="AJ997" s="162" t="b">
        <f t="shared" si="633"/>
        <v>1</v>
      </c>
      <c r="AK997" s="162" t="str">
        <f t="shared" si="634"/>
        <v>PRAZNO</v>
      </c>
      <c r="AL997" s="173"/>
    </row>
    <row r="998" spans="1:39" ht="18" customHeight="1" x14ac:dyDescent="0.2">
      <c r="B998" s="177"/>
      <c r="C998" s="177">
        <v>35</v>
      </c>
      <c r="D998" s="177"/>
      <c r="E998" s="177"/>
      <c r="F998" s="176"/>
      <c r="G998" s="176"/>
      <c r="H998" s="16" t="s">
        <v>749</v>
      </c>
      <c r="I998" s="27">
        <f t="shared" si="650"/>
        <v>0</v>
      </c>
      <c r="J998" s="27">
        <f t="shared" si="650"/>
        <v>0</v>
      </c>
      <c r="K998" s="27">
        <f t="shared" si="650"/>
        <v>0</v>
      </c>
      <c r="L998" s="27">
        <f t="shared" si="650"/>
        <v>0</v>
      </c>
      <c r="M998" s="27">
        <f t="shared" si="650"/>
        <v>0</v>
      </c>
      <c r="N998" s="18">
        <f t="shared" si="650"/>
        <v>0</v>
      </c>
      <c r="O998" s="18"/>
      <c r="P998" s="26">
        <f t="shared" si="646"/>
        <v>0</v>
      </c>
      <c r="Q998" s="18">
        <f t="shared" si="650"/>
        <v>0</v>
      </c>
      <c r="R998" s="18">
        <f t="shared" si="650"/>
        <v>60000</v>
      </c>
      <c r="S998" s="18">
        <f t="shared" si="650"/>
        <v>70000</v>
      </c>
      <c r="T998" s="27">
        <f t="shared" si="650"/>
        <v>0</v>
      </c>
      <c r="U998" s="27">
        <f t="shared" si="650"/>
        <v>0</v>
      </c>
      <c r="V998" s="18">
        <f t="shared" si="650"/>
        <v>30000</v>
      </c>
      <c r="W998" s="18">
        <f t="shared" si="650"/>
        <v>40000</v>
      </c>
      <c r="X998" s="18">
        <f t="shared" si="650"/>
        <v>40000</v>
      </c>
      <c r="Y998" s="18">
        <f>Y999</f>
        <v>0</v>
      </c>
      <c r="Z998" s="18">
        <f t="shared" si="640"/>
        <v>0</v>
      </c>
      <c r="AA998" s="18">
        <f t="shared" si="629"/>
        <v>-30000</v>
      </c>
      <c r="AB998" s="18">
        <f>AB999</f>
        <v>0</v>
      </c>
      <c r="AC998" s="18">
        <f>AC999</f>
        <v>0</v>
      </c>
      <c r="AD998" s="18" t="e">
        <f t="shared" si="639"/>
        <v>#DIV/0!</v>
      </c>
      <c r="AE998" s="18">
        <f t="shared" si="619"/>
        <v>0</v>
      </c>
      <c r="AF998" s="18">
        <f t="shared" ref="AF998:AI999" si="652">AF999</f>
        <v>0</v>
      </c>
      <c r="AG998" s="18">
        <f t="shared" si="652"/>
        <v>0</v>
      </c>
      <c r="AH998" s="18">
        <f t="shared" si="652"/>
        <v>0</v>
      </c>
      <c r="AI998" s="18">
        <f t="shared" si="652"/>
        <v>0</v>
      </c>
      <c r="AJ998" s="162" t="b">
        <f t="shared" si="633"/>
        <v>1</v>
      </c>
      <c r="AK998" s="162" t="str">
        <f t="shared" si="634"/>
        <v>PRAZNO</v>
      </c>
      <c r="AM998" s="164"/>
    </row>
    <row r="999" spans="1:39" ht="27.75" customHeight="1" x14ac:dyDescent="0.2">
      <c r="B999" s="177"/>
      <c r="C999" s="177"/>
      <c r="D999" s="177">
        <v>352</v>
      </c>
      <c r="E999" s="177"/>
      <c r="F999" s="176"/>
      <c r="G999" s="176"/>
      <c r="H999" s="16" t="s">
        <v>748</v>
      </c>
      <c r="I999" s="27">
        <f t="shared" si="650"/>
        <v>0</v>
      </c>
      <c r="J999" s="27">
        <f t="shared" si="650"/>
        <v>0</v>
      </c>
      <c r="K999" s="27">
        <f t="shared" si="650"/>
        <v>0</v>
      </c>
      <c r="L999" s="27">
        <f t="shared" si="650"/>
        <v>0</v>
      </c>
      <c r="M999" s="27">
        <f t="shared" si="650"/>
        <v>0</v>
      </c>
      <c r="N999" s="18">
        <f t="shared" si="650"/>
        <v>0</v>
      </c>
      <c r="O999" s="18">
        <f t="shared" si="650"/>
        <v>0</v>
      </c>
      <c r="P999" s="26">
        <f t="shared" si="646"/>
        <v>0</v>
      </c>
      <c r="Q999" s="18">
        <f t="shared" si="650"/>
        <v>0</v>
      </c>
      <c r="R999" s="18">
        <f t="shared" si="650"/>
        <v>60000</v>
      </c>
      <c r="S999" s="18">
        <f t="shared" si="650"/>
        <v>70000</v>
      </c>
      <c r="T999" s="27">
        <f t="shared" si="650"/>
        <v>0</v>
      </c>
      <c r="U999" s="27">
        <f t="shared" si="650"/>
        <v>0</v>
      </c>
      <c r="V999" s="18">
        <f t="shared" si="650"/>
        <v>30000</v>
      </c>
      <c r="W999" s="18">
        <f t="shared" si="650"/>
        <v>40000</v>
      </c>
      <c r="X999" s="18">
        <f t="shared" si="650"/>
        <v>40000</v>
      </c>
      <c r="Y999" s="18">
        <f>Y1000</f>
        <v>0</v>
      </c>
      <c r="Z999" s="18">
        <f t="shared" si="640"/>
        <v>0</v>
      </c>
      <c r="AA999" s="18">
        <f t="shared" si="629"/>
        <v>-30000</v>
      </c>
      <c r="AB999" s="18">
        <f>AB1000</f>
        <v>0</v>
      </c>
      <c r="AC999" s="18">
        <f>AC1000</f>
        <v>0</v>
      </c>
      <c r="AD999" s="18" t="e">
        <f t="shared" si="639"/>
        <v>#DIV/0!</v>
      </c>
      <c r="AE999" s="18">
        <f t="shared" si="619"/>
        <v>0</v>
      </c>
      <c r="AF999" s="18">
        <f t="shared" si="652"/>
        <v>0</v>
      </c>
      <c r="AG999" s="18">
        <f t="shared" si="652"/>
        <v>0</v>
      </c>
      <c r="AH999" s="18">
        <f t="shared" si="652"/>
        <v>0</v>
      </c>
      <c r="AI999" s="18">
        <f t="shared" si="652"/>
        <v>0</v>
      </c>
      <c r="AJ999" s="162" t="b">
        <f t="shared" si="633"/>
        <v>1</v>
      </c>
      <c r="AK999" s="162" t="str">
        <f t="shared" si="634"/>
        <v>PRAZNO</v>
      </c>
      <c r="AM999" s="164"/>
    </row>
    <row r="1000" spans="1:39" ht="20.25" customHeight="1" x14ac:dyDescent="0.2">
      <c r="B1000" s="177"/>
      <c r="C1000" s="177"/>
      <c r="D1000" s="177"/>
      <c r="E1000" s="177">
        <v>3523</v>
      </c>
      <c r="F1000" s="176">
        <v>14</v>
      </c>
      <c r="G1000" s="176"/>
      <c r="H1000" s="40" t="s">
        <v>324</v>
      </c>
      <c r="I1000" s="18"/>
      <c r="J1000" s="18"/>
      <c r="K1000" s="18"/>
      <c r="L1000" s="18"/>
      <c r="M1000" s="18">
        <v>0</v>
      </c>
      <c r="N1000" s="18">
        <v>0</v>
      </c>
      <c r="O1000" s="18">
        <v>0</v>
      </c>
      <c r="P1000" s="26">
        <f t="shared" si="646"/>
        <v>0</v>
      </c>
      <c r="Q1000" s="18">
        <v>0</v>
      </c>
      <c r="R1000" s="18">
        <v>60000</v>
      </c>
      <c r="S1000" s="18">
        <v>70000</v>
      </c>
      <c r="T1000" s="27">
        <v>0</v>
      </c>
      <c r="U1000" s="27">
        <v>0</v>
      </c>
      <c r="V1000" s="18">
        <v>30000</v>
      </c>
      <c r="W1000" s="18">
        <v>40000</v>
      </c>
      <c r="X1000" s="18">
        <v>40000</v>
      </c>
      <c r="Y1000" s="18">
        <v>0</v>
      </c>
      <c r="Z1000" s="18">
        <f t="shared" si="640"/>
        <v>0</v>
      </c>
      <c r="AA1000" s="18">
        <f t="shared" si="629"/>
        <v>-30000</v>
      </c>
      <c r="AB1000" s="18">
        <v>0</v>
      </c>
      <c r="AC1000" s="18"/>
      <c r="AD1000" s="18" t="e">
        <f t="shared" si="639"/>
        <v>#DIV/0!</v>
      </c>
      <c r="AE1000" s="18">
        <f t="shared" ref="AE1000:AE1063" si="653">AF1000-AB1000</f>
        <v>0</v>
      </c>
      <c r="AF1000" s="18">
        <v>0</v>
      </c>
      <c r="AG1000" s="18">
        <v>0</v>
      </c>
      <c r="AH1000" s="18">
        <v>0</v>
      </c>
      <c r="AI1000" s="18">
        <v>0</v>
      </c>
      <c r="AJ1000" s="162" t="b">
        <f t="shared" si="633"/>
        <v>0</v>
      </c>
      <c r="AK1000" s="162" t="str">
        <f t="shared" si="634"/>
        <v>PUNO</v>
      </c>
      <c r="AM1000" s="164"/>
    </row>
    <row r="1001" spans="1:39" s="171" customFormat="1" ht="20.25" customHeight="1" x14ac:dyDescent="0.2">
      <c r="A1001" s="259"/>
      <c r="B1001" s="209"/>
      <c r="C1001" s="209"/>
      <c r="D1001" s="209"/>
      <c r="E1001" s="209"/>
      <c r="F1001" s="219"/>
      <c r="G1001" s="219"/>
      <c r="H1001" s="12" t="s">
        <v>797</v>
      </c>
      <c r="I1001" s="305">
        <f t="shared" ref="I1001:O1001" si="654">I1003</f>
        <v>0</v>
      </c>
      <c r="J1001" s="305">
        <f t="shared" si="654"/>
        <v>0</v>
      </c>
      <c r="K1001" s="305">
        <f t="shared" si="654"/>
        <v>0</v>
      </c>
      <c r="L1001" s="305">
        <f t="shared" si="654"/>
        <v>0</v>
      </c>
      <c r="M1001" s="305">
        <f t="shared" si="654"/>
        <v>0</v>
      </c>
      <c r="N1001" s="301">
        <f t="shared" si="654"/>
        <v>0</v>
      </c>
      <c r="O1001" s="301">
        <f t="shared" si="654"/>
        <v>0</v>
      </c>
      <c r="P1001" s="303">
        <f t="shared" si="646"/>
        <v>0</v>
      </c>
      <c r="Q1001" s="301">
        <f t="shared" ref="Q1001:X1001" si="655">Q1003</f>
        <v>0</v>
      </c>
      <c r="R1001" s="301">
        <f t="shared" si="655"/>
        <v>35000</v>
      </c>
      <c r="S1001" s="301">
        <f t="shared" si="655"/>
        <v>35000</v>
      </c>
      <c r="T1001" s="305">
        <f t="shared" si="655"/>
        <v>0</v>
      </c>
      <c r="U1001" s="305">
        <f>U1003</f>
        <v>0</v>
      </c>
      <c r="V1001" s="301">
        <f t="shared" si="655"/>
        <v>70000</v>
      </c>
      <c r="W1001" s="301">
        <f t="shared" si="655"/>
        <v>70000</v>
      </c>
      <c r="X1001" s="301">
        <f t="shared" si="655"/>
        <v>70000</v>
      </c>
      <c r="Y1001" s="301">
        <f>Y1003</f>
        <v>0</v>
      </c>
      <c r="Z1001" s="301">
        <f t="shared" si="640"/>
        <v>0</v>
      </c>
      <c r="AA1001" s="301">
        <f t="shared" si="629"/>
        <v>-70000</v>
      </c>
      <c r="AB1001" s="301">
        <f>AB1003</f>
        <v>0</v>
      </c>
      <c r="AC1001" s="301">
        <f>AC1003</f>
        <v>0</v>
      </c>
      <c r="AD1001" s="301" t="e">
        <f t="shared" si="639"/>
        <v>#DIV/0!</v>
      </c>
      <c r="AE1001" s="301">
        <f t="shared" si="653"/>
        <v>0</v>
      </c>
      <c r="AF1001" s="301">
        <f>AF1003</f>
        <v>0</v>
      </c>
      <c r="AG1001" s="301">
        <f>AG1003</f>
        <v>0</v>
      </c>
      <c r="AH1001" s="301">
        <f>AH1003</f>
        <v>0</v>
      </c>
      <c r="AI1001" s="301">
        <f>AI1003</f>
        <v>0</v>
      </c>
      <c r="AJ1001" s="162" t="b">
        <f t="shared" si="633"/>
        <v>1</v>
      </c>
      <c r="AK1001" s="162" t="str">
        <f t="shared" si="634"/>
        <v>PRAZNO</v>
      </c>
      <c r="AL1001" s="170"/>
    </row>
    <row r="1002" spans="1:39" s="264" customFormat="1" ht="16.5" customHeight="1" x14ac:dyDescent="0.2">
      <c r="A1002" s="259"/>
      <c r="B1002" s="177"/>
      <c r="C1002" s="177"/>
      <c r="D1002" s="177"/>
      <c r="E1002" s="177"/>
      <c r="F1002" s="265"/>
      <c r="G1002" s="265"/>
      <c r="H1002" s="441" t="s">
        <v>824</v>
      </c>
      <c r="I1002" s="430"/>
      <c r="J1002" s="430"/>
      <c r="K1002" s="430"/>
      <c r="L1002" s="430"/>
      <c r="M1002" s="430"/>
      <c r="N1002" s="462"/>
      <c r="O1002" s="462"/>
      <c r="P1002" s="445"/>
      <c r="Q1002" s="462"/>
      <c r="R1002" s="462"/>
      <c r="S1002" s="462"/>
      <c r="T1002" s="430"/>
      <c r="U1002" s="430"/>
      <c r="V1002" s="462">
        <f>V1003</f>
        <v>70000</v>
      </c>
      <c r="W1002" s="462">
        <f>W1003</f>
        <v>70000</v>
      </c>
      <c r="X1002" s="462">
        <f>X1003</f>
        <v>70000</v>
      </c>
      <c r="Y1002" s="462">
        <f>Y1003</f>
        <v>0</v>
      </c>
      <c r="Z1002" s="462">
        <f t="shared" si="640"/>
        <v>0</v>
      </c>
      <c r="AA1002" s="462">
        <f t="shared" si="629"/>
        <v>-70000</v>
      </c>
      <c r="AB1002" s="462">
        <f t="shared" ref="AB1002:AI1003" si="656">AB1003</f>
        <v>0</v>
      </c>
      <c r="AC1002" s="462">
        <f t="shared" si="656"/>
        <v>0</v>
      </c>
      <c r="AD1002" s="462" t="e">
        <f t="shared" si="639"/>
        <v>#DIV/0!</v>
      </c>
      <c r="AE1002" s="462">
        <f t="shared" si="653"/>
        <v>0</v>
      </c>
      <c r="AF1002" s="462">
        <f t="shared" si="656"/>
        <v>0</v>
      </c>
      <c r="AG1002" s="462">
        <f t="shared" si="656"/>
        <v>0</v>
      </c>
      <c r="AH1002" s="462">
        <f t="shared" si="656"/>
        <v>0</v>
      </c>
      <c r="AI1002" s="462">
        <f t="shared" si="656"/>
        <v>0</v>
      </c>
      <c r="AJ1002" s="162" t="b">
        <f t="shared" si="633"/>
        <v>1</v>
      </c>
      <c r="AK1002" s="162" t="str">
        <f t="shared" si="634"/>
        <v>PRAZNO</v>
      </c>
      <c r="AL1002" s="263"/>
    </row>
    <row r="1003" spans="1:39" s="174" customFormat="1" ht="21" customHeight="1" x14ac:dyDescent="0.2">
      <c r="A1003" s="259"/>
      <c r="B1003" s="172">
        <v>3</v>
      </c>
      <c r="C1003" s="172"/>
      <c r="D1003" s="172"/>
      <c r="E1003" s="172"/>
      <c r="F1003" s="220"/>
      <c r="G1003" s="220"/>
      <c r="H1003" s="14" t="s">
        <v>524</v>
      </c>
      <c r="I1003" s="185">
        <f>N1004</f>
        <v>0</v>
      </c>
      <c r="J1003" s="185">
        <f>O1004</f>
        <v>0</v>
      </c>
      <c r="K1003" s="185">
        <f>P1004</f>
        <v>0</v>
      </c>
      <c r="L1003" s="185">
        <f>Q1004</f>
        <v>0</v>
      </c>
      <c r="M1003" s="185">
        <f>M1004</f>
        <v>0</v>
      </c>
      <c r="N1003" s="184">
        <f>N1004</f>
        <v>0</v>
      </c>
      <c r="O1003" s="184">
        <f>O1004</f>
        <v>0</v>
      </c>
      <c r="P1003" s="55">
        <f t="shared" si="646"/>
        <v>0</v>
      </c>
      <c r="Q1003" s="184">
        <f t="shared" ref="Q1003:X1003" si="657">Q1004</f>
        <v>0</v>
      </c>
      <c r="R1003" s="184">
        <f t="shared" si="657"/>
        <v>35000</v>
      </c>
      <c r="S1003" s="184">
        <f t="shared" si="657"/>
        <v>35000</v>
      </c>
      <c r="T1003" s="185">
        <f t="shared" si="657"/>
        <v>0</v>
      </c>
      <c r="U1003" s="185">
        <f t="shared" si="657"/>
        <v>0</v>
      </c>
      <c r="V1003" s="184">
        <f>V1004</f>
        <v>70000</v>
      </c>
      <c r="W1003" s="184">
        <f t="shared" si="657"/>
        <v>70000</v>
      </c>
      <c r="X1003" s="184">
        <f t="shared" si="657"/>
        <v>70000</v>
      </c>
      <c r="Y1003" s="184">
        <f>Y1004</f>
        <v>0</v>
      </c>
      <c r="Z1003" s="184">
        <f t="shared" si="640"/>
        <v>0</v>
      </c>
      <c r="AA1003" s="184">
        <f t="shared" si="629"/>
        <v>-70000</v>
      </c>
      <c r="AB1003" s="184">
        <f t="shared" si="656"/>
        <v>0</v>
      </c>
      <c r="AC1003" s="184">
        <f t="shared" si="656"/>
        <v>0</v>
      </c>
      <c r="AD1003" s="184" t="e">
        <f t="shared" si="639"/>
        <v>#DIV/0!</v>
      </c>
      <c r="AE1003" s="184">
        <f t="shared" si="653"/>
        <v>0</v>
      </c>
      <c r="AF1003" s="184">
        <f t="shared" si="656"/>
        <v>0</v>
      </c>
      <c r="AG1003" s="184">
        <f t="shared" si="656"/>
        <v>0</v>
      </c>
      <c r="AH1003" s="184">
        <f t="shared" si="656"/>
        <v>0</v>
      </c>
      <c r="AI1003" s="184">
        <f t="shared" si="656"/>
        <v>0</v>
      </c>
      <c r="AJ1003" s="162" t="b">
        <f t="shared" si="633"/>
        <v>1</v>
      </c>
      <c r="AK1003" s="162" t="str">
        <f t="shared" si="634"/>
        <v>PRAZNO</v>
      </c>
      <c r="AL1003" s="173"/>
    </row>
    <row r="1004" spans="1:39" ht="18" customHeight="1" x14ac:dyDescent="0.2">
      <c r="B1004" s="177"/>
      <c r="C1004" s="177">
        <v>35</v>
      </c>
      <c r="D1004" s="177"/>
      <c r="E1004" s="177"/>
      <c r="F1004" s="176"/>
      <c r="G1004" s="176"/>
      <c r="H1004" s="16" t="s">
        <v>749</v>
      </c>
      <c r="I1004" s="237">
        <f t="shared" ref="I1004:L1005" si="658">I1005</f>
        <v>0</v>
      </c>
      <c r="J1004" s="237">
        <f t="shared" si="658"/>
        <v>0</v>
      </c>
      <c r="K1004" s="237">
        <f t="shared" si="658"/>
        <v>0</v>
      </c>
      <c r="L1004" s="237">
        <f t="shared" si="658"/>
        <v>0</v>
      </c>
      <c r="M1004" s="190">
        <f>M1005</f>
        <v>0</v>
      </c>
      <c r="N1004" s="18">
        <f t="shared" ref="N1004:AI1005" si="659">N1005</f>
        <v>0</v>
      </c>
      <c r="O1004" s="18">
        <f t="shared" si="659"/>
        <v>0</v>
      </c>
      <c r="P1004" s="26">
        <f t="shared" si="646"/>
        <v>0</v>
      </c>
      <c r="Q1004" s="18">
        <f t="shared" si="659"/>
        <v>0</v>
      </c>
      <c r="R1004" s="18">
        <f t="shared" si="659"/>
        <v>35000</v>
      </c>
      <c r="S1004" s="18">
        <f t="shared" si="659"/>
        <v>35000</v>
      </c>
      <c r="T1004" s="27">
        <f t="shared" si="659"/>
        <v>0</v>
      </c>
      <c r="U1004" s="27">
        <f t="shared" si="659"/>
        <v>0</v>
      </c>
      <c r="V1004" s="18">
        <f t="shared" si="659"/>
        <v>70000</v>
      </c>
      <c r="W1004" s="18">
        <f t="shared" si="659"/>
        <v>70000</v>
      </c>
      <c r="X1004" s="18">
        <f t="shared" si="659"/>
        <v>70000</v>
      </c>
      <c r="Y1004" s="18">
        <f t="shared" si="659"/>
        <v>0</v>
      </c>
      <c r="Z1004" s="18">
        <f t="shared" si="640"/>
        <v>0</v>
      </c>
      <c r="AA1004" s="18">
        <f t="shared" si="629"/>
        <v>-70000</v>
      </c>
      <c r="AB1004" s="18">
        <f t="shared" si="659"/>
        <v>0</v>
      </c>
      <c r="AC1004" s="18">
        <f t="shared" si="659"/>
        <v>0</v>
      </c>
      <c r="AD1004" s="18" t="e">
        <f t="shared" si="639"/>
        <v>#DIV/0!</v>
      </c>
      <c r="AE1004" s="18">
        <f t="shared" si="653"/>
        <v>0</v>
      </c>
      <c r="AF1004" s="18">
        <f t="shared" si="659"/>
        <v>0</v>
      </c>
      <c r="AG1004" s="18">
        <f t="shared" si="659"/>
        <v>0</v>
      </c>
      <c r="AH1004" s="18">
        <f t="shared" si="659"/>
        <v>0</v>
      </c>
      <c r="AI1004" s="18">
        <f t="shared" si="659"/>
        <v>0</v>
      </c>
      <c r="AJ1004" s="162" t="b">
        <f t="shared" si="633"/>
        <v>1</v>
      </c>
      <c r="AK1004" s="162" t="str">
        <f t="shared" si="634"/>
        <v>PRAZNO</v>
      </c>
      <c r="AM1004" s="164"/>
    </row>
    <row r="1005" spans="1:39" ht="30" customHeight="1" x14ac:dyDescent="0.2">
      <c r="B1005" s="177"/>
      <c r="C1005" s="177"/>
      <c r="D1005" s="177">
        <v>352</v>
      </c>
      <c r="E1005" s="177"/>
      <c r="F1005" s="176"/>
      <c r="G1005" s="176"/>
      <c r="H1005" s="16" t="s">
        <v>748</v>
      </c>
      <c r="I1005" s="27">
        <f t="shared" si="658"/>
        <v>0</v>
      </c>
      <c r="J1005" s="27">
        <f t="shared" si="658"/>
        <v>0</v>
      </c>
      <c r="K1005" s="27">
        <f t="shared" si="658"/>
        <v>0</v>
      </c>
      <c r="L1005" s="27">
        <f t="shared" si="658"/>
        <v>0</v>
      </c>
      <c r="M1005" s="27">
        <f>M1006</f>
        <v>0</v>
      </c>
      <c r="N1005" s="18">
        <f t="shared" si="659"/>
        <v>0</v>
      </c>
      <c r="O1005" s="18">
        <f t="shared" si="659"/>
        <v>0</v>
      </c>
      <c r="P1005" s="26">
        <f t="shared" si="646"/>
        <v>0</v>
      </c>
      <c r="Q1005" s="18">
        <f t="shared" si="659"/>
        <v>0</v>
      </c>
      <c r="R1005" s="18">
        <f t="shared" si="659"/>
        <v>35000</v>
      </c>
      <c r="S1005" s="18">
        <f t="shared" si="659"/>
        <v>35000</v>
      </c>
      <c r="T1005" s="27">
        <f t="shared" si="659"/>
        <v>0</v>
      </c>
      <c r="U1005" s="27">
        <f t="shared" si="659"/>
        <v>0</v>
      </c>
      <c r="V1005" s="18">
        <f t="shared" si="659"/>
        <v>70000</v>
      </c>
      <c r="W1005" s="18">
        <f t="shared" si="659"/>
        <v>70000</v>
      </c>
      <c r="X1005" s="18">
        <f t="shared" si="659"/>
        <v>70000</v>
      </c>
      <c r="Y1005" s="18">
        <f t="shared" si="659"/>
        <v>0</v>
      </c>
      <c r="Z1005" s="18">
        <f t="shared" si="640"/>
        <v>0</v>
      </c>
      <c r="AA1005" s="18">
        <f t="shared" si="629"/>
        <v>-70000</v>
      </c>
      <c r="AB1005" s="18">
        <f t="shared" si="659"/>
        <v>0</v>
      </c>
      <c r="AC1005" s="18">
        <f t="shared" si="659"/>
        <v>0</v>
      </c>
      <c r="AD1005" s="18" t="e">
        <f t="shared" si="639"/>
        <v>#DIV/0!</v>
      </c>
      <c r="AE1005" s="18">
        <f t="shared" si="653"/>
        <v>0</v>
      </c>
      <c r="AF1005" s="18">
        <f t="shared" si="659"/>
        <v>0</v>
      </c>
      <c r="AG1005" s="18">
        <f t="shared" si="659"/>
        <v>0</v>
      </c>
      <c r="AH1005" s="18">
        <f t="shared" si="659"/>
        <v>0</v>
      </c>
      <c r="AI1005" s="18">
        <f t="shared" si="659"/>
        <v>0</v>
      </c>
      <c r="AJ1005" s="162" t="b">
        <f t="shared" si="633"/>
        <v>1</v>
      </c>
      <c r="AK1005" s="162" t="str">
        <f t="shared" si="634"/>
        <v>PRAZNO</v>
      </c>
      <c r="AM1005" s="164"/>
    </row>
    <row r="1006" spans="1:39" ht="19.5" customHeight="1" x14ac:dyDescent="0.2">
      <c r="B1006" s="177"/>
      <c r="C1006" s="177"/>
      <c r="D1006" s="177"/>
      <c r="E1006" s="177">
        <v>3523</v>
      </c>
      <c r="F1006" s="176">
        <v>14</v>
      </c>
      <c r="G1006" s="176"/>
      <c r="H1006" s="40" t="s">
        <v>324</v>
      </c>
      <c r="I1006" s="27">
        <v>0</v>
      </c>
      <c r="J1006" s="27">
        <v>0</v>
      </c>
      <c r="K1006" s="27">
        <v>0</v>
      </c>
      <c r="L1006" s="27">
        <v>0</v>
      </c>
      <c r="M1006" s="27">
        <v>0</v>
      </c>
      <c r="N1006" s="18">
        <v>0</v>
      </c>
      <c r="O1006" s="18">
        <v>0</v>
      </c>
      <c r="P1006" s="26">
        <f t="shared" si="646"/>
        <v>0</v>
      </c>
      <c r="Q1006" s="18">
        <v>0</v>
      </c>
      <c r="R1006" s="18">
        <v>35000</v>
      </c>
      <c r="S1006" s="18">
        <v>35000</v>
      </c>
      <c r="T1006" s="27">
        <v>0</v>
      </c>
      <c r="U1006" s="27">
        <v>0</v>
      </c>
      <c r="V1006" s="18">
        <v>70000</v>
      </c>
      <c r="W1006" s="18">
        <v>70000</v>
      </c>
      <c r="X1006" s="18">
        <v>70000</v>
      </c>
      <c r="Y1006" s="18">
        <v>0</v>
      </c>
      <c r="Z1006" s="18">
        <f t="shared" si="640"/>
        <v>0</v>
      </c>
      <c r="AA1006" s="18">
        <f t="shared" si="629"/>
        <v>-70000</v>
      </c>
      <c r="AB1006" s="18">
        <v>0</v>
      </c>
      <c r="AC1006" s="18"/>
      <c r="AD1006" s="18" t="e">
        <f t="shared" si="639"/>
        <v>#DIV/0!</v>
      </c>
      <c r="AE1006" s="18">
        <f t="shared" si="653"/>
        <v>0</v>
      </c>
      <c r="AF1006" s="18">
        <v>0</v>
      </c>
      <c r="AG1006" s="18"/>
      <c r="AH1006" s="18"/>
      <c r="AI1006" s="18"/>
      <c r="AJ1006" s="162" t="b">
        <f t="shared" si="633"/>
        <v>0</v>
      </c>
      <c r="AK1006" s="162" t="str">
        <f t="shared" si="634"/>
        <v>PUNO</v>
      </c>
      <c r="AM1006" s="164"/>
    </row>
    <row r="1007" spans="1:39" s="207" customFormat="1" ht="54" customHeight="1" x14ac:dyDescent="0.25">
      <c r="A1007" s="378"/>
      <c r="B1007" s="168"/>
      <c r="C1007" s="168"/>
      <c r="D1007" s="168"/>
      <c r="E1007" s="168"/>
      <c r="F1007" s="322"/>
      <c r="G1007" s="322"/>
      <c r="H1007" s="594" t="s">
        <v>798</v>
      </c>
      <c r="I1007" s="323"/>
      <c r="J1007" s="323"/>
      <c r="K1007" s="323"/>
      <c r="L1007" s="323"/>
      <c r="M1007" s="323"/>
      <c r="N1007" s="308"/>
      <c r="O1007" s="308"/>
      <c r="P1007" s="53"/>
      <c r="Q1007" s="308"/>
      <c r="R1007" s="308"/>
      <c r="S1007" s="308"/>
      <c r="T1007" s="323"/>
      <c r="U1007" s="308">
        <f t="shared" ref="U1007:AI1011" si="660">U1008</f>
        <v>0</v>
      </c>
      <c r="V1007" s="308">
        <f t="shared" si="660"/>
        <v>500000</v>
      </c>
      <c r="W1007" s="308">
        <f t="shared" si="660"/>
        <v>500000</v>
      </c>
      <c r="X1007" s="308">
        <f t="shared" si="660"/>
        <v>500000</v>
      </c>
      <c r="Y1007" s="308">
        <f t="shared" si="660"/>
        <v>4700</v>
      </c>
      <c r="Z1007" s="308">
        <f t="shared" si="660"/>
        <v>0.94</v>
      </c>
      <c r="AA1007" s="308">
        <f t="shared" si="660"/>
        <v>-200000</v>
      </c>
      <c r="AB1007" s="308">
        <f t="shared" si="660"/>
        <v>300000</v>
      </c>
      <c r="AC1007" s="308">
        <f t="shared" si="660"/>
        <v>12961.96</v>
      </c>
      <c r="AD1007" s="308">
        <f t="shared" si="639"/>
        <v>4.3206533333333335</v>
      </c>
      <c r="AE1007" s="308">
        <f t="shared" si="653"/>
        <v>-150000</v>
      </c>
      <c r="AF1007" s="308">
        <f t="shared" si="660"/>
        <v>150000</v>
      </c>
      <c r="AG1007" s="308">
        <f t="shared" si="660"/>
        <v>200000</v>
      </c>
      <c r="AH1007" s="308">
        <f t="shared" si="660"/>
        <v>200000</v>
      </c>
      <c r="AI1007" s="308">
        <f t="shared" si="660"/>
        <v>200000</v>
      </c>
      <c r="AJ1007" s="162" t="b">
        <f t="shared" si="633"/>
        <v>1</v>
      </c>
      <c r="AK1007" s="162" t="str">
        <f t="shared" si="634"/>
        <v>PRAZNO</v>
      </c>
      <c r="AL1007" s="206"/>
    </row>
    <row r="1008" spans="1:39" s="453" customFormat="1" ht="19.5" customHeight="1" x14ac:dyDescent="0.25">
      <c r="A1008" s="378"/>
      <c r="B1008" s="260"/>
      <c r="C1008" s="260"/>
      <c r="D1008" s="260"/>
      <c r="E1008" s="260"/>
      <c r="F1008" s="448"/>
      <c r="G1008" s="448"/>
      <c r="H1008" s="596" t="s">
        <v>824</v>
      </c>
      <c r="I1008" s="450"/>
      <c r="J1008" s="450"/>
      <c r="K1008" s="450"/>
      <c r="L1008" s="450"/>
      <c r="M1008" s="450"/>
      <c r="N1008" s="449"/>
      <c r="O1008" s="449"/>
      <c r="P1008" s="202"/>
      <c r="Q1008" s="449"/>
      <c r="R1008" s="449"/>
      <c r="S1008" s="449"/>
      <c r="T1008" s="450"/>
      <c r="U1008" s="449">
        <f t="shared" si="660"/>
        <v>0</v>
      </c>
      <c r="V1008" s="449">
        <f t="shared" si="660"/>
        <v>500000</v>
      </c>
      <c r="W1008" s="449">
        <f t="shared" si="660"/>
        <v>500000</v>
      </c>
      <c r="X1008" s="449">
        <f t="shared" si="660"/>
        <v>500000</v>
      </c>
      <c r="Y1008" s="449">
        <f t="shared" si="660"/>
        <v>4700</v>
      </c>
      <c r="Z1008" s="449">
        <f t="shared" si="660"/>
        <v>0.94</v>
      </c>
      <c r="AA1008" s="449">
        <f t="shared" si="660"/>
        <v>-200000</v>
      </c>
      <c r="AB1008" s="449">
        <f t="shared" si="660"/>
        <v>300000</v>
      </c>
      <c r="AC1008" s="449">
        <f t="shared" si="660"/>
        <v>12961.96</v>
      </c>
      <c r="AD1008" s="449">
        <f t="shared" si="639"/>
        <v>4.3206533333333335</v>
      </c>
      <c r="AE1008" s="449">
        <f t="shared" si="653"/>
        <v>-150000</v>
      </c>
      <c r="AF1008" s="449">
        <f t="shared" si="660"/>
        <v>150000</v>
      </c>
      <c r="AG1008" s="449">
        <f t="shared" si="660"/>
        <v>200000</v>
      </c>
      <c r="AH1008" s="449">
        <f t="shared" si="660"/>
        <v>200000</v>
      </c>
      <c r="AI1008" s="449">
        <f t="shared" si="660"/>
        <v>200000</v>
      </c>
      <c r="AJ1008" s="162" t="b">
        <f t="shared" si="633"/>
        <v>1</v>
      </c>
      <c r="AK1008" s="162" t="str">
        <f t="shared" si="634"/>
        <v>PRAZNO</v>
      </c>
      <c r="AL1008" s="452"/>
      <c r="AM1008" s="287"/>
    </row>
    <row r="1009" spans="1:39" s="174" customFormat="1" ht="19.5" customHeight="1" x14ac:dyDescent="0.2">
      <c r="A1009" s="259"/>
      <c r="B1009" s="172">
        <v>3</v>
      </c>
      <c r="C1009" s="172"/>
      <c r="D1009" s="172"/>
      <c r="E1009" s="172"/>
      <c r="F1009" s="220"/>
      <c r="G1009" s="220"/>
      <c r="H1009" s="595" t="s">
        <v>524</v>
      </c>
      <c r="I1009" s="185"/>
      <c r="J1009" s="185"/>
      <c r="K1009" s="185"/>
      <c r="L1009" s="185"/>
      <c r="M1009" s="185"/>
      <c r="N1009" s="184"/>
      <c r="O1009" s="184"/>
      <c r="P1009" s="55"/>
      <c r="Q1009" s="184"/>
      <c r="R1009" s="184"/>
      <c r="S1009" s="184"/>
      <c r="T1009" s="185"/>
      <c r="U1009" s="184">
        <f t="shared" si="660"/>
        <v>0</v>
      </c>
      <c r="V1009" s="184">
        <f t="shared" si="660"/>
        <v>500000</v>
      </c>
      <c r="W1009" s="184">
        <f t="shared" si="660"/>
        <v>500000</v>
      </c>
      <c r="X1009" s="184">
        <f t="shared" si="660"/>
        <v>500000</v>
      </c>
      <c r="Y1009" s="184">
        <f t="shared" si="660"/>
        <v>4700</v>
      </c>
      <c r="Z1009" s="184">
        <f t="shared" si="660"/>
        <v>0.94</v>
      </c>
      <c r="AA1009" s="184">
        <f t="shared" si="660"/>
        <v>-200000</v>
      </c>
      <c r="AB1009" s="184">
        <f t="shared" si="660"/>
        <v>300000</v>
      </c>
      <c r="AC1009" s="184">
        <f t="shared" si="660"/>
        <v>12961.96</v>
      </c>
      <c r="AD1009" s="184">
        <f t="shared" si="639"/>
        <v>4.3206533333333335</v>
      </c>
      <c r="AE1009" s="184">
        <f t="shared" si="653"/>
        <v>-150000</v>
      </c>
      <c r="AF1009" s="184">
        <f t="shared" si="660"/>
        <v>150000</v>
      </c>
      <c r="AG1009" s="184">
        <f t="shared" si="660"/>
        <v>200000</v>
      </c>
      <c r="AH1009" s="184">
        <f t="shared" si="660"/>
        <v>200000</v>
      </c>
      <c r="AI1009" s="184">
        <f t="shared" si="660"/>
        <v>200000</v>
      </c>
      <c r="AJ1009" s="162" t="b">
        <f t="shared" si="633"/>
        <v>1</v>
      </c>
      <c r="AK1009" s="162" t="str">
        <f t="shared" si="634"/>
        <v>PRAZNO</v>
      </c>
      <c r="AL1009" s="173"/>
    </row>
    <row r="1010" spans="1:39" ht="20.25" customHeight="1" x14ac:dyDescent="0.2">
      <c r="B1010" s="177"/>
      <c r="C1010" s="177">
        <v>35</v>
      </c>
      <c r="D1010" s="177"/>
      <c r="E1010" s="177"/>
      <c r="F1010" s="176"/>
      <c r="G1010" s="176"/>
      <c r="H1010" s="40" t="s">
        <v>747</v>
      </c>
      <c r="I1010" s="27"/>
      <c r="J1010" s="27"/>
      <c r="K1010" s="27"/>
      <c r="L1010" s="27"/>
      <c r="M1010" s="27"/>
      <c r="N1010" s="18"/>
      <c r="O1010" s="18"/>
      <c r="P1010" s="26"/>
      <c r="Q1010" s="18"/>
      <c r="R1010" s="18"/>
      <c r="S1010" s="18"/>
      <c r="T1010" s="27"/>
      <c r="U1010" s="18">
        <f t="shared" si="660"/>
        <v>0</v>
      </c>
      <c r="V1010" s="18">
        <f t="shared" si="660"/>
        <v>500000</v>
      </c>
      <c r="W1010" s="18">
        <f t="shared" si="660"/>
        <v>500000</v>
      </c>
      <c r="X1010" s="18">
        <f t="shared" si="660"/>
        <v>500000</v>
      </c>
      <c r="Y1010" s="18">
        <f t="shared" si="660"/>
        <v>4700</v>
      </c>
      <c r="Z1010" s="18">
        <f t="shared" si="660"/>
        <v>0.94</v>
      </c>
      <c r="AA1010" s="18">
        <f t="shared" si="660"/>
        <v>-200000</v>
      </c>
      <c r="AB1010" s="18">
        <f t="shared" si="660"/>
        <v>300000</v>
      </c>
      <c r="AC1010" s="18">
        <f t="shared" si="660"/>
        <v>12961.96</v>
      </c>
      <c r="AD1010" s="18">
        <f t="shared" si="639"/>
        <v>4.3206533333333335</v>
      </c>
      <c r="AE1010" s="18">
        <f t="shared" si="653"/>
        <v>-150000</v>
      </c>
      <c r="AF1010" s="18">
        <f t="shared" si="660"/>
        <v>150000</v>
      </c>
      <c r="AG1010" s="18">
        <f t="shared" si="660"/>
        <v>200000</v>
      </c>
      <c r="AH1010" s="18">
        <f t="shared" si="660"/>
        <v>200000</v>
      </c>
      <c r="AI1010" s="18">
        <f t="shared" si="660"/>
        <v>200000</v>
      </c>
      <c r="AJ1010" s="162" t="b">
        <f t="shared" si="633"/>
        <v>1</v>
      </c>
      <c r="AK1010" s="162" t="str">
        <f t="shared" si="634"/>
        <v>PRAZNO</v>
      </c>
      <c r="AM1010" s="164"/>
    </row>
    <row r="1011" spans="1:39" ht="32.25" customHeight="1" x14ac:dyDescent="0.2">
      <c r="B1011" s="177"/>
      <c r="C1011" s="177"/>
      <c r="D1011" s="177">
        <v>352</v>
      </c>
      <c r="E1011" s="177"/>
      <c r="F1011" s="176"/>
      <c r="G1011" s="176"/>
      <c r="H1011" s="40" t="s">
        <v>748</v>
      </c>
      <c r="I1011" s="27"/>
      <c r="J1011" s="27"/>
      <c r="K1011" s="27"/>
      <c r="L1011" s="27"/>
      <c r="M1011" s="27"/>
      <c r="N1011" s="18"/>
      <c r="O1011" s="18"/>
      <c r="P1011" s="26"/>
      <c r="Q1011" s="18"/>
      <c r="R1011" s="18"/>
      <c r="S1011" s="18"/>
      <c r="T1011" s="27"/>
      <c r="U1011" s="18">
        <f t="shared" si="660"/>
        <v>0</v>
      </c>
      <c r="V1011" s="18">
        <f t="shared" si="660"/>
        <v>500000</v>
      </c>
      <c r="W1011" s="18">
        <f t="shared" si="660"/>
        <v>500000</v>
      </c>
      <c r="X1011" s="18">
        <f t="shared" si="660"/>
        <v>500000</v>
      </c>
      <c r="Y1011" s="18">
        <f t="shared" si="660"/>
        <v>4700</v>
      </c>
      <c r="Z1011" s="18">
        <f t="shared" si="660"/>
        <v>0.94</v>
      </c>
      <c r="AA1011" s="18">
        <f t="shared" si="660"/>
        <v>-200000</v>
      </c>
      <c r="AB1011" s="18">
        <f t="shared" si="660"/>
        <v>300000</v>
      </c>
      <c r="AC1011" s="18">
        <f t="shared" si="660"/>
        <v>12961.96</v>
      </c>
      <c r="AD1011" s="18">
        <f t="shared" si="639"/>
        <v>4.3206533333333335</v>
      </c>
      <c r="AE1011" s="18">
        <f t="shared" si="653"/>
        <v>-150000</v>
      </c>
      <c r="AF1011" s="18">
        <f t="shared" si="660"/>
        <v>150000</v>
      </c>
      <c r="AG1011" s="18">
        <f t="shared" si="660"/>
        <v>200000</v>
      </c>
      <c r="AH1011" s="18">
        <f t="shared" si="660"/>
        <v>200000</v>
      </c>
      <c r="AI1011" s="18">
        <f t="shared" si="660"/>
        <v>200000</v>
      </c>
      <c r="AJ1011" s="162" t="b">
        <f t="shared" si="633"/>
        <v>1</v>
      </c>
      <c r="AK1011" s="162" t="str">
        <f t="shared" si="634"/>
        <v>PRAZNO</v>
      </c>
      <c r="AM1011" s="164"/>
    </row>
    <row r="1012" spans="1:39" ht="21" customHeight="1" x14ac:dyDescent="0.2">
      <c r="B1012" s="177"/>
      <c r="C1012" s="177"/>
      <c r="D1012" s="177"/>
      <c r="E1012" s="177">
        <v>3523</v>
      </c>
      <c r="F1012" s="176">
        <v>14</v>
      </c>
      <c r="G1012" s="176"/>
      <c r="H1012" s="40" t="s">
        <v>324</v>
      </c>
      <c r="I1012" s="27"/>
      <c r="J1012" s="27"/>
      <c r="K1012" s="27"/>
      <c r="L1012" s="27"/>
      <c r="M1012" s="27"/>
      <c r="N1012" s="18"/>
      <c r="O1012" s="18"/>
      <c r="P1012" s="26"/>
      <c r="Q1012" s="18"/>
      <c r="R1012" s="18"/>
      <c r="S1012" s="18"/>
      <c r="T1012" s="27"/>
      <c r="U1012" s="27">
        <v>0</v>
      </c>
      <c r="V1012" s="18">
        <v>500000</v>
      </c>
      <c r="W1012" s="18">
        <v>500000</v>
      </c>
      <c r="X1012" s="18">
        <v>500000</v>
      </c>
      <c r="Y1012" s="18">
        <v>4700</v>
      </c>
      <c r="Z1012" s="18">
        <f t="shared" si="640"/>
        <v>0.94</v>
      </c>
      <c r="AA1012" s="18">
        <f t="shared" si="629"/>
        <v>-200000</v>
      </c>
      <c r="AB1012" s="18">
        <v>300000</v>
      </c>
      <c r="AC1012" s="18">
        <v>12961.96</v>
      </c>
      <c r="AD1012" s="18">
        <f t="shared" si="639"/>
        <v>4.3206533333333335</v>
      </c>
      <c r="AE1012" s="18">
        <f t="shared" si="653"/>
        <v>-150000</v>
      </c>
      <c r="AF1012" s="18">
        <v>150000</v>
      </c>
      <c r="AG1012" s="18">
        <v>200000</v>
      </c>
      <c r="AH1012" s="18">
        <v>200000</v>
      </c>
      <c r="AI1012" s="18">
        <v>200000</v>
      </c>
      <c r="AJ1012" s="162" t="b">
        <f t="shared" si="633"/>
        <v>0</v>
      </c>
      <c r="AK1012" s="162" t="str">
        <f t="shared" si="634"/>
        <v>PUNO</v>
      </c>
      <c r="AM1012" s="164"/>
    </row>
    <row r="1013" spans="1:39" s="171" customFormat="1" ht="19.5" customHeight="1" x14ac:dyDescent="0.2">
      <c r="A1013" s="259"/>
      <c r="B1013" s="270"/>
      <c r="C1013" s="270"/>
      <c r="D1013" s="270"/>
      <c r="E1013" s="270"/>
      <c r="F1013" s="270"/>
      <c r="G1013" s="270"/>
      <c r="H1013" s="277" t="s">
        <v>716</v>
      </c>
      <c r="I1013" s="273">
        <f>I1015+I1026</f>
        <v>1239000</v>
      </c>
      <c r="J1013" s="273">
        <f>J1015+J1026</f>
        <v>0</v>
      </c>
      <c r="K1013" s="273">
        <f>ROUND(J1013/I1013*100,2)</f>
        <v>0</v>
      </c>
      <c r="L1013" s="273">
        <f>M1013-I1013</f>
        <v>-696645</v>
      </c>
      <c r="M1013" s="272">
        <f>M1015+M1026</f>
        <v>542355</v>
      </c>
      <c r="N1013" s="272">
        <f>N1015+N1026</f>
        <v>1249000</v>
      </c>
      <c r="O1013" s="272">
        <f>O1015+O1026</f>
        <v>0</v>
      </c>
      <c r="P1013" s="336">
        <f t="shared" si="646"/>
        <v>0</v>
      </c>
      <c r="Q1013" s="272">
        <f t="shared" ref="Q1013:X1013" si="661">Q1015+Q1026</f>
        <v>1249000</v>
      </c>
      <c r="R1013" s="272">
        <f t="shared" si="661"/>
        <v>1249000</v>
      </c>
      <c r="S1013" s="272">
        <f t="shared" si="661"/>
        <v>1249000</v>
      </c>
      <c r="T1013" s="275">
        <f t="shared" si="661"/>
        <v>1249000</v>
      </c>
      <c r="U1013" s="275">
        <f>U1015+U1026</f>
        <v>542355</v>
      </c>
      <c r="V1013" s="272">
        <f t="shared" si="661"/>
        <v>1199000</v>
      </c>
      <c r="W1013" s="272">
        <f t="shared" si="661"/>
        <v>1199000</v>
      </c>
      <c r="X1013" s="272">
        <f t="shared" si="661"/>
        <v>1199000</v>
      </c>
      <c r="Y1013" s="272">
        <f>Y1015+Y1026</f>
        <v>0</v>
      </c>
      <c r="Z1013" s="272">
        <f t="shared" si="640"/>
        <v>0</v>
      </c>
      <c r="AA1013" s="272">
        <f t="shared" si="629"/>
        <v>0</v>
      </c>
      <c r="AB1013" s="272">
        <f>AB1015+AB1026</f>
        <v>1199000</v>
      </c>
      <c r="AC1013" s="272">
        <f>AC1015+AC1026</f>
        <v>0</v>
      </c>
      <c r="AD1013" s="272">
        <f t="shared" si="639"/>
        <v>0</v>
      </c>
      <c r="AE1013" s="272">
        <f t="shared" si="653"/>
        <v>0</v>
      </c>
      <c r="AF1013" s="272">
        <f>AF1015+AF1026</f>
        <v>1199000</v>
      </c>
      <c r="AG1013" s="272">
        <f>AG1015+AG1026</f>
        <v>1199000</v>
      </c>
      <c r="AH1013" s="272">
        <f>AH1015+AH1026</f>
        <v>1199000</v>
      </c>
      <c r="AI1013" s="272">
        <f>AI1015+AI1026</f>
        <v>1199000</v>
      </c>
      <c r="AJ1013" s="162" t="b">
        <f t="shared" si="633"/>
        <v>1</v>
      </c>
      <c r="AK1013" s="162" t="str">
        <f t="shared" si="634"/>
        <v>PRAZNO</v>
      </c>
      <c r="AL1013" s="170"/>
      <c r="AM1013" s="164"/>
    </row>
    <row r="1014" spans="1:39" s="171" customFormat="1" ht="33.75" customHeight="1" x14ac:dyDescent="0.2">
      <c r="A1014" s="259"/>
      <c r="B1014" s="168"/>
      <c r="C1014" s="168"/>
      <c r="D1014" s="168"/>
      <c r="E1014" s="168"/>
      <c r="F1014" s="168"/>
      <c r="G1014" s="168"/>
      <c r="H1014" s="31" t="s">
        <v>40</v>
      </c>
      <c r="I1014" s="169"/>
      <c r="J1014" s="169"/>
      <c r="K1014" s="169"/>
      <c r="L1014" s="169"/>
      <c r="M1014" s="19"/>
      <c r="N1014" s="19"/>
      <c r="O1014" s="19"/>
      <c r="P1014" s="303"/>
      <c r="Q1014" s="19"/>
      <c r="R1014" s="19"/>
      <c r="S1014" s="19"/>
      <c r="T1014" s="53"/>
      <c r="U1014" s="53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19">
        <f t="shared" si="653"/>
        <v>0</v>
      </c>
      <c r="AF1014" s="19"/>
      <c r="AG1014" s="19"/>
      <c r="AH1014" s="19"/>
      <c r="AI1014" s="19"/>
      <c r="AJ1014" s="162" t="b">
        <f t="shared" si="633"/>
        <v>1</v>
      </c>
      <c r="AK1014" s="162" t="str">
        <f t="shared" si="634"/>
        <v>PRAZNO</v>
      </c>
      <c r="AL1014" s="170"/>
      <c r="AM1014" s="164"/>
    </row>
    <row r="1015" spans="1:39" s="171" customFormat="1" ht="20.25" customHeight="1" x14ac:dyDescent="0.2">
      <c r="A1015" s="259"/>
      <c r="B1015" s="168"/>
      <c r="C1015" s="168"/>
      <c r="D1015" s="168"/>
      <c r="E1015" s="168"/>
      <c r="F1015" s="168"/>
      <c r="G1015" s="168"/>
      <c r="H1015" s="31" t="s">
        <v>691</v>
      </c>
      <c r="I1015" s="169">
        <f>I1017</f>
        <v>655000</v>
      </c>
      <c r="J1015" s="169">
        <f>J1017</f>
        <v>0</v>
      </c>
      <c r="K1015" s="169">
        <f>ROUND(J1015/I1015*100,2)</f>
        <v>0</v>
      </c>
      <c r="L1015" s="169">
        <f>M1015-I1015</f>
        <v>-655000</v>
      </c>
      <c r="M1015" s="19">
        <f>M1017</f>
        <v>0</v>
      </c>
      <c r="N1015" s="19">
        <f>N1017</f>
        <v>705000</v>
      </c>
      <c r="O1015" s="19">
        <f>O1017</f>
        <v>0</v>
      </c>
      <c r="P1015" s="303">
        <f t="shared" si="646"/>
        <v>0</v>
      </c>
      <c r="Q1015" s="19">
        <f t="shared" ref="Q1015:X1015" si="662">Q1017</f>
        <v>705000</v>
      </c>
      <c r="R1015" s="19">
        <f t="shared" si="662"/>
        <v>705000</v>
      </c>
      <c r="S1015" s="19">
        <f t="shared" si="662"/>
        <v>705000</v>
      </c>
      <c r="T1015" s="53">
        <f t="shared" si="662"/>
        <v>705000</v>
      </c>
      <c r="U1015" s="53">
        <f>U1017</f>
        <v>0</v>
      </c>
      <c r="V1015" s="19">
        <f t="shared" si="662"/>
        <v>655000</v>
      </c>
      <c r="W1015" s="19">
        <f t="shared" si="662"/>
        <v>655000</v>
      </c>
      <c r="X1015" s="19">
        <f t="shared" si="662"/>
        <v>655000</v>
      </c>
      <c r="Y1015" s="19">
        <f>Y1017</f>
        <v>0</v>
      </c>
      <c r="Z1015" s="19">
        <f t="shared" si="640"/>
        <v>0</v>
      </c>
      <c r="AA1015" s="19">
        <f t="shared" si="629"/>
        <v>0</v>
      </c>
      <c r="AB1015" s="19">
        <f>AB1017</f>
        <v>655000</v>
      </c>
      <c r="AC1015" s="19">
        <f>AC1017</f>
        <v>0</v>
      </c>
      <c r="AD1015" s="19">
        <f t="shared" si="639"/>
        <v>0</v>
      </c>
      <c r="AE1015" s="19">
        <f t="shared" si="653"/>
        <v>0</v>
      </c>
      <c r="AF1015" s="19">
        <f>AF1017</f>
        <v>655000</v>
      </c>
      <c r="AG1015" s="19">
        <f>AG1017</f>
        <v>655000</v>
      </c>
      <c r="AH1015" s="19">
        <f>AH1017</f>
        <v>655000</v>
      </c>
      <c r="AI1015" s="19">
        <f>AI1017</f>
        <v>655000</v>
      </c>
      <c r="AJ1015" s="162" t="b">
        <f t="shared" si="633"/>
        <v>1</v>
      </c>
      <c r="AK1015" s="162" t="str">
        <f t="shared" si="634"/>
        <v>PRAZNO</v>
      </c>
      <c r="AL1015" s="170"/>
      <c r="AM1015" s="164"/>
    </row>
    <row r="1016" spans="1:39" s="264" customFormat="1" ht="20.25" customHeight="1" x14ac:dyDescent="0.2">
      <c r="A1016" s="259"/>
      <c r="B1016" s="260"/>
      <c r="C1016" s="260"/>
      <c r="D1016" s="260"/>
      <c r="E1016" s="260"/>
      <c r="F1016" s="260"/>
      <c r="G1016" s="260"/>
      <c r="H1016" s="471" t="s">
        <v>827</v>
      </c>
      <c r="I1016" s="181"/>
      <c r="J1016" s="181"/>
      <c r="K1016" s="181"/>
      <c r="L1016" s="181"/>
      <c r="M1016" s="262"/>
      <c r="N1016" s="262"/>
      <c r="O1016" s="262"/>
      <c r="P1016" s="445"/>
      <c r="Q1016" s="262"/>
      <c r="R1016" s="262"/>
      <c r="S1016" s="262"/>
      <c r="T1016" s="342"/>
      <c r="U1016" s="342"/>
      <c r="V1016" s="262">
        <f>V1017</f>
        <v>655000</v>
      </c>
      <c r="W1016" s="262">
        <f>W1017</f>
        <v>655000</v>
      </c>
      <c r="X1016" s="262">
        <f>X1017</f>
        <v>655000</v>
      </c>
      <c r="Y1016" s="262">
        <f>Y1017</f>
        <v>0</v>
      </c>
      <c r="Z1016" s="262">
        <f t="shared" si="640"/>
        <v>0</v>
      </c>
      <c r="AA1016" s="262">
        <f t="shared" si="629"/>
        <v>0</v>
      </c>
      <c r="AB1016" s="262">
        <f>AB1017</f>
        <v>655000</v>
      </c>
      <c r="AC1016" s="262">
        <f>AC1017</f>
        <v>0</v>
      </c>
      <c r="AD1016" s="262">
        <f t="shared" si="639"/>
        <v>0</v>
      </c>
      <c r="AE1016" s="262">
        <f t="shared" si="653"/>
        <v>0</v>
      </c>
      <c r="AF1016" s="262">
        <f>AF1017</f>
        <v>655000</v>
      </c>
      <c r="AG1016" s="262">
        <f>AG1017</f>
        <v>655000</v>
      </c>
      <c r="AH1016" s="262">
        <f>AH1017</f>
        <v>655000</v>
      </c>
      <c r="AI1016" s="262">
        <f>AI1017</f>
        <v>655000</v>
      </c>
      <c r="AJ1016" s="162" t="b">
        <f t="shared" si="633"/>
        <v>1</v>
      </c>
      <c r="AK1016" s="162" t="str">
        <f t="shared" si="634"/>
        <v>PRAZNO</v>
      </c>
      <c r="AL1016" s="263"/>
    </row>
    <row r="1017" spans="1:39" s="174" customFormat="1" ht="15.75" x14ac:dyDescent="0.2">
      <c r="A1017" s="259"/>
      <c r="B1017" s="172">
        <v>3</v>
      </c>
      <c r="C1017" s="172"/>
      <c r="D1017" s="172"/>
      <c r="E1017" s="172"/>
      <c r="F1017" s="172"/>
      <c r="G1017" s="172"/>
      <c r="H1017" s="14" t="s">
        <v>524</v>
      </c>
      <c r="I1017" s="20">
        <f>I1018+I1023</f>
        <v>655000</v>
      </c>
      <c r="J1017" s="20">
        <f>J1018+J1023</f>
        <v>0</v>
      </c>
      <c r="K1017" s="20">
        <f>ROUND(J1017/I1017*100,2)</f>
        <v>0</v>
      </c>
      <c r="L1017" s="20">
        <f>M1017-I1017</f>
        <v>-655000</v>
      </c>
      <c r="M1017" s="20">
        <f>M1018+M1023</f>
        <v>0</v>
      </c>
      <c r="N1017" s="20">
        <f>N1018+N1023</f>
        <v>705000</v>
      </c>
      <c r="O1017" s="20">
        <f>O1018+O1023</f>
        <v>0</v>
      </c>
      <c r="P1017" s="55">
        <f t="shared" si="646"/>
        <v>0</v>
      </c>
      <c r="Q1017" s="20">
        <f t="shared" ref="Q1017:X1017" si="663">Q1018+Q1023</f>
        <v>705000</v>
      </c>
      <c r="R1017" s="20">
        <f t="shared" si="663"/>
        <v>705000</v>
      </c>
      <c r="S1017" s="20">
        <f t="shared" si="663"/>
        <v>705000</v>
      </c>
      <c r="T1017" s="55">
        <f t="shared" si="663"/>
        <v>705000</v>
      </c>
      <c r="U1017" s="55">
        <f>U1018+U1023</f>
        <v>0</v>
      </c>
      <c r="V1017" s="20">
        <f t="shared" si="663"/>
        <v>655000</v>
      </c>
      <c r="W1017" s="20">
        <f t="shared" si="663"/>
        <v>655000</v>
      </c>
      <c r="X1017" s="20">
        <f t="shared" si="663"/>
        <v>655000</v>
      </c>
      <c r="Y1017" s="20">
        <f>Y1018+Y1023</f>
        <v>0</v>
      </c>
      <c r="Z1017" s="20">
        <f t="shared" si="640"/>
        <v>0</v>
      </c>
      <c r="AA1017" s="20">
        <f t="shared" si="629"/>
        <v>0</v>
      </c>
      <c r="AB1017" s="20">
        <f>AB1018+AB1023</f>
        <v>655000</v>
      </c>
      <c r="AC1017" s="20">
        <f>AC1018+AC1023</f>
        <v>0</v>
      </c>
      <c r="AD1017" s="20">
        <f t="shared" si="639"/>
        <v>0</v>
      </c>
      <c r="AE1017" s="20">
        <f t="shared" si="653"/>
        <v>0</v>
      </c>
      <c r="AF1017" s="20">
        <f>AF1018+AF1023</f>
        <v>655000</v>
      </c>
      <c r="AG1017" s="20">
        <f>AG1018+AG1023</f>
        <v>655000</v>
      </c>
      <c r="AH1017" s="20">
        <f>AH1018+AH1023</f>
        <v>655000</v>
      </c>
      <c r="AI1017" s="20">
        <f>AI1018+AI1023</f>
        <v>655000</v>
      </c>
      <c r="AJ1017" s="162" t="b">
        <f t="shared" si="633"/>
        <v>1</v>
      </c>
      <c r="AK1017" s="162" t="str">
        <f t="shared" si="634"/>
        <v>PRAZNO</v>
      </c>
      <c r="AL1017" s="173"/>
      <c r="AM1017" s="164"/>
    </row>
    <row r="1018" spans="1:39" ht="15.75" x14ac:dyDescent="0.2">
      <c r="B1018" s="177"/>
      <c r="C1018" s="177">
        <v>32</v>
      </c>
      <c r="D1018" s="177"/>
      <c r="E1018" s="177"/>
      <c r="F1018" s="177"/>
      <c r="G1018" s="177"/>
      <c r="H1018" s="16" t="s">
        <v>525</v>
      </c>
      <c r="I1018" s="18">
        <f>I1021</f>
        <v>20000</v>
      </c>
      <c r="J1018" s="18">
        <f>J1021</f>
        <v>0</v>
      </c>
      <c r="K1018" s="18">
        <f>ROUND(J1018/I1018*100,2)</f>
        <v>0</v>
      </c>
      <c r="L1018" s="18">
        <f>M1018-I1018</f>
        <v>-20000</v>
      </c>
      <c r="M1018" s="18">
        <f>M1021+M1019</f>
        <v>0</v>
      </c>
      <c r="N1018" s="18">
        <f>N1021+N1019</f>
        <v>70000</v>
      </c>
      <c r="O1018" s="18">
        <f>O1021+O1019</f>
        <v>0</v>
      </c>
      <c r="P1018" s="26">
        <f t="shared" si="646"/>
        <v>0</v>
      </c>
      <c r="Q1018" s="18">
        <f t="shared" ref="Q1018:X1018" si="664">Q1021+Q1019</f>
        <v>70000</v>
      </c>
      <c r="R1018" s="18">
        <f t="shared" si="664"/>
        <v>70000</v>
      </c>
      <c r="S1018" s="18">
        <f t="shared" si="664"/>
        <v>70000</v>
      </c>
      <c r="T1018" s="27">
        <f t="shared" si="664"/>
        <v>70000</v>
      </c>
      <c r="U1018" s="27">
        <f>U1021+U1019</f>
        <v>0</v>
      </c>
      <c r="V1018" s="18">
        <f t="shared" si="664"/>
        <v>20000</v>
      </c>
      <c r="W1018" s="18">
        <f t="shared" si="664"/>
        <v>20000</v>
      </c>
      <c r="X1018" s="18">
        <f t="shared" si="664"/>
        <v>20000</v>
      </c>
      <c r="Y1018" s="18">
        <f>Y1021+Y1019</f>
        <v>0</v>
      </c>
      <c r="Z1018" s="18">
        <f t="shared" si="640"/>
        <v>0</v>
      </c>
      <c r="AA1018" s="18">
        <f t="shared" si="629"/>
        <v>0</v>
      </c>
      <c r="AB1018" s="18">
        <f>AB1021+AB1019</f>
        <v>20000</v>
      </c>
      <c r="AC1018" s="18">
        <f>AC1021+AC1019</f>
        <v>0</v>
      </c>
      <c r="AD1018" s="18">
        <f t="shared" si="639"/>
        <v>0</v>
      </c>
      <c r="AE1018" s="18">
        <f t="shared" si="653"/>
        <v>0</v>
      </c>
      <c r="AF1018" s="18">
        <f>AF1021+AF1019</f>
        <v>20000</v>
      </c>
      <c r="AG1018" s="18">
        <f>AG1021+AG1019</f>
        <v>20000</v>
      </c>
      <c r="AH1018" s="18">
        <f>AH1021+AH1019</f>
        <v>20000</v>
      </c>
      <c r="AI1018" s="18">
        <f>AI1021+AI1019</f>
        <v>20000</v>
      </c>
      <c r="AJ1018" s="162" t="b">
        <f t="shared" si="633"/>
        <v>1</v>
      </c>
      <c r="AK1018" s="162" t="str">
        <f t="shared" si="634"/>
        <v>PRAZNO</v>
      </c>
      <c r="AM1018" s="164"/>
    </row>
    <row r="1019" spans="1:39" ht="15.75" x14ac:dyDescent="0.2">
      <c r="B1019" s="177"/>
      <c r="C1019" s="177"/>
      <c r="D1019" s="177">
        <v>323</v>
      </c>
      <c r="E1019" s="177"/>
      <c r="F1019" s="177"/>
      <c r="G1019" s="177"/>
      <c r="H1019" s="16" t="s">
        <v>526</v>
      </c>
      <c r="I1019" s="18"/>
      <c r="J1019" s="18"/>
      <c r="K1019" s="18"/>
      <c r="L1019" s="18"/>
      <c r="M1019" s="18">
        <f>M1020</f>
        <v>0</v>
      </c>
      <c r="N1019" s="18">
        <f>N1020</f>
        <v>50000</v>
      </c>
      <c r="O1019" s="18">
        <f>O1020</f>
        <v>0</v>
      </c>
      <c r="P1019" s="26">
        <f t="shared" si="646"/>
        <v>0</v>
      </c>
      <c r="Q1019" s="18">
        <f t="shared" ref="Q1019:AI1019" si="665">Q1020</f>
        <v>50000</v>
      </c>
      <c r="R1019" s="18">
        <f t="shared" si="665"/>
        <v>50000</v>
      </c>
      <c r="S1019" s="18">
        <f t="shared" si="665"/>
        <v>50000</v>
      </c>
      <c r="T1019" s="27">
        <f t="shared" si="665"/>
        <v>50000</v>
      </c>
      <c r="U1019" s="27">
        <f t="shared" si="665"/>
        <v>0</v>
      </c>
      <c r="V1019" s="18">
        <f t="shared" si="665"/>
        <v>0</v>
      </c>
      <c r="W1019" s="18">
        <f t="shared" si="665"/>
        <v>0</v>
      </c>
      <c r="X1019" s="18">
        <f t="shared" si="665"/>
        <v>0</v>
      </c>
      <c r="Y1019" s="18">
        <f t="shared" si="665"/>
        <v>0</v>
      </c>
      <c r="Z1019" s="18" t="e">
        <f t="shared" si="640"/>
        <v>#DIV/0!</v>
      </c>
      <c r="AA1019" s="18">
        <f t="shared" si="629"/>
        <v>0</v>
      </c>
      <c r="AB1019" s="18">
        <f t="shared" si="665"/>
        <v>0</v>
      </c>
      <c r="AC1019" s="18">
        <f t="shared" si="665"/>
        <v>0</v>
      </c>
      <c r="AD1019" s="18" t="e">
        <f t="shared" si="639"/>
        <v>#DIV/0!</v>
      </c>
      <c r="AE1019" s="18">
        <f t="shared" si="653"/>
        <v>0</v>
      </c>
      <c r="AF1019" s="18">
        <f t="shared" si="665"/>
        <v>0</v>
      </c>
      <c r="AG1019" s="18">
        <f t="shared" si="665"/>
        <v>0</v>
      </c>
      <c r="AH1019" s="18">
        <f t="shared" si="665"/>
        <v>0</v>
      </c>
      <c r="AI1019" s="18">
        <f t="shared" si="665"/>
        <v>0</v>
      </c>
      <c r="AJ1019" s="162" t="b">
        <f t="shared" si="633"/>
        <v>1</v>
      </c>
      <c r="AK1019" s="162" t="str">
        <f t="shared" si="634"/>
        <v>PRAZNO</v>
      </c>
      <c r="AM1019" s="164"/>
    </row>
    <row r="1020" spans="1:39" ht="19.5" customHeight="1" x14ac:dyDescent="0.2">
      <c r="B1020" s="177"/>
      <c r="C1020" s="177"/>
      <c r="D1020" s="177"/>
      <c r="E1020" s="177">
        <v>3237</v>
      </c>
      <c r="F1020" s="176">
        <v>41</v>
      </c>
      <c r="G1020" s="177"/>
      <c r="H1020" s="16" t="s">
        <v>335</v>
      </c>
      <c r="I1020" s="18"/>
      <c r="J1020" s="18"/>
      <c r="K1020" s="18"/>
      <c r="L1020" s="18"/>
      <c r="M1020" s="18">
        <v>0</v>
      </c>
      <c r="N1020" s="18">
        <v>50000</v>
      </c>
      <c r="O1020" s="18">
        <v>0</v>
      </c>
      <c r="P1020" s="26">
        <f t="shared" si="646"/>
        <v>0</v>
      </c>
      <c r="Q1020" s="18">
        <v>50000</v>
      </c>
      <c r="R1020" s="18">
        <v>50000</v>
      </c>
      <c r="S1020" s="18">
        <v>50000</v>
      </c>
      <c r="T1020" s="27">
        <v>50000</v>
      </c>
      <c r="U1020" s="27">
        <v>0</v>
      </c>
      <c r="V1020" s="18">
        <v>0</v>
      </c>
      <c r="W1020" s="18">
        <v>0</v>
      </c>
      <c r="X1020" s="18">
        <v>0</v>
      </c>
      <c r="Y1020" s="18"/>
      <c r="Z1020" s="18" t="e">
        <f t="shared" si="640"/>
        <v>#DIV/0!</v>
      </c>
      <c r="AA1020" s="18">
        <f t="shared" si="629"/>
        <v>0</v>
      </c>
      <c r="AB1020" s="18">
        <v>0</v>
      </c>
      <c r="AC1020" s="18"/>
      <c r="AD1020" s="18" t="e">
        <f t="shared" si="639"/>
        <v>#DIV/0!</v>
      </c>
      <c r="AE1020" s="18">
        <f t="shared" si="653"/>
        <v>0</v>
      </c>
      <c r="AF1020" s="18">
        <v>0</v>
      </c>
      <c r="AG1020" s="18">
        <v>0</v>
      </c>
      <c r="AH1020" s="18">
        <v>0</v>
      </c>
      <c r="AI1020" s="18">
        <v>0</v>
      </c>
      <c r="AJ1020" s="162" t="b">
        <f t="shared" si="633"/>
        <v>0</v>
      </c>
      <c r="AK1020" s="162" t="str">
        <f t="shared" si="634"/>
        <v>PUNO</v>
      </c>
      <c r="AM1020" s="164"/>
    </row>
    <row r="1021" spans="1:39" ht="15.75" x14ac:dyDescent="0.2">
      <c r="B1021" s="177"/>
      <c r="C1021" s="177"/>
      <c r="D1021" s="177">
        <v>329</v>
      </c>
      <c r="E1021" s="177"/>
      <c r="F1021" s="177"/>
      <c r="G1021" s="177"/>
      <c r="H1021" s="16" t="s">
        <v>531</v>
      </c>
      <c r="I1021" s="18">
        <f t="shared" ref="I1021:O1021" si="666">I1022</f>
        <v>20000</v>
      </c>
      <c r="J1021" s="18">
        <f t="shared" si="666"/>
        <v>0</v>
      </c>
      <c r="K1021" s="18">
        <f t="shared" ref="K1021:K1026" si="667">ROUND(J1021/I1021*100,2)</f>
        <v>0</v>
      </c>
      <c r="L1021" s="18">
        <f t="shared" ref="L1021:L1034" si="668">M1021-I1021</f>
        <v>-20000</v>
      </c>
      <c r="M1021" s="18">
        <f t="shared" si="666"/>
        <v>0</v>
      </c>
      <c r="N1021" s="18">
        <f>N1022</f>
        <v>20000</v>
      </c>
      <c r="O1021" s="18">
        <f t="shared" si="666"/>
        <v>0</v>
      </c>
      <c r="P1021" s="26">
        <f t="shared" si="646"/>
        <v>0</v>
      </c>
      <c r="Q1021" s="18">
        <f t="shared" ref="Q1021:AI1021" si="669">Q1022</f>
        <v>20000</v>
      </c>
      <c r="R1021" s="18">
        <f t="shared" si="669"/>
        <v>20000</v>
      </c>
      <c r="S1021" s="18">
        <f t="shared" si="669"/>
        <v>20000</v>
      </c>
      <c r="T1021" s="27">
        <f t="shared" si="669"/>
        <v>20000</v>
      </c>
      <c r="U1021" s="27">
        <f t="shared" si="669"/>
        <v>0</v>
      </c>
      <c r="V1021" s="18">
        <f t="shared" si="669"/>
        <v>20000</v>
      </c>
      <c r="W1021" s="18">
        <f t="shared" si="669"/>
        <v>20000</v>
      </c>
      <c r="X1021" s="18">
        <f t="shared" si="669"/>
        <v>20000</v>
      </c>
      <c r="Y1021" s="18">
        <f t="shared" si="669"/>
        <v>0</v>
      </c>
      <c r="Z1021" s="18">
        <f t="shared" si="640"/>
        <v>0</v>
      </c>
      <c r="AA1021" s="18">
        <f t="shared" si="629"/>
        <v>0</v>
      </c>
      <c r="AB1021" s="18">
        <f t="shared" si="669"/>
        <v>20000</v>
      </c>
      <c r="AC1021" s="18">
        <f t="shared" si="669"/>
        <v>0</v>
      </c>
      <c r="AD1021" s="18">
        <f t="shared" si="639"/>
        <v>0</v>
      </c>
      <c r="AE1021" s="18">
        <f t="shared" si="653"/>
        <v>0</v>
      </c>
      <c r="AF1021" s="18">
        <f t="shared" si="669"/>
        <v>20000</v>
      </c>
      <c r="AG1021" s="18">
        <f t="shared" si="669"/>
        <v>20000</v>
      </c>
      <c r="AH1021" s="18">
        <f t="shared" si="669"/>
        <v>20000</v>
      </c>
      <c r="AI1021" s="18">
        <f t="shared" si="669"/>
        <v>20000</v>
      </c>
      <c r="AJ1021" s="162" t="b">
        <f t="shared" si="633"/>
        <v>1</v>
      </c>
      <c r="AK1021" s="162" t="str">
        <f t="shared" si="634"/>
        <v>PRAZNO</v>
      </c>
      <c r="AM1021" s="164"/>
    </row>
    <row r="1022" spans="1:39" ht="30" x14ac:dyDescent="0.2">
      <c r="B1022" s="177"/>
      <c r="C1022" s="177"/>
      <c r="D1022" s="177"/>
      <c r="E1022" s="177">
        <v>3299</v>
      </c>
      <c r="F1022" s="176">
        <v>41</v>
      </c>
      <c r="G1022" s="176" t="s">
        <v>424</v>
      </c>
      <c r="H1022" s="16" t="s">
        <v>38</v>
      </c>
      <c r="I1022" s="18">
        <v>20000</v>
      </c>
      <c r="J1022" s="18">
        <v>0</v>
      </c>
      <c r="K1022" s="18">
        <f t="shared" si="667"/>
        <v>0</v>
      </c>
      <c r="L1022" s="18">
        <f t="shared" si="668"/>
        <v>-20000</v>
      </c>
      <c r="M1022" s="18">
        <v>0</v>
      </c>
      <c r="N1022" s="18">
        <v>20000</v>
      </c>
      <c r="O1022" s="18">
        <v>0</v>
      </c>
      <c r="P1022" s="26">
        <f t="shared" si="646"/>
        <v>0</v>
      </c>
      <c r="Q1022" s="18">
        <v>20000</v>
      </c>
      <c r="R1022" s="18">
        <v>20000</v>
      </c>
      <c r="S1022" s="18">
        <v>20000</v>
      </c>
      <c r="T1022" s="27">
        <v>20000</v>
      </c>
      <c r="U1022" s="27">
        <v>0</v>
      </c>
      <c r="V1022" s="27">
        <v>20000</v>
      </c>
      <c r="W1022" s="27">
        <v>20000</v>
      </c>
      <c r="X1022" s="27">
        <v>20000</v>
      </c>
      <c r="Y1022" s="27">
        <v>0</v>
      </c>
      <c r="Z1022" s="27">
        <f t="shared" si="640"/>
        <v>0</v>
      </c>
      <c r="AA1022" s="27">
        <f t="shared" si="629"/>
        <v>0</v>
      </c>
      <c r="AB1022" s="27">
        <v>20000</v>
      </c>
      <c r="AC1022" s="27">
        <v>0</v>
      </c>
      <c r="AD1022" s="27">
        <f t="shared" si="639"/>
        <v>0</v>
      </c>
      <c r="AE1022" s="27">
        <f t="shared" si="653"/>
        <v>0</v>
      </c>
      <c r="AF1022" s="27">
        <v>20000</v>
      </c>
      <c r="AG1022" s="27">
        <v>20000</v>
      </c>
      <c r="AH1022" s="27">
        <v>20000</v>
      </c>
      <c r="AI1022" s="27">
        <v>20000</v>
      </c>
      <c r="AJ1022" s="162" t="b">
        <f t="shared" si="633"/>
        <v>0</v>
      </c>
      <c r="AK1022" s="162" t="str">
        <f t="shared" si="634"/>
        <v>PUNO</v>
      </c>
      <c r="AM1022" s="164"/>
    </row>
    <row r="1023" spans="1:39" ht="30" x14ac:dyDescent="0.2">
      <c r="B1023" s="177"/>
      <c r="C1023" s="177">
        <v>37</v>
      </c>
      <c r="D1023" s="177"/>
      <c r="E1023" s="177"/>
      <c r="F1023" s="177"/>
      <c r="G1023" s="177"/>
      <c r="H1023" s="16" t="s">
        <v>410</v>
      </c>
      <c r="I1023" s="18">
        <f>I1024</f>
        <v>635000</v>
      </c>
      <c r="J1023" s="18">
        <f>J1024</f>
        <v>0</v>
      </c>
      <c r="K1023" s="18">
        <f t="shared" si="667"/>
        <v>0</v>
      </c>
      <c r="L1023" s="18">
        <f t="shared" si="668"/>
        <v>-635000</v>
      </c>
      <c r="M1023" s="18">
        <f>M1024</f>
        <v>0</v>
      </c>
      <c r="N1023" s="18">
        <f t="shared" ref="N1023:AI1024" si="670">N1024</f>
        <v>635000</v>
      </c>
      <c r="O1023" s="18">
        <f>O1024</f>
        <v>0</v>
      </c>
      <c r="P1023" s="26">
        <f t="shared" si="646"/>
        <v>0</v>
      </c>
      <c r="Q1023" s="18">
        <f t="shared" si="670"/>
        <v>635000</v>
      </c>
      <c r="R1023" s="18">
        <f t="shared" si="670"/>
        <v>635000</v>
      </c>
      <c r="S1023" s="18">
        <f t="shared" si="670"/>
        <v>635000</v>
      </c>
      <c r="T1023" s="27">
        <f t="shared" si="670"/>
        <v>635000</v>
      </c>
      <c r="U1023" s="27">
        <f t="shared" si="670"/>
        <v>0</v>
      </c>
      <c r="V1023" s="18">
        <f t="shared" si="670"/>
        <v>635000</v>
      </c>
      <c r="W1023" s="18">
        <f t="shared" si="670"/>
        <v>635000</v>
      </c>
      <c r="X1023" s="18">
        <f t="shared" si="670"/>
        <v>635000</v>
      </c>
      <c r="Y1023" s="18">
        <f t="shared" si="670"/>
        <v>0</v>
      </c>
      <c r="Z1023" s="18">
        <f t="shared" si="640"/>
        <v>0</v>
      </c>
      <c r="AA1023" s="18">
        <f t="shared" si="629"/>
        <v>0</v>
      </c>
      <c r="AB1023" s="18">
        <f t="shared" si="670"/>
        <v>635000</v>
      </c>
      <c r="AC1023" s="18">
        <f t="shared" si="670"/>
        <v>0</v>
      </c>
      <c r="AD1023" s="18">
        <f t="shared" si="639"/>
        <v>0</v>
      </c>
      <c r="AE1023" s="18">
        <f t="shared" si="653"/>
        <v>0</v>
      </c>
      <c r="AF1023" s="18">
        <f t="shared" si="670"/>
        <v>635000</v>
      </c>
      <c r="AG1023" s="18">
        <f t="shared" si="670"/>
        <v>635000</v>
      </c>
      <c r="AH1023" s="18">
        <f t="shared" si="670"/>
        <v>635000</v>
      </c>
      <c r="AI1023" s="18">
        <f t="shared" si="670"/>
        <v>635000</v>
      </c>
      <c r="AJ1023" s="162" t="b">
        <f t="shared" si="633"/>
        <v>1</v>
      </c>
      <c r="AK1023" s="162" t="str">
        <f t="shared" si="634"/>
        <v>PRAZNO</v>
      </c>
      <c r="AM1023" s="164"/>
    </row>
    <row r="1024" spans="1:39" ht="27" customHeight="1" x14ac:dyDescent="0.2">
      <c r="B1024" s="177"/>
      <c r="C1024" s="177"/>
      <c r="D1024" s="177">
        <v>372</v>
      </c>
      <c r="E1024" s="177"/>
      <c r="F1024" s="177"/>
      <c r="G1024" s="177"/>
      <c r="H1024" s="16" t="s">
        <v>411</v>
      </c>
      <c r="I1024" s="18">
        <f>I1025</f>
        <v>635000</v>
      </c>
      <c r="J1024" s="18">
        <f>J1025</f>
        <v>0</v>
      </c>
      <c r="K1024" s="18">
        <f t="shared" si="667"/>
        <v>0</v>
      </c>
      <c r="L1024" s="18">
        <f t="shared" si="668"/>
        <v>-635000</v>
      </c>
      <c r="M1024" s="18">
        <f>M1025</f>
        <v>0</v>
      </c>
      <c r="N1024" s="18">
        <f t="shared" si="670"/>
        <v>635000</v>
      </c>
      <c r="O1024" s="18">
        <f>O1025</f>
        <v>0</v>
      </c>
      <c r="P1024" s="26">
        <f t="shared" si="646"/>
        <v>0</v>
      </c>
      <c r="Q1024" s="18">
        <f t="shared" si="670"/>
        <v>635000</v>
      </c>
      <c r="R1024" s="18">
        <f t="shared" si="670"/>
        <v>635000</v>
      </c>
      <c r="S1024" s="18">
        <f t="shared" si="670"/>
        <v>635000</v>
      </c>
      <c r="T1024" s="27">
        <f t="shared" si="670"/>
        <v>635000</v>
      </c>
      <c r="U1024" s="27">
        <f t="shared" si="670"/>
        <v>0</v>
      </c>
      <c r="V1024" s="18">
        <f t="shared" si="670"/>
        <v>635000</v>
      </c>
      <c r="W1024" s="18">
        <f t="shared" si="670"/>
        <v>635000</v>
      </c>
      <c r="X1024" s="18">
        <f t="shared" si="670"/>
        <v>635000</v>
      </c>
      <c r="Y1024" s="18">
        <f t="shared" si="670"/>
        <v>0</v>
      </c>
      <c r="Z1024" s="18">
        <f t="shared" si="640"/>
        <v>0</v>
      </c>
      <c r="AA1024" s="18">
        <f t="shared" ref="AA1024:AA1087" si="671">AB1024-V1024</f>
        <v>0</v>
      </c>
      <c r="AB1024" s="18">
        <f t="shared" si="670"/>
        <v>635000</v>
      </c>
      <c r="AC1024" s="18">
        <f t="shared" si="670"/>
        <v>0</v>
      </c>
      <c r="AD1024" s="18">
        <f t="shared" si="639"/>
        <v>0</v>
      </c>
      <c r="AE1024" s="18">
        <f t="shared" si="653"/>
        <v>0</v>
      </c>
      <c r="AF1024" s="18">
        <f t="shared" si="670"/>
        <v>635000</v>
      </c>
      <c r="AG1024" s="18">
        <f t="shared" si="670"/>
        <v>635000</v>
      </c>
      <c r="AH1024" s="18">
        <f t="shared" si="670"/>
        <v>635000</v>
      </c>
      <c r="AI1024" s="18">
        <f t="shared" si="670"/>
        <v>635000</v>
      </c>
      <c r="AJ1024" s="162" t="b">
        <f t="shared" si="633"/>
        <v>1</v>
      </c>
      <c r="AK1024" s="162" t="str">
        <f t="shared" si="634"/>
        <v>PRAZNO</v>
      </c>
      <c r="AM1024" s="164"/>
    </row>
    <row r="1025" spans="1:39" ht="30" x14ac:dyDescent="0.2">
      <c r="B1025" s="177"/>
      <c r="C1025" s="177"/>
      <c r="D1025" s="177"/>
      <c r="E1025" s="177">
        <v>3721</v>
      </c>
      <c r="F1025" s="176">
        <v>41</v>
      </c>
      <c r="G1025" s="176" t="s">
        <v>424</v>
      </c>
      <c r="H1025" s="16" t="s">
        <v>393</v>
      </c>
      <c r="I1025" s="18">
        <v>635000</v>
      </c>
      <c r="J1025" s="18">
        <v>0</v>
      </c>
      <c r="K1025" s="18">
        <f t="shared" si="667"/>
        <v>0</v>
      </c>
      <c r="L1025" s="18">
        <f t="shared" si="668"/>
        <v>-635000</v>
      </c>
      <c r="M1025" s="18">
        <v>0</v>
      </c>
      <c r="N1025" s="18">
        <v>635000</v>
      </c>
      <c r="O1025" s="18">
        <v>0</v>
      </c>
      <c r="P1025" s="26">
        <f t="shared" si="646"/>
        <v>0</v>
      </c>
      <c r="Q1025" s="18">
        <v>635000</v>
      </c>
      <c r="R1025" s="18">
        <v>635000</v>
      </c>
      <c r="S1025" s="18">
        <v>635000</v>
      </c>
      <c r="T1025" s="27">
        <v>635000</v>
      </c>
      <c r="U1025" s="27">
        <v>0</v>
      </c>
      <c r="V1025" s="18">
        <v>635000</v>
      </c>
      <c r="W1025" s="18">
        <v>635000</v>
      </c>
      <c r="X1025" s="18">
        <v>635000</v>
      </c>
      <c r="Y1025" s="18">
        <v>0</v>
      </c>
      <c r="Z1025" s="18">
        <f t="shared" si="640"/>
        <v>0</v>
      </c>
      <c r="AA1025" s="18">
        <f t="shared" si="671"/>
        <v>0</v>
      </c>
      <c r="AB1025" s="18">
        <v>635000</v>
      </c>
      <c r="AC1025" s="18">
        <v>0</v>
      </c>
      <c r="AD1025" s="18">
        <f t="shared" si="639"/>
        <v>0</v>
      </c>
      <c r="AE1025" s="18">
        <f t="shared" si="653"/>
        <v>0</v>
      </c>
      <c r="AF1025" s="18">
        <v>635000</v>
      </c>
      <c r="AG1025" s="18">
        <v>635000</v>
      </c>
      <c r="AH1025" s="18">
        <v>635000</v>
      </c>
      <c r="AI1025" s="18">
        <v>635000</v>
      </c>
      <c r="AJ1025" s="162" t="b">
        <f t="shared" si="633"/>
        <v>0</v>
      </c>
      <c r="AK1025" s="162" t="str">
        <f t="shared" si="634"/>
        <v>PUNO</v>
      </c>
      <c r="AM1025" s="164"/>
    </row>
    <row r="1026" spans="1:39" s="171" customFormat="1" ht="20.25" customHeight="1" x14ac:dyDescent="0.2">
      <c r="A1026" s="259"/>
      <c r="B1026" s="168"/>
      <c r="C1026" s="168"/>
      <c r="D1026" s="168"/>
      <c r="E1026" s="168"/>
      <c r="F1026" s="168"/>
      <c r="G1026" s="168"/>
      <c r="H1026" s="31" t="s">
        <v>25</v>
      </c>
      <c r="I1026" s="169">
        <f>I1028</f>
        <v>584000</v>
      </c>
      <c r="J1026" s="169">
        <f>J1028</f>
        <v>0</v>
      </c>
      <c r="K1026" s="169">
        <f t="shared" si="667"/>
        <v>0</v>
      </c>
      <c r="L1026" s="169">
        <f t="shared" si="668"/>
        <v>-41645</v>
      </c>
      <c r="M1026" s="19">
        <f>M1028</f>
        <v>542355</v>
      </c>
      <c r="N1026" s="19">
        <f>N1028</f>
        <v>544000</v>
      </c>
      <c r="O1026" s="19">
        <f>O1028</f>
        <v>0</v>
      </c>
      <c r="P1026" s="303">
        <f t="shared" si="646"/>
        <v>0</v>
      </c>
      <c r="Q1026" s="19">
        <f t="shared" ref="Q1026:X1026" si="672">Q1028</f>
        <v>544000</v>
      </c>
      <c r="R1026" s="19">
        <f t="shared" si="672"/>
        <v>544000</v>
      </c>
      <c r="S1026" s="19">
        <f t="shared" si="672"/>
        <v>544000</v>
      </c>
      <c r="T1026" s="53">
        <f t="shared" si="672"/>
        <v>544000</v>
      </c>
      <c r="U1026" s="53">
        <f>U1028</f>
        <v>542355</v>
      </c>
      <c r="V1026" s="19">
        <f t="shared" si="672"/>
        <v>544000</v>
      </c>
      <c r="W1026" s="19">
        <f t="shared" si="672"/>
        <v>544000</v>
      </c>
      <c r="X1026" s="19">
        <f t="shared" si="672"/>
        <v>544000</v>
      </c>
      <c r="Y1026" s="19">
        <f>Y1028</f>
        <v>0</v>
      </c>
      <c r="Z1026" s="19">
        <f t="shared" si="640"/>
        <v>0</v>
      </c>
      <c r="AA1026" s="19">
        <f t="shared" si="671"/>
        <v>0</v>
      </c>
      <c r="AB1026" s="19">
        <f>AB1028</f>
        <v>544000</v>
      </c>
      <c r="AC1026" s="19">
        <f>AC1028</f>
        <v>0</v>
      </c>
      <c r="AD1026" s="19">
        <f t="shared" si="639"/>
        <v>0</v>
      </c>
      <c r="AE1026" s="19">
        <f t="shared" si="653"/>
        <v>0</v>
      </c>
      <c r="AF1026" s="19">
        <f>AF1028</f>
        <v>544000</v>
      </c>
      <c r="AG1026" s="19">
        <f>AG1028</f>
        <v>544000</v>
      </c>
      <c r="AH1026" s="19">
        <f>AH1028</f>
        <v>544000</v>
      </c>
      <c r="AI1026" s="19">
        <f>AI1028</f>
        <v>544000</v>
      </c>
      <c r="AJ1026" s="162" t="b">
        <f t="shared" si="633"/>
        <v>1</v>
      </c>
      <c r="AK1026" s="162" t="str">
        <f t="shared" si="634"/>
        <v>PRAZNO</v>
      </c>
      <c r="AL1026" s="170"/>
      <c r="AM1026" s="164"/>
    </row>
    <row r="1027" spans="1:39" s="264" customFormat="1" ht="20.25" customHeight="1" x14ac:dyDescent="0.2">
      <c r="A1027" s="259"/>
      <c r="B1027" s="260"/>
      <c r="C1027" s="260"/>
      <c r="D1027" s="260"/>
      <c r="E1027" s="260"/>
      <c r="F1027" s="260"/>
      <c r="G1027" s="260"/>
      <c r="H1027" s="471" t="s">
        <v>827</v>
      </c>
      <c r="I1027" s="181"/>
      <c r="J1027" s="181"/>
      <c r="K1027" s="181"/>
      <c r="L1027" s="181"/>
      <c r="M1027" s="262"/>
      <c r="N1027" s="262"/>
      <c r="O1027" s="262"/>
      <c r="P1027" s="445"/>
      <c r="Q1027" s="262"/>
      <c r="R1027" s="262"/>
      <c r="S1027" s="262"/>
      <c r="T1027" s="342"/>
      <c r="U1027" s="342"/>
      <c r="V1027" s="262">
        <f>V1028</f>
        <v>544000</v>
      </c>
      <c r="W1027" s="262">
        <f>W1028</f>
        <v>544000</v>
      </c>
      <c r="X1027" s="262">
        <f>X1028</f>
        <v>544000</v>
      </c>
      <c r="Y1027" s="262">
        <f>Y1028</f>
        <v>0</v>
      </c>
      <c r="Z1027" s="262">
        <f t="shared" si="640"/>
        <v>0</v>
      </c>
      <c r="AA1027" s="262">
        <f t="shared" si="671"/>
        <v>0</v>
      </c>
      <c r="AB1027" s="262">
        <f>AB1028</f>
        <v>544000</v>
      </c>
      <c r="AC1027" s="262">
        <f>AC1028</f>
        <v>0</v>
      </c>
      <c r="AD1027" s="262">
        <f t="shared" si="639"/>
        <v>0</v>
      </c>
      <c r="AE1027" s="262">
        <f t="shared" si="653"/>
        <v>0</v>
      </c>
      <c r="AF1027" s="262">
        <f>AF1028</f>
        <v>544000</v>
      </c>
      <c r="AG1027" s="262">
        <f>AG1028</f>
        <v>544000</v>
      </c>
      <c r="AH1027" s="262">
        <f>AH1028</f>
        <v>544000</v>
      </c>
      <c r="AI1027" s="262">
        <f>AI1028</f>
        <v>544000</v>
      </c>
      <c r="AJ1027" s="162" t="b">
        <f t="shared" si="633"/>
        <v>1</v>
      </c>
      <c r="AK1027" s="162" t="str">
        <f t="shared" si="634"/>
        <v>PRAZNO</v>
      </c>
      <c r="AL1027" s="263"/>
    </row>
    <row r="1028" spans="1:39" s="174" customFormat="1" ht="15.75" x14ac:dyDescent="0.2">
      <c r="A1028" s="259"/>
      <c r="B1028" s="172">
        <v>3</v>
      </c>
      <c r="C1028" s="172"/>
      <c r="D1028" s="172"/>
      <c r="E1028" s="172"/>
      <c r="F1028" s="172"/>
      <c r="G1028" s="172"/>
      <c r="H1028" s="14" t="s">
        <v>524</v>
      </c>
      <c r="I1028" s="20">
        <f>I1032+I1029</f>
        <v>584000</v>
      </c>
      <c r="J1028" s="20">
        <f>J1032</f>
        <v>0</v>
      </c>
      <c r="K1028" s="20">
        <f>ROUND(J1028/I1028*100,2)</f>
        <v>0</v>
      </c>
      <c r="L1028" s="20">
        <f t="shared" si="668"/>
        <v>-41645</v>
      </c>
      <c r="M1028" s="20">
        <f>M1032+M1029</f>
        <v>542355</v>
      </c>
      <c r="N1028" s="20">
        <f>N1032+N1029</f>
        <v>544000</v>
      </c>
      <c r="O1028" s="20">
        <f>O1032+O1029</f>
        <v>0</v>
      </c>
      <c r="P1028" s="55">
        <f t="shared" si="646"/>
        <v>0</v>
      </c>
      <c r="Q1028" s="20">
        <f t="shared" ref="Q1028:X1028" si="673">Q1032+Q1029</f>
        <v>544000</v>
      </c>
      <c r="R1028" s="20">
        <f t="shared" si="673"/>
        <v>544000</v>
      </c>
      <c r="S1028" s="20">
        <f t="shared" si="673"/>
        <v>544000</v>
      </c>
      <c r="T1028" s="55">
        <f t="shared" si="673"/>
        <v>544000</v>
      </c>
      <c r="U1028" s="55">
        <f>U1032+U1029</f>
        <v>542355</v>
      </c>
      <c r="V1028" s="20">
        <f t="shared" si="673"/>
        <v>544000</v>
      </c>
      <c r="W1028" s="20">
        <f t="shared" si="673"/>
        <v>544000</v>
      </c>
      <c r="X1028" s="20">
        <f t="shared" si="673"/>
        <v>544000</v>
      </c>
      <c r="Y1028" s="20">
        <f>Y1032+Y1029</f>
        <v>0</v>
      </c>
      <c r="Z1028" s="20">
        <f t="shared" si="640"/>
        <v>0</v>
      </c>
      <c r="AA1028" s="20">
        <f t="shared" si="671"/>
        <v>0</v>
      </c>
      <c r="AB1028" s="20">
        <f>AB1032+AB1029</f>
        <v>544000</v>
      </c>
      <c r="AC1028" s="20">
        <f>AC1032+AC1029</f>
        <v>0</v>
      </c>
      <c r="AD1028" s="20">
        <f t="shared" si="639"/>
        <v>0</v>
      </c>
      <c r="AE1028" s="20">
        <f t="shared" si="653"/>
        <v>0</v>
      </c>
      <c r="AF1028" s="20">
        <f>AF1032+AF1029</f>
        <v>544000</v>
      </c>
      <c r="AG1028" s="20">
        <f>AG1032+AG1029</f>
        <v>544000</v>
      </c>
      <c r="AH1028" s="20">
        <f>AH1032+AH1029</f>
        <v>544000</v>
      </c>
      <c r="AI1028" s="20">
        <f>AI1032+AI1029</f>
        <v>544000</v>
      </c>
      <c r="AJ1028" s="162" t="b">
        <f t="shared" si="633"/>
        <v>1</v>
      </c>
      <c r="AK1028" s="162" t="str">
        <f t="shared" si="634"/>
        <v>PRAZNO</v>
      </c>
      <c r="AL1028" s="173"/>
      <c r="AM1028" s="164"/>
    </row>
    <row r="1029" spans="1:39" ht="15.75" x14ac:dyDescent="0.2">
      <c r="B1029" s="177"/>
      <c r="C1029" s="177">
        <v>35</v>
      </c>
      <c r="D1029" s="177"/>
      <c r="E1029" s="177"/>
      <c r="F1029" s="177"/>
      <c r="G1029" s="177"/>
      <c r="H1029" s="16" t="s">
        <v>749</v>
      </c>
      <c r="I1029" s="18">
        <f>I1030</f>
        <v>0</v>
      </c>
      <c r="J1029" s="18">
        <f>J1030</f>
        <v>0</v>
      </c>
      <c r="K1029" s="18"/>
      <c r="L1029" s="18">
        <f t="shared" si="668"/>
        <v>159336</v>
      </c>
      <c r="M1029" s="18">
        <f t="shared" ref="M1029:AI1030" si="674">M1030</f>
        <v>159336</v>
      </c>
      <c r="N1029" s="18">
        <f t="shared" si="674"/>
        <v>160000</v>
      </c>
      <c r="O1029" s="18">
        <f t="shared" si="674"/>
        <v>0</v>
      </c>
      <c r="P1029" s="26">
        <f t="shared" si="646"/>
        <v>0</v>
      </c>
      <c r="Q1029" s="18">
        <f t="shared" si="674"/>
        <v>160000</v>
      </c>
      <c r="R1029" s="18">
        <f t="shared" si="674"/>
        <v>160000</v>
      </c>
      <c r="S1029" s="18">
        <f t="shared" si="674"/>
        <v>160000</v>
      </c>
      <c r="T1029" s="27">
        <f t="shared" si="674"/>
        <v>160000</v>
      </c>
      <c r="U1029" s="27">
        <f t="shared" si="674"/>
        <v>159336</v>
      </c>
      <c r="V1029" s="18">
        <f t="shared" si="674"/>
        <v>160000</v>
      </c>
      <c r="W1029" s="18">
        <f t="shared" si="674"/>
        <v>160000</v>
      </c>
      <c r="X1029" s="18">
        <f t="shared" si="674"/>
        <v>160000</v>
      </c>
      <c r="Y1029" s="18">
        <f t="shared" si="674"/>
        <v>0</v>
      </c>
      <c r="Z1029" s="18">
        <f t="shared" si="640"/>
        <v>0</v>
      </c>
      <c r="AA1029" s="18">
        <f t="shared" si="671"/>
        <v>0</v>
      </c>
      <c r="AB1029" s="18">
        <f t="shared" si="674"/>
        <v>160000</v>
      </c>
      <c r="AC1029" s="18">
        <f t="shared" si="674"/>
        <v>0</v>
      </c>
      <c r="AD1029" s="18">
        <f t="shared" si="639"/>
        <v>0</v>
      </c>
      <c r="AE1029" s="18">
        <f t="shared" si="653"/>
        <v>0</v>
      </c>
      <c r="AF1029" s="18">
        <f t="shared" si="674"/>
        <v>160000</v>
      </c>
      <c r="AG1029" s="18">
        <f t="shared" si="674"/>
        <v>160000</v>
      </c>
      <c r="AH1029" s="18">
        <f t="shared" si="674"/>
        <v>160000</v>
      </c>
      <c r="AI1029" s="18">
        <f t="shared" si="674"/>
        <v>160000</v>
      </c>
      <c r="AJ1029" s="162" t="b">
        <f t="shared" si="633"/>
        <v>1</v>
      </c>
      <c r="AK1029" s="162" t="str">
        <f t="shared" si="634"/>
        <v>PRAZNO</v>
      </c>
      <c r="AM1029" s="164"/>
    </row>
    <row r="1030" spans="1:39" ht="30" x14ac:dyDescent="0.2">
      <c r="B1030" s="177"/>
      <c r="C1030" s="177"/>
      <c r="D1030" s="177">
        <v>352</v>
      </c>
      <c r="E1030" s="177"/>
      <c r="F1030" s="177"/>
      <c r="G1030" s="177"/>
      <c r="H1030" s="16" t="s">
        <v>748</v>
      </c>
      <c r="I1030" s="18">
        <f>I1031</f>
        <v>0</v>
      </c>
      <c r="J1030" s="18">
        <f>J1031</f>
        <v>0</v>
      </c>
      <c r="K1030" s="18"/>
      <c r="L1030" s="18">
        <f t="shared" si="668"/>
        <v>159336</v>
      </c>
      <c r="M1030" s="18">
        <f t="shared" si="674"/>
        <v>159336</v>
      </c>
      <c r="N1030" s="18">
        <f t="shared" si="674"/>
        <v>160000</v>
      </c>
      <c r="O1030" s="18">
        <f t="shared" si="674"/>
        <v>0</v>
      </c>
      <c r="P1030" s="26">
        <f t="shared" si="646"/>
        <v>0</v>
      </c>
      <c r="Q1030" s="18">
        <f t="shared" si="674"/>
        <v>160000</v>
      </c>
      <c r="R1030" s="18">
        <f t="shared" si="674"/>
        <v>160000</v>
      </c>
      <c r="S1030" s="18">
        <f t="shared" si="674"/>
        <v>160000</v>
      </c>
      <c r="T1030" s="27">
        <f t="shared" si="674"/>
        <v>160000</v>
      </c>
      <c r="U1030" s="27">
        <f t="shared" si="674"/>
        <v>159336</v>
      </c>
      <c r="V1030" s="18">
        <f t="shared" si="674"/>
        <v>160000</v>
      </c>
      <c r="W1030" s="18">
        <f t="shared" si="674"/>
        <v>160000</v>
      </c>
      <c r="X1030" s="18">
        <f t="shared" si="674"/>
        <v>160000</v>
      </c>
      <c r="Y1030" s="18">
        <f t="shared" si="674"/>
        <v>0</v>
      </c>
      <c r="Z1030" s="18">
        <f t="shared" si="640"/>
        <v>0</v>
      </c>
      <c r="AA1030" s="18">
        <f t="shared" si="671"/>
        <v>0</v>
      </c>
      <c r="AB1030" s="18">
        <f t="shared" si="674"/>
        <v>160000</v>
      </c>
      <c r="AC1030" s="18">
        <f t="shared" si="674"/>
        <v>0</v>
      </c>
      <c r="AD1030" s="18">
        <f t="shared" si="639"/>
        <v>0</v>
      </c>
      <c r="AE1030" s="18">
        <f t="shared" si="653"/>
        <v>0</v>
      </c>
      <c r="AF1030" s="18">
        <f t="shared" si="674"/>
        <v>160000</v>
      </c>
      <c r="AG1030" s="18">
        <f t="shared" si="674"/>
        <v>160000</v>
      </c>
      <c r="AH1030" s="18">
        <f t="shared" si="674"/>
        <v>160000</v>
      </c>
      <c r="AI1030" s="18">
        <f t="shared" si="674"/>
        <v>160000</v>
      </c>
      <c r="AJ1030" s="162" t="b">
        <f t="shared" si="633"/>
        <v>1</v>
      </c>
      <c r="AK1030" s="162" t="str">
        <f t="shared" si="634"/>
        <v>PRAZNO</v>
      </c>
      <c r="AM1030" s="164"/>
    </row>
    <row r="1031" spans="1:39" ht="30" customHeight="1" x14ac:dyDescent="0.2">
      <c r="B1031" s="177"/>
      <c r="C1031" s="177"/>
      <c r="D1031" s="177"/>
      <c r="E1031" s="177">
        <v>3522</v>
      </c>
      <c r="F1031" s="177">
        <v>41</v>
      </c>
      <c r="G1031" s="177"/>
      <c r="H1031" s="16" t="s">
        <v>498</v>
      </c>
      <c r="I1031" s="18">
        <v>0</v>
      </c>
      <c r="J1031" s="18">
        <v>0</v>
      </c>
      <c r="K1031" s="18"/>
      <c r="L1031" s="18">
        <f t="shared" si="668"/>
        <v>159336</v>
      </c>
      <c r="M1031" s="18">
        <v>159336</v>
      </c>
      <c r="N1031" s="18">
        <v>160000</v>
      </c>
      <c r="O1031" s="18">
        <v>0</v>
      </c>
      <c r="P1031" s="26">
        <f t="shared" si="646"/>
        <v>0</v>
      </c>
      <c r="Q1031" s="18">
        <v>160000</v>
      </c>
      <c r="R1031" s="18">
        <v>160000</v>
      </c>
      <c r="S1031" s="18">
        <v>160000</v>
      </c>
      <c r="T1031" s="27">
        <v>160000</v>
      </c>
      <c r="U1031" s="27">
        <v>159336</v>
      </c>
      <c r="V1031" s="27">
        <v>160000</v>
      </c>
      <c r="W1031" s="27">
        <v>160000</v>
      </c>
      <c r="X1031" s="27">
        <v>160000</v>
      </c>
      <c r="Y1031" s="27">
        <v>0</v>
      </c>
      <c r="Z1031" s="27">
        <f t="shared" si="640"/>
        <v>0</v>
      </c>
      <c r="AA1031" s="27">
        <f t="shared" si="671"/>
        <v>0</v>
      </c>
      <c r="AB1031" s="27">
        <v>160000</v>
      </c>
      <c r="AC1031" s="27">
        <v>0</v>
      </c>
      <c r="AD1031" s="27">
        <f t="shared" si="639"/>
        <v>0</v>
      </c>
      <c r="AE1031" s="27">
        <f t="shared" si="653"/>
        <v>0</v>
      </c>
      <c r="AF1031" s="27">
        <v>160000</v>
      </c>
      <c r="AG1031" s="27">
        <v>160000</v>
      </c>
      <c r="AH1031" s="27">
        <v>160000</v>
      </c>
      <c r="AI1031" s="27">
        <v>160000</v>
      </c>
      <c r="AJ1031" s="162" t="b">
        <f t="shared" si="633"/>
        <v>0</v>
      </c>
      <c r="AK1031" s="162" t="str">
        <f t="shared" si="634"/>
        <v>PUNO</v>
      </c>
      <c r="AM1031" s="164"/>
    </row>
    <row r="1032" spans="1:39" ht="15.75" x14ac:dyDescent="0.2">
      <c r="B1032" s="177"/>
      <c r="C1032" s="177">
        <v>38</v>
      </c>
      <c r="D1032" s="177"/>
      <c r="E1032" s="177"/>
      <c r="F1032" s="177"/>
      <c r="G1032" s="177"/>
      <c r="H1032" s="16" t="s">
        <v>539</v>
      </c>
      <c r="I1032" s="18">
        <f>I1033</f>
        <v>584000</v>
      </c>
      <c r="J1032" s="18">
        <f>J1033</f>
        <v>0</v>
      </c>
      <c r="K1032" s="18">
        <f>ROUND(J1032/I1032*100,2)</f>
        <v>0</v>
      </c>
      <c r="L1032" s="18">
        <f t="shared" si="668"/>
        <v>-200981</v>
      </c>
      <c r="M1032" s="18">
        <f t="shared" ref="M1032:AI1033" si="675">M1033</f>
        <v>383019</v>
      </c>
      <c r="N1032" s="18">
        <f t="shared" si="675"/>
        <v>384000</v>
      </c>
      <c r="O1032" s="18">
        <f t="shared" si="675"/>
        <v>0</v>
      </c>
      <c r="P1032" s="26">
        <f t="shared" si="646"/>
        <v>0</v>
      </c>
      <c r="Q1032" s="18">
        <f t="shared" si="675"/>
        <v>384000</v>
      </c>
      <c r="R1032" s="18">
        <f t="shared" si="675"/>
        <v>384000</v>
      </c>
      <c r="S1032" s="18">
        <f t="shared" si="675"/>
        <v>384000</v>
      </c>
      <c r="T1032" s="27">
        <f t="shared" si="675"/>
        <v>384000</v>
      </c>
      <c r="U1032" s="27">
        <f t="shared" si="675"/>
        <v>383019</v>
      </c>
      <c r="V1032" s="18">
        <f t="shared" si="675"/>
        <v>384000</v>
      </c>
      <c r="W1032" s="18">
        <f t="shared" si="675"/>
        <v>384000</v>
      </c>
      <c r="X1032" s="18">
        <f t="shared" si="675"/>
        <v>384000</v>
      </c>
      <c r="Y1032" s="18">
        <f t="shared" si="675"/>
        <v>0</v>
      </c>
      <c r="Z1032" s="18">
        <f t="shared" si="640"/>
        <v>0</v>
      </c>
      <c r="AA1032" s="18">
        <f t="shared" si="671"/>
        <v>0</v>
      </c>
      <c r="AB1032" s="18">
        <f t="shared" si="675"/>
        <v>384000</v>
      </c>
      <c r="AC1032" s="18">
        <f t="shared" si="675"/>
        <v>0</v>
      </c>
      <c r="AD1032" s="18">
        <f t="shared" si="639"/>
        <v>0</v>
      </c>
      <c r="AE1032" s="18">
        <f t="shared" si="653"/>
        <v>0</v>
      </c>
      <c r="AF1032" s="18">
        <f t="shared" si="675"/>
        <v>384000</v>
      </c>
      <c r="AG1032" s="18">
        <f t="shared" si="675"/>
        <v>384000</v>
      </c>
      <c r="AH1032" s="18">
        <f t="shared" si="675"/>
        <v>384000</v>
      </c>
      <c r="AI1032" s="18">
        <f t="shared" si="675"/>
        <v>384000</v>
      </c>
      <c r="AJ1032" s="162" t="b">
        <f t="shared" si="633"/>
        <v>1</v>
      </c>
      <c r="AK1032" s="162" t="str">
        <f t="shared" si="634"/>
        <v>PRAZNO</v>
      </c>
      <c r="AM1032" s="164"/>
    </row>
    <row r="1033" spans="1:39" ht="15.75" x14ac:dyDescent="0.2">
      <c r="B1033" s="177"/>
      <c r="C1033" s="177"/>
      <c r="D1033" s="177">
        <v>381</v>
      </c>
      <c r="E1033" s="177"/>
      <c r="F1033" s="177"/>
      <c r="G1033" s="177"/>
      <c r="H1033" s="16" t="s">
        <v>540</v>
      </c>
      <c r="I1033" s="18">
        <f>I1034</f>
        <v>584000</v>
      </c>
      <c r="J1033" s="18">
        <f>J1034</f>
        <v>0</v>
      </c>
      <c r="K1033" s="18">
        <f>ROUND(J1033/I1033*100,2)</f>
        <v>0</v>
      </c>
      <c r="L1033" s="18">
        <f t="shared" si="668"/>
        <v>-200981</v>
      </c>
      <c r="M1033" s="18">
        <f t="shared" si="675"/>
        <v>383019</v>
      </c>
      <c r="N1033" s="18">
        <f t="shared" si="675"/>
        <v>384000</v>
      </c>
      <c r="O1033" s="18">
        <f t="shared" si="675"/>
        <v>0</v>
      </c>
      <c r="P1033" s="26">
        <f t="shared" si="646"/>
        <v>0</v>
      </c>
      <c r="Q1033" s="18">
        <f t="shared" si="675"/>
        <v>384000</v>
      </c>
      <c r="R1033" s="18">
        <f t="shared" si="675"/>
        <v>384000</v>
      </c>
      <c r="S1033" s="18">
        <f t="shared" si="675"/>
        <v>384000</v>
      </c>
      <c r="T1033" s="27">
        <f t="shared" si="675"/>
        <v>384000</v>
      </c>
      <c r="U1033" s="27">
        <f t="shared" si="675"/>
        <v>383019</v>
      </c>
      <c r="V1033" s="18">
        <f t="shared" si="675"/>
        <v>384000</v>
      </c>
      <c r="W1033" s="18">
        <f t="shared" si="675"/>
        <v>384000</v>
      </c>
      <c r="X1033" s="18">
        <f t="shared" si="675"/>
        <v>384000</v>
      </c>
      <c r="Y1033" s="18">
        <f t="shared" si="675"/>
        <v>0</v>
      </c>
      <c r="Z1033" s="18">
        <f t="shared" si="640"/>
        <v>0</v>
      </c>
      <c r="AA1033" s="18">
        <f t="shared" si="671"/>
        <v>0</v>
      </c>
      <c r="AB1033" s="18">
        <f t="shared" si="675"/>
        <v>384000</v>
      </c>
      <c r="AC1033" s="18">
        <f t="shared" si="675"/>
        <v>0</v>
      </c>
      <c r="AD1033" s="18">
        <f t="shared" si="639"/>
        <v>0</v>
      </c>
      <c r="AE1033" s="18">
        <f t="shared" si="653"/>
        <v>0</v>
      </c>
      <c r="AF1033" s="18">
        <f t="shared" si="675"/>
        <v>384000</v>
      </c>
      <c r="AG1033" s="18">
        <f t="shared" si="675"/>
        <v>384000</v>
      </c>
      <c r="AH1033" s="18">
        <f t="shared" si="675"/>
        <v>384000</v>
      </c>
      <c r="AI1033" s="18">
        <f t="shared" si="675"/>
        <v>384000</v>
      </c>
      <c r="AJ1033" s="162" t="b">
        <f t="shared" ref="AJ1033:AJ1096" si="676">ISBLANK(E1033)</f>
        <v>1</v>
      </c>
      <c r="AK1033" s="162" t="str">
        <f t="shared" ref="AK1033:AK1096" si="677">IF(AJ1033,"PRAZNO","PUNO")</f>
        <v>PRAZNO</v>
      </c>
      <c r="AM1033" s="164"/>
    </row>
    <row r="1034" spans="1:39" ht="30" x14ac:dyDescent="0.2">
      <c r="B1034" s="177"/>
      <c r="C1034" s="177"/>
      <c r="D1034" s="177"/>
      <c r="E1034" s="177">
        <v>3811</v>
      </c>
      <c r="F1034" s="176">
        <v>41</v>
      </c>
      <c r="G1034" s="176" t="s">
        <v>424</v>
      </c>
      <c r="H1034" s="16" t="s">
        <v>836</v>
      </c>
      <c r="I1034" s="18">
        <v>584000</v>
      </c>
      <c r="J1034" s="18">
        <v>0</v>
      </c>
      <c r="K1034" s="18">
        <f>ROUND(J1034/I1034*100,2)</f>
        <v>0</v>
      </c>
      <c r="L1034" s="18">
        <f t="shared" si="668"/>
        <v>-200981</v>
      </c>
      <c r="M1034" s="18">
        <v>383019</v>
      </c>
      <c r="N1034" s="18">
        <v>384000</v>
      </c>
      <c r="O1034" s="18">
        <v>0</v>
      </c>
      <c r="P1034" s="26">
        <f t="shared" si="646"/>
        <v>0</v>
      </c>
      <c r="Q1034" s="18">
        <v>384000</v>
      </c>
      <c r="R1034" s="18">
        <v>384000</v>
      </c>
      <c r="S1034" s="18">
        <v>384000</v>
      </c>
      <c r="T1034" s="27">
        <v>384000</v>
      </c>
      <c r="U1034" s="27">
        <v>383019</v>
      </c>
      <c r="V1034" s="27">
        <v>384000</v>
      </c>
      <c r="W1034" s="27">
        <v>384000</v>
      </c>
      <c r="X1034" s="27">
        <v>384000</v>
      </c>
      <c r="Y1034" s="27">
        <v>0</v>
      </c>
      <c r="Z1034" s="27">
        <f t="shared" si="640"/>
        <v>0</v>
      </c>
      <c r="AA1034" s="27">
        <f t="shared" si="671"/>
        <v>0</v>
      </c>
      <c r="AB1034" s="27">
        <v>384000</v>
      </c>
      <c r="AC1034" s="27">
        <v>0</v>
      </c>
      <c r="AD1034" s="27">
        <f t="shared" si="639"/>
        <v>0</v>
      </c>
      <c r="AE1034" s="27">
        <f t="shared" si="653"/>
        <v>0</v>
      </c>
      <c r="AF1034" s="27">
        <v>384000</v>
      </c>
      <c r="AG1034" s="27">
        <v>384000</v>
      </c>
      <c r="AH1034" s="27">
        <v>384000</v>
      </c>
      <c r="AI1034" s="27">
        <v>384000</v>
      </c>
      <c r="AJ1034" s="162" t="b">
        <f t="shared" si="676"/>
        <v>0</v>
      </c>
      <c r="AK1034" s="162" t="str">
        <f t="shared" si="677"/>
        <v>PUNO</v>
      </c>
      <c r="AM1034" s="164"/>
    </row>
    <row r="1035" spans="1:39" s="171" customFormat="1" ht="21.75" customHeight="1" x14ac:dyDescent="0.2">
      <c r="A1035" s="259"/>
      <c r="B1035" s="270"/>
      <c r="C1035" s="270"/>
      <c r="D1035" s="270"/>
      <c r="E1035" s="270"/>
      <c r="F1035" s="270"/>
      <c r="G1035" s="270"/>
      <c r="H1035" s="277" t="s">
        <v>717</v>
      </c>
      <c r="I1035" s="272" t="e">
        <f t="shared" ref="I1035:O1035" si="678">I1037+I1043+I1050+I1071+I1077+I1083+I1089+I1096</f>
        <v>#REF!</v>
      </c>
      <c r="J1035" s="272" t="e">
        <f t="shared" si="678"/>
        <v>#REF!</v>
      </c>
      <c r="K1035" s="272" t="e">
        <f t="shared" si="678"/>
        <v>#REF!</v>
      </c>
      <c r="L1035" s="272" t="e">
        <f t="shared" si="678"/>
        <v>#REF!</v>
      </c>
      <c r="M1035" s="272" t="e">
        <f t="shared" si="678"/>
        <v>#REF!</v>
      </c>
      <c r="N1035" s="272" t="e">
        <f t="shared" si="678"/>
        <v>#REF!</v>
      </c>
      <c r="O1035" s="272" t="e">
        <f t="shared" si="678"/>
        <v>#REF!</v>
      </c>
      <c r="P1035" s="336" t="e">
        <f t="shared" si="646"/>
        <v>#REF!</v>
      </c>
      <c r="Q1035" s="272" t="e">
        <f>#REF!+Q1043+Q1050+Q1077+#REF!+Q1037</f>
        <v>#REF!</v>
      </c>
      <c r="R1035" s="272" t="e">
        <f>#REF!+R1043+R1050+R1077+#REF!+R1037</f>
        <v>#REF!</v>
      </c>
      <c r="S1035" s="272" t="e">
        <f>#REF!+S1043+S1050+S1077+#REF!+S1037</f>
        <v>#REF!</v>
      </c>
      <c r="T1035" s="272">
        <f t="shared" ref="T1035:Y1035" si="679">T1043+T1050+T1077+T1037+T1089+T1096+T1103+T1071+T1083</f>
        <v>800000</v>
      </c>
      <c r="U1035" s="272">
        <f t="shared" si="679"/>
        <v>651327.31000000006</v>
      </c>
      <c r="V1035" s="272">
        <f t="shared" si="679"/>
        <v>1330000</v>
      </c>
      <c r="W1035" s="272" t="e">
        <f t="shared" si="679"/>
        <v>#REF!</v>
      </c>
      <c r="X1035" s="272" t="e">
        <f t="shared" si="679"/>
        <v>#REF!</v>
      </c>
      <c r="Y1035" s="272">
        <f t="shared" si="679"/>
        <v>188440.65</v>
      </c>
      <c r="Z1035" s="272">
        <f t="shared" si="640"/>
        <v>14.17</v>
      </c>
      <c r="AA1035" s="272">
        <f t="shared" si="671"/>
        <v>-350000</v>
      </c>
      <c r="AB1035" s="272">
        <f>AB1043+AB1050+AB1077+AB1037+AB1089+AB1096+AB1103+AB1071+AB1083</f>
        <v>980000</v>
      </c>
      <c r="AC1035" s="272">
        <f>AC1043+AC1050+AC1077+AC1037+AC1089+AC1096+AC1103+AC1071+AC1083</f>
        <v>401345.76</v>
      </c>
      <c r="AD1035" s="272">
        <f t="shared" si="639"/>
        <v>40.95364897959184</v>
      </c>
      <c r="AE1035" s="272">
        <f t="shared" si="653"/>
        <v>0</v>
      </c>
      <c r="AF1035" s="272">
        <f>AF1043+AF1050+AF1077+AF1037+AF1089+AF1096+AF1103+AF1071+AF1083</f>
        <v>980000</v>
      </c>
      <c r="AG1035" s="272">
        <f>AG1043+AG1050+AG1077+AG1037+AG1089+AG1096+AG1103+AG1071+AG1083</f>
        <v>837000</v>
      </c>
      <c r="AH1035" s="272">
        <f>AH1043+AH1050+AH1077+AH1037+AH1089+AH1096+AH1103+AH1071+AH1083</f>
        <v>910000</v>
      </c>
      <c r="AI1035" s="272">
        <f>AI1043+AI1050+AI1077+AI1037+AI1089+AI1096+AI1103+AI1071+AI1083</f>
        <v>910000</v>
      </c>
      <c r="AJ1035" s="162" t="b">
        <f t="shared" si="676"/>
        <v>1</v>
      </c>
      <c r="AK1035" s="162" t="str">
        <f t="shared" si="677"/>
        <v>PRAZNO</v>
      </c>
      <c r="AL1035" s="170"/>
      <c r="AM1035" s="164"/>
    </row>
    <row r="1036" spans="1:39" s="171" customFormat="1" ht="35.25" customHeight="1" x14ac:dyDescent="0.2">
      <c r="A1036" s="259"/>
      <c r="B1036" s="168"/>
      <c r="C1036" s="168"/>
      <c r="D1036" s="168"/>
      <c r="E1036" s="168"/>
      <c r="F1036" s="168"/>
      <c r="G1036" s="168"/>
      <c r="H1036" s="31" t="s">
        <v>40</v>
      </c>
      <c r="I1036" s="19"/>
      <c r="J1036" s="19"/>
      <c r="K1036" s="19"/>
      <c r="L1036" s="19"/>
      <c r="M1036" s="19"/>
      <c r="N1036" s="19"/>
      <c r="O1036" s="19"/>
      <c r="P1036" s="303"/>
      <c r="Q1036" s="19"/>
      <c r="R1036" s="19"/>
      <c r="S1036" s="19"/>
      <c r="T1036" s="53"/>
      <c r="U1036" s="53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62" t="b">
        <f t="shared" si="676"/>
        <v>1</v>
      </c>
      <c r="AK1036" s="162" t="str">
        <f t="shared" si="677"/>
        <v>PRAZNO</v>
      </c>
      <c r="AL1036" s="170"/>
      <c r="AM1036" s="164"/>
    </row>
    <row r="1037" spans="1:39" s="171" customFormat="1" ht="47.25" x14ac:dyDescent="0.2">
      <c r="A1037" s="259"/>
      <c r="B1037" s="168"/>
      <c r="C1037" s="168"/>
      <c r="D1037" s="168"/>
      <c r="E1037" s="168"/>
      <c r="F1037" s="168"/>
      <c r="G1037" s="168"/>
      <c r="H1037" s="31" t="s">
        <v>692</v>
      </c>
      <c r="I1037" s="169">
        <f>I1039</f>
        <v>38000</v>
      </c>
      <c r="J1037" s="169">
        <f>J1039</f>
        <v>15000</v>
      </c>
      <c r="K1037" s="169">
        <f t="shared" ref="K1037:K1049" si="680">ROUND(J1037/I1037*100,2)</f>
        <v>39.47</v>
      </c>
      <c r="L1037" s="169">
        <f t="shared" ref="L1037:L1049" si="681">M1037-I1037</f>
        <v>-8000</v>
      </c>
      <c r="M1037" s="19">
        <f>M1039</f>
        <v>30000</v>
      </c>
      <c r="N1037" s="19">
        <f>N1039</f>
        <v>20000</v>
      </c>
      <c r="O1037" s="19">
        <f>O1039</f>
        <v>20000</v>
      </c>
      <c r="P1037" s="303">
        <f t="shared" si="646"/>
        <v>0</v>
      </c>
      <c r="Q1037" s="19">
        <f t="shared" ref="Q1037:X1037" si="682">Q1039</f>
        <v>20000</v>
      </c>
      <c r="R1037" s="19">
        <f t="shared" si="682"/>
        <v>20000</v>
      </c>
      <c r="S1037" s="19">
        <f t="shared" si="682"/>
        <v>20000</v>
      </c>
      <c r="T1037" s="53">
        <f t="shared" si="682"/>
        <v>20000</v>
      </c>
      <c r="U1037" s="53">
        <f>U1039</f>
        <v>20000</v>
      </c>
      <c r="V1037" s="19">
        <f t="shared" si="682"/>
        <v>20000</v>
      </c>
      <c r="W1037" s="19">
        <f t="shared" si="682"/>
        <v>20000</v>
      </c>
      <c r="X1037" s="19">
        <f t="shared" si="682"/>
        <v>20000</v>
      </c>
      <c r="Y1037" s="19">
        <f>Y1039</f>
        <v>10000</v>
      </c>
      <c r="Z1037" s="19">
        <f t="shared" ref="Z1037:Z1088" si="683">ROUND(Y1037/V1037*100,2)</f>
        <v>50</v>
      </c>
      <c r="AA1037" s="19">
        <f t="shared" si="671"/>
        <v>0</v>
      </c>
      <c r="AB1037" s="19">
        <f>AB1039</f>
        <v>20000</v>
      </c>
      <c r="AC1037" s="19">
        <f>AC1039</f>
        <v>10000</v>
      </c>
      <c r="AD1037" s="19">
        <f t="shared" si="639"/>
        <v>50</v>
      </c>
      <c r="AE1037" s="19">
        <f t="shared" si="653"/>
        <v>0</v>
      </c>
      <c r="AF1037" s="19">
        <f>AF1039</f>
        <v>20000</v>
      </c>
      <c r="AG1037" s="19">
        <f>AG1039</f>
        <v>20000</v>
      </c>
      <c r="AH1037" s="19">
        <f>AH1039</f>
        <v>20000</v>
      </c>
      <c r="AI1037" s="19">
        <f>AI1039</f>
        <v>20000</v>
      </c>
      <c r="AJ1037" s="162" t="b">
        <f t="shared" si="676"/>
        <v>1</v>
      </c>
      <c r="AK1037" s="162" t="str">
        <f t="shared" si="677"/>
        <v>PRAZNO</v>
      </c>
      <c r="AL1037" s="170"/>
      <c r="AM1037" s="164"/>
    </row>
    <row r="1038" spans="1:39" s="264" customFormat="1" ht="15.75" x14ac:dyDescent="0.2">
      <c r="A1038" s="259"/>
      <c r="B1038" s="260"/>
      <c r="C1038" s="260"/>
      <c r="D1038" s="260"/>
      <c r="E1038" s="260"/>
      <c r="F1038" s="260"/>
      <c r="G1038" s="260"/>
      <c r="H1038" s="471" t="s">
        <v>824</v>
      </c>
      <c r="I1038" s="181"/>
      <c r="J1038" s="181"/>
      <c r="K1038" s="181"/>
      <c r="L1038" s="181"/>
      <c r="M1038" s="262"/>
      <c r="N1038" s="262"/>
      <c r="O1038" s="262"/>
      <c r="P1038" s="445"/>
      <c r="Q1038" s="262"/>
      <c r="R1038" s="262"/>
      <c r="S1038" s="262"/>
      <c r="T1038" s="342"/>
      <c r="U1038" s="342"/>
      <c r="V1038" s="262">
        <f>V1039</f>
        <v>20000</v>
      </c>
      <c r="W1038" s="262">
        <f>W1039</f>
        <v>20000</v>
      </c>
      <c r="X1038" s="262">
        <f>X1039</f>
        <v>20000</v>
      </c>
      <c r="Y1038" s="262">
        <f>Y1039</f>
        <v>10000</v>
      </c>
      <c r="Z1038" s="262">
        <f t="shared" si="683"/>
        <v>50</v>
      </c>
      <c r="AA1038" s="262">
        <f t="shared" si="671"/>
        <v>0</v>
      </c>
      <c r="AB1038" s="262">
        <f>AB1039</f>
        <v>20000</v>
      </c>
      <c r="AC1038" s="262">
        <f>AC1039</f>
        <v>10000</v>
      </c>
      <c r="AD1038" s="262">
        <f t="shared" si="639"/>
        <v>50</v>
      </c>
      <c r="AE1038" s="262">
        <f t="shared" si="653"/>
        <v>0</v>
      </c>
      <c r="AF1038" s="262">
        <f>AF1039</f>
        <v>20000</v>
      </c>
      <c r="AG1038" s="262">
        <f>AG1039</f>
        <v>20000</v>
      </c>
      <c r="AH1038" s="262">
        <f>AH1039</f>
        <v>20000</v>
      </c>
      <c r="AI1038" s="262">
        <f>AI1039</f>
        <v>20000</v>
      </c>
      <c r="AJ1038" s="162" t="b">
        <f t="shared" si="676"/>
        <v>1</v>
      </c>
      <c r="AK1038" s="162" t="str">
        <f t="shared" si="677"/>
        <v>PRAZNO</v>
      </c>
      <c r="AL1038" s="263"/>
    </row>
    <row r="1039" spans="1:39" s="174" customFormat="1" ht="15.75" x14ac:dyDescent="0.2">
      <c r="A1039" s="259"/>
      <c r="B1039" s="172">
        <v>3</v>
      </c>
      <c r="C1039" s="172"/>
      <c r="D1039" s="172"/>
      <c r="E1039" s="172"/>
      <c r="F1039" s="172"/>
      <c r="G1039" s="172"/>
      <c r="H1039" s="14" t="s">
        <v>524</v>
      </c>
      <c r="I1039" s="20">
        <f t="shared" ref="I1039:AI1041" si="684">I1040</f>
        <v>38000</v>
      </c>
      <c r="J1039" s="20">
        <f t="shared" si="684"/>
        <v>15000</v>
      </c>
      <c r="K1039" s="20">
        <f t="shared" si="680"/>
        <v>39.47</v>
      </c>
      <c r="L1039" s="20">
        <f t="shared" si="681"/>
        <v>-8000</v>
      </c>
      <c r="M1039" s="20">
        <f t="shared" si="684"/>
        <v>30000</v>
      </c>
      <c r="N1039" s="20">
        <f t="shared" si="684"/>
        <v>20000</v>
      </c>
      <c r="O1039" s="20">
        <f t="shared" si="684"/>
        <v>20000</v>
      </c>
      <c r="P1039" s="55">
        <f>T1039-N1039</f>
        <v>0</v>
      </c>
      <c r="Q1039" s="20">
        <f t="shared" si="684"/>
        <v>20000</v>
      </c>
      <c r="R1039" s="20">
        <f t="shared" si="684"/>
        <v>20000</v>
      </c>
      <c r="S1039" s="20">
        <f t="shared" si="684"/>
        <v>20000</v>
      </c>
      <c r="T1039" s="55">
        <f t="shared" si="684"/>
        <v>20000</v>
      </c>
      <c r="U1039" s="55">
        <f t="shared" si="684"/>
        <v>20000</v>
      </c>
      <c r="V1039" s="20">
        <f t="shared" si="684"/>
        <v>20000</v>
      </c>
      <c r="W1039" s="20">
        <f t="shared" si="684"/>
        <v>20000</v>
      </c>
      <c r="X1039" s="20">
        <f t="shared" si="684"/>
        <v>20000</v>
      </c>
      <c r="Y1039" s="20">
        <f t="shared" si="684"/>
        <v>10000</v>
      </c>
      <c r="Z1039" s="20">
        <f t="shared" si="683"/>
        <v>50</v>
      </c>
      <c r="AA1039" s="20">
        <f t="shared" si="671"/>
        <v>0</v>
      </c>
      <c r="AB1039" s="20">
        <f t="shared" si="684"/>
        <v>20000</v>
      </c>
      <c r="AC1039" s="20">
        <f t="shared" si="684"/>
        <v>10000</v>
      </c>
      <c r="AD1039" s="20">
        <f t="shared" si="639"/>
        <v>50</v>
      </c>
      <c r="AE1039" s="20">
        <f t="shared" si="653"/>
        <v>0</v>
      </c>
      <c r="AF1039" s="20">
        <f t="shared" si="684"/>
        <v>20000</v>
      </c>
      <c r="AG1039" s="20">
        <f t="shared" si="684"/>
        <v>20000</v>
      </c>
      <c r="AH1039" s="20">
        <f t="shared" si="684"/>
        <v>20000</v>
      </c>
      <c r="AI1039" s="20">
        <f t="shared" si="684"/>
        <v>20000</v>
      </c>
      <c r="AJ1039" s="162" t="b">
        <f t="shared" si="676"/>
        <v>1</v>
      </c>
      <c r="AK1039" s="162" t="str">
        <f t="shared" si="677"/>
        <v>PRAZNO</v>
      </c>
      <c r="AL1039" s="173"/>
      <c r="AM1039" s="164"/>
    </row>
    <row r="1040" spans="1:39" ht="15.75" x14ac:dyDescent="0.2">
      <c r="B1040" s="177"/>
      <c r="C1040" s="177">
        <v>32</v>
      </c>
      <c r="D1040" s="177"/>
      <c r="E1040" s="177"/>
      <c r="F1040" s="177"/>
      <c r="G1040" s="177"/>
      <c r="H1040" s="16" t="s">
        <v>525</v>
      </c>
      <c r="I1040" s="18">
        <f t="shared" si="684"/>
        <v>38000</v>
      </c>
      <c r="J1040" s="18">
        <f t="shared" si="684"/>
        <v>15000</v>
      </c>
      <c r="K1040" s="18">
        <f t="shared" si="680"/>
        <v>39.47</v>
      </c>
      <c r="L1040" s="18">
        <f t="shared" si="681"/>
        <v>-8000</v>
      </c>
      <c r="M1040" s="18">
        <f t="shared" si="684"/>
        <v>30000</v>
      </c>
      <c r="N1040" s="18">
        <f t="shared" si="684"/>
        <v>20000</v>
      </c>
      <c r="O1040" s="18">
        <f t="shared" si="684"/>
        <v>20000</v>
      </c>
      <c r="P1040" s="26">
        <f t="shared" si="646"/>
        <v>0</v>
      </c>
      <c r="Q1040" s="18">
        <f t="shared" si="684"/>
        <v>20000</v>
      </c>
      <c r="R1040" s="18">
        <f t="shared" si="684"/>
        <v>20000</v>
      </c>
      <c r="S1040" s="18">
        <f t="shared" si="684"/>
        <v>20000</v>
      </c>
      <c r="T1040" s="27">
        <f t="shared" si="684"/>
        <v>20000</v>
      </c>
      <c r="U1040" s="27">
        <f t="shared" si="684"/>
        <v>20000</v>
      </c>
      <c r="V1040" s="18">
        <f t="shared" si="684"/>
        <v>20000</v>
      </c>
      <c r="W1040" s="18">
        <f t="shared" si="684"/>
        <v>20000</v>
      </c>
      <c r="X1040" s="18">
        <f t="shared" si="684"/>
        <v>20000</v>
      </c>
      <c r="Y1040" s="18">
        <f t="shared" si="684"/>
        <v>10000</v>
      </c>
      <c r="Z1040" s="18">
        <f t="shared" si="683"/>
        <v>50</v>
      </c>
      <c r="AA1040" s="18">
        <f t="shared" si="671"/>
        <v>0</v>
      </c>
      <c r="AB1040" s="18">
        <f t="shared" si="684"/>
        <v>20000</v>
      </c>
      <c r="AC1040" s="18">
        <f t="shared" si="684"/>
        <v>10000</v>
      </c>
      <c r="AD1040" s="18">
        <f t="shared" si="639"/>
        <v>50</v>
      </c>
      <c r="AE1040" s="18">
        <f t="shared" si="653"/>
        <v>0</v>
      </c>
      <c r="AF1040" s="18">
        <f t="shared" si="684"/>
        <v>20000</v>
      </c>
      <c r="AG1040" s="18">
        <f t="shared" si="684"/>
        <v>20000</v>
      </c>
      <c r="AH1040" s="18">
        <f t="shared" si="684"/>
        <v>20000</v>
      </c>
      <c r="AI1040" s="18">
        <f t="shared" si="684"/>
        <v>20000</v>
      </c>
      <c r="AJ1040" s="162" t="b">
        <f t="shared" si="676"/>
        <v>1</v>
      </c>
      <c r="AK1040" s="162" t="str">
        <f t="shared" si="677"/>
        <v>PRAZNO</v>
      </c>
      <c r="AM1040" s="164"/>
    </row>
    <row r="1041" spans="1:39" ht="15.75" x14ac:dyDescent="0.2">
      <c r="B1041" s="177"/>
      <c r="C1041" s="177"/>
      <c r="D1041" s="177">
        <v>329</v>
      </c>
      <c r="E1041" s="177"/>
      <c r="F1041" s="177"/>
      <c r="G1041" s="177"/>
      <c r="H1041" s="16" t="s">
        <v>531</v>
      </c>
      <c r="I1041" s="18">
        <f>I1042</f>
        <v>38000</v>
      </c>
      <c r="J1041" s="18">
        <f>J1042</f>
        <v>15000</v>
      </c>
      <c r="K1041" s="18">
        <f t="shared" si="680"/>
        <v>39.47</v>
      </c>
      <c r="L1041" s="18">
        <f t="shared" si="681"/>
        <v>-8000</v>
      </c>
      <c r="M1041" s="18">
        <f>M1042</f>
        <v>30000</v>
      </c>
      <c r="N1041" s="18">
        <f t="shared" si="684"/>
        <v>20000</v>
      </c>
      <c r="O1041" s="18">
        <f>O1042</f>
        <v>20000</v>
      </c>
      <c r="P1041" s="26">
        <f t="shared" si="646"/>
        <v>0</v>
      </c>
      <c r="Q1041" s="18">
        <f t="shared" si="684"/>
        <v>20000</v>
      </c>
      <c r="R1041" s="18">
        <f t="shared" si="684"/>
        <v>20000</v>
      </c>
      <c r="S1041" s="18">
        <f t="shared" si="684"/>
        <v>20000</v>
      </c>
      <c r="T1041" s="27">
        <f t="shared" si="684"/>
        <v>20000</v>
      </c>
      <c r="U1041" s="27">
        <f t="shared" si="684"/>
        <v>20000</v>
      </c>
      <c r="V1041" s="18">
        <f t="shared" si="684"/>
        <v>20000</v>
      </c>
      <c r="W1041" s="18">
        <f t="shared" si="684"/>
        <v>20000</v>
      </c>
      <c r="X1041" s="18">
        <f t="shared" si="684"/>
        <v>20000</v>
      </c>
      <c r="Y1041" s="18">
        <f t="shared" si="684"/>
        <v>10000</v>
      </c>
      <c r="Z1041" s="18">
        <f t="shared" si="683"/>
        <v>50</v>
      </c>
      <c r="AA1041" s="18">
        <f t="shared" si="671"/>
        <v>0</v>
      </c>
      <c r="AB1041" s="18">
        <f t="shared" si="684"/>
        <v>20000</v>
      </c>
      <c r="AC1041" s="18">
        <f t="shared" si="684"/>
        <v>10000</v>
      </c>
      <c r="AD1041" s="18">
        <f t="shared" si="639"/>
        <v>50</v>
      </c>
      <c r="AE1041" s="18">
        <f t="shared" si="653"/>
        <v>0</v>
      </c>
      <c r="AF1041" s="18">
        <f t="shared" si="684"/>
        <v>20000</v>
      </c>
      <c r="AG1041" s="18">
        <f t="shared" si="684"/>
        <v>20000</v>
      </c>
      <c r="AH1041" s="18">
        <f t="shared" si="684"/>
        <v>20000</v>
      </c>
      <c r="AI1041" s="18">
        <f t="shared" si="684"/>
        <v>20000</v>
      </c>
      <c r="AJ1041" s="162" t="b">
        <f t="shared" si="676"/>
        <v>1</v>
      </c>
      <c r="AK1041" s="162" t="str">
        <f t="shared" si="677"/>
        <v>PRAZNO</v>
      </c>
      <c r="AM1041" s="164"/>
    </row>
    <row r="1042" spans="1:39" ht="15.75" x14ac:dyDescent="0.2">
      <c r="B1042" s="177"/>
      <c r="C1042" s="177"/>
      <c r="D1042" s="177"/>
      <c r="E1042" s="177">
        <v>3299</v>
      </c>
      <c r="F1042" s="176">
        <v>11</v>
      </c>
      <c r="G1042" s="176" t="s">
        <v>424</v>
      </c>
      <c r="H1042" s="16" t="s">
        <v>531</v>
      </c>
      <c r="I1042" s="18">
        <v>38000</v>
      </c>
      <c r="J1042" s="18">
        <v>15000</v>
      </c>
      <c r="K1042" s="18">
        <f t="shared" si="680"/>
        <v>39.47</v>
      </c>
      <c r="L1042" s="18">
        <f t="shared" si="681"/>
        <v>-8000</v>
      </c>
      <c r="M1042" s="18">
        <v>30000</v>
      </c>
      <c r="N1042" s="18">
        <v>20000</v>
      </c>
      <c r="O1042" s="18">
        <v>20000</v>
      </c>
      <c r="P1042" s="26">
        <f t="shared" si="646"/>
        <v>0</v>
      </c>
      <c r="Q1042" s="18">
        <v>20000</v>
      </c>
      <c r="R1042" s="18">
        <v>20000</v>
      </c>
      <c r="S1042" s="18">
        <v>20000</v>
      </c>
      <c r="T1042" s="27">
        <v>20000</v>
      </c>
      <c r="U1042" s="27">
        <v>20000</v>
      </c>
      <c r="V1042" s="18">
        <v>20000</v>
      </c>
      <c r="W1042" s="18">
        <v>20000</v>
      </c>
      <c r="X1042" s="18">
        <v>20000</v>
      </c>
      <c r="Y1042" s="18">
        <v>10000</v>
      </c>
      <c r="Z1042" s="18">
        <f t="shared" si="683"/>
        <v>50</v>
      </c>
      <c r="AA1042" s="18">
        <f t="shared" si="671"/>
        <v>0</v>
      </c>
      <c r="AB1042" s="18">
        <v>20000</v>
      </c>
      <c r="AC1042" s="18">
        <v>10000</v>
      </c>
      <c r="AD1042" s="18">
        <f t="shared" si="639"/>
        <v>50</v>
      </c>
      <c r="AE1042" s="18">
        <f t="shared" si="653"/>
        <v>0</v>
      </c>
      <c r="AF1042" s="18">
        <v>20000</v>
      </c>
      <c r="AG1042" s="18">
        <v>20000</v>
      </c>
      <c r="AH1042" s="18">
        <v>20000</v>
      </c>
      <c r="AI1042" s="18">
        <v>20000</v>
      </c>
      <c r="AJ1042" s="162" t="b">
        <f t="shared" si="676"/>
        <v>0</v>
      </c>
      <c r="AK1042" s="162" t="str">
        <f t="shared" si="677"/>
        <v>PUNO</v>
      </c>
      <c r="AM1042" s="164"/>
    </row>
    <row r="1043" spans="1:39" s="171" customFormat="1" ht="31.5" x14ac:dyDescent="0.2">
      <c r="A1043" s="259"/>
      <c r="B1043" s="168"/>
      <c r="C1043" s="168"/>
      <c r="D1043" s="168"/>
      <c r="E1043" s="168"/>
      <c r="F1043" s="168"/>
      <c r="G1043" s="168"/>
      <c r="H1043" s="31" t="s">
        <v>705</v>
      </c>
      <c r="I1043" s="169" t="e">
        <f>I1045</f>
        <v>#REF!</v>
      </c>
      <c r="J1043" s="169" t="e">
        <f>J1045</f>
        <v>#REF!</v>
      </c>
      <c r="K1043" s="169" t="e">
        <f t="shared" si="680"/>
        <v>#REF!</v>
      </c>
      <c r="L1043" s="169" t="e">
        <f t="shared" si="681"/>
        <v>#REF!</v>
      </c>
      <c r="M1043" s="19" t="e">
        <f>M1045</f>
        <v>#REF!</v>
      </c>
      <c r="N1043" s="19" t="e">
        <f>N1045</f>
        <v>#REF!</v>
      </c>
      <c r="O1043" s="19" t="e">
        <f>O1045</f>
        <v>#REF!</v>
      </c>
      <c r="P1043" s="303" t="e">
        <f>T1043-N1043</f>
        <v>#REF!</v>
      </c>
      <c r="Q1043" s="19" t="e">
        <f t="shared" ref="Q1043:X1043" si="685">Q1045</f>
        <v>#REF!</v>
      </c>
      <c r="R1043" s="19" t="e">
        <f t="shared" si="685"/>
        <v>#REF!</v>
      </c>
      <c r="S1043" s="19" t="e">
        <f t="shared" si="685"/>
        <v>#REF!</v>
      </c>
      <c r="T1043" s="19">
        <f>T1045</f>
        <v>210000</v>
      </c>
      <c r="U1043" s="19">
        <f>U1045</f>
        <v>194197</v>
      </c>
      <c r="V1043" s="19">
        <f t="shared" si="685"/>
        <v>210000</v>
      </c>
      <c r="W1043" s="19" t="e">
        <f t="shared" si="685"/>
        <v>#REF!</v>
      </c>
      <c r="X1043" s="19" t="e">
        <f t="shared" si="685"/>
        <v>#REF!</v>
      </c>
      <c r="Y1043" s="19">
        <f>Y1045</f>
        <v>0</v>
      </c>
      <c r="Z1043" s="19">
        <f t="shared" si="683"/>
        <v>0</v>
      </c>
      <c r="AA1043" s="19">
        <f t="shared" si="671"/>
        <v>0</v>
      </c>
      <c r="AB1043" s="19">
        <f>AB1045</f>
        <v>210000</v>
      </c>
      <c r="AC1043" s="19">
        <f>AC1045</f>
        <v>148746</v>
      </c>
      <c r="AD1043" s="19">
        <f t="shared" si="639"/>
        <v>70.831428571428575</v>
      </c>
      <c r="AE1043" s="19">
        <f t="shared" si="653"/>
        <v>20000</v>
      </c>
      <c r="AF1043" s="19">
        <f>AF1045</f>
        <v>230000</v>
      </c>
      <c r="AG1043" s="19">
        <f>AG1045</f>
        <v>210000</v>
      </c>
      <c r="AH1043" s="19">
        <f>AH1045</f>
        <v>210000</v>
      </c>
      <c r="AI1043" s="19">
        <f>AI1045</f>
        <v>210000</v>
      </c>
      <c r="AJ1043" s="162" t="b">
        <f t="shared" si="676"/>
        <v>1</v>
      </c>
      <c r="AK1043" s="162" t="str">
        <f t="shared" si="677"/>
        <v>PRAZNO</v>
      </c>
      <c r="AL1043" s="170"/>
      <c r="AM1043" s="164"/>
    </row>
    <row r="1044" spans="1:39" s="264" customFormat="1" ht="15.75" x14ac:dyDescent="0.2">
      <c r="A1044" s="259"/>
      <c r="B1044" s="260"/>
      <c r="C1044" s="260"/>
      <c r="D1044" s="260"/>
      <c r="E1044" s="260"/>
      <c r="F1044" s="260"/>
      <c r="G1044" s="260"/>
      <c r="H1044" s="471" t="s">
        <v>824</v>
      </c>
      <c r="I1044" s="181"/>
      <c r="J1044" s="181"/>
      <c r="K1044" s="181"/>
      <c r="L1044" s="181"/>
      <c r="M1044" s="262"/>
      <c r="N1044" s="262"/>
      <c r="O1044" s="262"/>
      <c r="P1044" s="445"/>
      <c r="Q1044" s="262"/>
      <c r="R1044" s="262"/>
      <c r="S1044" s="262"/>
      <c r="T1044" s="262">
        <f t="shared" ref="T1044:Y1044" si="686">T1045</f>
        <v>210000</v>
      </c>
      <c r="U1044" s="262">
        <f t="shared" si="686"/>
        <v>194197</v>
      </c>
      <c r="V1044" s="262">
        <f t="shared" si="686"/>
        <v>210000</v>
      </c>
      <c r="W1044" s="262" t="e">
        <f t="shared" si="686"/>
        <v>#REF!</v>
      </c>
      <c r="X1044" s="262" t="e">
        <f t="shared" si="686"/>
        <v>#REF!</v>
      </c>
      <c r="Y1044" s="262">
        <f t="shared" si="686"/>
        <v>0</v>
      </c>
      <c r="Z1044" s="262">
        <f t="shared" si="683"/>
        <v>0</v>
      </c>
      <c r="AA1044" s="262">
        <f t="shared" si="671"/>
        <v>0</v>
      </c>
      <c r="AB1044" s="262">
        <f>AB1045</f>
        <v>210000</v>
      </c>
      <c r="AC1044" s="262">
        <f>AC1045</f>
        <v>148746</v>
      </c>
      <c r="AD1044" s="262">
        <f t="shared" si="639"/>
        <v>70.831428571428575</v>
      </c>
      <c r="AE1044" s="262">
        <f t="shared" si="653"/>
        <v>20000</v>
      </c>
      <c r="AF1044" s="262">
        <f>AF1045</f>
        <v>230000</v>
      </c>
      <c r="AG1044" s="262">
        <f>AG1045</f>
        <v>210000</v>
      </c>
      <c r="AH1044" s="262">
        <f>AH1045</f>
        <v>210000</v>
      </c>
      <c r="AI1044" s="262">
        <f>AI1045</f>
        <v>210000</v>
      </c>
      <c r="AJ1044" s="162" t="b">
        <f t="shared" si="676"/>
        <v>1</v>
      </c>
      <c r="AK1044" s="162" t="str">
        <f t="shared" si="677"/>
        <v>PRAZNO</v>
      </c>
      <c r="AL1044" s="263"/>
    </row>
    <row r="1045" spans="1:39" s="174" customFormat="1" ht="15.75" x14ac:dyDescent="0.2">
      <c r="A1045" s="259"/>
      <c r="B1045" s="172">
        <v>3</v>
      </c>
      <c r="C1045" s="172"/>
      <c r="D1045" s="172"/>
      <c r="E1045" s="172"/>
      <c r="F1045" s="172"/>
      <c r="G1045" s="172"/>
      <c r="H1045" s="14" t="s">
        <v>524</v>
      </c>
      <c r="I1045" s="20" t="e">
        <f t="shared" ref="I1045:AI1046" si="687">I1046</f>
        <v>#REF!</v>
      </c>
      <c r="J1045" s="20" t="e">
        <f t="shared" si="687"/>
        <v>#REF!</v>
      </c>
      <c r="K1045" s="20" t="e">
        <f t="shared" si="680"/>
        <v>#REF!</v>
      </c>
      <c r="L1045" s="20" t="e">
        <f t="shared" si="681"/>
        <v>#REF!</v>
      </c>
      <c r="M1045" s="20" t="e">
        <f t="shared" si="687"/>
        <v>#REF!</v>
      </c>
      <c r="N1045" s="20" t="e">
        <f t="shared" si="687"/>
        <v>#REF!</v>
      </c>
      <c r="O1045" s="20" t="e">
        <f t="shared" si="687"/>
        <v>#REF!</v>
      </c>
      <c r="P1045" s="55" t="e">
        <f t="shared" si="646"/>
        <v>#REF!</v>
      </c>
      <c r="Q1045" s="20" t="e">
        <f t="shared" si="687"/>
        <v>#REF!</v>
      </c>
      <c r="R1045" s="20" t="e">
        <f t="shared" si="687"/>
        <v>#REF!</v>
      </c>
      <c r="S1045" s="20" t="e">
        <f t="shared" si="687"/>
        <v>#REF!</v>
      </c>
      <c r="T1045" s="20">
        <f t="shared" si="687"/>
        <v>210000</v>
      </c>
      <c r="U1045" s="20">
        <f t="shared" si="687"/>
        <v>194197</v>
      </c>
      <c r="V1045" s="20">
        <f t="shared" si="687"/>
        <v>210000</v>
      </c>
      <c r="W1045" s="20" t="e">
        <f t="shared" si="687"/>
        <v>#REF!</v>
      </c>
      <c r="X1045" s="20" t="e">
        <f t="shared" si="687"/>
        <v>#REF!</v>
      </c>
      <c r="Y1045" s="20">
        <f t="shared" si="687"/>
        <v>0</v>
      </c>
      <c r="Z1045" s="20">
        <f t="shared" si="683"/>
        <v>0</v>
      </c>
      <c r="AA1045" s="20">
        <f t="shared" si="671"/>
        <v>0</v>
      </c>
      <c r="AB1045" s="20">
        <f t="shared" si="687"/>
        <v>210000</v>
      </c>
      <c r="AC1045" s="20">
        <f t="shared" si="687"/>
        <v>148746</v>
      </c>
      <c r="AD1045" s="20">
        <f t="shared" si="639"/>
        <v>70.831428571428575</v>
      </c>
      <c r="AE1045" s="20">
        <f t="shared" si="653"/>
        <v>20000</v>
      </c>
      <c r="AF1045" s="20">
        <f t="shared" si="687"/>
        <v>230000</v>
      </c>
      <c r="AG1045" s="20">
        <f t="shared" si="687"/>
        <v>210000</v>
      </c>
      <c r="AH1045" s="20">
        <f t="shared" si="687"/>
        <v>210000</v>
      </c>
      <c r="AI1045" s="20">
        <f t="shared" si="687"/>
        <v>210000</v>
      </c>
      <c r="AJ1045" s="162" t="b">
        <f t="shared" si="676"/>
        <v>1</v>
      </c>
      <c r="AK1045" s="162" t="str">
        <f t="shared" si="677"/>
        <v>PRAZNO</v>
      </c>
      <c r="AL1045" s="173"/>
      <c r="AM1045" s="164"/>
    </row>
    <row r="1046" spans="1:39" ht="15.75" x14ac:dyDescent="0.2">
      <c r="B1046" s="177"/>
      <c r="C1046" s="177">
        <v>38</v>
      </c>
      <c r="D1046" s="177"/>
      <c r="E1046" s="177"/>
      <c r="F1046" s="177"/>
      <c r="G1046" s="177"/>
      <c r="H1046" s="16" t="s">
        <v>539</v>
      </c>
      <c r="I1046" s="18" t="e">
        <f t="shared" si="687"/>
        <v>#REF!</v>
      </c>
      <c r="J1046" s="18" t="e">
        <f t="shared" si="687"/>
        <v>#REF!</v>
      </c>
      <c r="K1046" s="18" t="e">
        <f t="shared" si="680"/>
        <v>#REF!</v>
      </c>
      <c r="L1046" s="18" t="e">
        <f t="shared" si="681"/>
        <v>#REF!</v>
      </c>
      <c r="M1046" s="18" t="e">
        <f t="shared" si="687"/>
        <v>#REF!</v>
      </c>
      <c r="N1046" s="18" t="e">
        <f t="shared" si="687"/>
        <v>#REF!</v>
      </c>
      <c r="O1046" s="18" t="e">
        <f t="shared" si="687"/>
        <v>#REF!</v>
      </c>
      <c r="P1046" s="26" t="e">
        <f t="shared" si="646"/>
        <v>#REF!</v>
      </c>
      <c r="Q1046" s="18" t="e">
        <f t="shared" si="687"/>
        <v>#REF!</v>
      </c>
      <c r="R1046" s="18" t="e">
        <f t="shared" si="687"/>
        <v>#REF!</v>
      </c>
      <c r="S1046" s="18" t="e">
        <f t="shared" si="687"/>
        <v>#REF!</v>
      </c>
      <c r="T1046" s="18">
        <f t="shared" si="687"/>
        <v>210000</v>
      </c>
      <c r="U1046" s="18">
        <f t="shared" si="687"/>
        <v>194197</v>
      </c>
      <c r="V1046" s="18">
        <f t="shared" si="687"/>
        <v>210000</v>
      </c>
      <c r="W1046" s="18" t="e">
        <f t="shared" si="687"/>
        <v>#REF!</v>
      </c>
      <c r="X1046" s="18" t="e">
        <f t="shared" si="687"/>
        <v>#REF!</v>
      </c>
      <c r="Y1046" s="18">
        <f t="shared" si="687"/>
        <v>0</v>
      </c>
      <c r="Z1046" s="18">
        <f t="shared" si="683"/>
        <v>0</v>
      </c>
      <c r="AA1046" s="18">
        <f t="shared" si="671"/>
        <v>0</v>
      </c>
      <c r="AB1046" s="18">
        <f t="shared" si="687"/>
        <v>210000</v>
      </c>
      <c r="AC1046" s="18">
        <f t="shared" si="687"/>
        <v>148746</v>
      </c>
      <c r="AD1046" s="18">
        <f t="shared" si="639"/>
        <v>70.831428571428575</v>
      </c>
      <c r="AE1046" s="18">
        <f t="shared" si="653"/>
        <v>20000</v>
      </c>
      <c r="AF1046" s="18">
        <f t="shared" si="687"/>
        <v>230000</v>
      </c>
      <c r="AG1046" s="18">
        <f t="shared" si="687"/>
        <v>210000</v>
      </c>
      <c r="AH1046" s="18">
        <f t="shared" si="687"/>
        <v>210000</v>
      </c>
      <c r="AI1046" s="18">
        <f t="shared" si="687"/>
        <v>210000</v>
      </c>
      <c r="AJ1046" s="162" t="b">
        <f t="shared" si="676"/>
        <v>1</v>
      </c>
      <c r="AK1046" s="162" t="str">
        <f t="shared" si="677"/>
        <v>PRAZNO</v>
      </c>
      <c r="AM1046" s="164"/>
    </row>
    <row r="1047" spans="1:39" ht="15.75" x14ac:dyDescent="0.2">
      <c r="B1047" s="177"/>
      <c r="C1047" s="177"/>
      <c r="D1047" s="177">
        <v>381</v>
      </c>
      <c r="E1047" s="177"/>
      <c r="F1047" s="177"/>
      <c r="G1047" s="177"/>
      <c r="H1047" s="16" t="s">
        <v>540</v>
      </c>
      <c r="I1047" s="18" t="e">
        <f>I1048+I1049+#REF!</f>
        <v>#REF!</v>
      </c>
      <c r="J1047" s="18" t="e">
        <f>J1048+J1049+#REF!</f>
        <v>#REF!</v>
      </c>
      <c r="K1047" s="18" t="e">
        <f t="shared" si="680"/>
        <v>#REF!</v>
      </c>
      <c r="L1047" s="18" t="e">
        <f t="shared" si="681"/>
        <v>#REF!</v>
      </c>
      <c r="M1047" s="18" t="e">
        <f>M1048+M1049+#REF!</f>
        <v>#REF!</v>
      </c>
      <c r="N1047" s="18" t="e">
        <f>N1048+N1049+#REF!</f>
        <v>#REF!</v>
      </c>
      <c r="O1047" s="18" t="e">
        <f>O1048+O1049+#REF!</f>
        <v>#REF!</v>
      </c>
      <c r="P1047" s="26" t="e">
        <f t="shared" si="646"/>
        <v>#REF!</v>
      </c>
      <c r="Q1047" s="18" t="e">
        <f>Q1048+Q1049+#REF!</f>
        <v>#REF!</v>
      </c>
      <c r="R1047" s="18" t="e">
        <f>R1048+R1049+#REF!</f>
        <v>#REF!</v>
      </c>
      <c r="S1047" s="18" t="e">
        <f>S1048+S1049+#REF!</f>
        <v>#REF!</v>
      </c>
      <c r="T1047" s="18">
        <f>T1048+T1049</f>
        <v>210000</v>
      </c>
      <c r="U1047" s="18">
        <f>U1048+U1049</f>
        <v>194197</v>
      </c>
      <c r="V1047" s="18">
        <f>V1048+V1049</f>
        <v>210000</v>
      </c>
      <c r="W1047" s="18" t="e">
        <f>W1048+W1049+#REF!</f>
        <v>#REF!</v>
      </c>
      <c r="X1047" s="18" t="e">
        <f>X1048+X1049+#REF!</f>
        <v>#REF!</v>
      </c>
      <c r="Y1047" s="18">
        <f>Y1048+Y1049</f>
        <v>0</v>
      </c>
      <c r="Z1047" s="18">
        <f t="shared" si="683"/>
        <v>0</v>
      </c>
      <c r="AA1047" s="18">
        <f>AA1048+AA1049</f>
        <v>0</v>
      </c>
      <c r="AB1047" s="18">
        <f>AB1048+AB1049</f>
        <v>210000</v>
      </c>
      <c r="AC1047" s="18">
        <f>AC1048+AC1049</f>
        <v>148746</v>
      </c>
      <c r="AD1047" s="18">
        <f t="shared" si="639"/>
        <v>70.831428571428575</v>
      </c>
      <c r="AE1047" s="18">
        <f>AE1048+AE1049</f>
        <v>20000</v>
      </c>
      <c r="AF1047" s="18">
        <f>AF1048+AF1049</f>
        <v>230000</v>
      </c>
      <c r="AG1047" s="18">
        <f>AG1048+AG1049</f>
        <v>210000</v>
      </c>
      <c r="AH1047" s="18">
        <f>AH1048+AH1049</f>
        <v>210000</v>
      </c>
      <c r="AI1047" s="18">
        <f>AI1048+AI1049</f>
        <v>210000</v>
      </c>
      <c r="AJ1047" s="162" t="b">
        <f t="shared" si="676"/>
        <v>1</v>
      </c>
      <c r="AK1047" s="162" t="str">
        <f t="shared" si="677"/>
        <v>PRAZNO</v>
      </c>
      <c r="AM1047" s="164"/>
    </row>
    <row r="1048" spans="1:39" ht="45" x14ac:dyDescent="0.2">
      <c r="B1048" s="177"/>
      <c r="C1048" s="177"/>
      <c r="D1048" s="177"/>
      <c r="E1048" s="177">
        <v>3811</v>
      </c>
      <c r="F1048" s="176">
        <v>14</v>
      </c>
      <c r="G1048" s="176" t="s">
        <v>424</v>
      </c>
      <c r="H1048" s="16" t="s">
        <v>823</v>
      </c>
      <c r="I1048" s="18">
        <v>100000</v>
      </c>
      <c r="J1048" s="18">
        <v>22150</v>
      </c>
      <c r="K1048" s="18">
        <f t="shared" si="680"/>
        <v>22.15</v>
      </c>
      <c r="L1048" s="18">
        <f t="shared" si="681"/>
        <v>-58850</v>
      </c>
      <c r="M1048" s="18">
        <v>41150</v>
      </c>
      <c r="N1048" s="18">
        <v>70000</v>
      </c>
      <c r="O1048" s="18">
        <v>45697</v>
      </c>
      <c r="P1048" s="26">
        <f t="shared" si="646"/>
        <v>50000</v>
      </c>
      <c r="Q1048" s="18">
        <v>70000</v>
      </c>
      <c r="R1048" s="18">
        <v>70000</v>
      </c>
      <c r="S1048" s="18">
        <v>70000</v>
      </c>
      <c r="T1048" s="27">
        <f>110000+10000</f>
        <v>120000</v>
      </c>
      <c r="U1048" s="27">
        <v>104197</v>
      </c>
      <c r="V1048" s="18">
        <v>120000</v>
      </c>
      <c r="W1048" s="18">
        <v>140000</v>
      </c>
      <c r="X1048" s="18">
        <v>160000</v>
      </c>
      <c r="Y1048" s="18">
        <v>0</v>
      </c>
      <c r="Z1048" s="18">
        <f t="shared" si="683"/>
        <v>0</v>
      </c>
      <c r="AA1048" s="18">
        <f t="shared" si="671"/>
        <v>-100000</v>
      </c>
      <c r="AB1048" s="18">
        <v>20000</v>
      </c>
      <c r="AC1048" s="18">
        <v>17000</v>
      </c>
      <c r="AD1048" s="18">
        <f t="shared" si="639"/>
        <v>85</v>
      </c>
      <c r="AE1048" s="18">
        <f t="shared" si="653"/>
        <v>3000</v>
      </c>
      <c r="AF1048" s="18">
        <v>23000</v>
      </c>
      <c r="AG1048" s="18">
        <v>20000</v>
      </c>
      <c r="AH1048" s="18">
        <v>20000</v>
      </c>
      <c r="AI1048" s="18">
        <v>20000</v>
      </c>
      <c r="AJ1048" s="162" t="b">
        <f t="shared" si="676"/>
        <v>0</v>
      </c>
      <c r="AK1048" s="162" t="str">
        <f t="shared" si="677"/>
        <v>PUNO</v>
      </c>
      <c r="AM1048" s="164"/>
    </row>
    <row r="1049" spans="1:39" ht="42.75" customHeight="1" x14ac:dyDescent="0.2">
      <c r="B1049" s="177"/>
      <c r="C1049" s="177"/>
      <c r="D1049" s="177"/>
      <c r="E1049" s="177">
        <v>3811</v>
      </c>
      <c r="F1049" s="176">
        <v>17</v>
      </c>
      <c r="G1049" s="176" t="s">
        <v>424</v>
      </c>
      <c r="H1049" s="16" t="s">
        <v>264</v>
      </c>
      <c r="I1049" s="18">
        <v>90000</v>
      </c>
      <c r="J1049" s="18">
        <v>60000</v>
      </c>
      <c r="K1049" s="18">
        <f t="shared" si="680"/>
        <v>66.67</v>
      </c>
      <c r="L1049" s="18">
        <f t="shared" si="681"/>
        <v>0</v>
      </c>
      <c r="M1049" s="18">
        <v>90000</v>
      </c>
      <c r="N1049" s="18">
        <v>90000</v>
      </c>
      <c r="O1049" s="18">
        <v>90000</v>
      </c>
      <c r="P1049" s="26">
        <f t="shared" si="646"/>
        <v>0</v>
      </c>
      <c r="Q1049" s="18">
        <v>90000</v>
      </c>
      <c r="R1049" s="18">
        <v>90000</v>
      </c>
      <c r="S1049" s="18">
        <v>105000</v>
      </c>
      <c r="T1049" s="27">
        <v>90000</v>
      </c>
      <c r="U1049" s="27">
        <v>90000</v>
      </c>
      <c r="V1049" s="18">
        <v>90000</v>
      </c>
      <c r="W1049" s="18">
        <v>90000</v>
      </c>
      <c r="X1049" s="18">
        <v>90000</v>
      </c>
      <c r="Y1049" s="18">
        <v>0</v>
      </c>
      <c r="Z1049" s="18">
        <f t="shared" si="683"/>
        <v>0</v>
      </c>
      <c r="AA1049" s="18">
        <f t="shared" si="671"/>
        <v>100000</v>
      </c>
      <c r="AB1049" s="18">
        <v>190000</v>
      </c>
      <c r="AC1049" s="18">
        <v>131746</v>
      </c>
      <c r="AD1049" s="18">
        <f t="shared" si="639"/>
        <v>69.34</v>
      </c>
      <c r="AE1049" s="18">
        <f t="shared" si="653"/>
        <v>17000</v>
      </c>
      <c r="AF1049" s="689">
        <v>207000</v>
      </c>
      <c r="AG1049" s="18">
        <v>190000</v>
      </c>
      <c r="AH1049" s="18">
        <v>190000</v>
      </c>
      <c r="AI1049" s="18">
        <v>190000</v>
      </c>
      <c r="AJ1049" s="162" t="b">
        <f t="shared" si="676"/>
        <v>0</v>
      </c>
      <c r="AK1049" s="162" t="str">
        <f t="shared" si="677"/>
        <v>PUNO</v>
      </c>
      <c r="AM1049" s="164"/>
    </row>
    <row r="1050" spans="1:39" s="171" customFormat="1" ht="45.75" customHeight="1" x14ac:dyDescent="0.2">
      <c r="A1050" s="259"/>
      <c r="B1050" s="209"/>
      <c r="C1050" s="209"/>
      <c r="D1050" s="209"/>
      <c r="E1050" s="209"/>
      <c r="F1050" s="219"/>
      <c r="G1050" s="219"/>
      <c r="H1050" s="12" t="s">
        <v>760</v>
      </c>
      <c r="I1050" s="305" t="e">
        <f t="shared" ref="I1050:O1050" si="688">I1052</f>
        <v>#REF!</v>
      </c>
      <c r="J1050" s="305" t="e">
        <f t="shared" si="688"/>
        <v>#REF!</v>
      </c>
      <c r="K1050" s="305" t="e">
        <f t="shared" si="688"/>
        <v>#REF!</v>
      </c>
      <c r="L1050" s="305" t="e">
        <f t="shared" si="688"/>
        <v>#REF!</v>
      </c>
      <c r="M1050" s="305" t="e">
        <f t="shared" si="688"/>
        <v>#REF!</v>
      </c>
      <c r="N1050" s="308">
        <f t="shared" si="688"/>
        <v>265000</v>
      </c>
      <c r="O1050" s="308">
        <f t="shared" si="688"/>
        <v>147591.99</v>
      </c>
      <c r="P1050" s="303">
        <f t="shared" si="646"/>
        <v>55000</v>
      </c>
      <c r="Q1050" s="242">
        <f>Q1052</f>
        <v>265000</v>
      </c>
      <c r="R1050" s="242">
        <f>R1052</f>
        <v>177000</v>
      </c>
      <c r="S1050" s="242">
        <f>S1052</f>
        <v>179000</v>
      </c>
      <c r="T1050" s="323">
        <f>T1052</f>
        <v>320000</v>
      </c>
      <c r="U1050" s="308">
        <f t="shared" ref="U1050:AA1050" si="689">U1052+U1067</f>
        <v>328478.21000000002</v>
      </c>
      <c r="V1050" s="308">
        <f t="shared" si="689"/>
        <v>280000</v>
      </c>
      <c r="W1050" s="308">
        <f t="shared" si="689"/>
        <v>280000</v>
      </c>
      <c r="X1050" s="308">
        <f t="shared" si="689"/>
        <v>280000</v>
      </c>
      <c r="Y1050" s="308">
        <f t="shared" si="689"/>
        <v>178440.65</v>
      </c>
      <c r="Z1050" s="308">
        <f t="shared" si="689"/>
        <v>66.09</v>
      </c>
      <c r="AA1050" s="308">
        <f t="shared" si="689"/>
        <v>0</v>
      </c>
      <c r="AB1050" s="308">
        <f>AB1052+AB1067</f>
        <v>280000</v>
      </c>
      <c r="AC1050" s="308">
        <f>AC1052+AC1067</f>
        <v>232599.76</v>
      </c>
      <c r="AD1050" s="308">
        <f t="shared" ref="AD1050:AD1114" si="690">AC1050/AB1050*100</f>
        <v>83.071342857142866</v>
      </c>
      <c r="AE1050" s="308">
        <f t="shared" si="653"/>
        <v>10000</v>
      </c>
      <c r="AF1050" s="308">
        <f>AF1052+AF1067</f>
        <v>290000</v>
      </c>
      <c r="AG1050" s="308">
        <f>AG1052+AG1067</f>
        <v>280000</v>
      </c>
      <c r="AH1050" s="308">
        <f>AH1052+AH1067</f>
        <v>280000</v>
      </c>
      <c r="AI1050" s="308">
        <f>AI1052+AI1067</f>
        <v>280000</v>
      </c>
      <c r="AJ1050" s="162" t="b">
        <f t="shared" si="676"/>
        <v>1</v>
      </c>
      <c r="AK1050" s="162" t="str">
        <f t="shared" si="677"/>
        <v>PRAZNO</v>
      </c>
      <c r="AL1050" s="170"/>
    </row>
    <row r="1051" spans="1:39" s="264" customFormat="1" ht="16.5" customHeight="1" x14ac:dyDescent="0.2">
      <c r="A1051" s="259"/>
      <c r="B1051" s="177"/>
      <c r="C1051" s="177"/>
      <c r="D1051" s="177"/>
      <c r="E1051" s="177"/>
      <c r="F1051" s="265"/>
      <c r="G1051" s="265"/>
      <c r="H1051" s="441" t="s">
        <v>824</v>
      </c>
      <c r="I1051" s="430"/>
      <c r="J1051" s="430"/>
      <c r="K1051" s="430"/>
      <c r="L1051" s="430"/>
      <c r="M1051" s="430"/>
      <c r="N1051" s="443"/>
      <c r="O1051" s="443"/>
      <c r="P1051" s="445"/>
      <c r="Q1051" s="178"/>
      <c r="R1051" s="178"/>
      <c r="S1051" s="178"/>
      <c r="T1051" s="444"/>
      <c r="U1051" s="443">
        <f t="shared" ref="U1051:AA1051" si="691">U1052</f>
        <v>252521.89</v>
      </c>
      <c r="V1051" s="443">
        <f t="shared" si="691"/>
        <v>270000</v>
      </c>
      <c r="W1051" s="443">
        <f t="shared" si="691"/>
        <v>270000</v>
      </c>
      <c r="X1051" s="443">
        <f t="shared" si="691"/>
        <v>268000</v>
      </c>
      <c r="Y1051" s="443">
        <f t="shared" si="691"/>
        <v>178440.65</v>
      </c>
      <c r="Z1051" s="443">
        <f t="shared" si="691"/>
        <v>66.09</v>
      </c>
      <c r="AA1051" s="443">
        <f t="shared" si="691"/>
        <v>7000</v>
      </c>
      <c r="AB1051" s="443">
        <f>AB1052</f>
        <v>277000</v>
      </c>
      <c r="AC1051" s="443">
        <f>AC1052</f>
        <v>232599.76</v>
      </c>
      <c r="AD1051" s="443">
        <f t="shared" si="690"/>
        <v>83.971032490974721</v>
      </c>
      <c r="AE1051" s="443">
        <f t="shared" si="653"/>
        <v>13000</v>
      </c>
      <c r="AF1051" s="443">
        <f>AF1052</f>
        <v>290000</v>
      </c>
      <c r="AG1051" s="443">
        <f>AG1052</f>
        <v>280000</v>
      </c>
      <c r="AH1051" s="443">
        <f>AH1052</f>
        <v>280000</v>
      </c>
      <c r="AI1051" s="443">
        <f>AI1052</f>
        <v>280000</v>
      </c>
      <c r="AJ1051" s="162" t="b">
        <f t="shared" si="676"/>
        <v>1</v>
      </c>
      <c r="AK1051" s="162" t="str">
        <f t="shared" si="677"/>
        <v>PRAZNO</v>
      </c>
      <c r="AL1051" s="263"/>
    </row>
    <row r="1052" spans="1:39" s="174" customFormat="1" ht="15.75" customHeight="1" x14ac:dyDescent="0.2">
      <c r="A1052" s="259"/>
      <c r="B1052" s="172">
        <v>3</v>
      </c>
      <c r="C1052" s="172"/>
      <c r="D1052" s="172"/>
      <c r="E1052" s="172"/>
      <c r="F1052" s="220"/>
      <c r="G1052" s="220"/>
      <c r="H1052" s="14" t="s">
        <v>524</v>
      </c>
      <c r="I1052" s="185" t="e">
        <f>I1053</f>
        <v>#REF!</v>
      </c>
      <c r="J1052" s="185" t="e">
        <f>J1053</f>
        <v>#REF!</v>
      </c>
      <c r="K1052" s="185" t="e">
        <f>K1053</f>
        <v>#REF!</v>
      </c>
      <c r="L1052" s="185" t="e">
        <f>L1053</f>
        <v>#REF!</v>
      </c>
      <c r="M1052" s="185" t="e">
        <f>M1053</f>
        <v>#REF!</v>
      </c>
      <c r="N1052" s="184">
        <f t="shared" ref="N1052:AI1052" si="692">N1053</f>
        <v>265000</v>
      </c>
      <c r="O1052" s="184">
        <f t="shared" si="692"/>
        <v>147591.99</v>
      </c>
      <c r="P1052" s="55">
        <f t="shared" si="646"/>
        <v>55000</v>
      </c>
      <c r="Q1052" s="184">
        <f t="shared" si="692"/>
        <v>265000</v>
      </c>
      <c r="R1052" s="184">
        <f t="shared" si="692"/>
        <v>177000</v>
      </c>
      <c r="S1052" s="184">
        <f t="shared" si="692"/>
        <v>179000</v>
      </c>
      <c r="T1052" s="185">
        <f t="shared" si="692"/>
        <v>320000</v>
      </c>
      <c r="U1052" s="184">
        <f t="shared" si="692"/>
        <v>252521.89</v>
      </c>
      <c r="V1052" s="184">
        <f t="shared" si="692"/>
        <v>270000</v>
      </c>
      <c r="W1052" s="184">
        <f t="shared" si="692"/>
        <v>270000</v>
      </c>
      <c r="X1052" s="184">
        <f t="shared" si="692"/>
        <v>268000</v>
      </c>
      <c r="Y1052" s="184">
        <f t="shared" si="692"/>
        <v>178440.65</v>
      </c>
      <c r="Z1052" s="184">
        <f t="shared" si="692"/>
        <v>66.09</v>
      </c>
      <c r="AA1052" s="184">
        <f t="shared" si="692"/>
        <v>7000</v>
      </c>
      <c r="AB1052" s="184">
        <f t="shared" si="692"/>
        <v>277000</v>
      </c>
      <c r="AC1052" s="184">
        <f t="shared" si="692"/>
        <v>232599.76</v>
      </c>
      <c r="AD1052" s="184">
        <f t="shared" si="690"/>
        <v>83.971032490974721</v>
      </c>
      <c r="AE1052" s="184">
        <f t="shared" si="653"/>
        <v>13000</v>
      </c>
      <c r="AF1052" s="184">
        <f t="shared" si="692"/>
        <v>290000</v>
      </c>
      <c r="AG1052" s="184">
        <f t="shared" si="692"/>
        <v>280000</v>
      </c>
      <c r="AH1052" s="184">
        <f t="shared" si="692"/>
        <v>280000</v>
      </c>
      <c r="AI1052" s="184">
        <f t="shared" si="692"/>
        <v>280000</v>
      </c>
      <c r="AJ1052" s="162" t="b">
        <f t="shared" si="676"/>
        <v>1</v>
      </c>
      <c r="AK1052" s="162" t="str">
        <f t="shared" si="677"/>
        <v>PRAZNO</v>
      </c>
      <c r="AL1052" s="173"/>
    </row>
    <row r="1053" spans="1:39" ht="15.75" customHeight="1" x14ac:dyDescent="0.2">
      <c r="B1053" s="177"/>
      <c r="C1053" s="177">
        <v>32</v>
      </c>
      <c r="D1053" s="177"/>
      <c r="E1053" s="177"/>
      <c r="F1053" s="176"/>
      <c r="G1053" s="176"/>
      <c r="H1053" s="16" t="s">
        <v>525</v>
      </c>
      <c r="I1053" s="27" t="e">
        <f t="shared" ref="I1053:O1053" si="693">I1054+I1056+I1062</f>
        <v>#REF!</v>
      </c>
      <c r="J1053" s="27" t="e">
        <f t="shared" si="693"/>
        <v>#REF!</v>
      </c>
      <c r="K1053" s="27" t="e">
        <f t="shared" si="693"/>
        <v>#REF!</v>
      </c>
      <c r="L1053" s="27" t="e">
        <f t="shared" si="693"/>
        <v>#REF!</v>
      </c>
      <c r="M1053" s="27" t="e">
        <f t="shared" si="693"/>
        <v>#REF!</v>
      </c>
      <c r="N1053" s="18">
        <f t="shared" si="693"/>
        <v>265000</v>
      </c>
      <c r="O1053" s="18">
        <f t="shared" si="693"/>
        <v>147591.99</v>
      </c>
      <c r="P1053" s="26">
        <f t="shared" si="646"/>
        <v>55000</v>
      </c>
      <c r="Q1053" s="18">
        <f t="shared" ref="Q1053:Y1053" si="694">Q1054+Q1056+Q1062</f>
        <v>265000</v>
      </c>
      <c r="R1053" s="18">
        <f t="shared" si="694"/>
        <v>177000</v>
      </c>
      <c r="S1053" s="18">
        <f t="shared" si="694"/>
        <v>179000</v>
      </c>
      <c r="T1053" s="27">
        <f t="shared" si="694"/>
        <v>320000</v>
      </c>
      <c r="U1053" s="27">
        <f t="shared" si="694"/>
        <v>252521.89</v>
      </c>
      <c r="V1053" s="18">
        <f t="shared" si="694"/>
        <v>270000</v>
      </c>
      <c r="W1053" s="18">
        <f t="shared" si="694"/>
        <v>270000</v>
      </c>
      <c r="X1053" s="18">
        <f t="shared" si="694"/>
        <v>268000</v>
      </c>
      <c r="Y1053" s="18">
        <f t="shared" si="694"/>
        <v>178440.65</v>
      </c>
      <c r="Z1053" s="18">
        <f t="shared" si="683"/>
        <v>66.09</v>
      </c>
      <c r="AA1053" s="18">
        <f t="shared" si="671"/>
        <v>7000</v>
      </c>
      <c r="AB1053" s="18">
        <f>AB1054+AB1056+AB1062</f>
        <v>277000</v>
      </c>
      <c r="AC1053" s="18">
        <f>AC1054+AC1056+AC1062</f>
        <v>232599.76</v>
      </c>
      <c r="AD1053" s="18">
        <f t="shared" si="690"/>
        <v>83.971032490974721</v>
      </c>
      <c r="AE1053" s="18">
        <f t="shared" si="653"/>
        <v>13000</v>
      </c>
      <c r="AF1053" s="18">
        <f>AF1054+AF1056+AF1062</f>
        <v>290000</v>
      </c>
      <c r="AG1053" s="18">
        <f>AG1054+AG1056+AG1062</f>
        <v>280000</v>
      </c>
      <c r="AH1053" s="18">
        <f>AH1054+AH1056+AH1062</f>
        <v>280000</v>
      </c>
      <c r="AI1053" s="18">
        <f>AI1054+AI1056+AI1062</f>
        <v>280000</v>
      </c>
      <c r="AJ1053" s="162" t="b">
        <f t="shared" si="676"/>
        <v>1</v>
      </c>
      <c r="AK1053" s="162" t="str">
        <f t="shared" si="677"/>
        <v>PRAZNO</v>
      </c>
      <c r="AM1053" s="164"/>
    </row>
    <row r="1054" spans="1:39" ht="15.75" customHeight="1" x14ac:dyDescent="0.2">
      <c r="B1054" s="177"/>
      <c r="C1054" s="177"/>
      <c r="D1054" s="177">
        <v>322</v>
      </c>
      <c r="E1054" s="177"/>
      <c r="F1054" s="176"/>
      <c r="G1054" s="176"/>
      <c r="H1054" s="16" t="s">
        <v>547</v>
      </c>
      <c r="I1054" s="18">
        <f t="shared" ref="I1054:O1054" si="695">I1055</f>
        <v>0</v>
      </c>
      <c r="J1054" s="18">
        <f t="shared" si="695"/>
        <v>0</v>
      </c>
      <c r="K1054" s="18">
        <f t="shared" si="695"/>
        <v>0</v>
      </c>
      <c r="L1054" s="18">
        <f t="shared" si="695"/>
        <v>0</v>
      </c>
      <c r="M1054" s="18">
        <f t="shared" si="695"/>
        <v>0</v>
      </c>
      <c r="N1054" s="18">
        <f t="shared" si="695"/>
        <v>3000</v>
      </c>
      <c r="O1054" s="18">
        <f t="shared" si="695"/>
        <v>2237.39</v>
      </c>
      <c r="P1054" s="26">
        <f t="shared" si="646"/>
        <v>0</v>
      </c>
      <c r="Q1054" s="18">
        <f t="shared" ref="Q1054:AI1054" si="696">Q1055</f>
        <v>3000</v>
      </c>
      <c r="R1054" s="18">
        <f t="shared" si="696"/>
        <v>3000</v>
      </c>
      <c r="S1054" s="18">
        <f t="shared" si="696"/>
        <v>3000</v>
      </c>
      <c r="T1054" s="27">
        <f t="shared" si="696"/>
        <v>3000</v>
      </c>
      <c r="U1054" s="27">
        <f t="shared" si="696"/>
        <v>2963.19</v>
      </c>
      <c r="V1054" s="18">
        <f t="shared" si="696"/>
        <v>3000</v>
      </c>
      <c r="W1054" s="18">
        <f t="shared" si="696"/>
        <v>3000</v>
      </c>
      <c r="X1054" s="18">
        <f t="shared" si="696"/>
        <v>3000</v>
      </c>
      <c r="Y1054" s="18">
        <f t="shared" si="696"/>
        <v>669.15</v>
      </c>
      <c r="Z1054" s="18">
        <f t="shared" si="683"/>
        <v>22.31</v>
      </c>
      <c r="AA1054" s="18">
        <f t="shared" si="671"/>
        <v>0</v>
      </c>
      <c r="AB1054" s="18">
        <f t="shared" si="696"/>
        <v>3000</v>
      </c>
      <c r="AC1054" s="18">
        <f t="shared" si="696"/>
        <v>669.15</v>
      </c>
      <c r="AD1054" s="18">
        <f t="shared" si="690"/>
        <v>22.305</v>
      </c>
      <c r="AE1054" s="18">
        <f t="shared" si="653"/>
        <v>-2000</v>
      </c>
      <c r="AF1054" s="18">
        <f t="shared" si="696"/>
        <v>1000</v>
      </c>
      <c r="AG1054" s="18">
        <f t="shared" si="696"/>
        <v>3000</v>
      </c>
      <c r="AH1054" s="18">
        <f t="shared" si="696"/>
        <v>3000</v>
      </c>
      <c r="AI1054" s="18">
        <f t="shared" si="696"/>
        <v>3000</v>
      </c>
      <c r="AJ1054" s="162" t="b">
        <f t="shared" si="676"/>
        <v>1</v>
      </c>
      <c r="AK1054" s="162" t="str">
        <f t="shared" si="677"/>
        <v>PRAZNO</v>
      </c>
      <c r="AM1054" s="164"/>
    </row>
    <row r="1055" spans="1:39" ht="15.75" customHeight="1" x14ac:dyDescent="0.2">
      <c r="B1055" s="177"/>
      <c r="C1055" s="177"/>
      <c r="D1055" s="177"/>
      <c r="E1055" s="177">
        <v>3221</v>
      </c>
      <c r="F1055" s="176">
        <v>11</v>
      </c>
      <c r="G1055" s="176"/>
      <c r="H1055" s="16" t="s">
        <v>548</v>
      </c>
      <c r="I1055" s="18"/>
      <c r="J1055" s="18"/>
      <c r="K1055" s="18"/>
      <c r="L1055" s="18"/>
      <c r="M1055" s="178">
        <v>0</v>
      </c>
      <c r="N1055" s="178">
        <v>3000</v>
      </c>
      <c r="O1055" s="178">
        <v>2237.39</v>
      </c>
      <c r="P1055" s="26">
        <f t="shared" si="646"/>
        <v>0</v>
      </c>
      <c r="Q1055" s="178">
        <v>3000</v>
      </c>
      <c r="R1055" s="18">
        <v>3000</v>
      </c>
      <c r="S1055" s="18">
        <v>3000</v>
      </c>
      <c r="T1055" s="266">
        <v>3000</v>
      </c>
      <c r="U1055" s="266">
        <v>2963.19</v>
      </c>
      <c r="V1055" s="266">
        <v>3000</v>
      </c>
      <c r="W1055" s="266">
        <v>3000</v>
      </c>
      <c r="X1055" s="266">
        <v>3000</v>
      </c>
      <c r="Y1055" s="266">
        <v>669.15</v>
      </c>
      <c r="Z1055" s="266">
        <f t="shared" si="683"/>
        <v>22.31</v>
      </c>
      <c r="AA1055" s="266">
        <f t="shared" si="671"/>
        <v>0</v>
      </c>
      <c r="AB1055" s="266">
        <v>3000</v>
      </c>
      <c r="AC1055" s="266">
        <v>669.15</v>
      </c>
      <c r="AD1055" s="266">
        <f t="shared" si="690"/>
        <v>22.305</v>
      </c>
      <c r="AE1055" s="266">
        <f t="shared" si="653"/>
        <v>-2000</v>
      </c>
      <c r="AF1055" s="266">
        <v>1000</v>
      </c>
      <c r="AG1055" s="266">
        <v>3000</v>
      </c>
      <c r="AH1055" s="266">
        <v>3000</v>
      </c>
      <c r="AI1055" s="266">
        <v>3000</v>
      </c>
      <c r="AJ1055" s="162" t="b">
        <f t="shared" si="676"/>
        <v>0</v>
      </c>
      <c r="AK1055" s="162" t="str">
        <f t="shared" si="677"/>
        <v>PUNO</v>
      </c>
      <c r="AM1055" s="164"/>
    </row>
    <row r="1056" spans="1:39" ht="15.75" customHeight="1" x14ac:dyDescent="0.2">
      <c r="B1056" s="177"/>
      <c r="C1056" s="177"/>
      <c r="D1056" s="177">
        <v>323</v>
      </c>
      <c r="E1056" s="177"/>
      <c r="F1056" s="176"/>
      <c r="G1056" s="176"/>
      <c r="H1056" s="16" t="s">
        <v>526</v>
      </c>
      <c r="I1056" s="27" t="e">
        <f>I1057+I1058+#REF!+I1060+I1061</f>
        <v>#REF!</v>
      </c>
      <c r="J1056" s="27" t="e">
        <f>J1057+J1058+#REF!+J1060+J1061</f>
        <v>#REF!</v>
      </c>
      <c r="K1056" s="27" t="e">
        <f>K1057+K1058+#REF!+K1060+K1061</f>
        <v>#REF!</v>
      </c>
      <c r="L1056" s="27" t="e">
        <f>L1057+L1058+#REF!+L1060+L1061</f>
        <v>#REF!</v>
      </c>
      <c r="M1056" s="27" t="e">
        <f>M1057+M1058+#REF!+M1060+M1061</f>
        <v>#REF!</v>
      </c>
      <c r="N1056" s="18">
        <f>SUM(N1057:N1061)</f>
        <v>230000</v>
      </c>
      <c r="O1056" s="18">
        <f>SUM(O1057:O1061)</f>
        <v>126053.1</v>
      </c>
      <c r="P1056" s="26">
        <f t="shared" si="646"/>
        <v>55000</v>
      </c>
      <c r="Q1056" s="18">
        <f t="shared" ref="Q1056:X1056" si="697">SUM(Q1057:Q1061)</f>
        <v>230000</v>
      </c>
      <c r="R1056" s="18">
        <f t="shared" si="697"/>
        <v>155000</v>
      </c>
      <c r="S1056" s="18">
        <f t="shared" si="697"/>
        <v>157000</v>
      </c>
      <c r="T1056" s="27">
        <f t="shared" si="697"/>
        <v>285000</v>
      </c>
      <c r="U1056" s="27">
        <f>SUM(U1057:U1061)</f>
        <v>218968.79</v>
      </c>
      <c r="V1056" s="18">
        <f t="shared" si="697"/>
        <v>235000</v>
      </c>
      <c r="W1056" s="18">
        <f t="shared" si="697"/>
        <v>235000</v>
      </c>
      <c r="X1056" s="18">
        <f t="shared" si="697"/>
        <v>233000</v>
      </c>
      <c r="Y1056" s="18">
        <f>SUM(Y1057:Y1061)</f>
        <v>136822.5</v>
      </c>
      <c r="Z1056" s="18">
        <f t="shared" si="683"/>
        <v>58.22</v>
      </c>
      <c r="AA1056" s="18">
        <f t="shared" si="671"/>
        <v>-27000</v>
      </c>
      <c r="AB1056" s="18">
        <f>SUM(AB1057:AB1061)</f>
        <v>208000</v>
      </c>
      <c r="AC1056" s="18">
        <f>SUM(AC1057:AC1061)</f>
        <v>201487.61000000002</v>
      </c>
      <c r="AD1056" s="18">
        <f t="shared" si="690"/>
        <v>96.869043269230787</v>
      </c>
      <c r="AE1056" s="18">
        <f t="shared" si="653"/>
        <v>33000</v>
      </c>
      <c r="AF1056" s="18">
        <f>SUM(AF1057:AF1061)</f>
        <v>241000</v>
      </c>
      <c r="AG1056" s="18">
        <f>SUM(AG1057:AG1061)</f>
        <v>221000</v>
      </c>
      <c r="AH1056" s="18">
        <f>SUM(AH1057:AH1061)</f>
        <v>221000</v>
      </c>
      <c r="AI1056" s="18">
        <f>SUM(AI1057:AI1061)</f>
        <v>221000</v>
      </c>
      <c r="AJ1056" s="162" t="b">
        <f t="shared" si="676"/>
        <v>1</v>
      </c>
      <c r="AK1056" s="162" t="str">
        <f t="shared" si="677"/>
        <v>PRAZNO</v>
      </c>
      <c r="AM1056" s="164"/>
    </row>
    <row r="1057" spans="1:39" ht="15.75" customHeight="1" x14ac:dyDescent="0.2">
      <c r="B1057" s="177"/>
      <c r="C1057" s="177"/>
      <c r="D1057" s="177"/>
      <c r="E1057" s="177">
        <v>3233</v>
      </c>
      <c r="F1057" s="176">
        <v>17</v>
      </c>
      <c r="G1057" s="176"/>
      <c r="H1057" s="16" t="s">
        <v>528</v>
      </c>
      <c r="I1057" s="18"/>
      <c r="J1057" s="18"/>
      <c r="K1057" s="18"/>
      <c r="L1057" s="18"/>
      <c r="M1057" s="18">
        <v>0</v>
      </c>
      <c r="N1057" s="18">
        <v>90000</v>
      </c>
      <c r="O1057" s="18">
        <v>57819.25</v>
      </c>
      <c r="P1057" s="26">
        <f t="shared" si="646"/>
        <v>50000</v>
      </c>
      <c r="Q1057" s="18">
        <v>90000</v>
      </c>
      <c r="R1057" s="18">
        <v>60000</v>
      </c>
      <c r="S1057" s="18">
        <v>62000</v>
      </c>
      <c r="T1057" s="27">
        <f>110000+30000</f>
        <v>140000</v>
      </c>
      <c r="U1057" s="27">
        <v>89284.94</v>
      </c>
      <c r="V1057" s="27">
        <v>90000</v>
      </c>
      <c r="W1057" s="27">
        <v>90000</v>
      </c>
      <c r="X1057" s="27">
        <v>90000</v>
      </c>
      <c r="Y1057" s="27">
        <v>14711.25</v>
      </c>
      <c r="Z1057" s="27">
        <f t="shared" si="683"/>
        <v>16.350000000000001</v>
      </c>
      <c r="AA1057" s="27">
        <f t="shared" si="671"/>
        <v>-65000</v>
      </c>
      <c r="AB1057" s="27">
        <v>25000</v>
      </c>
      <c r="AC1057" s="27">
        <v>32563.200000000001</v>
      </c>
      <c r="AD1057" s="27">
        <f t="shared" si="690"/>
        <v>130.25280000000001</v>
      </c>
      <c r="AE1057" s="27">
        <f t="shared" si="653"/>
        <v>37250</v>
      </c>
      <c r="AF1057" s="27">
        <v>62250</v>
      </c>
      <c r="AG1057" s="27">
        <v>38000</v>
      </c>
      <c r="AH1057" s="27">
        <v>38000</v>
      </c>
      <c r="AI1057" s="27">
        <v>38000</v>
      </c>
      <c r="AJ1057" s="162" t="b">
        <f t="shared" si="676"/>
        <v>0</v>
      </c>
      <c r="AK1057" s="162" t="str">
        <f t="shared" si="677"/>
        <v>PUNO</v>
      </c>
      <c r="AM1057" s="164"/>
    </row>
    <row r="1058" spans="1:39" ht="15.75" customHeight="1" x14ac:dyDescent="0.2">
      <c r="B1058" s="177"/>
      <c r="C1058" s="177"/>
      <c r="D1058" s="177"/>
      <c r="E1058" s="177">
        <v>3234</v>
      </c>
      <c r="F1058" s="265">
        <v>17</v>
      </c>
      <c r="G1058" s="176"/>
      <c r="H1058" s="16" t="s">
        <v>238</v>
      </c>
      <c r="I1058" s="18"/>
      <c r="J1058" s="18"/>
      <c r="K1058" s="18"/>
      <c r="L1058" s="18"/>
      <c r="M1058" s="178">
        <v>0</v>
      </c>
      <c r="N1058" s="178">
        <v>25000</v>
      </c>
      <c r="O1058" s="178">
        <v>4618.09</v>
      </c>
      <c r="P1058" s="26">
        <f t="shared" ref="P1058:P1150" si="698">T1058-N1058</f>
        <v>0</v>
      </c>
      <c r="Q1058" s="178">
        <v>25000</v>
      </c>
      <c r="R1058" s="178">
        <v>15000</v>
      </c>
      <c r="S1058" s="178">
        <v>15000</v>
      </c>
      <c r="T1058" s="266">
        <v>25000</v>
      </c>
      <c r="U1058" s="266">
        <v>4618.09</v>
      </c>
      <c r="V1058" s="266">
        <v>25000</v>
      </c>
      <c r="W1058" s="266">
        <v>25000</v>
      </c>
      <c r="X1058" s="266">
        <v>25000</v>
      </c>
      <c r="Y1058" s="266">
        <v>315</v>
      </c>
      <c r="Z1058" s="266">
        <f t="shared" si="683"/>
        <v>1.26</v>
      </c>
      <c r="AA1058" s="266">
        <f t="shared" si="671"/>
        <v>-20000</v>
      </c>
      <c r="AB1058" s="266">
        <v>5000</v>
      </c>
      <c r="AC1058" s="266">
        <v>1362.53</v>
      </c>
      <c r="AD1058" s="266">
        <f t="shared" si="690"/>
        <v>27.250599999999999</v>
      </c>
      <c r="AE1058" s="266">
        <f t="shared" si="653"/>
        <v>-3000</v>
      </c>
      <c r="AF1058" s="266">
        <v>2000</v>
      </c>
      <c r="AG1058" s="266">
        <v>5000</v>
      </c>
      <c r="AH1058" s="266">
        <v>5000</v>
      </c>
      <c r="AI1058" s="266">
        <v>5000</v>
      </c>
      <c r="AJ1058" s="162" t="b">
        <f t="shared" si="676"/>
        <v>0</v>
      </c>
      <c r="AK1058" s="162" t="str">
        <f t="shared" si="677"/>
        <v>PUNO</v>
      </c>
      <c r="AM1058" s="164"/>
    </row>
    <row r="1059" spans="1:39" ht="15.75" customHeight="1" x14ac:dyDescent="0.2">
      <c r="B1059" s="177"/>
      <c r="C1059" s="177"/>
      <c r="D1059" s="177"/>
      <c r="E1059" s="177">
        <v>3235</v>
      </c>
      <c r="F1059" s="176">
        <v>17</v>
      </c>
      <c r="G1059" s="176"/>
      <c r="H1059" s="16" t="s">
        <v>640</v>
      </c>
      <c r="I1059" s="18"/>
      <c r="J1059" s="18"/>
      <c r="K1059" s="18"/>
      <c r="L1059" s="18"/>
      <c r="M1059" s="178"/>
      <c r="N1059" s="178">
        <v>0</v>
      </c>
      <c r="O1059" s="178"/>
      <c r="P1059" s="26">
        <f t="shared" si="698"/>
        <v>5000</v>
      </c>
      <c r="Q1059" s="178"/>
      <c r="R1059" s="178"/>
      <c r="S1059" s="178"/>
      <c r="T1059" s="266">
        <v>5000</v>
      </c>
      <c r="U1059" s="266">
        <v>8300</v>
      </c>
      <c r="V1059" s="266">
        <v>5000</v>
      </c>
      <c r="W1059" s="266">
        <v>5000</v>
      </c>
      <c r="X1059" s="266">
        <v>3000</v>
      </c>
      <c r="Y1059" s="266">
        <v>92487.5</v>
      </c>
      <c r="Z1059" s="266">
        <f t="shared" si="683"/>
        <v>1849.75</v>
      </c>
      <c r="AA1059" s="266">
        <f t="shared" si="671"/>
        <v>82000</v>
      </c>
      <c r="AB1059" s="266">
        <v>87000</v>
      </c>
      <c r="AC1059" s="266">
        <v>114130.63</v>
      </c>
      <c r="AD1059" s="266">
        <f t="shared" si="690"/>
        <v>131.18463218390806</v>
      </c>
      <c r="AE1059" s="266">
        <f t="shared" si="653"/>
        <v>31000</v>
      </c>
      <c r="AF1059" s="266">
        <v>118000</v>
      </c>
      <c r="AG1059" s="266">
        <v>87000</v>
      </c>
      <c r="AH1059" s="266">
        <v>87000</v>
      </c>
      <c r="AI1059" s="266">
        <v>87000</v>
      </c>
      <c r="AJ1059" s="162" t="b">
        <f t="shared" si="676"/>
        <v>0</v>
      </c>
      <c r="AK1059" s="162" t="str">
        <f t="shared" si="677"/>
        <v>PUNO</v>
      </c>
      <c r="AM1059" s="164"/>
    </row>
    <row r="1060" spans="1:39" ht="15.75" customHeight="1" x14ac:dyDescent="0.2">
      <c r="B1060" s="177"/>
      <c r="C1060" s="177"/>
      <c r="D1060" s="177"/>
      <c r="E1060" s="177">
        <v>3237</v>
      </c>
      <c r="F1060" s="176">
        <v>17</v>
      </c>
      <c r="G1060" s="176"/>
      <c r="H1060" s="16" t="s">
        <v>566</v>
      </c>
      <c r="I1060" s="18"/>
      <c r="J1060" s="18"/>
      <c r="K1060" s="18"/>
      <c r="L1060" s="18"/>
      <c r="M1060" s="18">
        <v>0</v>
      </c>
      <c r="N1060" s="18">
        <v>85000</v>
      </c>
      <c r="O1060" s="18">
        <v>51835.76</v>
      </c>
      <c r="P1060" s="26">
        <f t="shared" si="698"/>
        <v>0</v>
      </c>
      <c r="Q1060" s="18">
        <v>85000</v>
      </c>
      <c r="R1060" s="18">
        <v>60000</v>
      </c>
      <c r="S1060" s="18">
        <v>60000</v>
      </c>
      <c r="T1060" s="27">
        <v>85000</v>
      </c>
      <c r="U1060" s="27">
        <v>60585.760000000002</v>
      </c>
      <c r="V1060" s="27">
        <v>85000</v>
      </c>
      <c r="W1060" s="27">
        <v>85000</v>
      </c>
      <c r="X1060" s="27">
        <v>85000</v>
      </c>
      <c r="Y1060" s="27">
        <v>0</v>
      </c>
      <c r="Z1060" s="27">
        <f t="shared" si="683"/>
        <v>0</v>
      </c>
      <c r="AA1060" s="27">
        <f t="shared" si="671"/>
        <v>-24000</v>
      </c>
      <c r="AB1060" s="27">
        <v>61000</v>
      </c>
      <c r="AC1060" s="27">
        <v>23460</v>
      </c>
      <c r="AD1060" s="27">
        <f t="shared" si="690"/>
        <v>38.459016393442624</v>
      </c>
      <c r="AE1060" s="27">
        <f t="shared" si="653"/>
        <v>-33000</v>
      </c>
      <c r="AF1060" s="27">
        <v>28000</v>
      </c>
      <c r="AG1060" s="27">
        <v>61000</v>
      </c>
      <c r="AH1060" s="27">
        <v>61000</v>
      </c>
      <c r="AI1060" s="27">
        <v>61000</v>
      </c>
      <c r="AJ1060" s="162" t="b">
        <f t="shared" si="676"/>
        <v>0</v>
      </c>
      <c r="AK1060" s="162" t="str">
        <f t="shared" si="677"/>
        <v>PUNO</v>
      </c>
      <c r="AM1060" s="164"/>
    </row>
    <row r="1061" spans="1:39" ht="15.75" customHeight="1" x14ac:dyDescent="0.2">
      <c r="B1061" s="177"/>
      <c r="C1061" s="177"/>
      <c r="D1061" s="177"/>
      <c r="E1061" s="177">
        <v>3239</v>
      </c>
      <c r="F1061" s="176">
        <v>17</v>
      </c>
      <c r="G1061" s="176"/>
      <c r="H1061" s="16" t="s">
        <v>529</v>
      </c>
      <c r="I1061" s="18"/>
      <c r="J1061" s="18"/>
      <c r="K1061" s="18"/>
      <c r="L1061" s="18"/>
      <c r="M1061" s="18">
        <v>0</v>
      </c>
      <c r="N1061" s="18">
        <v>30000</v>
      </c>
      <c r="O1061" s="18">
        <v>11780</v>
      </c>
      <c r="P1061" s="26">
        <f t="shared" si="698"/>
        <v>0</v>
      </c>
      <c r="Q1061" s="18">
        <v>30000</v>
      </c>
      <c r="R1061" s="18">
        <v>20000</v>
      </c>
      <c r="S1061" s="18">
        <v>20000</v>
      </c>
      <c r="T1061" s="27">
        <v>30000</v>
      </c>
      <c r="U1061" s="27">
        <v>56180</v>
      </c>
      <c r="V1061" s="27">
        <v>30000</v>
      </c>
      <c r="W1061" s="27">
        <v>30000</v>
      </c>
      <c r="X1061" s="27">
        <v>30000</v>
      </c>
      <c r="Y1061" s="27">
        <v>29308.75</v>
      </c>
      <c r="Z1061" s="27">
        <f t="shared" si="683"/>
        <v>97.7</v>
      </c>
      <c r="AA1061" s="27">
        <f t="shared" si="671"/>
        <v>0</v>
      </c>
      <c r="AB1061" s="27">
        <v>30000</v>
      </c>
      <c r="AC1061" s="27">
        <v>29971.25</v>
      </c>
      <c r="AD1061" s="27">
        <f t="shared" si="690"/>
        <v>99.904166666666669</v>
      </c>
      <c r="AE1061" s="27">
        <f t="shared" si="653"/>
        <v>750</v>
      </c>
      <c r="AF1061" s="27">
        <v>30750</v>
      </c>
      <c r="AG1061" s="27">
        <v>30000</v>
      </c>
      <c r="AH1061" s="27">
        <v>30000</v>
      </c>
      <c r="AI1061" s="27">
        <v>30000</v>
      </c>
      <c r="AJ1061" s="162" t="b">
        <f t="shared" si="676"/>
        <v>0</v>
      </c>
      <c r="AK1061" s="162" t="str">
        <f t="shared" si="677"/>
        <v>PUNO</v>
      </c>
      <c r="AM1061" s="164"/>
    </row>
    <row r="1062" spans="1:39" ht="15.75" customHeight="1" x14ac:dyDescent="0.2">
      <c r="B1062" s="177"/>
      <c r="C1062" s="177"/>
      <c r="D1062" s="177">
        <v>329</v>
      </c>
      <c r="E1062" s="177"/>
      <c r="F1062" s="176"/>
      <c r="G1062" s="176"/>
      <c r="H1062" s="16" t="s">
        <v>531</v>
      </c>
      <c r="I1062" s="27">
        <f t="shared" ref="I1062:O1062" si="699">I1063+I1064+I1065</f>
        <v>0</v>
      </c>
      <c r="J1062" s="27">
        <f t="shared" si="699"/>
        <v>0</v>
      </c>
      <c r="K1062" s="27">
        <f t="shared" si="699"/>
        <v>0</v>
      </c>
      <c r="L1062" s="27">
        <f t="shared" si="699"/>
        <v>0</v>
      </c>
      <c r="M1062" s="27">
        <f t="shared" si="699"/>
        <v>0</v>
      </c>
      <c r="N1062" s="18">
        <f t="shared" si="699"/>
        <v>32000</v>
      </c>
      <c r="O1062" s="18">
        <f t="shared" si="699"/>
        <v>19301.5</v>
      </c>
      <c r="P1062" s="26">
        <f t="shared" si="698"/>
        <v>0</v>
      </c>
      <c r="Q1062" s="18">
        <f>Q1063+Q1064+Q1065</f>
        <v>32000</v>
      </c>
      <c r="R1062" s="18">
        <f>SUM(R1063:R1065)</f>
        <v>19000</v>
      </c>
      <c r="S1062" s="18">
        <f>SUM(S1063:S1065)</f>
        <v>19000</v>
      </c>
      <c r="T1062" s="27">
        <f t="shared" ref="T1062:Y1062" si="700">T1063+T1064+T1065</f>
        <v>32000</v>
      </c>
      <c r="U1062" s="27">
        <f t="shared" si="700"/>
        <v>30589.91</v>
      </c>
      <c r="V1062" s="18">
        <f t="shared" si="700"/>
        <v>32000</v>
      </c>
      <c r="W1062" s="18">
        <f t="shared" si="700"/>
        <v>32000</v>
      </c>
      <c r="X1062" s="18">
        <f t="shared" si="700"/>
        <v>32000</v>
      </c>
      <c r="Y1062" s="18">
        <f t="shared" si="700"/>
        <v>40949</v>
      </c>
      <c r="Z1062" s="18">
        <f t="shared" si="683"/>
        <v>127.97</v>
      </c>
      <c r="AA1062" s="18">
        <f t="shared" si="671"/>
        <v>34000</v>
      </c>
      <c r="AB1062" s="18">
        <f>AB1063+AB1064+AB1065</f>
        <v>66000</v>
      </c>
      <c r="AC1062" s="18">
        <f>AC1063+AC1064+AC1065</f>
        <v>30443</v>
      </c>
      <c r="AD1062" s="18">
        <f t="shared" si="690"/>
        <v>46.125757575757575</v>
      </c>
      <c r="AE1062" s="18">
        <f t="shared" si="653"/>
        <v>-18000</v>
      </c>
      <c r="AF1062" s="18">
        <f>AF1063+AF1064+AF1065</f>
        <v>48000</v>
      </c>
      <c r="AG1062" s="18">
        <f>AG1063+AG1064+AG1065</f>
        <v>56000</v>
      </c>
      <c r="AH1062" s="18">
        <f>AH1063+AH1064+AH1065</f>
        <v>56000</v>
      </c>
      <c r="AI1062" s="18">
        <f>AI1063+AI1064+AI1065</f>
        <v>56000</v>
      </c>
      <c r="AJ1062" s="162" t="b">
        <f t="shared" si="676"/>
        <v>1</v>
      </c>
      <c r="AK1062" s="162" t="str">
        <f t="shared" si="677"/>
        <v>PRAZNO</v>
      </c>
      <c r="AM1062" s="164"/>
    </row>
    <row r="1063" spans="1:39" ht="15.75" customHeight="1" x14ac:dyDescent="0.2">
      <c r="B1063" s="177"/>
      <c r="C1063" s="177"/>
      <c r="D1063" s="177"/>
      <c r="E1063" s="177">
        <v>3292</v>
      </c>
      <c r="F1063" s="176">
        <v>13</v>
      </c>
      <c r="G1063" s="176"/>
      <c r="H1063" s="16" t="s">
        <v>399</v>
      </c>
      <c r="I1063" s="18"/>
      <c r="J1063" s="18"/>
      <c r="K1063" s="18"/>
      <c r="L1063" s="18"/>
      <c r="M1063" s="178">
        <v>0</v>
      </c>
      <c r="N1063" s="178">
        <v>4000</v>
      </c>
      <c r="O1063" s="178">
        <v>0</v>
      </c>
      <c r="P1063" s="26">
        <f t="shared" si="698"/>
        <v>0</v>
      </c>
      <c r="Q1063" s="178">
        <v>4000</v>
      </c>
      <c r="R1063" s="18">
        <v>3000</v>
      </c>
      <c r="S1063" s="18">
        <v>3000</v>
      </c>
      <c r="T1063" s="266">
        <v>4000</v>
      </c>
      <c r="U1063" s="266">
        <v>0</v>
      </c>
      <c r="V1063" s="266">
        <v>4000</v>
      </c>
      <c r="W1063" s="266">
        <v>4000</v>
      </c>
      <c r="X1063" s="266">
        <v>4000</v>
      </c>
      <c r="Y1063" s="266">
        <v>0</v>
      </c>
      <c r="Z1063" s="266">
        <f t="shared" si="683"/>
        <v>0</v>
      </c>
      <c r="AA1063" s="266">
        <f t="shared" si="671"/>
        <v>0</v>
      </c>
      <c r="AB1063" s="266">
        <v>4000</v>
      </c>
      <c r="AC1063" s="266">
        <v>0</v>
      </c>
      <c r="AD1063" s="266">
        <f t="shared" si="690"/>
        <v>0</v>
      </c>
      <c r="AE1063" s="266">
        <f t="shared" si="653"/>
        <v>-3000</v>
      </c>
      <c r="AF1063" s="266">
        <v>1000</v>
      </c>
      <c r="AG1063" s="266">
        <v>4000</v>
      </c>
      <c r="AH1063" s="266">
        <v>4000</v>
      </c>
      <c r="AI1063" s="266">
        <v>4000</v>
      </c>
      <c r="AJ1063" s="162" t="b">
        <f t="shared" si="676"/>
        <v>0</v>
      </c>
      <c r="AK1063" s="162" t="str">
        <f t="shared" si="677"/>
        <v>PUNO</v>
      </c>
      <c r="AM1063" s="164"/>
    </row>
    <row r="1064" spans="1:39" ht="15.75" customHeight="1" x14ac:dyDescent="0.2">
      <c r="B1064" s="177"/>
      <c r="C1064" s="177"/>
      <c r="D1064" s="177"/>
      <c r="E1064" s="177">
        <v>3293</v>
      </c>
      <c r="F1064" s="176">
        <v>17</v>
      </c>
      <c r="G1064" s="176"/>
      <c r="H1064" s="16" t="s">
        <v>533</v>
      </c>
      <c r="I1064" s="18"/>
      <c r="J1064" s="18"/>
      <c r="K1064" s="18"/>
      <c r="L1064" s="18"/>
      <c r="M1064" s="178">
        <v>0</v>
      </c>
      <c r="N1064" s="178">
        <v>15000</v>
      </c>
      <c r="O1064" s="178">
        <v>17396.599999999999</v>
      </c>
      <c r="P1064" s="26">
        <f t="shared" si="698"/>
        <v>0</v>
      </c>
      <c r="Q1064" s="178">
        <v>15000</v>
      </c>
      <c r="R1064" s="178">
        <v>10000</v>
      </c>
      <c r="S1064" s="178">
        <v>10000</v>
      </c>
      <c r="T1064" s="266">
        <v>15000</v>
      </c>
      <c r="U1064" s="266">
        <v>17629.34</v>
      </c>
      <c r="V1064" s="266">
        <v>15000</v>
      </c>
      <c r="W1064" s="266">
        <v>15000</v>
      </c>
      <c r="X1064" s="266">
        <v>15000</v>
      </c>
      <c r="Y1064" s="266">
        <v>38867.160000000003</v>
      </c>
      <c r="Z1064" s="266">
        <f t="shared" si="683"/>
        <v>259.11</v>
      </c>
      <c r="AA1064" s="266">
        <f t="shared" si="671"/>
        <v>34000</v>
      </c>
      <c r="AB1064" s="266">
        <v>49000</v>
      </c>
      <c r="AC1064" s="266">
        <v>22421.15</v>
      </c>
      <c r="AD1064" s="266">
        <f t="shared" si="690"/>
        <v>45.757448979591842</v>
      </c>
      <c r="AE1064" s="266">
        <f t="shared" ref="AE1064:AE1127" si="701">AF1064-AB1064</f>
        <v>-11000</v>
      </c>
      <c r="AF1064" s="266">
        <v>38000</v>
      </c>
      <c r="AG1064" s="266">
        <v>39000</v>
      </c>
      <c r="AH1064" s="266">
        <v>39000</v>
      </c>
      <c r="AI1064" s="266">
        <v>39000</v>
      </c>
      <c r="AJ1064" s="162" t="b">
        <f t="shared" si="676"/>
        <v>0</v>
      </c>
      <c r="AK1064" s="162" t="str">
        <f t="shared" si="677"/>
        <v>PUNO</v>
      </c>
      <c r="AM1064" s="164"/>
    </row>
    <row r="1065" spans="1:39" ht="15.75" customHeight="1" x14ac:dyDescent="0.2">
      <c r="B1065" s="177"/>
      <c r="C1065" s="177"/>
      <c r="D1065" s="177"/>
      <c r="E1065" s="177">
        <v>3299</v>
      </c>
      <c r="F1065" s="176">
        <v>17</v>
      </c>
      <c r="G1065" s="176"/>
      <c r="H1065" s="16" t="s">
        <v>531</v>
      </c>
      <c r="I1065" s="18"/>
      <c r="J1065" s="18"/>
      <c r="K1065" s="18"/>
      <c r="L1065" s="18"/>
      <c r="M1065" s="178">
        <v>0</v>
      </c>
      <c r="N1065" s="178">
        <v>13000</v>
      </c>
      <c r="O1065" s="178">
        <v>1904.9</v>
      </c>
      <c r="P1065" s="26">
        <f t="shared" si="698"/>
        <v>0</v>
      </c>
      <c r="Q1065" s="178">
        <v>13000</v>
      </c>
      <c r="R1065" s="18">
        <v>6000</v>
      </c>
      <c r="S1065" s="18">
        <v>6000</v>
      </c>
      <c r="T1065" s="266">
        <v>13000</v>
      </c>
      <c r="U1065" s="266">
        <v>12960.57</v>
      </c>
      <c r="V1065" s="266">
        <v>13000</v>
      </c>
      <c r="W1065" s="266">
        <v>13000</v>
      </c>
      <c r="X1065" s="266">
        <v>13000</v>
      </c>
      <c r="Y1065" s="266">
        <v>2081.84</v>
      </c>
      <c r="Z1065" s="266">
        <f t="shared" si="683"/>
        <v>16.010000000000002</v>
      </c>
      <c r="AA1065" s="266">
        <f t="shared" si="671"/>
        <v>0</v>
      </c>
      <c r="AB1065" s="266">
        <v>13000</v>
      </c>
      <c r="AC1065" s="266">
        <v>8021.85</v>
      </c>
      <c r="AD1065" s="266">
        <f t="shared" si="690"/>
        <v>61.706538461538464</v>
      </c>
      <c r="AE1065" s="266">
        <f t="shared" si="701"/>
        <v>-4000</v>
      </c>
      <c r="AF1065" s="266">
        <v>9000</v>
      </c>
      <c r="AG1065" s="266">
        <v>13000</v>
      </c>
      <c r="AH1065" s="266">
        <v>13000</v>
      </c>
      <c r="AI1065" s="266">
        <v>13000</v>
      </c>
      <c r="AJ1065" s="162" t="b">
        <f t="shared" si="676"/>
        <v>0</v>
      </c>
      <c r="AK1065" s="162" t="str">
        <f t="shared" si="677"/>
        <v>PUNO</v>
      </c>
      <c r="AM1065" s="164"/>
    </row>
    <row r="1066" spans="1:39" s="447" customFormat="1" ht="15.75" customHeight="1" x14ac:dyDescent="0.25">
      <c r="A1066" s="378"/>
      <c r="B1066" s="260"/>
      <c r="C1066" s="260"/>
      <c r="D1066" s="260"/>
      <c r="E1066" s="260"/>
      <c r="F1066" s="442"/>
      <c r="G1066" s="442"/>
      <c r="H1066" s="440" t="s">
        <v>828</v>
      </c>
      <c r="I1066" s="443"/>
      <c r="J1066" s="443"/>
      <c r="K1066" s="443"/>
      <c r="L1066" s="443"/>
      <c r="M1066" s="443"/>
      <c r="N1066" s="443"/>
      <c r="O1066" s="443"/>
      <c r="P1066" s="342"/>
      <c r="Q1066" s="443"/>
      <c r="R1066" s="443"/>
      <c r="S1066" s="443"/>
      <c r="T1066" s="444"/>
      <c r="U1066" s="444">
        <f t="shared" ref="U1066:AI1069" si="702">U1067</f>
        <v>75956.320000000007</v>
      </c>
      <c r="V1066" s="444">
        <f t="shared" si="702"/>
        <v>10000</v>
      </c>
      <c r="W1066" s="444">
        <f t="shared" si="702"/>
        <v>10000</v>
      </c>
      <c r="X1066" s="444">
        <f t="shared" si="702"/>
        <v>12000</v>
      </c>
      <c r="Y1066" s="444">
        <f t="shared" si="702"/>
        <v>0</v>
      </c>
      <c r="Z1066" s="444">
        <f t="shared" si="702"/>
        <v>0</v>
      </c>
      <c r="AA1066" s="444">
        <f t="shared" si="702"/>
        <v>-7000</v>
      </c>
      <c r="AB1066" s="444">
        <f t="shared" si="702"/>
        <v>3000</v>
      </c>
      <c r="AC1066" s="444">
        <f t="shared" si="702"/>
        <v>0</v>
      </c>
      <c r="AD1066" s="444">
        <f t="shared" si="690"/>
        <v>0</v>
      </c>
      <c r="AE1066" s="444">
        <f t="shared" si="701"/>
        <v>-3000</v>
      </c>
      <c r="AF1066" s="444">
        <f t="shared" si="702"/>
        <v>0</v>
      </c>
      <c r="AG1066" s="444">
        <f t="shared" si="702"/>
        <v>0</v>
      </c>
      <c r="AH1066" s="444">
        <f t="shared" si="702"/>
        <v>0</v>
      </c>
      <c r="AI1066" s="444">
        <f t="shared" si="702"/>
        <v>0</v>
      </c>
      <c r="AJ1066" s="162" t="b">
        <f t="shared" si="676"/>
        <v>1</v>
      </c>
      <c r="AK1066" s="162" t="str">
        <f t="shared" si="677"/>
        <v>PRAZNO</v>
      </c>
      <c r="AL1066" s="446"/>
    </row>
    <row r="1067" spans="1:39" s="174" customFormat="1" ht="15.75" customHeight="1" x14ac:dyDescent="0.2">
      <c r="A1067" s="259"/>
      <c r="B1067" s="172">
        <v>3</v>
      </c>
      <c r="C1067" s="172"/>
      <c r="D1067" s="172"/>
      <c r="E1067" s="172"/>
      <c r="F1067" s="220"/>
      <c r="G1067" s="220"/>
      <c r="H1067" s="14" t="s">
        <v>524</v>
      </c>
      <c r="I1067" s="184"/>
      <c r="J1067" s="184"/>
      <c r="K1067" s="184"/>
      <c r="L1067" s="184"/>
      <c r="M1067" s="184"/>
      <c r="N1067" s="184"/>
      <c r="O1067" s="184"/>
      <c r="P1067" s="55"/>
      <c r="Q1067" s="184"/>
      <c r="R1067" s="184"/>
      <c r="S1067" s="184"/>
      <c r="T1067" s="185"/>
      <c r="U1067" s="185">
        <f t="shared" si="702"/>
        <v>75956.320000000007</v>
      </c>
      <c r="V1067" s="185">
        <f t="shared" si="702"/>
        <v>10000</v>
      </c>
      <c r="W1067" s="185">
        <f t="shared" si="702"/>
        <v>10000</v>
      </c>
      <c r="X1067" s="185">
        <f t="shared" si="702"/>
        <v>12000</v>
      </c>
      <c r="Y1067" s="185">
        <f t="shared" si="702"/>
        <v>0</v>
      </c>
      <c r="Z1067" s="185">
        <f t="shared" si="702"/>
        <v>0</v>
      </c>
      <c r="AA1067" s="185">
        <f t="shared" si="702"/>
        <v>-7000</v>
      </c>
      <c r="AB1067" s="185">
        <f t="shared" si="702"/>
        <v>3000</v>
      </c>
      <c r="AC1067" s="185">
        <f t="shared" si="702"/>
        <v>0</v>
      </c>
      <c r="AD1067" s="185">
        <f t="shared" si="690"/>
        <v>0</v>
      </c>
      <c r="AE1067" s="185">
        <f t="shared" si="701"/>
        <v>-3000</v>
      </c>
      <c r="AF1067" s="185">
        <f t="shared" si="702"/>
        <v>0</v>
      </c>
      <c r="AG1067" s="185">
        <f t="shared" si="702"/>
        <v>0</v>
      </c>
      <c r="AH1067" s="185">
        <f t="shared" si="702"/>
        <v>0</v>
      </c>
      <c r="AI1067" s="185">
        <f t="shared" si="702"/>
        <v>0</v>
      </c>
      <c r="AJ1067" s="162" t="b">
        <f t="shared" si="676"/>
        <v>1</v>
      </c>
      <c r="AK1067" s="162" t="str">
        <f t="shared" si="677"/>
        <v>PRAZNO</v>
      </c>
      <c r="AL1067" s="173"/>
    </row>
    <row r="1068" spans="1:39" ht="15.75" customHeight="1" x14ac:dyDescent="0.2">
      <c r="B1068" s="177"/>
      <c r="C1068" s="177">
        <v>32</v>
      </c>
      <c r="D1068" s="177"/>
      <c r="E1068" s="177"/>
      <c r="F1068" s="176"/>
      <c r="G1068" s="176"/>
      <c r="H1068" s="16" t="s">
        <v>525</v>
      </c>
      <c r="I1068" s="18"/>
      <c r="J1068" s="18"/>
      <c r="K1068" s="18"/>
      <c r="L1068" s="18"/>
      <c r="M1068" s="178"/>
      <c r="N1068" s="178"/>
      <c r="O1068" s="178"/>
      <c r="P1068" s="26"/>
      <c r="Q1068" s="178"/>
      <c r="R1068" s="18"/>
      <c r="S1068" s="18"/>
      <c r="T1068" s="266"/>
      <c r="U1068" s="266">
        <f t="shared" si="702"/>
        <v>75956.320000000007</v>
      </c>
      <c r="V1068" s="266">
        <f t="shared" si="702"/>
        <v>10000</v>
      </c>
      <c r="W1068" s="266">
        <f t="shared" si="702"/>
        <v>10000</v>
      </c>
      <c r="X1068" s="266">
        <f t="shared" si="702"/>
        <v>12000</v>
      </c>
      <c r="Y1068" s="266">
        <f t="shared" si="702"/>
        <v>0</v>
      </c>
      <c r="Z1068" s="266">
        <f t="shared" si="702"/>
        <v>0</v>
      </c>
      <c r="AA1068" s="266">
        <f t="shared" si="702"/>
        <v>-7000</v>
      </c>
      <c r="AB1068" s="266">
        <f t="shared" si="702"/>
        <v>3000</v>
      </c>
      <c r="AC1068" s="266">
        <f t="shared" si="702"/>
        <v>0</v>
      </c>
      <c r="AD1068" s="266">
        <f t="shared" si="690"/>
        <v>0</v>
      </c>
      <c r="AE1068" s="266">
        <f t="shared" si="701"/>
        <v>-3000</v>
      </c>
      <c r="AF1068" s="266">
        <f t="shared" si="702"/>
        <v>0</v>
      </c>
      <c r="AG1068" s="266">
        <f t="shared" si="702"/>
        <v>0</v>
      </c>
      <c r="AH1068" s="266">
        <f t="shared" si="702"/>
        <v>0</v>
      </c>
      <c r="AI1068" s="266">
        <f t="shared" si="702"/>
        <v>0</v>
      </c>
      <c r="AJ1068" s="162" t="b">
        <f t="shared" si="676"/>
        <v>1</v>
      </c>
      <c r="AK1068" s="162" t="str">
        <f t="shared" si="677"/>
        <v>PRAZNO</v>
      </c>
      <c r="AM1068" s="164"/>
    </row>
    <row r="1069" spans="1:39" ht="15.75" customHeight="1" x14ac:dyDescent="0.2">
      <c r="B1069" s="177"/>
      <c r="C1069" s="177"/>
      <c r="D1069" s="177">
        <v>323</v>
      </c>
      <c r="E1069" s="177"/>
      <c r="F1069" s="176"/>
      <c r="G1069" s="176"/>
      <c r="H1069" s="16" t="s">
        <v>526</v>
      </c>
      <c r="I1069" s="18"/>
      <c r="J1069" s="18"/>
      <c r="K1069" s="18"/>
      <c r="L1069" s="18"/>
      <c r="M1069" s="178"/>
      <c r="N1069" s="178"/>
      <c r="O1069" s="178"/>
      <c r="P1069" s="26"/>
      <c r="Q1069" s="178"/>
      <c r="R1069" s="18"/>
      <c r="S1069" s="18"/>
      <c r="T1069" s="266"/>
      <c r="U1069" s="266">
        <f t="shared" si="702"/>
        <v>75956.320000000007</v>
      </c>
      <c r="V1069" s="266">
        <f t="shared" si="702"/>
        <v>10000</v>
      </c>
      <c r="W1069" s="266">
        <f t="shared" si="702"/>
        <v>10000</v>
      </c>
      <c r="X1069" s="266">
        <f t="shared" si="702"/>
        <v>12000</v>
      </c>
      <c r="Y1069" s="266">
        <f t="shared" si="702"/>
        <v>0</v>
      </c>
      <c r="Z1069" s="266">
        <f t="shared" si="702"/>
        <v>0</v>
      </c>
      <c r="AA1069" s="266">
        <f t="shared" si="702"/>
        <v>-7000</v>
      </c>
      <c r="AB1069" s="266">
        <f t="shared" si="702"/>
        <v>3000</v>
      </c>
      <c r="AC1069" s="266">
        <f t="shared" si="702"/>
        <v>0</v>
      </c>
      <c r="AD1069" s="266">
        <f t="shared" si="690"/>
        <v>0</v>
      </c>
      <c r="AE1069" s="266">
        <f t="shared" si="701"/>
        <v>-3000</v>
      </c>
      <c r="AF1069" s="266">
        <f t="shared" si="702"/>
        <v>0</v>
      </c>
      <c r="AG1069" s="266">
        <f t="shared" si="702"/>
        <v>0</v>
      </c>
      <c r="AH1069" s="266">
        <f t="shared" si="702"/>
        <v>0</v>
      </c>
      <c r="AI1069" s="266">
        <f t="shared" si="702"/>
        <v>0</v>
      </c>
      <c r="AJ1069" s="162" t="b">
        <f t="shared" si="676"/>
        <v>1</v>
      </c>
      <c r="AK1069" s="162" t="str">
        <f t="shared" si="677"/>
        <v>PRAZNO</v>
      </c>
      <c r="AM1069" s="164"/>
    </row>
    <row r="1070" spans="1:39" ht="15.75" customHeight="1" x14ac:dyDescent="0.2">
      <c r="B1070" s="177"/>
      <c r="C1070" s="177"/>
      <c r="D1070" s="177"/>
      <c r="E1070" s="177">
        <v>3235</v>
      </c>
      <c r="F1070" s="176">
        <v>61</v>
      </c>
      <c r="G1070" s="176"/>
      <c r="H1070" s="16" t="s">
        <v>640</v>
      </c>
      <c r="I1070" s="18"/>
      <c r="J1070" s="18"/>
      <c r="K1070" s="18"/>
      <c r="L1070" s="18"/>
      <c r="M1070" s="178"/>
      <c r="N1070" s="178"/>
      <c r="O1070" s="178"/>
      <c r="P1070" s="26"/>
      <c r="Q1070" s="178"/>
      <c r="R1070" s="178"/>
      <c r="S1070" s="178"/>
      <c r="T1070" s="266"/>
      <c r="U1070" s="266">
        <v>75956.320000000007</v>
      </c>
      <c r="V1070" s="266">
        <v>10000</v>
      </c>
      <c r="W1070" s="266">
        <v>10000</v>
      </c>
      <c r="X1070" s="266">
        <v>12000</v>
      </c>
      <c r="Y1070" s="266">
        <v>0</v>
      </c>
      <c r="Z1070" s="266">
        <f t="shared" si="683"/>
        <v>0</v>
      </c>
      <c r="AA1070" s="266">
        <f t="shared" si="671"/>
        <v>-7000</v>
      </c>
      <c r="AB1070" s="266">
        <v>3000</v>
      </c>
      <c r="AC1070" s="266">
        <v>0</v>
      </c>
      <c r="AD1070" s="266">
        <f t="shared" si="690"/>
        <v>0</v>
      </c>
      <c r="AE1070" s="266">
        <f t="shared" si="701"/>
        <v>-3000</v>
      </c>
      <c r="AF1070" s="266">
        <v>0</v>
      </c>
      <c r="AG1070" s="266">
        <v>0</v>
      </c>
      <c r="AH1070" s="266">
        <v>0</v>
      </c>
      <c r="AI1070" s="266">
        <v>0</v>
      </c>
      <c r="AJ1070" s="162" t="b">
        <f t="shared" si="676"/>
        <v>0</v>
      </c>
      <c r="AK1070" s="162" t="str">
        <f t="shared" si="677"/>
        <v>PUNO</v>
      </c>
      <c r="AM1070" s="164"/>
    </row>
    <row r="1071" spans="1:39" s="171" customFormat="1" ht="45.75" customHeight="1" x14ac:dyDescent="0.2">
      <c r="A1071" s="259"/>
      <c r="B1071" s="209"/>
      <c r="C1071" s="209"/>
      <c r="D1071" s="209"/>
      <c r="E1071" s="209"/>
      <c r="F1071" s="219"/>
      <c r="G1071" s="219"/>
      <c r="H1071" s="12" t="s">
        <v>293</v>
      </c>
      <c r="I1071" s="305">
        <f t="shared" ref="I1071:O1071" si="703">I1073</f>
        <v>0</v>
      </c>
      <c r="J1071" s="305">
        <f t="shared" si="703"/>
        <v>0</v>
      </c>
      <c r="K1071" s="305">
        <f t="shared" si="703"/>
        <v>0</v>
      </c>
      <c r="L1071" s="305">
        <f t="shared" si="703"/>
        <v>0</v>
      </c>
      <c r="M1071" s="305">
        <f t="shared" si="703"/>
        <v>0</v>
      </c>
      <c r="N1071" s="301">
        <f t="shared" si="703"/>
        <v>0</v>
      </c>
      <c r="O1071" s="301">
        <f t="shared" si="703"/>
        <v>0</v>
      </c>
      <c r="P1071" s="303">
        <f t="shared" ref="P1071:P1076" si="704">T1071-N1071</f>
        <v>0</v>
      </c>
      <c r="Q1071" s="301">
        <f t="shared" ref="Q1071:X1071" si="705">Q1073</f>
        <v>0</v>
      </c>
      <c r="R1071" s="301">
        <f t="shared" si="705"/>
        <v>0</v>
      </c>
      <c r="S1071" s="301">
        <f t="shared" si="705"/>
        <v>200000</v>
      </c>
      <c r="T1071" s="305">
        <f t="shared" si="705"/>
        <v>0</v>
      </c>
      <c r="U1071" s="305">
        <f>U1073</f>
        <v>0</v>
      </c>
      <c r="V1071" s="301">
        <f t="shared" si="705"/>
        <v>300000</v>
      </c>
      <c r="W1071" s="301">
        <f t="shared" si="705"/>
        <v>300000</v>
      </c>
      <c r="X1071" s="301">
        <f t="shared" si="705"/>
        <v>300000</v>
      </c>
      <c r="Y1071" s="301">
        <f>Y1073</f>
        <v>0</v>
      </c>
      <c r="Z1071" s="301">
        <f t="shared" si="683"/>
        <v>0</v>
      </c>
      <c r="AA1071" s="301">
        <f t="shared" si="671"/>
        <v>-150000</v>
      </c>
      <c r="AB1071" s="301">
        <f>AB1073</f>
        <v>150000</v>
      </c>
      <c r="AC1071" s="301">
        <f>AC1073</f>
        <v>0</v>
      </c>
      <c r="AD1071" s="301">
        <f t="shared" si="690"/>
        <v>0</v>
      </c>
      <c r="AE1071" s="301">
        <f t="shared" si="701"/>
        <v>0</v>
      </c>
      <c r="AF1071" s="301">
        <f>AF1073</f>
        <v>150000</v>
      </c>
      <c r="AG1071" s="301">
        <f>AG1073</f>
        <v>100000</v>
      </c>
      <c r="AH1071" s="301">
        <f>AH1073</f>
        <v>100000</v>
      </c>
      <c r="AI1071" s="301">
        <f>AI1073</f>
        <v>100000</v>
      </c>
      <c r="AJ1071" s="162" t="b">
        <f t="shared" si="676"/>
        <v>1</v>
      </c>
      <c r="AK1071" s="162" t="str">
        <f t="shared" si="677"/>
        <v>PRAZNO</v>
      </c>
      <c r="AL1071" s="170"/>
    </row>
    <row r="1072" spans="1:39" s="264" customFormat="1" ht="18.75" customHeight="1" x14ac:dyDescent="0.2">
      <c r="A1072" s="259"/>
      <c r="B1072" s="177"/>
      <c r="C1072" s="177"/>
      <c r="D1072" s="177"/>
      <c r="E1072" s="177"/>
      <c r="F1072" s="265"/>
      <c r="G1072" s="265"/>
      <c r="H1072" s="441" t="s">
        <v>824</v>
      </c>
      <c r="I1072" s="430"/>
      <c r="J1072" s="430"/>
      <c r="K1072" s="430"/>
      <c r="L1072" s="430"/>
      <c r="M1072" s="430"/>
      <c r="N1072" s="462"/>
      <c r="O1072" s="462"/>
      <c r="P1072" s="445"/>
      <c r="Q1072" s="462"/>
      <c r="R1072" s="462"/>
      <c r="S1072" s="462"/>
      <c r="T1072" s="430"/>
      <c r="U1072" s="430"/>
      <c r="V1072" s="462">
        <f>V1073</f>
        <v>300000</v>
      </c>
      <c r="W1072" s="462">
        <f>W1073</f>
        <v>300000</v>
      </c>
      <c r="X1072" s="462">
        <f>X1073</f>
        <v>300000</v>
      </c>
      <c r="Y1072" s="462">
        <f>Y1073</f>
        <v>0</v>
      </c>
      <c r="Z1072" s="462">
        <f t="shared" si="683"/>
        <v>0</v>
      </c>
      <c r="AA1072" s="462">
        <f t="shared" si="671"/>
        <v>-150000</v>
      </c>
      <c r="AB1072" s="462">
        <f>AB1073</f>
        <v>150000</v>
      </c>
      <c r="AC1072" s="462">
        <f>AC1073</f>
        <v>0</v>
      </c>
      <c r="AD1072" s="462">
        <f t="shared" si="690"/>
        <v>0</v>
      </c>
      <c r="AE1072" s="462">
        <f t="shared" si="701"/>
        <v>0</v>
      </c>
      <c r="AF1072" s="462">
        <f>AF1073</f>
        <v>150000</v>
      </c>
      <c r="AG1072" s="462">
        <f>AG1073</f>
        <v>100000</v>
      </c>
      <c r="AH1072" s="462">
        <f>AH1073</f>
        <v>100000</v>
      </c>
      <c r="AI1072" s="462">
        <f>AI1073</f>
        <v>100000</v>
      </c>
      <c r="AJ1072" s="162" t="b">
        <f t="shared" si="676"/>
        <v>1</v>
      </c>
      <c r="AK1072" s="162" t="str">
        <f t="shared" si="677"/>
        <v>PRAZNO</v>
      </c>
      <c r="AL1072" s="263"/>
    </row>
    <row r="1073" spans="1:39" s="264" customFormat="1" ht="17.25" customHeight="1" x14ac:dyDescent="0.2">
      <c r="A1073" s="259"/>
      <c r="B1073" s="172">
        <v>3</v>
      </c>
      <c r="C1073" s="172"/>
      <c r="D1073" s="172"/>
      <c r="E1073" s="172"/>
      <c r="F1073" s="220"/>
      <c r="G1073" s="220"/>
      <c r="H1073" s="14" t="s">
        <v>524</v>
      </c>
      <c r="I1073" s="185">
        <f t="shared" ref="I1073:AI1075" si="706">I1074</f>
        <v>0</v>
      </c>
      <c r="J1073" s="185">
        <f t="shared" si="706"/>
        <v>0</v>
      </c>
      <c r="K1073" s="185">
        <f t="shared" si="706"/>
        <v>0</v>
      </c>
      <c r="L1073" s="185">
        <f t="shared" si="706"/>
        <v>0</v>
      </c>
      <c r="M1073" s="185">
        <f t="shared" si="706"/>
        <v>0</v>
      </c>
      <c r="N1073" s="184">
        <f t="shared" si="706"/>
        <v>0</v>
      </c>
      <c r="O1073" s="184">
        <f t="shared" si="706"/>
        <v>0</v>
      </c>
      <c r="P1073" s="55">
        <f t="shared" si="704"/>
        <v>0</v>
      </c>
      <c r="Q1073" s="184">
        <f t="shared" si="706"/>
        <v>0</v>
      </c>
      <c r="R1073" s="184">
        <f t="shared" si="706"/>
        <v>0</v>
      </c>
      <c r="S1073" s="184">
        <f t="shared" si="706"/>
        <v>200000</v>
      </c>
      <c r="T1073" s="185">
        <f t="shared" si="706"/>
        <v>0</v>
      </c>
      <c r="U1073" s="185">
        <f t="shared" si="706"/>
        <v>0</v>
      </c>
      <c r="V1073" s="184">
        <f t="shared" si="706"/>
        <v>300000</v>
      </c>
      <c r="W1073" s="184">
        <f t="shared" si="706"/>
        <v>300000</v>
      </c>
      <c r="X1073" s="184">
        <f t="shared" si="706"/>
        <v>300000</v>
      </c>
      <c r="Y1073" s="184">
        <f t="shared" si="706"/>
        <v>0</v>
      </c>
      <c r="Z1073" s="184">
        <f t="shared" si="683"/>
        <v>0</v>
      </c>
      <c r="AA1073" s="184">
        <f t="shared" si="671"/>
        <v>-150000</v>
      </c>
      <c r="AB1073" s="184">
        <f t="shared" si="706"/>
        <v>150000</v>
      </c>
      <c r="AC1073" s="184">
        <f t="shared" si="706"/>
        <v>0</v>
      </c>
      <c r="AD1073" s="184">
        <f t="shared" si="690"/>
        <v>0</v>
      </c>
      <c r="AE1073" s="184">
        <f t="shared" si="701"/>
        <v>0</v>
      </c>
      <c r="AF1073" s="184">
        <f t="shared" si="706"/>
        <v>150000</v>
      </c>
      <c r="AG1073" s="184">
        <f t="shared" si="706"/>
        <v>100000</v>
      </c>
      <c r="AH1073" s="184">
        <f t="shared" si="706"/>
        <v>100000</v>
      </c>
      <c r="AI1073" s="184">
        <f t="shared" si="706"/>
        <v>100000</v>
      </c>
      <c r="AJ1073" s="162" t="b">
        <f t="shared" si="676"/>
        <v>1</v>
      </c>
      <c r="AK1073" s="162" t="str">
        <f t="shared" si="677"/>
        <v>PRAZNO</v>
      </c>
      <c r="AL1073" s="263"/>
    </row>
    <row r="1074" spans="1:39" ht="20.25" customHeight="1" x14ac:dyDescent="0.2">
      <c r="B1074" s="177"/>
      <c r="C1074" s="177">
        <v>36</v>
      </c>
      <c r="D1074" s="177"/>
      <c r="E1074" s="177"/>
      <c r="F1074" s="176"/>
      <c r="G1074" s="176"/>
      <c r="H1074" s="16" t="s">
        <v>751</v>
      </c>
      <c r="I1074" s="27">
        <f t="shared" si="706"/>
        <v>0</v>
      </c>
      <c r="J1074" s="27">
        <f t="shared" si="706"/>
        <v>0</v>
      </c>
      <c r="K1074" s="27">
        <f t="shared" si="706"/>
        <v>0</v>
      </c>
      <c r="L1074" s="27">
        <f t="shared" si="706"/>
        <v>0</v>
      </c>
      <c r="M1074" s="27">
        <f t="shared" si="706"/>
        <v>0</v>
      </c>
      <c r="N1074" s="18">
        <f t="shared" si="706"/>
        <v>0</v>
      </c>
      <c r="O1074" s="18">
        <f t="shared" si="706"/>
        <v>0</v>
      </c>
      <c r="P1074" s="26">
        <f t="shared" si="704"/>
        <v>0</v>
      </c>
      <c r="Q1074" s="18">
        <f t="shared" si="706"/>
        <v>0</v>
      </c>
      <c r="R1074" s="18">
        <f t="shared" si="706"/>
        <v>0</v>
      </c>
      <c r="S1074" s="18">
        <f t="shared" si="706"/>
        <v>200000</v>
      </c>
      <c r="T1074" s="27">
        <f t="shared" si="706"/>
        <v>0</v>
      </c>
      <c r="U1074" s="27">
        <f t="shared" si="706"/>
        <v>0</v>
      </c>
      <c r="V1074" s="18">
        <f t="shared" si="706"/>
        <v>300000</v>
      </c>
      <c r="W1074" s="18">
        <f t="shared" si="706"/>
        <v>300000</v>
      </c>
      <c r="X1074" s="18">
        <f t="shared" si="706"/>
        <v>300000</v>
      </c>
      <c r="Y1074" s="18">
        <f t="shared" si="706"/>
        <v>0</v>
      </c>
      <c r="Z1074" s="18">
        <f t="shared" si="683"/>
        <v>0</v>
      </c>
      <c r="AA1074" s="18">
        <f t="shared" si="671"/>
        <v>-150000</v>
      </c>
      <c r="AB1074" s="18">
        <f t="shared" si="706"/>
        <v>150000</v>
      </c>
      <c r="AC1074" s="18">
        <f t="shared" si="706"/>
        <v>0</v>
      </c>
      <c r="AD1074" s="18">
        <f t="shared" si="690"/>
        <v>0</v>
      </c>
      <c r="AE1074" s="18">
        <f t="shared" si="701"/>
        <v>0</v>
      </c>
      <c r="AF1074" s="18">
        <f t="shared" si="706"/>
        <v>150000</v>
      </c>
      <c r="AG1074" s="18">
        <f t="shared" si="706"/>
        <v>100000</v>
      </c>
      <c r="AH1074" s="18">
        <f t="shared" si="706"/>
        <v>100000</v>
      </c>
      <c r="AI1074" s="18">
        <f t="shared" si="706"/>
        <v>100000</v>
      </c>
      <c r="AJ1074" s="162" t="b">
        <f t="shared" si="676"/>
        <v>1</v>
      </c>
      <c r="AK1074" s="162" t="str">
        <f t="shared" si="677"/>
        <v>PRAZNO</v>
      </c>
      <c r="AM1074" s="164"/>
    </row>
    <row r="1075" spans="1:39" ht="18" customHeight="1" x14ac:dyDescent="0.2">
      <c r="B1075" s="177"/>
      <c r="C1075" s="177"/>
      <c r="D1075" s="177">
        <v>363</v>
      </c>
      <c r="E1075" s="177"/>
      <c r="F1075" s="176"/>
      <c r="G1075" s="176"/>
      <c r="H1075" s="16" t="s">
        <v>536</v>
      </c>
      <c r="I1075" s="27">
        <f t="shared" si="706"/>
        <v>0</v>
      </c>
      <c r="J1075" s="27">
        <f t="shared" si="706"/>
        <v>0</v>
      </c>
      <c r="K1075" s="27">
        <f t="shared" si="706"/>
        <v>0</v>
      </c>
      <c r="L1075" s="27">
        <f t="shared" si="706"/>
        <v>0</v>
      </c>
      <c r="M1075" s="27">
        <f t="shared" si="706"/>
        <v>0</v>
      </c>
      <c r="N1075" s="18">
        <f t="shared" si="706"/>
        <v>0</v>
      </c>
      <c r="O1075" s="18">
        <f t="shared" si="706"/>
        <v>0</v>
      </c>
      <c r="P1075" s="26">
        <f t="shared" si="704"/>
        <v>0</v>
      </c>
      <c r="Q1075" s="18">
        <f t="shared" si="706"/>
        <v>0</v>
      </c>
      <c r="R1075" s="18">
        <f t="shared" si="706"/>
        <v>0</v>
      </c>
      <c r="S1075" s="18">
        <f t="shared" si="706"/>
        <v>200000</v>
      </c>
      <c r="T1075" s="27">
        <f t="shared" si="706"/>
        <v>0</v>
      </c>
      <c r="U1075" s="27">
        <f t="shared" si="706"/>
        <v>0</v>
      </c>
      <c r="V1075" s="18">
        <f t="shared" si="706"/>
        <v>300000</v>
      </c>
      <c r="W1075" s="18">
        <f t="shared" si="706"/>
        <v>300000</v>
      </c>
      <c r="X1075" s="18">
        <f t="shared" si="706"/>
        <v>300000</v>
      </c>
      <c r="Y1075" s="18">
        <f t="shared" si="706"/>
        <v>0</v>
      </c>
      <c r="Z1075" s="18">
        <f t="shared" si="683"/>
        <v>0</v>
      </c>
      <c r="AA1075" s="18">
        <f t="shared" si="671"/>
        <v>-150000</v>
      </c>
      <c r="AB1075" s="18">
        <f t="shared" si="706"/>
        <v>150000</v>
      </c>
      <c r="AC1075" s="18">
        <f t="shared" si="706"/>
        <v>0</v>
      </c>
      <c r="AD1075" s="18">
        <f t="shared" si="690"/>
        <v>0</v>
      </c>
      <c r="AE1075" s="18">
        <f t="shared" si="701"/>
        <v>0</v>
      </c>
      <c r="AF1075" s="18">
        <f t="shared" si="706"/>
        <v>150000</v>
      </c>
      <c r="AG1075" s="18">
        <f t="shared" si="706"/>
        <v>100000</v>
      </c>
      <c r="AH1075" s="18">
        <f t="shared" si="706"/>
        <v>100000</v>
      </c>
      <c r="AI1075" s="18">
        <f t="shared" si="706"/>
        <v>100000</v>
      </c>
      <c r="AJ1075" s="162" t="b">
        <f t="shared" si="676"/>
        <v>1</v>
      </c>
      <c r="AK1075" s="162" t="str">
        <f t="shared" si="677"/>
        <v>PRAZNO</v>
      </c>
      <c r="AM1075" s="164"/>
    </row>
    <row r="1076" spans="1:39" ht="20.25" customHeight="1" x14ac:dyDescent="0.2">
      <c r="B1076" s="177"/>
      <c r="C1076" s="177"/>
      <c r="D1076" s="177"/>
      <c r="E1076" s="177">
        <v>3632</v>
      </c>
      <c r="F1076" s="176">
        <v>14</v>
      </c>
      <c r="G1076" s="176"/>
      <c r="H1076" s="16" t="s">
        <v>227</v>
      </c>
      <c r="I1076" s="27">
        <v>0</v>
      </c>
      <c r="J1076" s="27">
        <v>0</v>
      </c>
      <c r="K1076" s="27">
        <v>0</v>
      </c>
      <c r="L1076" s="27">
        <v>0</v>
      </c>
      <c r="M1076" s="27">
        <v>0</v>
      </c>
      <c r="N1076" s="18">
        <v>0</v>
      </c>
      <c r="O1076" s="18">
        <v>0</v>
      </c>
      <c r="P1076" s="26">
        <f t="shared" si="704"/>
        <v>0</v>
      </c>
      <c r="Q1076" s="18">
        <v>0</v>
      </c>
      <c r="R1076" s="18">
        <v>0</v>
      </c>
      <c r="S1076" s="18">
        <v>200000</v>
      </c>
      <c r="T1076" s="27">
        <v>0</v>
      </c>
      <c r="U1076" s="27">
        <v>0</v>
      </c>
      <c r="V1076" s="18">
        <v>300000</v>
      </c>
      <c r="W1076" s="18">
        <v>300000</v>
      </c>
      <c r="X1076" s="18">
        <v>300000</v>
      </c>
      <c r="Y1076" s="18">
        <v>0</v>
      </c>
      <c r="Z1076" s="18">
        <f t="shared" si="683"/>
        <v>0</v>
      </c>
      <c r="AA1076" s="18">
        <f t="shared" si="671"/>
        <v>-150000</v>
      </c>
      <c r="AB1076" s="18">
        <v>150000</v>
      </c>
      <c r="AC1076" s="18">
        <v>0</v>
      </c>
      <c r="AD1076" s="18">
        <f t="shared" si="690"/>
        <v>0</v>
      </c>
      <c r="AE1076" s="18">
        <f t="shared" si="701"/>
        <v>0</v>
      </c>
      <c r="AF1076" s="707">
        <v>150000</v>
      </c>
      <c r="AG1076" s="18">
        <v>100000</v>
      </c>
      <c r="AH1076" s="18">
        <v>100000</v>
      </c>
      <c r="AI1076" s="18">
        <v>100000</v>
      </c>
      <c r="AJ1076" s="162" t="b">
        <f t="shared" si="676"/>
        <v>0</v>
      </c>
      <c r="AK1076" s="162" t="str">
        <f t="shared" si="677"/>
        <v>PUNO</v>
      </c>
      <c r="AM1076" s="164"/>
    </row>
    <row r="1077" spans="1:39" s="264" customFormat="1" ht="49.5" customHeight="1" x14ac:dyDescent="0.2">
      <c r="A1077" s="259"/>
      <c r="B1077" s="209"/>
      <c r="C1077" s="209"/>
      <c r="D1077" s="209"/>
      <c r="E1077" s="209"/>
      <c r="F1077" s="219"/>
      <c r="G1077" s="219"/>
      <c r="H1077" s="12" t="s">
        <v>325</v>
      </c>
      <c r="I1077" s="305">
        <f t="shared" ref="I1077:O1077" si="707">I1079</f>
        <v>0</v>
      </c>
      <c r="J1077" s="305">
        <f t="shared" si="707"/>
        <v>0</v>
      </c>
      <c r="K1077" s="305">
        <f t="shared" si="707"/>
        <v>0</v>
      </c>
      <c r="L1077" s="305">
        <f t="shared" si="707"/>
        <v>0</v>
      </c>
      <c r="M1077" s="305">
        <f t="shared" si="707"/>
        <v>0</v>
      </c>
      <c r="N1077" s="308">
        <f t="shared" si="707"/>
        <v>400000</v>
      </c>
      <c r="O1077" s="308">
        <f t="shared" si="707"/>
        <v>100000</v>
      </c>
      <c r="P1077" s="303">
        <f t="shared" si="698"/>
        <v>-150000</v>
      </c>
      <c r="Q1077" s="242">
        <f t="shared" ref="Q1077:X1077" si="708">Q1079</f>
        <v>400000</v>
      </c>
      <c r="R1077" s="242">
        <f t="shared" si="708"/>
        <v>450000</v>
      </c>
      <c r="S1077" s="242">
        <f t="shared" si="708"/>
        <v>800000</v>
      </c>
      <c r="T1077" s="323">
        <f t="shared" si="708"/>
        <v>250000</v>
      </c>
      <c r="U1077" s="323">
        <f>U1079</f>
        <v>108652.1</v>
      </c>
      <c r="V1077" s="308">
        <f t="shared" si="708"/>
        <v>400000</v>
      </c>
      <c r="W1077" s="308">
        <f t="shared" si="708"/>
        <v>400000</v>
      </c>
      <c r="X1077" s="308">
        <f t="shared" si="708"/>
        <v>400000</v>
      </c>
      <c r="Y1077" s="308">
        <f>Y1079</f>
        <v>0</v>
      </c>
      <c r="Z1077" s="308">
        <f t="shared" si="683"/>
        <v>0</v>
      </c>
      <c r="AA1077" s="308">
        <f t="shared" si="671"/>
        <v>-200000</v>
      </c>
      <c r="AB1077" s="308">
        <f>AB1079</f>
        <v>200000</v>
      </c>
      <c r="AC1077" s="308">
        <f>AC1079</f>
        <v>0</v>
      </c>
      <c r="AD1077" s="308">
        <f t="shared" si="690"/>
        <v>0</v>
      </c>
      <c r="AE1077" s="308">
        <f t="shared" si="701"/>
        <v>-30000</v>
      </c>
      <c r="AF1077" s="308">
        <f>AF1079</f>
        <v>170000</v>
      </c>
      <c r="AG1077" s="308">
        <f>AG1079</f>
        <v>127000</v>
      </c>
      <c r="AH1077" s="308">
        <f>AH1079</f>
        <v>200000</v>
      </c>
      <c r="AI1077" s="308">
        <f>AI1079</f>
        <v>200000</v>
      </c>
      <c r="AJ1077" s="162" t="b">
        <f t="shared" si="676"/>
        <v>1</v>
      </c>
      <c r="AK1077" s="162" t="str">
        <f t="shared" si="677"/>
        <v>PRAZNO</v>
      </c>
      <c r="AL1077" s="263"/>
    </row>
    <row r="1078" spans="1:39" s="264" customFormat="1" ht="21.75" customHeight="1" x14ac:dyDescent="0.2">
      <c r="A1078" s="259"/>
      <c r="B1078" s="177"/>
      <c r="C1078" s="177"/>
      <c r="D1078" s="177"/>
      <c r="E1078" s="177"/>
      <c r="F1078" s="265"/>
      <c r="G1078" s="265"/>
      <c r="H1078" s="441" t="s">
        <v>824</v>
      </c>
      <c r="I1078" s="430"/>
      <c r="J1078" s="430"/>
      <c r="K1078" s="430"/>
      <c r="L1078" s="430"/>
      <c r="M1078" s="430"/>
      <c r="N1078" s="443"/>
      <c r="O1078" s="443"/>
      <c r="P1078" s="445"/>
      <c r="Q1078" s="178"/>
      <c r="R1078" s="178"/>
      <c r="S1078" s="178"/>
      <c r="T1078" s="444"/>
      <c r="U1078" s="444"/>
      <c r="V1078" s="443">
        <f>V1079</f>
        <v>400000</v>
      </c>
      <c r="W1078" s="443">
        <f>W1079</f>
        <v>400000</v>
      </c>
      <c r="X1078" s="443">
        <f>X1079</f>
        <v>400000</v>
      </c>
      <c r="Y1078" s="443">
        <f>Y1079</f>
        <v>0</v>
      </c>
      <c r="Z1078" s="443">
        <f t="shared" si="683"/>
        <v>0</v>
      </c>
      <c r="AA1078" s="443">
        <f t="shared" si="671"/>
        <v>-200000</v>
      </c>
      <c r="AB1078" s="443">
        <f t="shared" ref="AB1078:AC1081" si="709">AB1079</f>
        <v>200000</v>
      </c>
      <c r="AC1078" s="443">
        <f t="shared" si="709"/>
        <v>0</v>
      </c>
      <c r="AD1078" s="443">
        <f t="shared" si="690"/>
        <v>0</v>
      </c>
      <c r="AE1078" s="443">
        <f t="shared" si="701"/>
        <v>-30000</v>
      </c>
      <c r="AF1078" s="443">
        <f t="shared" ref="AF1078:AI1081" si="710">AF1079</f>
        <v>170000</v>
      </c>
      <c r="AG1078" s="443">
        <f t="shared" si="710"/>
        <v>127000</v>
      </c>
      <c r="AH1078" s="443">
        <f t="shared" si="710"/>
        <v>200000</v>
      </c>
      <c r="AI1078" s="443">
        <f t="shared" si="710"/>
        <v>200000</v>
      </c>
      <c r="AJ1078" s="162" t="b">
        <f t="shared" si="676"/>
        <v>1</v>
      </c>
      <c r="AK1078" s="162" t="str">
        <f t="shared" si="677"/>
        <v>PRAZNO</v>
      </c>
      <c r="AL1078" s="263"/>
    </row>
    <row r="1079" spans="1:39" s="264" customFormat="1" ht="15.75" customHeight="1" x14ac:dyDescent="0.2">
      <c r="A1079" s="259"/>
      <c r="B1079" s="172">
        <v>3</v>
      </c>
      <c r="C1079" s="172"/>
      <c r="D1079" s="172"/>
      <c r="E1079" s="172"/>
      <c r="F1079" s="220"/>
      <c r="G1079" s="220"/>
      <c r="H1079" s="14" t="s">
        <v>524</v>
      </c>
      <c r="I1079" s="185">
        <f t="shared" ref="I1079:X1081" si="711">I1080</f>
        <v>0</v>
      </c>
      <c r="J1079" s="185">
        <f t="shared" si="711"/>
        <v>0</v>
      </c>
      <c r="K1079" s="185">
        <f t="shared" si="711"/>
        <v>0</v>
      </c>
      <c r="L1079" s="185">
        <f t="shared" si="711"/>
        <v>0</v>
      </c>
      <c r="M1079" s="185">
        <f t="shared" si="711"/>
        <v>0</v>
      </c>
      <c r="N1079" s="184">
        <f t="shared" si="711"/>
        <v>400000</v>
      </c>
      <c r="O1079" s="184">
        <f t="shared" si="711"/>
        <v>100000</v>
      </c>
      <c r="P1079" s="55">
        <f t="shared" si="698"/>
        <v>-150000</v>
      </c>
      <c r="Q1079" s="184">
        <f t="shared" si="711"/>
        <v>400000</v>
      </c>
      <c r="R1079" s="184">
        <f t="shared" si="711"/>
        <v>450000</v>
      </c>
      <c r="S1079" s="184">
        <f t="shared" si="711"/>
        <v>800000</v>
      </c>
      <c r="T1079" s="185">
        <f t="shared" si="711"/>
        <v>250000</v>
      </c>
      <c r="U1079" s="185">
        <f t="shared" si="711"/>
        <v>108652.1</v>
      </c>
      <c r="V1079" s="184">
        <f t="shared" si="711"/>
        <v>400000</v>
      </c>
      <c r="W1079" s="184">
        <f t="shared" si="711"/>
        <v>400000</v>
      </c>
      <c r="X1079" s="184">
        <f t="shared" si="711"/>
        <v>400000</v>
      </c>
      <c r="Y1079" s="184">
        <f>Y1080</f>
        <v>0</v>
      </c>
      <c r="Z1079" s="184">
        <f t="shared" si="683"/>
        <v>0</v>
      </c>
      <c r="AA1079" s="184">
        <f t="shared" si="671"/>
        <v>-200000</v>
      </c>
      <c r="AB1079" s="184">
        <f t="shared" si="709"/>
        <v>200000</v>
      </c>
      <c r="AC1079" s="184">
        <f t="shared" si="709"/>
        <v>0</v>
      </c>
      <c r="AD1079" s="184">
        <f t="shared" si="690"/>
        <v>0</v>
      </c>
      <c r="AE1079" s="184">
        <f t="shared" si="701"/>
        <v>-30000</v>
      </c>
      <c r="AF1079" s="184">
        <f t="shared" si="710"/>
        <v>170000</v>
      </c>
      <c r="AG1079" s="184">
        <f t="shared" si="710"/>
        <v>127000</v>
      </c>
      <c r="AH1079" s="184">
        <f t="shared" si="710"/>
        <v>200000</v>
      </c>
      <c r="AI1079" s="184">
        <f t="shared" si="710"/>
        <v>200000</v>
      </c>
      <c r="AJ1079" s="162" t="b">
        <f t="shared" si="676"/>
        <v>1</v>
      </c>
      <c r="AK1079" s="162" t="str">
        <f t="shared" si="677"/>
        <v>PRAZNO</v>
      </c>
      <c r="AL1079" s="263"/>
    </row>
    <row r="1080" spans="1:39" ht="15.75" customHeight="1" x14ac:dyDescent="0.2">
      <c r="B1080" s="177"/>
      <c r="C1080" s="177">
        <v>35</v>
      </c>
      <c r="D1080" s="177"/>
      <c r="E1080" s="177"/>
      <c r="F1080" s="176"/>
      <c r="G1080" s="176"/>
      <c r="H1080" s="16" t="s">
        <v>749</v>
      </c>
      <c r="I1080" s="27">
        <f t="shared" si="711"/>
        <v>0</v>
      </c>
      <c r="J1080" s="27">
        <f t="shared" si="711"/>
        <v>0</v>
      </c>
      <c r="K1080" s="27">
        <f t="shared" si="711"/>
        <v>0</v>
      </c>
      <c r="L1080" s="27">
        <f t="shared" si="711"/>
        <v>0</v>
      </c>
      <c r="M1080" s="27">
        <f t="shared" si="711"/>
        <v>0</v>
      </c>
      <c r="N1080" s="18">
        <f t="shared" si="711"/>
        <v>400000</v>
      </c>
      <c r="O1080" s="18">
        <f t="shared" si="711"/>
        <v>100000</v>
      </c>
      <c r="P1080" s="26">
        <f t="shared" si="698"/>
        <v>-150000</v>
      </c>
      <c r="Q1080" s="18">
        <f t="shared" si="711"/>
        <v>400000</v>
      </c>
      <c r="R1080" s="18">
        <f t="shared" si="711"/>
        <v>450000</v>
      </c>
      <c r="S1080" s="18">
        <f t="shared" si="711"/>
        <v>800000</v>
      </c>
      <c r="T1080" s="27">
        <f t="shared" si="711"/>
        <v>250000</v>
      </c>
      <c r="U1080" s="27">
        <f t="shared" si="711"/>
        <v>108652.1</v>
      </c>
      <c r="V1080" s="18">
        <f t="shared" si="711"/>
        <v>400000</v>
      </c>
      <c r="W1080" s="18">
        <f t="shared" si="711"/>
        <v>400000</v>
      </c>
      <c r="X1080" s="18">
        <f t="shared" si="711"/>
        <v>400000</v>
      </c>
      <c r="Y1080" s="18">
        <f>Y1081</f>
        <v>0</v>
      </c>
      <c r="Z1080" s="18">
        <f t="shared" si="683"/>
        <v>0</v>
      </c>
      <c r="AA1080" s="18">
        <f t="shared" si="671"/>
        <v>-200000</v>
      </c>
      <c r="AB1080" s="18">
        <f t="shared" si="709"/>
        <v>200000</v>
      </c>
      <c r="AC1080" s="18">
        <f t="shared" si="709"/>
        <v>0</v>
      </c>
      <c r="AD1080" s="18">
        <f t="shared" si="690"/>
        <v>0</v>
      </c>
      <c r="AE1080" s="18">
        <f t="shared" si="701"/>
        <v>-30000</v>
      </c>
      <c r="AF1080" s="18">
        <f t="shared" si="710"/>
        <v>170000</v>
      </c>
      <c r="AG1080" s="18">
        <f t="shared" si="710"/>
        <v>127000</v>
      </c>
      <c r="AH1080" s="18">
        <f t="shared" si="710"/>
        <v>200000</v>
      </c>
      <c r="AI1080" s="18">
        <f t="shared" si="710"/>
        <v>200000</v>
      </c>
      <c r="AJ1080" s="162" t="b">
        <f t="shared" si="676"/>
        <v>1</v>
      </c>
      <c r="AK1080" s="162" t="str">
        <f t="shared" si="677"/>
        <v>PRAZNO</v>
      </c>
      <c r="AM1080" s="264"/>
    </row>
    <row r="1081" spans="1:39" ht="31.5" customHeight="1" x14ac:dyDescent="0.2">
      <c r="B1081" s="177"/>
      <c r="C1081" s="177"/>
      <c r="D1081" s="177">
        <v>352</v>
      </c>
      <c r="E1081" s="177"/>
      <c r="F1081" s="176"/>
      <c r="G1081" s="176"/>
      <c r="H1081" s="16" t="s">
        <v>748</v>
      </c>
      <c r="I1081" s="27">
        <f t="shared" si="711"/>
        <v>0</v>
      </c>
      <c r="J1081" s="27">
        <f t="shared" si="711"/>
        <v>0</v>
      </c>
      <c r="K1081" s="27">
        <f t="shared" si="711"/>
        <v>0</v>
      </c>
      <c r="L1081" s="27">
        <f t="shared" si="711"/>
        <v>0</v>
      </c>
      <c r="M1081" s="27">
        <f t="shared" si="711"/>
        <v>0</v>
      </c>
      <c r="N1081" s="18">
        <f t="shared" si="711"/>
        <v>400000</v>
      </c>
      <c r="O1081" s="18">
        <f t="shared" si="711"/>
        <v>100000</v>
      </c>
      <c r="P1081" s="26">
        <f t="shared" si="698"/>
        <v>-150000</v>
      </c>
      <c r="Q1081" s="18">
        <f t="shared" si="711"/>
        <v>400000</v>
      </c>
      <c r="R1081" s="18">
        <f t="shared" si="711"/>
        <v>450000</v>
      </c>
      <c r="S1081" s="18">
        <f t="shared" si="711"/>
        <v>800000</v>
      </c>
      <c r="T1081" s="27">
        <f t="shared" si="711"/>
        <v>250000</v>
      </c>
      <c r="U1081" s="27">
        <f t="shared" si="711"/>
        <v>108652.1</v>
      </c>
      <c r="V1081" s="18">
        <f t="shared" si="711"/>
        <v>400000</v>
      </c>
      <c r="W1081" s="18">
        <f t="shared" si="711"/>
        <v>400000</v>
      </c>
      <c r="X1081" s="18">
        <f t="shared" si="711"/>
        <v>400000</v>
      </c>
      <c r="Y1081" s="18">
        <f>Y1082</f>
        <v>0</v>
      </c>
      <c r="Z1081" s="18">
        <f t="shared" si="683"/>
        <v>0</v>
      </c>
      <c r="AA1081" s="18">
        <f t="shared" si="671"/>
        <v>-200000</v>
      </c>
      <c r="AB1081" s="18">
        <f t="shared" si="709"/>
        <v>200000</v>
      </c>
      <c r="AC1081" s="18">
        <f t="shared" si="709"/>
        <v>0</v>
      </c>
      <c r="AD1081" s="18">
        <f t="shared" si="690"/>
        <v>0</v>
      </c>
      <c r="AE1081" s="18">
        <f t="shared" si="701"/>
        <v>-30000</v>
      </c>
      <c r="AF1081" s="18">
        <f t="shared" si="710"/>
        <v>170000</v>
      </c>
      <c r="AG1081" s="18">
        <f t="shared" si="710"/>
        <v>127000</v>
      </c>
      <c r="AH1081" s="18">
        <f t="shared" si="710"/>
        <v>200000</v>
      </c>
      <c r="AI1081" s="18">
        <f t="shared" si="710"/>
        <v>200000</v>
      </c>
      <c r="AJ1081" s="162" t="b">
        <f t="shared" si="676"/>
        <v>1</v>
      </c>
      <c r="AK1081" s="162" t="str">
        <f t="shared" si="677"/>
        <v>PRAZNO</v>
      </c>
      <c r="AM1081" s="264"/>
    </row>
    <row r="1082" spans="1:39" ht="20.25" customHeight="1" x14ac:dyDescent="0.2">
      <c r="B1082" s="177"/>
      <c r="C1082" s="177"/>
      <c r="D1082" s="177"/>
      <c r="E1082" s="177">
        <v>3523</v>
      </c>
      <c r="F1082" s="176">
        <v>14</v>
      </c>
      <c r="G1082" s="176"/>
      <c r="H1082" s="40" t="s">
        <v>324</v>
      </c>
      <c r="I1082" s="27">
        <v>0</v>
      </c>
      <c r="J1082" s="27">
        <v>0</v>
      </c>
      <c r="K1082" s="27">
        <v>0</v>
      </c>
      <c r="L1082" s="27">
        <v>0</v>
      </c>
      <c r="M1082" s="27">
        <v>0</v>
      </c>
      <c r="N1082" s="18">
        <v>400000</v>
      </c>
      <c r="O1082" s="18">
        <v>100000</v>
      </c>
      <c r="P1082" s="26">
        <f t="shared" si="698"/>
        <v>-150000</v>
      </c>
      <c r="Q1082" s="18">
        <v>400000</v>
      </c>
      <c r="R1082" s="18">
        <v>450000</v>
      </c>
      <c r="S1082" s="18">
        <v>800000</v>
      </c>
      <c r="T1082" s="27">
        <f>400000-150000</f>
        <v>250000</v>
      </c>
      <c r="U1082" s="27">
        <v>108652.1</v>
      </c>
      <c r="V1082" s="18">
        <v>400000</v>
      </c>
      <c r="W1082" s="18">
        <v>400000</v>
      </c>
      <c r="X1082" s="18">
        <v>400000</v>
      </c>
      <c r="Y1082" s="18">
        <v>0</v>
      </c>
      <c r="Z1082" s="18">
        <f t="shared" si="683"/>
        <v>0</v>
      </c>
      <c r="AA1082" s="18">
        <f t="shared" si="671"/>
        <v>-200000</v>
      </c>
      <c r="AB1082" s="18">
        <v>200000</v>
      </c>
      <c r="AC1082" s="18">
        <v>0</v>
      </c>
      <c r="AD1082" s="18">
        <f t="shared" si="690"/>
        <v>0</v>
      </c>
      <c r="AE1082" s="18">
        <f t="shared" si="701"/>
        <v>-30000</v>
      </c>
      <c r="AF1082" s="18">
        <v>170000</v>
      </c>
      <c r="AG1082" s="18">
        <v>127000</v>
      </c>
      <c r="AH1082" s="18">
        <v>200000</v>
      </c>
      <c r="AI1082" s="18">
        <v>200000</v>
      </c>
      <c r="AJ1082" s="162" t="b">
        <f t="shared" si="676"/>
        <v>0</v>
      </c>
      <c r="AK1082" s="162" t="str">
        <f t="shared" si="677"/>
        <v>PUNO</v>
      </c>
      <c r="AM1082" s="264"/>
    </row>
    <row r="1083" spans="1:39" s="264" customFormat="1" ht="15.75" customHeight="1" x14ac:dyDescent="0.2">
      <c r="A1083" s="259"/>
      <c r="B1083" s="168"/>
      <c r="C1083" s="168"/>
      <c r="D1083" s="168"/>
      <c r="E1083" s="168"/>
      <c r="F1083" s="168"/>
      <c r="G1083" s="168"/>
      <c r="H1083" s="31" t="s">
        <v>794</v>
      </c>
      <c r="I1083" s="169">
        <f>I1085</f>
        <v>20000</v>
      </c>
      <c r="J1083" s="169">
        <f>J1085</f>
        <v>0</v>
      </c>
      <c r="K1083" s="169">
        <f>ROUND(J1083/I1083*100,2)</f>
        <v>0</v>
      </c>
      <c r="L1083" s="169">
        <f>M1083-I1083</f>
        <v>-20000</v>
      </c>
      <c r="M1083" s="19">
        <f>M1085</f>
        <v>0</v>
      </c>
      <c r="N1083" s="19">
        <f>N1085</f>
        <v>0</v>
      </c>
      <c r="O1083" s="19">
        <f>O1085</f>
        <v>0</v>
      </c>
      <c r="P1083" s="303">
        <f t="shared" si="698"/>
        <v>0</v>
      </c>
      <c r="Q1083" s="19">
        <f t="shared" ref="Q1083:X1083" si="712">Q1085</f>
        <v>0</v>
      </c>
      <c r="R1083" s="19">
        <f t="shared" si="712"/>
        <v>0</v>
      </c>
      <c r="S1083" s="19">
        <f t="shared" si="712"/>
        <v>0</v>
      </c>
      <c r="T1083" s="53">
        <f t="shared" si="712"/>
        <v>0</v>
      </c>
      <c r="U1083" s="53">
        <f>U1085</f>
        <v>0</v>
      </c>
      <c r="V1083" s="19">
        <f t="shared" si="712"/>
        <v>30000</v>
      </c>
      <c r="W1083" s="19">
        <f t="shared" si="712"/>
        <v>30000</v>
      </c>
      <c r="X1083" s="19">
        <f t="shared" si="712"/>
        <v>30000</v>
      </c>
      <c r="Y1083" s="19">
        <f>Y1085</f>
        <v>0</v>
      </c>
      <c r="Z1083" s="19">
        <f t="shared" si="683"/>
        <v>0</v>
      </c>
      <c r="AA1083" s="19">
        <f t="shared" si="671"/>
        <v>0</v>
      </c>
      <c r="AB1083" s="19">
        <f>AB1085</f>
        <v>30000</v>
      </c>
      <c r="AC1083" s="19">
        <f>AC1085</f>
        <v>0</v>
      </c>
      <c r="AD1083" s="19">
        <f t="shared" si="690"/>
        <v>0</v>
      </c>
      <c r="AE1083" s="19">
        <f t="shared" si="701"/>
        <v>0</v>
      </c>
      <c r="AF1083" s="19">
        <f>AF1085</f>
        <v>30000</v>
      </c>
      <c r="AG1083" s="19">
        <f>AG1085</f>
        <v>30000</v>
      </c>
      <c r="AH1083" s="19">
        <f>AH1085</f>
        <v>30000</v>
      </c>
      <c r="AI1083" s="19">
        <f>AI1085</f>
        <v>30000</v>
      </c>
      <c r="AJ1083" s="162" t="b">
        <f t="shared" si="676"/>
        <v>1</v>
      </c>
      <c r="AK1083" s="162" t="str">
        <f t="shared" si="677"/>
        <v>PRAZNO</v>
      </c>
      <c r="AL1083" s="263"/>
    </row>
    <row r="1084" spans="1:39" s="264" customFormat="1" ht="15.75" customHeight="1" x14ac:dyDescent="0.2">
      <c r="A1084" s="259"/>
      <c r="B1084" s="260"/>
      <c r="C1084" s="260"/>
      <c r="D1084" s="260"/>
      <c r="E1084" s="260"/>
      <c r="F1084" s="260"/>
      <c r="G1084" s="260"/>
      <c r="H1084" s="471" t="s">
        <v>824</v>
      </c>
      <c r="I1084" s="181"/>
      <c r="J1084" s="181"/>
      <c r="K1084" s="181"/>
      <c r="L1084" s="181"/>
      <c r="M1084" s="262"/>
      <c r="N1084" s="262"/>
      <c r="O1084" s="262"/>
      <c r="P1084" s="445"/>
      <c r="Q1084" s="262"/>
      <c r="R1084" s="262"/>
      <c r="S1084" s="262"/>
      <c r="T1084" s="342"/>
      <c r="U1084" s="342"/>
      <c r="V1084" s="262">
        <f>V1085</f>
        <v>30000</v>
      </c>
      <c r="W1084" s="262">
        <f>W1085</f>
        <v>30000</v>
      </c>
      <c r="X1084" s="262">
        <f>X1085</f>
        <v>30000</v>
      </c>
      <c r="Y1084" s="262">
        <f>Y1085</f>
        <v>0</v>
      </c>
      <c r="Z1084" s="262">
        <f t="shared" si="683"/>
        <v>0</v>
      </c>
      <c r="AA1084" s="262">
        <f t="shared" si="671"/>
        <v>0</v>
      </c>
      <c r="AB1084" s="262">
        <f>AB1085</f>
        <v>30000</v>
      </c>
      <c r="AC1084" s="262">
        <f>AC1085</f>
        <v>0</v>
      </c>
      <c r="AD1084" s="262">
        <f t="shared" si="690"/>
        <v>0</v>
      </c>
      <c r="AE1084" s="262">
        <f t="shared" si="701"/>
        <v>0</v>
      </c>
      <c r="AF1084" s="262">
        <f>AF1085</f>
        <v>30000</v>
      </c>
      <c r="AG1084" s="262">
        <f>AG1085</f>
        <v>30000</v>
      </c>
      <c r="AH1084" s="262">
        <f>AH1085</f>
        <v>30000</v>
      </c>
      <c r="AI1084" s="262">
        <f>AI1085</f>
        <v>30000</v>
      </c>
      <c r="AJ1084" s="162" t="b">
        <f t="shared" si="676"/>
        <v>1</v>
      </c>
      <c r="AK1084" s="162" t="str">
        <f t="shared" si="677"/>
        <v>PRAZNO</v>
      </c>
      <c r="AL1084" s="263"/>
    </row>
    <row r="1085" spans="1:39" s="264" customFormat="1" ht="15.75" customHeight="1" x14ac:dyDescent="0.2">
      <c r="A1085" s="259"/>
      <c r="B1085" s="172">
        <v>3</v>
      </c>
      <c r="C1085" s="172"/>
      <c r="D1085" s="172"/>
      <c r="E1085" s="172"/>
      <c r="F1085" s="172"/>
      <c r="G1085" s="172"/>
      <c r="H1085" s="14" t="s">
        <v>524</v>
      </c>
      <c r="I1085" s="20">
        <f t="shared" ref="I1085:AI1086" si="713">I1086</f>
        <v>20000</v>
      </c>
      <c r="J1085" s="20">
        <f t="shared" si="713"/>
        <v>0</v>
      </c>
      <c r="K1085" s="20">
        <f>ROUND(J1085/I1085*100,2)</f>
        <v>0</v>
      </c>
      <c r="L1085" s="20">
        <f>M1085-I1085</f>
        <v>-20000</v>
      </c>
      <c r="M1085" s="20">
        <f t="shared" si="713"/>
        <v>0</v>
      </c>
      <c r="N1085" s="20">
        <f t="shared" si="713"/>
        <v>0</v>
      </c>
      <c r="O1085" s="20">
        <f t="shared" si="713"/>
        <v>0</v>
      </c>
      <c r="P1085" s="54">
        <f>T1085-N1085</f>
        <v>0</v>
      </c>
      <c r="Q1085" s="20">
        <f t="shared" si="713"/>
        <v>0</v>
      </c>
      <c r="R1085" s="20">
        <f t="shared" si="713"/>
        <v>0</v>
      </c>
      <c r="S1085" s="20">
        <f t="shared" si="713"/>
        <v>0</v>
      </c>
      <c r="T1085" s="55">
        <f t="shared" si="713"/>
        <v>0</v>
      </c>
      <c r="U1085" s="55">
        <f t="shared" si="713"/>
        <v>0</v>
      </c>
      <c r="V1085" s="20">
        <f t="shared" si="713"/>
        <v>30000</v>
      </c>
      <c r="W1085" s="20">
        <f t="shared" si="713"/>
        <v>30000</v>
      </c>
      <c r="X1085" s="20">
        <f t="shared" si="713"/>
        <v>30000</v>
      </c>
      <c r="Y1085" s="20">
        <f t="shared" si="713"/>
        <v>0</v>
      </c>
      <c r="Z1085" s="20">
        <f t="shared" si="683"/>
        <v>0</v>
      </c>
      <c r="AA1085" s="20">
        <f t="shared" si="671"/>
        <v>0</v>
      </c>
      <c r="AB1085" s="20">
        <f t="shared" si="713"/>
        <v>30000</v>
      </c>
      <c r="AC1085" s="20">
        <f t="shared" si="713"/>
        <v>0</v>
      </c>
      <c r="AD1085" s="20">
        <f t="shared" si="690"/>
        <v>0</v>
      </c>
      <c r="AE1085" s="20">
        <f t="shared" si="701"/>
        <v>0</v>
      </c>
      <c r="AF1085" s="20">
        <f t="shared" si="713"/>
        <v>30000</v>
      </c>
      <c r="AG1085" s="20">
        <f t="shared" si="713"/>
        <v>30000</v>
      </c>
      <c r="AH1085" s="20">
        <f t="shared" si="713"/>
        <v>30000</v>
      </c>
      <c r="AI1085" s="20">
        <f t="shared" si="713"/>
        <v>30000</v>
      </c>
      <c r="AJ1085" s="162" t="b">
        <f t="shared" si="676"/>
        <v>1</v>
      </c>
      <c r="AK1085" s="162" t="str">
        <f t="shared" si="677"/>
        <v>PRAZNO</v>
      </c>
      <c r="AL1085" s="263"/>
    </row>
    <row r="1086" spans="1:39" ht="15.75" customHeight="1" x14ac:dyDescent="0.2">
      <c r="B1086" s="177"/>
      <c r="C1086" s="177">
        <v>32</v>
      </c>
      <c r="D1086" s="177"/>
      <c r="E1086" s="177"/>
      <c r="F1086" s="177"/>
      <c r="G1086" s="177"/>
      <c r="H1086" s="16" t="s">
        <v>525</v>
      </c>
      <c r="I1086" s="18">
        <f t="shared" si="713"/>
        <v>20000</v>
      </c>
      <c r="J1086" s="18">
        <f t="shared" si="713"/>
        <v>0</v>
      </c>
      <c r="K1086" s="18">
        <f>ROUND(J1086/I1086*100,2)</f>
        <v>0</v>
      </c>
      <c r="L1086" s="18">
        <f>M1086-I1086</f>
        <v>-20000</v>
      </c>
      <c r="M1086" s="18">
        <f t="shared" si="713"/>
        <v>0</v>
      </c>
      <c r="N1086" s="18">
        <f t="shared" si="713"/>
        <v>0</v>
      </c>
      <c r="O1086" s="18">
        <f t="shared" si="713"/>
        <v>0</v>
      </c>
      <c r="P1086" s="343">
        <f>T1086-N1086</f>
        <v>0</v>
      </c>
      <c r="Q1086" s="18">
        <f t="shared" si="713"/>
        <v>0</v>
      </c>
      <c r="R1086" s="18">
        <f t="shared" si="713"/>
        <v>0</v>
      </c>
      <c r="S1086" s="18">
        <f t="shared" si="713"/>
        <v>0</v>
      </c>
      <c r="T1086" s="27">
        <f t="shared" si="713"/>
        <v>0</v>
      </c>
      <c r="U1086" s="27">
        <f t="shared" si="713"/>
        <v>0</v>
      </c>
      <c r="V1086" s="18">
        <f t="shared" si="713"/>
        <v>30000</v>
      </c>
      <c r="W1086" s="18">
        <f t="shared" si="713"/>
        <v>30000</v>
      </c>
      <c r="X1086" s="18">
        <f t="shared" si="713"/>
        <v>30000</v>
      </c>
      <c r="Y1086" s="18">
        <f t="shared" si="713"/>
        <v>0</v>
      </c>
      <c r="Z1086" s="18">
        <f t="shared" si="683"/>
        <v>0</v>
      </c>
      <c r="AA1086" s="18">
        <f t="shared" si="671"/>
        <v>0</v>
      </c>
      <c r="AB1086" s="18">
        <f t="shared" si="713"/>
        <v>30000</v>
      </c>
      <c r="AC1086" s="18">
        <f t="shared" si="713"/>
        <v>0</v>
      </c>
      <c r="AD1086" s="18">
        <f t="shared" si="690"/>
        <v>0</v>
      </c>
      <c r="AE1086" s="18">
        <f t="shared" si="701"/>
        <v>0</v>
      </c>
      <c r="AF1086" s="18">
        <f t="shared" si="713"/>
        <v>30000</v>
      </c>
      <c r="AG1086" s="18">
        <f t="shared" si="713"/>
        <v>30000</v>
      </c>
      <c r="AH1086" s="18">
        <f t="shared" si="713"/>
        <v>30000</v>
      </c>
      <c r="AI1086" s="18">
        <f t="shared" si="713"/>
        <v>30000</v>
      </c>
      <c r="AJ1086" s="162" t="b">
        <f t="shared" si="676"/>
        <v>1</v>
      </c>
      <c r="AK1086" s="162" t="str">
        <f t="shared" si="677"/>
        <v>PRAZNO</v>
      </c>
      <c r="AM1086" s="264"/>
    </row>
    <row r="1087" spans="1:39" ht="15.75" customHeight="1" x14ac:dyDescent="0.2">
      <c r="B1087" s="177"/>
      <c r="C1087" s="177"/>
      <c r="D1087" s="177">
        <v>323</v>
      </c>
      <c r="E1087" s="177"/>
      <c r="F1087" s="177"/>
      <c r="G1087" s="177"/>
      <c r="H1087" s="16" t="s">
        <v>526</v>
      </c>
      <c r="I1087" s="18">
        <f>SUM(I1088:I1088)</f>
        <v>20000</v>
      </c>
      <c r="J1087" s="18">
        <f>SUM(J1088:J1088)</f>
        <v>0</v>
      </c>
      <c r="K1087" s="18">
        <f>ROUND(J1087/I1087*100,2)</f>
        <v>0</v>
      </c>
      <c r="L1087" s="18">
        <f>M1087-I1087</f>
        <v>-20000</v>
      </c>
      <c r="M1087" s="18">
        <f>SUM(M1088:M1088)</f>
        <v>0</v>
      </c>
      <c r="N1087" s="18">
        <f>SUM(N1088:N1088)</f>
        <v>0</v>
      </c>
      <c r="O1087" s="18">
        <f>SUM(O1088:O1088)</f>
        <v>0</v>
      </c>
      <c r="P1087" s="343">
        <f>T1087-N1087</f>
        <v>0</v>
      </c>
      <c r="Q1087" s="18">
        <f t="shared" ref="Q1087:Y1087" si="714">SUM(Q1088:Q1088)</f>
        <v>0</v>
      </c>
      <c r="R1087" s="18">
        <f t="shared" si="714"/>
        <v>0</v>
      </c>
      <c r="S1087" s="18">
        <f t="shared" si="714"/>
        <v>0</v>
      </c>
      <c r="T1087" s="27">
        <f t="shared" si="714"/>
        <v>0</v>
      </c>
      <c r="U1087" s="27">
        <f t="shared" si="714"/>
        <v>0</v>
      </c>
      <c r="V1087" s="18">
        <f t="shared" si="714"/>
        <v>30000</v>
      </c>
      <c r="W1087" s="18">
        <f t="shared" si="714"/>
        <v>30000</v>
      </c>
      <c r="X1087" s="18">
        <f t="shared" si="714"/>
        <v>30000</v>
      </c>
      <c r="Y1087" s="18">
        <f t="shared" si="714"/>
        <v>0</v>
      </c>
      <c r="Z1087" s="18">
        <f t="shared" si="683"/>
        <v>0</v>
      </c>
      <c r="AA1087" s="18">
        <f t="shared" si="671"/>
        <v>0</v>
      </c>
      <c r="AB1087" s="18">
        <f>SUM(AB1088:AB1088)</f>
        <v>30000</v>
      </c>
      <c r="AC1087" s="18">
        <f>SUM(AC1088:AC1088)</f>
        <v>0</v>
      </c>
      <c r="AD1087" s="18">
        <f t="shared" si="690"/>
        <v>0</v>
      </c>
      <c r="AE1087" s="18">
        <f t="shared" si="701"/>
        <v>0</v>
      </c>
      <c r="AF1087" s="18">
        <f>SUM(AF1088:AF1088)</f>
        <v>30000</v>
      </c>
      <c r="AG1087" s="18">
        <f>SUM(AG1088:AG1088)</f>
        <v>30000</v>
      </c>
      <c r="AH1087" s="18">
        <f>SUM(AH1088:AH1088)</f>
        <v>30000</v>
      </c>
      <c r="AI1087" s="18">
        <f>SUM(AI1088:AI1088)</f>
        <v>30000</v>
      </c>
      <c r="AJ1087" s="162" t="b">
        <f t="shared" si="676"/>
        <v>1</v>
      </c>
      <c r="AK1087" s="162" t="str">
        <f t="shared" si="677"/>
        <v>PRAZNO</v>
      </c>
      <c r="AM1087" s="264"/>
    </row>
    <row r="1088" spans="1:39" ht="15.75" customHeight="1" x14ac:dyDescent="0.2">
      <c r="B1088" s="177"/>
      <c r="C1088" s="177"/>
      <c r="D1088" s="177"/>
      <c r="E1088" s="177">
        <v>3233</v>
      </c>
      <c r="F1088" s="176">
        <v>11</v>
      </c>
      <c r="G1088" s="176" t="s">
        <v>424</v>
      </c>
      <c r="H1088" s="16" t="s">
        <v>528</v>
      </c>
      <c r="I1088" s="18">
        <v>20000</v>
      </c>
      <c r="J1088" s="18">
        <v>0</v>
      </c>
      <c r="K1088" s="18">
        <f>ROUND(J1088/I1088*100,2)</f>
        <v>0</v>
      </c>
      <c r="L1088" s="18">
        <f>M1088-I1088</f>
        <v>-20000</v>
      </c>
      <c r="M1088" s="18">
        <v>0</v>
      </c>
      <c r="N1088" s="18">
        <v>0</v>
      </c>
      <c r="O1088" s="18">
        <v>0</v>
      </c>
      <c r="P1088" s="343">
        <f>T1088-N1088</f>
        <v>0</v>
      </c>
      <c r="Q1088" s="18"/>
      <c r="R1088" s="18"/>
      <c r="S1088" s="18"/>
      <c r="T1088" s="27">
        <v>0</v>
      </c>
      <c r="U1088" s="27"/>
      <c r="V1088" s="18">
        <v>30000</v>
      </c>
      <c r="W1088" s="18">
        <v>30000</v>
      </c>
      <c r="X1088" s="18">
        <v>30000</v>
      </c>
      <c r="Y1088" s="18">
        <v>0</v>
      </c>
      <c r="Z1088" s="18">
        <f t="shared" si="683"/>
        <v>0</v>
      </c>
      <c r="AA1088" s="18">
        <f t="shared" ref="AA1088:AA1151" si="715">AB1088-V1088</f>
        <v>0</v>
      </c>
      <c r="AB1088" s="18">
        <v>30000</v>
      </c>
      <c r="AC1088" s="18">
        <v>0</v>
      </c>
      <c r="AD1088" s="18">
        <f t="shared" si="690"/>
        <v>0</v>
      </c>
      <c r="AE1088" s="18">
        <f t="shared" si="701"/>
        <v>0</v>
      </c>
      <c r="AF1088" s="18">
        <v>30000</v>
      </c>
      <c r="AG1088" s="18">
        <v>30000</v>
      </c>
      <c r="AH1088" s="18">
        <v>30000</v>
      </c>
      <c r="AI1088" s="18">
        <v>30000</v>
      </c>
      <c r="AJ1088" s="162" t="b">
        <f t="shared" si="676"/>
        <v>0</v>
      </c>
      <c r="AK1088" s="162" t="str">
        <f t="shared" si="677"/>
        <v>PUNO</v>
      </c>
      <c r="AM1088" s="264"/>
    </row>
    <row r="1089" spans="1:39" s="447" customFormat="1" ht="53.25" customHeight="1" x14ac:dyDescent="0.25">
      <c r="A1089" s="378"/>
      <c r="B1089" s="168"/>
      <c r="C1089" s="168"/>
      <c r="D1089" s="168"/>
      <c r="E1089" s="168"/>
      <c r="F1089" s="322"/>
      <c r="G1089" s="322"/>
      <c r="H1089" s="13" t="s">
        <v>795</v>
      </c>
      <c r="I1089" s="323"/>
      <c r="J1089" s="323"/>
      <c r="K1089" s="323"/>
      <c r="L1089" s="323"/>
      <c r="M1089" s="323"/>
      <c r="N1089" s="308"/>
      <c r="O1089" s="308"/>
      <c r="P1089" s="53"/>
      <c r="Q1089" s="308"/>
      <c r="R1089" s="308"/>
      <c r="S1089" s="308"/>
      <c r="T1089" s="323"/>
      <c r="U1089" s="308">
        <f t="shared" ref="U1089:AA1089" si="716">U1091</f>
        <v>0</v>
      </c>
      <c r="V1089" s="308">
        <f t="shared" si="716"/>
        <v>50000</v>
      </c>
      <c r="W1089" s="308">
        <f t="shared" si="716"/>
        <v>50000</v>
      </c>
      <c r="X1089" s="308">
        <f t="shared" si="716"/>
        <v>50000</v>
      </c>
      <c r="Y1089" s="308">
        <f t="shared" si="716"/>
        <v>0</v>
      </c>
      <c r="Z1089" s="308">
        <f t="shared" si="716"/>
        <v>0</v>
      </c>
      <c r="AA1089" s="308">
        <f t="shared" si="716"/>
        <v>0</v>
      </c>
      <c r="AB1089" s="308">
        <f>AB1091</f>
        <v>50000</v>
      </c>
      <c r="AC1089" s="308">
        <f>AC1091</f>
        <v>10000</v>
      </c>
      <c r="AD1089" s="308">
        <f t="shared" si="690"/>
        <v>20</v>
      </c>
      <c r="AE1089" s="308">
        <f t="shared" si="701"/>
        <v>0</v>
      </c>
      <c r="AF1089" s="308">
        <f>AF1091</f>
        <v>50000</v>
      </c>
      <c r="AG1089" s="308">
        <f>AG1091</f>
        <v>50000</v>
      </c>
      <c r="AH1089" s="308">
        <f>AH1091</f>
        <v>50000</v>
      </c>
      <c r="AI1089" s="308">
        <f>AI1091</f>
        <v>50000</v>
      </c>
      <c r="AJ1089" s="162" t="b">
        <f t="shared" si="676"/>
        <v>1</v>
      </c>
      <c r="AK1089" s="162" t="str">
        <f t="shared" si="677"/>
        <v>PRAZNO</v>
      </c>
      <c r="AL1089" s="446"/>
    </row>
    <row r="1090" spans="1:39" s="447" customFormat="1" ht="16.5" customHeight="1" x14ac:dyDescent="0.25">
      <c r="A1090" s="378"/>
      <c r="B1090" s="260"/>
      <c r="C1090" s="260"/>
      <c r="D1090" s="260"/>
      <c r="E1090" s="260"/>
      <c r="F1090" s="442"/>
      <c r="G1090" s="442"/>
      <c r="H1090" s="440" t="s">
        <v>824</v>
      </c>
      <c r="I1090" s="444"/>
      <c r="J1090" s="444"/>
      <c r="K1090" s="444"/>
      <c r="L1090" s="444"/>
      <c r="M1090" s="444"/>
      <c r="N1090" s="443"/>
      <c r="O1090" s="443"/>
      <c r="P1090" s="342"/>
      <c r="Q1090" s="443"/>
      <c r="R1090" s="443"/>
      <c r="S1090" s="443"/>
      <c r="T1090" s="444"/>
      <c r="U1090" s="443">
        <f t="shared" ref="U1090:AI1093" si="717">U1091</f>
        <v>0</v>
      </c>
      <c r="V1090" s="443">
        <f t="shared" si="717"/>
        <v>50000</v>
      </c>
      <c r="W1090" s="443">
        <f t="shared" si="717"/>
        <v>50000</v>
      </c>
      <c r="X1090" s="443">
        <f t="shared" si="717"/>
        <v>50000</v>
      </c>
      <c r="Y1090" s="443">
        <f t="shared" si="717"/>
        <v>0</v>
      </c>
      <c r="Z1090" s="443">
        <f t="shared" si="717"/>
        <v>0</v>
      </c>
      <c r="AA1090" s="443">
        <f t="shared" si="717"/>
        <v>0</v>
      </c>
      <c r="AB1090" s="443">
        <f>AB1091</f>
        <v>50000</v>
      </c>
      <c r="AC1090" s="443">
        <f>AC1091</f>
        <v>10000</v>
      </c>
      <c r="AD1090" s="443">
        <f t="shared" si="690"/>
        <v>20</v>
      </c>
      <c r="AE1090" s="443">
        <f t="shared" si="701"/>
        <v>0</v>
      </c>
      <c r="AF1090" s="443">
        <f>AF1091</f>
        <v>50000</v>
      </c>
      <c r="AG1090" s="443">
        <f>AG1091</f>
        <v>50000</v>
      </c>
      <c r="AH1090" s="443">
        <f>AH1091</f>
        <v>50000</v>
      </c>
      <c r="AI1090" s="443">
        <f>AI1091</f>
        <v>50000</v>
      </c>
      <c r="AJ1090" s="162" t="b">
        <f t="shared" si="676"/>
        <v>1</v>
      </c>
      <c r="AK1090" s="162" t="str">
        <f t="shared" si="677"/>
        <v>PRAZNO</v>
      </c>
      <c r="AL1090" s="446"/>
    </row>
    <row r="1091" spans="1:39" s="174" customFormat="1" ht="18" customHeight="1" x14ac:dyDescent="0.2">
      <c r="A1091" s="259"/>
      <c r="B1091" s="172">
        <v>3</v>
      </c>
      <c r="C1091" s="172"/>
      <c r="D1091" s="172"/>
      <c r="E1091" s="172"/>
      <c r="F1091" s="220"/>
      <c r="G1091" s="220"/>
      <c r="H1091" s="14" t="s">
        <v>524</v>
      </c>
      <c r="I1091" s="185"/>
      <c r="J1091" s="185"/>
      <c r="K1091" s="185"/>
      <c r="L1091" s="185"/>
      <c r="M1091" s="185"/>
      <c r="N1091" s="184"/>
      <c r="O1091" s="184"/>
      <c r="P1091" s="55"/>
      <c r="Q1091" s="184"/>
      <c r="R1091" s="184"/>
      <c r="S1091" s="184"/>
      <c r="T1091" s="185"/>
      <c r="U1091" s="184">
        <f t="shared" si="717"/>
        <v>0</v>
      </c>
      <c r="V1091" s="184">
        <f t="shared" si="717"/>
        <v>50000</v>
      </c>
      <c r="W1091" s="184">
        <f t="shared" si="717"/>
        <v>50000</v>
      </c>
      <c r="X1091" s="184">
        <f t="shared" si="717"/>
        <v>50000</v>
      </c>
      <c r="Y1091" s="184">
        <f t="shared" si="717"/>
        <v>0</v>
      </c>
      <c r="Z1091" s="184">
        <f t="shared" si="717"/>
        <v>0</v>
      </c>
      <c r="AA1091" s="184">
        <f t="shared" si="717"/>
        <v>0</v>
      </c>
      <c r="AB1091" s="184">
        <f t="shared" si="717"/>
        <v>50000</v>
      </c>
      <c r="AC1091" s="184">
        <f t="shared" si="717"/>
        <v>10000</v>
      </c>
      <c r="AD1091" s="184">
        <f t="shared" si="690"/>
        <v>20</v>
      </c>
      <c r="AE1091" s="184">
        <f t="shared" si="701"/>
        <v>0</v>
      </c>
      <c r="AF1091" s="184">
        <f t="shared" si="717"/>
        <v>50000</v>
      </c>
      <c r="AG1091" s="184">
        <f t="shared" si="717"/>
        <v>50000</v>
      </c>
      <c r="AH1091" s="184">
        <f t="shared" si="717"/>
        <v>50000</v>
      </c>
      <c r="AI1091" s="184">
        <f t="shared" si="717"/>
        <v>50000</v>
      </c>
      <c r="AJ1091" s="162" t="b">
        <f t="shared" si="676"/>
        <v>1</v>
      </c>
      <c r="AK1091" s="162" t="str">
        <f t="shared" si="677"/>
        <v>PRAZNO</v>
      </c>
      <c r="AL1091" s="173"/>
    </row>
    <row r="1092" spans="1:39" ht="21" customHeight="1" x14ac:dyDescent="0.2">
      <c r="B1092" s="177"/>
      <c r="C1092" s="177">
        <v>35</v>
      </c>
      <c r="D1092" s="177"/>
      <c r="E1092" s="177"/>
      <c r="F1092" s="176"/>
      <c r="G1092" s="176"/>
      <c r="H1092" s="16" t="s">
        <v>749</v>
      </c>
      <c r="I1092" s="27"/>
      <c r="J1092" s="27"/>
      <c r="K1092" s="27"/>
      <c r="L1092" s="27"/>
      <c r="M1092" s="27"/>
      <c r="N1092" s="18"/>
      <c r="O1092" s="18"/>
      <c r="P1092" s="26"/>
      <c r="Q1092" s="18"/>
      <c r="R1092" s="18"/>
      <c r="S1092" s="18"/>
      <c r="T1092" s="27"/>
      <c r="U1092" s="18">
        <f t="shared" si="717"/>
        <v>0</v>
      </c>
      <c r="V1092" s="18">
        <f t="shared" si="717"/>
        <v>50000</v>
      </c>
      <c r="W1092" s="18">
        <f t="shared" si="717"/>
        <v>50000</v>
      </c>
      <c r="X1092" s="18">
        <f t="shared" si="717"/>
        <v>50000</v>
      </c>
      <c r="Y1092" s="18">
        <f t="shared" si="717"/>
        <v>0</v>
      </c>
      <c r="Z1092" s="18">
        <f t="shared" si="717"/>
        <v>0</v>
      </c>
      <c r="AA1092" s="18">
        <f t="shared" si="717"/>
        <v>0</v>
      </c>
      <c r="AB1092" s="18">
        <f t="shared" si="717"/>
        <v>50000</v>
      </c>
      <c r="AC1092" s="18">
        <f t="shared" si="717"/>
        <v>10000</v>
      </c>
      <c r="AD1092" s="18">
        <f t="shared" si="690"/>
        <v>20</v>
      </c>
      <c r="AE1092" s="18">
        <f t="shared" si="701"/>
        <v>0</v>
      </c>
      <c r="AF1092" s="18">
        <f t="shared" si="717"/>
        <v>50000</v>
      </c>
      <c r="AG1092" s="18">
        <f t="shared" si="717"/>
        <v>50000</v>
      </c>
      <c r="AH1092" s="18">
        <f t="shared" si="717"/>
        <v>50000</v>
      </c>
      <c r="AI1092" s="18">
        <f t="shared" si="717"/>
        <v>50000</v>
      </c>
      <c r="AJ1092" s="162" t="b">
        <f t="shared" si="676"/>
        <v>1</v>
      </c>
      <c r="AK1092" s="162" t="str">
        <f t="shared" si="677"/>
        <v>PRAZNO</v>
      </c>
      <c r="AM1092" s="164"/>
    </row>
    <row r="1093" spans="1:39" ht="34.5" customHeight="1" x14ac:dyDescent="0.2">
      <c r="B1093" s="177"/>
      <c r="C1093" s="177"/>
      <c r="D1093" s="177">
        <v>352</v>
      </c>
      <c r="E1093" s="177"/>
      <c r="F1093" s="176"/>
      <c r="G1093" s="176"/>
      <c r="H1093" s="16" t="s">
        <v>748</v>
      </c>
      <c r="I1093" s="27"/>
      <c r="J1093" s="27"/>
      <c r="K1093" s="27"/>
      <c r="L1093" s="27"/>
      <c r="M1093" s="27"/>
      <c r="N1093" s="18"/>
      <c r="O1093" s="18"/>
      <c r="P1093" s="26"/>
      <c r="Q1093" s="18"/>
      <c r="R1093" s="18"/>
      <c r="S1093" s="18"/>
      <c r="T1093" s="27"/>
      <c r="U1093" s="18">
        <f t="shared" si="717"/>
        <v>0</v>
      </c>
      <c r="V1093" s="18">
        <f t="shared" si="717"/>
        <v>50000</v>
      </c>
      <c r="W1093" s="18">
        <f t="shared" si="717"/>
        <v>50000</v>
      </c>
      <c r="X1093" s="18">
        <f t="shared" si="717"/>
        <v>50000</v>
      </c>
      <c r="Y1093" s="18">
        <f t="shared" si="717"/>
        <v>0</v>
      </c>
      <c r="Z1093" s="18">
        <f t="shared" si="717"/>
        <v>0</v>
      </c>
      <c r="AA1093" s="18">
        <f t="shared" si="717"/>
        <v>0</v>
      </c>
      <c r="AB1093" s="18">
        <f>AB1094+AB1095</f>
        <v>50000</v>
      </c>
      <c r="AC1093" s="18">
        <f>AC1094+AC1095</f>
        <v>10000</v>
      </c>
      <c r="AD1093" s="18">
        <f t="shared" si="690"/>
        <v>20</v>
      </c>
      <c r="AE1093" s="18">
        <f t="shared" si="701"/>
        <v>0</v>
      </c>
      <c r="AF1093" s="18">
        <f>AF1094+AF1095</f>
        <v>50000</v>
      </c>
      <c r="AG1093" s="18">
        <f>AG1094+AG1095</f>
        <v>50000</v>
      </c>
      <c r="AH1093" s="18">
        <f>AH1094+AH1095</f>
        <v>50000</v>
      </c>
      <c r="AI1093" s="18">
        <f>AI1094+AI1095</f>
        <v>50000</v>
      </c>
      <c r="AJ1093" s="162" t="b">
        <f t="shared" si="676"/>
        <v>1</v>
      </c>
      <c r="AK1093" s="162" t="str">
        <f t="shared" si="677"/>
        <v>PRAZNO</v>
      </c>
      <c r="AM1093" s="164"/>
    </row>
    <row r="1094" spans="1:39" ht="31.5" customHeight="1" x14ac:dyDescent="0.2">
      <c r="B1094" s="177"/>
      <c r="C1094" s="177"/>
      <c r="D1094" s="177"/>
      <c r="E1094" s="177">
        <v>3522</v>
      </c>
      <c r="F1094" s="176">
        <v>14</v>
      </c>
      <c r="G1094" s="176"/>
      <c r="H1094" s="16" t="s">
        <v>498</v>
      </c>
      <c r="I1094" s="27"/>
      <c r="J1094" s="27"/>
      <c r="K1094" s="27"/>
      <c r="L1094" s="27"/>
      <c r="M1094" s="27"/>
      <c r="N1094" s="18"/>
      <c r="O1094" s="18"/>
      <c r="P1094" s="26"/>
      <c r="Q1094" s="18"/>
      <c r="R1094" s="18"/>
      <c r="S1094" s="18"/>
      <c r="T1094" s="27"/>
      <c r="U1094" s="27"/>
      <c r="V1094" s="18">
        <v>50000</v>
      </c>
      <c r="W1094" s="18">
        <v>50000</v>
      </c>
      <c r="X1094" s="18">
        <v>50000</v>
      </c>
      <c r="Y1094" s="18">
        <v>0</v>
      </c>
      <c r="Z1094" s="18">
        <f t="shared" ref="Z1094:Z1156" si="718">ROUND(Y1094/V1094*100,2)</f>
        <v>0</v>
      </c>
      <c r="AA1094" s="18">
        <f t="shared" si="715"/>
        <v>0</v>
      </c>
      <c r="AB1094" s="18">
        <v>50000</v>
      </c>
      <c r="AC1094" s="18">
        <v>10000</v>
      </c>
      <c r="AD1094" s="18">
        <f t="shared" si="690"/>
        <v>20</v>
      </c>
      <c r="AE1094" s="18">
        <f t="shared" si="701"/>
        <v>-40000</v>
      </c>
      <c r="AF1094" s="18">
        <v>10000</v>
      </c>
      <c r="AG1094" s="18">
        <v>10000</v>
      </c>
      <c r="AH1094" s="18">
        <v>10000</v>
      </c>
      <c r="AI1094" s="18">
        <v>10000</v>
      </c>
      <c r="AJ1094" s="162" t="b">
        <f t="shared" si="676"/>
        <v>0</v>
      </c>
      <c r="AK1094" s="162" t="str">
        <f t="shared" si="677"/>
        <v>PUNO</v>
      </c>
      <c r="AM1094" s="164"/>
    </row>
    <row r="1095" spans="1:39" ht="31.5" customHeight="1" x14ac:dyDescent="0.2">
      <c r="B1095" s="177"/>
      <c r="C1095" s="177"/>
      <c r="D1095" s="177"/>
      <c r="E1095" s="177">
        <v>3523</v>
      </c>
      <c r="F1095" s="176">
        <v>14</v>
      </c>
      <c r="G1095" s="176"/>
      <c r="H1095" s="16" t="s">
        <v>324</v>
      </c>
      <c r="I1095" s="27"/>
      <c r="J1095" s="27"/>
      <c r="K1095" s="27"/>
      <c r="L1095" s="27"/>
      <c r="M1095" s="27"/>
      <c r="N1095" s="18"/>
      <c r="O1095" s="18"/>
      <c r="P1095" s="26"/>
      <c r="Q1095" s="18"/>
      <c r="R1095" s="18"/>
      <c r="S1095" s="18"/>
      <c r="T1095" s="27"/>
      <c r="U1095" s="27"/>
      <c r="V1095" s="18"/>
      <c r="W1095" s="18"/>
      <c r="X1095" s="18"/>
      <c r="Y1095" s="18"/>
      <c r="Z1095" s="18"/>
      <c r="AA1095" s="18"/>
      <c r="AB1095" s="18"/>
      <c r="AC1095" s="18"/>
      <c r="AD1095" s="18"/>
      <c r="AE1095" s="18">
        <f t="shared" si="701"/>
        <v>40000</v>
      </c>
      <c r="AF1095" s="18">
        <v>40000</v>
      </c>
      <c r="AG1095" s="18">
        <v>40000</v>
      </c>
      <c r="AH1095" s="18">
        <v>40000</v>
      </c>
      <c r="AI1095" s="18">
        <v>40000</v>
      </c>
      <c r="AJ1095" s="162" t="b">
        <f t="shared" si="676"/>
        <v>0</v>
      </c>
      <c r="AK1095" s="162" t="str">
        <f t="shared" si="677"/>
        <v>PUNO</v>
      </c>
      <c r="AM1095" s="164"/>
    </row>
    <row r="1096" spans="1:39" s="207" customFormat="1" ht="75.75" customHeight="1" x14ac:dyDescent="0.25">
      <c r="A1096" s="378"/>
      <c r="B1096" s="168"/>
      <c r="C1096" s="168"/>
      <c r="D1096" s="168"/>
      <c r="E1096" s="168"/>
      <c r="F1096" s="322"/>
      <c r="G1096" s="322"/>
      <c r="H1096" s="13" t="s">
        <v>119</v>
      </c>
      <c r="I1096" s="323"/>
      <c r="J1096" s="323"/>
      <c r="K1096" s="323"/>
      <c r="L1096" s="323"/>
      <c r="M1096" s="323"/>
      <c r="N1096" s="308"/>
      <c r="O1096" s="308"/>
      <c r="P1096" s="53"/>
      <c r="Q1096" s="308"/>
      <c r="R1096" s="308"/>
      <c r="S1096" s="308"/>
      <c r="T1096" s="323"/>
      <c r="U1096" s="308">
        <f t="shared" ref="U1096:AA1096" si="719">U1098</f>
        <v>0</v>
      </c>
      <c r="V1096" s="308">
        <f t="shared" si="719"/>
        <v>40000</v>
      </c>
      <c r="W1096" s="308">
        <f t="shared" si="719"/>
        <v>40000</v>
      </c>
      <c r="X1096" s="308">
        <f t="shared" si="719"/>
        <v>40000</v>
      </c>
      <c r="Y1096" s="308">
        <f t="shared" si="719"/>
        <v>0</v>
      </c>
      <c r="Z1096" s="308">
        <f t="shared" si="719"/>
        <v>0</v>
      </c>
      <c r="AA1096" s="308">
        <f t="shared" si="719"/>
        <v>0</v>
      </c>
      <c r="AB1096" s="308">
        <f>AB1098</f>
        <v>40000</v>
      </c>
      <c r="AC1096" s="308">
        <f>AC1098</f>
        <v>0</v>
      </c>
      <c r="AD1096" s="308">
        <f t="shared" si="690"/>
        <v>0</v>
      </c>
      <c r="AE1096" s="308">
        <f t="shared" si="701"/>
        <v>0</v>
      </c>
      <c r="AF1096" s="308">
        <f>AF1098</f>
        <v>40000</v>
      </c>
      <c r="AG1096" s="308">
        <f>AG1098</f>
        <v>20000</v>
      </c>
      <c r="AH1096" s="308">
        <f>AH1098</f>
        <v>20000</v>
      </c>
      <c r="AI1096" s="308">
        <f>AI1098</f>
        <v>20000</v>
      </c>
      <c r="AJ1096" s="162" t="b">
        <f t="shared" si="676"/>
        <v>1</v>
      </c>
      <c r="AK1096" s="162" t="str">
        <f t="shared" si="677"/>
        <v>PRAZNO</v>
      </c>
      <c r="AL1096" s="206"/>
    </row>
    <row r="1097" spans="1:39" s="447" customFormat="1" ht="16.5" customHeight="1" x14ac:dyDescent="0.25">
      <c r="A1097" s="378"/>
      <c r="B1097" s="260"/>
      <c r="C1097" s="260"/>
      <c r="D1097" s="260"/>
      <c r="E1097" s="260"/>
      <c r="F1097" s="442"/>
      <c r="G1097" s="442"/>
      <c r="H1097" s="440" t="s">
        <v>824</v>
      </c>
      <c r="I1097" s="444"/>
      <c r="J1097" s="444"/>
      <c r="K1097" s="444"/>
      <c r="L1097" s="444"/>
      <c r="M1097" s="444"/>
      <c r="N1097" s="443"/>
      <c r="O1097" s="443"/>
      <c r="P1097" s="342"/>
      <c r="Q1097" s="443"/>
      <c r="R1097" s="443"/>
      <c r="S1097" s="443"/>
      <c r="T1097" s="444"/>
      <c r="U1097" s="443">
        <f t="shared" ref="U1097:AI1099" si="720">U1098</f>
        <v>0</v>
      </c>
      <c r="V1097" s="443">
        <f t="shared" si="720"/>
        <v>40000</v>
      </c>
      <c r="W1097" s="443">
        <f t="shared" si="720"/>
        <v>40000</v>
      </c>
      <c r="X1097" s="443">
        <f t="shared" si="720"/>
        <v>40000</v>
      </c>
      <c r="Y1097" s="443">
        <f t="shared" si="720"/>
        <v>0</v>
      </c>
      <c r="Z1097" s="443">
        <f t="shared" si="720"/>
        <v>0</v>
      </c>
      <c r="AA1097" s="443">
        <f t="shared" si="720"/>
        <v>0</v>
      </c>
      <c r="AB1097" s="443">
        <f>AB1098</f>
        <v>40000</v>
      </c>
      <c r="AC1097" s="443">
        <f>AC1098</f>
        <v>0</v>
      </c>
      <c r="AD1097" s="443">
        <f t="shared" si="690"/>
        <v>0</v>
      </c>
      <c r="AE1097" s="443">
        <f t="shared" si="701"/>
        <v>0</v>
      </c>
      <c r="AF1097" s="443">
        <f>AF1098</f>
        <v>40000</v>
      </c>
      <c r="AG1097" s="443">
        <f>AG1098</f>
        <v>20000</v>
      </c>
      <c r="AH1097" s="443">
        <f>AH1098</f>
        <v>20000</v>
      </c>
      <c r="AI1097" s="443">
        <f>AI1098</f>
        <v>20000</v>
      </c>
      <c r="AJ1097" s="162" t="b">
        <f t="shared" ref="AJ1097:AJ1160" si="721">ISBLANK(E1097)</f>
        <v>1</v>
      </c>
      <c r="AK1097" s="162" t="str">
        <f t="shared" ref="AK1097:AK1160" si="722">IF(AJ1097,"PRAZNO","PUNO")</f>
        <v>PRAZNO</v>
      </c>
      <c r="AL1097" s="446"/>
    </row>
    <row r="1098" spans="1:39" s="174" customFormat="1" ht="18" customHeight="1" x14ac:dyDescent="0.2">
      <c r="A1098" s="259"/>
      <c r="B1098" s="172">
        <v>3</v>
      </c>
      <c r="C1098" s="172"/>
      <c r="D1098" s="172"/>
      <c r="E1098" s="172"/>
      <c r="F1098" s="220"/>
      <c r="G1098" s="220"/>
      <c r="H1098" s="14" t="s">
        <v>524</v>
      </c>
      <c r="I1098" s="185"/>
      <c r="J1098" s="185"/>
      <c r="K1098" s="185"/>
      <c r="L1098" s="185"/>
      <c r="M1098" s="185"/>
      <c r="N1098" s="184"/>
      <c r="O1098" s="184"/>
      <c r="P1098" s="55"/>
      <c r="Q1098" s="184"/>
      <c r="R1098" s="184"/>
      <c r="S1098" s="184"/>
      <c r="T1098" s="185"/>
      <c r="U1098" s="184">
        <f t="shared" si="720"/>
        <v>0</v>
      </c>
      <c r="V1098" s="184">
        <f t="shared" si="720"/>
        <v>40000</v>
      </c>
      <c r="W1098" s="184">
        <f t="shared" si="720"/>
        <v>40000</v>
      </c>
      <c r="X1098" s="184">
        <f t="shared" si="720"/>
        <v>40000</v>
      </c>
      <c r="Y1098" s="184">
        <f t="shared" si="720"/>
        <v>0</v>
      </c>
      <c r="Z1098" s="184">
        <f t="shared" si="720"/>
        <v>0</v>
      </c>
      <c r="AA1098" s="184">
        <f t="shared" si="720"/>
        <v>0</v>
      </c>
      <c r="AB1098" s="184">
        <f t="shared" si="720"/>
        <v>40000</v>
      </c>
      <c r="AC1098" s="184">
        <f t="shared" si="720"/>
        <v>0</v>
      </c>
      <c r="AD1098" s="184">
        <f t="shared" si="690"/>
        <v>0</v>
      </c>
      <c r="AE1098" s="184">
        <f t="shared" si="701"/>
        <v>0</v>
      </c>
      <c r="AF1098" s="184">
        <f t="shared" si="720"/>
        <v>40000</v>
      </c>
      <c r="AG1098" s="184">
        <f t="shared" si="720"/>
        <v>20000</v>
      </c>
      <c r="AH1098" s="184">
        <f t="shared" si="720"/>
        <v>20000</v>
      </c>
      <c r="AI1098" s="184">
        <f t="shared" si="720"/>
        <v>20000</v>
      </c>
      <c r="AJ1098" s="162" t="b">
        <f t="shared" si="721"/>
        <v>1</v>
      </c>
      <c r="AK1098" s="162" t="str">
        <f t="shared" si="722"/>
        <v>PRAZNO</v>
      </c>
      <c r="AL1098" s="173"/>
    </row>
    <row r="1099" spans="1:39" ht="21" customHeight="1" x14ac:dyDescent="0.2">
      <c r="B1099" s="177"/>
      <c r="C1099" s="177">
        <v>35</v>
      </c>
      <c r="D1099" s="177"/>
      <c r="E1099" s="177"/>
      <c r="F1099" s="176"/>
      <c r="G1099" s="176"/>
      <c r="H1099" s="16" t="s">
        <v>749</v>
      </c>
      <c r="I1099" s="27"/>
      <c r="J1099" s="27"/>
      <c r="K1099" s="27"/>
      <c r="L1099" s="27"/>
      <c r="M1099" s="27"/>
      <c r="N1099" s="18"/>
      <c r="O1099" s="18"/>
      <c r="P1099" s="26"/>
      <c r="Q1099" s="18"/>
      <c r="R1099" s="18"/>
      <c r="S1099" s="18"/>
      <c r="T1099" s="27"/>
      <c r="U1099" s="18">
        <f t="shared" si="720"/>
        <v>0</v>
      </c>
      <c r="V1099" s="18">
        <f t="shared" si="720"/>
        <v>40000</v>
      </c>
      <c r="W1099" s="18">
        <f t="shared" si="720"/>
        <v>40000</v>
      </c>
      <c r="X1099" s="18">
        <f t="shared" si="720"/>
        <v>40000</v>
      </c>
      <c r="Y1099" s="18">
        <f t="shared" si="720"/>
        <v>0</v>
      </c>
      <c r="Z1099" s="18">
        <f t="shared" si="720"/>
        <v>0</v>
      </c>
      <c r="AA1099" s="18">
        <f t="shared" si="720"/>
        <v>0</v>
      </c>
      <c r="AB1099" s="18">
        <f t="shared" si="720"/>
        <v>40000</v>
      </c>
      <c r="AC1099" s="18">
        <f t="shared" si="720"/>
        <v>0</v>
      </c>
      <c r="AD1099" s="18">
        <f t="shared" si="690"/>
        <v>0</v>
      </c>
      <c r="AE1099" s="18">
        <f t="shared" si="701"/>
        <v>0</v>
      </c>
      <c r="AF1099" s="18">
        <f t="shared" si="720"/>
        <v>40000</v>
      </c>
      <c r="AG1099" s="18">
        <f t="shared" si="720"/>
        <v>20000</v>
      </c>
      <c r="AH1099" s="18">
        <f t="shared" si="720"/>
        <v>20000</v>
      </c>
      <c r="AI1099" s="18">
        <f t="shared" si="720"/>
        <v>20000</v>
      </c>
      <c r="AJ1099" s="162" t="b">
        <f t="shared" si="721"/>
        <v>1</v>
      </c>
      <c r="AK1099" s="162" t="str">
        <f t="shared" si="722"/>
        <v>PRAZNO</v>
      </c>
      <c r="AM1099" s="164"/>
    </row>
    <row r="1100" spans="1:39" ht="34.5" customHeight="1" x14ac:dyDescent="0.2">
      <c r="B1100" s="177"/>
      <c r="C1100" s="177"/>
      <c r="D1100" s="177">
        <v>352</v>
      </c>
      <c r="E1100" s="177"/>
      <c r="F1100" s="176"/>
      <c r="G1100" s="176"/>
      <c r="H1100" s="16" t="s">
        <v>748</v>
      </c>
      <c r="I1100" s="27"/>
      <c r="J1100" s="27"/>
      <c r="K1100" s="27"/>
      <c r="L1100" s="27"/>
      <c r="M1100" s="27"/>
      <c r="N1100" s="18"/>
      <c r="O1100" s="18"/>
      <c r="P1100" s="26"/>
      <c r="Q1100" s="18"/>
      <c r="R1100" s="18"/>
      <c r="S1100" s="18"/>
      <c r="T1100" s="27"/>
      <c r="U1100" s="18">
        <f t="shared" ref="U1100:AA1100" si="723">U1101+U1102</f>
        <v>0</v>
      </c>
      <c r="V1100" s="18">
        <f t="shared" si="723"/>
        <v>40000</v>
      </c>
      <c r="W1100" s="18">
        <f t="shared" si="723"/>
        <v>40000</v>
      </c>
      <c r="X1100" s="18">
        <f t="shared" si="723"/>
        <v>40000</v>
      </c>
      <c r="Y1100" s="18">
        <f t="shared" si="723"/>
        <v>0</v>
      </c>
      <c r="Z1100" s="18">
        <f t="shared" si="723"/>
        <v>0</v>
      </c>
      <c r="AA1100" s="18">
        <f t="shared" si="723"/>
        <v>0</v>
      </c>
      <c r="AB1100" s="18">
        <f>AB1101+AB1102</f>
        <v>40000</v>
      </c>
      <c r="AC1100" s="18">
        <f>AC1101+AC1102</f>
        <v>0</v>
      </c>
      <c r="AD1100" s="18">
        <f t="shared" si="690"/>
        <v>0</v>
      </c>
      <c r="AE1100" s="18">
        <f t="shared" si="701"/>
        <v>0</v>
      </c>
      <c r="AF1100" s="18">
        <f>AF1101+AF1102</f>
        <v>40000</v>
      </c>
      <c r="AG1100" s="18">
        <f>AG1101+AG1102</f>
        <v>20000</v>
      </c>
      <c r="AH1100" s="18">
        <f>AH1101+AH1102</f>
        <v>20000</v>
      </c>
      <c r="AI1100" s="18">
        <f>AI1101+AI1102</f>
        <v>20000</v>
      </c>
      <c r="AJ1100" s="162" t="b">
        <f t="shared" si="721"/>
        <v>1</v>
      </c>
      <c r="AK1100" s="162" t="str">
        <f t="shared" si="722"/>
        <v>PRAZNO</v>
      </c>
      <c r="AM1100" s="164"/>
    </row>
    <row r="1101" spans="1:39" ht="34.5" customHeight="1" x14ac:dyDescent="0.2">
      <c r="B1101" s="177"/>
      <c r="C1101" s="177"/>
      <c r="D1101" s="177"/>
      <c r="E1101" s="177">
        <v>3522</v>
      </c>
      <c r="F1101" s="176">
        <v>14</v>
      </c>
      <c r="G1101" s="176"/>
      <c r="H1101" s="16" t="s">
        <v>543</v>
      </c>
      <c r="I1101" s="27"/>
      <c r="J1101" s="27"/>
      <c r="K1101" s="27"/>
      <c r="L1101" s="27"/>
      <c r="M1101" s="27"/>
      <c r="N1101" s="18"/>
      <c r="O1101" s="18"/>
      <c r="P1101" s="26"/>
      <c r="Q1101" s="18"/>
      <c r="R1101" s="18"/>
      <c r="S1101" s="18"/>
      <c r="T1101" s="27"/>
      <c r="U1101" s="27"/>
      <c r="V1101" s="18">
        <v>20000</v>
      </c>
      <c r="W1101" s="18">
        <v>20000</v>
      </c>
      <c r="X1101" s="18">
        <v>20000</v>
      </c>
      <c r="Y1101" s="18">
        <v>0</v>
      </c>
      <c r="Z1101" s="18">
        <f t="shared" si="718"/>
        <v>0</v>
      </c>
      <c r="AA1101" s="18">
        <f t="shared" si="715"/>
        <v>0</v>
      </c>
      <c r="AB1101" s="18">
        <v>20000</v>
      </c>
      <c r="AC1101" s="18">
        <v>0</v>
      </c>
      <c r="AD1101" s="18">
        <f t="shared" si="690"/>
        <v>0</v>
      </c>
      <c r="AE1101" s="18">
        <f t="shared" si="701"/>
        <v>0</v>
      </c>
      <c r="AF1101" s="18">
        <v>20000</v>
      </c>
      <c r="AG1101" s="18"/>
      <c r="AH1101" s="18"/>
      <c r="AI1101" s="18"/>
      <c r="AJ1101" s="162" t="b">
        <f t="shared" si="721"/>
        <v>0</v>
      </c>
      <c r="AK1101" s="162" t="str">
        <f t="shared" si="722"/>
        <v>PUNO</v>
      </c>
      <c r="AM1101" s="164"/>
    </row>
    <row r="1102" spans="1:39" ht="52.5" customHeight="1" x14ac:dyDescent="0.2">
      <c r="B1102" s="177"/>
      <c r="C1102" s="177"/>
      <c r="D1102" s="177"/>
      <c r="E1102" s="177">
        <v>3522</v>
      </c>
      <c r="F1102" s="176">
        <v>14</v>
      </c>
      <c r="G1102" s="176"/>
      <c r="H1102" s="16" t="s">
        <v>490</v>
      </c>
      <c r="I1102" s="27"/>
      <c r="J1102" s="27"/>
      <c r="K1102" s="27"/>
      <c r="L1102" s="27"/>
      <c r="M1102" s="27"/>
      <c r="N1102" s="18"/>
      <c r="O1102" s="18"/>
      <c r="P1102" s="26"/>
      <c r="Q1102" s="18"/>
      <c r="R1102" s="18"/>
      <c r="S1102" s="18"/>
      <c r="T1102" s="27"/>
      <c r="U1102" s="27"/>
      <c r="V1102" s="18">
        <v>20000</v>
      </c>
      <c r="W1102" s="18">
        <v>20000</v>
      </c>
      <c r="X1102" s="18">
        <v>20000</v>
      </c>
      <c r="Y1102" s="18">
        <v>0</v>
      </c>
      <c r="Z1102" s="18">
        <f t="shared" si="718"/>
        <v>0</v>
      </c>
      <c r="AA1102" s="18">
        <f t="shared" si="715"/>
        <v>0</v>
      </c>
      <c r="AB1102" s="18">
        <v>20000</v>
      </c>
      <c r="AC1102" s="18">
        <v>0</v>
      </c>
      <c r="AD1102" s="18">
        <f t="shared" si="690"/>
        <v>0</v>
      </c>
      <c r="AE1102" s="18">
        <f t="shared" si="701"/>
        <v>0</v>
      </c>
      <c r="AF1102" s="18">
        <v>20000</v>
      </c>
      <c r="AG1102" s="18">
        <v>20000</v>
      </c>
      <c r="AH1102" s="18">
        <v>20000</v>
      </c>
      <c r="AI1102" s="18">
        <v>20000</v>
      </c>
      <c r="AJ1102" s="162" t="b">
        <f t="shared" si="721"/>
        <v>0</v>
      </c>
      <c r="AK1102" s="162" t="str">
        <f t="shared" si="722"/>
        <v>PUNO</v>
      </c>
      <c r="AM1102" s="164"/>
    </row>
    <row r="1103" spans="1:39" s="207" customFormat="1" ht="45" customHeight="1" x14ac:dyDescent="0.25">
      <c r="A1103" s="378"/>
      <c r="B1103" s="168"/>
      <c r="C1103" s="168"/>
      <c r="D1103" s="168"/>
      <c r="E1103" s="168"/>
      <c r="F1103" s="322"/>
      <c r="G1103" s="322"/>
      <c r="H1103" s="13" t="s">
        <v>875</v>
      </c>
      <c r="I1103" s="323"/>
      <c r="J1103" s="323"/>
      <c r="K1103" s="323"/>
      <c r="L1103" s="323"/>
      <c r="M1103" s="323"/>
      <c r="N1103" s="308"/>
      <c r="O1103" s="308"/>
      <c r="P1103" s="53"/>
      <c r="Q1103" s="308"/>
      <c r="R1103" s="308"/>
      <c r="S1103" s="308"/>
      <c r="T1103" s="323"/>
      <c r="U1103" s="323"/>
      <c r="V1103" s="308">
        <f t="shared" ref="V1103:AI1106" si="724">V1104</f>
        <v>0</v>
      </c>
      <c r="W1103" s="308">
        <f t="shared" si="724"/>
        <v>0</v>
      </c>
      <c r="X1103" s="308">
        <f t="shared" si="724"/>
        <v>0</v>
      </c>
      <c r="Y1103" s="308">
        <f t="shared" si="724"/>
        <v>0</v>
      </c>
      <c r="Z1103" s="308" t="e">
        <f t="shared" si="718"/>
        <v>#DIV/0!</v>
      </c>
      <c r="AA1103" s="308">
        <f t="shared" si="715"/>
        <v>0</v>
      </c>
      <c r="AB1103" s="308">
        <f t="shared" si="724"/>
        <v>0</v>
      </c>
      <c r="AC1103" s="308">
        <f t="shared" si="724"/>
        <v>0</v>
      </c>
      <c r="AD1103" s="308" t="e">
        <f t="shared" si="690"/>
        <v>#DIV/0!</v>
      </c>
      <c r="AE1103" s="308">
        <f t="shared" si="701"/>
        <v>0</v>
      </c>
      <c r="AF1103" s="308">
        <f t="shared" si="724"/>
        <v>0</v>
      </c>
      <c r="AG1103" s="308">
        <f t="shared" si="724"/>
        <v>0</v>
      </c>
      <c r="AH1103" s="308">
        <f t="shared" si="724"/>
        <v>0</v>
      </c>
      <c r="AI1103" s="308">
        <f t="shared" si="724"/>
        <v>0</v>
      </c>
      <c r="AJ1103" s="162" t="b">
        <f t="shared" si="721"/>
        <v>1</v>
      </c>
      <c r="AK1103" s="162" t="str">
        <f t="shared" si="722"/>
        <v>PRAZNO</v>
      </c>
      <c r="AL1103" s="206"/>
    </row>
    <row r="1104" spans="1:39" s="174" customFormat="1" ht="18" customHeight="1" x14ac:dyDescent="0.2">
      <c r="A1104" s="259"/>
      <c r="B1104" s="172">
        <v>3</v>
      </c>
      <c r="C1104" s="172"/>
      <c r="D1104" s="172"/>
      <c r="E1104" s="172"/>
      <c r="F1104" s="220"/>
      <c r="G1104" s="220"/>
      <c r="H1104" s="14" t="s">
        <v>524</v>
      </c>
      <c r="I1104" s="185"/>
      <c r="J1104" s="185"/>
      <c r="K1104" s="185"/>
      <c r="L1104" s="185"/>
      <c r="M1104" s="185"/>
      <c r="N1104" s="184"/>
      <c r="O1104" s="184"/>
      <c r="P1104" s="55"/>
      <c r="Q1104" s="184"/>
      <c r="R1104" s="184"/>
      <c r="S1104" s="184"/>
      <c r="T1104" s="185"/>
      <c r="U1104" s="185"/>
      <c r="V1104" s="184">
        <f t="shared" si="724"/>
        <v>0</v>
      </c>
      <c r="W1104" s="184">
        <f t="shared" si="724"/>
        <v>0</v>
      </c>
      <c r="X1104" s="184">
        <f t="shared" si="724"/>
        <v>0</v>
      </c>
      <c r="Y1104" s="184">
        <f t="shared" si="724"/>
        <v>0</v>
      </c>
      <c r="Z1104" s="184" t="e">
        <f t="shared" si="718"/>
        <v>#DIV/0!</v>
      </c>
      <c r="AA1104" s="184">
        <f t="shared" si="715"/>
        <v>0</v>
      </c>
      <c r="AB1104" s="184">
        <f t="shared" si="724"/>
        <v>0</v>
      </c>
      <c r="AC1104" s="184">
        <f t="shared" si="724"/>
        <v>0</v>
      </c>
      <c r="AD1104" s="184" t="e">
        <f t="shared" si="690"/>
        <v>#DIV/0!</v>
      </c>
      <c r="AE1104" s="184">
        <f t="shared" si="701"/>
        <v>0</v>
      </c>
      <c r="AF1104" s="184">
        <f t="shared" si="724"/>
        <v>0</v>
      </c>
      <c r="AG1104" s="184">
        <f t="shared" si="724"/>
        <v>0</v>
      </c>
      <c r="AH1104" s="184">
        <f t="shared" si="724"/>
        <v>0</v>
      </c>
      <c r="AI1104" s="184">
        <f t="shared" si="724"/>
        <v>0</v>
      </c>
      <c r="AJ1104" s="162" t="b">
        <f t="shared" si="721"/>
        <v>1</v>
      </c>
      <c r="AK1104" s="162" t="str">
        <f t="shared" si="722"/>
        <v>PRAZNO</v>
      </c>
      <c r="AL1104" s="173"/>
    </row>
    <row r="1105" spans="1:39" ht="21" customHeight="1" x14ac:dyDescent="0.2">
      <c r="B1105" s="177"/>
      <c r="C1105" s="177">
        <v>35</v>
      </c>
      <c r="D1105" s="177"/>
      <c r="E1105" s="177"/>
      <c r="F1105" s="176"/>
      <c r="G1105" s="176"/>
      <c r="H1105" s="16" t="s">
        <v>749</v>
      </c>
      <c r="I1105" s="27"/>
      <c r="J1105" s="27"/>
      <c r="K1105" s="27"/>
      <c r="L1105" s="27"/>
      <c r="M1105" s="27"/>
      <c r="N1105" s="18"/>
      <c r="O1105" s="18"/>
      <c r="P1105" s="26"/>
      <c r="Q1105" s="18"/>
      <c r="R1105" s="18"/>
      <c r="S1105" s="18"/>
      <c r="T1105" s="27"/>
      <c r="U1105" s="27"/>
      <c r="V1105" s="18">
        <f t="shared" si="724"/>
        <v>0</v>
      </c>
      <c r="W1105" s="18">
        <f t="shared" si="724"/>
        <v>0</v>
      </c>
      <c r="X1105" s="18">
        <f t="shared" si="724"/>
        <v>0</v>
      </c>
      <c r="Y1105" s="18">
        <f t="shared" si="724"/>
        <v>0</v>
      </c>
      <c r="Z1105" s="18" t="e">
        <f t="shared" si="718"/>
        <v>#DIV/0!</v>
      </c>
      <c r="AA1105" s="18">
        <f t="shared" si="715"/>
        <v>0</v>
      </c>
      <c r="AB1105" s="18">
        <f t="shared" si="724"/>
        <v>0</v>
      </c>
      <c r="AC1105" s="18">
        <f t="shared" si="724"/>
        <v>0</v>
      </c>
      <c r="AD1105" s="18" t="e">
        <f t="shared" si="690"/>
        <v>#DIV/0!</v>
      </c>
      <c r="AE1105" s="18">
        <f t="shared" si="701"/>
        <v>0</v>
      </c>
      <c r="AF1105" s="18">
        <f t="shared" si="724"/>
        <v>0</v>
      </c>
      <c r="AG1105" s="18">
        <f t="shared" si="724"/>
        <v>0</v>
      </c>
      <c r="AH1105" s="18">
        <f t="shared" si="724"/>
        <v>0</v>
      </c>
      <c r="AI1105" s="18">
        <f t="shared" si="724"/>
        <v>0</v>
      </c>
      <c r="AJ1105" s="162" t="b">
        <f t="shared" si="721"/>
        <v>1</v>
      </c>
      <c r="AK1105" s="162" t="str">
        <f t="shared" si="722"/>
        <v>PRAZNO</v>
      </c>
      <c r="AM1105" s="164"/>
    </row>
    <row r="1106" spans="1:39" ht="33" customHeight="1" x14ac:dyDescent="0.2">
      <c r="B1106" s="177"/>
      <c r="C1106" s="177"/>
      <c r="D1106" s="177">
        <v>352</v>
      </c>
      <c r="E1106" s="177"/>
      <c r="F1106" s="176"/>
      <c r="G1106" s="176"/>
      <c r="H1106" s="16" t="s">
        <v>748</v>
      </c>
      <c r="I1106" s="27"/>
      <c r="J1106" s="27"/>
      <c r="K1106" s="27"/>
      <c r="L1106" s="27"/>
      <c r="M1106" s="27"/>
      <c r="N1106" s="18"/>
      <c r="O1106" s="18"/>
      <c r="P1106" s="26"/>
      <c r="Q1106" s="18"/>
      <c r="R1106" s="18"/>
      <c r="S1106" s="18"/>
      <c r="T1106" s="27"/>
      <c r="U1106" s="27"/>
      <c r="V1106" s="18">
        <f t="shared" si="724"/>
        <v>0</v>
      </c>
      <c r="W1106" s="18">
        <f t="shared" si="724"/>
        <v>0</v>
      </c>
      <c r="X1106" s="18">
        <f t="shared" si="724"/>
        <v>0</v>
      </c>
      <c r="Y1106" s="18">
        <f t="shared" si="724"/>
        <v>0</v>
      </c>
      <c r="Z1106" s="18" t="e">
        <f t="shared" si="718"/>
        <v>#DIV/0!</v>
      </c>
      <c r="AA1106" s="18">
        <f t="shared" si="715"/>
        <v>0</v>
      </c>
      <c r="AB1106" s="18">
        <f t="shared" si="724"/>
        <v>0</v>
      </c>
      <c r="AC1106" s="18">
        <f t="shared" si="724"/>
        <v>0</v>
      </c>
      <c r="AD1106" s="18" t="e">
        <f t="shared" si="690"/>
        <v>#DIV/0!</v>
      </c>
      <c r="AE1106" s="18">
        <f t="shared" si="701"/>
        <v>0</v>
      </c>
      <c r="AF1106" s="18">
        <f t="shared" si="724"/>
        <v>0</v>
      </c>
      <c r="AG1106" s="18">
        <f t="shared" si="724"/>
        <v>0</v>
      </c>
      <c r="AH1106" s="18">
        <f t="shared" si="724"/>
        <v>0</v>
      </c>
      <c r="AI1106" s="18">
        <f t="shared" si="724"/>
        <v>0</v>
      </c>
      <c r="AJ1106" s="162" t="b">
        <f t="shared" si="721"/>
        <v>1</v>
      </c>
      <c r="AK1106" s="162" t="str">
        <f t="shared" si="722"/>
        <v>PRAZNO</v>
      </c>
      <c r="AM1106" s="164"/>
    </row>
    <row r="1107" spans="1:39" ht="23.25" customHeight="1" x14ac:dyDescent="0.2">
      <c r="B1107" s="177"/>
      <c r="C1107" s="177"/>
      <c r="D1107" s="177"/>
      <c r="E1107" s="177">
        <v>3522</v>
      </c>
      <c r="F1107" s="176">
        <v>14</v>
      </c>
      <c r="G1107" s="176"/>
      <c r="H1107" s="16" t="s">
        <v>498</v>
      </c>
      <c r="I1107" s="27"/>
      <c r="J1107" s="27"/>
      <c r="K1107" s="27"/>
      <c r="L1107" s="27"/>
      <c r="M1107" s="27"/>
      <c r="N1107" s="18"/>
      <c r="O1107" s="18"/>
      <c r="P1107" s="26"/>
      <c r="Q1107" s="18"/>
      <c r="R1107" s="18"/>
      <c r="S1107" s="18"/>
      <c r="T1107" s="27"/>
      <c r="U1107" s="27"/>
      <c r="V1107" s="18">
        <v>0</v>
      </c>
      <c r="W1107" s="18">
        <v>0</v>
      </c>
      <c r="X1107" s="18">
        <v>0</v>
      </c>
      <c r="Y1107" s="18"/>
      <c r="Z1107" s="18" t="e">
        <f t="shared" si="718"/>
        <v>#DIV/0!</v>
      </c>
      <c r="AA1107" s="18">
        <f t="shared" si="715"/>
        <v>0</v>
      </c>
      <c r="AB1107" s="18">
        <v>0</v>
      </c>
      <c r="AC1107" s="18"/>
      <c r="AD1107" s="18" t="e">
        <f t="shared" si="690"/>
        <v>#DIV/0!</v>
      </c>
      <c r="AE1107" s="18">
        <f t="shared" si="701"/>
        <v>0</v>
      </c>
      <c r="AF1107" s="18">
        <v>0</v>
      </c>
      <c r="AG1107" s="18">
        <v>0</v>
      </c>
      <c r="AH1107" s="18">
        <v>0</v>
      </c>
      <c r="AI1107" s="18">
        <v>0</v>
      </c>
      <c r="AJ1107" s="162" t="b">
        <f t="shared" si="721"/>
        <v>0</v>
      </c>
      <c r="AK1107" s="162" t="str">
        <f t="shared" si="722"/>
        <v>PUNO</v>
      </c>
      <c r="AM1107" s="164"/>
    </row>
    <row r="1108" spans="1:39" s="164" customFormat="1" ht="15.75" customHeight="1" x14ac:dyDescent="0.2">
      <c r="A1108" s="259"/>
      <c r="B1108" s="194"/>
      <c r="C1108" s="194"/>
      <c r="D1108" s="194"/>
      <c r="E1108" s="194"/>
      <c r="F1108" s="159"/>
      <c r="G1108" s="159"/>
      <c r="H1108" s="11" t="s">
        <v>841</v>
      </c>
      <c r="I1108" s="196" t="e">
        <f>I1110</f>
        <v>#REF!</v>
      </c>
      <c r="J1108" s="196" t="e">
        <f>J1110</f>
        <v>#REF!</v>
      </c>
      <c r="K1108" s="196" t="e">
        <f>ROUND(J1108/I1108*100,2)</f>
        <v>#REF!</v>
      </c>
      <c r="L1108" s="196" t="e">
        <f>M1108-I1108</f>
        <v>#REF!</v>
      </c>
      <c r="M1108" s="195" t="e">
        <f>M1110</f>
        <v>#REF!</v>
      </c>
      <c r="N1108" s="195" t="e">
        <f>N1110</f>
        <v>#REF!</v>
      </c>
      <c r="O1108" s="195" t="e">
        <f>O1110</f>
        <v>#REF!</v>
      </c>
      <c r="P1108" s="351" t="e">
        <f t="shared" si="698"/>
        <v>#REF!</v>
      </c>
      <c r="Q1108" s="195" t="e">
        <f t="shared" ref="Q1108:X1108" si="725">Q1110</f>
        <v>#REF!</v>
      </c>
      <c r="R1108" s="195" t="e">
        <f t="shared" si="725"/>
        <v>#REF!</v>
      </c>
      <c r="S1108" s="195" t="e">
        <f t="shared" si="725"/>
        <v>#REF!</v>
      </c>
      <c r="T1108" s="197">
        <f t="shared" si="725"/>
        <v>1221000</v>
      </c>
      <c r="U1108" s="197">
        <f>U1110</f>
        <v>1165441.8500000001</v>
      </c>
      <c r="V1108" s="195">
        <f t="shared" si="725"/>
        <v>1221000</v>
      </c>
      <c r="W1108" s="195" t="e">
        <f t="shared" si="725"/>
        <v>#REF!</v>
      </c>
      <c r="X1108" s="195" t="e">
        <f t="shared" si="725"/>
        <v>#REF!</v>
      </c>
      <c r="Y1108" s="195">
        <f>Y1110</f>
        <v>501643.85000000003</v>
      </c>
      <c r="Z1108" s="195">
        <f t="shared" si="718"/>
        <v>41.08</v>
      </c>
      <c r="AA1108" s="195">
        <f t="shared" si="715"/>
        <v>13500</v>
      </c>
      <c r="AB1108" s="195">
        <f>AB1110</f>
        <v>1234500</v>
      </c>
      <c r="AC1108" s="195">
        <f>AC1110</f>
        <v>759275.14</v>
      </c>
      <c r="AD1108" s="195">
        <f t="shared" si="690"/>
        <v>61.504669096800328</v>
      </c>
      <c r="AE1108" s="195">
        <f t="shared" si="701"/>
        <v>0</v>
      </c>
      <c r="AF1108" s="195">
        <f>AF1110</f>
        <v>1234500</v>
      </c>
      <c r="AG1108" s="195">
        <f>AG1110</f>
        <v>1288000</v>
      </c>
      <c r="AH1108" s="195">
        <f>AH1110</f>
        <v>1288000</v>
      </c>
      <c r="AI1108" s="195">
        <f>AI1110</f>
        <v>1288000</v>
      </c>
      <c r="AJ1108" s="162" t="b">
        <f t="shared" si="721"/>
        <v>1</v>
      </c>
      <c r="AK1108" s="162" t="str">
        <f t="shared" si="722"/>
        <v>PRAZNO</v>
      </c>
      <c r="AL1108" s="165"/>
    </row>
    <row r="1109" spans="1:39" s="164" customFormat="1" ht="15.75" customHeight="1" x14ac:dyDescent="0.2">
      <c r="A1109" s="259"/>
      <c r="B1109" s="194"/>
      <c r="C1109" s="194"/>
      <c r="D1109" s="194"/>
      <c r="E1109" s="194"/>
      <c r="F1109" s="159"/>
      <c r="G1109" s="159"/>
      <c r="H1109" s="11" t="s">
        <v>842</v>
      </c>
      <c r="I1109" s="196"/>
      <c r="J1109" s="196"/>
      <c r="K1109" s="196"/>
      <c r="L1109" s="196"/>
      <c r="M1109" s="195"/>
      <c r="N1109" s="195"/>
      <c r="O1109" s="195"/>
      <c r="P1109" s="351"/>
      <c r="Q1109" s="195"/>
      <c r="R1109" s="195"/>
      <c r="S1109" s="195"/>
      <c r="T1109" s="197"/>
      <c r="U1109" s="197"/>
      <c r="V1109" s="195"/>
      <c r="W1109" s="195"/>
      <c r="X1109" s="195"/>
      <c r="Y1109" s="195"/>
      <c r="Z1109" s="195"/>
      <c r="AA1109" s="195"/>
      <c r="AB1109" s="195"/>
      <c r="AC1109" s="195"/>
      <c r="AD1109" s="195"/>
      <c r="AE1109" s="195">
        <f t="shared" si="701"/>
        <v>0</v>
      </c>
      <c r="AF1109" s="195"/>
      <c r="AG1109" s="195"/>
      <c r="AH1109" s="195"/>
      <c r="AI1109" s="195"/>
      <c r="AJ1109" s="162" t="b">
        <f t="shared" si="721"/>
        <v>1</v>
      </c>
      <c r="AK1109" s="162" t="str">
        <f t="shared" si="722"/>
        <v>PRAZNO</v>
      </c>
      <c r="AL1109" s="165"/>
    </row>
    <row r="1110" spans="1:39" s="171" customFormat="1" ht="15.75" customHeight="1" x14ac:dyDescent="0.2">
      <c r="A1110" s="259"/>
      <c r="B1110" s="270"/>
      <c r="C1110" s="270"/>
      <c r="D1110" s="270"/>
      <c r="E1110" s="270"/>
      <c r="F1110" s="270"/>
      <c r="G1110" s="270"/>
      <c r="H1110" s="274" t="s">
        <v>718</v>
      </c>
      <c r="I1110" s="273" t="e">
        <f>I1112+I1124</f>
        <v>#REF!</v>
      </c>
      <c r="J1110" s="273" t="e">
        <f>J1112+J1124</f>
        <v>#REF!</v>
      </c>
      <c r="K1110" s="273" t="e">
        <f t="shared" ref="K1110:K1121" si="726">ROUND(J1110/I1110*100,2)</f>
        <v>#REF!</v>
      </c>
      <c r="L1110" s="273" t="e">
        <f>M1110-I1110</f>
        <v>#REF!</v>
      </c>
      <c r="M1110" s="272" t="e">
        <f>M1112+M1124</f>
        <v>#REF!</v>
      </c>
      <c r="N1110" s="272" t="e">
        <f>N1112+N1124</f>
        <v>#REF!</v>
      </c>
      <c r="O1110" s="272" t="e">
        <f>O1112+O1124</f>
        <v>#REF!</v>
      </c>
      <c r="P1110" s="336" t="e">
        <f t="shared" si="698"/>
        <v>#REF!</v>
      </c>
      <c r="Q1110" s="272" t="e">
        <f t="shared" ref="Q1110:Y1110" si="727">Q1112+Q1124</f>
        <v>#REF!</v>
      </c>
      <c r="R1110" s="272" t="e">
        <f t="shared" si="727"/>
        <v>#REF!</v>
      </c>
      <c r="S1110" s="272" t="e">
        <f t="shared" si="727"/>
        <v>#REF!</v>
      </c>
      <c r="T1110" s="275">
        <f t="shared" si="727"/>
        <v>1221000</v>
      </c>
      <c r="U1110" s="275">
        <f>U1112+U1124</f>
        <v>1165441.8500000001</v>
      </c>
      <c r="V1110" s="272">
        <f t="shared" si="727"/>
        <v>1221000</v>
      </c>
      <c r="W1110" s="272" t="e">
        <f t="shared" si="727"/>
        <v>#REF!</v>
      </c>
      <c r="X1110" s="272" t="e">
        <f t="shared" si="727"/>
        <v>#REF!</v>
      </c>
      <c r="Y1110" s="272">
        <f t="shared" si="727"/>
        <v>501643.85000000003</v>
      </c>
      <c r="Z1110" s="272">
        <f t="shared" si="718"/>
        <v>41.08</v>
      </c>
      <c r="AA1110" s="272">
        <f t="shared" si="715"/>
        <v>13500</v>
      </c>
      <c r="AB1110" s="272">
        <f>AB1112+AB1124</f>
        <v>1234500</v>
      </c>
      <c r="AC1110" s="272">
        <f>AC1112+AC1124</f>
        <v>759275.14</v>
      </c>
      <c r="AD1110" s="272">
        <f t="shared" si="690"/>
        <v>61.504669096800328</v>
      </c>
      <c r="AE1110" s="272">
        <f t="shared" si="701"/>
        <v>0</v>
      </c>
      <c r="AF1110" s="272">
        <f>AF1112+AF1124</f>
        <v>1234500</v>
      </c>
      <c r="AG1110" s="272">
        <f>AG1112+AG1124</f>
        <v>1288000</v>
      </c>
      <c r="AH1110" s="272">
        <f>AH1112+AH1124</f>
        <v>1288000</v>
      </c>
      <c r="AI1110" s="272">
        <f>AI1112+AI1124</f>
        <v>1288000</v>
      </c>
      <c r="AJ1110" s="162" t="b">
        <f t="shared" si="721"/>
        <v>1</v>
      </c>
      <c r="AK1110" s="162" t="str">
        <f t="shared" si="722"/>
        <v>PRAZNO</v>
      </c>
      <c r="AL1110" s="170"/>
      <c r="AM1110" s="164"/>
    </row>
    <row r="1111" spans="1:39" s="171" customFormat="1" ht="42" customHeight="1" x14ac:dyDescent="0.2">
      <c r="A1111" s="259"/>
      <c r="B1111" s="168"/>
      <c r="C1111" s="168"/>
      <c r="D1111" s="168"/>
      <c r="E1111" s="168"/>
      <c r="F1111" s="168"/>
      <c r="G1111" s="168"/>
      <c r="H1111" s="31" t="s">
        <v>40</v>
      </c>
      <c r="I1111" s="169"/>
      <c r="J1111" s="169"/>
      <c r="K1111" s="169"/>
      <c r="L1111" s="169"/>
      <c r="M1111" s="19"/>
      <c r="N1111" s="19"/>
      <c r="O1111" s="19"/>
      <c r="P1111" s="205"/>
      <c r="Q1111" s="19"/>
      <c r="R1111" s="19"/>
      <c r="S1111" s="19"/>
      <c r="T1111" s="53"/>
      <c r="U1111" s="53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19">
        <f t="shared" si="701"/>
        <v>0</v>
      </c>
      <c r="AF1111" s="19"/>
      <c r="AG1111" s="19"/>
      <c r="AH1111" s="19"/>
      <c r="AI1111" s="19"/>
      <c r="AJ1111" s="162" t="b">
        <f t="shared" si="721"/>
        <v>1</v>
      </c>
      <c r="AK1111" s="162" t="str">
        <f t="shared" si="722"/>
        <v>PRAZNO</v>
      </c>
      <c r="AL1111" s="170"/>
      <c r="AM1111" s="164"/>
    </row>
    <row r="1112" spans="1:39" s="171" customFormat="1" ht="15.75" customHeight="1" x14ac:dyDescent="0.2">
      <c r="A1112" s="259"/>
      <c r="B1112" s="168"/>
      <c r="C1112" s="168"/>
      <c r="D1112" s="168"/>
      <c r="E1112" s="168"/>
      <c r="F1112" s="168"/>
      <c r="G1112" s="168"/>
      <c r="H1112" s="13" t="s">
        <v>588</v>
      </c>
      <c r="I1112" s="169">
        <f>I1114</f>
        <v>234000</v>
      </c>
      <c r="J1112" s="169">
        <f>J1114</f>
        <v>208462.23</v>
      </c>
      <c r="K1112" s="169">
        <f t="shared" si="726"/>
        <v>89.09</v>
      </c>
      <c r="L1112" s="169">
        <f t="shared" ref="L1112:L1121" si="728">M1112-I1112</f>
        <v>-6939.3999999999942</v>
      </c>
      <c r="M1112" s="19">
        <f>M1114</f>
        <v>227060.6</v>
      </c>
      <c r="N1112" s="19">
        <f>N1114</f>
        <v>259000</v>
      </c>
      <c r="O1112" s="19">
        <f>O1114</f>
        <v>259540.62</v>
      </c>
      <c r="P1112" s="303">
        <f t="shared" si="698"/>
        <v>90000</v>
      </c>
      <c r="Q1112" s="19">
        <f t="shared" ref="Q1112:X1112" si="729">Q1114</f>
        <v>259000</v>
      </c>
      <c r="R1112" s="19">
        <f t="shared" si="729"/>
        <v>264000</v>
      </c>
      <c r="S1112" s="19">
        <f t="shared" si="729"/>
        <v>269000</v>
      </c>
      <c r="T1112" s="53">
        <f t="shared" si="729"/>
        <v>349000</v>
      </c>
      <c r="U1112" s="53">
        <f>U1114</f>
        <v>339231.93</v>
      </c>
      <c r="V1112" s="19">
        <f t="shared" si="729"/>
        <v>349000</v>
      </c>
      <c r="W1112" s="19">
        <f t="shared" si="729"/>
        <v>349000</v>
      </c>
      <c r="X1112" s="19">
        <f t="shared" si="729"/>
        <v>351700</v>
      </c>
      <c r="Y1112" s="19">
        <f>Y1114</f>
        <v>205524.51</v>
      </c>
      <c r="Z1112" s="19">
        <f t="shared" si="718"/>
        <v>58.89</v>
      </c>
      <c r="AA1112" s="19">
        <f t="shared" si="715"/>
        <v>0</v>
      </c>
      <c r="AB1112" s="19">
        <f>AB1114</f>
        <v>349000</v>
      </c>
      <c r="AC1112" s="19">
        <f>AC1114</f>
        <v>219491.28000000003</v>
      </c>
      <c r="AD1112" s="19">
        <f t="shared" si="690"/>
        <v>62.891484240687689</v>
      </c>
      <c r="AE1112" s="19">
        <f t="shared" si="701"/>
        <v>26500</v>
      </c>
      <c r="AF1112" s="19">
        <f>AF1114</f>
        <v>375500</v>
      </c>
      <c r="AG1112" s="19">
        <f>AG1114</f>
        <v>402500</v>
      </c>
      <c r="AH1112" s="19">
        <f>AH1114</f>
        <v>402500</v>
      </c>
      <c r="AI1112" s="19">
        <f>AI1114</f>
        <v>402500</v>
      </c>
      <c r="AJ1112" s="162" t="b">
        <f t="shared" si="721"/>
        <v>1</v>
      </c>
      <c r="AK1112" s="162" t="str">
        <f t="shared" si="722"/>
        <v>PRAZNO</v>
      </c>
      <c r="AL1112" s="170"/>
      <c r="AM1112" s="164"/>
    </row>
    <row r="1113" spans="1:39" s="264" customFormat="1" ht="15.75" customHeight="1" x14ac:dyDescent="0.2">
      <c r="A1113" s="259"/>
      <c r="B1113" s="260"/>
      <c r="C1113" s="260"/>
      <c r="D1113" s="260"/>
      <c r="E1113" s="260"/>
      <c r="F1113" s="260"/>
      <c r="G1113" s="260"/>
      <c r="H1113" s="440" t="s">
        <v>824</v>
      </c>
      <c r="I1113" s="181"/>
      <c r="J1113" s="181"/>
      <c r="K1113" s="181"/>
      <c r="L1113" s="181"/>
      <c r="M1113" s="262"/>
      <c r="N1113" s="262"/>
      <c r="O1113" s="262"/>
      <c r="P1113" s="445"/>
      <c r="Q1113" s="262"/>
      <c r="R1113" s="262"/>
      <c r="S1113" s="262"/>
      <c r="T1113" s="342"/>
      <c r="U1113" s="342"/>
      <c r="V1113" s="262">
        <f>V1114</f>
        <v>349000</v>
      </c>
      <c r="W1113" s="262">
        <f>W1114</f>
        <v>349000</v>
      </c>
      <c r="X1113" s="262">
        <f>X1114</f>
        <v>351700</v>
      </c>
      <c r="Y1113" s="262">
        <f>Y1114</f>
        <v>205524.51</v>
      </c>
      <c r="Z1113" s="262">
        <f t="shared" si="718"/>
        <v>58.89</v>
      </c>
      <c r="AA1113" s="262">
        <f t="shared" si="715"/>
        <v>0</v>
      </c>
      <c r="AB1113" s="262">
        <f>AB1114</f>
        <v>349000</v>
      </c>
      <c r="AC1113" s="262">
        <f>AC1114</f>
        <v>219491.28000000003</v>
      </c>
      <c r="AD1113" s="262">
        <f t="shared" si="690"/>
        <v>62.891484240687689</v>
      </c>
      <c r="AE1113" s="262">
        <f t="shared" si="701"/>
        <v>26500</v>
      </c>
      <c r="AF1113" s="262">
        <f>AF1114</f>
        <v>375500</v>
      </c>
      <c r="AG1113" s="262">
        <f>AG1114</f>
        <v>402500</v>
      </c>
      <c r="AH1113" s="262">
        <f>AH1114</f>
        <v>402500</v>
      </c>
      <c r="AI1113" s="262">
        <f>AI1114</f>
        <v>402500</v>
      </c>
      <c r="AJ1113" s="162" t="b">
        <f t="shared" si="721"/>
        <v>1</v>
      </c>
      <c r="AK1113" s="162" t="str">
        <f t="shared" si="722"/>
        <v>PRAZNO</v>
      </c>
      <c r="AL1113" s="263"/>
    </row>
    <row r="1114" spans="1:39" s="174" customFormat="1" ht="15.75" customHeight="1" x14ac:dyDescent="0.2">
      <c r="A1114" s="259"/>
      <c r="B1114" s="172">
        <v>3</v>
      </c>
      <c r="C1114" s="172"/>
      <c r="D1114" s="172"/>
      <c r="E1114" s="172"/>
      <c r="F1114" s="172"/>
      <c r="G1114" s="172"/>
      <c r="H1114" s="14" t="s">
        <v>524</v>
      </c>
      <c r="I1114" s="20">
        <f t="shared" ref="I1114:AI1115" si="730">I1115</f>
        <v>234000</v>
      </c>
      <c r="J1114" s="20">
        <f t="shared" si="730"/>
        <v>208462.23</v>
      </c>
      <c r="K1114" s="20">
        <f t="shared" si="726"/>
        <v>89.09</v>
      </c>
      <c r="L1114" s="20">
        <f t="shared" si="728"/>
        <v>-6939.3999999999942</v>
      </c>
      <c r="M1114" s="20">
        <f t="shared" si="730"/>
        <v>227060.6</v>
      </c>
      <c r="N1114" s="20">
        <f t="shared" si="730"/>
        <v>259000</v>
      </c>
      <c r="O1114" s="20">
        <f t="shared" si="730"/>
        <v>259540.62</v>
      </c>
      <c r="P1114" s="55">
        <f t="shared" si="698"/>
        <v>90000</v>
      </c>
      <c r="Q1114" s="20">
        <f t="shared" si="730"/>
        <v>259000</v>
      </c>
      <c r="R1114" s="20">
        <f t="shared" si="730"/>
        <v>264000</v>
      </c>
      <c r="S1114" s="20">
        <f t="shared" si="730"/>
        <v>269000</v>
      </c>
      <c r="T1114" s="55">
        <f t="shared" si="730"/>
        <v>349000</v>
      </c>
      <c r="U1114" s="55">
        <f t="shared" si="730"/>
        <v>339231.93</v>
      </c>
      <c r="V1114" s="20">
        <f t="shared" si="730"/>
        <v>349000</v>
      </c>
      <c r="W1114" s="20">
        <f t="shared" si="730"/>
        <v>349000</v>
      </c>
      <c r="X1114" s="20">
        <f t="shared" si="730"/>
        <v>351700</v>
      </c>
      <c r="Y1114" s="20">
        <f t="shared" si="730"/>
        <v>205524.51</v>
      </c>
      <c r="Z1114" s="20">
        <f t="shared" si="718"/>
        <v>58.89</v>
      </c>
      <c r="AA1114" s="20">
        <f t="shared" si="715"/>
        <v>0</v>
      </c>
      <c r="AB1114" s="20">
        <f t="shared" si="730"/>
        <v>349000</v>
      </c>
      <c r="AC1114" s="20">
        <f t="shared" si="730"/>
        <v>219491.28000000003</v>
      </c>
      <c r="AD1114" s="20">
        <f t="shared" si="690"/>
        <v>62.891484240687689</v>
      </c>
      <c r="AE1114" s="20">
        <f t="shared" si="701"/>
        <v>26500</v>
      </c>
      <c r="AF1114" s="20">
        <f t="shared" si="730"/>
        <v>375500</v>
      </c>
      <c r="AG1114" s="20">
        <f t="shared" si="730"/>
        <v>402500</v>
      </c>
      <c r="AH1114" s="20">
        <f t="shared" si="730"/>
        <v>402500</v>
      </c>
      <c r="AI1114" s="20">
        <f t="shared" si="730"/>
        <v>402500</v>
      </c>
      <c r="AJ1114" s="162" t="b">
        <f t="shared" si="721"/>
        <v>1</v>
      </c>
      <c r="AK1114" s="162" t="str">
        <f t="shared" si="722"/>
        <v>PRAZNO</v>
      </c>
      <c r="AL1114" s="173"/>
      <c r="AM1114" s="164"/>
    </row>
    <row r="1115" spans="1:39" ht="15.75" customHeight="1" x14ac:dyDescent="0.2">
      <c r="B1115" s="175"/>
      <c r="C1115" s="175">
        <v>38</v>
      </c>
      <c r="D1115" s="175"/>
      <c r="E1115" s="175"/>
      <c r="F1115" s="175"/>
      <c r="G1115" s="175"/>
      <c r="H1115" s="15" t="s">
        <v>539</v>
      </c>
      <c r="I1115" s="22">
        <f t="shared" si="730"/>
        <v>234000</v>
      </c>
      <c r="J1115" s="22">
        <f t="shared" si="730"/>
        <v>208462.23</v>
      </c>
      <c r="K1115" s="22">
        <f t="shared" si="726"/>
        <v>89.09</v>
      </c>
      <c r="L1115" s="22">
        <f t="shared" si="728"/>
        <v>-6939.3999999999942</v>
      </c>
      <c r="M1115" s="22">
        <f t="shared" si="730"/>
        <v>227060.6</v>
      </c>
      <c r="N1115" s="22">
        <f t="shared" si="730"/>
        <v>259000</v>
      </c>
      <c r="O1115" s="22">
        <f t="shared" si="730"/>
        <v>259540.62</v>
      </c>
      <c r="P1115" s="26">
        <f t="shared" si="698"/>
        <v>90000</v>
      </c>
      <c r="Q1115" s="22">
        <f t="shared" si="730"/>
        <v>259000</v>
      </c>
      <c r="R1115" s="22">
        <f t="shared" si="730"/>
        <v>264000</v>
      </c>
      <c r="S1115" s="22">
        <f t="shared" si="730"/>
        <v>269000</v>
      </c>
      <c r="T1115" s="38">
        <f t="shared" si="730"/>
        <v>349000</v>
      </c>
      <c r="U1115" s="38">
        <f t="shared" si="730"/>
        <v>339231.93</v>
      </c>
      <c r="V1115" s="22">
        <f t="shared" si="730"/>
        <v>349000</v>
      </c>
      <c r="W1115" s="22">
        <f t="shared" si="730"/>
        <v>349000</v>
      </c>
      <c r="X1115" s="22">
        <f t="shared" si="730"/>
        <v>351700</v>
      </c>
      <c r="Y1115" s="22">
        <f t="shared" si="730"/>
        <v>205524.51</v>
      </c>
      <c r="Z1115" s="22">
        <f t="shared" si="718"/>
        <v>58.89</v>
      </c>
      <c r="AA1115" s="22">
        <f t="shared" si="715"/>
        <v>0</v>
      </c>
      <c r="AB1115" s="22">
        <f t="shared" si="730"/>
        <v>349000</v>
      </c>
      <c r="AC1115" s="22">
        <f t="shared" si="730"/>
        <v>219491.28000000003</v>
      </c>
      <c r="AD1115" s="22">
        <f t="shared" ref="AD1115:AD1183" si="731">AC1115/AB1115*100</f>
        <v>62.891484240687689</v>
      </c>
      <c r="AE1115" s="22">
        <f t="shared" si="701"/>
        <v>26500</v>
      </c>
      <c r="AF1115" s="22">
        <f t="shared" si="730"/>
        <v>375500</v>
      </c>
      <c r="AG1115" s="22">
        <f t="shared" si="730"/>
        <v>402500</v>
      </c>
      <c r="AH1115" s="22">
        <f t="shared" si="730"/>
        <v>402500</v>
      </c>
      <c r="AI1115" s="22">
        <f t="shared" si="730"/>
        <v>402500</v>
      </c>
      <c r="AJ1115" s="162" t="b">
        <f t="shared" si="721"/>
        <v>1</v>
      </c>
      <c r="AK1115" s="162" t="str">
        <f t="shared" si="722"/>
        <v>PRAZNO</v>
      </c>
      <c r="AM1115" s="164"/>
    </row>
    <row r="1116" spans="1:39" ht="15.75" customHeight="1" x14ac:dyDescent="0.2">
      <c r="B1116" s="177"/>
      <c r="C1116" s="177"/>
      <c r="D1116" s="177">
        <v>381</v>
      </c>
      <c r="E1116" s="177"/>
      <c r="F1116" s="177"/>
      <c r="G1116" s="177"/>
      <c r="H1116" s="23" t="s">
        <v>540</v>
      </c>
      <c r="I1116" s="17">
        <f>SUM(I1117:I1123)</f>
        <v>234000</v>
      </c>
      <c r="J1116" s="17">
        <f>SUM(J1117:J1123)</f>
        <v>208462.23</v>
      </c>
      <c r="K1116" s="17">
        <f t="shared" si="726"/>
        <v>89.09</v>
      </c>
      <c r="L1116" s="17">
        <f t="shared" si="728"/>
        <v>-6939.3999999999942</v>
      </c>
      <c r="M1116" s="17">
        <f>SUM(M1117:M1123)</f>
        <v>227060.6</v>
      </c>
      <c r="N1116" s="17">
        <f>SUM(N1117:N1123)</f>
        <v>259000</v>
      </c>
      <c r="O1116" s="17">
        <f>SUM(O1117:O1123)</f>
        <v>259540.62</v>
      </c>
      <c r="P1116" s="26">
        <f t="shared" si="698"/>
        <v>90000</v>
      </c>
      <c r="Q1116" s="17">
        <f t="shared" ref="Q1116:Y1116" si="732">SUM(Q1117:Q1123)</f>
        <v>259000</v>
      </c>
      <c r="R1116" s="17">
        <f t="shared" si="732"/>
        <v>264000</v>
      </c>
      <c r="S1116" s="17">
        <f t="shared" si="732"/>
        <v>269000</v>
      </c>
      <c r="T1116" s="26">
        <f t="shared" si="732"/>
        <v>349000</v>
      </c>
      <c r="U1116" s="26">
        <f>SUM(U1117:U1123)</f>
        <v>339231.93</v>
      </c>
      <c r="V1116" s="17">
        <f t="shared" si="732"/>
        <v>349000</v>
      </c>
      <c r="W1116" s="17">
        <f t="shared" si="732"/>
        <v>349000</v>
      </c>
      <c r="X1116" s="17">
        <f t="shared" si="732"/>
        <v>351700</v>
      </c>
      <c r="Y1116" s="17">
        <f t="shared" si="732"/>
        <v>205524.51</v>
      </c>
      <c r="Z1116" s="17">
        <f t="shared" si="718"/>
        <v>58.89</v>
      </c>
      <c r="AA1116" s="17">
        <f t="shared" si="715"/>
        <v>0</v>
      </c>
      <c r="AB1116" s="17">
        <f>SUM(AB1117:AB1123)</f>
        <v>349000</v>
      </c>
      <c r="AC1116" s="17">
        <f>SUM(AC1117:AC1123)</f>
        <v>219491.28000000003</v>
      </c>
      <c r="AD1116" s="17">
        <f t="shared" si="731"/>
        <v>62.891484240687689</v>
      </c>
      <c r="AE1116" s="17">
        <f t="shared" si="701"/>
        <v>26500</v>
      </c>
      <c r="AF1116" s="17">
        <f>SUM(AF1117:AF1123)</f>
        <v>375500</v>
      </c>
      <c r="AG1116" s="17">
        <f>SUM(AG1117:AG1123)</f>
        <v>402500</v>
      </c>
      <c r="AH1116" s="17">
        <f>SUM(AH1117:AH1123)</f>
        <v>402500</v>
      </c>
      <c r="AI1116" s="17">
        <f>SUM(AI1117:AI1123)</f>
        <v>402500</v>
      </c>
      <c r="AJ1116" s="162" t="b">
        <f t="shared" si="721"/>
        <v>1</v>
      </c>
      <c r="AK1116" s="162" t="str">
        <f t="shared" si="722"/>
        <v>PRAZNO</v>
      </c>
      <c r="AM1116" s="164"/>
    </row>
    <row r="1117" spans="1:39" ht="15.75" customHeight="1" x14ac:dyDescent="0.2">
      <c r="B1117" s="177"/>
      <c r="C1117" s="177"/>
      <c r="D1117" s="177"/>
      <c r="E1117" s="177">
        <v>3811</v>
      </c>
      <c r="F1117" s="265">
        <v>16</v>
      </c>
      <c r="G1117" s="176" t="s">
        <v>424</v>
      </c>
      <c r="H1117" s="23" t="s">
        <v>265</v>
      </c>
      <c r="I1117" s="18"/>
      <c r="J1117" s="18"/>
      <c r="K1117" s="17" t="e">
        <f t="shared" si="726"/>
        <v>#DIV/0!</v>
      </c>
      <c r="L1117" s="18">
        <f t="shared" si="728"/>
        <v>0</v>
      </c>
      <c r="M1117" s="18"/>
      <c r="N1117" s="18">
        <v>5000</v>
      </c>
      <c r="O1117" s="18">
        <v>0</v>
      </c>
      <c r="P1117" s="26">
        <f t="shared" si="698"/>
        <v>0</v>
      </c>
      <c r="Q1117" s="18">
        <v>5000</v>
      </c>
      <c r="R1117" s="18">
        <v>5000</v>
      </c>
      <c r="S1117" s="18">
        <v>5000</v>
      </c>
      <c r="T1117" s="27">
        <v>5000</v>
      </c>
      <c r="U1117" s="27">
        <v>0</v>
      </c>
      <c r="V1117" s="27">
        <v>5000</v>
      </c>
      <c r="W1117" s="27">
        <v>5000</v>
      </c>
      <c r="X1117" s="18">
        <v>5200</v>
      </c>
      <c r="Y1117" s="27">
        <v>0</v>
      </c>
      <c r="Z1117" s="27">
        <f t="shared" si="718"/>
        <v>0</v>
      </c>
      <c r="AA1117" s="27">
        <f t="shared" si="715"/>
        <v>0</v>
      </c>
      <c r="AB1117" s="27">
        <v>5000</v>
      </c>
      <c r="AC1117" s="27">
        <v>0</v>
      </c>
      <c r="AD1117" s="27">
        <f t="shared" si="731"/>
        <v>0</v>
      </c>
      <c r="AE1117" s="27">
        <f t="shared" si="701"/>
        <v>0</v>
      </c>
      <c r="AF1117" s="27">
        <v>5000</v>
      </c>
      <c r="AG1117" s="27">
        <v>5000</v>
      </c>
      <c r="AH1117" s="27">
        <v>5000</v>
      </c>
      <c r="AI1117" s="27">
        <v>5000</v>
      </c>
      <c r="AJ1117" s="162" t="b">
        <f t="shared" si="721"/>
        <v>0</v>
      </c>
      <c r="AK1117" s="162" t="str">
        <f t="shared" si="722"/>
        <v>PUNO</v>
      </c>
      <c r="AM1117" s="164"/>
    </row>
    <row r="1118" spans="1:39" ht="15.75" customHeight="1" x14ac:dyDescent="0.2">
      <c r="B1118" s="177"/>
      <c r="C1118" s="177"/>
      <c r="D1118" s="177"/>
      <c r="E1118" s="177">
        <v>3811</v>
      </c>
      <c r="F1118" s="265">
        <v>16</v>
      </c>
      <c r="G1118" s="176" t="s">
        <v>424</v>
      </c>
      <c r="H1118" s="23" t="s">
        <v>269</v>
      </c>
      <c r="I1118" s="18">
        <v>3000</v>
      </c>
      <c r="J1118" s="18">
        <v>2756.8</v>
      </c>
      <c r="K1118" s="18">
        <f t="shared" si="726"/>
        <v>91.89</v>
      </c>
      <c r="L1118" s="18">
        <f t="shared" si="728"/>
        <v>-243.19999999999982</v>
      </c>
      <c r="M1118" s="18">
        <v>2756.8</v>
      </c>
      <c r="N1118" s="18">
        <v>3000</v>
      </c>
      <c r="O1118" s="18">
        <v>2612.8200000000002</v>
      </c>
      <c r="P1118" s="26">
        <f t="shared" si="698"/>
        <v>0</v>
      </c>
      <c r="Q1118" s="18">
        <v>3000</v>
      </c>
      <c r="R1118" s="18">
        <v>3000</v>
      </c>
      <c r="S1118" s="18">
        <v>3000</v>
      </c>
      <c r="T1118" s="27">
        <v>3000</v>
      </c>
      <c r="U1118" s="27">
        <v>2612.8200000000002</v>
      </c>
      <c r="V1118" s="27">
        <v>3000</v>
      </c>
      <c r="W1118" s="27">
        <v>3000</v>
      </c>
      <c r="X1118" s="18">
        <v>3100</v>
      </c>
      <c r="Y1118" s="27">
        <v>2465.81</v>
      </c>
      <c r="Z1118" s="27">
        <f t="shared" si="718"/>
        <v>82.19</v>
      </c>
      <c r="AA1118" s="27">
        <f t="shared" si="715"/>
        <v>0</v>
      </c>
      <c r="AB1118" s="27">
        <v>3000</v>
      </c>
      <c r="AC1118" s="27">
        <v>2847.06</v>
      </c>
      <c r="AD1118" s="27">
        <f t="shared" si="731"/>
        <v>94.902000000000001</v>
      </c>
      <c r="AE1118" s="27">
        <f t="shared" si="701"/>
        <v>0</v>
      </c>
      <c r="AF1118" s="27">
        <v>3000</v>
      </c>
      <c r="AG1118" s="27">
        <v>3000</v>
      </c>
      <c r="AH1118" s="27">
        <v>3000</v>
      </c>
      <c r="AI1118" s="27">
        <v>3000</v>
      </c>
      <c r="AJ1118" s="162" t="b">
        <f t="shared" si="721"/>
        <v>0</v>
      </c>
      <c r="AK1118" s="162" t="str">
        <f t="shared" si="722"/>
        <v>PUNO</v>
      </c>
      <c r="AM1118" s="164"/>
    </row>
    <row r="1119" spans="1:39" ht="21.75" customHeight="1" x14ac:dyDescent="0.2">
      <c r="B1119" s="177"/>
      <c r="C1119" s="177"/>
      <c r="D1119" s="177"/>
      <c r="E1119" s="177">
        <v>3811</v>
      </c>
      <c r="F1119" s="265">
        <v>16</v>
      </c>
      <c r="G1119" s="176" t="s">
        <v>424</v>
      </c>
      <c r="H1119" s="23" t="s">
        <v>270</v>
      </c>
      <c r="I1119" s="18">
        <v>10000</v>
      </c>
      <c r="J1119" s="18">
        <v>5000</v>
      </c>
      <c r="K1119" s="18">
        <f t="shared" si="726"/>
        <v>50</v>
      </c>
      <c r="L1119" s="18">
        <f t="shared" si="728"/>
        <v>-5000</v>
      </c>
      <c r="M1119" s="18">
        <v>5000</v>
      </c>
      <c r="N1119" s="18">
        <v>10000</v>
      </c>
      <c r="O1119" s="18">
        <v>10000</v>
      </c>
      <c r="P1119" s="26">
        <f t="shared" si="698"/>
        <v>0</v>
      </c>
      <c r="Q1119" s="18">
        <v>10000</v>
      </c>
      <c r="R1119" s="18">
        <v>10000</v>
      </c>
      <c r="S1119" s="18">
        <v>10000</v>
      </c>
      <c r="T1119" s="27">
        <v>10000</v>
      </c>
      <c r="U1119" s="27">
        <v>10000</v>
      </c>
      <c r="V1119" s="27">
        <v>10000</v>
      </c>
      <c r="W1119" s="27">
        <v>10000</v>
      </c>
      <c r="X1119" s="18">
        <v>10300</v>
      </c>
      <c r="Y1119" s="27">
        <v>600</v>
      </c>
      <c r="Z1119" s="27">
        <f t="shared" si="718"/>
        <v>6</v>
      </c>
      <c r="AA1119" s="27">
        <f t="shared" si="715"/>
        <v>0</v>
      </c>
      <c r="AB1119" s="27">
        <v>10000</v>
      </c>
      <c r="AC1119" s="27">
        <v>2287.5</v>
      </c>
      <c r="AD1119" s="27">
        <f t="shared" si="731"/>
        <v>22.875</v>
      </c>
      <c r="AE1119" s="27">
        <f t="shared" si="701"/>
        <v>0</v>
      </c>
      <c r="AF1119" s="27">
        <v>10000</v>
      </c>
      <c r="AG1119" s="27">
        <v>10000</v>
      </c>
      <c r="AH1119" s="27">
        <v>10000</v>
      </c>
      <c r="AI1119" s="27">
        <v>10000</v>
      </c>
      <c r="AJ1119" s="162" t="b">
        <f t="shared" si="721"/>
        <v>0</v>
      </c>
      <c r="AK1119" s="162" t="str">
        <f t="shared" si="722"/>
        <v>PUNO</v>
      </c>
      <c r="AM1119" s="164"/>
    </row>
    <row r="1120" spans="1:39" ht="15.75" customHeight="1" x14ac:dyDescent="0.2">
      <c r="B1120" s="177"/>
      <c r="C1120" s="177"/>
      <c r="D1120" s="177"/>
      <c r="E1120" s="177">
        <v>3811</v>
      </c>
      <c r="F1120" s="265">
        <v>16</v>
      </c>
      <c r="G1120" s="176" t="s">
        <v>424</v>
      </c>
      <c r="H1120" s="23" t="s">
        <v>271</v>
      </c>
      <c r="I1120" s="18">
        <v>30000</v>
      </c>
      <c r="J1120" s="18">
        <v>29708.57</v>
      </c>
      <c r="K1120" s="18">
        <f t="shared" si="726"/>
        <v>99.03</v>
      </c>
      <c r="L1120" s="18">
        <f t="shared" si="728"/>
        <v>0</v>
      </c>
      <c r="M1120" s="18">
        <v>30000</v>
      </c>
      <c r="N1120" s="18">
        <v>30000</v>
      </c>
      <c r="O1120" s="18">
        <v>30000</v>
      </c>
      <c r="P1120" s="26">
        <f t="shared" si="698"/>
        <v>0</v>
      </c>
      <c r="Q1120" s="18">
        <v>30000</v>
      </c>
      <c r="R1120" s="18">
        <v>30000</v>
      </c>
      <c r="S1120" s="18">
        <v>30000</v>
      </c>
      <c r="T1120" s="27">
        <v>30000</v>
      </c>
      <c r="U1120" s="27">
        <v>30000</v>
      </c>
      <c r="V1120" s="27">
        <v>30000</v>
      </c>
      <c r="W1120" s="27">
        <v>30000</v>
      </c>
      <c r="X1120" s="18">
        <v>31000</v>
      </c>
      <c r="Y1120" s="27">
        <v>28998.41</v>
      </c>
      <c r="Z1120" s="27">
        <f t="shared" si="718"/>
        <v>96.66</v>
      </c>
      <c r="AA1120" s="27">
        <f t="shared" si="715"/>
        <v>0</v>
      </c>
      <c r="AB1120" s="27">
        <v>30000</v>
      </c>
      <c r="AC1120" s="27">
        <v>29988.02</v>
      </c>
      <c r="AD1120" s="27">
        <f t="shared" si="731"/>
        <v>99.960066666666663</v>
      </c>
      <c r="AE1120" s="27">
        <f t="shared" si="701"/>
        <v>0</v>
      </c>
      <c r="AF1120" s="27">
        <v>30000</v>
      </c>
      <c r="AG1120" s="27">
        <v>30000</v>
      </c>
      <c r="AH1120" s="27">
        <v>30000</v>
      </c>
      <c r="AI1120" s="27">
        <v>30000</v>
      </c>
      <c r="AJ1120" s="162" t="b">
        <f t="shared" si="721"/>
        <v>0</v>
      </c>
      <c r="AK1120" s="162" t="str">
        <f t="shared" si="722"/>
        <v>PUNO</v>
      </c>
      <c r="AM1120" s="164"/>
    </row>
    <row r="1121" spans="1:39" ht="15.75" x14ac:dyDescent="0.2">
      <c r="B1121" s="177"/>
      <c r="C1121" s="177"/>
      <c r="D1121" s="177"/>
      <c r="E1121" s="177">
        <v>3811</v>
      </c>
      <c r="F1121" s="265">
        <v>16</v>
      </c>
      <c r="G1121" s="176" t="s">
        <v>424</v>
      </c>
      <c r="H1121" s="23" t="s">
        <v>272</v>
      </c>
      <c r="I1121" s="18">
        <v>101000</v>
      </c>
      <c r="J1121" s="18">
        <v>81054.64</v>
      </c>
      <c r="K1121" s="18">
        <f t="shared" si="726"/>
        <v>80.25</v>
      </c>
      <c r="L1121" s="18">
        <f t="shared" si="728"/>
        <v>-8759.36</v>
      </c>
      <c r="M1121" s="18">
        <v>92240.639999999999</v>
      </c>
      <c r="N1121" s="18">
        <v>61000</v>
      </c>
      <c r="O1121" s="18">
        <v>85493.8</v>
      </c>
      <c r="P1121" s="26">
        <f t="shared" si="698"/>
        <v>25000</v>
      </c>
      <c r="Q1121" s="18">
        <v>61000</v>
      </c>
      <c r="R1121" s="18">
        <v>66000</v>
      </c>
      <c r="S1121" s="18">
        <v>71000</v>
      </c>
      <c r="T1121" s="27">
        <v>86000</v>
      </c>
      <c r="U1121" s="27">
        <v>85493.8</v>
      </c>
      <c r="V1121" s="27">
        <v>86000</v>
      </c>
      <c r="W1121" s="27">
        <v>86000</v>
      </c>
      <c r="X1121" s="178">
        <f>63100+20000</f>
        <v>83100</v>
      </c>
      <c r="Y1121" s="27">
        <v>39650</v>
      </c>
      <c r="Z1121" s="27">
        <f t="shared" si="718"/>
        <v>46.1</v>
      </c>
      <c r="AA1121" s="27">
        <f t="shared" si="715"/>
        <v>0</v>
      </c>
      <c r="AB1121" s="27">
        <v>86000</v>
      </c>
      <c r="AC1121" s="27">
        <v>45112.5</v>
      </c>
      <c r="AD1121" s="27">
        <f t="shared" si="731"/>
        <v>52.456395348837212</v>
      </c>
      <c r="AE1121" s="27">
        <f t="shared" si="701"/>
        <v>0</v>
      </c>
      <c r="AF1121" s="27">
        <v>86000</v>
      </c>
      <c r="AG1121" s="27">
        <v>86000</v>
      </c>
      <c r="AH1121" s="27">
        <v>86000</v>
      </c>
      <c r="AI1121" s="27">
        <v>86000</v>
      </c>
      <c r="AJ1121" s="162" t="b">
        <f t="shared" si="721"/>
        <v>0</v>
      </c>
      <c r="AK1121" s="162" t="str">
        <f t="shared" si="722"/>
        <v>PUNO</v>
      </c>
      <c r="AM1121" s="164"/>
    </row>
    <row r="1122" spans="1:39" ht="30" x14ac:dyDescent="0.2">
      <c r="B1122" s="177"/>
      <c r="C1122" s="177"/>
      <c r="D1122" s="177"/>
      <c r="E1122" s="177">
        <v>3811</v>
      </c>
      <c r="F1122" s="265">
        <v>16</v>
      </c>
      <c r="G1122" s="176"/>
      <c r="H1122" s="23" t="s">
        <v>758</v>
      </c>
      <c r="I1122" s="18"/>
      <c r="J1122" s="18"/>
      <c r="K1122" s="18"/>
      <c r="L1122" s="18"/>
      <c r="M1122" s="18">
        <v>0</v>
      </c>
      <c r="N1122" s="18">
        <v>25000</v>
      </c>
      <c r="O1122" s="18">
        <v>6366.61</v>
      </c>
      <c r="P1122" s="26">
        <f t="shared" si="698"/>
        <v>25000</v>
      </c>
      <c r="Q1122" s="18">
        <v>25000</v>
      </c>
      <c r="R1122" s="18">
        <v>25000</v>
      </c>
      <c r="S1122" s="18">
        <v>25000</v>
      </c>
      <c r="T1122" s="27">
        <v>50000</v>
      </c>
      <c r="U1122" s="27">
        <v>49875.31</v>
      </c>
      <c r="V1122" s="27">
        <v>50000</v>
      </c>
      <c r="W1122" s="27">
        <v>50000</v>
      </c>
      <c r="X1122" s="18">
        <v>50000</v>
      </c>
      <c r="Y1122" s="27">
        <v>4700</v>
      </c>
      <c r="Z1122" s="27">
        <f t="shared" si="718"/>
        <v>9.4</v>
      </c>
      <c r="AA1122" s="27">
        <f t="shared" si="715"/>
        <v>0</v>
      </c>
      <c r="AB1122" s="27">
        <v>50000</v>
      </c>
      <c r="AC1122" s="27">
        <v>4700</v>
      </c>
      <c r="AD1122" s="27">
        <f t="shared" si="731"/>
        <v>9.4</v>
      </c>
      <c r="AE1122" s="27">
        <f t="shared" si="701"/>
        <v>0</v>
      </c>
      <c r="AF1122" s="27">
        <v>50000</v>
      </c>
      <c r="AG1122" s="27">
        <v>50000</v>
      </c>
      <c r="AH1122" s="27">
        <v>50000</v>
      </c>
      <c r="AI1122" s="27">
        <v>50000</v>
      </c>
      <c r="AJ1122" s="162" t="b">
        <f t="shared" si="721"/>
        <v>0</v>
      </c>
      <c r="AK1122" s="162" t="str">
        <f t="shared" si="722"/>
        <v>PUNO</v>
      </c>
      <c r="AM1122" s="164"/>
    </row>
    <row r="1123" spans="1:39" ht="30" x14ac:dyDescent="0.2">
      <c r="B1123" s="177"/>
      <c r="C1123" s="177"/>
      <c r="D1123" s="177"/>
      <c r="E1123" s="177">
        <v>3811</v>
      </c>
      <c r="F1123" s="176">
        <v>16</v>
      </c>
      <c r="G1123" s="176" t="s">
        <v>424</v>
      </c>
      <c r="H1123" s="23" t="s">
        <v>273</v>
      </c>
      <c r="I1123" s="18">
        <v>90000</v>
      </c>
      <c r="J1123" s="18">
        <v>89942.22</v>
      </c>
      <c r="K1123" s="18">
        <f t="shared" ref="K1123:K1130" si="733">ROUND(J1123/I1123*100,2)</f>
        <v>99.94</v>
      </c>
      <c r="L1123" s="18">
        <f t="shared" ref="L1123:L1130" si="734">M1123-I1123</f>
        <v>7063.1600000000035</v>
      </c>
      <c r="M1123" s="18">
        <v>97063.16</v>
      </c>
      <c r="N1123" s="18">
        <v>125000</v>
      </c>
      <c r="O1123" s="18">
        <v>125067.39</v>
      </c>
      <c r="P1123" s="26">
        <f t="shared" si="698"/>
        <v>40000</v>
      </c>
      <c r="Q1123" s="18">
        <v>125000</v>
      </c>
      <c r="R1123" s="18">
        <v>125000</v>
      </c>
      <c r="S1123" s="18">
        <v>125000</v>
      </c>
      <c r="T1123" s="27">
        <v>165000</v>
      </c>
      <c r="U1123" s="27">
        <v>161250</v>
      </c>
      <c r="V1123" s="27">
        <v>165000</v>
      </c>
      <c r="W1123" s="27">
        <v>165000</v>
      </c>
      <c r="X1123" s="18">
        <v>169000</v>
      </c>
      <c r="Y1123" s="27">
        <v>129110.29</v>
      </c>
      <c r="Z1123" s="27">
        <f t="shared" si="718"/>
        <v>78.25</v>
      </c>
      <c r="AA1123" s="27">
        <f t="shared" si="715"/>
        <v>0</v>
      </c>
      <c r="AB1123" s="27">
        <v>165000</v>
      </c>
      <c r="AC1123" s="18">
        <v>134556.20000000001</v>
      </c>
      <c r="AD1123" s="18">
        <f t="shared" si="731"/>
        <v>81.549212121212136</v>
      </c>
      <c r="AE1123" s="18">
        <f t="shared" si="701"/>
        <v>26500</v>
      </c>
      <c r="AF1123" s="27">
        <f>165000+26500</f>
        <v>191500</v>
      </c>
      <c r="AG1123" s="27">
        <f>60000+120000+8500+30000</f>
        <v>218500</v>
      </c>
      <c r="AH1123" s="27">
        <f>60000+120000+8500+30000</f>
        <v>218500</v>
      </c>
      <c r="AI1123" s="27">
        <f>60000+120000+8500+30000</f>
        <v>218500</v>
      </c>
      <c r="AJ1123" s="162" t="b">
        <f t="shared" si="721"/>
        <v>0</v>
      </c>
      <c r="AK1123" s="162" t="str">
        <f t="shared" si="722"/>
        <v>PUNO</v>
      </c>
      <c r="AM1123" s="164"/>
    </row>
    <row r="1124" spans="1:39" s="171" customFormat="1" ht="31.5" x14ac:dyDescent="0.2">
      <c r="A1124" s="259"/>
      <c r="B1124" s="168"/>
      <c r="C1124" s="168"/>
      <c r="D1124" s="168"/>
      <c r="E1124" s="168"/>
      <c r="F1124" s="168"/>
      <c r="G1124" s="168"/>
      <c r="H1124" s="31" t="s">
        <v>589</v>
      </c>
      <c r="I1124" s="169" t="e">
        <f>I1126</f>
        <v>#REF!</v>
      </c>
      <c r="J1124" s="169" t="e">
        <f>J1126</f>
        <v>#REF!</v>
      </c>
      <c r="K1124" s="169" t="e">
        <f t="shared" si="733"/>
        <v>#REF!</v>
      </c>
      <c r="L1124" s="169" t="e">
        <f t="shared" si="734"/>
        <v>#REF!</v>
      </c>
      <c r="M1124" s="19" t="e">
        <f>M1126</f>
        <v>#REF!</v>
      </c>
      <c r="N1124" s="19" t="e">
        <f>N1126</f>
        <v>#REF!</v>
      </c>
      <c r="O1124" s="19" t="e">
        <f>O1126</f>
        <v>#REF!</v>
      </c>
      <c r="P1124" s="303" t="e">
        <f t="shared" si="698"/>
        <v>#REF!</v>
      </c>
      <c r="Q1124" s="19" t="e">
        <f t="shared" ref="Q1124:X1124" si="735">Q1126</f>
        <v>#REF!</v>
      </c>
      <c r="R1124" s="19" t="e">
        <f t="shared" si="735"/>
        <v>#REF!</v>
      </c>
      <c r="S1124" s="19" t="e">
        <f t="shared" si="735"/>
        <v>#REF!</v>
      </c>
      <c r="T1124" s="19">
        <f>T1126</f>
        <v>872000</v>
      </c>
      <c r="U1124" s="19">
        <f>U1126</f>
        <v>826209.92</v>
      </c>
      <c r="V1124" s="19">
        <f t="shared" si="735"/>
        <v>872000</v>
      </c>
      <c r="W1124" s="19" t="e">
        <f t="shared" si="735"/>
        <v>#REF!</v>
      </c>
      <c r="X1124" s="19" t="e">
        <f t="shared" si="735"/>
        <v>#REF!</v>
      </c>
      <c r="Y1124" s="19">
        <f>Y1126</f>
        <v>296119.34000000003</v>
      </c>
      <c r="Z1124" s="19">
        <f t="shared" si="718"/>
        <v>33.96</v>
      </c>
      <c r="AA1124" s="19">
        <f t="shared" si="715"/>
        <v>13500</v>
      </c>
      <c r="AB1124" s="19">
        <f>AB1126</f>
        <v>885500</v>
      </c>
      <c r="AC1124" s="19">
        <f>AC1126</f>
        <v>539783.86</v>
      </c>
      <c r="AD1124" s="19">
        <f t="shared" si="731"/>
        <v>60.95808695652174</v>
      </c>
      <c r="AE1124" s="19">
        <f t="shared" si="701"/>
        <v>-26500</v>
      </c>
      <c r="AF1124" s="19">
        <f>AF1126</f>
        <v>859000</v>
      </c>
      <c r="AG1124" s="19">
        <f>AG1126</f>
        <v>885500</v>
      </c>
      <c r="AH1124" s="19">
        <f>AH1126</f>
        <v>885500</v>
      </c>
      <c r="AI1124" s="19">
        <f>AI1126</f>
        <v>885500</v>
      </c>
      <c r="AJ1124" s="162" t="b">
        <f t="shared" si="721"/>
        <v>1</v>
      </c>
      <c r="AK1124" s="162" t="str">
        <f t="shared" si="722"/>
        <v>PRAZNO</v>
      </c>
      <c r="AL1124" s="170"/>
      <c r="AM1124" s="164"/>
    </row>
    <row r="1125" spans="1:39" s="264" customFormat="1" ht="15.75" x14ac:dyDescent="0.2">
      <c r="A1125" s="259"/>
      <c r="B1125" s="260"/>
      <c r="C1125" s="260"/>
      <c r="D1125" s="260"/>
      <c r="E1125" s="260"/>
      <c r="F1125" s="260"/>
      <c r="G1125" s="260"/>
      <c r="H1125" s="471" t="s">
        <v>824</v>
      </c>
      <c r="I1125" s="181"/>
      <c r="J1125" s="181"/>
      <c r="K1125" s="181"/>
      <c r="L1125" s="181"/>
      <c r="M1125" s="262"/>
      <c r="N1125" s="262"/>
      <c r="O1125" s="262"/>
      <c r="P1125" s="445"/>
      <c r="Q1125" s="262"/>
      <c r="R1125" s="262"/>
      <c r="S1125" s="262"/>
      <c r="T1125" s="262">
        <f t="shared" ref="T1125:Y1125" si="736">T1126</f>
        <v>872000</v>
      </c>
      <c r="U1125" s="262">
        <f t="shared" si="736"/>
        <v>826209.92</v>
      </c>
      <c r="V1125" s="262">
        <f t="shared" si="736"/>
        <v>872000</v>
      </c>
      <c r="W1125" s="262" t="e">
        <f t="shared" si="736"/>
        <v>#REF!</v>
      </c>
      <c r="X1125" s="262" t="e">
        <f t="shared" si="736"/>
        <v>#REF!</v>
      </c>
      <c r="Y1125" s="262">
        <f t="shared" si="736"/>
        <v>296119.34000000003</v>
      </c>
      <c r="Z1125" s="262">
        <f t="shared" si="718"/>
        <v>33.96</v>
      </c>
      <c r="AA1125" s="262">
        <f t="shared" si="715"/>
        <v>13500</v>
      </c>
      <c r="AB1125" s="262">
        <f>AB1126</f>
        <v>885500</v>
      </c>
      <c r="AC1125" s="262">
        <f>AC1126</f>
        <v>539783.86</v>
      </c>
      <c r="AD1125" s="262">
        <f t="shared" si="731"/>
        <v>60.95808695652174</v>
      </c>
      <c r="AE1125" s="262">
        <f t="shared" si="701"/>
        <v>-26500</v>
      </c>
      <c r="AF1125" s="262">
        <f>AF1126</f>
        <v>859000</v>
      </c>
      <c r="AG1125" s="262">
        <f>AG1126</f>
        <v>885500</v>
      </c>
      <c r="AH1125" s="262">
        <f>AH1126</f>
        <v>885500</v>
      </c>
      <c r="AI1125" s="262">
        <f>AI1126</f>
        <v>885500</v>
      </c>
      <c r="AJ1125" s="162" t="b">
        <f t="shared" si="721"/>
        <v>1</v>
      </c>
      <c r="AK1125" s="162" t="str">
        <f t="shared" si="722"/>
        <v>PRAZNO</v>
      </c>
      <c r="AL1125" s="263"/>
    </row>
    <row r="1126" spans="1:39" s="174" customFormat="1" ht="15.75" x14ac:dyDescent="0.2">
      <c r="A1126" s="259"/>
      <c r="B1126" s="172">
        <v>3</v>
      </c>
      <c r="C1126" s="172"/>
      <c r="D1126" s="172"/>
      <c r="E1126" s="172"/>
      <c r="F1126" s="172"/>
      <c r="G1126" s="172"/>
      <c r="H1126" s="14" t="s">
        <v>524</v>
      </c>
      <c r="I1126" s="20" t="e">
        <f t="shared" ref="I1126:AI1126" si="737">I1127</f>
        <v>#REF!</v>
      </c>
      <c r="J1126" s="20" t="e">
        <f t="shared" si="737"/>
        <v>#REF!</v>
      </c>
      <c r="K1126" s="20" t="e">
        <f t="shared" si="733"/>
        <v>#REF!</v>
      </c>
      <c r="L1126" s="20" t="e">
        <f t="shared" si="734"/>
        <v>#REF!</v>
      </c>
      <c r="M1126" s="20" t="e">
        <f t="shared" si="737"/>
        <v>#REF!</v>
      </c>
      <c r="N1126" s="20" t="e">
        <f t="shared" si="737"/>
        <v>#REF!</v>
      </c>
      <c r="O1126" s="20" t="e">
        <f t="shared" si="737"/>
        <v>#REF!</v>
      </c>
      <c r="P1126" s="55" t="e">
        <f t="shared" si="698"/>
        <v>#REF!</v>
      </c>
      <c r="Q1126" s="20" t="e">
        <f t="shared" si="737"/>
        <v>#REF!</v>
      </c>
      <c r="R1126" s="20" t="e">
        <f t="shared" si="737"/>
        <v>#REF!</v>
      </c>
      <c r="S1126" s="20" t="e">
        <f t="shared" si="737"/>
        <v>#REF!</v>
      </c>
      <c r="T1126" s="20">
        <f t="shared" si="737"/>
        <v>872000</v>
      </c>
      <c r="U1126" s="20">
        <f t="shared" si="737"/>
        <v>826209.92</v>
      </c>
      <c r="V1126" s="20">
        <f t="shared" si="737"/>
        <v>872000</v>
      </c>
      <c r="W1126" s="20" t="e">
        <f t="shared" si="737"/>
        <v>#REF!</v>
      </c>
      <c r="X1126" s="20" t="e">
        <f t="shared" si="737"/>
        <v>#REF!</v>
      </c>
      <c r="Y1126" s="20">
        <f t="shared" si="737"/>
        <v>296119.34000000003</v>
      </c>
      <c r="Z1126" s="20">
        <f t="shared" si="718"/>
        <v>33.96</v>
      </c>
      <c r="AA1126" s="20">
        <f t="shared" si="715"/>
        <v>13500</v>
      </c>
      <c r="AB1126" s="20">
        <f t="shared" si="737"/>
        <v>885500</v>
      </c>
      <c r="AC1126" s="20">
        <f t="shared" si="737"/>
        <v>539783.86</v>
      </c>
      <c r="AD1126" s="20">
        <f t="shared" si="731"/>
        <v>60.95808695652174</v>
      </c>
      <c r="AE1126" s="20">
        <f t="shared" si="701"/>
        <v>-26500</v>
      </c>
      <c r="AF1126" s="20">
        <f t="shared" si="737"/>
        <v>859000</v>
      </c>
      <c r="AG1126" s="20">
        <f t="shared" si="737"/>
        <v>885500</v>
      </c>
      <c r="AH1126" s="20">
        <f t="shared" si="737"/>
        <v>885500</v>
      </c>
      <c r="AI1126" s="20">
        <f t="shared" si="737"/>
        <v>885500</v>
      </c>
      <c r="AJ1126" s="162" t="b">
        <f t="shared" si="721"/>
        <v>1</v>
      </c>
      <c r="AK1126" s="162" t="str">
        <f t="shared" si="722"/>
        <v>PRAZNO</v>
      </c>
      <c r="AL1126" s="173"/>
      <c r="AM1126" s="164"/>
    </row>
    <row r="1127" spans="1:39" ht="15.75" x14ac:dyDescent="0.2">
      <c r="B1127" s="175"/>
      <c r="C1127" s="175">
        <v>38</v>
      </c>
      <c r="D1127" s="175"/>
      <c r="E1127" s="175"/>
      <c r="F1127" s="175"/>
      <c r="G1127" s="175"/>
      <c r="H1127" s="15" t="s">
        <v>539</v>
      </c>
      <c r="I1127" s="22" t="e">
        <f>I1128+#REF!</f>
        <v>#REF!</v>
      </c>
      <c r="J1127" s="22" t="e">
        <f>J1128+#REF!</f>
        <v>#REF!</v>
      </c>
      <c r="K1127" s="22" t="e">
        <f t="shared" si="733"/>
        <v>#REF!</v>
      </c>
      <c r="L1127" s="22" t="e">
        <f t="shared" si="734"/>
        <v>#REF!</v>
      </c>
      <c r="M1127" s="22" t="e">
        <f>M1128+#REF!</f>
        <v>#REF!</v>
      </c>
      <c r="N1127" s="22" t="e">
        <f>N1128+#REF!</f>
        <v>#REF!</v>
      </c>
      <c r="O1127" s="22" t="e">
        <f>O1128+#REF!</f>
        <v>#REF!</v>
      </c>
      <c r="P1127" s="26" t="e">
        <f t="shared" si="698"/>
        <v>#REF!</v>
      </c>
      <c r="Q1127" s="22" t="e">
        <f>Q1128+#REF!</f>
        <v>#REF!</v>
      </c>
      <c r="R1127" s="22" t="e">
        <f>R1128+#REF!</f>
        <v>#REF!</v>
      </c>
      <c r="S1127" s="22" t="e">
        <f>S1128+#REF!</f>
        <v>#REF!</v>
      </c>
      <c r="T1127" s="22">
        <f>T1128</f>
        <v>872000</v>
      </c>
      <c r="U1127" s="22">
        <f>U1128</f>
        <v>826209.92</v>
      </c>
      <c r="V1127" s="22">
        <f>V1128</f>
        <v>872000</v>
      </c>
      <c r="W1127" s="22" t="e">
        <f>W1128+#REF!</f>
        <v>#REF!</v>
      </c>
      <c r="X1127" s="22" t="e">
        <f>X1128+#REF!</f>
        <v>#REF!</v>
      </c>
      <c r="Y1127" s="22">
        <f>Y1128</f>
        <v>296119.34000000003</v>
      </c>
      <c r="Z1127" s="22">
        <f t="shared" si="718"/>
        <v>33.96</v>
      </c>
      <c r="AA1127" s="22">
        <f t="shared" si="715"/>
        <v>13500</v>
      </c>
      <c r="AB1127" s="22">
        <f>AB1128</f>
        <v>885500</v>
      </c>
      <c r="AC1127" s="22">
        <f>AC1128</f>
        <v>539783.86</v>
      </c>
      <c r="AD1127" s="22">
        <f t="shared" si="731"/>
        <v>60.95808695652174</v>
      </c>
      <c r="AE1127" s="22">
        <f t="shared" si="701"/>
        <v>-26500</v>
      </c>
      <c r="AF1127" s="22">
        <f>AF1128</f>
        <v>859000</v>
      </c>
      <c r="AG1127" s="22">
        <f>AG1128</f>
        <v>885500</v>
      </c>
      <c r="AH1127" s="22">
        <f>AH1128</f>
        <v>885500</v>
      </c>
      <c r="AI1127" s="22">
        <f>AI1128</f>
        <v>885500</v>
      </c>
      <c r="AJ1127" s="162" t="b">
        <f t="shared" si="721"/>
        <v>1</v>
      </c>
      <c r="AK1127" s="162" t="str">
        <f t="shared" si="722"/>
        <v>PRAZNO</v>
      </c>
      <c r="AM1127" s="164"/>
    </row>
    <row r="1128" spans="1:39" ht="15.75" x14ac:dyDescent="0.2">
      <c r="B1128" s="177"/>
      <c r="C1128" s="177"/>
      <c r="D1128" s="177">
        <v>381</v>
      </c>
      <c r="E1128" s="177"/>
      <c r="F1128" s="177"/>
      <c r="G1128" s="177"/>
      <c r="H1128" s="23" t="s">
        <v>540</v>
      </c>
      <c r="I1128" s="17" t="e">
        <f>I1130+#REF!+I1129</f>
        <v>#REF!</v>
      </c>
      <c r="J1128" s="17" t="e">
        <f>J1130+#REF!+J1129</f>
        <v>#REF!</v>
      </c>
      <c r="K1128" s="17" t="e">
        <f t="shared" si="733"/>
        <v>#REF!</v>
      </c>
      <c r="L1128" s="17" t="e">
        <f t="shared" si="734"/>
        <v>#REF!</v>
      </c>
      <c r="M1128" s="17" t="e">
        <f>M1130+#REF!+M1129</f>
        <v>#REF!</v>
      </c>
      <c r="N1128" s="17" t="e">
        <f>N1130+#REF!+N1129</f>
        <v>#REF!</v>
      </c>
      <c r="O1128" s="17" t="e">
        <f>O1130+#REF!+O1129</f>
        <v>#REF!</v>
      </c>
      <c r="P1128" s="26" t="e">
        <f t="shared" si="698"/>
        <v>#REF!</v>
      </c>
      <c r="Q1128" s="17" t="e">
        <f>Q1130+#REF!+Q1129</f>
        <v>#REF!</v>
      </c>
      <c r="R1128" s="17" t="e">
        <f>R1130+#REF!+R1129</f>
        <v>#REF!</v>
      </c>
      <c r="S1128" s="17" t="e">
        <f>S1130+#REF!+S1129</f>
        <v>#REF!</v>
      </c>
      <c r="T1128" s="17">
        <f>T1130+T1129</f>
        <v>872000</v>
      </c>
      <c r="U1128" s="17">
        <f>U1130+U1129</f>
        <v>826209.92</v>
      </c>
      <c r="V1128" s="17">
        <f>V1130+V1129</f>
        <v>872000</v>
      </c>
      <c r="W1128" s="17" t="e">
        <f>W1130+#REF!+W1129</f>
        <v>#REF!</v>
      </c>
      <c r="X1128" s="17" t="e">
        <f>X1130+#REF!+X1129</f>
        <v>#REF!</v>
      </c>
      <c r="Y1128" s="17">
        <f>Y1130+Y1129</f>
        <v>296119.34000000003</v>
      </c>
      <c r="Z1128" s="17">
        <f t="shared" si="718"/>
        <v>33.96</v>
      </c>
      <c r="AA1128" s="17">
        <f t="shared" si="715"/>
        <v>13500</v>
      </c>
      <c r="AB1128" s="17">
        <f>AB1130+AB1129</f>
        <v>885500</v>
      </c>
      <c r="AC1128" s="17">
        <f>AC1130+AC1129</f>
        <v>539783.86</v>
      </c>
      <c r="AD1128" s="17">
        <f t="shared" si="731"/>
        <v>60.95808695652174</v>
      </c>
      <c r="AE1128" s="26">
        <f t="shared" ref="AE1128:AE1196" si="738">AF1128-AB1128</f>
        <v>-26500</v>
      </c>
      <c r="AF1128" s="17">
        <f>AF1130+AF1129</f>
        <v>859000</v>
      </c>
      <c r="AG1128" s="17">
        <f>AG1130+AG1129</f>
        <v>885500</v>
      </c>
      <c r="AH1128" s="17">
        <f>AH1130+AH1129</f>
        <v>885500</v>
      </c>
      <c r="AI1128" s="17">
        <f>AI1130+AI1129</f>
        <v>885500</v>
      </c>
      <c r="AJ1128" s="162" t="b">
        <f t="shared" si="721"/>
        <v>1</v>
      </c>
      <c r="AK1128" s="162" t="str">
        <f t="shared" si="722"/>
        <v>PRAZNO</v>
      </c>
      <c r="AM1128" s="164"/>
    </row>
    <row r="1129" spans="1:39" ht="30" x14ac:dyDescent="0.2">
      <c r="B1129" s="177"/>
      <c r="C1129" s="177"/>
      <c r="D1129" s="177"/>
      <c r="E1129" s="177">
        <v>3811</v>
      </c>
      <c r="F1129" s="177">
        <v>11</v>
      </c>
      <c r="G1129" s="177"/>
      <c r="H1129" s="23" t="s">
        <v>274</v>
      </c>
      <c r="I1129" s="17">
        <v>467000</v>
      </c>
      <c r="J1129" s="17">
        <v>276122.52</v>
      </c>
      <c r="K1129" s="17">
        <f t="shared" si="733"/>
        <v>59.13</v>
      </c>
      <c r="L1129" s="17">
        <f t="shared" si="734"/>
        <v>-27642.469999999972</v>
      </c>
      <c r="M1129" s="17">
        <v>439357.53</v>
      </c>
      <c r="N1129" s="17">
        <v>115000</v>
      </c>
      <c r="O1129" s="17">
        <v>69931.19</v>
      </c>
      <c r="P1129" s="26">
        <f t="shared" si="698"/>
        <v>49000</v>
      </c>
      <c r="Q1129" s="17">
        <v>115000</v>
      </c>
      <c r="R1129" s="17"/>
      <c r="S1129" s="17"/>
      <c r="T1129" s="26">
        <f>144000+20000</f>
        <v>164000</v>
      </c>
      <c r="U1129" s="26">
        <v>155341.67000000001</v>
      </c>
      <c r="V1129" s="26">
        <v>165000</v>
      </c>
      <c r="W1129" s="26">
        <v>165000</v>
      </c>
      <c r="X1129" s="17">
        <v>169000</v>
      </c>
      <c r="Y1129" s="26">
        <v>40836.43</v>
      </c>
      <c r="Z1129" s="26">
        <f t="shared" si="718"/>
        <v>24.75</v>
      </c>
      <c r="AA1129" s="26">
        <f t="shared" si="715"/>
        <v>-62500</v>
      </c>
      <c r="AB1129" s="26">
        <v>102500</v>
      </c>
      <c r="AC1129" s="26">
        <v>40836.43</v>
      </c>
      <c r="AD1129" s="26">
        <f t="shared" si="731"/>
        <v>39.840419512195126</v>
      </c>
      <c r="AE1129" s="26">
        <f t="shared" si="738"/>
        <v>-3500</v>
      </c>
      <c r="AF1129" s="26">
        <f>102500-3500</f>
        <v>99000</v>
      </c>
      <c r="AG1129" s="26">
        <v>102500</v>
      </c>
      <c r="AH1129" s="26">
        <v>102500</v>
      </c>
      <c r="AI1129" s="26">
        <v>102500</v>
      </c>
      <c r="AJ1129" s="162" t="b">
        <f t="shared" si="721"/>
        <v>0</v>
      </c>
      <c r="AK1129" s="162" t="str">
        <f t="shared" si="722"/>
        <v>PUNO</v>
      </c>
      <c r="AM1129" s="164"/>
    </row>
    <row r="1130" spans="1:39" ht="30" x14ac:dyDescent="0.2">
      <c r="B1130" s="177"/>
      <c r="C1130" s="177"/>
      <c r="D1130" s="177"/>
      <c r="E1130" s="177">
        <v>3811</v>
      </c>
      <c r="F1130" s="265">
        <v>16</v>
      </c>
      <c r="G1130" s="176" t="s">
        <v>424</v>
      </c>
      <c r="H1130" s="16" t="s">
        <v>277</v>
      </c>
      <c r="I1130" s="18">
        <v>434000</v>
      </c>
      <c r="J1130" s="18">
        <v>267583.09999999998</v>
      </c>
      <c r="K1130" s="18">
        <f t="shared" si="733"/>
        <v>61.66</v>
      </c>
      <c r="L1130" s="18">
        <f t="shared" si="734"/>
        <v>-43276.729999999981</v>
      </c>
      <c r="M1130" s="18">
        <v>390723.27</v>
      </c>
      <c r="N1130" s="18">
        <f>872000-115000</f>
        <v>757000</v>
      </c>
      <c r="O1130" s="18">
        <v>410037.47</v>
      </c>
      <c r="P1130" s="26">
        <f t="shared" si="698"/>
        <v>-49000</v>
      </c>
      <c r="Q1130" s="18">
        <f>872000-115000</f>
        <v>757000</v>
      </c>
      <c r="R1130" s="18">
        <v>877000</v>
      </c>
      <c r="S1130" s="18">
        <v>885000</v>
      </c>
      <c r="T1130" s="27">
        <f>728000-20000</f>
        <v>708000</v>
      </c>
      <c r="U1130" s="27">
        <v>670868.25</v>
      </c>
      <c r="V1130" s="27">
        <v>707000</v>
      </c>
      <c r="W1130" s="27">
        <v>707000</v>
      </c>
      <c r="X1130" s="18">
        <v>734000</v>
      </c>
      <c r="Y1130" s="27">
        <v>255282.91</v>
      </c>
      <c r="Z1130" s="27">
        <f t="shared" si="718"/>
        <v>36.11</v>
      </c>
      <c r="AA1130" s="27">
        <f t="shared" si="715"/>
        <v>76000</v>
      </c>
      <c r="AB1130" s="27">
        <v>783000</v>
      </c>
      <c r="AC1130" s="27">
        <v>498947.43</v>
      </c>
      <c r="AD1130" s="27">
        <f t="shared" si="731"/>
        <v>63.722532567049804</v>
      </c>
      <c r="AE1130" s="27">
        <f t="shared" si="738"/>
        <v>-23000</v>
      </c>
      <c r="AF1130" s="27">
        <f>783000-23000</f>
        <v>760000</v>
      </c>
      <c r="AG1130" s="27">
        <v>783000</v>
      </c>
      <c r="AH1130" s="27">
        <v>783000</v>
      </c>
      <c r="AI1130" s="27">
        <v>783000</v>
      </c>
      <c r="AJ1130" s="162" t="b">
        <f t="shared" si="721"/>
        <v>0</v>
      </c>
      <c r="AK1130" s="162" t="str">
        <f t="shared" si="722"/>
        <v>PUNO</v>
      </c>
      <c r="AM1130" s="164"/>
    </row>
    <row r="1131" spans="1:39" s="164" customFormat="1" ht="31.5" x14ac:dyDescent="0.2">
      <c r="A1131" s="259"/>
      <c r="B1131" s="194"/>
      <c r="C1131" s="194"/>
      <c r="D1131" s="194"/>
      <c r="E1131" s="194"/>
      <c r="F1131" s="194"/>
      <c r="G1131" s="194"/>
      <c r="H1131" s="32" t="s">
        <v>761</v>
      </c>
      <c r="I1131" s="330" t="e">
        <f t="shared" ref="I1131:O1131" si="739">I1132+I1183+I1234</f>
        <v>#REF!</v>
      </c>
      <c r="J1131" s="330" t="e">
        <f t="shared" si="739"/>
        <v>#REF!</v>
      </c>
      <c r="K1131" s="330" t="e">
        <f t="shared" si="739"/>
        <v>#REF!</v>
      </c>
      <c r="L1131" s="330" t="e">
        <f t="shared" si="739"/>
        <v>#REF!</v>
      </c>
      <c r="M1131" s="330" t="e">
        <f t="shared" si="739"/>
        <v>#REF!</v>
      </c>
      <c r="N1131" s="330" t="e">
        <f t="shared" si="739"/>
        <v>#REF!</v>
      </c>
      <c r="O1131" s="330" t="e">
        <f t="shared" si="739"/>
        <v>#REF!</v>
      </c>
      <c r="P1131" s="351" t="e">
        <f t="shared" si="698"/>
        <v>#REF!</v>
      </c>
      <c r="Q1131" s="195">
        <f>Q1228+Q1183+Q1132</f>
        <v>3010000</v>
      </c>
      <c r="R1131" s="195" t="e">
        <f>R1228+R1183+R1132</f>
        <v>#REF!</v>
      </c>
      <c r="S1131" s="195" t="e">
        <f>S1228+S1183+S1132</f>
        <v>#REF!</v>
      </c>
      <c r="T1131" s="197">
        <f t="shared" ref="T1131:Y1131" si="740">T1132+T1183+T1234</f>
        <v>3874000</v>
      </c>
      <c r="U1131" s="197">
        <f t="shared" si="740"/>
        <v>4537126.49</v>
      </c>
      <c r="V1131" s="197">
        <f t="shared" si="740"/>
        <v>4913400</v>
      </c>
      <c r="W1131" s="197">
        <f t="shared" si="740"/>
        <v>4905400</v>
      </c>
      <c r="X1131" s="197">
        <f t="shared" si="740"/>
        <v>5039905</v>
      </c>
      <c r="Y1131" s="197">
        <f t="shared" si="740"/>
        <v>1634419.71</v>
      </c>
      <c r="Z1131" s="197">
        <f t="shared" si="718"/>
        <v>33.26</v>
      </c>
      <c r="AA1131" s="197">
        <f t="shared" si="715"/>
        <v>-36000</v>
      </c>
      <c r="AB1131" s="197">
        <f>AB1132+AB1183+AB1234</f>
        <v>4877400</v>
      </c>
      <c r="AC1131" s="197">
        <f>AC1132+AC1183+AC1234</f>
        <v>3244900.9299999992</v>
      </c>
      <c r="AD1131" s="197">
        <f t="shared" si="731"/>
        <v>66.529317464222729</v>
      </c>
      <c r="AE1131" s="197">
        <f t="shared" si="738"/>
        <v>66712.719999999739</v>
      </c>
      <c r="AF1131" s="197">
        <f>AF1132+AF1183+AF1234</f>
        <v>4944112.72</v>
      </c>
      <c r="AG1131" s="197">
        <f>AG1132+AG1183+AG1234</f>
        <v>6609600</v>
      </c>
      <c r="AH1131" s="197">
        <f>AH1132+AH1183+AH1234</f>
        <v>6332500</v>
      </c>
      <c r="AI1131" s="197">
        <f>AI1132+AI1183+AI1234</f>
        <v>5514730</v>
      </c>
      <c r="AJ1131" s="162" t="b">
        <f t="shared" si="721"/>
        <v>1</v>
      </c>
      <c r="AK1131" s="162" t="str">
        <f t="shared" si="722"/>
        <v>PRAZNO</v>
      </c>
      <c r="AL1131" s="163"/>
    </row>
    <row r="1132" spans="1:39" s="164" customFormat="1" ht="31.5" customHeight="1" x14ac:dyDescent="0.2">
      <c r="A1132" s="259"/>
      <c r="B1132" s="194"/>
      <c r="C1132" s="194"/>
      <c r="D1132" s="194"/>
      <c r="E1132" s="194"/>
      <c r="F1132" s="194"/>
      <c r="G1132" s="194"/>
      <c r="H1132" s="21" t="s">
        <v>847</v>
      </c>
      <c r="I1132" s="330" t="e">
        <f t="shared" ref="I1132:O1132" si="741">I1134</f>
        <v>#REF!</v>
      </c>
      <c r="J1132" s="330" t="e">
        <f t="shared" si="741"/>
        <v>#REF!</v>
      </c>
      <c r="K1132" s="330" t="e">
        <f t="shared" si="741"/>
        <v>#REF!</v>
      </c>
      <c r="L1132" s="330" t="e">
        <f t="shared" si="741"/>
        <v>#REF!</v>
      </c>
      <c r="M1132" s="330">
        <f t="shared" si="741"/>
        <v>1437619.97</v>
      </c>
      <c r="N1132" s="330">
        <f t="shared" si="741"/>
        <v>1552000</v>
      </c>
      <c r="O1132" s="330">
        <f t="shared" si="741"/>
        <v>810213.65</v>
      </c>
      <c r="P1132" s="351">
        <f t="shared" si="698"/>
        <v>9000</v>
      </c>
      <c r="Q1132" s="195">
        <f t="shared" ref="Q1132:X1132" si="742">Q1134</f>
        <v>1552000</v>
      </c>
      <c r="R1132" s="195" t="e">
        <f t="shared" si="742"/>
        <v>#REF!</v>
      </c>
      <c r="S1132" s="195" t="e">
        <f t="shared" si="742"/>
        <v>#REF!</v>
      </c>
      <c r="T1132" s="197">
        <f t="shared" si="742"/>
        <v>1561000</v>
      </c>
      <c r="U1132" s="197">
        <f>U1134</f>
        <v>2427086.5000000005</v>
      </c>
      <c r="V1132" s="195">
        <f t="shared" si="742"/>
        <v>2664000</v>
      </c>
      <c r="W1132" s="195">
        <f t="shared" si="742"/>
        <v>2656000</v>
      </c>
      <c r="X1132" s="195">
        <f t="shared" si="742"/>
        <v>2708000</v>
      </c>
      <c r="Y1132" s="195">
        <f>Y1134</f>
        <v>832062.71</v>
      </c>
      <c r="Z1132" s="195">
        <f t="shared" si="718"/>
        <v>31.23</v>
      </c>
      <c r="AA1132" s="195">
        <f t="shared" si="715"/>
        <v>-116000</v>
      </c>
      <c r="AB1132" s="195">
        <f>AB1134</f>
        <v>2548000</v>
      </c>
      <c r="AC1132" s="195">
        <f>AC1134</f>
        <v>1779850.8099999998</v>
      </c>
      <c r="AD1132" s="195">
        <f t="shared" si="731"/>
        <v>69.852857535321817</v>
      </c>
      <c r="AE1132" s="195">
        <f t="shared" si="738"/>
        <v>56712.719999999739</v>
      </c>
      <c r="AF1132" s="195">
        <f>AF1134</f>
        <v>2604712.7199999997</v>
      </c>
      <c r="AG1132" s="195">
        <f>AG1134</f>
        <v>3963500</v>
      </c>
      <c r="AH1132" s="195">
        <f>AH1134</f>
        <v>3881500</v>
      </c>
      <c r="AI1132" s="195">
        <f>AI1134</f>
        <v>3150000</v>
      </c>
      <c r="AJ1132" s="162" t="b">
        <f t="shared" si="721"/>
        <v>1</v>
      </c>
      <c r="AK1132" s="162" t="str">
        <f t="shared" si="722"/>
        <v>PRAZNO</v>
      </c>
      <c r="AL1132" s="165"/>
    </row>
    <row r="1133" spans="1:39" s="164" customFormat="1" ht="15.75" x14ac:dyDescent="0.2">
      <c r="A1133" s="259"/>
      <c r="B1133" s="194"/>
      <c r="C1133" s="194"/>
      <c r="D1133" s="194"/>
      <c r="E1133" s="194"/>
      <c r="F1133" s="194"/>
      <c r="G1133" s="194"/>
      <c r="H1133" s="11" t="s">
        <v>765</v>
      </c>
      <c r="I1133" s="196"/>
      <c r="J1133" s="196"/>
      <c r="K1133" s="196" t="e">
        <f t="shared" ref="K1133:K1196" si="743">ROUND(J1133/I1133*100,2)</f>
        <v>#DIV/0!</v>
      </c>
      <c r="L1133" s="196"/>
      <c r="M1133" s="195"/>
      <c r="N1133" s="195"/>
      <c r="O1133" s="195"/>
      <c r="P1133" s="353"/>
      <c r="Q1133" s="195"/>
      <c r="R1133" s="195"/>
      <c r="S1133" s="195"/>
      <c r="T1133" s="197"/>
      <c r="U1133" s="197"/>
      <c r="V1133" s="195"/>
      <c r="W1133" s="195"/>
      <c r="X1133" s="195"/>
      <c r="Y1133" s="195"/>
      <c r="Z1133" s="195"/>
      <c r="AA1133" s="195"/>
      <c r="AB1133" s="195"/>
      <c r="AC1133" s="195"/>
      <c r="AD1133" s="195"/>
      <c r="AE1133" s="195"/>
      <c r="AF1133" s="195"/>
      <c r="AG1133" s="195"/>
      <c r="AH1133" s="195"/>
      <c r="AI1133" s="195"/>
      <c r="AJ1133" s="162" t="b">
        <f t="shared" si="721"/>
        <v>1</v>
      </c>
      <c r="AK1133" s="162" t="str">
        <f t="shared" si="722"/>
        <v>PRAZNO</v>
      </c>
      <c r="AL1133" s="165"/>
    </row>
    <row r="1134" spans="1:39" s="171" customFormat="1" ht="15.75" x14ac:dyDescent="0.2">
      <c r="A1134" s="259"/>
      <c r="B1134" s="270"/>
      <c r="C1134" s="270"/>
      <c r="D1134" s="270"/>
      <c r="E1134" s="270"/>
      <c r="F1134" s="270"/>
      <c r="G1134" s="270"/>
      <c r="H1134" s="271" t="s">
        <v>719</v>
      </c>
      <c r="I1134" s="273" t="e">
        <f>I1135+I1174+#REF!+I1167</f>
        <v>#REF!</v>
      </c>
      <c r="J1134" s="273" t="e">
        <f>J1135+J1174+#REF!+J1167</f>
        <v>#REF!</v>
      </c>
      <c r="K1134" s="273" t="e">
        <f t="shared" si="743"/>
        <v>#REF!</v>
      </c>
      <c r="L1134" s="273" t="e">
        <f t="shared" ref="L1134:L1204" si="744">M1134-I1134</f>
        <v>#REF!</v>
      </c>
      <c r="M1134" s="272">
        <f>M1135+M1174+M1167</f>
        <v>1437619.97</v>
      </c>
      <c r="N1134" s="272">
        <f>N1135+N1174+N1167</f>
        <v>1552000</v>
      </c>
      <c r="O1134" s="272">
        <f>O1135+O1174+O1167</f>
        <v>810213.65</v>
      </c>
      <c r="P1134" s="336">
        <f t="shared" si="698"/>
        <v>9000</v>
      </c>
      <c r="Q1134" s="272">
        <f>Q1135+Q1174+Q1167</f>
        <v>1552000</v>
      </c>
      <c r="R1134" s="272" t="e">
        <f>R1135+R1174+#REF!+R1167</f>
        <v>#REF!</v>
      </c>
      <c r="S1134" s="272" t="e">
        <f>S1135+S1174+#REF!+S1167</f>
        <v>#REF!</v>
      </c>
      <c r="T1134" s="275">
        <f t="shared" ref="T1134:AA1134" si="745">T1135+T1174+T1167</f>
        <v>1561000</v>
      </c>
      <c r="U1134" s="272">
        <f t="shared" si="745"/>
        <v>2427086.5000000005</v>
      </c>
      <c r="V1134" s="272">
        <f t="shared" si="745"/>
        <v>2664000</v>
      </c>
      <c r="W1134" s="272">
        <f t="shared" si="745"/>
        <v>2656000</v>
      </c>
      <c r="X1134" s="272">
        <f t="shared" si="745"/>
        <v>2708000</v>
      </c>
      <c r="Y1134" s="272">
        <f t="shared" si="745"/>
        <v>832062.71</v>
      </c>
      <c r="Z1134" s="272">
        <f t="shared" si="745"/>
        <v>71.33</v>
      </c>
      <c r="AA1134" s="272">
        <f t="shared" si="745"/>
        <v>-116000</v>
      </c>
      <c r="AB1134" s="272">
        <f>AB1135+AB1174+AB1167</f>
        <v>2548000</v>
      </c>
      <c r="AC1134" s="272">
        <f>AC1135+AC1174+AC1167</f>
        <v>1779850.8099999998</v>
      </c>
      <c r="AD1134" s="272">
        <f t="shared" si="731"/>
        <v>69.852857535321817</v>
      </c>
      <c r="AE1134" s="272">
        <f t="shared" si="738"/>
        <v>56712.719999999739</v>
      </c>
      <c r="AF1134" s="272">
        <f>AF1135+AF1174+AF1167</f>
        <v>2604712.7199999997</v>
      </c>
      <c r="AG1134" s="272">
        <f>AG1135+AG1174+AG1167</f>
        <v>3963500</v>
      </c>
      <c r="AH1134" s="272">
        <f>AH1135+AH1174+AH1167</f>
        <v>3881500</v>
      </c>
      <c r="AI1134" s="272">
        <f>AI1135+AI1174+AI1167</f>
        <v>3150000</v>
      </c>
      <c r="AJ1134" s="162" t="b">
        <f t="shared" si="721"/>
        <v>1</v>
      </c>
      <c r="AK1134" s="162" t="str">
        <f t="shared" si="722"/>
        <v>PRAZNO</v>
      </c>
      <c r="AL1134" s="170"/>
      <c r="AM1134" s="164"/>
    </row>
    <row r="1135" spans="1:39" s="171" customFormat="1" ht="15.75" x14ac:dyDescent="0.2">
      <c r="A1135" s="259"/>
      <c r="B1135" s="168"/>
      <c r="C1135" s="168"/>
      <c r="D1135" s="168"/>
      <c r="E1135" s="168"/>
      <c r="F1135" s="168"/>
      <c r="G1135" s="168"/>
      <c r="H1135" s="13" t="s">
        <v>575</v>
      </c>
      <c r="I1135" s="169">
        <f>I1137</f>
        <v>1404500</v>
      </c>
      <c r="J1135" s="169">
        <f>J1137</f>
        <v>839542.19</v>
      </c>
      <c r="K1135" s="169">
        <f t="shared" si="743"/>
        <v>59.78</v>
      </c>
      <c r="L1135" s="169">
        <f t="shared" si="744"/>
        <v>-266623.52</v>
      </c>
      <c r="M1135" s="19">
        <f>M1137</f>
        <v>1137876.48</v>
      </c>
      <c r="N1135" s="19">
        <f>N1137</f>
        <v>1239000</v>
      </c>
      <c r="O1135" s="19">
        <f>O1137</f>
        <v>655307.72</v>
      </c>
      <c r="P1135" s="205">
        <f t="shared" si="698"/>
        <v>9000</v>
      </c>
      <c r="Q1135" s="19">
        <f>Q1137</f>
        <v>1239000</v>
      </c>
      <c r="R1135" s="19">
        <f>R1137</f>
        <v>1339200</v>
      </c>
      <c r="S1135" s="19">
        <f>S1137</f>
        <v>1363300</v>
      </c>
      <c r="T1135" s="53">
        <f>T1137</f>
        <v>1248000</v>
      </c>
      <c r="U1135" s="19">
        <f t="shared" ref="U1135:AA1135" si="746">U1137+U1158</f>
        <v>2128808.5700000003</v>
      </c>
      <c r="V1135" s="19">
        <f t="shared" si="746"/>
        <v>2361000</v>
      </c>
      <c r="W1135" s="19">
        <f t="shared" si="746"/>
        <v>2353000</v>
      </c>
      <c r="X1135" s="19">
        <f t="shared" si="746"/>
        <v>2403000</v>
      </c>
      <c r="Y1135" s="19">
        <f t="shared" si="746"/>
        <v>832062.71</v>
      </c>
      <c r="Z1135" s="19">
        <f t="shared" si="746"/>
        <v>71.33</v>
      </c>
      <c r="AA1135" s="19">
        <f t="shared" si="746"/>
        <v>-139000</v>
      </c>
      <c r="AB1135" s="19">
        <f>AB1137+AB1158</f>
        <v>2222000</v>
      </c>
      <c r="AC1135" s="19">
        <f>AC1137+AC1158</f>
        <v>1596430.88</v>
      </c>
      <c r="AD1135" s="19">
        <f t="shared" si="731"/>
        <v>71.846574257425729</v>
      </c>
      <c r="AE1135" s="19">
        <f t="shared" si="738"/>
        <v>55612.719999999739</v>
      </c>
      <c r="AF1135" s="19">
        <f>AF1137+AF1158</f>
        <v>2277612.7199999997</v>
      </c>
      <c r="AG1135" s="19">
        <f>AG1137+AG1158+AG1163</f>
        <v>3649500</v>
      </c>
      <c r="AH1135" s="19">
        <f>AH1137+AH1158+AH1163</f>
        <v>3584500</v>
      </c>
      <c r="AI1135" s="19">
        <f>AI1137+AI1158+AI1163</f>
        <v>2853000</v>
      </c>
      <c r="AJ1135" s="162" t="b">
        <f t="shared" si="721"/>
        <v>1</v>
      </c>
      <c r="AK1135" s="162" t="str">
        <f t="shared" si="722"/>
        <v>PRAZNO</v>
      </c>
      <c r="AL1135" s="170"/>
      <c r="AM1135" s="164"/>
    </row>
    <row r="1136" spans="1:39" s="264" customFormat="1" ht="15.75" x14ac:dyDescent="0.2">
      <c r="A1136" s="259"/>
      <c r="B1136" s="260"/>
      <c r="C1136" s="260"/>
      <c r="D1136" s="260"/>
      <c r="E1136" s="260"/>
      <c r="F1136" s="260"/>
      <c r="G1136" s="260"/>
      <c r="H1136" s="440" t="s">
        <v>824</v>
      </c>
      <c r="I1136" s="181"/>
      <c r="J1136" s="181"/>
      <c r="K1136" s="181"/>
      <c r="L1136" s="181"/>
      <c r="M1136" s="262"/>
      <c r="N1136" s="262"/>
      <c r="O1136" s="262"/>
      <c r="P1136" s="307"/>
      <c r="Q1136" s="262"/>
      <c r="R1136" s="262"/>
      <c r="S1136" s="262"/>
      <c r="T1136" s="342"/>
      <c r="U1136" s="262">
        <f t="shared" ref="U1136:AA1136" si="747">U1137</f>
        <v>1031110.25</v>
      </c>
      <c r="V1136" s="262">
        <f t="shared" si="747"/>
        <v>1263000</v>
      </c>
      <c r="W1136" s="262">
        <f t="shared" si="747"/>
        <v>1255000</v>
      </c>
      <c r="X1136" s="262">
        <f t="shared" si="747"/>
        <v>1305000</v>
      </c>
      <c r="Y1136" s="262">
        <f t="shared" si="747"/>
        <v>374688.41</v>
      </c>
      <c r="Z1136" s="262">
        <f t="shared" si="747"/>
        <v>29.67</v>
      </c>
      <c r="AA1136" s="262">
        <f t="shared" si="747"/>
        <v>-139000</v>
      </c>
      <c r="AB1136" s="262">
        <f>AB1137</f>
        <v>1124000</v>
      </c>
      <c r="AC1136" s="262">
        <f>AC1137</f>
        <v>773157.14</v>
      </c>
      <c r="AD1136" s="262">
        <f t="shared" si="731"/>
        <v>68.786222419928819</v>
      </c>
      <c r="AE1136" s="262">
        <f t="shared" si="738"/>
        <v>55612.719999999972</v>
      </c>
      <c r="AF1136" s="262">
        <f>AF1137</f>
        <v>1179612.72</v>
      </c>
      <c r="AG1136" s="262">
        <f>AG1137</f>
        <v>1551500</v>
      </c>
      <c r="AH1136" s="262">
        <f>AH1137</f>
        <v>1486500</v>
      </c>
      <c r="AI1136" s="262">
        <f>AI1137</f>
        <v>1255000</v>
      </c>
      <c r="AJ1136" s="162" t="b">
        <f t="shared" si="721"/>
        <v>1</v>
      </c>
      <c r="AK1136" s="162" t="str">
        <f t="shared" si="722"/>
        <v>PRAZNO</v>
      </c>
      <c r="AL1136" s="263"/>
    </row>
    <row r="1137" spans="1:45" s="174" customFormat="1" ht="15.75" x14ac:dyDescent="0.2">
      <c r="A1137" s="259"/>
      <c r="B1137" s="172">
        <v>3</v>
      </c>
      <c r="C1137" s="172"/>
      <c r="D1137" s="172"/>
      <c r="E1137" s="172"/>
      <c r="F1137" s="172"/>
      <c r="G1137" s="172"/>
      <c r="H1137" s="14" t="s">
        <v>524</v>
      </c>
      <c r="I1137" s="20">
        <f>I1138+I1146</f>
        <v>1404500</v>
      </c>
      <c r="J1137" s="20">
        <f>J1138+J1146</f>
        <v>839542.19</v>
      </c>
      <c r="K1137" s="20">
        <f t="shared" si="743"/>
        <v>59.78</v>
      </c>
      <c r="L1137" s="20">
        <f t="shared" si="744"/>
        <v>-266623.52</v>
      </c>
      <c r="M1137" s="20">
        <f>M1138+M1146</f>
        <v>1137876.48</v>
      </c>
      <c r="N1137" s="20">
        <f>N1138+N1146</f>
        <v>1239000</v>
      </c>
      <c r="O1137" s="20">
        <f>O1138+O1146</f>
        <v>655307.72</v>
      </c>
      <c r="P1137" s="55">
        <f t="shared" si="698"/>
        <v>9000</v>
      </c>
      <c r="Q1137" s="20">
        <f t="shared" ref="Q1137:X1137" si="748">Q1138+Q1146</f>
        <v>1239000</v>
      </c>
      <c r="R1137" s="20">
        <f t="shared" si="748"/>
        <v>1339200</v>
      </c>
      <c r="S1137" s="20">
        <f t="shared" si="748"/>
        <v>1363300</v>
      </c>
      <c r="T1137" s="55">
        <f t="shared" si="748"/>
        <v>1248000</v>
      </c>
      <c r="U1137" s="55">
        <f>U1138+U1146</f>
        <v>1031110.25</v>
      </c>
      <c r="V1137" s="20">
        <f t="shared" si="748"/>
        <v>1263000</v>
      </c>
      <c r="W1137" s="20">
        <f t="shared" si="748"/>
        <v>1255000</v>
      </c>
      <c r="X1137" s="20">
        <f t="shared" si="748"/>
        <v>1305000</v>
      </c>
      <c r="Y1137" s="20">
        <f>Y1138+Y1146</f>
        <v>374688.41</v>
      </c>
      <c r="Z1137" s="20">
        <f t="shared" si="718"/>
        <v>29.67</v>
      </c>
      <c r="AA1137" s="20">
        <f t="shared" si="715"/>
        <v>-139000</v>
      </c>
      <c r="AB1137" s="20">
        <f>AB1138+AB1146</f>
        <v>1124000</v>
      </c>
      <c r="AC1137" s="20">
        <f>AC1138+AC1146</f>
        <v>773157.14</v>
      </c>
      <c r="AD1137" s="20">
        <f t="shared" si="731"/>
        <v>68.786222419928819</v>
      </c>
      <c r="AE1137" s="20">
        <f t="shared" si="738"/>
        <v>55612.719999999972</v>
      </c>
      <c r="AF1137" s="20">
        <f>AF1138+AF1146</f>
        <v>1179612.72</v>
      </c>
      <c r="AG1137" s="20">
        <f>AG1138+AG1146</f>
        <v>1551500</v>
      </c>
      <c r="AH1137" s="20">
        <f>AH1138+AH1146</f>
        <v>1486500</v>
      </c>
      <c r="AI1137" s="20">
        <f>AI1138+AI1146</f>
        <v>1255000</v>
      </c>
      <c r="AJ1137" s="162" t="b">
        <f t="shared" si="721"/>
        <v>1</v>
      </c>
      <c r="AK1137" s="162" t="str">
        <f t="shared" si="722"/>
        <v>PRAZNO</v>
      </c>
      <c r="AL1137" s="173"/>
      <c r="AM1137" s="164"/>
    </row>
    <row r="1138" spans="1:45" ht="15.75" x14ac:dyDescent="0.2">
      <c r="B1138" s="175"/>
      <c r="C1138" s="175">
        <v>31</v>
      </c>
      <c r="D1138" s="175"/>
      <c r="E1138" s="175"/>
      <c r="F1138" s="175"/>
      <c r="G1138" s="175"/>
      <c r="H1138" s="15" t="s">
        <v>197</v>
      </c>
      <c r="I1138" s="22">
        <f>I1139+I1141+I1143</f>
        <v>1178000</v>
      </c>
      <c r="J1138" s="22">
        <f>J1139+J1141+J1143</f>
        <v>689104.46</v>
      </c>
      <c r="K1138" s="22">
        <f t="shared" si="743"/>
        <v>58.5</v>
      </c>
      <c r="L1138" s="22">
        <f t="shared" si="744"/>
        <v>-254011.59999999998</v>
      </c>
      <c r="M1138" s="22">
        <f>M1139+M1141+M1143</f>
        <v>923988.4</v>
      </c>
      <c r="N1138" s="22">
        <f>N1139+N1141+N1143</f>
        <v>995000</v>
      </c>
      <c r="O1138" s="22">
        <f>O1139+O1141+O1143</f>
        <v>524691.76</v>
      </c>
      <c r="P1138" s="26">
        <f t="shared" si="698"/>
        <v>9000</v>
      </c>
      <c r="Q1138" s="22">
        <f t="shared" ref="Q1138:X1138" si="749">Q1139+Q1141+Q1143</f>
        <v>995000</v>
      </c>
      <c r="R1138" s="22">
        <f t="shared" si="749"/>
        <v>1096000</v>
      </c>
      <c r="S1138" s="22">
        <f t="shared" si="749"/>
        <v>1113000</v>
      </c>
      <c r="T1138" s="38">
        <f t="shared" si="749"/>
        <v>1004000</v>
      </c>
      <c r="U1138" s="38">
        <f>U1139+U1141+U1143</f>
        <v>804777.6</v>
      </c>
      <c r="V1138" s="22">
        <f t="shared" si="749"/>
        <v>1019000</v>
      </c>
      <c r="W1138" s="22">
        <f t="shared" si="749"/>
        <v>1011000</v>
      </c>
      <c r="X1138" s="22">
        <f t="shared" si="749"/>
        <v>1052000</v>
      </c>
      <c r="Y1138" s="22">
        <f>Y1139+Y1141+Y1143</f>
        <v>296263.39999999997</v>
      </c>
      <c r="Z1138" s="22">
        <f t="shared" si="718"/>
        <v>29.07</v>
      </c>
      <c r="AA1138" s="22">
        <f t="shared" si="715"/>
        <v>-139000</v>
      </c>
      <c r="AB1138" s="22">
        <f>AB1139+AB1141+AB1143</f>
        <v>880000</v>
      </c>
      <c r="AC1138" s="682">
        <f>AC1139+AC1141+AC1143</f>
        <v>619887.1</v>
      </c>
      <c r="AD1138" s="22">
        <f t="shared" si="731"/>
        <v>70.441715909090902</v>
      </c>
      <c r="AE1138" s="22">
        <f t="shared" si="738"/>
        <v>51688.719999999972</v>
      </c>
      <c r="AF1138" s="22">
        <f>AF1139+AF1141+AF1143</f>
        <v>931688.72</v>
      </c>
      <c r="AG1138" s="22">
        <f>AG1139+AG1141+AG1143</f>
        <v>1220500</v>
      </c>
      <c r="AH1138" s="22">
        <f>AH1139+AH1141+AH1143</f>
        <v>1155500</v>
      </c>
      <c r="AI1138" s="22">
        <f>AI1139+AI1141+AI1143</f>
        <v>1003000</v>
      </c>
      <c r="AJ1138" s="162" t="b">
        <f t="shared" si="721"/>
        <v>1</v>
      </c>
      <c r="AK1138" s="162" t="str">
        <f t="shared" si="722"/>
        <v>PRAZNO</v>
      </c>
      <c r="AM1138" s="164"/>
    </row>
    <row r="1139" spans="1:45" ht="15.75" x14ac:dyDescent="0.2">
      <c r="B1139" s="177"/>
      <c r="C1139" s="177"/>
      <c r="D1139" s="177">
        <v>311</v>
      </c>
      <c r="E1139" s="177"/>
      <c r="F1139" s="177"/>
      <c r="G1139" s="177"/>
      <c r="H1139" s="16" t="s">
        <v>915</v>
      </c>
      <c r="I1139" s="17">
        <f>SUM(I1140:I1140)</f>
        <v>754000</v>
      </c>
      <c r="J1139" s="181">
        <f>SUM(J1140:J1140)</f>
        <v>421747.46</v>
      </c>
      <c r="K1139" s="181">
        <f t="shared" si="743"/>
        <v>55.93</v>
      </c>
      <c r="L1139" s="181">
        <f t="shared" si="744"/>
        <v>-197064.81999999995</v>
      </c>
      <c r="M1139" s="181">
        <f>SUM(M1140:M1140)</f>
        <v>556935.18000000005</v>
      </c>
      <c r="N1139" s="181">
        <f>SUM(N1140:N1140)</f>
        <v>582000</v>
      </c>
      <c r="O1139" s="181">
        <f>SUM(O1140:O1140)</f>
        <v>300948</v>
      </c>
      <c r="P1139" s="26">
        <f t="shared" si="698"/>
        <v>0</v>
      </c>
      <c r="Q1139" s="181">
        <f t="shared" ref="Q1139:AI1139" si="750">SUM(Q1140:Q1140)</f>
        <v>582000</v>
      </c>
      <c r="R1139" s="181">
        <f t="shared" si="750"/>
        <v>655000</v>
      </c>
      <c r="S1139" s="181">
        <f t="shared" si="750"/>
        <v>686000</v>
      </c>
      <c r="T1139" s="307">
        <f t="shared" si="750"/>
        <v>582000</v>
      </c>
      <c r="U1139" s="307">
        <f t="shared" si="750"/>
        <v>459922.42</v>
      </c>
      <c r="V1139" s="181">
        <f t="shared" si="750"/>
        <v>582000</v>
      </c>
      <c r="W1139" s="181">
        <f t="shared" si="750"/>
        <v>582000</v>
      </c>
      <c r="X1139" s="181">
        <f t="shared" si="750"/>
        <v>619000</v>
      </c>
      <c r="Y1139" s="181">
        <f t="shared" si="750"/>
        <v>187772.99</v>
      </c>
      <c r="Z1139" s="181">
        <f t="shared" si="718"/>
        <v>32.26</v>
      </c>
      <c r="AA1139" s="181">
        <f t="shared" si="715"/>
        <v>-82000</v>
      </c>
      <c r="AB1139" s="181">
        <f t="shared" si="750"/>
        <v>500000</v>
      </c>
      <c r="AC1139" s="181">
        <f t="shared" si="750"/>
        <v>373937.86</v>
      </c>
      <c r="AD1139" s="181">
        <f t="shared" si="731"/>
        <v>74.787571999999997</v>
      </c>
      <c r="AE1139" s="181">
        <f t="shared" si="738"/>
        <v>38400</v>
      </c>
      <c r="AF1139" s="181">
        <f t="shared" si="750"/>
        <v>538400</v>
      </c>
      <c r="AG1139" s="181">
        <f t="shared" si="750"/>
        <v>580000</v>
      </c>
      <c r="AH1139" s="181">
        <f t="shared" si="750"/>
        <v>580000</v>
      </c>
      <c r="AI1139" s="181">
        <f t="shared" si="750"/>
        <v>540000</v>
      </c>
      <c r="AJ1139" s="162" t="b">
        <f t="shared" si="721"/>
        <v>1</v>
      </c>
      <c r="AK1139" s="162" t="str">
        <f t="shared" si="722"/>
        <v>PRAZNO</v>
      </c>
      <c r="AM1139" s="164"/>
    </row>
    <row r="1140" spans="1:45" ht="15.75" x14ac:dyDescent="0.2">
      <c r="B1140" s="177"/>
      <c r="C1140" s="177"/>
      <c r="D1140" s="177"/>
      <c r="E1140" s="177">
        <v>3111</v>
      </c>
      <c r="F1140" s="176">
        <v>16</v>
      </c>
      <c r="G1140" s="177"/>
      <c r="H1140" s="16" t="s">
        <v>199</v>
      </c>
      <c r="I1140" s="17">
        <v>754000</v>
      </c>
      <c r="J1140" s="181">
        <v>421747.46</v>
      </c>
      <c r="K1140" s="181">
        <f t="shared" si="743"/>
        <v>55.93</v>
      </c>
      <c r="L1140" s="181">
        <f t="shared" si="744"/>
        <v>-197064.81999999995</v>
      </c>
      <c r="M1140" s="181">
        <v>556935.18000000005</v>
      </c>
      <c r="N1140" s="181">
        <v>582000</v>
      </c>
      <c r="O1140" s="181">
        <v>300948</v>
      </c>
      <c r="P1140" s="26">
        <f t="shared" si="698"/>
        <v>0</v>
      </c>
      <c r="Q1140" s="181">
        <v>582000</v>
      </c>
      <c r="R1140" s="181">
        <v>655000</v>
      </c>
      <c r="S1140" s="181">
        <v>686000</v>
      </c>
      <c r="T1140" s="307">
        <v>582000</v>
      </c>
      <c r="U1140" s="307">
        <v>459922.42</v>
      </c>
      <c r="V1140" s="307">
        <v>582000</v>
      </c>
      <c r="W1140" s="307">
        <v>582000</v>
      </c>
      <c r="X1140" s="181">
        <v>619000</v>
      </c>
      <c r="Y1140" s="307">
        <v>187772.99</v>
      </c>
      <c r="Z1140" s="307">
        <f t="shared" si="718"/>
        <v>32.26</v>
      </c>
      <c r="AA1140" s="307">
        <f t="shared" si="715"/>
        <v>-82000</v>
      </c>
      <c r="AB1140" s="307">
        <v>500000</v>
      </c>
      <c r="AC1140" s="307">
        <v>373937.86</v>
      </c>
      <c r="AD1140" s="307">
        <f t="shared" si="731"/>
        <v>74.787571999999997</v>
      </c>
      <c r="AE1140" s="307">
        <f t="shared" si="738"/>
        <v>38400</v>
      </c>
      <c r="AF1140" s="715">
        <f>500000+9600*4</f>
        <v>538400</v>
      </c>
      <c r="AG1140" s="181">
        <f>500000+80000</f>
        <v>580000</v>
      </c>
      <c r="AH1140" s="181">
        <f>500000+80000</f>
        <v>580000</v>
      </c>
      <c r="AI1140" s="181">
        <f>500000+40000</f>
        <v>540000</v>
      </c>
      <c r="AJ1140" s="162" t="b">
        <f t="shared" si="721"/>
        <v>0</v>
      </c>
      <c r="AK1140" s="162" t="str">
        <f t="shared" si="722"/>
        <v>PUNO</v>
      </c>
      <c r="AM1140" s="164"/>
    </row>
    <row r="1141" spans="1:45" ht="15.75" x14ac:dyDescent="0.2">
      <c r="B1141" s="177"/>
      <c r="C1141" s="177"/>
      <c r="D1141" s="177">
        <v>312</v>
      </c>
      <c r="E1141" s="177"/>
      <c r="F1141" s="177"/>
      <c r="G1141" s="177"/>
      <c r="H1141" s="16" t="s">
        <v>200</v>
      </c>
      <c r="I1141" s="17">
        <f>I1142</f>
        <v>103000</v>
      </c>
      <c r="J1141" s="181">
        <f>J1142</f>
        <v>51968.4</v>
      </c>
      <c r="K1141" s="181">
        <f t="shared" si="743"/>
        <v>50.45</v>
      </c>
      <c r="L1141" s="181">
        <f t="shared" si="744"/>
        <v>-22198.28</v>
      </c>
      <c r="M1141" s="181">
        <f>M1142</f>
        <v>80801.72</v>
      </c>
      <c r="N1141" s="181">
        <f>N1142</f>
        <v>111000</v>
      </c>
      <c r="O1141" s="181">
        <f>O1142</f>
        <v>52839.68</v>
      </c>
      <c r="P1141" s="26">
        <f t="shared" si="698"/>
        <v>9000</v>
      </c>
      <c r="Q1141" s="181">
        <f t="shared" ref="Q1141:AI1141" si="751">Q1142</f>
        <v>111000</v>
      </c>
      <c r="R1141" s="181">
        <f t="shared" si="751"/>
        <v>130000</v>
      </c>
      <c r="S1141" s="181">
        <f t="shared" si="751"/>
        <v>110000</v>
      </c>
      <c r="T1141" s="307">
        <f t="shared" si="751"/>
        <v>120000</v>
      </c>
      <c r="U1141" s="307">
        <f t="shared" si="751"/>
        <v>93645.55</v>
      </c>
      <c r="V1141" s="181">
        <f t="shared" si="751"/>
        <v>135000</v>
      </c>
      <c r="W1141" s="181">
        <f t="shared" si="751"/>
        <v>127000</v>
      </c>
      <c r="X1141" s="181">
        <f t="shared" si="751"/>
        <v>120000</v>
      </c>
      <c r="Y1141" s="181">
        <f t="shared" si="751"/>
        <v>9782.8700000000008</v>
      </c>
      <c r="Z1141" s="181">
        <f t="shared" si="718"/>
        <v>7.25</v>
      </c>
      <c r="AA1141" s="181">
        <f t="shared" si="715"/>
        <v>0</v>
      </c>
      <c r="AB1141" s="181">
        <f t="shared" si="751"/>
        <v>135000</v>
      </c>
      <c r="AC1141" s="181">
        <f t="shared" si="751"/>
        <v>62775.82</v>
      </c>
      <c r="AD1141" s="181">
        <f t="shared" si="731"/>
        <v>46.500607407407408</v>
      </c>
      <c r="AE1141" s="181">
        <f t="shared" si="738"/>
        <v>7288.7200000000012</v>
      </c>
      <c r="AF1141" s="715">
        <f t="shared" si="751"/>
        <v>142288.72</v>
      </c>
      <c r="AG1141" s="181">
        <f t="shared" si="751"/>
        <v>230000</v>
      </c>
      <c r="AH1141" s="181">
        <f t="shared" si="751"/>
        <v>165000</v>
      </c>
      <c r="AI1141" s="181">
        <f t="shared" si="751"/>
        <v>135000</v>
      </c>
      <c r="AJ1141" s="162" t="b">
        <f t="shared" si="721"/>
        <v>1</v>
      </c>
      <c r="AK1141" s="162" t="str">
        <f t="shared" si="722"/>
        <v>PRAZNO</v>
      </c>
      <c r="AM1141" s="164"/>
    </row>
    <row r="1142" spans="1:45" ht="15.75" x14ac:dyDescent="0.2">
      <c r="B1142" s="177"/>
      <c r="C1142" s="177"/>
      <c r="D1142" s="177"/>
      <c r="E1142" s="177">
        <v>3121</v>
      </c>
      <c r="F1142" s="176">
        <v>16</v>
      </c>
      <c r="G1142" s="176" t="s">
        <v>803</v>
      </c>
      <c r="H1142" s="16" t="s">
        <v>200</v>
      </c>
      <c r="I1142" s="18">
        <f>93000+10000</f>
        <v>103000</v>
      </c>
      <c r="J1142" s="178">
        <v>51968.4</v>
      </c>
      <c r="K1142" s="178">
        <f t="shared" si="743"/>
        <v>50.45</v>
      </c>
      <c r="L1142" s="178">
        <f t="shared" si="744"/>
        <v>-22198.28</v>
      </c>
      <c r="M1142" s="178">
        <v>80801.72</v>
      </c>
      <c r="N1142" s="178">
        <v>111000</v>
      </c>
      <c r="O1142" s="178">
        <v>52839.68</v>
      </c>
      <c r="P1142" s="26">
        <f t="shared" si="698"/>
        <v>9000</v>
      </c>
      <c r="Q1142" s="178">
        <v>111000</v>
      </c>
      <c r="R1142" s="178">
        <v>130000</v>
      </c>
      <c r="S1142" s="178">
        <v>110000</v>
      </c>
      <c r="T1142" s="266">
        <v>120000</v>
      </c>
      <c r="U1142" s="266">
        <v>93645.55</v>
      </c>
      <c r="V1142" s="178">
        <v>135000</v>
      </c>
      <c r="W1142" s="178">
        <v>127000</v>
      </c>
      <c r="X1142" s="178">
        <v>120000</v>
      </c>
      <c r="Y1142" s="178">
        <v>9782.8700000000008</v>
      </c>
      <c r="Z1142" s="178">
        <f t="shared" si="718"/>
        <v>7.25</v>
      </c>
      <c r="AA1142" s="178">
        <f t="shared" si="715"/>
        <v>0</v>
      </c>
      <c r="AB1142" s="178">
        <v>135000</v>
      </c>
      <c r="AC1142" s="178">
        <v>62775.82</v>
      </c>
      <c r="AD1142" s="178">
        <f t="shared" si="731"/>
        <v>46.500607407407408</v>
      </c>
      <c r="AE1142" s="178">
        <f t="shared" si="738"/>
        <v>7288.7200000000012</v>
      </c>
      <c r="AF1142" s="716">
        <f>135000+(1060+143.1+19.08)*4+600*4</f>
        <v>142288.72</v>
      </c>
      <c r="AG1142" s="178">
        <v>230000</v>
      </c>
      <c r="AH1142" s="178">
        <v>165000</v>
      </c>
      <c r="AI1142" s="178">
        <v>135000</v>
      </c>
      <c r="AJ1142" s="162" t="b">
        <f t="shared" si="721"/>
        <v>0</v>
      </c>
      <c r="AK1142" s="162" t="str">
        <f t="shared" si="722"/>
        <v>PUNO</v>
      </c>
      <c r="AM1142" s="164"/>
    </row>
    <row r="1143" spans="1:45" ht="15.75" x14ac:dyDescent="0.2">
      <c r="B1143" s="177"/>
      <c r="C1143" s="177"/>
      <c r="D1143" s="177">
        <v>313</v>
      </c>
      <c r="E1143" s="177"/>
      <c r="F1143" s="177"/>
      <c r="G1143" s="177"/>
      <c r="H1143" s="16" t="s">
        <v>201</v>
      </c>
      <c r="I1143" s="17">
        <f>SUM(I1144:I1145)</f>
        <v>321000</v>
      </c>
      <c r="J1143" s="181">
        <f>SUM(J1144:J1145)</f>
        <v>215388.59999999998</v>
      </c>
      <c r="K1143" s="181">
        <f t="shared" si="743"/>
        <v>67.099999999999994</v>
      </c>
      <c r="L1143" s="181">
        <f t="shared" si="744"/>
        <v>-34748.5</v>
      </c>
      <c r="M1143" s="181">
        <f>SUM(M1144:M1145)</f>
        <v>286251.5</v>
      </c>
      <c r="N1143" s="181">
        <f>SUM(N1144:N1145)</f>
        <v>302000</v>
      </c>
      <c r="O1143" s="181">
        <f>SUM(O1144:O1145)</f>
        <v>170904.08000000002</v>
      </c>
      <c r="P1143" s="26">
        <f t="shared" si="698"/>
        <v>0</v>
      </c>
      <c r="Q1143" s="181">
        <f t="shared" ref="Q1143:X1143" si="752">SUM(Q1144:Q1145)</f>
        <v>302000</v>
      </c>
      <c r="R1143" s="181">
        <f t="shared" si="752"/>
        <v>311000</v>
      </c>
      <c r="S1143" s="181">
        <f t="shared" si="752"/>
        <v>317000</v>
      </c>
      <c r="T1143" s="307">
        <f t="shared" si="752"/>
        <v>302000</v>
      </c>
      <c r="U1143" s="307">
        <f>SUM(U1144:U1145)</f>
        <v>251209.63</v>
      </c>
      <c r="V1143" s="181">
        <f t="shared" si="752"/>
        <v>302000</v>
      </c>
      <c r="W1143" s="181">
        <f t="shared" si="752"/>
        <v>302000</v>
      </c>
      <c r="X1143" s="181">
        <f t="shared" si="752"/>
        <v>313000</v>
      </c>
      <c r="Y1143" s="181">
        <f>SUM(Y1144:Y1145)</f>
        <v>98707.54</v>
      </c>
      <c r="Z1143" s="181">
        <f t="shared" si="718"/>
        <v>32.68</v>
      </c>
      <c r="AA1143" s="181">
        <f t="shared" si="715"/>
        <v>-57000</v>
      </c>
      <c r="AB1143" s="181">
        <f>SUM(AB1144:AB1145)</f>
        <v>245000</v>
      </c>
      <c r="AC1143" s="181">
        <f>SUM(AC1144:AC1145)</f>
        <v>183173.41999999998</v>
      </c>
      <c r="AD1143" s="181">
        <f t="shared" si="731"/>
        <v>74.764661224489799</v>
      </c>
      <c r="AE1143" s="181">
        <f t="shared" si="738"/>
        <v>6000</v>
      </c>
      <c r="AF1143" s="715">
        <f>SUM(AF1144:AF1145)</f>
        <v>251000</v>
      </c>
      <c r="AG1143" s="181">
        <f>SUM(AG1144:AG1145)</f>
        <v>410500</v>
      </c>
      <c r="AH1143" s="181">
        <f>SUM(AH1144:AH1145)</f>
        <v>410500</v>
      </c>
      <c r="AI1143" s="181">
        <f>SUM(AI1144:AI1145)</f>
        <v>328000</v>
      </c>
      <c r="AJ1143" s="162" t="b">
        <f t="shared" si="721"/>
        <v>1</v>
      </c>
      <c r="AK1143" s="162" t="str">
        <f t="shared" si="722"/>
        <v>PRAZNO</v>
      </c>
      <c r="AM1143" s="164"/>
    </row>
    <row r="1144" spans="1:45" ht="15.75" x14ac:dyDescent="0.2">
      <c r="B1144" s="177"/>
      <c r="C1144" s="177"/>
      <c r="D1144" s="177"/>
      <c r="E1144" s="177">
        <v>3132</v>
      </c>
      <c r="F1144" s="176">
        <v>16</v>
      </c>
      <c r="G1144" s="176" t="s">
        <v>803</v>
      </c>
      <c r="H1144" s="16" t="s">
        <v>202</v>
      </c>
      <c r="I1144" s="18">
        <v>288000</v>
      </c>
      <c r="J1144" s="178">
        <v>192978.11</v>
      </c>
      <c r="K1144" s="178">
        <f t="shared" si="743"/>
        <v>67.010000000000005</v>
      </c>
      <c r="L1144" s="178">
        <f t="shared" si="744"/>
        <v>-31532.059999999998</v>
      </c>
      <c r="M1144" s="178">
        <v>256467.94</v>
      </c>
      <c r="N1144" s="178">
        <v>270000</v>
      </c>
      <c r="O1144" s="178">
        <v>152314.51</v>
      </c>
      <c r="P1144" s="26">
        <f t="shared" si="698"/>
        <v>0</v>
      </c>
      <c r="Q1144" s="178">
        <v>270000</v>
      </c>
      <c r="R1144" s="178">
        <v>279000</v>
      </c>
      <c r="S1144" s="178">
        <v>284000</v>
      </c>
      <c r="T1144" s="266">
        <v>270000</v>
      </c>
      <c r="U1144" s="266">
        <v>223172.31</v>
      </c>
      <c r="V1144" s="266">
        <v>270000</v>
      </c>
      <c r="W1144" s="266">
        <v>270000</v>
      </c>
      <c r="X1144" s="178">
        <v>280000</v>
      </c>
      <c r="Y1144" s="266">
        <v>87094.84</v>
      </c>
      <c r="Z1144" s="266">
        <f t="shared" si="718"/>
        <v>32.26</v>
      </c>
      <c r="AA1144" s="266">
        <f t="shared" si="715"/>
        <v>-54000</v>
      </c>
      <c r="AB1144" s="266">
        <v>216000</v>
      </c>
      <c r="AC1144" s="266">
        <v>161623.54999999999</v>
      </c>
      <c r="AD1144" s="266">
        <f t="shared" si="731"/>
        <v>74.825717592592582</v>
      </c>
      <c r="AE1144" s="266">
        <f t="shared" si="738"/>
        <v>5300</v>
      </c>
      <c r="AF1144" s="716">
        <f>216000+5300</f>
        <v>221300</v>
      </c>
      <c r="AG1144" s="178">
        <v>361500</v>
      </c>
      <c r="AH1144" s="178">
        <v>361500</v>
      </c>
      <c r="AI1144" s="178">
        <v>289000</v>
      </c>
      <c r="AJ1144" s="162" t="b">
        <f t="shared" si="721"/>
        <v>0</v>
      </c>
      <c r="AK1144" s="162" t="str">
        <f t="shared" si="722"/>
        <v>PUNO</v>
      </c>
      <c r="AM1144" s="164"/>
    </row>
    <row r="1145" spans="1:45" ht="30" x14ac:dyDescent="0.2">
      <c r="B1145" s="177"/>
      <c r="C1145" s="177"/>
      <c r="D1145" s="177"/>
      <c r="E1145" s="177">
        <v>3133</v>
      </c>
      <c r="F1145" s="176">
        <v>16</v>
      </c>
      <c r="G1145" s="176" t="s">
        <v>803</v>
      </c>
      <c r="H1145" s="16" t="s">
        <v>203</v>
      </c>
      <c r="I1145" s="18">
        <v>33000</v>
      </c>
      <c r="J1145" s="18">
        <v>22410.49</v>
      </c>
      <c r="K1145" s="18">
        <f t="shared" si="743"/>
        <v>67.91</v>
      </c>
      <c r="L1145" s="18">
        <f t="shared" si="744"/>
        <v>-3216.4399999999987</v>
      </c>
      <c r="M1145" s="18">
        <v>29783.56</v>
      </c>
      <c r="N1145" s="18">
        <v>32000</v>
      </c>
      <c r="O1145" s="18">
        <v>18589.57</v>
      </c>
      <c r="P1145" s="26">
        <f t="shared" si="698"/>
        <v>0</v>
      </c>
      <c r="Q1145" s="18">
        <v>32000</v>
      </c>
      <c r="R1145" s="18">
        <v>32000</v>
      </c>
      <c r="S1145" s="18">
        <v>33000</v>
      </c>
      <c r="T1145" s="27">
        <v>32000</v>
      </c>
      <c r="U1145" s="27">
        <v>28037.32</v>
      </c>
      <c r="V1145" s="27">
        <v>32000</v>
      </c>
      <c r="W1145" s="27">
        <v>32000</v>
      </c>
      <c r="X1145" s="18">
        <v>33000</v>
      </c>
      <c r="Y1145" s="27">
        <v>11612.7</v>
      </c>
      <c r="Z1145" s="27">
        <f t="shared" si="718"/>
        <v>36.29</v>
      </c>
      <c r="AA1145" s="27">
        <f t="shared" si="715"/>
        <v>-3000</v>
      </c>
      <c r="AB1145" s="27">
        <v>29000</v>
      </c>
      <c r="AC1145" s="27">
        <v>21549.87</v>
      </c>
      <c r="AD1145" s="27">
        <f t="shared" si="731"/>
        <v>74.309896551724137</v>
      </c>
      <c r="AE1145" s="27">
        <f t="shared" si="738"/>
        <v>700</v>
      </c>
      <c r="AF1145" s="706">
        <f>29000+700</f>
        <v>29700</v>
      </c>
      <c r="AG1145" s="18">
        <v>49000</v>
      </c>
      <c r="AH1145" s="18">
        <v>49000</v>
      </c>
      <c r="AI1145" s="18">
        <v>39000</v>
      </c>
      <c r="AJ1145" s="162" t="b">
        <f t="shared" si="721"/>
        <v>0</v>
      </c>
      <c r="AK1145" s="162" t="str">
        <f t="shared" si="722"/>
        <v>PUNO</v>
      </c>
      <c r="AM1145" s="164"/>
    </row>
    <row r="1146" spans="1:45" ht="15.75" x14ac:dyDescent="0.2">
      <c r="B1146" s="175"/>
      <c r="C1146" s="175">
        <v>32</v>
      </c>
      <c r="D1146" s="175"/>
      <c r="E1146" s="175"/>
      <c r="F1146" s="175"/>
      <c r="G1146" s="175"/>
      <c r="H1146" s="15" t="s">
        <v>525</v>
      </c>
      <c r="I1146" s="22">
        <f>I1147+I1151+I1153+I1155</f>
        <v>226500</v>
      </c>
      <c r="J1146" s="22">
        <f>J1147+J1151+J1153+J1155</f>
        <v>150437.72999999998</v>
      </c>
      <c r="K1146" s="22">
        <f t="shared" si="743"/>
        <v>66.42</v>
      </c>
      <c r="L1146" s="22">
        <f t="shared" si="744"/>
        <v>-12611.919999999984</v>
      </c>
      <c r="M1146" s="22">
        <f>M1147+M1151+M1153+M1155</f>
        <v>213888.08000000002</v>
      </c>
      <c r="N1146" s="22">
        <f>N1147+N1151+N1153+N1155</f>
        <v>244000</v>
      </c>
      <c r="O1146" s="22">
        <f>O1147+O1151+O1153+O1155</f>
        <v>130615.96</v>
      </c>
      <c r="P1146" s="26">
        <f t="shared" si="698"/>
        <v>0</v>
      </c>
      <c r="Q1146" s="22">
        <f t="shared" ref="Q1146:X1146" si="753">Q1147+Q1151+Q1153+Q1155</f>
        <v>244000</v>
      </c>
      <c r="R1146" s="22">
        <f t="shared" si="753"/>
        <v>243200</v>
      </c>
      <c r="S1146" s="22">
        <f t="shared" si="753"/>
        <v>250300</v>
      </c>
      <c r="T1146" s="38">
        <f t="shared" si="753"/>
        <v>244000</v>
      </c>
      <c r="U1146" s="38">
        <f>U1147+U1151+U1153+U1155</f>
        <v>226332.64999999997</v>
      </c>
      <c r="V1146" s="22">
        <f t="shared" si="753"/>
        <v>244000</v>
      </c>
      <c r="W1146" s="22">
        <f t="shared" si="753"/>
        <v>244000</v>
      </c>
      <c r="X1146" s="22">
        <f t="shared" si="753"/>
        <v>253000</v>
      </c>
      <c r="Y1146" s="22">
        <f>Y1147+Y1151+Y1153+Y1155</f>
        <v>78425.010000000009</v>
      </c>
      <c r="Z1146" s="22">
        <f t="shared" si="718"/>
        <v>32.14</v>
      </c>
      <c r="AA1146" s="22">
        <f t="shared" si="715"/>
        <v>0</v>
      </c>
      <c r="AB1146" s="22">
        <f>AB1147+AB1151+AB1153+AB1155</f>
        <v>244000</v>
      </c>
      <c r="AC1146" s="22">
        <f>AC1147+AC1151+AC1153+AC1155</f>
        <v>153270.04</v>
      </c>
      <c r="AD1146" s="22">
        <f t="shared" si="731"/>
        <v>62.815590163934431</v>
      </c>
      <c r="AE1146" s="22">
        <f t="shared" si="738"/>
        <v>3924</v>
      </c>
      <c r="AF1146" s="717">
        <f>AF1147+AF1151+AF1153+AF1155</f>
        <v>247924</v>
      </c>
      <c r="AG1146" s="22">
        <f>AG1147+AG1151+AG1153+AG1155</f>
        <v>331000</v>
      </c>
      <c r="AH1146" s="22">
        <f>AH1147+AH1151+AH1153+AH1155</f>
        <v>331000</v>
      </c>
      <c r="AI1146" s="22">
        <f>AI1147+AI1151+AI1153+AI1155</f>
        <v>252000</v>
      </c>
      <c r="AJ1146" s="162" t="b">
        <f t="shared" si="721"/>
        <v>1</v>
      </c>
      <c r="AK1146" s="162" t="str">
        <f t="shared" si="722"/>
        <v>PRAZNO</v>
      </c>
      <c r="AM1146" s="164"/>
    </row>
    <row r="1147" spans="1:45" ht="15.75" x14ac:dyDescent="0.2">
      <c r="B1147" s="177"/>
      <c r="C1147" s="177"/>
      <c r="D1147" s="177">
        <v>321</v>
      </c>
      <c r="E1147" s="177"/>
      <c r="F1147" s="177"/>
      <c r="G1147" s="177"/>
      <c r="H1147" s="16" t="s">
        <v>564</v>
      </c>
      <c r="I1147" s="17">
        <f>I1148+I1149+I1150</f>
        <v>143000</v>
      </c>
      <c r="J1147" s="17">
        <f>J1148+J1149+J1150</f>
        <v>98319.8</v>
      </c>
      <c r="K1147" s="17">
        <f t="shared" si="743"/>
        <v>68.760000000000005</v>
      </c>
      <c r="L1147" s="17">
        <f t="shared" si="744"/>
        <v>-10275.599999999977</v>
      </c>
      <c r="M1147" s="17">
        <f>M1148+M1149+M1150</f>
        <v>132724.40000000002</v>
      </c>
      <c r="N1147" s="17">
        <f>N1148+N1149+N1150</f>
        <v>152000</v>
      </c>
      <c r="O1147" s="17">
        <f>O1148+O1149+O1150</f>
        <v>81414.3</v>
      </c>
      <c r="P1147" s="26">
        <f t="shared" si="698"/>
        <v>0</v>
      </c>
      <c r="Q1147" s="17">
        <f t="shared" ref="Q1147:X1147" si="754">Q1148+Q1149+Q1150</f>
        <v>152000</v>
      </c>
      <c r="R1147" s="17">
        <f t="shared" si="754"/>
        <v>153200</v>
      </c>
      <c r="S1147" s="17">
        <f t="shared" si="754"/>
        <v>157300</v>
      </c>
      <c r="T1147" s="26">
        <f t="shared" si="754"/>
        <v>152000</v>
      </c>
      <c r="U1147" s="26">
        <f>U1148+U1149+U1150</f>
        <v>127452.7</v>
      </c>
      <c r="V1147" s="17">
        <f t="shared" si="754"/>
        <v>152000</v>
      </c>
      <c r="W1147" s="17">
        <f t="shared" si="754"/>
        <v>152000</v>
      </c>
      <c r="X1147" s="17">
        <f t="shared" si="754"/>
        <v>158000</v>
      </c>
      <c r="Y1147" s="17">
        <f>Y1148+Y1149+Y1150</f>
        <v>58062.100000000006</v>
      </c>
      <c r="Z1147" s="17">
        <f t="shared" si="718"/>
        <v>38.200000000000003</v>
      </c>
      <c r="AA1147" s="17">
        <f t="shared" si="715"/>
        <v>0</v>
      </c>
      <c r="AB1147" s="17">
        <f>AB1148+AB1149+AB1150</f>
        <v>152000</v>
      </c>
      <c r="AC1147" s="17">
        <f>AC1148+AC1149+AC1150</f>
        <v>103697.90000000001</v>
      </c>
      <c r="AD1147" s="17">
        <f t="shared" si="731"/>
        <v>68.222302631578955</v>
      </c>
      <c r="AE1147" s="17">
        <f t="shared" si="738"/>
        <v>5024</v>
      </c>
      <c r="AF1147" s="718">
        <f>AF1148+AF1149+AF1150</f>
        <v>157024</v>
      </c>
      <c r="AG1147" s="17">
        <f>AG1148+AG1149+AG1150</f>
        <v>231000</v>
      </c>
      <c r="AH1147" s="17">
        <f>AH1148+AH1149+AH1150</f>
        <v>231000</v>
      </c>
      <c r="AI1147" s="17">
        <f>AI1148+AI1149+AI1150</f>
        <v>152000</v>
      </c>
      <c r="AJ1147" s="162" t="b">
        <f t="shared" si="721"/>
        <v>1</v>
      </c>
      <c r="AK1147" s="162" t="str">
        <f t="shared" si="722"/>
        <v>PRAZNO</v>
      </c>
      <c r="AM1147" s="164"/>
    </row>
    <row r="1148" spans="1:45" ht="15.75" x14ac:dyDescent="0.2">
      <c r="B1148" s="177"/>
      <c r="C1148" s="177"/>
      <c r="D1148" s="177"/>
      <c r="E1148" s="177">
        <v>3211</v>
      </c>
      <c r="F1148" s="176">
        <v>16</v>
      </c>
      <c r="G1148" s="176" t="s">
        <v>803</v>
      </c>
      <c r="H1148" s="16" t="s">
        <v>565</v>
      </c>
      <c r="I1148" s="18">
        <v>4000</v>
      </c>
      <c r="J1148" s="178">
        <v>255</v>
      </c>
      <c r="K1148" s="178">
        <f t="shared" si="743"/>
        <v>6.38</v>
      </c>
      <c r="L1148" s="178">
        <f t="shared" si="744"/>
        <v>-3143.2</v>
      </c>
      <c r="M1148" s="178">
        <v>856.8</v>
      </c>
      <c r="N1148" s="178">
        <v>5000</v>
      </c>
      <c r="O1148" s="178">
        <v>249</v>
      </c>
      <c r="P1148" s="26">
        <f t="shared" si="698"/>
        <v>0</v>
      </c>
      <c r="Q1148" s="178">
        <v>5000</v>
      </c>
      <c r="R1148" s="178">
        <v>6000</v>
      </c>
      <c r="S1148" s="178">
        <v>6000</v>
      </c>
      <c r="T1148" s="266">
        <v>5000</v>
      </c>
      <c r="U1148" s="266">
        <v>729.4</v>
      </c>
      <c r="V1148" s="266">
        <v>5000</v>
      </c>
      <c r="W1148" s="266">
        <v>5000</v>
      </c>
      <c r="X1148" s="178">
        <v>6000</v>
      </c>
      <c r="Y1148" s="266">
        <v>465.8</v>
      </c>
      <c r="Z1148" s="266">
        <f t="shared" si="718"/>
        <v>9.32</v>
      </c>
      <c r="AA1148" s="266">
        <f t="shared" si="715"/>
        <v>0</v>
      </c>
      <c r="AB1148" s="266">
        <v>5000</v>
      </c>
      <c r="AC1148" s="266">
        <v>840.8</v>
      </c>
      <c r="AD1148" s="266">
        <f t="shared" si="731"/>
        <v>16.815999999999999</v>
      </c>
      <c r="AE1148" s="266">
        <f t="shared" si="738"/>
        <v>0</v>
      </c>
      <c r="AF1148" s="716">
        <v>5000</v>
      </c>
      <c r="AG1148" s="266">
        <v>5000</v>
      </c>
      <c r="AH1148" s="266">
        <v>5000</v>
      </c>
      <c r="AI1148" s="266">
        <v>5000</v>
      </c>
      <c r="AJ1148" s="162" t="b">
        <f t="shared" si="721"/>
        <v>0</v>
      </c>
      <c r="AK1148" s="162" t="str">
        <f t="shared" si="722"/>
        <v>PUNO</v>
      </c>
      <c r="AM1148" s="164"/>
    </row>
    <row r="1149" spans="1:45" ht="20.25" customHeight="1" x14ac:dyDescent="0.2">
      <c r="B1149" s="177"/>
      <c r="C1149" s="177"/>
      <c r="D1149" s="177"/>
      <c r="E1149" s="177">
        <v>3212</v>
      </c>
      <c r="F1149" s="176">
        <v>16</v>
      </c>
      <c r="G1149" s="176" t="s">
        <v>803</v>
      </c>
      <c r="H1149" s="16" t="s">
        <v>220</v>
      </c>
      <c r="I1149" s="18">
        <v>136000</v>
      </c>
      <c r="J1149" s="178">
        <v>96084.800000000003</v>
      </c>
      <c r="K1149" s="178">
        <f t="shared" si="743"/>
        <v>70.650000000000006</v>
      </c>
      <c r="L1149" s="178">
        <f t="shared" si="744"/>
        <v>-6112.3999999999942</v>
      </c>
      <c r="M1149" s="178">
        <v>129887.6</v>
      </c>
      <c r="N1149" s="178">
        <v>141000</v>
      </c>
      <c r="O1149" s="178">
        <v>80665.3</v>
      </c>
      <c r="P1149" s="26">
        <f t="shared" si="698"/>
        <v>0</v>
      </c>
      <c r="Q1149" s="178">
        <v>141000</v>
      </c>
      <c r="R1149" s="178">
        <v>143200</v>
      </c>
      <c r="S1149" s="178">
        <v>146300</v>
      </c>
      <c r="T1149" s="266">
        <v>141000</v>
      </c>
      <c r="U1149" s="266">
        <v>125723.3</v>
      </c>
      <c r="V1149" s="266">
        <v>141000</v>
      </c>
      <c r="W1149" s="266">
        <v>141000</v>
      </c>
      <c r="X1149" s="178">
        <v>145000</v>
      </c>
      <c r="Y1149" s="266">
        <v>57096.3</v>
      </c>
      <c r="Z1149" s="266">
        <f t="shared" si="718"/>
        <v>40.49</v>
      </c>
      <c r="AA1149" s="266">
        <f t="shared" si="715"/>
        <v>0</v>
      </c>
      <c r="AB1149" s="266">
        <v>141000</v>
      </c>
      <c r="AC1149" s="266">
        <v>101267.1</v>
      </c>
      <c r="AD1149" s="266">
        <f t="shared" si="731"/>
        <v>71.820638297872335</v>
      </c>
      <c r="AE1149" s="266">
        <f t="shared" si="738"/>
        <v>5024</v>
      </c>
      <c r="AF1149" s="716">
        <f>141000+2*1452+1440+680</f>
        <v>146024</v>
      </c>
      <c r="AG1149" s="266">
        <v>220000</v>
      </c>
      <c r="AH1149" s="266">
        <v>220000</v>
      </c>
      <c r="AI1149" s="266">
        <v>141000</v>
      </c>
      <c r="AJ1149" s="162" t="b">
        <f t="shared" si="721"/>
        <v>0</v>
      </c>
      <c r="AK1149" s="162" t="str">
        <f t="shared" si="722"/>
        <v>PUNO</v>
      </c>
      <c r="AM1149" s="164"/>
    </row>
    <row r="1150" spans="1:45" ht="15.75" x14ac:dyDescent="0.2">
      <c r="B1150" s="177"/>
      <c r="C1150" s="177"/>
      <c r="D1150" s="177"/>
      <c r="E1150" s="177">
        <v>3213</v>
      </c>
      <c r="F1150" s="176">
        <v>16</v>
      </c>
      <c r="G1150" s="176" t="s">
        <v>803</v>
      </c>
      <c r="H1150" s="16" t="s">
        <v>221</v>
      </c>
      <c r="I1150" s="18">
        <v>3000</v>
      </c>
      <c r="J1150" s="181">
        <v>1980</v>
      </c>
      <c r="K1150" s="181">
        <f t="shared" si="743"/>
        <v>66</v>
      </c>
      <c r="L1150" s="181">
        <f t="shared" si="744"/>
        <v>-1020</v>
      </c>
      <c r="M1150" s="181">
        <v>1980</v>
      </c>
      <c r="N1150" s="181">
        <v>6000</v>
      </c>
      <c r="O1150" s="181">
        <v>500</v>
      </c>
      <c r="P1150" s="26">
        <f t="shared" si="698"/>
        <v>0</v>
      </c>
      <c r="Q1150" s="181">
        <v>6000</v>
      </c>
      <c r="R1150" s="181">
        <v>4000</v>
      </c>
      <c r="S1150" s="181">
        <v>5000</v>
      </c>
      <c r="T1150" s="307">
        <v>6000</v>
      </c>
      <c r="U1150" s="307">
        <v>1000</v>
      </c>
      <c r="V1150" s="307">
        <v>6000</v>
      </c>
      <c r="W1150" s="307">
        <v>6000</v>
      </c>
      <c r="X1150" s="181">
        <v>7000</v>
      </c>
      <c r="Y1150" s="307">
        <v>500</v>
      </c>
      <c r="Z1150" s="307">
        <f t="shared" si="718"/>
        <v>8.33</v>
      </c>
      <c r="AA1150" s="307">
        <f t="shared" si="715"/>
        <v>0</v>
      </c>
      <c r="AB1150" s="307">
        <v>6000</v>
      </c>
      <c r="AC1150" s="307">
        <v>1590</v>
      </c>
      <c r="AD1150" s="307">
        <f t="shared" si="731"/>
        <v>26.5</v>
      </c>
      <c r="AE1150" s="307">
        <f t="shared" si="738"/>
        <v>0</v>
      </c>
      <c r="AF1150" s="307">
        <v>6000</v>
      </c>
      <c r="AG1150" s="307">
        <v>6000</v>
      </c>
      <c r="AH1150" s="307">
        <v>6000</v>
      </c>
      <c r="AI1150" s="307">
        <v>6000</v>
      </c>
      <c r="AJ1150" s="162" t="b">
        <f t="shared" si="721"/>
        <v>0</v>
      </c>
      <c r="AK1150" s="162" t="str">
        <f t="shared" si="722"/>
        <v>PUNO</v>
      </c>
      <c r="AM1150" s="164"/>
    </row>
    <row r="1151" spans="1:45" ht="15.75" x14ac:dyDescent="0.2">
      <c r="B1151" s="177"/>
      <c r="C1151" s="177"/>
      <c r="D1151" s="177">
        <v>322</v>
      </c>
      <c r="E1151" s="177"/>
      <c r="F1151" s="177"/>
      <c r="G1151" s="177"/>
      <c r="H1151" s="16" t="s">
        <v>547</v>
      </c>
      <c r="I1151" s="17">
        <f>I1152</f>
        <v>38000</v>
      </c>
      <c r="J1151" s="17">
        <f>J1152</f>
        <v>17079.009999999998</v>
      </c>
      <c r="K1151" s="17">
        <f t="shared" si="743"/>
        <v>44.94</v>
      </c>
      <c r="L1151" s="17">
        <f t="shared" si="744"/>
        <v>-8099.6500000000015</v>
      </c>
      <c r="M1151" s="17">
        <f>M1152</f>
        <v>29900.35</v>
      </c>
      <c r="N1151" s="17">
        <f>N1152</f>
        <v>38000</v>
      </c>
      <c r="O1151" s="17">
        <f>O1152</f>
        <v>18887.64</v>
      </c>
      <c r="P1151" s="26">
        <f t="shared" ref="P1151:P1241" si="755">T1151-N1151</f>
        <v>0</v>
      </c>
      <c r="Q1151" s="17">
        <f t="shared" ref="Q1151:AI1151" si="756">Q1152</f>
        <v>38000</v>
      </c>
      <c r="R1151" s="17">
        <f t="shared" si="756"/>
        <v>39000</v>
      </c>
      <c r="S1151" s="17">
        <f t="shared" si="756"/>
        <v>40000</v>
      </c>
      <c r="T1151" s="26">
        <f t="shared" si="756"/>
        <v>38000</v>
      </c>
      <c r="U1151" s="26">
        <f t="shared" si="756"/>
        <v>47095.839999999997</v>
      </c>
      <c r="V1151" s="17">
        <f t="shared" si="756"/>
        <v>38000</v>
      </c>
      <c r="W1151" s="17">
        <f t="shared" si="756"/>
        <v>38000</v>
      </c>
      <c r="X1151" s="17">
        <f t="shared" si="756"/>
        <v>39000</v>
      </c>
      <c r="Y1151" s="17">
        <f t="shared" si="756"/>
        <v>6803.81</v>
      </c>
      <c r="Z1151" s="17">
        <f t="shared" si="718"/>
        <v>17.899999999999999</v>
      </c>
      <c r="AA1151" s="17">
        <f t="shared" si="715"/>
        <v>0</v>
      </c>
      <c r="AB1151" s="17">
        <f t="shared" si="756"/>
        <v>38000</v>
      </c>
      <c r="AC1151" s="17">
        <f t="shared" si="756"/>
        <v>23988.42</v>
      </c>
      <c r="AD1151" s="17">
        <f t="shared" si="731"/>
        <v>63.127421052631568</v>
      </c>
      <c r="AE1151" s="17">
        <f t="shared" si="738"/>
        <v>0</v>
      </c>
      <c r="AF1151" s="17">
        <f t="shared" si="756"/>
        <v>38000</v>
      </c>
      <c r="AG1151" s="17">
        <f t="shared" si="756"/>
        <v>42000</v>
      </c>
      <c r="AH1151" s="17">
        <f t="shared" si="756"/>
        <v>42000</v>
      </c>
      <c r="AI1151" s="17">
        <f t="shared" si="756"/>
        <v>42000</v>
      </c>
      <c r="AJ1151" s="162" t="b">
        <f t="shared" si="721"/>
        <v>1</v>
      </c>
      <c r="AK1151" s="162" t="str">
        <f t="shared" si="722"/>
        <v>PRAZNO</v>
      </c>
      <c r="AM1151" s="164"/>
    </row>
    <row r="1152" spans="1:45" ht="15.75" x14ac:dyDescent="0.2">
      <c r="B1152" s="177"/>
      <c r="C1152" s="177"/>
      <c r="D1152" s="177"/>
      <c r="E1152" s="177">
        <v>3221</v>
      </c>
      <c r="F1152" s="176">
        <v>16</v>
      </c>
      <c r="G1152" s="176" t="s">
        <v>803</v>
      </c>
      <c r="H1152" s="16" t="s">
        <v>548</v>
      </c>
      <c r="I1152" s="18">
        <v>38000</v>
      </c>
      <c r="J1152" s="181">
        <v>17079.009999999998</v>
      </c>
      <c r="K1152" s="181">
        <f t="shared" si="743"/>
        <v>44.94</v>
      </c>
      <c r="L1152" s="181">
        <f t="shared" si="744"/>
        <v>-8099.6500000000015</v>
      </c>
      <c r="M1152" s="181">
        <v>29900.35</v>
      </c>
      <c r="N1152" s="181">
        <v>38000</v>
      </c>
      <c r="O1152" s="181">
        <v>18887.64</v>
      </c>
      <c r="P1152" s="26">
        <f t="shared" si="755"/>
        <v>0</v>
      </c>
      <c r="Q1152" s="181">
        <v>38000</v>
      </c>
      <c r="R1152" s="181">
        <v>39000</v>
      </c>
      <c r="S1152" s="181">
        <v>40000</v>
      </c>
      <c r="T1152" s="307">
        <v>38000</v>
      </c>
      <c r="U1152" s="307">
        <v>47095.839999999997</v>
      </c>
      <c r="V1152" s="307">
        <v>38000</v>
      </c>
      <c r="W1152" s="307">
        <v>38000</v>
      </c>
      <c r="X1152" s="181">
        <v>39000</v>
      </c>
      <c r="Y1152" s="307">
        <v>6803.81</v>
      </c>
      <c r="Z1152" s="307">
        <f t="shared" si="718"/>
        <v>17.899999999999999</v>
      </c>
      <c r="AA1152" s="307">
        <f t="shared" ref="AA1152:AA1215" si="757">AB1152-V1152</f>
        <v>0</v>
      </c>
      <c r="AB1152" s="307">
        <v>38000</v>
      </c>
      <c r="AC1152" s="307">
        <v>23988.42</v>
      </c>
      <c r="AD1152" s="307">
        <f t="shared" si="731"/>
        <v>63.127421052631568</v>
      </c>
      <c r="AE1152" s="307">
        <f t="shared" si="738"/>
        <v>0</v>
      </c>
      <c r="AF1152" s="307">
        <v>38000</v>
      </c>
      <c r="AG1152" s="307">
        <v>42000</v>
      </c>
      <c r="AH1152" s="307">
        <v>42000</v>
      </c>
      <c r="AI1152" s="307">
        <v>42000</v>
      </c>
      <c r="AJ1152" s="162" t="b">
        <f t="shared" si="721"/>
        <v>0</v>
      </c>
      <c r="AK1152" s="162" t="str">
        <f t="shared" si="722"/>
        <v>PUNO</v>
      </c>
      <c r="AL1152" s="208"/>
      <c r="AM1152" s="164"/>
      <c r="AN1152" s="208"/>
      <c r="AO1152" s="208"/>
      <c r="AP1152" s="208"/>
      <c r="AQ1152" s="208"/>
      <c r="AR1152" s="208"/>
      <c r="AS1152" s="208"/>
    </row>
    <row r="1153" spans="1:39" ht="15.75" x14ac:dyDescent="0.2">
      <c r="B1153" s="177"/>
      <c r="C1153" s="177"/>
      <c r="D1153" s="177">
        <v>323</v>
      </c>
      <c r="E1153" s="177"/>
      <c r="F1153" s="177"/>
      <c r="G1153" s="177"/>
      <c r="H1153" s="16" t="s">
        <v>526</v>
      </c>
      <c r="I1153" s="17">
        <f>SUM(I1154:I1154)</f>
        <v>44000</v>
      </c>
      <c r="J1153" s="17">
        <f>SUM(J1154:J1154)</f>
        <v>33892.99</v>
      </c>
      <c r="K1153" s="17">
        <f t="shared" si="743"/>
        <v>77.03</v>
      </c>
      <c r="L1153" s="17">
        <f t="shared" si="744"/>
        <v>6117.4000000000015</v>
      </c>
      <c r="M1153" s="17">
        <f>SUM(M1154:M1154)</f>
        <v>50117.4</v>
      </c>
      <c r="N1153" s="17">
        <f>SUM(N1154:N1154)</f>
        <v>48000</v>
      </c>
      <c r="O1153" s="17">
        <f>SUM(O1154:O1154)</f>
        <v>27228.02</v>
      </c>
      <c r="P1153" s="26">
        <f t="shared" si="755"/>
        <v>0</v>
      </c>
      <c r="Q1153" s="17">
        <f t="shared" ref="Q1153:AI1153" si="758">SUM(Q1154:Q1154)</f>
        <v>48000</v>
      </c>
      <c r="R1153" s="17">
        <f t="shared" si="758"/>
        <v>48000</v>
      </c>
      <c r="S1153" s="17">
        <f t="shared" si="758"/>
        <v>49000</v>
      </c>
      <c r="T1153" s="26">
        <f t="shared" si="758"/>
        <v>48000</v>
      </c>
      <c r="U1153" s="26">
        <f t="shared" si="758"/>
        <v>47243.71</v>
      </c>
      <c r="V1153" s="17">
        <f t="shared" si="758"/>
        <v>48000</v>
      </c>
      <c r="W1153" s="17">
        <f t="shared" si="758"/>
        <v>48000</v>
      </c>
      <c r="X1153" s="17">
        <f t="shared" si="758"/>
        <v>49000</v>
      </c>
      <c r="Y1153" s="17">
        <f t="shared" si="758"/>
        <v>13559.1</v>
      </c>
      <c r="Z1153" s="17">
        <f t="shared" si="718"/>
        <v>28.25</v>
      </c>
      <c r="AA1153" s="17">
        <f t="shared" si="757"/>
        <v>0</v>
      </c>
      <c r="AB1153" s="17">
        <f t="shared" si="758"/>
        <v>48000</v>
      </c>
      <c r="AC1153" s="17">
        <f t="shared" si="758"/>
        <v>25583.72</v>
      </c>
      <c r="AD1153" s="17">
        <f t="shared" si="731"/>
        <v>53.299416666666666</v>
      </c>
      <c r="AE1153" s="17">
        <f t="shared" si="738"/>
        <v>0</v>
      </c>
      <c r="AF1153" s="17">
        <f t="shared" si="758"/>
        <v>48000</v>
      </c>
      <c r="AG1153" s="17">
        <f t="shared" si="758"/>
        <v>52000</v>
      </c>
      <c r="AH1153" s="17">
        <f t="shared" si="758"/>
        <v>52000</v>
      </c>
      <c r="AI1153" s="17">
        <f t="shared" si="758"/>
        <v>52000</v>
      </c>
      <c r="AJ1153" s="162" t="b">
        <f t="shared" si="721"/>
        <v>1</v>
      </c>
      <c r="AK1153" s="162" t="str">
        <f t="shared" si="722"/>
        <v>PRAZNO</v>
      </c>
      <c r="AM1153" s="164"/>
    </row>
    <row r="1154" spans="1:39" ht="15.75" x14ac:dyDescent="0.2">
      <c r="B1154" s="177"/>
      <c r="C1154" s="177"/>
      <c r="D1154" s="177"/>
      <c r="E1154" s="177">
        <v>3231</v>
      </c>
      <c r="F1154" s="176">
        <v>16</v>
      </c>
      <c r="G1154" s="176" t="s">
        <v>803</v>
      </c>
      <c r="H1154" s="16" t="s">
        <v>206</v>
      </c>
      <c r="I1154" s="18">
        <v>44000</v>
      </c>
      <c r="J1154" s="181">
        <v>33892.99</v>
      </c>
      <c r="K1154" s="181">
        <f t="shared" si="743"/>
        <v>77.03</v>
      </c>
      <c r="L1154" s="181">
        <f t="shared" si="744"/>
        <v>6117.4000000000015</v>
      </c>
      <c r="M1154" s="181">
        <v>50117.4</v>
      </c>
      <c r="N1154" s="181">
        <v>48000</v>
      </c>
      <c r="O1154" s="181">
        <v>27228.02</v>
      </c>
      <c r="P1154" s="26">
        <f t="shared" si="755"/>
        <v>0</v>
      </c>
      <c r="Q1154" s="181">
        <v>48000</v>
      </c>
      <c r="R1154" s="181">
        <v>48000</v>
      </c>
      <c r="S1154" s="181">
        <v>49000</v>
      </c>
      <c r="T1154" s="307">
        <v>48000</v>
      </c>
      <c r="U1154" s="307">
        <v>47243.71</v>
      </c>
      <c r="V1154" s="307">
        <v>48000</v>
      </c>
      <c r="W1154" s="307">
        <v>48000</v>
      </c>
      <c r="X1154" s="181">
        <v>49000</v>
      </c>
      <c r="Y1154" s="307">
        <v>13559.1</v>
      </c>
      <c r="Z1154" s="307">
        <f t="shared" si="718"/>
        <v>28.25</v>
      </c>
      <c r="AA1154" s="307">
        <f t="shared" si="757"/>
        <v>0</v>
      </c>
      <c r="AB1154" s="307">
        <v>48000</v>
      </c>
      <c r="AC1154" s="307">
        <v>25583.72</v>
      </c>
      <c r="AD1154" s="307">
        <f t="shared" si="731"/>
        <v>53.299416666666666</v>
      </c>
      <c r="AE1154" s="307">
        <f t="shared" si="738"/>
        <v>0</v>
      </c>
      <c r="AF1154" s="307">
        <v>48000</v>
      </c>
      <c r="AG1154" s="307">
        <v>52000</v>
      </c>
      <c r="AH1154" s="307">
        <v>52000</v>
      </c>
      <c r="AI1154" s="307">
        <v>52000</v>
      </c>
      <c r="AJ1154" s="162" t="b">
        <f t="shared" si="721"/>
        <v>0</v>
      </c>
      <c r="AK1154" s="162" t="str">
        <f t="shared" si="722"/>
        <v>PUNO</v>
      </c>
      <c r="AM1154" s="164"/>
    </row>
    <row r="1155" spans="1:39" ht="15.75" x14ac:dyDescent="0.2">
      <c r="B1155" s="177"/>
      <c r="C1155" s="177"/>
      <c r="D1155" s="177">
        <v>329</v>
      </c>
      <c r="E1155" s="177"/>
      <c r="F1155" s="177"/>
      <c r="G1155" s="177"/>
      <c r="H1155" s="16" t="s">
        <v>531</v>
      </c>
      <c r="I1155" s="17">
        <f>I1156</f>
        <v>1500</v>
      </c>
      <c r="J1155" s="17">
        <f>J1156</f>
        <v>1145.93</v>
      </c>
      <c r="K1155" s="17">
        <f t="shared" si="743"/>
        <v>76.400000000000006</v>
      </c>
      <c r="L1155" s="17">
        <f t="shared" si="744"/>
        <v>-354.06999999999994</v>
      </c>
      <c r="M1155" s="17">
        <f>M1156</f>
        <v>1145.93</v>
      </c>
      <c r="N1155" s="17">
        <f>N1156</f>
        <v>6000</v>
      </c>
      <c r="O1155" s="17">
        <f>O1156</f>
        <v>3086</v>
      </c>
      <c r="P1155" s="26">
        <f t="shared" si="755"/>
        <v>0</v>
      </c>
      <c r="Q1155" s="17">
        <f t="shared" ref="Q1155:AI1155" si="759">Q1156</f>
        <v>6000</v>
      </c>
      <c r="R1155" s="17">
        <f t="shared" si="759"/>
        <v>3000</v>
      </c>
      <c r="S1155" s="17">
        <f t="shared" si="759"/>
        <v>4000</v>
      </c>
      <c r="T1155" s="26">
        <f t="shared" si="759"/>
        <v>6000</v>
      </c>
      <c r="U1155" s="26">
        <f t="shared" si="759"/>
        <v>4540.3999999999996</v>
      </c>
      <c r="V1155" s="17">
        <f t="shared" si="759"/>
        <v>6000</v>
      </c>
      <c r="W1155" s="17">
        <f t="shared" si="759"/>
        <v>6000</v>
      </c>
      <c r="X1155" s="17">
        <f t="shared" si="759"/>
        <v>7000</v>
      </c>
      <c r="Y1155" s="17">
        <f t="shared" si="759"/>
        <v>0</v>
      </c>
      <c r="Z1155" s="17">
        <f t="shared" si="718"/>
        <v>0</v>
      </c>
      <c r="AA1155" s="17">
        <f t="shared" si="757"/>
        <v>0</v>
      </c>
      <c r="AB1155" s="17">
        <f t="shared" si="759"/>
        <v>6000</v>
      </c>
      <c r="AC1155" s="17">
        <f t="shared" si="759"/>
        <v>0</v>
      </c>
      <c r="AD1155" s="17">
        <f t="shared" si="731"/>
        <v>0</v>
      </c>
      <c r="AE1155" s="17">
        <f t="shared" si="738"/>
        <v>-1100</v>
      </c>
      <c r="AF1155" s="17">
        <f t="shared" si="759"/>
        <v>4900</v>
      </c>
      <c r="AG1155" s="17">
        <f t="shared" si="759"/>
        <v>6000</v>
      </c>
      <c r="AH1155" s="17">
        <f t="shared" si="759"/>
        <v>6000</v>
      </c>
      <c r="AI1155" s="17">
        <f t="shared" si="759"/>
        <v>6000</v>
      </c>
      <c r="AJ1155" s="162" t="b">
        <f t="shared" si="721"/>
        <v>1</v>
      </c>
      <c r="AK1155" s="162" t="str">
        <f t="shared" si="722"/>
        <v>PRAZNO</v>
      </c>
      <c r="AM1155" s="164"/>
    </row>
    <row r="1156" spans="1:39" ht="15.75" x14ac:dyDescent="0.2">
      <c r="B1156" s="177"/>
      <c r="C1156" s="177"/>
      <c r="D1156" s="177"/>
      <c r="E1156" s="177">
        <v>3299</v>
      </c>
      <c r="F1156" s="176">
        <v>16</v>
      </c>
      <c r="G1156" s="176" t="s">
        <v>803</v>
      </c>
      <c r="H1156" s="16" t="s">
        <v>531</v>
      </c>
      <c r="I1156" s="18">
        <v>1500</v>
      </c>
      <c r="J1156" s="18">
        <v>1145.93</v>
      </c>
      <c r="K1156" s="18">
        <f t="shared" si="743"/>
        <v>76.400000000000006</v>
      </c>
      <c r="L1156" s="18">
        <f t="shared" si="744"/>
        <v>-354.06999999999994</v>
      </c>
      <c r="M1156" s="18">
        <v>1145.93</v>
      </c>
      <c r="N1156" s="18">
        <v>6000</v>
      </c>
      <c r="O1156" s="18">
        <v>3086</v>
      </c>
      <c r="P1156" s="26">
        <f t="shared" si="755"/>
        <v>0</v>
      </c>
      <c r="Q1156" s="18">
        <v>6000</v>
      </c>
      <c r="R1156" s="18">
        <v>3000</v>
      </c>
      <c r="S1156" s="18">
        <v>4000</v>
      </c>
      <c r="T1156" s="27">
        <v>6000</v>
      </c>
      <c r="U1156" s="27">
        <v>4540.3999999999996</v>
      </c>
      <c r="V1156" s="27">
        <v>6000</v>
      </c>
      <c r="W1156" s="27">
        <v>6000</v>
      </c>
      <c r="X1156" s="18">
        <v>7000</v>
      </c>
      <c r="Y1156" s="27">
        <v>0</v>
      </c>
      <c r="Z1156" s="27">
        <f t="shared" si="718"/>
        <v>0</v>
      </c>
      <c r="AA1156" s="27">
        <f t="shared" si="757"/>
        <v>0</v>
      </c>
      <c r="AB1156" s="27">
        <v>6000</v>
      </c>
      <c r="AC1156" s="27">
        <v>0</v>
      </c>
      <c r="AD1156" s="27">
        <f t="shared" si="731"/>
        <v>0</v>
      </c>
      <c r="AE1156" s="27">
        <f t="shared" si="738"/>
        <v>-1100</v>
      </c>
      <c r="AF1156" s="27">
        <v>4900</v>
      </c>
      <c r="AG1156" s="27">
        <v>6000</v>
      </c>
      <c r="AH1156" s="27">
        <v>6000</v>
      </c>
      <c r="AI1156" s="27">
        <v>6000</v>
      </c>
      <c r="AJ1156" s="162" t="b">
        <f t="shared" si="721"/>
        <v>0</v>
      </c>
      <c r="AK1156" s="162" t="str">
        <f t="shared" si="722"/>
        <v>PUNO</v>
      </c>
      <c r="AM1156" s="164"/>
    </row>
    <row r="1157" spans="1:39" s="453" customFormat="1" ht="15.75" x14ac:dyDescent="0.25">
      <c r="A1157" s="378"/>
      <c r="B1157" s="260"/>
      <c r="C1157" s="260"/>
      <c r="D1157" s="260"/>
      <c r="E1157" s="260"/>
      <c r="F1157" s="448"/>
      <c r="G1157" s="448"/>
      <c r="H1157" s="440" t="s">
        <v>829</v>
      </c>
      <c r="I1157" s="449"/>
      <c r="J1157" s="449"/>
      <c r="K1157" s="449"/>
      <c r="L1157" s="449"/>
      <c r="M1157" s="449"/>
      <c r="N1157" s="449"/>
      <c r="O1157" s="449"/>
      <c r="P1157" s="202"/>
      <c r="Q1157" s="449"/>
      <c r="R1157" s="449"/>
      <c r="S1157" s="449"/>
      <c r="T1157" s="450"/>
      <c r="U1157" s="450">
        <f t="shared" ref="U1157:AI1160" si="760">U1158</f>
        <v>1097698.32</v>
      </c>
      <c r="V1157" s="450">
        <f t="shared" si="760"/>
        <v>1098000</v>
      </c>
      <c r="W1157" s="450">
        <f t="shared" si="760"/>
        <v>1098000</v>
      </c>
      <c r="X1157" s="450">
        <f t="shared" si="760"/>
        <v>1098000</v>
      </c>
      <c r="Y1157" s="450">
        <f t="shared" si="760"/>
        <v>457374.3</v>
      </c>
      <c r="Z1157" s="450">
        <f t="shared" si="760"/>
        <v>41.66</v>
      </c>
      <c r="AA1157" s="450">
        <f t="shared" si="760"/>
        <v>0</v>
      </c>
      <c r="AB1157" s="450">
        <f t="shared" si="760"/>
        <v>1098000</v>
      </c>
      <c r="AC1157" s="450">
        <f t="shared" si="760"/>
        <v>823273.74</v>
      </c>
      <c r="AD1157" s="450">
        <f t="shared" si="731"/>
        <v>74.97939344262295</v>
      </c>
      <c r="AE1157" s="450">
        <f t="shared" si="738"/>
        <v>0</v>
      </c>
      <c r="AF1157" s="450">
        <f t="shared" si="760"/>
        <v>1098000</v>
      </c>
      <c r="AG1157" s="450">
        <f t="shared" si="760"/>
        <v>1098000</v>
      </c>
      <c r="AH1157" s="450">
        <f t="shared" si="760"/>
        <v>1098000</v>
      </c>
      <c r="AI1157" s="450">
        <f t="shared" si="760"/>
        <v>1098000</v>
      </c>
      <c r="AJ1157" s="162" t="b">
        <f t="shared" si="721"/>
        <v>1</v>
      </c>
      <c r="AK1157" s="162" t="str">
        <f t="shared" si="722"/>
        <v>PRAZNO</v>
      </c>
      <c r="AL1157" s="452"/>
      <c r="AM1157" s="287"/>
    </row>
    <row r="1158" spans="1:39" s="174" customFormat="1" ht="15.75" x14ac:dyDescent="0.2">
      <c r="A1158" s="259"/>
      <c r="B1158" s="172">
        <v>3</v>
      </c>
      <c r="C1158" s="172"/>
      <c r="D1158" s="172"/>
      <c r="E1158" s="172"/>
      <c r="F1158" s="220"/>
      <c r="G1158" s="220"/>
      <c r="H1158" s="14" t="s">
        <v>524</v>
      </c>
      <c r="I1158" s="184"/>
      <c r="J1158" s="184"/>
      <c r="K1158" s="184"/>
      <c r="L1158" s="184"/>
      <c r="M1158" s="184"/>
      <c r="N1158" s="184"/>
      <c r="O1158" s="184"/>
      <c r="P1158" s="55"/>
      <c r="Q1158" s="184"/>
      <c r="R1158" s="184"/>
      <c r="S1158" s="184"/>
      <c r="T1158" s="185"/>
      <c r="U1158" s="185">
        <f t="shared" si="760"/>
        <v>1097698.32</v>
      </c>
      <c r="V1158" s="185">
        <f t="shared" si="760"/>
        <v>1098000</v>
      </c>
      <c r="W1158" s="185">
        <f t="shared" si="760"/>
        <v>1098000</v>
      </c>
      <c r="X1158" s="185">
        <f t="shared" si="760"/>
        <v>1098000</v>
      </c>
      <c r="Y1158" s="185">
        <f t="shared" si="760"/>
        <v>457374.3</v>
      </c>
      <c r="Z1158" s="185">
        <f t="shared" si="760"/>
        <v>41.66</v>
      </c>
      <c r="AA1158" s="185">
        <f t="shared" si="760"/>
        <v>0</v>
      </c>
      <c r="AB1158" s="185">
        <f t="shared" si="760"/>
        <v>1098000</v>
      </c>
      <c r="AC1158" s="185">
        <f t="shared" si="760"/>
        <v>823273.74</v>
      </c>
      <c r="AD1158" s="185">
        <f t="shared" si="731"/>
        <v>74.97939344262295</v>
      </c>
      <c r="AE1158" s="185">
        <f t="shared" si="738"/>
        <v>0</v>
      </c>
      <c r="AF1158" s="185">
        <f t="shared" si="760"/>
        <v>1098000</v>
      </c>
      <c r="AG1158" s="185">
        <f t="shared" si="760"/>
        <v>1098000</v>
      </c>
      <c r="AH1158" s="185">
        <f t="shared" si="760"/>
        <v>1098000</v>
      </c>
      <c r="AI1158" s="185">
        <f t="shared" si="760"/>
        <v>1098000</v>
      </c>
      <c r="AJ1158" s="162" t="b">
        <f t="shared" si="721"/>
        <v>1</v>
      </c>
      <c r="AK1158" s="162" t="str">
        <f t="shared" si="722"/>
        <v>PRAZNO</v>
      </c>
      <c r="AL1158" s="173"/>
    </row>
    <row r="1159" spans="1:39" ht="15.75" x14ac:dyDescent="0.2">
      <c r="B1159" s="177"/>
      <c r="C1159" s="177">
        <v>31</v>
      </c>
      <c r="D1159" s="177"/>
      <c r="E1159" s="177"/>
      <c r="F1159" s="176"/>
      <c r="G1159" s="176"/>
      <c r="H1159" s="16" t="s">
        <v>197</v>
      </c>
      <c r="I1159" s="18"/>
      <c r="J1159" s="18"/>
      <c r="K1159" s="18"/>
      <c r="L1159" s="18"/>
      <c r="M1159" s="18"/>
      <c r="N1159" s="18"/>
      <c r="O1159" s="18"/>
      <c r="P1159" s="26"/>
      <c r="Q1159" s="18"/>
      <c r="R1159" s="18"/>
      <c r="S1159" s="18"/>
      <c r="T1159" s="27"/>
      <c r="U1159" s="27">
        <f t="shared" si="760"/>
        <v>1097698.32</v>
      </c>
      <c r="V1159" s="27">
        <f t="shared" si="760"/>
        <v>1098000</v>
      </c>
      <c r="W1159" s="27">
        <f t="shared" si="760"/>
        <v>1098000</v>
      </c>
      <c r="X1159" s="27">
        <f t="shared" si="760"/>
        <v>1098000</v>
      </c>
      <c r="Y1159" s="27">
        <f t="shared" si="760"/>
        <v>457374.3</v>
      </c>
      <c r="Z1159" s="27">
        <f t="shared" si="760"/>
        <v>41.66</v>
      </c>
      <c r="AA1159" s="27">
        <f t="shared" si="760"/>
        <v>0</v>
      </c>
      <c r="AB1159" s="27">
        <f t="shared" si="760"/>
        <v>1098000</v>
      </c>
      <c r="AC1159" s="27">
        <f t="shared" si="760"/>
        <v>823273.74</v>
      </c>
      <c r="AD1159" s="27">
        <f t="shared" si="731"/>
        <v>74.97939344262295</v>
      </c>
      <c r="AE1159" s="27">
        <f t="shared" si="738"/>
        <v>0</v>
      </c>
      <c r="AF1159" s="27">
        <f t="shared" si="760"/>
        <v>1098000</v>
      </c>
      <c r="AG1159" s="27">
        <f t="shared" si="760"/>
        <v>1098000</v>
      </c>
      <c r="AH1159" s="27">
        <f t="shared" si="760"/>
        <v>1098000</v>
      </c>
      <c r="AI1159" s="27">
        <f t="shared" si="760"/>
        <v>1098000</v>
      </c>
      <c r="AJ1159" s="162" t="b">
        <f t="shared" si="721"/>
        <v>1</v>
      </c>
      <c r="AK1159" s="162" t="str">
        <f t="shared" si="722"/>
        <v>PRAZNO</v>
      </c>
      <c r="AM1159" s="164"/>
    </row>
    <row r="1160" spans="1:39" ht="15.75" x14ac:dyDescent="0.2">
      <c r="B1160" s="177"/>
      <c r="C1160" s="177"/>
      <c r="D1160" s="177">
        <v>311</v>
      </c>
      <c r="E1160" s="177"/>
      <c r="F1160" s="176"/>
      <c r="G1160" s="176"/>
      <c r="H1160" s="16" t="s">
        <v>915</v>
      </c>
      <c r="I1160" s="18"/>
      <c r="J1160" s="18"/>
      <c r="K1160" s="18"/>
      <c r="L1160" s="18"/>
      <c r="M1160" s="18"/>
      <c r="N1160" s="18"/>
      <c r="O1160" s="18"/>
      <c r="P1160" s="26"/>
      <c r="Q1160" s="18"/>
      <c r="R1160" s="18"/>
      <c r="S1160" s="18"/>
      <c r="T1160" s="27"/>
      <c r="U1160" s="27">
        <f t="shared" si="760"/>
        <v>1097698.32</v>
      </c>
      <c r="V1160" s="27">
        <f t="shared" si="760"/>
        <v>1098000</v>
      </c>
      <c r="W1160" s="27">
        <f t="shared" si="760"/>
        <v>1098000</v>
      </c>
      <c r="X1160" s="27">
        <f t="shared" si="760"/>
        <v>1098000</v>
      </c>
      <c r="Y1160" s="27">
        <f t="shared" si="760"/>
        <v>457374.3</v>
      </c>
      <c r="Z1160" s="27">
        <f t="shared" si="760"/>
        <v>41.66</v>
      </c>
      <c r="AA1160" s="27">
        <f t="shared" si="760"/>
        <v>0</v>
      </c>
      <c r="AB1160" s="27">
        <f t="shared" si="760"/>
        <v>1098000</v>
      </c>
      <c r="AC1160" s="27">
        <f t="shared" si="760"/>
        <v>823273.74</v>
      </c>
      <c r="AD1160" s="27">
        <f t="shared" si="731"/>
        <v>74.97939344262295</v>
      </c>
      <c r="AE1160" s="27">
        <f t="shared" si="738"/>
        <v>0</v>
      </c>
      <c r="AF1160" s="27">
        <f t="shared" si="760"/>
        <v>1098000</v>
      </c>
      <c r="AG1160" s="27">
        <f t="shared" si="760"/>
        <v>1098000</v>
      </c>
      <c r="AH1160" s="27">
        <f t="shared" si="760"/>
        <v>1098000</v>
      </c>
      <c r="AI1160" s="27">
        <f t="shared" si="760"/>
        <v>1098000</v>
      </c>
      <c r="AJ1160" s="162" t="b">
        <f t="shared" si="721"/>
        <v>1</v>
      </c>
      <c r="AK1160" s="162" t="str">
        <f t="shared" si="722"/>
        <v>PRAZNO</v>
      </c>
      <c r="AM1160" s="164"/>
    </row>
    <row r="1161" spans="1:39" ht="15.75" x14ac:dyDescent="0.2">
      <c r="B1161" s="177"/>
      <c r="C1161" s="177"/>
      <c r="D1161" s="177"/>
      <c r="E1161" s="177">
        <v>3111</v>
      </c>
      <c r="F1161" s="176">
        <v>52</v>
      </c>
      <c r="G1161" s="176" t="s">
        <v>803</v>
      </c>
      <c r="H1161" s="16" t="s">
        <v>199</v>
      </c>
      <c r="I1161" s="18"/>
      <c r="J1161" s="178"/>
      <c r="K1161" s="178"/>
      <c r="L1161" s="178"/>
      <c r="M1161" s="178"/>
      <c r="N1161" s="178"/>
      <c r="O1161" s="178"/>
      <c r="P1161" s="26"/>
      <c r="Q1161" s="178"/>
      <c r="R1161" s="178"/>
      <c r="S1161" s="178"/>
      <c r="T1161" s="266"/>
      <c r="U1161" s="266">
        <v>1097698.32</v>
      </c>
      <c r="V1161" s="266">
        <v>1098000</v>
      </c>
      <c r="W1161" s="266">
        <v>1098000</v>
      </c>
      <c r="X1161" s="266">
        <v>1098000</v>
      </c>
      <c r="Y1161" s="266">
        <v>457374.3</v>
      </c>
      <c r="Z1161" s="266">
        <f t="shared" ref="Z1161:Z1228" si="761">ROUND(Y1161/V1161*100,2)</f>
        <v>41.66</v>
      </c>
      <c r="AA1161" s="266">
        <f t="shared" si="757"/>
        <v>0</v>
      </c>
      <c r="AB1161" s="266">
        <v>1098000</v>
      </c>
      <c r="AC1161" s="266">
        <v>823273.74</v>
      </c>
      <c r="AD1161" s="266">
        <f t="shared" si="731"/>
        <v>74.97939344262295</v>
      </c>
      <c r="AE1161" s="266">
        <f t="shared" si="738"/>
        <v>0</v>
      </c>
      <c r="AF1161" s="266">
        <v>1098000</v>
      </c>
      <c r="AG1161" s="266">
        <v>1098000</v>
      </c>
      <c r="AH1161" s="266">
        <v>1098000</v>
      </c>
      <c r="AI1161" s="266">
        <v>1098000</v>
      </c>
      <c r="AJ1161" s="162" t="b">
        <f t="shared" ref="AJ1161:AJ1224" si="762">ISBLANK(E1161)</f>
        <v>0</v>
      </c>
      <c r="AK1161" s="162" t="str">
        <f t="shared" ref="AK1161:AK1224" si="763">IF(AJ1161,"PRAZNO","PUNO")</f>
        <v>PUNO</v>
      </c>
      <c r="AM1161" s="164"/>
    </row>
    <row r="1162" spans="1:39" ht="15.75" x14ac:dyDescent="0.2">
      <c r="B1162" s="260"/>
      <c r="C1162" s="260"/>
      <c r="D1162" s="260"/>
      <c r="E1162" s="260"/>
      <c r="F1162" s="448"/>
      <c r="G1162" s="448"/>
      <c r="H1162" s="440" t="s">
        <v>827</v>
      </c>
      <c r="I1162" s="449"/>
      <c r="J1162" s="449"/>
      <c r="K1162" s="449"/>
      <c r="L1162" s="449"/>
      <c r="M1162" s="449"/>
      <c r="N1162" s="449"/>
      <c r="O1162" s="449"/>
      <c r="P1162" s="202"/>
      <c r="Q1162" s="449"/>
      <c r="R1162" s="449"/>
      <c r="S1162" s="449"/>
      <c r="T1162" s="450"/>
      <c r="U1162" s="450"/>
      <c r="V1162" s="450"/>
      <c r="W1162" s="450"/>
      <c r="X1162" s="450"/>
      <c r="Y1162" s="450"/>
      <c r="Z1162" s="450"/>
      <c r="AA1162" s="450"/>
      <c r="AB1162" s="450"/>
      <c r="AC1162" s="450"/>
      <c r="AD1162" s="450"/>
      <c r="AE1162" s="450"/>
      <c r="AF1162" s="450"/>
      <c r="AG1162" s="450">
        <f t="shared" ref="AG1162:AI1165" si="764">AG1163</f>
        <v>1000000</v>
      </c>
      <c r="AH1162" s="450">
        <f t="shared" si="764"/>
        <v>1000000</v>
      </c>
      <c r="AI1162" s="450">
        <f t="shared" si="764"/>
        <v>500000</v>
      </c>
      <c r="AJ1162" s="162" t="b">
        <f t="shared" si="762"/>
        <v>1</v>
      </c>
      <c r="AK1162" s="162" t="str">
        <f t="shared" si="763"/>
        <v>PRAZNO</v>
      </c>
      <c r="AM1162" s="164"/>
    </row>
    <row r="1163" spans="1:39" ht="15.75" x14ac:dyDescent="0.2">
      <c r="B1163" s="172">
        <v>3</v>
      </c>
      <c r="C1163" s="172"/>
      <c r="D1163" s="172"/>
      <c r="E1163" s="172"/>
      <c r="F1163" s="220"/>
      <c r="G1163" s="220"/>
      <c r="H1163" s="14" t="s">
        <v>524</v>
      </c>
      <c r="I1163" s="184"/>
      <c r="J1163" s="184"/>
      <c r="K1163" s="184"/>
      <c r="L1163" s="184"/>
      <c r="M1163" s="184"/>
      <c r="N1163" s="184"/>
      <c r="O1163" s="184"/>
      <c r="P1163" s="55"/>
      <c r="Q1163" s="184"/>
      <c r="R1163" s="184"/>
      <c r="S1163" s="184"/>
      <c r="T1163" s="185"/>
      <c r="U1163" s="185"/>
      <c r="V1163" s="185"/>
      <c r="W1163" s="185"/>
      <c r="X1163" s="185"/>
      <c r="Y1163" s="185"/>
      <c r="Z1163" s="185"/>
      <c r="AA1163" s="185"/>
      <c r="AB1163" s="185"/>
      <c r="AC1163" s="185"/>
      <c r="AD1163" s="185"/>
      <c r="AE1163" s="185"/>
      <c r="AF1163" s="185"/>
      <c r="AG1163" s="185">
        <f t="shared" si="764"/>
        <v>1000000</v>
      </c>
      <c r="AH1163" s="185">
        <f t="shared" si="764"/>
        <v>1000000</v>
      </c>
      <c r="AI1163" s="185">
        <f t="shared" si="764"/>
        <v>500000</v>
      </c>
      <c r="AJ1163" s="162" t="b">
        <f t="shared" si="762"/>
        <v>1</v>
      </c>
      <c r="AK1163" s="162" t="str">
        <f t="shared" si="763"/>
        <v>PRAZNO</v>
      </c>
      <c r="AM1163" s="164"/>
    </row>
    <row r="1164" spans="1:39" ht="15.75" x14ac:dyDescent="0.2">
      <c r="B1164" s="177"/>
      <c r="C1164" s="177">
        <v>31</v>
      </c>
      <c r="D1164" s="177"/>
      <c r="E1164" s="177"/>
      <c r="F1164" s="176"/>
      <c r="G1164" s="176"/>
      <c r="H1164" s="16" t="s">
        <v>197</v>
      </c>
      <c r="I1164" s="18"/>
      <c r="J1164" s="178"/>
      <c r="K1164" s="178"/>
      <c r="L1164" s="178"/>
      <c r="M1164" s="178"/>
      <c r="N1164" s="178"/>
      <c r="O1164" s="178"/>
      <c r="P1164" s="26"/>
      <c r="Q1164" s="178"/>
      <c r="R1164" s="178"/>
      <c r="S1164" s="178"/>
      <c r="T1164" s="266"/>
      <c r="U1164" s="266"/>
      <c r="V1164" s="266"/>
      <c r="W1164" s="266"/>
      <c r="X1164" s="266"/>
      <c r="Y1164" s="266"/>
      <c r="Z1164" s="266"/>
      <c r="AA1164" s="266"/>
      <c r="AB1164" s="266"/>
      <c r="AC1164" s="266"/>
      <c r="AD1164" s="266"/>
      <c r="AE1164" s="266"/>
      <c r="AF1164" s="266"/>
      <c r="AG1164" s="266">
        <f t="shared" si="764"/>
        <v>1000000</v>
      </c>
      <c r="AH1164" s="266">
        <f t="shared" si="764"/>
        <v>1000000</v>
      </c>
      <c r="AI1164" s="266">
        <f t="shared" si="764"/>
        <v>500000</v>
      </c>
      <c r="AJ1164" s="162" t="b">
        <f t="shared" si="762"/>
        <v>1</v>
      </c>
      <c r="AK1164" s="162" t="str">
        <f t="shared" si="763"/>
        <v>PRAZNO</v>
      </c>
      <c r="AM1164" s="164"/>
    </row>
    <row r="1165" spans="1:39" ht="15.75" x14ac:dyDescent="0.2">
      <c r="B1165" s="177"/>
      <c r="C1165" s="177"/>
      <c r="D1165" s="177">
        <v>311</v>
      </c>
      <c r="E1165" s="177"/>
      <c r="F1165" s="176"/>
      <c r="G1165" s="176"/>
      <c r="H1165" s="16" t="s">
        <v>915</v>
      </c>
      <c r="I1165" s="18"/>
      <c r="J1165" s="178"/>
      <c r="K1165" s="178"/>
      <c r="L1165" s="178"/>
      <c r="M1165" s="178"/>
      <c r="N1165" s="178"/>
      <c r="O1165" s="178"/>
      <c r="P1165" s="26"/>
      <c r="Q1165" s="178"/>
      <c r="R1165" s="178"/>
      <c r="S1165" s="178"/>
      <c r="T1165" s="266"/>
      <c r="U1165" s="266"/>
      <c r="V1165" s="266"/>
      <c r="W1165" s="266"/>
      <c r="X1165" s="266"/>
      <c r="Y1165" s="266"/>
      <c r="Z1165" s="266"/>
      <c r="AA1165" s="266"/>
      <c r="AB1165" s="266"/>
      <c r="AC1165" s="266"/>
      <c r="AD1165" s="266"/>
      <c r="AE1165" s="266"/>
      <c r="AF1165" s="266"/>
      <c r="AG1165" s="266">
        <f t="shared" si="764"/>
        <v>1000000</v>
      </c>
      <c r="AH1165" s="266">
        <f t="shared" si="764"/>
        <v>1000000</v>
      </c>
      <c r="AI1165" s="266">
        <f t="shared" si="764"/>
        <v>500000</v>
      </c>
      <c r="AJ1165" s="162" t="b">
        <f t="shared" si="762"/>
        <v>1</v>
      </c>
      <c r="AK1165" s="162" t="str">
        <f t="shared" si="763"/>
        <v>PRAZNO</v>
      </c>
      <c r="AM1165" s="164"/>
    </row>
    <row r="1166" spans="1:39" ht="15.75" x14ac:dyDescent="0.2">
      <c r="B1166" s="177"/>
      <c r="C1166" s="177"/>
      <c r="D1166" s="177"/>
      <c r="E1166" s="177">
        <v>3111</v>
      </c>
      <c r="F1166" s="176">
        <v>41</v>
      </c>
      <c r="G1166" s="176" t="s">
        <v>803</v>
      </c>
      <c r="H1166" s="16" t="s">
        <v>199</v>
      </c>
      <c r="I1166" s="18"/>
      <c r="J1166" s="178"/>
      <c r="K1166" s="178"/>
      <c r="L1166" s="178"/>
      <c r="M1166" s="178"/>
      <c r="N1166" s="178"/>
      <c r="O1166" s="178"/>
      <c r="P1166" s="26"/>
      <c r="Q1166" s="178"/>
      <c r="R1166" s="178"/>
      <c r="S1166" s="178"/>
      <c r="T1166" s="266"/>
      <c r="U1166" s="266"/>
      <c r="V1166" s="266"/>
      <c r="W1166" s="266"/>
      <c r="X1166" s="266"/>
      <c r="Y1166" s="266"/>
      <c r="Z1166" s="266"/>
      <c r="AA1166" s="266"/>
      <c r="AB1166" s="266"/>
      <c r="AC1166" s="266"/>
      <c r="AD1166" s="266"/>
      <c r="AE1166" s="266"/>
      <c r="AF1166" s="266"/>
      <c r="AG1166" s="266">
        <v>1000000</v>
      </c>
      <c r="AH1166" s="266">
        <v>1000000</v>
      </c>
      <c r="AI1166" s="266">
        <v>500000</v>
      </c>
      <c r="AJ1166" s="162" t="b">
        <f t="shared" si="762"/>
        <v>0</v>
      </c>
      <c r="AK1166" s="162" t="str">
        <f t="shared" si="763"/>
        <v>PUNO</v>
      </c>
      <c r="AM1166" s="164"/>
    </row>
    <row r="1167" spans="1:39" s="171" customFormat="1" ht="47.25" x14ac:dyDescent="0.2">
      <c r="A1167" s="259"/>
      <c r="B1167" s="168"/>
      <c r="C1167" s="168"/>
      <c r="D1167" s="168"/>
      <c r="E1167" s="168"/>
      <c r="F1167" s="168"/>
      <c r="G1167" s="168"/>
      <c r="H1167" s="12" t="s">
        <v>599</v>
      </c>
      <c r="I1167" s="169">
        <f>I1169</f>
        <v>287000</v>
      </c>
      <c r="J1167" s="169">
        <f>J1169</f>
        <v>143372</v>
      </c>
      <c r="K1167" s="169">
        <f t="shared" si="743"/>
        <v>49.96</v>
      </c>
      <c r="L1167" s="169">
        <f t="shared" si="744"/>
        <v>-256</v>
      </c>
      <c r="M1167" s="19">
        <f>M1169</f>
        <v>286744</v>
      </c>
      <c r="N1167" s="19">
        <f>N1169</f>
        <v>287000</v>
      </c>
      <c r="O1167" s="19">
        <f>O1169</f>
        <v>143372</v>
      </c>
      <c r="P1167" s="303">
        <f t="shared" si="755"/>
        <v>0</v>
      </c>
      <c r="Q1167" s="19">
        <f t="shared" ref="Q1167:X1167" si="765">Q1169</f>
        <v>287000</v>
      </c>
      <c r="R1167" s="19">
        <f t="shared" si="765"/>
        <v>287000</v>
      </c>
      <c r="S1167" s="19">
        <f t="shared" si="765"/>
        <v>287000</v>
      </c>
      <c r="T1167" s="53">
        <f t="shared" si="765"/>
        <v>287000</v>
      </c>
      <c r="U1167" s="53">
        <f>U1169</f>
        <v>286744</v>
      </c>
      <c r="V1167" s="19">
        <f t="shared" si="765"/>
        <v>287000</v>
      </c>
      <c r="W1167" s="19">
        <f t="shared" si="765"/>
        <v>287000</v>
      </c>
      <c r="X1167" s="19">
        <f t="shared" si="765"/>
        <v>287000</v>
      </c>
      <c r="Y1167" s="19">
        <f>Y1169</f>
        <v>0</v>
      </c>
      <c r="Z1167" s="19">
        <f t="shared" si="761"/>
        <v>0</v>
      </c>
      <c r="AA1167" s="19">
        <f t="shared" si="757"/>
        <v>0</v>
      </c>
      <c r="AB1167" s="19">
        <f>AB1169</f>
        <v>287000</v>
      </c>
      <c r="AC1167" s="19">
        <f>AC1169</f>
        <v>143372</v>
      </c>
      <c r="AD1167" s="19">
        <f t="shared" si="731"/>
        <v>49.95540069686411</v>
      </c>
      <c r="AE1167" s="19">
        <f t="shared" si="738"/>
        <v>0</v>
      </c>
      <c r="AF1167" s="19">
        <f>AF1169</f>
        <v>287000</v>
      </c>
      <c r="AG1167" s="19">
        <f>AG1169</f>
        <v>287000</v>
      </c>
      <c r="AH1167" s="19">
        <f>AH1169</f>
        <v>287000</v>
      </c>
      <c r="AI1167" s="19">
        <f>AI1169</f>
        <v>287000</v>
      </c>
      <c r="AJ1167" s="162" t="b">
        <f t="shared" si="762"/>
        <v>1</v>
      </c>
      <c r="AK1167" s="162" t="str">
        <f t="shared" si="763"/>
        <v>PRAZNO</v>
      </c>
      <c r="AL1167" s="170"/>
      <c r="AM1167" s="164"/>
    </row>
    <row r="1168" spans="1:39" s="264" customFormat="1" ht="15.75" x14ac:dyDescent="0.2">
      <c r="A1168" s="259"/>
      <c r="B1168" s="260"/>
      <c r="C1168" s="260"/>
      <c r="D1168" s="260"/>
      <c r="E1168" s="260"/>
      <c r="F1168" s="260"/>
      <c r="G1168" s="260"/>
      <c r="H1168" s="441" t="s">
        <v>824</v>
      </c>
      <c r="I1168" s="181"/>
      <c r="J1168" s="181"/>
      <c r="K1168" s="181"/>
      <c r="L1168" s="181"/>
      <c r="M1168" s="262"/>
      <c r="N1168" s="262"/>
      <c r="O1168" s="262"/>
      <c r="P1168" s="445"/>
      <c r="Q1168" s="262"/>
      <c r="R1168" s="262"/>
      <c r="S1168" s="262"/>
      <c r="T1168" s="342"/>
      <c r="U1168" s="342"/>
      <c r="V1168" s="262">
        <f>V1169</f>
        <v>287000</v>
      </c>
      <c r="W1168" s="262">
        <f>W1169</f>
        <v>287000</v>
      </c>
      <c r="X1168" s="262">
        <f>X1169</f>
        <v>287000</v>
      </c>
      <c r="Y1168" s="262">
        <f>Y1169</f>
        <v>0</v>
      </c>
      <c r="Z1168" s="262">
        <f t="shared" si="761"/>
        <v>0</v>
      </c>
      <c r="AA1168" s="262">
        <f t="shared" si="757"/>
        <v>0</v>
      </c>
      <c r="AB1168" s="262">
        <f>AB1169</f>
        <v>287000</v>
      </c>
      <c r="AC1168" s="262">
        <f>AC1169</f>
        <v>143372</v>
      </c>
      <c r="AD1168" s="262">
        <f t="shared" si="731"/>
        <v>49.95540069686411</v>
      </c>
      <c r="AE1168" s="262">
        <f t="shared" si="738"/>
        <v>0</v>
      </c>
      <c r="AF1168" s="262">
        <f>AF1169</f>
        <v>287000</v>
      </c>
      <c r="AG1168" s="262">
        <f>AG1169</f>
        <v>287000</v>
      </c>
      <c r="AH1168" s="262">
        <f>AH1169</f>
        <v>287000</v>
      </c>
      <c r="AI1168" s="262">
        <f>AI1169</f>
        <v>287000</v>
      </c>
      <c r="AJ1168" s="162" t="b">
        <f t="shared" si="762"/>
        <v>1</v>
      </c>
      <c r="AK1168" s="162" t="str">
        <f t="shared" si="763"/>
        <v>PRAZNO</v>
      </c>
      <c r="AL1168" s="263"/>
    </row>
    <row r="1169" spans="1:39" s="174" customFormat="1" ht="15.75" x14ac:dyDescent="0.2">
      <c r="A1169" s="259"/>
      <c r="B1169" s="172">
        <v>3</v>
      </c>
      <c r="C1169" s="172"/>
      <c r="D1169" s="172"/>
      <c r="E1169" s="172"/>
      <c r="F1169" s="172"/>
      <c r="G1169" s="172"/>
      <c r="H1169" s="14" t="s">
        <v>524</v>
      </c>
      <c r="I1169" s="20">
        <f t="shared" ref="I1169:AI1170" si="766">I1170</f>
        <v>287000</v>
      </c>
      <c r="J1169" s="20">
        <f t="shared" si="766"/>
        <v>143372</v>
      </c>
      <c r="K1169" s="20">
        <f t="shared" si="743"/>
        <v>49.96</v>
      </c>
      <c r="L1169" s="20">
        <f t="shared" si="744"/>
        <v>-256</v>
      </c>
      <c r="M1169" s="20">
        <f>M1170</f>
        <v>286744</v>
      </c>
      <c r="N1169" s="20">
        <f t="shared" si="766"/>
        <v>287000</v>
      </c>
      <c r="O1169" s="20">
        <f t="shared" si="766"/>
        <v>143372</v>
      </c>
      <c r="P1169" s="55">
        <f t="shared" si="755"/>
        <v>0</v>
      </c>
      <c r="Q1169" s="20">
        <f t="shared" si="766"/>
        <v>287000</v>
      </c>
      <c r="R1169" s="20">
        <f t="shared" si="766"/>
        <v>287000</v>
      </c>
      <c r="S1169" s="20">
        <f t="shared" si="766"/>
        <v>287000</v>
      </c>
      <c r="T1169" s="55">
        <f t="shared" si="766"/>
        <v>287000</v>
      </c>
      <c r="U1169" s="55">
        <f t="shared" si="766"/>
        <v>286744</v>
      </c>
      <c r="V1169" s="20">
        <f t="shared" si="766"/>
        <v>287000</v>
      </c>
      <c r="W1169" s="20">
        <f t="shared" si="766"/>
        <v>287000</v>
      </c>
      <c r="X1169" s="20">
        <f t="shared" si="766"/>
        <v>287000</v>
      </c>
      <c r="Y1169" s="20">
        <f t="shared" si="766"/>
        <v>0</v>
      </c>
      <c r="Z1169" s="20">
        <f t="shared" si="761"/>
        <v>0</v>
      </c>
      <c r="AA1169" s="20">
        <f t="shared" si="757"/>
        <v>0</v>
      </c>
      <c r="AB1169" s="20">
        <f t="shared" si="766"/>
        <v>287000</v>
      </c>
      <c r="AC1169" s="20">
        <f t="shared" si="766"/>
        <v>143372</v>
      </c>
      <c r="AD1169" s="20">
        <f t="shared" si="731"/>
        <v>49.95540069686411</v>
      </c>
      <c r="AE1169" s="20">
        <f t="shared" si="738"/>
        <v>0</v>
      </c>
      <c r="AF1169" s="20">
        <f t="shared" si="766"/>
        <v>287000</v>
      </c>
      <c r="AG1169" s="20">
        <f t="shared" si="766"/>
        <v>287000</v>
      </c>
      <c r="AH1169" s="20">
        <f t="shared" si="766"/>
        <v>287000</v>
      </c>
      <c r="AI1169" s="20">
        <f t="shared" si="766"/>
        <v>287000</v>
      </c>
      <c r="AJ1169" s="162" t="b">
        <f t="shared" si="762"/>
        <v>1</v>
      </c>
      <c r="AK1169" s="162" t="str">
        <f t="shared" si="763"/>
        <v>PRAZNO</v>
      </c>
      <c r="AL1169" s="173"/>
      <c r="AM1169" s="164"/>
    </row>
    <row r="1170" spans="1:39" ht="15.75" x14ac:dyDescent="0.2">
      <c r="B1170" s="177"/>
      <c r="C1170" s="177">
        <v>36</v>
      </c>
      <c r="D1170" s="177"/>
      <c r="E1170" s="177"/>
      <c r="F1170" s="177"/>
      <c r="G1170" s="177"/>
      <c r="H1170" s="141" t="s">
        <v>751</v>
      </c>
      <c r="I1170" s="18">
        <f t="shared" si="766"/>
        <v>287000</v>
      </c>
      <c r="J1170" s="18">
        <f t="shared" si="766"/>
        <v>143372</v>
      </c>
      <c r="K1170" s="18">
        <f t="shared" si="743"/>
        <v>49.96</v>
      </c>
      <c r="L1170" s="18">
        <f t="shared" si="744"/>
        <v>-256</v>
      </c>
      <c r="M1170" s="18">
        <f>M1171</f>
        <v>286744</v>
      </c>
      <c r="N1170" s="18">
        <f t="shared" si="766"/>
        <v>287000</v>
      </c>
      <c r="O1170" s="18">
        <f t="shared" si="766"/>
        <v>143372</v>
      </c>
      <c r="P1170" s="26">
        <f t="shared" si="755"/>
        <v>0</v>
      </c>
      <c r="Q1170" s="18">
        <f t="shared" si="766"/>
        <v>287000</v>
      </c>
      <c r="R1170" s="18">
        <f t="shared" si="766"/>
        <v>287000</v>
      </c>
      <c r="S1170" s="18">
        <f t="shared" si="766"/>
        <v>287000</v>
      </c>
      <c r="T1170" s="27">
        <f t="shared" si="766"/>
        <v>287000</v>
      </c>
      <c r="U1170" s="27">
        <f t="shared" si="766"/>
        <v>286744</v>
      </c>
      <c r="V1170" s="18">
        <f t="shared" si="766"/>
        <v>287000</v>
      </c>
      <c r="W1170" s="18">
        <f t="shared" si="766"/>
        <v>287000</v>
      </c>
      <c r="X1170" s="18">
        <f t="shared" si="766"/>
        <v>287000</v>
      </c>
      <c r="Y1170" s="18">
        <f t="shared" si="766"/>
        <v>0</v>
      </c>
      <c r="Z1170" s="18">
        <f t="shared" si="761"/>
        <v>0</v>
      </c>
      <c r="AA1170" s="18">
        <f t="shared" si="757"/>
        <v>0</v>
      </c>
      <c r="AB1170" s="18">
        <f t="shared" si="766"/>
        <v>287000</v>
      </c>
      <c r="AC1170" s="18">
        <f t="shared" si="766"/>
        <v>143372</v>
      </c>
      <c r="AD1170" s="18">
        <f t="shared" si="731"/>
        <v>49.95540069686411</v>
      </c>
      <c r="AE1170" s="18">
        <f t="shared" si="738"/>
        <v>0</v>
      </c>
      <c r="AF1170" s="18">
        <f t="shared" si="766"/>
        <v>287000</v>
      </c>
      <c r="AG1170" s="18">
        <f t="shared" si="766"/>
        <v>287000</v>
      </c>
      <c r="AH1170" s="18">
        <f t="shared" si="766"/>
        <v>287000</v>
      </c>
      <c r="AI1170" s="18">
        <f t="shared" si="766"/>
        <v>287000</v>
      </c>
      <c r="AJ1170" s="162" t="b">
        <f t="shared" si="762"/>
        <v>1</v>
      </c>
      <c r="AK1170" s="162" t="str">
        <f t="shared" si="763"/>
        <v>PRAZNO</v>
      </c>
      <c r="AM1170" s="164"/>
    </row>
    <row r="1171" spans="1:39" ht="15.75" x14ac:dyDescent="0.2">
      <c r="B1171" s="177"/>
      <c r="C1171" s="177"/>
      <c r="D1171" s="177">
        <v>363</v>
      </c>
      <c r="E1171" s="177"/>
      <c r="F1171" s="177"/>
      <c r="G1171" s="177"/>
      <c r="H1171" s="16" t="s">
        <v>536</v>
      </c>
      <c r="I1171" s="18">
        <f>I1173+I1172</f>
        <v>287000</v>
      </c>
      <c r="J1171" s="18">
        <f>J1173+J1172</f>
        <v>143372</v>
      </c>
      <c r="K1171" s="18">
        <f t="shared" si="743"/>
        <v>49.96</v>
      </c>
      <c r="L1171" s="18">
        <f t="shared" si="744"/>
        <v>-256</v>
      </c>
      <c r="M1171" s="18">
        <f>M1173+M1172</f>
        <v>286744</v>
      </c>
      <c r="N1171" s="18">
        <f>N1173+N1172</f>
        <v>287000</v>
      </c>
      <c r="O1171" s="18">
        <f>O1173+O1172</f>
        <v>143372</v>
      </c>
      <c r="P1171" s="26">
        <f t="shared" si="755"/>
        <v>0</v>
      </c>
      <c r="Q1171" s="18">
        <f t="shared" ref="Q1171:X1171" si="767">Q1173+Q1172</f>
        <v>287000</v>
      </c>
      <c r="R1171" s="18">
        <f t="shared" si="767"/>
        <v>287000</v>
      </c>
      <c r="S1171" s="18">
        <f t="shared" si="767"/>
        <v>287000</v>
      </c>
      <c r="T1171" s="27">
        <f t="shared" si="767"/>
        <v>287000</v>
      </c>
      <c r="U1171" s="27">
        <f>U1173+U1172</f>
        <v>286744</v>
      </c>
      <c r="V1171" s="18">
        <f t="shared" si="767"/>
        <v>287000</v>
      </c>
      <c r="W1171" s="18">
        <f t="shared" si="767"/>
        <v>287000</v>
      </c>
      <c r="X1171" s="18">
        <f t="shared" si="767"/>
        <v>287000</v>
      </c>
      <c r="Y1171" s="18">
        <f>Y1173+Y1172</f>
        <v>0</v>
      </c>
      <c r="Z1171" s="18">
        <f t="shared" si="761"/>
        <v>0</v>
      </c>
      <c r="AA1171" s="18">
        <f t="shared" si="757"/>
        <v>0</v>
      </c>
      <c r="AB1171" s="18">
        <f>AB1173+AB1172</f>
        <v>287000</v>
      </c>
      <c r="AC1171" s="18">
        <f>AC1173+AC1172</f>
        <v>143372</v>
      </c>
      <c r="AD1171" s="18">
        <f t="shared" si="731"/>
        <v>49.95540069686411</v>
      </c>
      <c r="AE1171" s="18">
        <f t="shared" si="738"/>
        <v>0</v>
      </c>
      <c r="AF1171" s="18">
        <f>AF1173+AF1172</f>
        <v>287000</v>
      </c>
      <c r="AG1171" s="18">
        <f>AG1173+AG1172</f>
        <v>287000</v>
      </c>
      <c r="AH1171" s="18">
        <f>AH1173+AH1172</f>
        <v>287000</v>
      </c>
      <c r="AI1171" s="18">
        <f>AI1173+AI1172</f>
        <v>287000</v>
      </c>
      <c r="AJ1171" s="162" t="b">
        <f t="shared" si="762"/>
        <v>1</v>
      </c>
      <c r="AK1171" s="162" t="str">
        <f t="shared" si="763"/>
        <v>PRAZNO</v>
      </c>
      <c r="AM1171" s="164"/>
    </row>
    <row r="1172" spans="1:39" ht="45" x14ac:dyDescent="0.2">
      <c r="B1172" s="177"/>
      <c r="C1172" s="177"/>
      <c r="D1172" s="177"/>
      <c r="E1172" s="177">
        <v>3631</v>
      </c>
      <c r="F1172" s="176">
        <v>11</v>
      </c>
      <c r="G1172" s="177"/>
      <c r="H1172" s="16" t="s">
        <v>360</v>
      </c>
      <c r="I1172" s="18">
        <v>143937</v>
      </c>
      <c r="J1172" s="178">
        <v>71686</v>
      </c>
      <c r="K1172" s="178">
        <f t="shared" si="743"/>
        <v>49.8</v>
      </c>
      <c r="L1172" s="178">
        <f t="shared" si="744"/>
        <v>0</v>
      </c>
      <c r="M1172" s="178">
        <v>143937</v>
      </c>
      <c r="N1172" s="178">
        <v>107000</v>
      </c>
      <c r="O1172" s="178">
        <v>71686</v>
      </c>
      <c r="P1172" s="26">
        <f t="shared" si="755"/>
        <v>19680</v>
      </c>
      <c r="Q1172" s="178">
        <v>180000</v>
      </c>
      <c r="R1172" s="178">
        <v>180000</v>
      </c>
      <c r="S1172" s="178">
        <v>180000</v>
      </c>
      <c r="T1172" s="266">
        <f>107000+19680</f>
        <v>126680</v>
      </c>
      <c r="U1172" s="266">
        <v>126424</v>
      </c>
      <c r="V1172" s="266">
        <v>107000</v>
      </c>
      <c r="W1172" s="266">
        <v>107000</v>
      </c>
      <c r="X1172" s="266">
        <v>107000</v>
      </c>
      <c r="Y1172" s="266">
        <v>0</v>
      </c>
      <c r="Z1172" s="266">
        <f t="shared" si="761"/>
        <v>0</v>
      </c>
      <c r="AA1172" s="266">
        <f t="shared" si="757"/>
        <v>0</v>
      </c>
      <c r="AB1172" s="266">
        <v>107000</v>
      </c>
      <c r="AC1172" s="266"/>
      <c r="AD1172" s="266">
        <f t="shared" si="731"/>
        <v>0</v>
      </c>
      <c r="AE1172" s="27">
        <f t="shared" si="738"/>
        <v>0</v>
      </c>
      <c r="AF1172" s="266">
        <v>107000</v>
      </c>
      <c r="AG1172" s="266">
        <v>107000</v>
      </c>
      <c r="AH1172" s="266">
        <v>107000</v>
      </c>
      <c r="AI1172" s="266">
        <v>107000</v>
      </c>
      <c r="AJ1172" s="162" t="b">
        <f t="shared" si="762"/>
        <v>0</v>
      </c>
      <c r="AK1172" s="162" t="str">
        <f t="shared" si="763"/>
        <v>PUNO</v>
      </c>
      <c r="AM1172" s="164"/>
    </row>
    <row r="1173" spans="1:39" ht="45" x14ac:dyDescent="0.2">
      <c r="B1173" s="177"/>
      <c r="C1173" s="177"/>
      <c r="D1173" s="177"/>
      <c r="E1173" s="177">
        <v>3631</v>
      </c>
      <c r="F1173" s="176">
        <v>11</v>
      </c>
      <c r="G1173" s="177"/>
      <c r="H1173" s="16" t="s">
        <v>360</v>
      </c>
      <c r="I1173" s="18">
        <v>143063</v>
      </c>
      <c r="J1173" s="178">
        <v>71686</v>
      </c>
      <c r="K1173" s="178">
        <f t="shared" si="743"/>
        <v>50.11</v>
      </c>
      <c r="L1173" s="178">
        <f t="shared" si="744"/>
        <v>-256</v>
      </c>
      <c r="M1173" s="178">
        <v>142807</v>
      </c>
      <c r="N1173" s="178">
        <v>180000</v>
      </c>
      <c r="O1173" s="178">
        <v>71686</v>
      </c>
      <c r="P1173" s="26">
        <f t="shared" si="755"/>
        <v>-19680</v>
      </c>
      <c r="Q1173" s="178">
        <v>107000</v>
      </c>
      <c r="R1173" s="178">
        <v>107000</v>
      </c>
      <c r="S1173" s="178">
        <v>107000</v>
      </c>
      <c r="T1173" s="266">
        <f>180000-19680</f>
        <v>160320</v>
      </c>
      <c r="U1173" s="266">
        <v>160320</v>
      </c>
      <c r="V1173" s="266">
        <v>180000</v>
      </c>
      <c r="W1173" s="266">
        <v>180000</v>
      </c>
      <c r="X1173" s="266">
        <v>180000</v>
      </c>
      <c r="Y1173" s="266">
        <v>0</v>
      </c>
      <c r="Z1173" s="266">
        <f t="shared" si="761"/>
        <v>0</v>
      </c>
      <c r="AA1173" s="266">
        <f t="shared" si="757"/>
        <v>0</v>
      </c>
      <c r="AB1173" s="266">
        <v>180000</v>
      </c>
      <c r="AC1173" s="266">
        <v>143372</v>
      </c>
      <c r="AD1173" s="266">
        <f t="shared" si="731"/>
        <v>79.651111111111106</v>
      </c>
      <c r="AE1173" s="27">
        <f t="shared" si="738"/>
        <v>0</v>
      </c>
      <c r="AF1173" s="266">
        <v>180000</v>
      </c>
      <c r="AG1173" s="266">
        <v>180000</v>
      </c>
      <c r="AH1173" s="266">
        <v>180000</v>
      </c>
      <c r="AI1173" s="266">
        <v>180000</v>
      </c>
      <c r="AJ1173" s="162" t="b">
        <f t="shared" si="762"/>
        <v>0</v>
      </c>
      <c r="AK1173" s="162" t="str">
        <f t="shared" si="763"/>
        <v>PUNO</v>
      </c>
      <c r="AM1173" s="164"/>
    </row>
    <row r="1174" spans="1:39" s="171" customFormat="1" ht="31.5" x14ac:dyDescent="0.2">
      <c r="A1174" s="259"/>
      <c r="B1174" s="168"/>
      <c r="C1174" s="168"/>
      <c r="D1174" s="168"/>
      <c r="E1174" s="168"/>
      <c r="F1174" s="168"/>
      <c r="G1174" s="168"/>
      <c r="H1174" s="12" t="s">
        <v>161</v>
      </c>
      <c r="I1174" s="169">
        <f>I1176</f>
        <v>23500</v>
      </c>
      <c r="J1174" s="169">
        <f>J1176</f>
        <v>7372.62</v>
      </c>
      <c r="K1174" s="169">
        <f t="shared" si="743"/>
        <v>31.37</v>
      </c>
      <c r="L1174" s="169">
        <f t="shared" si="744"/>
        <v>-10500.51</v>
      </c>
      <c r="M1174" s="19">
        <f>M1176</f>
        <v>12999.49</v>
      </c>
      <c r="N1174" s="19">
        <f>N1176</f>
        <v>26000</v>
      </c>
      <c r="O1174" s="19">
        <f>O1176</f>
        <v>11533.93</v>
      </c>
      <c r="P1174" s="303">
        <f t="shared" si="755"/>
        <v>0</v>
      </c>
      <c r="Q1174" s="19">
        <f t="shared" ref="Q1174:X1174" si="768">Q1176</f>
        <v>26000</v>
      </c>
      <c r="R1174" s="19">
        <f t="shared" si="768"/>
        <v>12000</v>
      </c>
      <c r="S1174" s="19">
        <f t="shared" si="768"/>
        <v>10000</v>
      </c>
      <c r="T1174" s="53">
        <f t="shared" si="768"/>
        <v>26000</v>
      </c>
      <c r="U1174" s="53">
        <f>U1176</f>
        <v>11533.93</v>
      </c>
      <c r="V1174" s="19">
        <f t="shared" si="768"/>
        <v>16000</v>
      </c>
      <c r="W1174" s="19">
        <f t="shared" si="768"/>
        <v>16000</v>
      </c>
      <c r="X1174" s="19">
        <f t="shared" si="768"/>
        <v>18000</v>
      </c>
      <c r="Y1174" s="19">
        <f>Y1176</f>
        <v>0</v>
      </c>
      <c r="Z1174" s="19">
        <f t="shared" si="761"/>
        <v>0</v>
      </c>
      <c r="AA1174" s="19">
        <f t="shared" si="757"/>
        <v>23000</v>
      </c>
      <c r="AB1174" s="19">
        <f>AB1176</f>
        <v>39000</v>
      </c>
      <c r="AC1174" s="19">
        <f>AC1176</f>
        <v>40047.93</v>
      </c>
      <c r="AD1174" s="19">
        <f t="shared" si="731"/>
        <v>102.687</v>
      </c>
      <c r="AE1174" s="19">
        <f t="shared" si="738"/>
        <v>1100</v>
      </c>
      <c r="AF1174" s="19">
        <f>AF1176</f>
        <v>40100</v>
      </c>
      <c r="AG1174" s="19">
        <f>AG1176</f>
        <v>27000</v>
      </c>
      <c r="AH1174" s="19">
        <f>AH1176</f>
        <v>10000</v>
      </c>
      <c r="AI1174" s="19">
        <f>AI1176</f>
        <v>10000</v>
      </c>
      <c r="AJ1174" s="162" t="b">
        <f t="shared" si="762"/>
        <v>1</v>
      </c>
      <c r="AK1174" s="162" t="str">
        <f t="shared" si="763"/>
        <v>PRAZNO</v>
      </c>
      <c r="AL1174" s="170"/>
      <c r="AM1174" s="164"/>
    </row>
    <row r="1175" spans="1:39" s="264" customFormat="1" ht="15.75" x14ac:dyDescent="0.2">
      <c r="A1175" s="259"/>
      <c r="B1175" s="260"/>
      <c r="C1175" s="260"/>
      <c r="D1175" s="260"/>
      <c r="E1175" s="260"/>
      <c r="F1175" s="260"/>
      <c r="G1175" s="260"/>
      <c r="H1175" s="441" t="s">
        <v>824</v>
      </c>
      <c r="I1175" s="181"/>
      <c r="J1175" s="181"/>
      <c r="K1175" s="181"/>
      <c r="L1175" s="181"/>
      <c r="M1175" s="262"/>
      <c r="N1175" s="262"/>
      <c r="O1175" s="262"/>
      <c r="P1175" s="445"/>
      <c r="Q1175" s="262"/>
      <c r="R1175" s="262"/>
      <c r="S1175" s="262"/>
      <c r="T1175" s="342"/>
      <c r="U1175" s="342"/>
      <c r="V1175" s="262">
        <f>V1176</f>
        <v>16000</v>
      </c>
      <c r="W1175" s="262">
        <f>W1176</f>
        <v>16000</v>
      </c>
      <c r="X1175" s="262">
        <f>X1176</f>
        <v>18000</v>
      </c>
      <c r="Y1175" s="262">
        <f>Y1176</f>
        <v>0</v>
      </c>
      <c r="Z1175" s="262">
        <f t="shared" si="761"/>
        <v>0</v>
      </c>
      <c r="AA1175" s="262">
        <f t="shared" si="757"/>
        <v>23000</v>
      </c>
      <c r="AB1175" s="262">
        <f>AB1176</f>
        <v>39000</v>
      </c>
      <c r="AC1175" s="262">
        <f>AC1176</f>
        <v>40047.93</v>
      </c>
      <c r="AD1175" s="262">
        <f t="shared" si="731"/>
        <v>102.687</v>
      </c>
      <c r="AE1175" s="262">
        <f t="shared" si="738"/>
        <v>1100</v>
      </c>
      <c r="AF1175" s="262">
        <f>AF1176</f>
        <v>40100</v>
      </c>
      <c r="AG1175" s="262">
        <f>AG1176</f>
        <v>27000</v>
      </c>
      <c r="AH1175" s="262">
        <f>AH1176</f>
        <v>10000</v>
      </c>
      <c r="AI1175" s="262">
        <f>AI1176</f>
        <v>10000</v>
      </c>
      <c r="AJ1175" s="162" t="b">
        <f t="shared" si="762"/>
        <v>1</v>
      </c>
      <c r="AK1175" s="162" t="str">
        <f t="shared" si="763"/>
        <v>PRAZNO</v>
      </c>
      <c r="AL1175" s="263"/>
    </row>
    <row r="1176" spans="1:39" s="174" customFormat="1" ht="15.75" x14ac:dyDescent="0.2">
      <c r="A1176" s="259"/>
      <c r="B1176" s="172">
        <v>4</v>
      </c>
      <c r="C1176" s="172"/>
      <c r="D1176" s="172"/>
      <c r="E1176" s="172"/>
      <c r="F1176" s="172"/>
      <c r="G1176" s="172"/>
      <c r="H1176" s="14" t="s">
        <v>552</v>
      </c>
      <c r="I1176" s="20">
        <f>I1180+I1177</f>
        <v>23500</v>
      </c>
      <c r="J1176" s="20">
        <f>J1180+J1177</f>
        <v>7372.62</v>
      </c>
      <c r="K1176" s="20">
        <f t="shared" si="743"/>
        <v>31.37</v>
      </c>
      <c r="L1176" s="20">
        <f t="shared" si="744"/>
        <v>-10500.51</v>
      </c>
      <c r="M1176" s="20">
        <f>M1180+M1177</f>
        <v>12999.49</v>
      </c>
      <c r="N1176" s="20">
        <f>N1180+N1177</f>
        <v>26000</v>
      </c>
      <c r="O1176" s="20">
        <f>O1180+O1177</f>
        <v>11533.93</v>
      </c>
      <c r="P1176" s="55">
        <f t="shared" si="755"/>
        <v>0</v>
      </c>
      <c r="Q1176" s="20">
        <f t="shared" ref="Q1176:X1176" si="769">Q1180+Q1177</f>
        <v>26000</v>
      </c>
      <c r="R1176" s="20">
        <f t="shared" si="769"/>
        <v>12000</v>
      </c>
      <c r="S1176" s="20">
        <f t="shared" si="769"/>
        <v>10000</v>
      </c>
      <c r="T1176" s="55">
        <f t="shared" si="769"/>
        <v>26000</v>
      </c>
      <c r="U1176" s="55">
        <f>U1180+U1177</f>
        <v>11533.93</v>
      </c>
      <c r="V1176" s="20">
        <f t="shared" si="769"/>
        <v>16000</v>
      </c>
      <c r="W1176" s="20">
        <f t="shared" si="769"/>
        <v>16000</v>
      </c>
      <c r="X1176" s="20">
        <f t="shared" si="769"/>
        <v>18000</v>
      </c>
      <c r="Y1176" s="20">
        <f>Y1180+Y1177</f>
        <v>0</v>
      </c>
      <c r="Z1176" s="20">
        <f t="shared" si="761"/>
        <v>0</v>
      </c>
      <c r="AA1176" s="20">
        <f t="shared" si="757"/>
        <v>23000</v>
      </c>
      <c r="AB1176" s="20">
        <f>AB1180+AB1177</f>
        <v>39000</v>
      </c>
      <c r="AC1176" s="20">
        <f>AC1180+AC1177</f>
        <v>40047.93</v>
      </c>
      <c r="AD1176" s="20">
        <f t="shared" si="731"/>
        <v>102.687</v>
      </c>
      <c r="AE1176" s="20">
        <f t="shared" si="738"/>
        <v>1100</v>
      </c>
      <c r="AF1176" s="20">
        <f>AF1180+AF1177</f>
        <v>40100</v>
      </c>
      <c r="AG1176" s="20">
        <f>AG1180+AG1177</f>
        <v>27000</v>
      </c>
      <c r="AH1176" s="20">
        <f>AH1180+AH1177</f>
        <v>10000</v>
      </c>
      <c r="AI1176" s="20">
        <f>AI1180+AI1177</f>
        <v>10000</v>
      </c>
      <c r="AJ1176" s="162" t="b">
        <f t="shared" si="762"/>
        <v>1</v>
      </c>
      <c r="AK1176" s="162" t="str">
        <f t="shared" si="763"/>
        <v>PRAZNO</v>
      </c>
      <c r="AL1176" s="173"/>
      <c r="AM1176" s="164"/>
    </row>
    <row r="1177" spans="1:39" ht="30" hidden="1" customHeight="1" x14ac:dyDescent="0.2">
      <c r="B1177" s="177"/>
      <c r="C1177" s="177">
        <v>41</v>
      </c>
      <c r="D1177" s="177"/>
      <c r="E1177" s="177"/>
      <c r="F1177" s="177"/>
      <c r="G1177" s="177"/>
      <c r="H1177" s="30" t="s">
        <v>753</v>
      </c>
      <c r="I1177" s="18">
        <f t="shared" ref="I1177:AI1178" si="770">I1178</f>
        <v>0</v>
      </c>
      <c r="J1177" s="18">
        <f t="shared" si="770"/>
        <v>0</v>
      </c>
      <c r="K1177" s="18" t="e">
        <f t="shared" si="743"/>
        <v>#DIV/0!</v>
      </c>
      <c r="L1177" s="18">
        <f t="shared" si="744"/>
        <v>0</v>
      </c>
      <c r="M1177" s="18">
        <f t="shared" si="770"/>
        <v>0</v>
      </c>
      <c r="N1177" s="18">
        <f t="shared" si="770"/>
        <v>0</v>
      </c>
      <c r="O1177" s="18">
        <f t="shared" si="770"/>
        <v>0</v>
      </c>
      <c r="P1177" s="26">
        <f t="shared" si="755"/>
        <v>0</v>
      </c>
      <c r="Q1177" s="18">
        <f t="shared" si="770"/>
        <v>0</v>
      </c>
      <c r="R1177" s="18">
        <f t="shared" si="770"/>
        <v>0</v>
      </c>
      <c r="S1177" s="18">
        <f t="shared" si="770"/>
        <v>0</v>
      </c>
      <c r="T1177" s="27">
        <f t="shared" si="770"/>
        <v>0</v>
      </c>
      <c r="U1177" s="27">
        <f t="shared" si="770"/>
        <v>0</v>
      </c>
      <c r="V1177" s="18">
        <f t="shared" si="770"/>
        <v>0</v>
      </c>
      <c r="W1177" s="18">
        <f t="shared" si="770"/>
        <v>0</v>
      </c>
      <c r="X1177" s="18">
        <f t="shared" si="770"/>
        <v>0</v>
      </c>
      <c r="Y1177" s="18">
        <f t="shared" si="770"/>
        <v>0</v>
      </c>
      <c r="Z1177" s="18" t="e">
        <f t="shared" si="761"/>
        <v>#DIV/0!</v>
      </c>
      <c r="AA1177" s="18">
        <f t="shared" si="757"/>
        <v>0</v>
      </c>
      <c r="AB1177" s="18">
        <f t="shared" si="770"/>
        <v>0</v>
      </c>
      <c r="AC1177" s="18">
        <f t="shared" si="770"/>
        <v>0</v>
      </c>
      <c r="AD1177" s="18" t="e">
        <f t="shared" si="731"/>
        <v>#DIV/0!</v>
      </c>
      <c r="AE1177" s="18">
        <f t="shared" si="738"/>
        <v>0</v>
      </c>
      <c r="AF1177" s="18">
        <f t="shared" si="770"/>
        <v>0</v>
      </c>
      <c r="AG1177" s="18">
        <f t="shared" si="770"/>
        <v>0</v>
      </c>
      <c r="AH1177" s="18">
        <f t="shared" si="770"/>
        <v>0</v>
      </c>
      <c r="AI1177" s="18">
        <f t="shared" si="770"/>
        <v>0</v>
      </c>
      <c r="AJ1177" s="162" t="b">
        <f t="shared" si="762"/>
        <v>1</v>
      </c>
      <c r="AK1177" s="162" t="str">
        <f t="shared" si="763"/>
        <v>PRAZNO</v>
      </c>
      <c r="AM1177" s="164"/>
    </row>
    <row r="1178" spans="1:39" ht="15.75" hidden="1" x14ac:dyDescent="0.2">
      <c r="B1178" s="177"/>
      <c r="C1178" s="177"/>
      <c r="D1178" s="177">
        <v>412</v>
      </c>
      <c r="E1178" s="177"/>
      <c r="F1178" s="177"/>
      <c r="G1178" s="177"/>
      <c r="H1178" s="16" t="s">
        <v>553</v>
      </c>
      <c r="I1178" s="17">
        <f t="shared" si="770"/>
        <v>0</v>
      </c>
      <c r="J1178" s="17">
        <f t="shared" si="770"/>
        <v>0</v>
      </c>
      <c r="K1178" s="17" t="e">
        <f t="shared" si="743"/>
        <v>#DIV/0!</v>
      </c>
      <c r="L1178" s="17">
        <f t="shared" si="744"/>
        <v>0</v>
      </c>
      <c r="M1178" s="17">
        <f t="shared" si="770"/>
        <v>0</v>
      </c>
      <c r="N1178" s="17">
        <f t="shared" si="770"/>
        <v>0</v>
      </c>
      <c r="O1178" s="17">
        <f t="shared" si="770"/>
        <v>0</v>
      </c>
      <c r="P1178" s="26">
        <f t="shared" si="755"/>
        <v>0</v>
      </c>
      <c r="Q1178" s="17">
        <f t="shared" si="770"/>
        <v>0</v>
      </c>
      <c r="R1178" s="17">
        <f t="shared" si="770"/>
        <v>0</v>
      </c>
      <c r="S1178" s="17">
        <f t="shared" si="770"/>
        <v>0</v>
      </c>
      <c r="T1178" s="26">
        <f t="shared" si="770"/>
        <v>0</v>
      </c>
      <c r="U1178" s="26">
        <f t="shared" si="770"/>
        <v>0</v>
      </c>
      <c r="V1178" s="17">
        <f t="shared" si="770"/>
        <v>0</v>
      </c>
      <c r="W1178" s="17">
        <f t="shared" si="770"/>
        <v>0</v>
      </c>
      <c r="X1178" s="17">
        <f t="shared" si="770"/>
        <v>0</v>
      </c>
      <c r="Y1178" s="17">
        <f t="shared" si="770"/>
        <v>0</v>
      </c>
      <c r="Z1178" s="17" t="e">
        <f t="shared" si="761"/>
        <v>#DIV/0!</v>
      </c>
      <c r="AA1178" s="17">
        <f t="shared" si="757"/>
        <v>0</v>
      </c>
      <c r="AB1178" s="17">
        <f t="shared" si="770"/>
        <v>0</v>
      </c>
      <c r="AC1178" s="17">
        <f t="shared" si="770"/>
        <v>0</v>
      </c>
      <c r="AD1178" s="17" t="e">
        <f t="shared" si="731"/>
        <v>#DIV/0!</v>
      </c>
      <c r="AE1178" s="17">
        <f t="shared" si="738"/>
        <v>0</v>
      </c>
      <c r="AF1178" s="17">
        <f t="shared" si="770"/>
        <v>0</v>
      </c>
      <c r="AG1178" s="17">
        <f t="shared" si="770"/>
        <v>0</v>
      </c>
      <c r="AH1178" s="17">
        <f t="shared" si="770"/>
        <v>0</v>
      </c>
      <c r="AI1178" s="17">
        <f t="shared" si="770"/>
        <v>0</v>
      </c>
      <c r="AJ1178" s="162" t="b">
        <f t="shared" si="762"/>
        <v>1</v>
      </c>
      <c r="AK1178" s="162" t="str">
        <f t="shared" si="763"/>
        <v>PRAZNO</v>
      </c>
      <c r="AM1178" s="164"/>
    </row>
    <row r="1179" spans="1:39" ht="15.75" hidden="1" x14ac:dyDescent="0.2">
      <c r="B1179" s="177"/>
      <c r="C1179" s="177"/>
      <c r="D1179" s="177"/>
      <c r="E1179" s="177">
        <v>4123</v>
      </c>
      <c r="F1179" s="176" t="s">
        <v>527</v>
      </c>
      <c r="G1179" s="176" t="s">
        <v>803</v>
      </c>
      <c r="H1179" s="16" t="s">
        <v>554</v>
      </c>
      <c r="I1179" s="18"/>
      <c r="J1179" s="18"/>
      <c r="K1179" s="18" t="e">
        <f t="shared" si="743"/>
        <v>#DIV/0!</v>
      </c>
      <c r="L1179" s="18">
        <f t="shared" si="744"/>
        <v>0</v>
      </c>
      <c r="M1179" s="18"/>
      <c r="N1179" s="18"/>
      <c r="O1179" s="18"/>
      <c r="P1179" s="26">
        <f t="shared" si="755"/>
        <v>0</v>
      </c>
      <c r="Q1179" s="18"/>
      <c r="R1179" s="18"/>
      <c r="S1179" s="18"/>
      <c r="T1179" s="27"/>
      <c r="U1179" s="27"/>
      <c r="V1179" s="18"/>
      <c r="W1179" s="18"/>
      <c r="X1179" s="18"/>
      <c r="Y1179" s="18"/>
      <c r="Z1179" s="18" t="e">
        <f t="shared" si="761"/>
        <v>#DIV/0!</v>
      </c>
      <c r="AA1179" s="18">
        <f t="shared" si="757"/>
        <v>0</v>
      </c>
      <c r="AB1179" s="18"/>
      <c r="AC1179" s="18"/>
      <c r="AD1179" s="18" t="e">
        <f t="shared" si="731"/>
        <v>#DIV/0!</v>
      </c>
      <c r="AE1179" s="18">
        <f t="shared" si="738"/>
        <v>0</v>
      </c>
      <c r="AF1179" s="18"/>
      <c r="AG1179" s="672"/>
      <c r="AH1179" s="672"/>
      <c r="AI1179" s="672"/>
      <c r="AJ1179" s="162" t="b">
        <f t="shared" si="762"/>
        <v>0</v>
      </c>
      <c r="AK1179" s="162" t="str">
        <f t="shared" si="763"/>
        <v>PUNO</v>
      </c>
      <c r="AM1179" s="164"/>
    </row>
    <row r="1180" spans="1:39" ht="25.5" customHeight="1" x14ac:dyDescent="0.2">
      <c r="B1180" s="175"/>
      <c r="C1180" s="175">
        <v>42</v>
      </c>
      <c r="D1180" s="175"/>
      <c r="E1180" s="175"/>
      <c r="F1180" s="175"/>
      <c r="G1180" s="175"/>
      <c r="H1180" s="15" t="s">
        <v>212</v>
      </c>
      <c r="I1180" s="22">
        <f t="shared" ref="I1180:AI1181" si="771">I1181</f>
        <v>23500</v>
      </c>
      <c r="J1180" s="22">
        <f t="shared" si="771"/>
        <v>7372.62</v>
      </c>
      <c r="K1180" s="22">
        <f t="shared" si="743"/>
        <v>31.37</v>
      </c>
      <c r="L1180" s="22">
        <f t="shared" si="744"/>
        <v>-10500.51</v>
      </c>
      <c r="M1180" s="22">
        <f t="shared" si="771"/>
        <v>12999.49</v>
      </c>
      <c r="N1180" s="22">
        <f t="shared" si="771"/>
        <v>26000</v>
      </c>
      <c r="O1180" s="22">
        <f t="shared" si="771"/>
        <v>11533.93</v>
      </c>
      <c r="P1180" s="26">
        <f t="shared" si="755"/>
        <v>0</v>
      </c>
      <c r="Q1180" s="22">
        <f t="shared" si="771"/>
        <v>26000</v>
      </c>
      <c r="R1180" s="22">
        <f t="shared" si="771"/>
        <v>12000</v>
      </c>
      <c r="S1180" s="22">
        <f t="shared" si="771"/>
        <v>10000</v>
      </c>
      <c r="T1180" s="38">
        <f t="shared" si="771"/>
        <v>26000</v>
      </c>
      <c r="U1180" s="38">
        <f t="shared" si="771"/>
        <v>11533.93</v>
      </c>
      <c r="V1180" s="22">
        <f t="shared" si="771"/>
        <v>16000</v>
      </c>
      <c r="W1180" s="22">
        <f t="shared" si="771"/>
        <v>16000</v>
      </c>
      <c r="X1180" s="22">
        <f t="shared" si="771"/>
        <v>18000</v>
      </c>
      <c r="Y1180" s="22">
        <f t="shared" si="771"/>
        <v>0</v>
      </c>
      <c r="Z1180" s="22">
        <f t="shared" si="761"/>
        <v>0</v>
      </c>
      <c r="AA1180" s="22">
        <f t="shared" si="757"/>
        <v>23000</v>
      </c>
      <c r="AB1180" s="22">
        <f t="shared" si="771"/>
        <v>39000</v>
      </c>
      <c r="AC1180" s="22">
        <f t="shared" si="771"/>
        <v>40047.93</v>
      </c>
      <c r="AD1180" s="22">
        <f t="shared" si="731"/>
        <v>102.687</v>
      </c>
      <c r="AE1180" s="22">
        <f t="shared" si="738"/>
        <v>1100</v>
      </c>
      <c r="AF1180" s="22">
        <f t="shared" si="771"/>
        <v>40100</v>
      </c>
      <c r="AG1180" s="22">
        <f t="shared" si="771"/>
        <v>27000</v>
      </c>
      <c r="AH1180" s="22">
        <f t="shared" si="771"/>
        <v>10000</v>
      </c>
      <c r="AI1180" s="22">
        <f t="shared" si="771"/>
        <v>10000</v>
      </c>
      <c r="AJ1180" s="162" t="b">
        <f t="shared" si="762"/>
        <v>1</v>
      </c>
      <c r="AK1180" s="162" t="str">
        <f t="shared" si="763"/>
        <v>PRAZNO</v>
      </c>
      <c r="AM1180" s="164"/>
    </row>
    <row r="1181" spans="1:39" ht="15.75" x14ac:dyDescent="0.2">
      <c r="B1181" s="177"/>
      <c r="C1181" s="177"/>
      <c r="D1181" s="177">
        <v>422</v>
      </c>
      <c r="E1181" s="177"/>
      <c r="F1181" s="177"/>
      <c r="G1181" s="177"/>
      <c r="H1181" s="16" t="s">
        <v>555</v>
      </c>
      <c r="I1181" s="17">
        <f t="shared" si="771"/>
        <v>23500</v>
      </c>
      <c r="J1181" s="17">
        <f t="shared" si="771"/>
        <v>7372.62</v>
      </c>
      <c r="K1181" s="17">
        <f t="shared" si="743"/>
        <v>31.37</v>
      </c>
      <c r="L1181" s="17">
        <f t="shared" si="744"/>
        <v>-10500.51</v>
      </c>
      <c r="M1181" s="17">
        <f t="shared" si="771"/>
        <v>12999.49</v>
      </c>
      <c r="N1181" s="17">
        <f t="shared" si="771"/>
        <v>26000</v>
      </c>
      <c r="O1181" s="17">
        <f t="shared" si="771"/>
        <v>11533.93</v>
      </c>
      <c r="P1181" s="26">
        <f t="shared" si="755"/>
        <v>0</v>
      </c>
      <c r="Q1181" s="17">
        <f t="shared" si="771"/>
        <v>26000</v>
      </c>
      <c r="R1181" s="17">
        <f t="shared" si="771"/>
        <v>12000</v>
      </c>
      <c r="S1181" s="17">
        <f t="shared" si="771"/>
        <v>10000</v>
      </c>
      <c r="T1181" s="26">
        <f t="shared" si="771"/>
        <v>26000</v>
      </c>
      <c r="U1181" s="26">
        <f t="shared" si="771"/>
        <v>11533.93</v>
      </c>
      <c r="V1181" s="17">
        <f t="shared" si="771"/>
        <v>16000</v>
      </c>
      <c r="W1181" s="17">
        <f t="shared" si="771"/>
        <v>16000</v>
      </c>
      <c r="X1181" s="17">
        <f t="shared" si="771"/>
        <v>18000</v>
      </c>
      <c r="Y1181" s="17">
        <f t="shared" si="771"/>
        <v>0</v>
      </c>
      <c r="Z1181" s="17">
        <f t="shared" si="761"/>
        <v>0</v>
      </c>
      <c r="AA1181" s="17">
        <f t="shared" si="757"/>
        <v>23000</v>
      </c>
      <c r="AB1181" s="17">
        <f t="shared" si="771"/>
        <v>39000</v>
      </c>
      <c r="AC1181" s="17">
        <f t="shared" si="771"/>
        <v>40047.93</v>
      </c>
      <c r="AD1181" s="17">
        <f t="shared" si="731"/>
        <v>102.687</v>
      </c>
      <c r="AE1181" s="17">
        <f t="shared" si="738"/>
        <v>1100</v>
      </c>
      <c r="AF1181" s="17">
        <f t="shared" si="771"/>
        <v>40100</v>
      </c>
      <c r="AG1181" s="17">
        <f t="shared" si="771"/>
        <v>27000</v>
      </c>
      <c r="AH1181" s="17">
        <f t="shared" si="771"/>
        <v>10000</v>
      </c>
      <c r="AI1181" s="17">
        <f t="shared" si="771"/>
        <v>10000</v>
      </c>
      <c r="AJ1181" s="162" t="b">
        <f t="shared" si="762"/>
        <v>1</v>
      </c>
      <c r="AK1181" s="162" t="str">
        <f t="shared" si="763"/>
        <v>PRAZNO</v>
      </c>
      <c r="AM1181" s="164"/>
    </row>
    <row r="1182" spans="1:39" ht="15.75" x14ac:dyDescent="0.2">
      <c r="B1182" s="177"/>
      <c r="C1182" s="177"/>
      <c r="D1182" s="177"/>
      <c r="E1182" s="177">
        <v>4221</v>
      </c>
      <c r="F1182" s="176">
        <v>16</v>
      </c>
      <c r="G1182" s="176" t="s">
        <v>803</v>
      </c>
      <c r="H1182" s="16" t="s">
        <v>558</v>
      </c>
      <c r="I1182" s="18">
        <f>10000+13500</f>
        <v>23500</v>
      </c>
      <c r="J1182" s="178">
        <v>7372.62</v>
      </c>
      <c r="K1182" s="178">
        <f t="shared" si="743"/>
        <v>31.37</v>
      </c>
      <c r="L1182" s="178">
        <f t="shared" si="744"/>
        <v>-10500.51</v>
      </c>
      <c r="M1182" s="178">
        <v>12999.49</v>
      </c>
      <c r="N1182" s="178">
        <f>12000+14000</f>
        <v>26000</v>
      </c>
      <c r="O1182" s="178">
        <v>11533.93</v>
      </c>
      <c r="P1182" s="26">
        <f t="shared" si="755"/>
        <v>0</v>
      </c>
      <c r="Q1182" s="178">
        <f>12000+14000</f>
        <v>26000</v>
      </c>
      <c r="R1182" s="178">
        <v>12000</v>
      </c>
      <c r="S1182" s="178">
        <v>10000</v>
      </c>
      <c r="T1182" s="266">
        <v>26000</v>
      </c>
      <c r="U1182" s="266">
        <v>11533.93</v>
      </c>
      <c r="V1182" s="266">
        <v>16000</v>
      </c>
      <c r="W1182" s="266">
        <v>16000</v>
      </c>
      <c r="X1182" s="266">
        <v>18000</v>
      </c>
      <c r="Y1182" s="266">
        <v>0</v>
      </c>
      <c r="Z1182" s="266">
        <f t="shared" si="761"/>
        <v>0</v>
      </c>
      <c r="AA1182" s="266">
        <f t="shared" si="757"/>
        <v>23000</v>
      </c>
      <c r="AB1182" s="266">
        <v>39000</v>
      </c>
      <c r="AC1182" s="266">
        <v>40047.93</v>
      </c>
      <c r="AD1182" s="266">
        <f t="shared" si="731"/>
        <v>102.687</v>
      </c>
      <c r="AE1182" s="266">
        <f t="shared" si="738"/>
        <v>1100</v>
      </c>
      <c r="AF1182" s="266">
        <v>40100</v>
      </c>
      <c r="AG1182" s="178">
        <v>27000</v>
      </c>
      <c r="AH1182" s="178">
        <v>10000</v>
      </c>
      <c r="AI1182" s="178">
        <v>10000</v>
      </c>
      <c r="AJ1182" s="162" t="b">
        <f t="shared" si="762"/>
        <v>0</v>
      </c>
      <c r="AK1182" s="162" t="str">
        <f t="shared" si="763"/>
        <v>PUNO</v>
      </c>
      <c r="AM1182" s="164"/>
    </row>
    <row r="1183" spans="1:39" s="164" customFormat="1" ht="31.5" x14ac:dyDescent="0.2">
      <c r="A1183" s="259"/>
      <c r="B1183" s="194"/>
      <c r="C1183" s="194"/>
      <c r="D1183" s="194"/>
      <c r="E1183" s="194"/>
      <c r="F1183" s="159"/>
      <c r="G1183" s="159"/>
      <c r="H1183" s="24" t="s">
        <v>848</v>
      </c>
      <c r="I1183" s="196">
        <f>I1186</f>
        <v>1388000</v>
      </c>
      <c r="J1183" s="196">
        <f>J1186</f>
        <v>872423.39999999991</v>
      </c>
      <c r="K1183" s="196">
        <f t="shared" si="743"/>
        <v>62.85</v>
      </c>
      <c r="L1183" s="196">
        <f t="shared" si="744"/>
        <v>-169201.22999999998</v>
      </c>
      <c r="M1183" s="195">
        <f>M1186</f>
        <v>1218798.77</v>
      </c>
      <c r="N1183" s="195">
        <f>N1186</f>
        <v>1458000</v>
      </c>
      <c r="O1183" s="195">
        <f>O1186</f>
        <v>843553.88</v>
      </c>
      <c r="P1183" s="351">
        <f t="shared" si="755"/>
        <v>45000</v>
      </c>
      <c r="Q1183" s="195">
        <f>Q1186</f>
        <v>1458000</v>
      </c>
      <c r="R1183" s="195">
        <f>R1186</f>
        <v>1463300</v>
      </c>
      <c r="S1183" s="195">
        <f>S1186</f>
        <v>1470900</v>
      </c>
      <c r="T1183" s="197">
        <f t="shared" ref="T1183:Y1183" si="772">T1185</f>
        <v>1503000</v>
      </c>
      <c r="U1183" s="197">
        <f t="shared" si="772"/>
        <v>1315573.26</v>
      </c>
      <c r="V1183" s="197">
        <f t="shared" si="772"/>
        <v>1463000</v>
      </c>
      <c r="W1183" s="197">
        <f t="shared" si="772"/>
        <v>1463000</v>
      </c>
      <c r="X1183" s="197">
        <f t="shared" si="772"/>
        <v>1520000</v>
      </c>
      <c r="Y1183" s="197">
        <f t="shared" si="772"/>
        <v>635341.06000000006</v>
      </c>
      <c r="Z1183" s="197">
        <f t="shared" si="761"/>
        <v>43.43</v>
      </c>
      <c r="AA1183" s="197">
        <f t="shared" si="757"/>
        <v>80000</v>
      </c>
      <c r="AB1183" s="197">
        <f>AB1185</f>
        <v>1543000</v>
      </c>
      <c r="AC1183" s="197">
        <f>AC1185</f>
        <v>1085911.0499999998</v>
      </c>
      <c r="AD1183" s="197">
        <f t="shared" si="731"/>
        <v>70.376607258587157</v>
      </c>
      <c r="AE1183" s="197">
        <f t="shared" si="738"/>
        <v>10000</v>
      </c>
      <c r="AF1183" s="197">
        <f>AF1185</f>
        <v>1553000</v>
      </c>
      <c r="AG1183" s="197">
        <f>AG1185</f>
        <v>1834000</v>
      </c>
      <c r="AH1183" s="197">
        <f>AH1185</f>
        <v>1632000</v>
      </c>
      <c r="AI1183" s="197">
        <f>AI1185</f>
        <v>1531000</v>
      </c>
      <c r="AJ1183" s="162" t="b">
        <f t="shared" si="762"/>
        <v>1</v>
      </c>
      <c r="AK1183" s="162" t="str">
        <f t="shared" si="763"/>
        <v>PRAZNO</v>
      </c>
      <c r="AL1183" s="165"/>
    </row>
    <row r="1184" spans="1:39" s="164" customFormat="1" ht="15.75" x14ac:dyDescent="0.2">
      <c r="A1184" s="259"/>
      <c r="B1184" s="194"/>
      <c r="C1184" s="194"/>
      <c r="D1184" s="194"/>
      <c r="E1184" s="194"/>
      <c r="F1184" s="159"/>
      <c r="G1184" s="159"/>
      <c r="H1184" s="11" t="s">
        <v>849</v>
      </c>
      <c r="I1184" s="196"/>
      <c r="J1184" s="196"/>
      <c r="K1184" s="196"/>
      <c r="L1184" s="196"/>
      <c r="M1184" s="195"/>
      <c r="N1184" s="195"/>
      <c r="O1184" s="195"/>
      <c r="P1184" s="351"/>
      <c r="Q1184" s="195"/>
      <c r="R1184" s="195"/>
      <c r="S1184" s="195"/>
      <c r="T1184" s="197"/>
      <c r="U1184" s="197"/>
      <c r="V1184" s="195"/>
      <c r="W1184" s="195"/>
      <c r="X1184" s="195"/>
      <c r="Y1184" s="195"/>
      <c r="Z1184" s="195"/>
      <c r="AA1184" s="195"/>
      <c r="AB1184" s="195"/>
      <c r="AC1184" s="195"/>
      <c r="AD1184" s="195"/>
      <c r="AE1184" s="195">
        <f t="shared" si="738"/>
        <v>0</v>
      </c>
      <c r="AF1184" s="195"/>
      <c r="AG1184" s="195"/>
      <c r="AH1184" s="195"/>
      <c r="AI1184" s="195"/>
      <c r="AJ1184" s="162" t="b">
        <f t="shared" si="762"/>
        <v>1</v>
      </c>
      <c r="AK1184" s="162" t="str">
        <f t="shared" si="763"/>
        <v>PRAZNO</v>
      </c>
      <c r="AL1184" s="165"/>
    </row>
    <row r="1185" spans="1:39" s="171" customFormat="1" ht="15.75" x14ac:dyDescent="0.2">
      <c r="A1185" s="259"/>
      <c r="B1185" s="270"/>
      <c r="C1185" s="270"/>
      <c r="D1185" s="270"/>
      <c r="E1185" s="270"/>
      <c r="F1185" s="270"/>
      <c r="G1185" s="270"/>
      <c r="H1185" s="271" t="s">
        <v>720</v>
      </c>
      <c r="I1185" s="273">
        <f t="shared" ref="I1185:U1185" si="773">I1186</f>
        <v>1388000</v>
      </c>
      <c r="J1185" s="273">
        <f t="shared" si="773"/>
        <v>872423.39999999991</v>
      </c>
      <c r="K1185" s="273">
        <f t="shared" si="743"/>
        <v>62.85</v>
      </c>
      <c r="L1185" s="273">
        <f t="shared" si="744"/>
        <v>-169201.22999999998</v>
      </c>
      <c r="M1185" s="272">
        <f t="shared" si="773"/>
        <v>1218798.77</v>
      </c>
      <c r="N1185" s="272">
        <f t="shared" si="773"/>
        <v>1458000</v>
      </c>
      <c r="O1185" s="272">
        <f t="shared" si="773"/>
        <v>843553.88</v>
      </c>
      <c r="P1185" s="281">
        <f t="shared" si="755"/>
        <v>45000</v>
      </c>
      <c r="Q1185" s="272">
        <f t="shared" si="773"/>
        <v>1458000</v>
      </c>
      <c r="R1185" s="272">
        <f t="shared" si="773"/>
        <v>1463300</v>
      </c>
      <c r="S1185" s="272">
        <f t="shared" si="773"/>
        <v>1470900</v>
      </c>
      <c r="T1185" s="275">
        <f t="shared" si="773"/>
        <v>1503000</v>
      </c>
      <c r="U1185" s="275">
        <f t="shared" si="773"/>
        <v>1315573.26</v>
      </c>
      <c r="V1185" s="272">
        <f>V1186+V1223</f>
        <v>1463000</v>
      </c>
      <c r="W1185" s="272">
        <f>W1186+W1223</f>
        <v>1463000</v>
      </c>
      <c r="X1185" s="272">
        <f>X1186+X1223</f>
        <v>1520000</v>
      </c>
      <c r="Y1185" s="272">
        <f>Y1186+Y1223</f>
        <v>635341.06000000006</v>
      </c>
      <c r="Z1185" s="272">
        <f t="shared" si="761"/>
        <v>43.43</v>
      </c>
      <c r="AA1185" s="272">
        <f t="shared" si="757"/>
        <v>80000</v>
      </c>
      <c r="AB1185" s="272">
        <f>AB1186+AB1223</f>
        <v>1543000</v>
      </c>
      <c r="AC1185" s="272">
        <f>AC1186+AC1223</f>
        <v>1085911.0499999998</v>
      </c>
      <c r="AD1185" s="272">
        <f t="shared" ref="AD1185:AD1250" si="774">AC1185/AB1185*100</f>
        <v>70.376607258587157</v>
      </c>
      <c r="AE1185" s="272">
        <f t="shared" si="738"/>
        <v>10000</v>
      </c>
      <c r="AF1185" s="272">
        <f>AF1186+AF1223</f>
        <v>1553000</v>
      </c>
      <c r="AG1185" s="272">
        <f>AG1186+AG1223</f>
        <v>1834000</v>
      </c>
      <c r="AH1185" s="272">
        <f>AH1186+AH1223</f>
        <v>1632000</v>
      </c>
      <c r="AI1185" s="272">
        <f>AI1186+AI1223</f>
        <v>1531000</v>
      </c>
      <c r="AJ1185" s="162" t="b">
        <f t="shared" si="762"/>
        <v>1</v>
      </c>
      <c r="AK1185" s="162" t="str">
        <f t="shared" si="763"/>
        <v>PRAZNO</v>
      </c>
      <c r="AL1185" s="170"/>
      <c r="AM1185" s="164"/>
    </row>
    <row r="1186" spans="1:39" s="171" customFormat="1" ht="15.75" x14ac:dyDescent="0.2">
      <c r="A1186" s="259"/>
      <c r="B1186" s="168"/>
      <c r="C1186" s="168"/>
      <c r="D1186" s="168"/>
      <c r="E1186" s="168"/>
      <c r="F1186" s="168"/>
      <c r="G1186" s="168"/>
      <c r="H1186" s="13" t="s">
        <v>627</v>
      </c>
      <c r="I1186" s="169">
        <f>I1188</f>
        <v>1388000</v>
      </c>
      <c r="J1186" s="169">
        <f>J1188</f>
        <v>872423.39999999991</v>
      </c>
      <c r="K1186" s="169">
        <f t="shared" si="743"/>
        <v>62.85</v>
      </c>
      <c r="L1186" s="169">
        <f t="shared" si="744"/>
        <v>-169201.22999999998</v>
      </c>
      <c r="M1186" s="19">
        <f>M1188</f>
        <v>1218798.77</v>
      </c>
      <c r="N1186" s="19">
        <f>N1188</f>
        <v>1458000</v>
      </c>
      <c r="O1186" s="19">
        <f>O1188</f>
        <v>843553.88</v>
      </c>
      <c r="P1186" s="303">
        <f t="shared" si="755"/>
        <v>45000</v>
      </c>
      <c r="Q1186" s="19">
        <f t="shared" ref="Q1186:X1186" si="775">Q1188</f>
        <v>1458000</v>
      </c>
      <c r="R1186" s="19">
        <f t="shared" si="775"/>
        <v>1463300</v>
      </c>
      <c r="S1186" s="19">
        <f t="shared" si="775"/>
        <v>1470900</v>
      </c>
      <c r="T1186" s="53">
        <f t="shared" si="775"/>
        <v>1503000</v>
      </c>
      <c r="U1186" s="53">
        <f>U1188</f>
        <v>1315573.26</v>
      </c>
      <c r="V1186" s="19">
        <f t="shared" si="775"/>
        <v>1363000</v>
      </c>
      <c r="W1186" s="19">
        <f t="shared" si="775"/>
        <v>1363000</v>
      </c>
      <c r="X1186" s="19">
        <f t="shared" si="775"/>
        <v>1420000</v>
      </c>
      <c r="Y1186" s="19">
        <f>Y1188</f>
        <v>635341.06000000006</v>
      </c>
      <c r="Z1186" s="19">
        <f t="shared" si="761"/>
        <v>46.61</v>
      </c>
      <c r="AA1186" s="19">
        <f t="shared" si="757"/>
        <v>0</v>
      </c>
      <c r="AB1186" s="19">
        <f>AB1188</f>
        <v>1363000</v>
      </c>
      <c r="AC1186" s="19">
        <f>AC1188</f>
        <v>937521.04999999993</v>
      </c>
      <c r="AD1186" s="19">
        <f t="shared" si="774"/>
        <v>68.783642699926631</v>
      </c>
      <c r="AE1186" s="19">
        <f t="shared" si="738"/>
        <v>0</v>
      </c>
      <c r="AF1186" s="19">
        <f>AF1188</f>
        <v>1363000</v>
      </c>
      <c r="AG1186" s="19">
        <f>AG1188</f>
        <v>1351000</v>
      </c>
      <c r="AH1186" s="19">
        <f>AH1188</f>
        <v>1351000</v>
      </c>
      <c r="AI1186" s="19">
        <f>AI1188</f>
        <v>1351000</v>
      </c>
      <c r="AJ1186" s="162" t="b">
        <f t="shared" si="762"/>
        <v>1</v>
      </c>
      <c r="AK1186" s="162" t="str">
        <f t="shared" si="763"/>
        <v>PRAZNO</v>
      </c>
      <c r="AL1186" s="170"/>
      <c r="AM1186" s="164"/>
    </row>
    <row r="1187" spans="1:39" s="264" customFormat="1" ht="15.75" x14ac:dyDescent="0.2">
      <c r="A1187" s="259"/>
      <c r="B1187" s="260"/>
      <c r="C1187" s="260"/>
      <c r="D1187" s="260"/>
      <c r="E1187" s="260"/>
      <c r="F1187" s="260"/>
      <c r="G1187" s="260"/>
      <c r="H1187" s="440" t="s">
        <v>824</v>
      </c>
      <c r="I1187" s="181"/>
      <c r="J1187" s="181"/>
      <c r="K1187" s="181"/>
      <c r="L1187" s="181"/>
      <c r="M1187" s="262"/>
      <c r="N1187" s="262"/>
      <c r="O1187" s="262"/>
      <c r="P1187" s="445"/>
      <c r="Q1187" s="262"/>
      <c r="R1187" s="262"/>
      <c r="S1187" s="262"/>
      <c r="T1187" s="342"/>
      <c r="U1187" s="342"/>
      <c r="V1187" s="262">
        <f>V1188</f>
        <v>1363000</v>
      </c>
      <c r="W1187" s="262">
        <f>W1188</f>
        <v>1363000</v>
      </c>
      <c r="X1187" s="262">
        <f>X1188</f>
        <v>1420000</v>
      </c>
      <c r="Y1187" s="262">
        <f>Y1188</f>
        <v>635341.06000000006</v>
      </c>
      <c r="Z1187" s="262">
        <f t="shared" si="761"/>
        <v>46.61</v>
      </c>
      <c r="AA1187" s="262">
        <f t="shared" si="757"/>
        <v>0</v>
      </c>
      <c r="AB1187" s="262">
        <f>AB1188</f>
        <v>1363000</v>
      </c>
      <c r="AC1187" s="262">
        <f>AC1188</f>
        <v>937521.04999999993</v>
      </c>
      <c r="AD1187" s="262">
        <f t="shared" si="774"/>
        <v>68.783642699926631</v>
      </c>
      <c r="AE1187" s="262">
        <f t="shared" si="738"/>
        <v>0</v>
      </c>
      <c r="AF1187" s="262">
        <f>AF1188</f>
        <v>1363000</v>
      </c>
      <c r="AG1187" s="262">
        <f>AG1188</f>
        <v>1351000</v>
      </c>
      <c r="AH1187" s="262">
        <f>AH1188</f>
        <v>1351000</v>
      </c>
      <c r="AI1187" s="262">
        <f>AI1188</f>
        <v>1351000</v>
      </c>
      <c r="AJ1187" s="162" t="b">
        <f t="shared" si="762"/>
        <v>1</v>
      </c>
      <c r="AK1187" s="162" t="str">
        <f t="shared" si="763"/>
        <v>PRAZNO</v>
      </c>
      <c r="AL1187" s="263"/>
    </row>
    <row r="1188" spans="1:39" s="174" customFormat="1" ht="15.75" x14ac:dyDescent="0.2">
      <c r="A1188" s="259"/>
      <c r="B1188" s="172">
        <v>3</v>
      </c>
      <c r="C1188" s="172"/>
      <c r="D1188" s="172"/>
      <c r="E1188" s="172"/>
      <c r="F1188" s="172"/>
      <c r="G1188" s="172"/>
      <c r="H1188" s="14" t="s">
        <v>524</v>
      </c>
      <c r="I1188" s="20">
        <f>I1189+I1198+I1220</f>
        <v>1388000</v>
      </c>
      <c r="J1188" s="20">
        <f>J1189+J1198+J1220</f>
        <v>872423.39999999991</v>
      </c>
      <c r="K1188" s="20">
        <f t="shared" si="743"/>
        <v>62.85</v>
      </c>
      <c r="L1188" s="20">
        <f t="shared" si="744"/>
        <v>-169201.22999999998</v>
      </c>
      <c r="M1188" s="20">
        <f>M1189+M1198+M1220</f>
        <v>1218798.77</v>
      </c>
      <c r="N1188" s="20">
        <f>N1189+N1198+N1220</f>
        <v>1458000</v>
      </c>
      <c r="O1188" s="20">
        <f>O1189+O1198+O1220</f>
        <v>843553.88</v>
      </c>
      <c r="P1188" s="55">
        <f t="shared" si="755"/>
        <v>45000</v>
      </c>
      <c r="Q1188" s="20">
        <f t="shared" ref="Q1188:X1188" si="776">Q1189+Q1198+Q1220</f>
        <v>1458000</v>
      </c>
      <c r="R1188" s="20">
        <f t="shared" si="776"/>
        <v>1463300</v>
      </c>
      <c r="S1188" s="20">
        <f t="shared" si="776"/>
        <v>1470900</v>
      </c>
      <c r="T1188" s="55">
        <f t="shared" si="776"/>
        <v>1503000</v>
      </c>
      <c r="U1188" s="55">
        <f>U1189+U1198+U1220</f>
        <v>1315573.26</v>
      </c>
      <c r="V1188" s="20">
        <f t="shared" si="776"/>
        <v>1363000</v>
      </c>
      <c r="W1188" s="20">
        <f t="shared" si="776"/>
        <v>1363000</v>
      </c>
      <c r="X1188" s="20">
        <f t="shared" si="776"/>
        <v>1420000</v>
      </c>
      <c r="Y1188" s="20">
        <f>Y1189+Y1198+Y1220</f>
        <v>635341.06000000006</v>
      </c>
      <c r="Z1188" s="20">
        <f t="shared" si="761"/>
        <v>46.61</v>
      </c>
      <c r="AA1188" s="20">
        <f t="shared" si="757"/>
        <v>0</v>
      </c>
      <c r="AB1188" s="20">
        <f>AB1189+AB1198+AB1220</f>
        <v>1363000</v>
      </c>
      <c r="AC1188" s="20">
        <f>AC1189+AC1198+AC1220</f>
        <v>937521.04999999993</v>
      </c>
      <c r="AD1188" s="20">
        <f t="shared" si="774"/>
        <v>68.783642699926631</v>
      </c>
      <c r="AE1188" s="20">
        <f t="shared" si="738"/>
        <v>0</v>
      </c>
      <c r="AF1188" s="20">
        <f>AF1189+AF1198+AF1220</f>
        <v>1363000</v>
      </c>
      <c r="AG1188" s="20">
        <f>AG1189+AG1198+AG1220</f>
        <v>1351000</v>
      </c>
      <c r="AH1188" s="20">
        <f>AH1189+AH1198+AH1220</f>
        <v>1351000</v>
      </c>
      <c r="AI1188" s="20">
        <f>AI1189+AI1198+AI1220</f>
        <v>1351000</v>
      </c>
      <c r="AJ1188" s="162" t="b">
        <f t="shared" si="762"/>
        <v>1</v>
      </c>
      <c r="AK1188" s="162" t="str">
        <f t="shared" si="763"/>
        <v>PRAZNO</v>
      </c>
      <c r="AL1188" s="173"/>
      <c r="AM1188" s="164"/>
    </row>
    <row r="1189" spans="1:39" ht="15.75" x14ac:dyDescent="0.2">
      <c r="B1189" s="175"/>
      <c r="C1189" s="175">
        <v>31</v>
      </c>
      <c r="D1189" s="175"/>
      <c r="E1189" s="175"/>
      <c r="F1189" s="175"/>
      <c r="G1189" s="175"/>
      <c r="H1189" s="15" t="s">
        <v>197</v>
      </c>
      <c r="I1189" s="22">
        <f>I1190+I1193+I1195</f>
        <v>1059000</v>
      </c>
      <c r="J1189" s="183">
        <f>J1190+J1193+J1195</f>
        <v>683308.73</v>
      </c>
      <c r="K1189" s="183">
        <f t="shared" si="743"/>
        <v>64.52</v>
      </c>
      <c r="L1189" s="183">
        <f t="shared" si="744"/>
        <v>-91629.719999999972</v>
      </c>
      <c r="M1189" s="183">
        <f>M1190+M1193+M1195</f>
        <v>967370.28</v>
      </c>
      <c r="N1189" s="183">
        <f>N1190+N1193+N1195</f>
        <v>1109000</v>
      </c>
      <c r="O1189" s="183">
        <f>O1190+O1193+O1195</f>
        <v>706386.97</v>
      </c>
      <c r="P1189" s="26">
        <f t="shared" si="755"/>
        <v>0</v>
      </c>
      <c r="Q1189" s="183">
        <f t="shared" ref="Q1189:X1189" si="777">Q1190+Q1193+Q1195</f>
        <v>1109000</v>
      </c>
      <c r="R1189" s="183">
        <f t="shared" si="777"/>
        <v>1114300</v>
      </c>
      <c r="S1189" s="183">
        <f t="shared" si="777"/>
        <v>1121900</v>
      </c>
      <c r="T1189" s="340">
        <f t="shared" si="777"/>
        <v>1109000</v>
      </c>
      <c r="U1189" s="340">
        <f>U1190+U1193+U1195</f>
        <v>1066772.01</v>
      </c>
      <c r="V1189" s="183">
        <f t="shared" si="777"/>
        <v>1014000</v>
      </c>
      <c r="W1189" s="183">
        <f t="shared" si="777"/>
        <v>1014000</v>
      </c>
      <c r="X1189" s="183">
        <f t="shared" si="777"/>
        <v>1064000</v>
      </c>
      <c r="Y1189" s="183">
        <f>Y1190+Y1193+Y1195</f>
        <v>499093.64</v>
      </c>
      <c r="Z1189" s="183">
        <f t="shared" si="761"/>
        <v>49.22</v>
      </c>
      <c r="AA1189" s="183">
        <f t="shared" si="757"/>
        <v>0</v>
      </c>
      <c r="AB1189" s="183">
        <f>AB1190+AB1193+AB1195</f>
        <v>1014000</v>
      </c>
      <c r="AC1189" s="183">
        <f>AC1190+AC1193+AC1195</f>
        <v>739856.07</v>
      </c>
      <c r="AD1189" s="183">
        <f t="shared" si="774"/>
        <v>72.964109467455614</v>
      </c>
      <c r="AE1189" s="183">
        <f t="shared" si="738"/>
        <v>0</v>
      </c>
      <c r="AF1189" s="183">
        <f>AF1190+AF1193+AF1195</f>
        <v>1014000</v>
      </c>
      <c r="AG1189" s="183">
        <f>AG1190+AG1193+AG1195</f>
        <v>1014000</v>
      </c>
      <c r="AH1189" s="183">
        <f>AH1190+AH1193+AH1195</f>
        <v>1014000</v>
      </c>
      <c r="AI1189" s="183">
        <f>AI1190+AI1193+AI1195</f>
        <v>1014000</v>
      </c>
      <c r="AJ1189" s="162" t="b">
        <f t="shared" si="762"/>
        <v>1</v>
      </c>
      <c r="AK1189" s="162" t="str">
        <f t="shared" si="763"/>
        <v>PRAZNO</v>
      </c>
      <c r="AM1189" s="164"/>
    </row>
    <row r="1190" spans="1:39" ht="15.75" x14ac:dyDescent="0.2">
      <c r="B1190" s="177"/>
      <c r="C1190" s="177"/>
      <c r="D1190" s="177">
        <v>311</v>
      </c>
      <c r="E1190" s="177"/>
      <c r="F1190" s="177"/>
      <c r="G1190" s="177"/>
      <c r="H1190" s="16" t="s">
        <v>915</v>
      </c>
      <c r="I1190" s="17">
        <f>I1191</f>
        <v>861000</v>
      </c>
      <c r="J1190" s="181">
        <f>J1191</f>
        <v>560717.36</v>
      </c>
      <c r="K1190" s="181">
        <f t="shared" si="743"/>
        <v>65.12</v>
      </c>
      <c r="L1190" s="181">
        <f t="shared" si="744"/>
        <v>-69515.599999999977</v>
      </c>
      <c r="M1190" s="181">
        <f>M1191</f>
        <v>791484.4</v>
      </c>
      <c r="N1190" s="181">
        <f>N1191</f>
        <v>900000</v>
      </c>
      <c r="O1190" s="181">
        <f>O1191</f>
        <v>600755.81999999995</v>
      </c>
      <c r="P1190" s="26">
        <f t="shared" si="755"/>
        <v>0</v>
      </c>
      <c r="Q1190" s="181">
        <f t="shared" ref="Q1190:Y1190" si="778">Q1191</f>
        <v>900000</v>
      </c>
      <c r="R1190" s="181">
        <f t="shared" si="778"/>
        <v>904500</v>
      </c>
      <c r="S1190" s="181">
        <f t="shared" si="778"/>
        <v>911000</v>
      </c>
      <c r="T1190" s="307">
        <f>T1191</f>
        <v>900000</v>
      </c>
      <c r="U1190" s="307">
        <f>U1191</f>
        <v>877085.93</v>
      </c>
      <c r="V1190" s="181">
        <f t="shared" si="778"/>
        <v>805000</v>
      </c>
      <c r="W1190" s="181">
        <f t="shared" si="778"/>
        <v>805000</v>
      </c>
      <c r="X1190" s="181">
        <f t="shared" si="778"/>
        <v>845000</v>
      </c>
      <c r="Y1190" s="181">
        <f t="shared" si="778"/>
        <v>426322.16</v>
      </c>
      <c r="Z1190" s="181">
        <f t="shared" si="761"/>
        <v>52.96</v>
      </c>
      <c r="AA1190" s="181">
        <f t="shared" si="757"/>
        <v>0</v>
      </c>
      <c r="AB1190" s="181">
        <f>AB1192+AB1191</f>
        <v>805000</v>
      </c>
      <c r="AC1190" s="181">
        <f>AC1192+AC1191</f>
        <v>599175.62</v>
      </c>
      <c r="AD1190" s="181">
        <f t="shared" si="774"/>
        <v>74.431754037267083</v>
      </c>
      <c r="AE1190" s="181">
        <f t="shared" si="738"/>
        <v>0</v>
      </c>
      <c r="AF1190" s="181">
        <f>AF1192+AF1191</f>
        <v>805000</v>
      </c>
      <c r="AG1190" s="181">
        <f>AG1192+AG1191</f>
        <v>805000</v>
      </c>
      <c r="AH1190" s="181">
        <f>AH1192+AH1191</f>
        <v>805000</v>
      </c>
      <c r="AI1190" s="181">
        <f>AI1192+AI1191</f>
        <v>805000</v>
      </c>
      <c r="AJ1190" s="162" t="b">
        <f t="shared" si="762"/>
        <v>1</v>
      </c>
      <c r="AK1190" s="162" t="str">
        <f t="shared" si="763"/>
        <v>PRAZNO</v>
      </c>
      <c r="AM1190" s="164"/>
    </row>
    <row r="1191" spans="1:39" ht="15.75" x14ac:dyDescent="0.2">
      <c r="B1191" s="177"/>
      <c r="C1191" s="177"/>
      <c r="D1191" s="177"/>
      <c r="E1191" s="177">
        <v>3111</v>
      </c>
      <c r="F1191" s="176">
        <v>11</v>
      </c>
      <c r="G1191" s="176" t="s">
        <v>803</v>
      </c>
      <c r="H1191" s="16" t="s">
        <v>199</v>
      </c>
      <c r="I1191" s="18">
        <v>861000</v>
      </c>
      <c r="J1191" s="178">
        <v>560717.36</v>
      </c>
      <c r="K1191" s="178">
        <f t="shared" si="743"/>
        <v>65.12</v>
      </c>
      <c r="L1191" s="178">
        <f t="shared" si="744"/>
        <v>-69515.599999999977</v>
      </c>
      <c r="M1191" s="178">
        <v>791484.4</v>
      </c>
      <c r="N1191" s="178">
        <v>900000</v>
      </c>
      <c r="O1191" s="178">
        <v>600755.81999999995</v>
      </c>
      <c r="P1191" s="26">
        <f t="shared" si="755"/>
        <v>0</v>
      </c>
      <c r="Q1191" s="178">
        <v>900000</v>
      </c>
      <c r="R1191" s="178">
        <v>904500</v>
      </c>
      <c r="S1191" s="178">
        <v>911000</v>
      </c>
      <c r="T1191" s="266">
        <v>900000</v>
      </c>
      <c r="U1191" s="266">
        <v>877085.93</v>
      </c>
      <c r="V1191" s="266">
        <f>805000+V1192</f>
        <v>805000</v>
      </c>
      <c r="W1191" s="266">
        <f>805000</f>
        <v>805000</v>
      </c>
      <c r="X1191" s="178">
        <f>845000</f>
        <v>845000</v>
      </c>
      <c r="Y1191" s="266">
        <f>426322.16+Y1192</f>
        <v>426322.16</v>
      </c>
      <c r="Z1191" s="266">
        <f t="shared" si="761"/>
        <v>52.96</v>
      </c>
      <c r="AA1191" s="266">
        <f t="shared" si="757"/>
        <v>-500000</v>
      </c>
      <c r="AB1191" s="266">
        <v>305000</v>
      </c>
      <c r="AC1191" s="266">
        <v>305000</v>
      </c>
      <c r="AD1191" s="266">
        <f t="shared" si="774"/>
        <v>100</v>
      </c>
      <c r="AE1191" s="266">
        <f t="shared" si="738"/>
        <v>0</v>
      </c>
      <c r="AF1191" s="266">
        <v>305000</v>
      </c>
      <c r="AG1191" s="266">
        <v>305000</v>
      </c>
      <c r="AH1191" s="266">
        <v>305000</v>
      </c>
      <c r="AI1191" s="266">
        <v>305000</v>
      </c>
      <c r="AJ1191" s="162" t="b">
        <f t="shared" si="762"/>
        <v>0</v>
      </c>
      <c r="AK1191" s="162" t="str">
        <f t="shared" si="763"/>
        <v>PUNO</v>
      </c>
      <c r="AM1191" s="164"/>
    </row>
    <row r="1192" spans="1:39" ht="15.75" x14ac:dyDescent="0.2">
      <c r="B1192" s="177"/>
      <c r="C1192" s="177"/>
      <c r="D1192" s="177"/>
      <c r="E1192" s="177">
        <v>3111</v>
      </c>
      <c r="F1192" s="176">
        <v>16</v>
      </c>
      <c r="G1192" s="176"/>
      <c r="H1192" s="16" t="s">
        <v>199</v>
      </c>
      <c r="I1192" s="18"/>
      <c r="J1192" s="178"/>
      <c r="K1192" s="178"/>
      <c r="L1192" s="178"/>
      <c r="M1192" s="178"/>
      <c r="N1192" s="178"/>
      <c r="O1192" s="178"/>
      <c r="P1192" s="26"/>
      <c r="Q1192" s="178"/>
      <c r="R1192" s="178"/>
      <c r="S1192" s="178"/>
      <c r="T1192" s="266"/>
      <c r="U1192" s="266"/>
      <c r="V1192" s="266">
        <v>0</v>
      </c>
      <c r="W1192" s="266"/>
      <c r="X1192" s="178"/>
      <c r="Y1192" s="266">
        <v>0</v>
      </c>
      <c r="Z1192" s="266"/>
      <c r="AA1192" s="266">
        <f t="shared" si="757"/>
        <v>500000</v>
      </c>
      <c r="AB1192" s="266">
        <v>500000</v>
      </c>
      <c r="AC1192" s="266">
        <v>294175.62</v>
      </c>
      <c r="AD1192" s="266">
        <f t="shared" si="774"/>
        <v>58.835123999999993</v>
      </c>
      <c r="AE1192" s="266">
        <f t="shared" si="738"/>
        <v>0</v>
      </c>
      <c r="AF1192" s="266">
        <v>500000</v>
      </c>
      <c r="AG1192" s="266">
        <v>500000</v>
      </c>
      <c r="AH1192" s="266">
        <v>500000</v>
      </c>
      <c r="AI1192" s="266">
        <v>500000</v>
      </c>
      <c r="AJ1192" s="162" t="b">
        <f t="shared" si="762"/>
        <v>0</v>
      </c>
      <c r="AK1192" s="162" t="str">
        <f t="shared" si="763"/>
        <v>PUNO</v>
      </c>
      <c r="AM1192" s="164"/>
    </row>
    <row r="1193" spans="1:39" ht="15.75" x14ac:dyDescent="0.2">
      <c r="B1193" s="177"/>
      <c r="C1193" s="177"/>
      <c r="D1193" s="177">
        <v>312</v>
      </c>
      <c r="E1193" s="177"/>
      <c r="F1193" s="177"/>
      <c r="G1193" s="177"/>
      <c r="H1193" s="16" t="s">
        <v>200</v>
      </c>
      <c r="I1193" s="17">
        <f>I1194</f>
        <v>49000</v>
      </c>
      <c r="J1193" s="181">
        <f>J1194</f>
        <v>25987.96</v>
      </c>
      <c r="K1193" s="181">
        <f t="shared" si="743"/>
        <v>53.04</v>
      </c>
      <c r="L1193" s="181">
        <f t="shared" si="744"/>
        <v>-9427.36</v>
      </c>
      <c r="M1193" s="181">
        <f>M1194</f>
        <v>39572.639999999999</v>
      </c>
      <c r="N1193" s="181">
        <f>N1194</f>
        <v>49000</v>
      </c>
      <c r="O1193" s="181">
        <f>O1194</f>
        <v>6546.33</v>
      </c>
      <c r="P1193" s="26">
        <f t="shared" si="755"/>
        <v>0</v>
      </c>
      <c r="Q1193" s="181">
        <f t="shared" ref="Q1193:AI1193" si="779">Q1194</f>
        <v>49000</v>
      </c>
      <c r="R1193" s="181">
        <f t="shared" si="779"/>
        <v>49000</v>
      </c>
      <c r="S1193" s="181">
        <f t="shared" si="779"/>
        <v>49000</v>
      </c>
      <c r="T1193" s="307">
        <f t="shared" si="779"/>
        <v>49000</v>
      </c>
      <c r="U1193" s="307">
        <f t="shared" si="779"/>
        <v>47991.31</v>
      </c>
      <c r="V1193" s="181">
        <f t="shared" si="779"/>
        <v>49000</v>
      </c>
      <c r="W1193" s="181">
        <f t="shared" si="779"/>
        <v>49000</v>
      </c>
      <c r="X1193" s="181">
        <f t="shared" si="779"/>
        <v>51000</v>
      </c>
      <c r="Y1193" s="181">
        <f t="shared" si="779"/>
        <v>7879.34</v>
      </c>
      <c r="Z1193" s="181">
        <f t="shared" si="761"/>
        <v>16.079999999999998</v>
      </c>
      <c r="AA1193" s="181">
        <f t="shared" si="757"/>
        <v>0</v>
      </c>
      <c r="AB1193" s="181">
        <f t="shared" si="779"/>
        <v>49000</v>
      </c>
      <c r="AC1193" s="181">
        <f t="shared" si="779"/>
        <v>26959.34</v>
      </c>
      <c r="AD1193" s="181">
        <f t="shared" si="774"/>
        <v>55.019061224489796</v>
      </c>
      <c r="AE1193" s="181">
        <f t="shared" si="738"/>
        <v>0</v>
      </c>
      <c r="AF1193" s="181">
        <f t="shared" si="779"/>
        <v>49000</v>
      </c>
      <c r="AG1193" s="181">
        <f t="shared" si="779"/>
        <v>49000</v>
      </c>
      <c r="AH1193" s="181">
        <f t="shared" si="779"/>
        <v>49000</v>
      </c>
      <c r="AI1193" s="181">
        <f t="shared" si="779"/>
        <v>49000</v>
      </c>
      <c r="AJ1193" s="162" t="b">
        <f t="shared" si="762"/>
        <v>1</v>
      </c>
      <c r="AK1193" s="162" t="str">
        <f t="shared" si="763"/>
        <v>PRAZNO</v>
      </c>
      <c r="AM1193" s="164"/>
    </row>
    <row r="1194" spans="1:39" ht="15.75" x14ac:dyDescent="0.2">
      <c r="B1194" s="177"/>
      <c r="C1194" s="177"/>
      <c r="D1194" s="177"/>
      <c r="E1194" s="177">
        <v>3121</v>
      </c>
      <c r="F1194" s="176">
        <v>11</v>
      </c>
      <c r="G1194" s="176" t="s">
        <v>803</v>
      </c>
      <c r="H1194" s="16" t="s">
        <v>200</v>
      </c>
      <c r="I1194" s="18">
        <v>49000</v>
      </c>
      <c r="J1194" s="178">
        <v>25987.96</v>
      </c>
      <c r="K1194" s="178">
        <f t="shared" si="743"/>
        <v>53.04</v>
      </c>
      <c r="L1194" s="178">
        <f t="shared" si="744"/>
        <v>-9427.36</v>
      </c>
      <c r="M1194" s="178">
        <v>39572.639999999999</v>
      </c>
      <c r="N1194" s="178">
        <v>49000</v>
      </c>
      <c r="O1194" s="178">
        <v>6546.33</v>
      </c>
      <c r="P1194" s="26">
        <f t="shared" si="755"/>
        <v>0</v>
      </c>
      <c r="Q1194" s="178">
        <v>49000</v>
      </c>
      <c r="R1194" s="178">
        <v>49000</v>
      </c>
      <c r="S1194" s="178">
        <v>49000</v>
      </c>
      <c r="T1194" s="266">
        <v>49000</v>
      </c>
      <c r="U1194" s="266">
        <v>47991.31</v>
      </c>
      <c r="V1194" s="266">
        <v>49000</v>
      </c>
      <c r="W1194" s="266">
        <v>49000</v>
      </c>
      <c r="X1194" s="178">
        <v>51000</v>
      </c>
      <c r="Y1194" s="266">
        <v>7879.34</v>
      </c>
      <c r="Z1194" s="266">
        <f t="shared" si="761"/>
        <v>16.079999999999998</v>
      </c>
      <c r="AA1194" s="266">
        <f t="shared" si="757"/>
        <v>0</v>
      </c>
      <c r="AB1194" s="266">
        <v>49000</v>
      </c>
      <c r="AC1194" s="266">
        <v>26959.34</v>
      </c>
      <c r="AD1194" s="266">
        <f t="shared" si="774"/>
        <v>55.019061224489796</v>
      </c>
      <c r="AE1194" s="266">
        <f t="shared" si="738"/>
        <v>0</v>
      </c>
      <c r="AF1194" s="266">
        <v>49000</v>
      </c>
      <c r="AG1194" s="266">
        <v>49000</v>
      </c>
      <c r="AH1194" s="266">
        <v>49000</v>
      </c>
      <c r="AI1194" s="266">
        <v>49000</v>
      </c>
      <c r="AJ1194" s="162" t="b">
        <f t="shared" si="762"/>
        <v>0</v>
      </c>
      <c r="AK1194" s="162" t="str">
        <f t="shared" si="763"/>
        <v>PUNO</v>
      </c>
      <c r="AM1194" s="164"/>
    </row>
    <row r="1195" spans="1:39" ht="15.75" x14ac:dyDescent="0.2">
      <c r="B1195" s="177"/>
      <c r="C1195" s="177"/>
      <c r="D1195" s="177">
        <v>313</v>
      </c>
      <c r="E1195" s="177"/>
      <c r="F1195" s="176"/>
      <c r="G1195" s="176"/>
      <c r="H1195" s="16" t="s">
        <v>201</v>
      </c>
      <c r="I1195" s="17">
        <f>SUM(I1196:I1197)</f>
        <v>149000</v>
      </c>
      <c r="J1195" s="181">
        <f>SUM(J1196:J1197)</f>
        <v>96603.41</v>
      </c>
      <c r="K1195" s="181">
        <f t="shared" si="743"/>
        <v>64.83</v>
      </c>
      <c r="L1195" s="181">
        <f t="shared" si="744"/>
        <v>-12686.760000000009</v>
      </c>
      <c r="M1195" s="181">
        <f>SUM(M1196:M1197)</f>
        <v>136313.24</v>
      </c>
      <c r="N1195" s="181">
        <f>SUM(N1196:N1197)</f>
        <v>160000</v>
      </c>
      <c r="O1195" s="181">
        <f>SUM(O1196:O1197)</f>
        <v>99084.82</v>
      </c>
      <c r="P1195" s="26">
        <f t="shared" si="755"/>
        <v>0</v>
      </c>
      <c r="Q1195" s="181">
        <f t="shared" ref="Q1195:X1195" si="780">SUM(Q1196:Q1197)</f>
        <v>160000</v>
      </c>
      <c r="R1195" s="181">
        <f t="shared" si="780"/>
        <v>160800</v>
      </c>
      <c r="S1195" s="181">
        <f t="shared" si="780"/>
        <v>161900</v>
      </c>
      <c r="T1195" s="307">
        <f t="shared" si="780"/>
        <v>160000</v>
      </c>
      <c r="U1195" s="307">
        <f>SUM(U1196:U1197)</f>
        <v>141694.77000000002</v>
      </c>
      <c r="V1195" s="181">
        <f t="shared" si="780"/>
        <v>160000</v>
      </c>
      <c r="W1195" s="181">
        <f t="shared" si="780"/>
        <v>160000</v>
      </c>
      <c r="X1195" s="181">
        <f t="shared" si="780"/>
        <v>168000</v>
      </c>
      <c r="Y1195" s="181">
        <f>SUM(Y1196:Y1197)</f>
        <v>64892.14</v>
      </c>
      <c r="Z1195" s="181">
        <f t="shared" si="761"/>
        <v>40.56</v>
      </c>
      <c r="AA1195" s="181">
        <f t="shared" si="757"/>
        <v>0</v>
      </c>
      <c r="AB1195" s="181">
        <f>SUM(AB1196:AB1197)</f>
        <v>160000</v>
      </c>
      <c r="AC1195" s="181">
        <f>SUM(AC1196:AC1197)</f>
        <v>113721.11000000002</v>
      </c>
      <c r="AD1195" s="181">
        <f t="shared" si="774"/>
        <v>71.075693750000013</v>
      </c>
      <c r="AE1195" s="181">
        <f t="shared" si="738"/>
        <v>0</v>
      </c>
      <c r="AF1195" s="181">
        <f>SUM(AF1196:AF1197)</f>
        <v>160000</v>
      </c>
      <c r="AG1195" s="181">
        <f>SUM(AG1196:AG1197)</f>
        <v>160000</v>
      </c>
      <c r="AH1195" s="181">
        <f>SUM(AH1196:AH1197)</f>
        <v>160000</v>
      </c>
      <c r="AI1195" s="181">
        <f>SUM(AI1196:AI1197)</f>
        <v>160000</v>
      </c>
      <c r="AJ1195" s="162" t="b">
        <f t="shared" si="762"/>
        <v>1</v>
      </c>
      <c r="AK1195" s="162" t="str">
        <f t="shared" si="763"/>
        <v>PRAZNO</v>
      </c>
      <c r="AM1195" s="164"/>
    </row>
    <row r="1196" spans="1:39" ht="15.75" x14ac:dyDescent="0.2">
      <c r="B1196" s="177"/>
      <c r="C1196" s="177"/>
      <c r="D1196" s="177"/>
      <c r="E1196" s="177">
        <v>3132</v>
      </c>
      <c r="F1196" s="176">
        <v>11</v>
      </c>
      <c r="G1196" s="176" t="s">
        <v>803</v>
      </c>
      <c r="H1196" s="16" t="s">
        <v>202</v>
      </c>
      <c r="I1196" s="18">
        <v>133000</v>
      </c>
      <c r="J1196" s="178">
        <v>87071.19</v>
      </c>
      <c r="K1196" s="178">
        <f t="shared" si="743"/>
        <v>65.47</v>
      </c>
      <c r="L1196" s="178">
        <f t="shared" si="744"/>
        <v>-10142.020000000004</v>
      </c>
      <c r="M1196" s="178">
        <v>122857.98</v>
      </c>
      <c r="N1196" s="178">
        <v>144000</v>
      </c>
      <c r="O1196" s="178">
        <v>88872.02</v>
      </c>
      <c r="P1196" s="26">
        <f t="shared" si="755"/>
        <v>0</v>
      </c>
      <c r="Q1196" s="178">
        <v>144000</v>
      </c>
      <c r="R1196" s="178">
        <v>144700</v>
      </c>
      <c r="S1196" s="178">
        <v>145700</v>
      </c>
      <c r="T1196" s="266">
        <v>144000</v>
      </c>
      <c r="U1196" s="266">
        <v>126716.41</v>
      </c>
      <c r="V1196" s="266">
        <v>144000</v>
      </c>
      <c r="W1196" s="266">
        <v>144000</v>
      </c>
      <c r="X1196" s="266">
        <v>151000</v>
      </c>
      <c r="Y1196" s="266">
        <v>57634.48</v>
      </c>
      <c r="Z1196" s="266">
        <f t="shared" si="761"/>
        <v>40.020000000000003</v>
      </c>
      <c r="AA1196" s="266">
        <f t="shared" si="757"/>
        <v>0</v>
      </c>
      <c r="AB1196" s="266">
        <v>144000</v>
      </c>
      <c r="AC1196" s="266">
        <v>101002.32</v>
      </c>
      <c r="AD1196" s="266">
        <f t="shared" si="774"/>
        <v>70.140500000000003</v>
      </c>
      <c r="AE1196" s="266">
        <f t="shared" si="738"/>
        <v>0</v>
      </c>
      <c r="AF1196" s="266">
        <v>144000</v>
      </c>
      <c r="AG1196" s="266">
        <v>144000</v>
      </c>
      <c r="AH1196" s="266">
        <v>144000</v>
      </c>
      <c r="AI1196" s="266">
        <v>144000</v>
      </c>
      <c r="AJ1196" s="162" t="b">
        <f t="shared" si="762"/>
        <v>0</v>
      </c>
      <c r="AK1196" s="162" t="str">
        <f t="shared" si="763"/>
        <v>PUNO</v>
      </c>
      <c r="AM1196" s="164"/>
    </row>
    <row r="1197" spans="1:39" ht="30" x14ac:dyDescent="0.2">
      <c r="B1197" s="177"/>
      <c r="C1197" s="177"/>
      <c r="D1197" s="177"/>
      <c r="E1197" s="177">
        <v>3133</v>
      </c>
      <c r="F1197" s="176">
        <v>11</v>
      </c>
      <c r="G1197" s="176" t="s">
        <v>803</v>
      </c>
      <c r="H1197" s="16" t="s">
        <v>203</v>
      </c>
      <c r="I1197" s="18">
        <v>16000</v>
      </c>
      <c r="J1197" s="178">
        <v>9532.2199999999993</v>
      </c>
      <c r="K1197" s="178">
        <f t="shared" ref="K1197:K1260" si="781">ROUND(J1197/I1197*100,2)</f>
        <v>59.58</v>
      </c>
      <c r="L1197" s="178">
        <f t="shared" si="744"/>
        <v>-2544.7399999999998</v>
      </c>
      <c r="M1197" s="178">
        <v>13455.26</v>
      </c>
      <c r="N1197" s="178">
        <v>16000</v>
      </c>
      <c r="O1197" s="178">
        <v>10212.799999999999</v>
      </c>
      <c r="P1197" s="26">
        <f t="shared" si="755"/>
        <v>0</v>
      </c>
      <c r="Q1197" s="178">
        <v>16000</v>
      </c>
      <c r="R1197" s="178">
        <v>16100</v>
      </c>
      <c r="S1197" s="178">
        <v>16200</v>
      </c>
      <c r="T1197" s="266">
        <v>16000</v>
      </c>
      <c r="U1197" s="266">
        <v>14978.36</v>
      </c>
      <c r="V1197" s="266">
        <v>16000</v>
      </c>
      <c r="W1197" s="266">
        <v>16000</v>
      </c>
      <c r="X1197" s="178">
        <v>17000</v>
      </c>
      <c r="Y1197" s="266">
        <v>7257.66</v>
      </c>
      <c r="Z1197" s="266">
        <f t="shared" si="761"/>
        <v>45.36</v>
      </c>
      <c r="AA1197" s="266">
        <f t="shared" si="757"/>
        <v>0</v>
      </c>
      <c r="AB1197" s="266">
        <v>16000</v>
      </c>
      <c r="AC1197" s="266">
        <v>12718.79</v>
      </c>
      <c r="AD1197" s="266">
        <f t="shared" si="774"/>
        <v>79.492437500000008</v>
      </c>
      <c r="AE1197" s="266">
        <f t="shared" ref="AE1197:AE1263" si="782">AF1197-AB1197</f>
        <v>0</v>
      </c>
      <c r="AF1197" s="266">
        <v>16000</v>
      </c>
      <c r="AG1197" s="266">
        <v>16000</v>
      </c>
      <c r="AH1197" s="266">
        <v>16000</v>
      </c>
      <c r="AI1197" s="266">
        <v>16000</v>
      </c>
      <c r="AJ1197" s="162" t="b">
        <f t="shared" si="762"/>
        <v>0</v>
      </c>
      <c r="AK1197" s="162" t="str">
        <f t="shared" si="763"/>
        <v>PUNO</v>
      </c>
      <c r="AM1197" s="164"/>
    </row>
    <row r="1198" spans="1:39" ht="15.75" x14ac:dyDescent="0.2">
      <c r="B1198" s="175"/>
      <c r="C1198" s="175">
        <v>32</v>
      </c>
      <c r="D1198" s="175"/>
      <c r="E1198" s="175"/>
      <c r="F1198" s="175"/>
      <c r="G1198" s="175"/>
      <c r="H1198" s="15" t="s">
        <v>525</v>
      </c>
      <c r="I1198" s="22">
        <f>I1199+I1203+I1207+I1215</f>
        <v>324000</v>
      </c>
      <c r="J1198" s="183">
        <f>J1199+J1203+J1207+J1215</f>
        <v>186836.72</v>
      </c>
      <c r="K1198" s="183">
        <f t="shared" si="781"/>
        <v>57.67</v>
      </c>
      <c r="L1198" s="183">
        <f t="shared" si="744"/>
        <v>-75850.860000000015</v>
      </c>
      <c r="M1198" s="183">
        <f>M1199+M1203+M1207+M1215</f>
        <v>248149.13999999998</v>
      </c>
      <c r="N1198" s="183">
        <f>N1199+N1203+N1207+N1215</f>
        <v>343000</v>
      </c>
      <c r="O1198" s="183">
        <f>O1199+O1203+O1207+O1215</f>
        <v>135578.41</v>
      </c>
      <c r="P1198" s="26">
        <f t="shared" si="755"/>
        <v>45000</v>
      </c>
      <c r="Q1198" s="183">
        <f t="shared" ref="Q1198:X1198" si="783">Q1199+Q1203+Q1207+Q1215</f>
        <v>343000</v>
      </c>
      <c r="R1198" s="183">
        <f t="shared" si="783"/>
        <v>343000</v>
      </c>
      <c r="S1198" s="183">
        <f t="shared" si="783"/>
        <v>343000</v>
      </c>
      <c r="T1198" s="340">
        <f t="shared" si="783"/>
        <v>388000</v>
      </c>
      <c r="U1198" s="340">
        <f>U1199+U1203+U1207+U1215</f>
        <v>245406.67</v>
      </c>
      <c r="V1198" s="183">
        <f t="shared" si="783"/>
        <v>343000</v>
      </c>
      <c r="W1198" s="183">
        <f t="shared" si="783"/>
        <v>343000</v>
      </c>
      <c r="X1198" s="183">
        <f t="shared" si="783"/>
        <v>350000</v>
      </c>
      <c r="Y1198" s="183">
        <f>Y1199+Y1203+Y1207+Y1215</f>
        <v>135017.51999999999</v>
      </c>
      <c r="Z1198" s="183">
        <f t="shared" si="761"/>
        <v>39.36</v>
      </c>
      <c r="AA1198" s="183">
        <f t="shared" si="757"/>
        <v>0</v>
      </c>
      <c r="AB1198" s="183">
        <f>AB1199+AB1203+AB1207+AB1215</f>
        <v>343000</v>
      </c>
      <c r="AC1198" s="183">
        <f>AC1199+AC1203+AC1207+AC1215</f>
        <v>195267.83000000002</v>
      </c>
      <c r="AD1198" s="183">
        <f t="shared" si="774"/>
        <v>56.929396501457731</v>
      </c>
      <c r="AE1198" s="183">
        <f t="shared" si="782"/>
        <v>0</v>
      </c>
      <c r="AF1198" s="183">
        <f>AF1199+AF1203+AF1207+AF1215</f>
        <v>343000</v>
      </c>
      <c r="AG1198" s="183">
        <f>AG1199+AG1203+AG1207+AG1215</f>
        <v>331000</v>
      </c>
      <c r="AH1198" s="183">
        <f>AH1199+AH1203+AH1207+AH1215</f>
        <v>331000</v>
      </c>
      <c r="AI1198" s="183">
        <f>AI1199+AI1203+AI1207+AI1215</f>
        <v>331000</v>
      </c>
      <c r="AJ1198" s="162" t="b">
        <f t="shared" si="762"/>
        <v>1</v>
      </c>
      <c r="AK1198" s="162" t="str">
        <f t="shared" si="763"/>
        <v>PRAZNO</v>
      </c>
      <c r="AM1198" s="164"/>
    </row>
    <row r="1199" spans="1:39" ht="15.75" x14ac:dyDescent="0.2">
      <c r="B1199" s="177"/>
      <c r="C1199" s="177"/>
      <c r="D1199" s="177">
        <v>321</v>
      </c>
      <c r="E1199" s="177"/>
      <c r="F1199" s="177"/>
      <c r="G1199" s="177"/>
      <c r="H1199" s="16" t="s">
        <v>564</v>
      </c>
      <c r="I1199" s="17">
        <f>I1200+I1201+I1202</f>
        <v>84000</v>
      </c>
      <c r="J1199" s="181">
        <f>J1200+J1201+J1202</f>
        <v>41608.020000000004</v>
      </c>
      <c r="K1199" s="181">
        <f t="shared" si="781"/>
        <v>49.53</v>
      </c>
      <c r="L1199" s="181">
        <f t="shared" si="744"/>
        <v>-16366.660000000003</v>
      </c>
      <c r="M1199" s="181">
        <f>M1200+M1201+M1202</f>
        <v>67633.34</v>
      </c>
      <c r="N1199" s="181">
        <f>N1200+N1201+N1202</f>
        <v>90000</v>
      </c>
      <c r="O1199" s="181">
        <f>O1200+O1201+O1202</f>
        <v>35480.800000000003</v>
      </c>
      <c r="P1199" s="26">
        <f t="shared" si="755"/>
        <v>-4000</v>
      </c>
      <c r="Q1199" s="181">
        <f t="shared" ref="Q1199:X1199" si="784">Q1200+Q1201+Q1202</f>
        <v>90000</v>
      </c>
      <c r="R1199" s="181">
        <f t="shared" si="784"/>
        <v>90000</v>
      </c>
      <c r="S1199" s="181">
        <f t="shared" si="784"/>
        <v>90000</v>
      </c>
      <c r="T1199" s="307">
        <f t="shared" si="784"/>
        <v>86000</v>
      </c>
      <c r="U1199" s="307">
        <f>U1200+U1201+U1202</f>
        <v>64495.360000000001</v>
      </c>
      <c r="V1199" s="181">
        <f t="shared" si="784"/>
        <v>86000</v>
      </c>
      <c r="W1199" s="181">
        <f t="shared" si="784"/>
        <v>86000</v>
      </c>
      <c r="X1199" s="181">
        <f t="shared" si="784"/>
        <v>93000</v>
      </c>
      <c r="Y1199" s="181">
        <f>Y1200+Y1201+Y1202</f>
        <v>39645.49</v>
      </c>
      <c r="Z1199" s="181">
        <f t="shared" si="761"/>
        <v>46.1</v>
      </c>
      <c r="AA1199" s="181">
        <f t="shared" si="757"/>
        <v>0</v>
      </c>
      <c r="AB1199" s="181">
        <f>AB1200+AB1201+AB1202</f>
        <v>86000</v>
      </c>
      <c r="AC1199" s="181">
        <f>AC1200+AC1201+AC1202</f>
        <v>62215.58</v>
      </c>
      <c r="AD1199" s="181">
        <f t="shared" si="774"/>
        <v>72.343697674418607</v>
      </c>
      <c r="AE1199" s="181">
        <f t="shared" si="782"/>
        <v>6000</v>
      </c>
      <c r="AF1199" s="181">
        <f>AF1200+AF1201+AF1202</f>
        <v>92000</v>
      </c>
      <c r="AG1199" s="181">
        <f>AG1200+AG1201+AG1202</f>
        <v>112000</v>
      </c>
      <c r="AH1199" s="181">
        <f>AH1200+AH1201+AH1202</f>
        <v>112000</v>
      </c>
      <c r="AI1199" s="181">
        <f>AI1200+AI1201+AI1202</f>
        <v>112000</v>
      </c>
      <c r="AJ1199" s="162" t="b">
        <f t="shared" si="762"/>
        <v>1</v>
      </c>
      <c r="AK1199" s="162" t="str">
        <f t="shared" si="763"/>
        <v>PRAZNO</v>
      </c>
      <c r="AM1199" s="164"/>
    </row>
    <row r="1200" spans="1:39" ht="15.75" x14ac:dyDescent="0.2">
      <c r="B1200" s="177"/>
      <c r="C1200" s="177"/>
      <c r="D1200" s="177"/>
      <c r="E1200" s="177">
        <v>3211</v>
      </c>
      <c r="F1200" s="176">
        <v>11</v>
      </c>
      <c r="G1200" s="176" t="s">
        <v>803</v>
      </c>
      <c r="H1200" s="16" t="s">
        <v>565</v>
      </c>
      <c r="I1200" s="18">
        <v>23000</v>
      </c>
      <c r="J1200" s="178">
        <v>6898.02</v>
      </c>
      <c r="K1200" s="178">
        <f t="shared" si="781"/>
        <v>29.99</v>
      </c>
      <c r="L1200" s="178">
        <f t="shared" si="744"/>
        <v>-5181.66</v>
      </c>
      <c r="M1200" s="178">
        <v>17818.34</v>
      </c>
      <c r="N1200" s="178">
        <v>24000</v>
      </c>
      <c r="O1200" s="178">
        <v>3791.8</v>
      </c>
      <c r="P1200" s="26">
        <f t="shared" si="755"/>
        <v>-4000</v>
      </c>
      <c r="Q1200" s="178">
        <v>24000</v>
      </c>
      <c r="R1200" s="178">
        <v>24000</v>
      </c>
      <c r="S1200" s="178">
        <v>24000</v>
      </c>
      <c r="T1200" s="266">
        <v>20000</v>
      </c>
      <c r="U1200" s="266">
        <v>11529.36</v>
      </c>
      <c r="V1200" s="266">
        <v>20000</v>
      </c>
      <c r="W1200" s="266">
        <v>20000</v>
      </c>
      <c r="X1200" s="178">
        <v>25000</v>
      </c>
      <c r="Y1200" s="266">
        <v>9277.49</v>
      </c>
      <c r="Z1200" s="266">
        <f t="shared" si="761"/>
        <v>46.39</v>
      </c>
      <c r="AA1200" s="266">
        <f t="shared" si="757"/>
        <v>0</v>
      </c>
      <c r="AB1200" s="266">
        <v>20000</v>
      </c>
      <c r="AC1200" s="266">
        <v>12087.58</v>
      </c>
      <c r="AD1200" s="266">
        <f t="shared" si="774"/>
        <v>60.437899999999999</v>
      </c>
      <c r="AE1200" s="266">
        <f t="shared" si="782"/>
        <v>0</v>
      </c>
      <c r="AF1200" s="266">
        <v>20000</v>
      </c>
      <c r="AG1200" s="266">
        <v>20000</v>
      </c>
      <c r="AH1200" s="266">
        <v>20000</v>
      </c>
      <c r="AI1200" s="266">
        <v>20000</v>
      </c>
      <c r="AJ1200" s="162" t="b">
        <f t="shared" si="762"/>
        <v>0</v>
      </c>
      <c r="AK1200" s="162" t="str">
        <f t="shared" si="763"/>
        <v>PUNO</v>
      </c>
      <c r="AM1200" s="164"/>
    </row>
    <row r="1201" spans="2:39" ht="15.75" x14ac:dyDescent="0.2">
      <c r="B1201" s="177"/>
      <c r="C1201" s="177"/>
      <c r="D1201" s="177"/>
      <c r="E1201" s="177">
        <v>3212</v>
      </c>
      <c r="F1201" s="176">
        <v>11</v>
      </c>
      <c r="G1201" s="176" t="s">
        <v>803</v>
      </c>
      <c r="H1201" s="16" t="s">
        <v>220</v>
      </c>
      <c r="I1201" s="18">
        <v>51000</v>
      </c>
      <c r="J1201" s="178">
        <v>30520</v>
      </c>
      <c r="K1201" s="178">
        <f t="shared" si="781"/>
        <v>59.84</v>
      </c>
      <c r="L1201" s="178">
        <f t="shared" si="744"/>
        <v>-10106</v>
      </c>
      <c r="M1201" s="178">
        <v>40894</v>
      </c>
      <c r="N1201" s="178">
        <v>56000</v>
      </c>
      <c r="O1201" s="178">
        <v>30190</v>
      </c>
      <c r="P1201" s="26">
        <f t="shared" si="755"/>
        <v>0</v>
      </c>
      <c r="Q1201" s="178">
        <v>56000</v>
      </c>
      <c r="R1201" s="178">
        <v>56000</v>
      </c>
      <c r="S1201" s="178">
        <v>56000</v>
      </c>
      <c r="T1201" s="266">
        <v>56000</v>
      </c>
      <c r="U1201" s="266">
        <v>44912</v>
      </c>
      <c r="V1201" s="266">
        <v>56000</v>
      </c>
      <c r="W1201" s="266">
        <v>56000</v>
      </c>
      <c r="X1201" s="178">
        <v>58000</v>
      </c>
      <c r="Y1201" s="266">
        <v>27688</v>
      </c>
      <c r="Z1201" s="266">
        <f t="shared" si="761"/>
        <v>49.44</v>
      </c>
      <c r="AA1201" s="266">
        <f t="shared" si="757"/>
        <v>0</v>
      </c>
      <c r="AB1201" s="266">
        <v>56000</v>
      </c>
      <c r="AC1201" s="266">
        <v>46648</v>
      </c>
      <c r="AD1201" s="266">
        <f t="shared" si="774"/>
        <v>83.3</v>
      </c>
      <c r="AE1201" s="266">
        <f t="shared" si="782"/>
        <v>6000</v>
      </c>
      <c r="AF1201" s="266">
        <v>62000</v>
      </c>
      <c r="AG1201" s="266">
        <v>82000</v>
      </c>
      <c r="AH1201" s="266">
        <v>82000</v>
      </c>
      <c r="AI1201" s="266">
        <v>82000</v>
      </c>
      <c r="AJ1201" s="162" t="b">
        <f t="shared" si="762"/>
        <v>0</v>
      </c>
      <c r="AK1201" s="162" t="str">
        <f t="shared" si="763"/>
        <v>PUNO</v>
      </c>
      <c r="AM1201" s="164"/>
    </row>
    <row r="1202" spans="2:39" ht="15.75" x14ac:dyDescent="0.2">
      <c r="B1202" s="177"/>
      <c r="C1202" s="177"/>
      <c r="D1202" s="177"/>
      <c r="E1202" s="177">
        <v>3213</v>
      </c>
      <c r="F1202" s="176">
        <v>11</v>
      </c>
      <c r="G1202" s="176" t="s">
        <v>803</v>
      </c>
      <c r="H1202" s="33" t="s">
        <v>221</v>
      </c>
      <c r="I1202" s="18">
        <v>10000</v>
      </c>
      <c r="J1202" s="178">
        <v>4190</v>
      </c>
      <c r="K1202" s="178">
        <f t="shared" si="781"/>
        <v>41.9</v>
      </c>
      <c r="L1202" s="178">
        <f t="shared" si="744"/>
        <v>-1079</v>
      </c>
      <c r="M1202" s="178">
        <v>8921</v>
      </c>
      <c r="N1202" s="178">
        <v>10000</v>
      </c>
      <c r="O1202" s="178">
        <v>1499</v>
      </c>
      <c r="P1202" s="26">
        <f t="shared" si="755"/>
        <v>0</v>
      </c>
      <c r="Q1202" s="178">
        <v>10000</v>
      </c>
      <c r="R1202" s="178">
        <v>10000</v>
      </c>
      <c r="S1202" s="178">
        <v>10000</v>
      </c>
      <c r="T1202" s="266">
        <v>10000</v>
      </c>
      <c r="U1202" s="266">
        <v>8054</v>
      </c>
      <c r="V1202" s="266">
        <v>10000</v>
      </c>
      <c r="W1202" s="266">
        <v>10000</v>
      </c>
      <c r="X1202" s="266">
        <v>10000</v>
      </c>
      <c r="Y1202" s="266">
        <v>2680</v>
      </c>
      <c r="Z1202" s="266">
        <f t="shared" si="761"/>
        <v>26.8</v>
      </c>
      <c r="AA1202" s="266">
        <f t="shared" si="757"/>
        <v>0</v>
      </c>
      <c r="AB1202" s="266">
        <v>10000</v>
      </c>
      <c r="AC1202" s="266">
        <v>3480</v>
      </c>
      <c r="AD1202" s="266">
        <f t="shared" si="774"/>
        <v>34.799999999999997</v>
      </c>
      <c r="AE1202" s="266">
        <f t="shared" si="782"/>
        <v>0</v>
      </c>
      <c r="AF1202" s="266">
        <v>10000</v>
      </c>
      <c r="AG1202" s="266">
        <v>10000</v>
      </c>
      <c r="AH1202" s="266">
        <v>10000</v>
      </c>
      <c r="AI1202" s="266">
        <v>10000</v>
      </c>
      <c r="AJ1202" s="162" t="b">
        <f t="shared" si="762"/>
        <v>0</v>
      </c>
      <c r="AK1202" s="162" t="str">
        <f t="shared" si="763"/>
        <v>PUNO</v>
      </c>
      <c r="AM1202" s="164"/>
    </row>
    <row r="1203" spans="2:39" ht="15.75" x14ac:dyDescent="0.2">
      <c r="B1203" s="177"/>
      <c r="C1203" s="177"/>
      <c r="D1203" s="177">
        <v>322</v>
      </c>
      <c r="E1203" s="177"/>
      <c r="F1203" s="177"/>
      <c r="G1203" s="177"/>
      <c r="H1203" s="16" t="s">
        <v>547</v>
      </c>
      <c r="I1203" s="18">
        <f>SUM(I1204:I1206)</f>
        <v>84000</v>
      </c>
      <c r="J1203" s="178">
        <f>SUM(J1204:J1206)</f>
        <v>61117.55</v>
      </c>
      <c r="K1203" s="178">
        <f t="shared" si="781"/>
        <v>72.760000000000005</v>
      </c>
      <c r="L1203" s="178">
        <f t="shared" si="744"/>
        <v>-906.93000000000757</v>
      </c>
      <c r="M1203" s="178">
        <f>SUM(M1204:M1206)</f>
        <v>83093.069999999992</v>
      </c>
      <c r="N1203" s="178">
        <f>SUM(N1204:N1206)</f>
        <v>89000</v>
      </c>
      <c r="O1203" s="178">
        <f>SUM(O1204:O1206)</f>
        <v>38328.1</v>
      </c>
      <c r="P1203" s="26">
        <f t="shared" si="755"/>
        <v>0</v>
      </c>
      <c r="Q1203" s="178">
        <f>SUM(Q1204:Q1206)</f>
        <v>89000</v>
      </c>
      <c r="R1203" s="178">
        <f>SUM(R1204:R1206)</f>
        <v>89000</v>
      </c>
      <c r="S1203" s="178">
        <f>SUM(S1204:S1206)</f>
        <v>89000</v>
      </c>
      <c r="T1203" s="266">
        <v>89000</v>
      </c>
      <c r="U1203" s="178">
        <f t="shared" ref="U1203:AA1203" si="785">SUM(U1204:U1206)</f>
        <v>82151.850000000006</v>
      </c>
      <c r="V1203" s="178">
        <f t="shared" si="785"/>
        <v>89000</v>
      </c>
      <c r="W1203" s="178">
        <f t="shared" si="785"/>
        <v>89000</v>
      </c>
      <c r="X1203" s="178">
        <f t="shared" si="785"/>
        <v>91000</v>
      </c>
      <c r="Y1203" s="178">
        <f t="shared" si="785"/>
        <v>24307.14</v>
      </c>
      <c r="Z1203" s="178">
        <f t="shared" si="785"/>
        <v>60.99</v>
      </c>
      <c r="AA1203" s="178">
        <f t="shared" si="785"/>
        <v>-5000</v>
      </c>
      <c r="AB1203" s="178">
        <f>SUM(AB1204:AB1206)</f>
        <v>84000</v>
      </c>
      <c r="AC1203" s="178">
        <f>SUM(AC1204:AC1206)</f>
        <v>32787.919999999998</v>
      </c>
      <c r="AD1203" s="178">
        <f t="shared" si="774"/>
        <v>39.03323809523809</v>
      </c>
      <c r="AE1203" s="178">
        <f t="shared" si="782"/>
        <v>0</v>
      </c>
      <c r="AF1203" s="178">
        <f>SUM(AF1204:AF1206)</f>
        <v>84000</v>
      </c>
      <c r="AG1203" s="178">
        <f>SUM(AG1204:AG1206)</f>
        <v>81000</v>
      </c>
      <c r="AH1203" s="178">
        <f>SUM(AH1204:AH1206)</f>
        <v>81000</v>
      </c>
      <c r="AI1203" s="178">
        <f>SUM(AI1204:AI1206)</f>
        <v>81000</v>
      </c>
      <c r="AJ1203" s="162" t="b">
        <f t="shared" si="762"/>
        <v>1</v>
      </c>
      <c r="AK1203" s="162" t="str">
        <f t="shared" si="763"/>
        <v>PRAZNO</v>
      </c>
      <c r="AM1203" s="164"/>
    </row>
    <row r="1204" spans="2:39" ht="15.75" x14ac:dyDescent="0.2">
      <c r="B1204" s="177"/>
      <c r="C1204" s="177"/>
      <c r="D1204" s="177"/>
      <c r="E1204" s="177">
        <v>3221</v>
      </c>
      <c r="F1204" s="176">
        <v>11</v>
      </c>
      <c r="G1204" s="176" t="s">
        <v>803</v>
      </c>
      <c r="H1204" s="16" t="s">
        <v>548</v>
      </c>
      <c r="I1204" s="18">
        <v>47000</v>
      </c>
      <c r="J1204" s="178">
        <v>40194</v>
      </c>
      <c r="K1204" s="178">
        <f t="shared" si="781"/>
        <v>85.52</v>
      </c>
      <c r="L1204" s="178">
        <f t="shared" si="744"/>
        <v>742.04000000000087</v>
      </c>
      <c r="M1204" s="178">
        <v>47742.04</v>
      </c>
      <c r="N1204" s="178">
        <v>48000</v>
      </c>
      <c r="O1204" s="178">
        <v>18383.09</v>
      </c>
      <c r="P1204" s="26">
        <f t="shared" si="755"/>
        <v>0</v>
      </c>
      <c r="Q1204" s="178">
        <v>48000</v>
      </c>
      <c r="R1204" s="178">
        <v>48000</v>
      </c>
      <c r="S1204" s="178">
        <v>48000</v>
      </c>
      <c r="T1204" s="266">
        <v>48000</v>
      </c>
      <c r="U1204" s="266">
        <v>46150.91</v>
      </c>
      <c r="V1204" s="266">
        <v>48000</v>
      </c>
      <c r="W1204" s="266">
        <v>48000</v>
      </c>
      <c r="X1204" s="178">
        <v>49000</v>
      </c>
      <c r="Y1204" s="266">
        <v>13373.61</v>
      </c>
      <c r="Z1204" s="266">
        <f t="shared" si="761"/>
        <v>27.86</v>
      </c>
      <c r="AA1204" s="266">
        <f t="shared" si="757"/>
        <v>0</v>
      </c>
      <c r="AB1204" s="266">
        <v>48000</v>
      </c>
      <c r="AC1204" s="266">
        <v>17076.86</v>
      </c>
      <c r="AD1204" s="266">
        <f t="shared" si="774"/>
        <v>35.576791666666665</v>
      </c>
      <c r="AE1204" s="266">
        <f t="shared" si="782"/>
        <v>0</v>
      </c>
      <c r="AF1204" s="266">
        <v>48000</v>
      </c>
      <c r="AG1204" s="266">
        <v>45000</v>
      </c>
      <c r="AH1204" s="266">
        <v>45000</v>
      </c>
      <c r="AI1204" s="266">
        <v>45000</v>
      </c>
      <c r="AJ1204" s="162" t="b">
        <f t="shared" si="762"/>
        <v>0</v>
      </c>
      <c r="AK1204" s="162" t="str">
        <f t="shared" si="763"/>
        <v>PUNO</v>
      </c>
      <c r="AM1204" s="164"/>
    </row>
    <row r="1205" spans="2:39" ht="15.75" x14ac:dyDescent="0.2">
      <c r="B1205" s="177"/>
      <c r="C1205" s="177"/>
      <c r="D1205" s="177"/>
      <c r="E1205" s="177">
        <v>3223</v>
      </c>
      <c r="F1205" s="176">
        <v>11</v>
      </c>
      <c r="G1205" s="176" t="s">
        <v>803</v>
      </c>
      <c r="H1205" s="16" t="s">
        <v>204</v>
      </c>
      <c r="I1205" s="18">
        <v>29000</v>
      </c>
      <c r="J1205" s="178">
        <v>18011.240000000002</v>
      </c>
      <c r="K1205" s="178">
        <f t="shared" si="781"/>
        <v>62.11</v>
      </c>
      <c r="L1205" s="178">
        <f t="shared" ref="L1205:L1275" si="786">M1205-I1205</f>
        <v>-556.61999999999898</v>
      </c>
      <c r="M1205" s="178">
        <v>28443.38</v>
      </c>
      <c r="N1205" s="178">
        <v>33000</v>
      </c>
      <c r="O1205" s="178">
        <v>19878.86</v>
      </c>
      <c r="P1205" s="26">
        <f t="shared" si="755"/>
        <v>0</v>
      </c>
      <c r="Q1205" s="178">
        <v>33000</v>
      </c>
      <c r="R1205" s="178">
        <v>33000</v>
      </c>
      <c r="S1205" s="178">
        <v>33000</v>
      </c>
      <c r="T1205" s="266">
        <v>33000</v>
      </c>
      <c r="U1205" s="266">
        <v>34066.39</v>
      </c>
      <c r="V1205" s="266">
        <v>33000</v>
      </c>
      <c r="W1205" s="266">
        <v>33000</v>
      </c>
      <c r="X1205" s="178">
        <v>34000</v>
      </c>
      <c r="Y1205" s="266">
        <v>10933.53</v>
      </c>
      <c r="Z1205" s="266">
        <f t="shared" si="761"/>
        <v>33.130000000000003</v>
      </c>
      <c r="AA1205" s="266">
        <f t="shared" si="757"/>
        <v>0</v>
      </c>
      <c r="AB1205" s="266">
        <v>33000</v>
      </c>
      <c r="AC1205" s="266">
        <v>15711.06</v>
      </c>
      <c r="AD1205" s="266">
        <f t="shared" si="774"/>
        <v>47.609272727272725</v>
      </c>
      <c r="AE1205" s="266">
        <f t="shared" si="782"/>
        <v>0</v>
      </c>
      <c r="AF1205" s="266">
        <v>33000</v>
      </c>
      <c r="AG1205" s="266">
        <v>33000</v>
      </c>
      <c r="AH1205" s="266">
        <v>33000</v>
      </c>
      <c r="AI1205" s="266">
        <v>33000</v>
      </c>
      <c r="AJ1205" s="162" t="b">
        <f t="shared" si="762"/>
        <v>0</v>
      </c>
      <c r="AK1205" s="162" t="str">
        <f t="shared" si="763"/>
        <v>PUNO</v>
      </c>
      <c r="AM1205" s="164"/>
    </row>
    <row r="1206" spans="2:39" ht="15.75" x14ac:dyDescent="0.2">
      <c r="B1206" s="177"/>
      <c r="C1206" s="177"/>
      <c r="D1206" s="177"/>
      <c r="E1206" s="177">
        <v>3225</v>
      </c>
      <c r="F1206" s="176">
        <v>11</v>
      </c>
      <c r="G1206" s="176" t="s">
        <v>803</v>
      </c>
      <c r="H1206" s="16" t="s">
        <v>642</v>
      </c>
      <c r="I1206" s="18">
        <v>8000</v>
      </c>
      <c r="J1206" s="178">
        <v>2912.31</v>
      </c>
      <c r="K1206" s="178">
        <f t="shared" si="781"/>
        <v>36.4</v>
      </c>
      <c r="L1206" s="178">
        <f t="shared" si="786"/>
        <v>-1092.3500000000004</v>
      </c>
      <c r="M1206" s="178">
        <v>6907.65</v>
      </c>
      <c r="N1206" s="178">
        <v>8000</v>
      </c>
      <c r="O1206" s="178">
        <v>66.150000000000006</v>
      </c>
      <c r="P1206" s="26">
        <f t="shared" si="755"/>
        <v>0</v>
      </c>
      <c r="Q1206" s="178">
        <v>8000</v>
      </c>
      <c r="R1206" s="178">
        <v>8000</v>
      </c>
      <c r="S1206" s="178">
        <v>8000</v>
      </c>
      <c r="T1206" s="266">
        <v>8000</v>
      </c>
      <c r="U1206" s="266">
        <v>1934.55</v>
      </c>
      <c r="V1206" s="266">
        <v>8000</v>
      </c>
      <c r="W1206" s="266">
        <v>8000</v>
      </c>
      <c r="X1206" s="266">
        <v>8000</v>
      </c>
      <c r="Y1206" s="266">
        <v>0</v>
      </c>
      <c r="Z1206" s="266">
        <f t="shared" si="761"/>
        <v>0</v>
      </c>
      <c r="AA1206" s="266">
        <f t="shared" si="757"/>
        <v>-5000</v>
      </c>
      <c r="AB1206" s="266">
        <v>3000</v>
      </c>
      <c r="AC1206" s="266">
        <v>0</v>
      </c>
      <c r="AD1206" s="266">
        <f t="shared" si="774"/>
        <v>0</v>
      </c>
      <c r="AE1206" s="266">
        <f t="shared" si="782"/>
        <v>0</v>
      </c>
      <c r="AF1206" s="266">
        <v>3000</v>
      </c>
      <c r="AG1206" s="266">
        <v>3000</v>
      </c>
      <c r="AH1206" s="266">
        <v>3000</v>
      </c>
      <c r="AI1206" s="266">
        <v>3000</v>
      </c>
      <c r="AJ1206" s="162" t="b">
        <f t="shared" si="762"/>
        <v>0</v>
      </c>
      <c r="AK1206" s="162" t="str">
        <f t="shared" si="763"/>
        <v>PUNO</v>
      </c>
      <c r="AM1206" s="164"/>
    </row>
    <row r="1207" spans="2:39" ht="15.75" x14ac:dyDescent="0.2">
      <c r="B1207" s="177"/>
      <c r="C1207" s="177"/>
      <c r="D1207" s="177">
        <v>323</v>
      </c>
      <c r="E1207" s="177"/>
      <c r="F1207" s="177"/>
      <c r="G1207" s="177"/>
      <c r="H1207" s="16" t="s">
        <v>526</v>
      </c>
      <c r="I1207" s="17">
        <f>SUM(I1208:I1214)</f>
        <v>112000</v>
      </c>
      <c r="J1207" s="181">
        <f>SUM(J1208:J1214)</f>
        <v>56967.49</v>
      </c>
      <c r="K1207" s="181">
        <f t="shared" si="781"/>
        <v>50.86</v>
      </c>
      <c r="L1207" s="181">
        <f t="shared" si="786"/>
        <v>-32435.410000000003</v>
      </c>
      <c r="M1207" s="181">
        <f>SUM(M1208:M1214)</f>
        <v>79564.59</v>
      </c>
      <c r="N1207" s="181">
        <f>SUM(N1208:N1214)</f>
        <v>118000</v>
      </c>
      <c r="O1207" s="181">
        <f>SUM(O1208:O1214)</f>
        <v>49438.600000000006</v>
      </c>
      <c r="P1207" s="26">
        <f t="shared" si="755"/>
        <v>49000</v>
      </c>
      <c r="Q1207" s="181">
        <f t="shared" ref="Q1207:X1207" si="787">SUM(Q1208:Q1214)</f>
        <v>118000</v>
      </c>
      <c r="R1207" s="181">
        <f t="shared" si="787"/>
        <v>118000</v>
      </c>
      <c r="S1207" s="181">
        <f t="shared" si="787"/>
        <v>118000</v>
      </c>
      <c r="T1207" s="307">
        <f>SUM(T1208:T1214)</f>
        <v>167000</v>
      </c>
      <c r="U1207" s="307">
        <f>SUM(U1208:U1214)</f>
        <v>79175.55</v>
      </c>
      <c r="V1207" s="181">
        <f t="shared" si="787"/>
        <v>122000</v>
      </c>
      <c r="W1207" s="181">
        <f t="shared" si="787"/>
        <v>122000</v>
      </c>
      <c r="X1207" s="181">
        <f t="shared" si="787"/>
        <v>119000</v>
      </c>
      <c r="Y1207" s="181">
        <f>SUM(Y1208:Y1214)</f>
        <v>60387.83</v>
      </c>
      <c r="Z1207" s="181">
        <f t="shared" si="761"/>
        <v>49.5</v>
      </c>
      <c r="AA1207" s="181">
        <f t="shared" si="757"/>
        <v>10000</v>
      </c>
      <c r="AB1207" s="181">
        <f>SUM(AB1208:AB1214)</f>
        <v>132000</v>
      </c>
      <c r="AC1207" s="181">
        <f>SUM(AC1208:AC1214)</f>
        <v>87857.83</v>
      </c>
      <c r="AD1207" s="181">
        <f t="shared" si="774"/>
        <v>66.558962121212119</v>
      </c>
      <c r="AE1207" s="181">
        <f t="shared" si="782"/>
        <v>-6000</v>
      </c>
      <c r="AF1207" s="181">
        <f>SUM(AF1208:AF1214)</f>
        <v>126000</v>
      </c>
      <c r="AG1207" s="181">
        <f>SUM(AG1208:AG1214)</f>
        <v>111000</v>
      </c>
      <c r="AH1207" s="181">
        <f>SUM(AH1208:AH1214)</f>
        <v>111000</v>
      </c>
      <c r="AI1207" s="181">
        <f>SUM(AI1208:AI1214)</f>
        <v>111000</v>
      </c>
      <c r="AJ1207" s="162" t="b">
        <f t="shared" si="762"/>
        <v>1</v>
      </c>
      <c r="AK1207" s="162" t="str">
        <f t="shared" si="763"/>
        <v>PRAZNO</v>
      </c>
      <c r="AM1207" s="164"/>
    </row>
    <row r="1208" spans="2:39" ht="15.75" x14ac:dyDescent="0.2">
      <c r="B1208" s="177"/>
      <c r="C1208" s="177"/>
      <c r="D1208" s="177"/>
      <c r="E1208" s="177">
        <v>3231</v>
      </c>
      <c r="F1208" s="176">
        <v>11</v>
      </c>
      <c r="G1208" s="176" t="s">
        <v>803</v>
      </c>
      <c r="H1208" s="16" t="s">
        <v>206</v>
      </c>
      <c r="I1208" s="18">
        <v>31000</v>
      </c>
      <c r="J1208" s="178">
        <v>15625.93</v>
      </c>
      <c r="K1208" s="178">
        <f t="shared" si="781"/>
        <v>50.41</v>
      </c>
      <c r="L1208" s="178">
        <f t="shared" si="786"/>
        <v>-6723.880000000001</v>
      </c>
      <c r="M1208" s="178">
        <v>24276.12</v>
      </c>
      <c r="N1208" s="178">
        <v>32000</v>
      </c>
      <c r="O1208" s="178">
        <v>12566.27</v>
      </c>
      <c r="P1208" s="26">
        <f t="shared" si="755"/>
        <v>0</v>
      </c>
      <c r="Q1208" s="178">
        <v>32000</v>
      </c>
      <c r="R1208" s="178">
        <v>32000</v>
      </c>
      <c r="S1208" s="178">
        <v>32000</v>
      </c>
      <c r="T1208" s="266">
        <v>32000</v>
      </c>
      <c r="U1208" s="266">
        <v>20854.89</v>
      </c>
      <c r="V1208" s="266">
        <v>32000</v>
      </c>
      <c r="W1208" s="266">
        <v>32000</v>
      </c>
      <c r="X1208" s="178">
        <v>33000</v>
      </c>
      <c r="Y1208" s="266">
        <v>9758.74</v>
      </c>
      <c r="Z1208" s="266">
        <f t="shared" si="761"/>
        <v>30.5</v>
      </c>
      <c r="AA1208" s="266">
        <f t="shared" si="757"/>
        <v>0</v>
      </c>
      <c r="AB1208" s="266">
        <v>32000</v>
      </c>
      <c r="AC1208" s="266">
        <v>16408.47</v>
      </c>
      <c r="AD1208" s="266">
        <f t="shared" si="774"/>
        <v>51.276468750000006</v>
      </c>
      <c r="AE1208" s="266">
        <f t="shared" si="782"/>
        <v>-3000</v>
      </c>
      <c r="AF1208" s="266">
        <v>29000</v>
      </c>
      <c r="AG1208" s="266">
        <v>25000</v>
      </c>
      <c r="AH1208" s="266">
        <v>25000</v>
      </c>
      <c r="AI1208" s="266">
        <v>25000</v>
      </c>
      <c r="AJ1208" s="162" t="b">
        <f t="shared" si="762"/>
        <v>0</v>
      </c>
      <c r="AK1208" s="162" t="str">
        <f t="shared" si="763"/>
        <v>PUNO</v>
      </c>
      <c r="AM1208" s="164"/>
    </row>
    <row r="1209" spans="2:39" ht="15.75" x14ac:dyDescent="0.2">
      <c r="B1209" s="177"/>
      <c r="C1209" s="177"/>
      <c r="D1209" s="177"/>
      <c r="E1209" s="177">
        <v>3232</v>
      </c>
      <c r="F1209" s="176">
        <v>11</v>
      </c>
      <c r="G1209" s="176" t="s">
        <v>803</v>
      </c>
      <c r="H1209" s="16" t="s">
        <v>207</v>
      </c>
      <c r="I1209" s="18">
        <v>15000</v>
      </c>
      <c r="J1209" s="178">
        <v>5754.34</v>
      </c>
      <c r="K1209" s="178">
        <f t="shared" si="781"/>
        <v>38.36</v>
      </c>
      <c r="L1209" s="178">
        <f t="shared" si="786"/>
        <v>-8083.88</v>
      </c>
      <c r="M1209" s="178">
        <v>6916.12</v>
      </c>
      <c r="N1209" s="178">
        <v>15000</v>
      </c>
      <c r="O1209" s="178">
        <v>2337.2800000000002</v>
      </c>
      <c r="P1209" s="26">
        <f t="shared" si="755"/>
        <v>49000</v>
      </c>
      <c r="Q1209" s="178">
        <v>15000</v>
      </c>
      <c r="R1209" s="178">
        <v>15000</v>
      </c>
      <c r="S1209" s="178">
        <v>15000</v>
      </c>
      <c r="T1209" s="266">
        <v>64000</v>
      </c>
      <c r="U1209" s="266">
        <v>3587.28</v>
      </c>
      <c r="V1209" s="266">
        <v>19000</v>
      </c>
      <c r="W1209" s="266">
        <v>19000</v>
      </c>
      <c r="X1209" s="178">
        <v>15000</v>
      </c>
      <c r="Y1209" s="266">
        <v>31176.18</v>
      </c>
      <c r="Z1209" s="266">
        <f t="shared" si="761"/>
        <v>164.09</v>
      </c>
      <c r="AA1209" s="266">
        <f t="shared" si="757"/>
        <v>14000</v>
      </c>
      <c r="AB1209" s="266">
        <v>33000</v>
      </c>
      <c r="AC1209" s="266">
        <v>34910.959999999999</v>
      </c>
      <c r="AD1209" s="266">
        <f t="shared" si="774"/>
        <v>105.79078787878788</v>
      </c>
      <c r="AE1209" s="266">
        <f t="shared" si="782"/>
        <v>2000</v>
      </c>
      <c r="AF1209" s="266">
        <v>35000</v>
      </c>
      <c r="AG1209" s="266">
        <v>24000</v>
      </c>
      <c r="AH1209" s="266">
        <v>24000</v>
      </c>
      <c r="AI1209" s="266">
        <v>24000</v>
      </c>
      <c r="AJ1209" s="162" t="b">
        <f t="shared" si="762"/>
        <v>0</v>
      </c>
      <c r="AK1209" s="162" t="str">
        <f t="shared" si="763"/>
        <v>PUNO</v>
      </c>
      <c r="AM1209" s="164"/>
    </row>
    <row r="1210" spans="2:39" ht="15.75" x14ac:dyDescent="0.2">
      <c r="B1210" s="177"/>
      <c r="C1210" s="177"/>
      <c r="D1210" s="177"/>
      <c r="E1210" s="177">
        <v>3233</v>
      </c>
      <c r="F1210" s="176">
        <v>11</v>
      </c>
      <c r="G1210" s="176" t="s">
        <v>803</v>
      </c>
      <c r="H1210" s="16" t="s">
        <v>528</v>
      </c>
      <c r="I1210" s="18">
        <v>5000</v>
      </c>
      <c r="J1210" s="178">
        <v>720</v>
      </c>
      <c r="K1210" s="178">
        <f t="shared" si="781"/>
        <v>14.4</v>
      </c>
      <c r="L1210" s="178">
        <f t="shared" si="786"/>
        <v>-3872.4300000000003</v>
      </c>
      <c r="M1210" s="178">
        <v>1127.57</v>
      </c>
      <c r="N1210" s="178">
        <v>5000</v>
      </c>
      <c r="O1210" s="178">
        <v>2027.5</v>
      </c>
      <c r="P1210" s="26">
        <f t="shared" si="755"/>
        <v>0</v>
      </c>
      <c r="Q1210" s="178">
        <v>5000</v>
      </c>
      <c r="R1210" s="178">
        <v>5000</v>
      </c>
      <c r="S1210" s="178">
        <v>5000</v>
      </c>
      <c r="T1210" s="266">
        <v>5000</v>
      </c>
      <c r="U1210" s="266">
        <v>5040.43</v>
      </c>
      <c r="V1210" s="266">
        <v>5000</v>
      </c>
      <c r="W1210" s="266">
        <v>5000</v>
      </c>
      <c r="X1210" s="266">
        <v>5000</v>
      </c>
      <c r="Y1210" s="266">
        <v>601.4</v>
      </c>
      <c r="Z1210" s="266">
        <f t="shared" si="761"/>
        <v>12.03</v>
      </c>
      <c r="AA1210" s="266">
        <f t="shared" si="757"/>
        <v>0</v>
      </c>
      <c r="AB1210" s="266">
        <v>5000</v>
      </c>
      <c r="AC1210" s="266">
        <v>1096.2</v>
      </c>
      <c r="AD1210" s="266">
        <f t="shared" si="774"/>
        <v>21.924000000000003</v>
      </c>
      <c r="AE1210" s="266">
        <f t="shared" si="782"/>
        <v>0</v>
      </c>
      <c r="AF1210" s="266">
        <v>5000</v>
      </c>
      <c r="AG1210" s="266">
        <v>5000</v>
      </c>
      <c r="AH1210" s="266">
        <v>5000</v>
      </c>
      <c r="AI1210" s="266">
        <v>5000</v>
      </c>
      <c r="AJ1210" s="162" t="b">
        <f t="shared" si="762"/>
        <v>0</v>
      </c>
      <c r="AK1210" s="162" t="str">
        <f t="shared" si="763"/>
        <v>PUNO</v>
      </c>
      <c r="AM1210" s="164"/>
    </row>
    <row r="1211" spans="2:39" ht="15.75" x14ac:dyDescent="0.2">
      <c r="B1211" s="177"/>
      <c r="C1211" s="177"/>
      <c r="D1211" s="177"/>
      <c r="E1211" s="177">
        <v>3234</v>
      </c>
      <c r="F1211" s="176">
        <v>11</v>
      </c>
      <c r="G1211" s="176" t="s">
        <v>803</v>
      </c>
      <c r="H1211" s="16" t="s">
        <v>238</v>
      </c>
      <c r="I1211" s="18">
        <v>23000</v>
      </c>
      <c r="J1211" s="178">
        <v>5837.1</v>
      </c>
      <c r="K1211" s="178">
        <f t="shared" si="781"/>
        <v>25.38</v>
      </c>
      <c r="L1211" s="178">
        <f t="shared" si="786"/>
        <v>-15264.939999999999</v>
      </c>
      <c r="M1211" s="178">
        <v>7735.06</v>
      </c>
      <c r="N1211" s="178">
        <v>15000</v>
      </c>
      <c r="O1211" s="178">
        <v>4897.1099999999997</v>
      </c>
      <c r="P1211" s="26">
        <f t="shared" si="755"/>
        <v>0</v>
      </c>
      <c r="Q1211" s="178">
        <v>15000</v>
      </c>
      <c r="R1211" s="178">
        <v>15000</v>
      </c>
      <c r="S1211" s="178">
        <v>15000</v>
      </c>
      <c r="T1211" s="266">
        <v>15000</v>
      </c>
      <c r="U1211" s="266">
        <v>7702.51</v>
      </c>
      <c r="V1211" s="266">
        <v>15000</v>
      </c>
      <c r="W1211" s="266">
        <v>15000</v>
      </c>
      <c r="X1211" s="266">
        <v>15000</v>
      </c>
      <c r="Y1211" s="266">
        <v>1629.66</v>
      </c>
      <c r="Z1211" s="266">
        <f t="shared" si="761"/>
        <v>10.86</v>
      </c>
      <c r="AA1211" s="266">
        <f t="shared" si="757"/>
        <v>0</v>
      </c>
      <c r="AB1211" s="266">
        <v>15000</v>
      </c>
      <c r="AC1211" s="266">
        <v>3216.6</v>
      </c>
      <c r="AD1211" s="266">
        <f t="shared" si="774"/>
        <v>21.443999999999999</v>
      </c>
      <c r="AE1211" s="266">
        <f t="shared" si="782"/>
        <v>-5000</v>
      </c>
      <c r="AF1211" s="266">
        <v>10000</v>
      </c>
      <c r="AG1211" s="266">
        <v>8000</v>
      </c>
      <c r="AH1211" s="266">
        <v>8000</v>
      </c>
      <c r="AI1211" s="266">
        <v>8000</v>
      </c>
      <c r="AJ1211" s="162" t="b">
        <f t="shared" si="762"/>
        <v>0</v>
      </c>
      <c r="AK1211" s="162" t="str">
        <f t="shared" si="763"/>
        <v>PUNO</v>
      </c>
      <c r="AM1211" s="164"/>
    </row>
    <row r="1212" spans="2:39" ht="15.75" x14ac:dyDescent="0.2">
      <c r="B1212" s="177"/>
      <c r="C1212" s="177"/>
      <c r="D1212" s="177"/>
      <c r="E1212" s="177">
        <v>3235</v>
      </c>
      <c r="F1212" s="176">
        <v>11</v>
      </c>
      <c r="G1212" s="176"/>
      <c r="H1212" s="16" t="s">
        <v>246</v>
      </c>
      <c r="I1212" s="18"/>
      <c r="J1212" s="178"/>
      <c r="K1212" s="178"/>
      <c r="L1212" s="178"/>
      <c r="M1212" s="178"/>
      <c r="N1212" s="178"/>
      <c r="O1212" s="178"/>
      <c r="P1212" s="26"/>
      <c r="Q1212" s="178"/>
      <c r="R1212" s="178"/>
      <c r="S1212" s="178"/>
      <c r="T1212" s="266"/>
      <c r="U1212" s="266"/>
      <c r="V1212" s="266"/>
      <c r="W1212" s="266"/>
      <c r="X1212" s="266"/>
      <c r="Y1212" s="266"/>
      <c r="Z1212" s="266"/>
      <c r="AA1212" s="266"/>
      <c r="AB1212" s="266"/>
      <c r="AC1212" s="266"/>
      <c r="AD1212" s="266"/>
      <c r="AE1212" s="266">
        <f t="shared" si="782"/>
        <v>1700</v>
      </c>
      <c r="AF1212" s="266">
        <v>1700</v>
      </c>
      <c r="AG1212" s="266">
        <v>2000</v>
      </c>
      <c r="AH1212" s="266">
        <v>2000</v>
      </c>
      <c r="AI1212" s="266">
        <v>2000</v>
      </c>
      <c r="AJ1212" s="162" t="b">
        <f t="shared" si="762"/>
        <v>0</v>
      </c>
      <c r="AK1212" s="162" t="str">
        <f t="shared" si="763"/>
        <v>PUNO</v>
      </c>
      <c r="AM1212" s="164"/>
    </row>
    <row r="1213" spans="2:39" ht="15.75" x14ac:dyDescent="0.2">
      <c r="B1213" s="177"/>
      <c r="C1213" s="177"/>
      <c r="D1213" s="177"/>
      <c r="E1213" s="177">
        <v>3237</v>
      </c>
      <c r="F1213" s="176">
        <v>11</v>
      </c>
      <c r="G1213" s="176" t="s">
        <v>803</v>
      </c>
      <c r="H1213" s="16" t="s">
        <v>566</v>
      </c>
      <c r="I1213" s="18">
        <v>32000</v>
      </c>
      <c r="J1213" s="178">
        <v>19487.05</v>
      </c>
      <c r="K1213" s="178">
        <f t="shared" si="781"/>
        <v>60.9</v>
      </c>
      <c r="L1213" s="178">
        <f t="shared" si="786"/>
        <v>-5132.9500000000007</v>
      </c>
      <c r="M1213" s="178">
        <v>26867.05</v>
      </c>
      <c r="N1213" s="178">
        <v>33000</v>
      </c>
      <c r="O1213" s="178">
        <v>19404</v>
      </c>
      <c r="P1213" s="26">
        <f t="shared" si="755"/>
        <v>0</v>
      </c>
      <c r="Q1213" s="178">
        <v>33000</v>
      </c>
      <c r="R1213" s="178">
        <v>33000</v>
      </c>
      <c r="S1213" s="178">
        <v>33000</v>
      </c>
      <c r="T1213" s="266">
        <v>33000</v>
      </c>
      <c r="U1213" s="266">
        <v>29404</v>
      </c>
      <c r="V1213" s="266">
        <v>33000</v>
      </c>
      <c r="W1213" s="266">
        <v>33000</v>
      </c>
      <c r="X1213" s="266">
        <v>33000</v>
      </c>
      <c r="Y1213" s="266">
        <v>11000</v>
      </c>
      <c r="Z1213" s="266">
        <f t="shared" si="761"/>
        <v>33.33</v>
      </c>
      <c r="AA1213" s="266">
        <f t="shared" si="757"/>
        <v>-4000</v>
      </c>
      <c r="AB1213" s="266">
        <v>29000</v>
      </c>
      <c r="AC1213" s="266">
        <v>21623.75</v>
      </c>
      <c r="AD1213" s="266">
        <f t="shared" si="774"/>
        <v>74.564655172413794</v>
      </c>
      <c r="AE1213" s="266">
        <f t="shared" si="782"/>
        <v>0</v>
      </c>
      <c r="AF1213" s="266">
        <v>29000</v>
      </c>
      <c r="AG1213" s="266">
        <v>29000</v>
      </c>
      <c r="AH1213" s="266">
        <v>29000</v>
      </c>
      <c r="AI1213" s="266">
        <v>29000</v>
      </c>
      <c r="AJ1213" s="162" t="b">
        <f t="shared" si="762"/>
        <v>0</v>
      </c>
      <c r="AK1213" s="162" t="str">
        <f t="shared" si="763"/>
        <v>PUNO</v>
      </c>
      <c r="AM1213" s="164"/>
    </row>
    <row r="1214" spans="2:39" ht="15.75" x14ac:dyDescent="0.2">
      <c r="B1214" s="177"/>
      <c r="C1214" s="177"/>
      <c r="D1214" s="177"/>
      <c r="E1214" s="177">
        <v>3239</v>
      </c>
      <c r="F1214" s="176">
        <v>11</v>
      </c>
      <c r="G1214" s="176" t="s">
        <v>803</v>
      </c>
      <c r="H1214" s="16" t="s">
        <v>529</v>
      </c>
      <c r="I1214" s="18">
        <v>6000</v>
      </c>
      <c r="J1214" s="178">
        <v>9543.07</v>
      </c>
      <c r="K1214" s="178">
        <f t="shared" si="781"/>
        <v>159.05000000000001</v>
      </c>
      <c r="L1214" s="178">
        <f t="shared" si="786"/>
        <v>6642.67</v>
      </c>
      <c r="M1214" s="178">
        <v>12642.67</v>
      </c>
      <c r="N1214" s="178">
        <v>18000</v>
      </c>
      <c r="O1214" s="178">
        <v>8206.44</v>
      </c>
      <c r="P1214" s="26">
        <f t="shared" si="755"/>
        <v>0</v>
      </c>
      <c r="Q1214" s="178">
        <v>18000</v>
      </c>
      <c r="R1214" s="178">
        <v>18000</v>
      </c>
      <c r="S1214" s="178">
        <v>18000</v>
      </c>
      <c r="T1214" s="266">
        <v>18000</v>
      </c>
      <c r="U1214" s="266">
        <v>12586.44</v>
      </c>
      <c r="V1214" s="266">
        <v>18000</v>
      </c>
      <c r="W1214" s="266">
        <v>18000</v>
      </c>
      <c r="X1214" s="266">
        <v>18000</v>
      </c>
      <c r="Y1214" s="266">
        <v>6221.85</v>
      </c>
      <c r="Z1214" s="266">
        <f t="shared" si="761"/>
        <v>34.57</v>
      </c>
      <c r="AA1214" s="266">
        <f t="shared" si="757"/>
        <v>0</v>
      </c>
      <c r="AB1214" s="266">
        <v>18000</v>
      </c>
      <c r="AC1214" s="266">
        <v>10601.85</v>
      </c>
      <c r="AD1214" s="266">
        <f t="shared" si="774"/>
        <v>58.899166666666666</v>
      </c>
      <c r="AE1214" s="266">
        <f t="shared" si="782"/>
        <v>-1700</v>
      </c>
      <c r="AF1214" s="266">
        <f>18000-1700</f>
        <v>16300</v>
      </c>
      <c r="AG1214" s="266">
        <v>18000</v>
      </c>
      <c r="AH1214" s="266">
        <v>18000</v>
      </c>
      <c r="AI1214" s="266">
        <v>18000</v>
      </c>
      <c r="AJ1214" s="162" t="b">
        <f t="shared" si="762"/>
        <v>0</v>
      </c>
      <c r="AK1214" s="162" t="str">
        <f t="shared" si="763"/>
        <v>PUNO</v>
      </c>
      <c r="AM1214" s="164"/>
    </row>
    <row r="1215" spans="2:39" ht="15.75" x14ac:dyDescent="0.2">
      <c r="B1215" s="177"/>
      <c r="C1215" s="177"/>
      <c r="D1215" s="177">
        <v>329</v>
      </c>
      <c r="E1215" s="177"/>
      <c r="F1215" s="177"/>
      <c r="G1215" s="177"/>
      <c r="H1215" s="16" t="s">
        <v>531</v>
      </c>
      <c r="I1215" s="17">
        <f>SUM(I1216:I1219)</f>
        <v>44000</v>
      </c>
      <c r="J1215" s="181">
        <f>SUM(J1216:J1219)</f>
        <v>27143.660000000003</v>
      </c>
      <c r="K1215" s="181">
        <f t="shared" si="781"/>
        <v>61.69</v>
      </c>
      <c r="L1215" s="181">
        <f t="shared" si="786"/>
        <v>-26141.859999999997</v>
      </c>
      <c r="M1215" s="181">
        <f>SUM(M1216:M1219)</f>
        <v>17858.140000000003</v>
      </c>
      <c r="N1215" s="181">
        <f>SUM(N1216:N1219)</f>
        <v>46000</v>
      </c>
      <c r="O1215" s="181">
        <f>SUM(O1216:O1219)</f>
        <v>12330.91</v>
      </c>
      <c r="P1215" s="26">
        <f t="shared" si="755"/>
        <v>0</v>
      </c>
      <c r="Q1215" s="181">
        <f t="shared" ref="Q1215:X1215" si="788">SUM(Q1216:Q1219)</f>
        <v>46000</v>
      </c>
      <c r="R1215" s="181">
        <f t="shared" si="788"/>
        <v>46000</v>
      </c>
      <c r="S1215" s="181">
        <f t="shared" si="788"/>
        <v>46000</v>
      </c>
      <c r="T1215" s="307">
        <f t="shared" si="788"/>
        <v>46000</v>
      </c>
      <c r="U1215" s="307">
        <f>SUM(U1216:U1219)</f>
        <v>19583.91</v>
      </c>
      <c r="V1215" s="181">
        <f t="shared" si="788"/>
        <v>46000</v>
      </c>
      <c r="W1215" s="181">
        <f t="shared" si="788"/>
        <v>46000</v>
      </c>
      <c r="X1215" s="181">
        <f t="shared" si="788"/>
        <v>47000</v>
      </c>
      <c r="Y1215" s="181">
        <f>SUM(Y1216:Y1219)</f>
        <v>10677.06</v>
      </c>
      <c r="Z1215" s="181">
        <f t="shared" si="761"/>
        <v>23.21</v>
      </c>
      <c r="AA1215" s="181">
        <f t="shared" si="757"/>
        <v>-5000</v>
      </c>
      <c r="AB1215" s="181">
        <f>SUM(AB1216:AB1219)</f>
        <v>41000</v>
      </c>
      <c r="AC1215" s="181">
        <f>SUM(AC1216:AC1219)</f>
        <v>12406.5</v>
      </c>
      <c r="AD1215" s="181">
        <f t="shared" si="774"/>
        <v>30.259756097560974</v>
      </c>
      <c r="AE1215" s="181">
        <f t="shared" si="782"/>
        <v>0</v>
      </c>
      <c r="AF1215" s="181">
        <f>SUM(AF1216:AF1219)</f>
        <v>41000</v>
      </c>
      <c r="AG1215" s="181">
        <f>SUM(AG1216:AG1219)</f>
        <v>27000</v>
      </c>
      <c r="AH1215" s="181">
        <f>SUM(AH1216:AH1219)</f>
        <v>27000</v>
      </c>
      <c r="AI1215" s="181">
        <f>SUM(AI1216:AI1219)</f>
        <v>27000</v>
      </c>
      <c r="AJ1215" s="162" t="b">
        <f t="shared" si="762"/>
        <v>1</v>
      </c>
      <c r="AK1215" s="162" t="str">
        <f t="shared" si="763"/>
        <v>PRAZNO</v>
      </c>
      <c r="AM1215" s="164"/>
    </row>
    <row r="1216" spans="2:39" ht="30" x14ac:dyDescent="0.2">
      <c r="B1216" s="177"/>
      <c r="C1216" s="177"/>
      <c r="D1216" s="177"/>
      <c r="E1216" s="177">
        <v>3291</v>
      </c>
      <c r="F1216" s="176">
        <v>11</v>
      </c>
      <c r="G1216" s="176" t="s">
        <v>803</v>
      </c>
      <c r="H1216" s="16" t="s">
        <v>532</v>
      </c>
      <c r="I1216" s="17">
        <v>13000</v>
      </c>
      <c r="J1216" s="181">
        <v>3603.38</v>
      </c>
      <c r="K1216" s="181">
        <f t="shared" si="781"/>
        <v>27.72</v>
      </c>
      <c r="L1216" s="181">
        <f t="shared" si="786"/>
        <v>-8246.61</v>
      </c>
      <c r="M1216" s="181">
        <v>4753.3900000000003</v>
      </c>
      <c r="N1216" s="181">
        <v>12000</v>
      </c>
      <c r="O1216" s="181">
        <v>0</v>
      </c>
      <c r="P1216" s="26">
        <f t="shared" si="755"/>
        <v>0</v>
      </c>
      <c r="Q1216" s="181">
        <v>12000</v>
      </c>
      <c r="R1216" s="181">
        <v>12000</v>
      </c>
      <c r="S1216" s="181">
        <v>12000</v>
      </c>
      <c r="T1216" s="307">
        <v>12000</v>
      </c>
      <c r="U1216" s="307">
        <v>6629.38</v>
      </c>
      <c r="V1216" s="307">
        <v>12000</v>
      </c>
      <c r="W1216" s="307">
        <v>12000</v>
      </c>
      <c r="X1216" s="181">
        <v>12000</v>
      </c>
      <c r="Y1216" s="307">
        <v>0</v>
      </c>
      <c r="Z1216" s="307">
        <f t="shared" si="761"/>
        <v>0</v>
      </c>
      <c r="AA1216" s="307">
        <f t="shared" ref="AA1216:AA1282" si="789">AB1216-V1216</f>
        <v>-5000</v>
      </c>
      <c r="AB1216" s="307">
        <v>7000</v>
      </c>
      <c r="AC1216" s="307">
        <v>0</v>
      </c>
      <c r="AD1216" s="307">
        <f t="shared" si="774"/>
        <v>0</v>
      </c>
      <c r="AE1216" s="307">
        <f t="shared" si="782"/>
        <v>0</v>
      </c>
      <c r="AF1216" s="307">
        <v>7000</v>
      </c>
      <c r="AG1216" s="307">
        <v>7000</v>
      </c>
      <c r="AH1216" s="307">
        <v>7000</v>
      </c>
      <c r="AI1216" s="307">
        <v>7000</v>
      </c>
      <c r="AJ1216" s="162" t="b">
        <f t="shared" si="762"/>
        <v>0</v>
      </c>
      <c r="AK1216" s="162" t="str">
        <f t="shared" si="763"/>
        <v>PUNO</v>
      </c>
      <c r="AM1216" s="164"/>
    </row>
    <row r="1217" spans="1:39" ht="15.75" x14ac:dyDescent="0.2">
      <c r="B1217" s="177"/>
      <c r="C1217" s="177"/>
      <c r="D1217" s="177"/>
      <c r="E1217" s="177">
        <v>3292</v>
      </c>
      <c r="F1217" s="176">
        <v>11</v>
      </c>
      <c r="G1217" s="176" t="s">
        <v>803</v>
      </c>
      <c r="H1217" s="16" t="s">
        <v>399</v>
      </c>
      <c r="I1217" s="17">
        <v>23000</v>
      </c>
      <c r="J1217" s="181">
        <v>21473.06</v>
      </c>
      <c r="K1217" s="181">
        <f t="shared" si="781"/>
        <v>93.36</v>
      </c>
      <c r="L1217" s="181">
        <f t="shared" si="786"/>
        <v>-12062.47</v>
      </c>
      <c r="M1217" s="181">
        <v>10937.53</v>
      </c>
      <c r="N1217" s="181">
        <v>26000</v>
      </c>
      <c r="O1217" s="181">
        <v>10486.62</v>
      </c>
      <c r="P1217" s="26">
        <f t="shared" si="755"/>
        <v>0</v>
      </c>
      <c r="Q1217" s="181">
        <v>26000</v>
      </c>
      <c r="R1217" s="181">
        <v>26000</v>
      </c>
      <c r="S1217" s="181">
        <v>26000</v>
      </c>
      <c r="T1217" s="307">
        <v>26000</v>
      </c>
      <c r="U1217" s="307">
        <v>10486.62</v>
      </c>
      <c r="V1217" s="307">
        <v>26000</v>
      </c>
      <c r="W1217" s="307">
        <v>26000</v>
      </c>
      <c r="X1217" s="307">
        <v>27000</v>
      </c>
      <c r="Y1217" s="307">
        <v>9899.74</v>
      </c>
      <c r="Z1217" s="307">
        <f t="shared" si="761"/>
        <v>38.08</v>
      </c>
      <c r="AA1217" s="307">
        <f t="shared" si="789"/>
        <v>0</v>
      </c>
      <c r="AB1217" s="307">
        <v>26000</v>
      </c>
      <c r="AC1217" s="307">
        <v>9899.74</v>
      </c>
      <c r="AD1217" s="307">
        <f t="shared" si="774"/>
        <v>38.075923076923075</v>
      </c>
      <c r="AE1217" s="307">
        <f t="shared" si="782"/>
        <v>0</v>
      </c>
      <c r="AF1217" s="307">
        <v>26000</v>
      </c>
      <c r="AG1217" s="307">
        <v>15000</v>
      </c>
      <c r="AH1217" s="307">
        <v>15000</v>
      </c>
      <c r="AI1217" s="307">
        <v>15000</v>
      </c>
      <c r="AJ1217" s="162" t="b">
        <f t="shared" si="762"/>
        <v>0</v>
      </c>
      <c r="AK1217" s="162" t="str">
        <f t="shared" si="763"/>
        <v>PUNO</v>
      </c>
      <c r="AM1217" s="164"/>
    </row>
    <row r="1218" spans="1:39" ht="15.75" x14ac:dyDescent="0.2">
      <c r="B1218" s="177"/>
      <c r="C1218" s="177"/>
      <c r="D1218" s="177"/>
      <c r="E1218" s="177">
        <v>3293</v>
      </c>
      <c r="F1218" s="176">
        <v>11</v>
      </c>
      <c r="G1218" s="176" t="s">
        <v>803</v>
      </c>
      <c r="H1218" s="16" t="s">
        <v>533</v>
      </c>
      <c r="I1218" s="17">
        <v>3000</v>
      </c>
      <c r="J1218" s="181">
        <v>1530.04</v>
      </c>
      <c r="K1218" s="181">
        <f t="shared" si="781"/>
        <v>51</v>
      </c>
      <c r="L1218" s="181">
        <f t="shared" si="786"/>
        <v>-1469.96</v>
      </c>
      <c r="M1218" s="181">
        <v>1530.04</v>
      </c>
      <c r="N1218" s="181">
        <v>3000</v>
      </c>
      <c r="O1218" s="181">
        <v>1344.29</v>
      </c>
      <c r="P1218" s="26">
        <f t="shared" si="755"/>
        <v>0</v>
      </c>
      <c r="Q1218" s="181">
        <v>3000</v>
      </c>
      <c r="R1218" s="181">
        <v>3000</v>
      </c>
      <c r="S1218" s="181">
        <v>3000</v>
      </c>
      <c r="T1218" s="307">
        <v>3000</v>
      </c>
      <c r="U1218" s="307">
        <v>1879.42</v>
      </c>
      <c r="V1218" s="307">
        <v>3000</v>
      </c>
      <c r="W1218" s="307">
        <v>3000</v>
      </c>
      <c r="X1218" s="307">
        <v>3000</v>
      </c>
      <c r="Y1218" s="307">
        <v>777.32</v>
      </c>
      <c r="Z1218" s="307">
        <f t="shared" si="761"/>
        <v>25.91</v>
      </c>
      <c r="AA1218" s="307">
        <f t="shared" si="789"/>
        <v>0</v>
      </c>
      <c r="AB1218" s="307">
        <v>3000</v>
      </c>
      <c r="AC1218" s="307">
        <v>2006.76</v>
      </c>
      <c r="AD1218" s="307">
        <f t="shared" si="774"/>
        <v>66.891999999999996</v>
      </c>
      <c r="AE1218" s="307">
        <f t="shared" si="782"/>
        <v>0</v>
      </c>
      <c r="AF1218" s="307">
        <v>3000</v>
      </c>
      <c r="AG1218" s="307">
        <v>3000</v>
      </c>
      <c r="AH1218" s="307">
        <v>3000</v>
      </c>
      <c r="AI1218" s="307">
        <v>3000</v>
      </c>
      <c r="AJ1218" s="162" t="b">
        <f t="shared" si="762"/>
        <v>0</v>
      </c>
      <c r="AK1218" s="162" t="str">
        <f t="shared" si="763"/>
        <v>PUNO</v>
      </c>
      <c r="AM1218" s="164"/>
    </row>
    <row r="1219" spans="1:39" ht="15.75" x14ac:dyDescent="0.2">
      <c r="B1219" s="177"/>
      <c r="C1219" s="177"/>
      <c r="D1219" s="177"/>
      <c r="E1219" s="177">
        <v>3299</v>
      </c>
      <c r="F1219" s="176">
        <v>11</v>
      </c>
      <c r="G1219" s="176" t="s">
        <v>803</v>
      </c>
      <c r="H1219" s="16" t="s">
        <v>531</v>
      </c>
      <c r="I1219" s="17">
        <v>5000</v>
      </c>
      <c r="J1219" s="181">
        <v>537.17999999999995</v>
      </c>
      <c r="K1219" s="181">
        <f t="shared" si="781"/>
        <v>10.74</v>
      </c>
      <c r="L1219" s="181">
        <f t="shared" si="786"/>
        <v>-4362.82</v>
      </c>
      <c r="M1219" s="181">
        <v>637.17999999999995</v>
      </c>
      <c r="N1219" s="181">
        <v>5000</v>
      </c>
      <c r="O1219" s="181">
        <v>500</v>
      </c>
      <c r="P1219" s="26">
        <f t="shared" si="755"/>
        <v>0</v>
      </c>
      <c r="Q1219" s="181">
        <v>5000</v>
      </c>
      <c r="R1219" s="181">
        <v>5000</v>
      </c>
      <c r="S1219" s="181">
        <v>5000</v>
      </c>
      <c r="T1219" s="307">
        <v>5000</v>
      </c>
      <c r="U1219" s="307">
        <v>588.49</v>
      </c>
      <c r="V1219" s="307">
        <v>5000</v>
      </c>
      <c r="W1219" s="307">
        <v>5000</v>
      </c>
      <c r="X1219" s="181">
        <v>5000</v>
      </c>
      <c r="Y1219" s="307">
        <v>0</v>
      </c>
      <c r="Z1219" s="307">
        <f t="shared" si="761"/>
        <v>0</v>
      </c>
      <c r="AA1219" s="307">
        <f t="shared" si="789"/>
        <v>0</v>
      </c>
      <c r="AB1219" s="307">
        <v>5000</v>
      </c>
      <c r="AC1219" s="307">
        <v>500</v>
      </c>
      <c r="AD1219" s="307">
        <f t="shared" si="774"/>
        <v>10</v>
      </c>
      <c r="AE1219" s="307">
        <f t="shared" si="782"/>
        <v>0</v>
      </c>
      <c r="AF1219" s="307">
        <v>5000</v>
      </c>
      <c r="AG1219" s="307">
        <v>2000</v>
      </c>
      <c r="AH1219" s="307">
        <v>2000</v>
      </c>
      <c r="AI1219" s="307">
        <v>2000</v>
      </c>
      <c r="AJ1219" s="162" t="b">
        <f t="shared" si="762"/>
        <v>0</v>
      </c>
      <c r="AK1219" s="162" t="str">
        <f t="shared" si="763"/>
        <v>PUNO</v>
      </c>
      <c r="AM1219" s="164"/>
    </row>
    <row r="1220" spans="1:39" s="644" customFormat="1" ht="15.75" x14ac:dyDescent="0.2">
      <c r="A1220" s="633"/>
      <c r="B1220" s="175"/>
      <c r="C1220" s="175">
        <v>34</v>
      </c>
      <c r="D1220" s="175"/>
      <c r="E1220" s="175"/>
      <c r="F1220" s="175"/>
      <c r="G1220" s="175"/>
      <c r="H1220" s="15" t="s">
        <v>208</v>
      </c>
      <c r="I1220" s="22">
        <f t="shared" ref="I1220:X1221" si="790">I1221</f>
        <v>5000</v>
      </c>
      <c r="J1220" s="183">
        <f t="shared" si="790"/>
        <v>2277.9499999999998</v>
      </c>
      <c r="K1220" s="183">
        <f t="shared" si="781"/>
        <v>45.56</v>
      </c>
      <c r="L1220" s="183">
        <f t="shared" si="786"/>
        <v>-1720.65</v>
      </c>
      <c r="M1220" s="183">
        <f>M1221</f>
        <v>3279.35</v>
      </c>
      <c r="N1220" s="183">
        <f t="shared" si="790"/>
        <v>6000</v>
      </c>
      <c r="O1220" s="183">
        <f t="shared" si="790"/>
        <v>1588.5</v>
      </c>
      <c r="P1220" s="38">
        <f t="shared" si="755"/>
        <v>0</v>
      </c>
      <c r="Q1220" s="183">
        <f t="shared" si="790"/>
        <v>6000</v>
      </c>
      <c r="R1220" s="183">
        <f t="shared" si="790"/>
        <v>6000</v>
      </c>
      <c r="S1220" s="183">
        <f t="shared" si="790"/>
        <v>6000</v>
      </c>
      <c r="T1220" s="340">
        <f t="shared" si="790"/>
        <v>6000</v>
      </c>
      <c r="U1220" s="340">
        <f t="shared" si="790"/>
        <v>3394.58</v>
      </c>
      <c r="V1220" s="183">
        <f t="shared" si="790"/>
        <v>6000</v>
      </c>
      <c r="W1220" s="183">
        <f t="shared" si="790"/>
        <v>6000</v>
      </c>
      <c r="X1220" s="183">
        <f t="shared" si="790"/>
        <v>6000</v>
      </c>
      <c r="Y1220" s="183">
        <f>Y1221</f>
        <v>1229.9000000000001</v>
      </c>
      <c r="Z1220" s="183">
        <f t="shared" si="761"/>
        <v>20.5</v>
      </c>
      <c r="AA1220" s="183">
        <f t="shared" si="789"/>
        <v>0</v>
      </c>
      <c r="AB1220" s="183">
        <f>AB1221</f>
        <v>6000</v>
      </c>
      <c r="AC1220" s="183">
        <f>AC1221</f>
        <v>2397.15</v>
      </c>
      <c r="AD1220" s="183">
        <f t="shared" si="774"/>
        <v>39.952500000000001</v>
      </c>
      <c r="AE1220" s="183">
        <f t="shared" si="782"/>
        <v>0</v>
      </c>
      <c r="AF1220" s="183">
        <f t="shared" ref="AF1220:AI1221" si="791">AF1221</f>
        <v>6000</v>
      </c>
      <c r="AG1220" s="183">
        <f t="shared" si="791"/>
        <v>6000</v>
      </c>
      <c r="AH1220" s="183">
        <f t="shared" si="791"/>
        <v>6000</v>
      </c>
      <c r="AI1220" s="183">
        <f t="shared" si="791"/>
        <v>6000</v>
      </c>
      <c r="AJ1220" s="162" t="b">
        <f t="shared" si="762"/>
        <v>1</v>
      </c>
      <c r="AK1220" s="162" t="str">
        <f t="shared" si="763"/>
        <v>PRAZNO</v>
      </c>
      <c r="AL1220" s="643"/>
      <c r="AM1220" s="647"/>
    </row>
    <row r="1221" spans="1:39" ht="15.75" x14ac:dyDescent="0.2">
      <c r="B1221" s="177"/>
      <c r="C1221" s="177"/>
      <c r="D1221" s="177">
        <v>343</v>
      </c>
      <c r="E1221" s="177"/>
      <c r="F1221" s="177"/>
      <c r="G1221" s="177"/>
      <c r="H1221" s="16" t="s">
        <v>209</v>
      </c>
      <c r="I1221" s="17">
        <f t="shared" si="790"/>
        <v>5000</v>
      </c>
      <c r="J1221" s="181">
        <f t="shared" si="790"/>
        <v>2277.9499999999998</v>
      </c>
      <c r="K1221" s="181">
        <f t="shared" si="781"/>
        <v>45.56</v>
      </c>
      <c r="L1221" s="181">
        <f t="shared" si="786"/>
        <v>-1720.65</v>
      </c>
      <c r="M1221" s="181">
        <f>M1222</f>
        <v>3279.35</v>
      </c>
      <c r="N1221" s="181">
        <f t="shared" si="790"/>
        <v>6000</v>
      </c>
      <c r="O1221" s="181">
        <f t="shared" si="790"/>
        <v>1588.5</v>
      </c>
      <c r="P1221" s="26">
        <f t="shared" si="755"/>
        <v>0</v>
      </c>
      <c r="Q1221" s="181">
        <f t="shared" si="790"/>
        <v>6000</v>
      </c>
      <c r="R1221" s="181">
        <f t="shared" si="790"/>
        <v>6000</v>
      </c>
      <c r="S1221" s="181">
        <f t="shared" si="790"/>
        <v>6000</v>
      </c>
      <c r="T1221" s="307">
        <f t="shared" si="790"/>
        <v>6000</v>
      </c>
      <c r="U1221" s="307">
        <f t="shared" si="790"/>
        <v>3394.58</v>
      </c>
      <c r="V1221" s="181">
        <f t="shared" si="790"/>
        <v>6000</v>
      </c>
      <c r="W1221" s="181">
        <f t="shared" si="790"/>
        <v>6000</v>
      </c>
      <c r="X1221" s="181">
        <f t="shared" si="790"/>
        <v>6000</v>
      </c>
      <c r="Y1221" s="181">
        <f>Y1222</f>
        <v>1229.9000000000001</v>
      </c>
      <c r="Z1221" s="181">
        <f t="shared" si="761"/>
        <v>20.5</v>
      </c>
      <c r="AA1221" s="181">
        <f t="shared" si="789"/>
        <v>0</v>
      </c>
      <c r="AB1221" s="181">
        <f>AB1222</f>
        <v>6000</v>
      </c>
      <c r="AC1221" s="181">
        <f>AC1222</f>
        <v>2397.15</v>
      </c>
      <c r="AD1221" s="181">
        <f t="shared" si="774"/>
        <v>39.952500000000001</v>
      </c>
      <c r="AE1221" s="181">
        <f t="shared" si="782"/>
        <v>0</v>
      </c>
      <c r="AF1221" s="181">
        <f t="shared" si="791"/>
        <v>6000</v>
      </c>
      <c r="AG1221" s="181">
        <f t="shared" si="791"/>
        <v>6000</v>
      </c>
      <c r="AH1221" s="181">
        <f t="shared" si="791"/>
        <v>6000</v>
      </c>
      <c r="AI1221" s="181">
        <f t="shared" si="791"/>
        <v>6000</v>
      </c>
      <c r="AJ1221" s="162" t="b">
        <f t="shared" si="762"/>
        <v>1</v>
      </c>
      <c r="AK1221" s="162" t="str">
        <f t="shared" si="763"/>
        <v>PRAZNO</v>
      </c>
      <c r="AM1221" s="164"/>
    </row>
    <row r="1222" spans="1:39" ht="15" customHeight="1" x14ac:dyDescent="0.2">
      <c r="B1222" s="177"/>
      <c r="C1222" s="177"/>
      <c r="D1222" s="177"/>
      <c r="E1222" s="177">
        <v>3431</v>
      </c>
      <c r="F1222" s="176">
        <v>11</v>
      </c>
      <c r="G1222" s="176" t="s">
        <v>803</v>
      </c>
      <c r="H1222" s="16" t="s">
        <v>211</v>
      </c>
      <c r="I1222" s="17">
        <v>5000</v>
      </c>
      <c r="J1222" s="181">
        <v>2277.9499999999998</v>
      </c>
      <c r="K1222" s="181">
        <f t="shared" si="781"/>
        <v>45.56</v>
      </c>
      <c r="L1222" s="181">
        <f t="shared" si="786"/>
        <v>-1720.65</v>
      </c>
      <c r="M1222" s="181">
        <v>3279.35</v>
      </c>
      <c r="N1222" s="181">
        <v>6000</v>
      </c>
      <c r="O1222" s="181">
        <v>1588.5</v>
      </c>
      <c r="P1222" s="26">
        <f t="shared" si="755"/>
        <v>0</v>
      </c>
      <c r="Q1222" s="181">
        <v>6000</v>
      </c>
      <c r="R1222" s="181">
        <v>6000</v>
      </c>
      <c r="S1222" s="181">
        <v>6000</v>
      </c>
      <c r="T1222" s="307">
        <v>6000</v>
      </c>
      <c r="U1222" s="307">
        <v>3394.58</v>
      </c>
      <c r="V1222" s="307">
        <v>6000</v>
      </c>
      <c r="W1222" s="307">
        <v>6000</v>
      </c>
      <c r="X1222" s="307">
        <v>6000</v>
      </c>
      <c r="Y1222" s="307">
        <v>1229.9000000000001</v>
      </c>
      <c r="Z1222" s="307">
        <f t="shared" si="761"/>
        <v>20.5</v>
      </c>
      <c r="AA1222" s="307">
        <f t="shared" si="789"/>
        <v>0</v>
      </c>
      <c r="AB1222" s="307">
        <v>6000</v>
      </c>
      <c r="AC1222" s="307">
        <v>2397.15</v>
      </c>
      <c r="AD1222" s="307">
        <f t="shared" si="774"/>
        <v>39.952500000000001</v>
      </c>
      <c r="AE1222" s="307">
        <f t="shared" si="782"/>
        <v>0</v>
      </c>
      <c r="AF1222" s="307">
        <v>6000</v>
      </c>
      <c r="AG1222" s="307">
        <v>6000</v>
      </c>
      <c r="AH1222" s="307">
        <v>6000</v>
      </c>
      <c r="AI1222" s="307">
        <v>6000</v>
      </c>
      <c r="AJ1222" s="162" t="b">
        <f t="shared" si="762"/>
        <v>0</v>
      </c>
      <c r="AK1222" s="162" t="str">
        <f t="shared" si="763"/>
        <v>PUNO</v>
      </c>
      <c r="AM1222" s="164"/>
    </row>
    <row r="1223" spans="1:39" s="207" customFormat="1" ht="15.75" x14ac:dyDescent="0.25">
      <c r="A1223" s="378"/>
      <c r="B1223" s="168"/>
      <c r="C1223" s="168"/>
      <c r="D1223" s="168"/>
      <c r="E1223" s="168"/>
      <c r="F1223" s="322"/>
      <c r="G1223" s="322"/>
      <c r="H1223" s="13" t="s">
        <v>284</v>
      </c>
      <c r="I1223" s="323"/>
      <c r="J1223" s="323"/>
      <c r="K1223" s="323"/>
      <c r="L1223" s="323"/>
      <c r="M1223" s="323"/>
      <c r="N1223" s="323"/>
      <c r="O1223" s="323"/>
      <c r="P1223" s="53"/>
      <c r="Q1223" s="308"/>
      <c r="R1223" s="308"/>
      <c r="S1223" s="308"/>
      <c r="T1223" s="323">
        <f t="shared" ref="T1223:Y1223" si="792">T1225</f>
        <v>0</v>
      </c>
      <c r="U1223" s="323">
        <f t="shared" si="792"/>
        <v>0</v>
      </c>
      <c r="V1223" s="323">
        <f t="shared" si="792"/>
        <v>100000</v>
      </c>
      <c r="W1223" s="323">
        <f t="shared" si="792"/>
        <v>100000</v>
      </c>
      <c r="X1223" s="323">
        <f t="shared" si="792"/>
        <v>100000</v>
      </c>
      <c r="Y1223" s="323">
        <f t="shared" si="792"/>
        <v>0</v>
      </c>
      <c r="Z1223" s="323">
        <f t="shared" si="761"/>
        <v>0</v>
      </c>
      <c r="AA1223" s="323">
        <f t="shared" si="789"/>
        <v>80000</v>
      </c>
      <c r="AB1223" s="323">
        <f>AB1225+AB1229</f>
        <v>180000</v>
      </c>
      <c r="AC1223" s="323">
        <f>AC1225+AC1229</f>
        <v>148390</v>
      </c>
      <c r="AD1223" s="323">
        <f t="shared" si="774"/>
        <v>82.438888888888883</v>
      </c>
      <c r="AE1223" s="323">
        <f>AE1225+AE1229</f>
        <v>10000</v>
      </c>
      <c r="AF1223" s="323">
        <f>AF1225+AF1229</f>
        <v>190000</v>
      </c>
      <c r="AG1223" s="323">
        <f>AG1225+AG1229</f>
        <v>483000</v>
      </c>
      <c r="AH1223" s="323">
        <f>AH1225+AH1229</f>
        <v>281000</v>
      </c>
      <c r="AI1223" s="323">
        <f>AI1225+AI1229</f>
        <v>180000</v>
      </c>
      <c r="AJ1223" s="162" t="b">
        <f t="shared" si="762"/>
        <v>1</v>
      </c>
      <c r="AK1223" s="162" t="str">
        <f t="shared" si="763"/>
        <v>PRAZNO</v>
      </c>
      <c r="AL1223" s="206"/>
    </row>
    <row r="1224" spans="1:39" s="447" customFormat="1" ht="15.75" x14ac:dyDescent="0.25">
      <c r="A1224" s="378"/>
      <c r="B1224" s="260"/>
      <c r="C1224" s="260"/>
      <c r="D1224" s="260"/>
      <c r="E1224" s="260"/>
      <c r="F1224" s="442"/>
      <c r="G1224" s="442"/>
      <c r="H1224" s="440" t="s">
        <v>825</v>
      </c>
      <c r="I1224" s="444"/>
      <c r="J1224" s="444"/>
      <c r="K1224" s="444"/>
      <c r="L1224" s="444"/>
      <c r="M1224" s="444"/>
      <c r="N1224" s="444"/>
      <c r="O1224" s="444"/>
      <c r="P1224" s="342"/>
      <c r="Q1224" s="443"/>
      <c r="R1224" s="443"/>
      <c r="S1224" s="443"/>
      <c r="T1224" s="444"/>
      <c r="U1224" s="444"/>
      <c r="V1224" s="444">
        <f>V1225</f>
        <v>100000</v>
      </c>
      <c r="W1224" s="444">
        <f>W1225</f>
        <v>100000</v>
      </c>
      <c r="X1224" s="444">
        <f>X1225</f>
        <v>100000</v>
      </c>
      <c r="Y1224" s="444">
        <f>Y1225</f>
        <v>0</v>
      </c>
      <c r="Z1224" s="444">
        <f t="shared" si="761"/>
        <v>0</v>
      </c>
      <c r="AA1224" s="444">
        <f t="shared" si="789"/>
        <v>-100000</v>
      </c>
      <c r="AB1224" s="444">
        <f>AB1225</f>
        <v>0</v>
      </c>
      <c r="AC1224" s="444">
        <f>AC1225</f>
        <v>0</v>
      </c>
      <c r="AD1224" s="444"/>
      <c r="AE1224" s="444">
        <f t="shared" ref="AE1224:AI1225" si="793">AE1225</f>
        <v>0</v>
      </c>
      <c r="AF1224" s="444">
        <f t="shared" si="793"/>
        <v>0</v>
      </c>
      <c r="AG1224" s="444">
        <f t="shared" si="793"/>
        <v>303000</v>
      </c>
      <c r="AH1224" s="444">
        <f t="shared" si="793"/>
        <v>101000</v>
      </c>
      <c r="AI1224" s="444">
        <f t="shared" si="793"/>
        <v>0</v>
      </c>
      <c r="AJ1224" s="162" t="b">
        <f t="shared" si="762"/>
        <v>1</v>
      </c>
      <c r="AK1224" s="162" t="str">
        <f t="shared" si="763"/>
        <v>PRAZNO</v>
      </c>
      <c r="AL1224" s="446"/>
    </row>
    <row r="1225" spans="1:39" s="174" customFormat="1" ht="15.75" x14ac:dyDescent="0.2">
      <c r="A1225" s="259"/>
      <c r="B1225" s="172">
        <v>3</v>
      </c>
      <c r="C1225" s="172"/>
      <c r="D1225" s="172"/>
      <c r="E1225" s="172"/>
      <c r="F1225" s="220"/>
      <c r="G1225" s="220"/>
      <c r="H1225" s="14" t="s">
        <v>524</v>
      </c>
      <c r="I1225" s="185"/>
      <c r="J1225" s="185"/>
      <c r="K1225" s="185"/>
      <c r="L1225" s="185"/>
      <c r="M1225" s="185"/>
      <c r="N1225" s="185"/>
      <c r="O1225" s="185"/>
      <c r="P1225" s="55"/>
      <c r="Q1225" s="184"/>
      <c r="R1225" s="184"/>
      <c r="S1225" s="184"/>
      <c r="T1225" s="185">
        <f t="shared" ref="T1225:AI1227" si="794">T1226</f>
        <v>0</v>
      </c>
      <c r="U1225" s="185">
        <f t="shared" si="794"/>
        <v>0</v>
      </c>
      <c r="V1225" s="185">
        <f t="shared" si="794"/>
        <v>100000</v>
      </c>
      <c r="W1225" s="185">
        <f t="shared" si="794"/>
        <v>100000</v>
      </c>
      <c r="X1225" s="185">
        <f t="shared" si="794"/>
        <v>100000</v>
      </c>
      <c r="Y1225" s="185">
        <f t="shared" si="794"/>
        <v>0</v>
      </c>
      <c r="Z1225" s="185">
        <f t="shared" si="761"/>
        <v>0</v>
      </c>
      <c r="AA1225" s="185">
        <f t="shared" si="789"/>
        <v>-100000</v>
      </c>
      <c r="AB1225" s="185">
        <f>AB1226</f>
        <v>0</v>
      </c>
      <c r="AC1225" s="185">
        <f>AC1226</f>
        <v>0</v>
      </c>
      <c r="AD1225" s="185" t="e">
        <f t="shared" si="774"/>
        <v>#DIV/0!</v>
      </c>
      <c r="AE1225" s="185">
        <f t="shared" si="793"/>
        <v>0</v>
      </c>
      <c r="AF1225" s="185">
        <f t="shared" si="793"/>
        <v>0</v>
      </c>
      <c r="AG1225" s="185">
        <f t="shared" si="793"/>
        <v>303000</v>
      </c>
      <c r="AH1225" s="185">
        <f t="shared" si="793"/>
        <v>101000</v>
      </c>
      <c r="AI1225" s="185">
        <f t="shared" si="793"/>
        <v>0</v>
      </c>
      <c r="AJ1225" s="162" t="b">
        <f t="shared" ref="AJ1225:AJ1288" si="795">ISBLANK(E1225)</f>
        <v>1</v>
      </c>
      <c r="AK1225" s="162" t="str">
        <f t="shared" ref="AK1225:AK1288" si="796">IF(AJ1225,"PRAZNO","PUNO")</f>
        <v>PRAZNO</v>
      </c>
      <c r="AL1225" s="173"/>
    </row>
    <row r="1226" spans="1:39" s="644" customFormat="1" ht="15.75" x14ac:dyDescent="0.2">
      <c r="A1226" s="633"/>
      <c r="B1226" s="175"/>
      <c r="C1226" s="175">
        <v>31</v>
      </c>
      <c r="D1226" s="175"/>
      <c r="E1226" s="175"/>
      <c r="F1226" s="640"/>
      <c r="G1226" s="640"/>
      <c r="H1226" s="15" t="s">
        <v>197</v>
      </c>
      <c r="I1226" s="646"/>
      <c r="J1226" s="646"/>
      <c r="K1226" s="646"/>
      <c r="L1226" s="646"/>
      <c r="M1226" s="646"/>
      <c r="N1226" s="646"/>
      <c r="O1226" s="646"/>
      <c r="P1226" s="38"/>
      <c r="Q1226" s="645"/>
      <c r="R1226" s="645"/>
      <c r="S1226" s="645"/>
      <c r="T1226" s="646">
        <f t="shared" si="794"/>
        <v>0</v>
      </c>
      <c r="U1226" s="646">
        <f t="shared" si="794"/>
        <v>0</v>
      </c>
      <c r="V1226" s="646">
        <f t="shared" si="794"/>
        <v>100000</v>
      </c>
      <c r="W1226" s="646">
        <f t="shared" si="794"/>
        <v>100000</v>
      </c>
      <c r="X1226" s="646">
        <f t="shared" si="794"/>
        <v>100000</v>
      </c>
      <c r="Y1226" s="646">
        <f t="shared" si="794"/>
        <v>0</v>
      </c>
      <c r="Z1226" s="646">
        <f t="shared" si="761"/>
        <v>0</v>
      </c>
      <c r="AA1226" s="646">
        <f t="shared" si="789"/>
        <v>-100000</v>
      </c>
      <c r="AB1226" s="646">
        <f t="shared" si="794"/>
        <v>0</v>
      </c>
      <c r="AC1226" s="646">
        <f t="shared" si="794"/>
        <v>0</v>
      </c>
      <c r="AD1226" s="646"/>
      <c r="AE1226" s="646">
        <f t="shared" si="782"/>
        <v>0</v>
      </c>
      <c r="AF1226" s="646">
        <f t="shared" si="794"/>
        <v>0</v>
      </c>
      <c r="AG1226" s="646">
        <f t="shared" si="794"/>
        <v>303000</v>
      </c>
      <c r="AH1226" s="646">
        <f t="shared" si="794"/>
        <v>101000</v>
      </c>
      <c r="AI1226" s="646">
        <f t="shared" si="794"/>
        <v>0</v>
      </c>
      <c r="AJ1226" s="162" t="b">
        <f t="shared" si="795"/>
        <v>1</v>
      </c>
      <c r="AK1226" s="162" t="str">
        <f t="shared" si="796"/>
        <v>PRAZNO</v>
      </c>
      <c r="AL1226" s="643"/>
      <c r="AM1226" s="647"/>
    </row>
    <row r="1227" spans="1:39" ht="15.75" x14ac:dyDescent="0.2">
      <c r="B1227" s="177"/>
      <c r="C1227" s="177"/>
      <c r="D1227" s="177">
        <v>311</v>
      </c>
      <c r="E1227" s="177"/>
      <c r="F1227" s="176"/>
      <c r="G1227" s="176"/>
      <c r="H1227" s="16" t="s">
        <v>915</v>
      </c>
      <c r="I1227" s="27"/>
      <c r="J1227" s="27"/>
      <c r="K1227" s="27"/>
      <c r="L1227" s="27"/>
      <c r="M1227" s="27"/>
      <c r="N1227" s="27"/>
      <c r="O1227" s="27"/>
      <c r="P1227" s="26"/>
      <c r="Q1227" s="18"/>
      <c r="R1227" s="18"/>
      <c r="S1227" s="18"/>
      <c r="T1227" s="27">
        <f>T1228</f>
        <v>0</v>
      </c>
      <c r="U1227" s="27">
        <f>U1228</f>
        <v>0</v>
      </c>
      <c r="V1227" s="27">
        <f t="shared" si="794"/>
        <v>100000</v>
      </c>
      <c r="W1227" s="27">
        <f t="shared" si="794"/>
        <v>100000</v>
      </c>
      <c r="X1227" s="27">
        <f t="shared" si="794"/>
        <v>100000</v>
      </c>
      <c r="Y1227" s="27">
        <f t="shared" si="794"/>
        <v>0</v>
      </c>
      <c r="Z1227" s="27">
        <f t="shared" si="761"/>
        <v>0</v>
      </c>
      <c r="AA1227" s="27">
        <f t="shared" si="789"/>
        <v>-100000</v>
      </c>
      <c r="AB1227" s="27">
        <f t="shared" si="794"/>
        <v>0</v>
      </c>
      <c r="AC1227" s="27">
        <f t="shared" si="794"/>
        <v>0</v>
      </c>
      <c r="AD1227" s="27"/>
      <c r="AE1227" s="27">
        <f t="shared" si="782"/>
        <v>0</v>
      </c>
      <c r="AF1227" s="27">
        <f t="shared" si="794"/>
        <v>0</v>
      </c>
      <c r="AG1227" s="27">
        <f t="shared" si="794"/>
        <v>303000</v>
      </c>
      <c r="AH1227" s="27">
        <f t="shared" si="794"/>
        <v>101000</v>
      </c>
      <c r="AI1227" s="27">
        <f t="shared" si="794"/>
        <v>0</v>
      </c>
      <c r="AJ1227" s="162" t="b">
        <f t="shared" si="795"/>
        <v>1</v>
      </c>
      <c r="AK1227" s="162" t="str">
        <f t="shared" si="796"/>
        <v>PRAZNO</v>
      </c>
      <c r="AM1227" s="164"/>
    </row>
    <row r="1228" spans="1:39" ht="15.75" x14ac:dyDescent="0.2">
      <c r="B1228" s="177"/>
      <c r="C1228" s="177"/>
      <c r="D1228" s="177"/>
      <c r="E1228" s="177">
        <v>3111</v>
      </c>
      <c r="F1228" s="176">
        <v>51</v>
      </c>
      <c r="G1228" s="176"/>
      <c r="H1228" s="16" t="s">
        <v>199</v>
      </c>
      <c r="I1228" s="18"/>
      <c r="J1228" s="18"/>
      <c r="K1228" s="18"/>
      <c r="L1228" s="18"/>
      <c r="M1228" s="18"/>
      <c r="N1228" s="18"/>
      <c r="O1228" s="18"/>
      <c r="P1228" s="26"/>
      <c r="Q1228" s="18"/>
      <c r="R1228" s="18"/>
      <c r="S1228" s="18"/>
      <c r="T1228" s="27">
        <v>0</v>
      </c>
      <c r="U1228" s="27"/>
      <c r="V1228" s="18">
        <v>100000</v>
      </c>
      <c r="W1228" s="18">
        <v>100000</v>
      </c>
      <c r="X1228" s="18">
        <v>100000</v>
      </c>
      <c r="Y1228" s="18">
        <v>0</v>
      </c>
      <c r="Z1228" s="18">
        <f t="shared" si="761"/>
        <v>0</v>
      </c>
      <c r="AA1228" s="18">
        <f t="shared" si="789"/>
        <v>-100000</v>
      </c>
      <c r="AB1228" s="18"/>
      <c r="AC1228" s="18"/>
      <c r="AD1228" s="18"/>
      <c r="AE1228" s="18">
        <f t="shared" si="782"/>
        <v>0</v>
      </c>
      <c r="AF1228" s="18">
        <v>0</v>
      </c>
      <c r="AG1228" s="18">
        <v>303000</v>
      </c>
      <c r="AH1228" s="18">
        <v>101000</v>
      </c>
      <c r="AI1228" s="18">
        <v>0</v>
      </c>
      <c r="AJ1228" s="162" t="b">
        <f t="shared" si="795"/>
        <v>0</v>
      </c>
      <c r="AK1228" s="162" t="str">
        <f t="shared" si="796"/>
        <v>PUNO</v>
      </c>
      <c r="AM1228" s="164"/>
    </row>
    <row r="1229" spans="1:39" s="447" customFormat="1" ht="15.75" x14ac:dyDescent="0.25">
      <c r="A1229" s="378"/>
      <c r="B1229" s="260"/>
      <c r="C1229" s="260"/>
      <c r="D1229" s="260"/>
      <c r="E1229" s="260"/>
      <c r="F1229" s="442"/>
      <c r="G1229" s="442"/>
      <c r="H1229" s="440" t="s">
        <v>824</v>
      </c>
      <c r="I1229" s="444"/>
      <c r="J1229" s="444"/>
      <c r="K1229" s="444"/>
      <c r="L1229" s="444"/>
      <c r="M1229" s="444"/>
      <c r="N1229" s="444"/>
      <c r="O1229" s="444"/>
      <c r="P1229" s="342"/>
      <c r="Q1229" s="443"/>
      <c r="R1229" s="443"/>
      <c r="S1229" s="443"/>
      <c r="T1229" s="444"/>
      <c r="U1229" s="444"/>
      <c r="V1229" s="444"/>
      <c r="W1229" s="444"/>
      <c r="X1229" s="444"/>
      <c r="Y1229" s="444"/>
      <c r="Z1229" s="444"/>
      <c r="AA1229" s="444"/>
      <c r="AB1229" s="444">
        <f>AB1230</f>
        <v>180000</v>
      </c>
      <c r="AC1229" s="444">
        <f>AC1230</f>
        <v>148390</v>
      </c>
      <c r="AD1229" s="444">
        <f t="shared" si="774"/>
        <v>82.438888888888883</v>
      </c>
      <c r="AE1229" s="444">
        <f t="shared" si="782"/>
        <v>10000</v>
      </c>
      <c r="AF1229" s="444">
        <f t="shared" ref="AF1229:AI1230" si="797">AF1230</f>
        <v>190000</v>
      </c>
      <c r="AG1229" s="444">
        <f t="shared" si="797"/>
        <v>180000</v>
      </c>
      <c r="AH1229" s="444">
        <f t="shared" si="797"/>
        <v>180000</v>
      </c>
      <c r="AI1229" s="444">
        <f t="shared" si="797"/>
        <v>180000</v>
      </c>
      <c r="AJ1229" s="162" t="b">
        <f t="shared" si="795"/>
        <v>1</v>
      </c>
      <c r="AK1229" s="162" t="str">
        <f t="shared" si="796"/>
        <v>PRAZNO</v>
      </c>
      <c r="AL1229" s="446"/>
    </row>
    <row r="1230" spans="1:39" s="174" customFormat="1" ht="15.75" x14ac:dyDescent="0.2">
      <c r="A1230" s="259"/>
      <c r="B1230" s="172">
        <v>3</v>
      </c>
      <c r="C1230" s="172"/>
      <c r="D1230" s="172"/>
      <c r="E1230" s="172"/>
      <c r="F1230" s="220"/>
      <c r="G1230" s="220"/>
      <c r="H1230" s="14" t="s">
        <v>524</v>
      </c>
      <c r="I1230" s="185"/>
      <c r="J1230" s="185"/>
      <c r="K1230" s="185"/>
      <c r="L1230" s="185"/>
      <c r="M1230" s="185"/>
      <c r="N1230" s="185"/>
      <c r="O1230" s="185"/>
      <c r="P1230" s="55"/>
      <c r="Q1230" s="184"/>
      <c r="R1230" s="184"/>
      <c r="S1230" s="184"/>
      <c r="T1230" s="185"/>
      <c r="U1230" s="185"/>
      <c r="V1230" s="185"/>
      <c r="W1230" s="185"/>
      <c r="X1230" s="185"/>
      <c r="Y1230" s="185"/>
      <c r="Z1230" s="185"/>
      <c r="AA1230" s="185"/>
      <c r="AB1230" s="185">
        <f>AB1231</f>
        <v>180000</v>
      </c>
      <c r="AC1230" s="185">
        <f>AC1231</f>
        <v>148390</v>
      </c>
      <c r="AD1230" s="185">
        <f t="shared" si="774"/>
        <v>82.438888888888883</v>
      </c>
      <c r="AE1230" s="185">
        <f t="shared" si="782"/>
        <v>10000</v>
      </c>
      <c r="AF1230" s="185">
        <f t="shared" si="797"/>
        <v>190000</v>
      </c>
      <c r="AG1230" s="185">
        <f t="shared" si="797"/>
        <v>180000</v>
      </c>
      <c r="AH1230" s="185">
        <f t="shared" si="797"/>
        <v>180000</v>
      </c>
      <c r="AI1230" s="185">
        <f t="shared" si="797"/>
        <v>180000</v>
      </c>
      <c r="AJ1230" s="162" t="b">
        <f t="shared" si="795"/>
        <v>1</v>
      </c>
      <c r="AK1230" s="162" t="str">
        <f t="shared" si="796"/>
        <v>PRAZNO</v>
      </c>
      <c r="AL1230" s="173"/>
    </row>
    <row r="1231" spans="1:39" s="644" customFormat="1" ht="15.75" x14ac:dyDescent="0.2">
      <c r="A1231" s="633"/>
      <c r="B1231" s="175"/>
      <c r="C1231" s="175">
        <v>36</v>
      </c>
      <c r="D1231" s="175"/>
      <c r="E1231" s="175"/>
      <c r="F1231" s="640"/>
      <c r="G1231" s="640"/>
      <c r="H1231" s="15" t="s">
        <v>751</v>
      </c>
      <c r="I1231" s="645"/>
      <c r="J1231" s="645"/>
      <c r="K1231" s="645"/>
      <c r="L1231" s="645"/>
      <c r="M1231" s="645"/>
      <c r="N1231" s="645"/>
      <c r="O1231" s="645"/>
      <c r="P1231" s="38"/>
      <c r="Q1231" s="645"/>
      <c r="R1231" s="645"/>
      <c r="S1231" s="645"/>
      <c r="T1231" s="646"/>
      <c r="U1231" s="645">
        <f t="shared" ref="U1231:AI1232" si="798">U1232</f>
        <v>0</v>
      </c>
      <c r="V1231" s="645">
        <f t="shared" si="798"/>
        <v>0</v>
      </c>
      <c r="W1231" s="645">
        <f t="shared" si="798"/>
        <v>0</v>
      </c>
      <c r="X1231" s="645">
        <f t="shared" si="798"/>
        <v>0</v>
      </c>
      <c r="Y1231" s="645">
        <f t="shared" si="798"/>
        <v>0</v>
      </c>
      <c r="Z1231" s="645">
        <f t="shared" si="798"/>
        <v>0</v>
      </c>
      <c r="AA1231" s="645">
        <f t="shared" si="798"/>
        <v>180000</v>
      </c>
      <c r="AB1231" s="645">
        <f t="shared" si="798"/>
        <v>180000</v>
      </c>
      <c r="AC1231" s="645">
        <f t="shared" si="798"/>
        <v>148390</v>
      </c>
      <c r="AD1231" s="645">
        <f t="shared" si="774"/>
        <v>82.438888888888883</v>
      </c>
      <c r="AE1231" s="645">
        <f t="shared" si="782"/>
        <v>10000</v>
      </c>
      <c r="AF1231" s="645">
        <f t="shared" si="798"/>
        <v>190000</v>
      </c>
      <c r="AG1231" s="645">
        <f t="shared" si="798"/>
        <v>180000</v>
      </c>
      <c r="AH1231" s="645">
        <f t="shared" si="798"/>
        <v>180000</v>
      </c>
      <c r="AI1231" s="645">
        <f t="shared" si="798"/>
        <v>180000</v>
      </c>
      <c r="AJ1231" s="162" t="b">
        <f t="shared" si="795"/>
        <v>1</v>
      </c>
      <c r="AK1231" s="162" t="str">
        <f t="shared" si="796"/>
        <v>PRAZNO</v>
      </c>
      <c r="AL1231" s="643"/>
      <c r="AM1231" s="647"/>
    </row>
    <row r="1232" spans="1:39" ht="15.75" x14ac:dyDescent="0.2">
      <c r="B1232" s="177"/>
      <c r="C1232" s="177"/>
      <c r="D1232" s="177">
        <v>363</v>
      </c>
      <c r="E1232" s="177"/>
      <c r="F1232" s="176"/>
      <c r="G1232" s="176"/>
      <c r="H1232" s="16" t="s">
        <v>536</v>
      </c>
      <c r="I1232" s="18"/>
      <c r="J1232" s="18"/>
      <c r="K1232" s="18"/>
      <c r="L1232" s="18"/>
      <c r="M1232" s="18"/>
      <c r="N1232" s="18"/>
      <c r="O1232" s="18"/>
      <c r="P1232" s="26"/>
      <c r="Q1232" s="18"/>
      <c r="R1232" s="18"/>
      <c r="S1232" s="18"/>
      <c r="T1232" s="27"/>
      <c r="U1232" s="27"/>
      <c r="V1232" s="18">
        <f>V1233</f>
        <v>0</v>
      </c>
      <c r="W1232" s="18"/>
      <c r="X1232" s="18"/>
      <c r="Y1232" s="18">
        <f>Y1233</f>
        <v>0</v>
      </c>
      <c r="Z1232" s="18"/>
      <c r="AA1232" s="18">
        <f t="shared" si="789"/>
        <v>180000</v>
      </c>
      <c r="AB1232" s="18">
        <f t="shared" si="798"/>
        <v>180000</v>
      </c>
      <c r="AC1232" s="18">
        <f t="shared" si="798"/>
        <v>148390</v>
      </c>
      <c r="AD1232" s="18">
        <f t="shared" si="774"/>
        <v>82.438888888888883</v>
      </c>
      <c r="AE1232" s="18">
        <f t="shared" si="782"/>
        <v>10000</v>
      </c>
      <c r="AF1232" s="18">
        <f t="shared" si="798"/>
        <v>190000</v>
      </c>
      <c r="AG1232" s="18">
        <f t="shared" si="798"/>
        <v>180000</v>
      </c>
      <c r="AH1232" s="18">
        <f t="shared" si="798"/>
        <v>180000</v>
      </c>
      <c r="AI1232" s="18">
        <f t="shared" si="798"/>
        <v>180000</v>
      </c>
      <c r="AJ1232" s="162" t="b">
        <f t="shared" si="795"/>
        <v>1</v>
      </c>
      <c r="AK1232" s="162" t="str">
        <f t="shared" si="796"/>
        <v>PRAZNO</v>
      </c>
      <c r="AM1232" s="164"/>
    </row>
    <row r="1233" spans="1:39" ht="30" x14ac:dyDescent="0.2">
      <c r="B1233" s="177"/>
      <c r="C1233" s="177"/>
      <c r="D1233" s="177"/>
      <c r="E1233" s="177">
        <v>3633</v>
      </c>
      <c r="F1233" s="176">
        <v>11</v>
      </c>
      <c r="G1233" s="176"/>
      <c r="H1233" s="16" t="s">
        <v>256</v>
      </c>
      <c r="I1233" s="18"/>
      <c r="J1233" s="18"/>
      <c r="K1233" s="18"/>
      <c r="L1233" s="18"/>
      <c r="M1233" s="18"/>
      <c r="N1233" s="18"/>
      <c r="O1233" s="18"/>
      <c r="P1233" s="26"/>
      <c r="Q1233" s="18"/>
      <c r="R1233" s="18"/>
      <c r="S1233" s="18"/>
      <c r="T1233" s="27"/>
      <c r="U1233" s="27"/>
      <c r="V1233" s="18">
        <v>0</v>
      </c>
      <c r="W1233" s="18"/>
      <c r="X1233" s="18"/>
      <c r="Y1233" s="18">
        <v>0</v>
      </c>
      <c r="Z1233" s="18"/>
      <c r="AA1233" s="18">
        <f t="shared" si="789"/>
        <v>180000</v>
      </c>
      <c r="AB1233" s="18">
        <v>180000</v>
      </c>
      <c r="AC1233" s="18">
        <v>148390</v>
      </c>
      <c r="AD1233" s="18">
        <f t="shared" si="774"/>
        <v>82.438888888888883</v>
      </c>
      <c r="AE1233" s="18">
        <f t="shared" si="782"/>
        <v>10000</v>
      </c>
      <c r="AF1233" s="18">
        <v>190000</v>
      </c>
      <c r="AG1233" s="18">
        <v>180000</v>
      </c>
      <c r="AH1233" s="18">
        <v>180000</v>
      </c>
      <c r="AI1233" s="18">
        <v>180000</v>
      </c>
      <c r="AJ1233" s="162" t="b">
        <f t="shared" si="795"/>
        <v>0</v>
      </c>
      <c r="AK1233" s="162" t="str">
        <f t="shared" si="796"/>
        <v>PUNO</v>
      </c>
      <c r="AM1233" s="164"/>
    </row>
    <row r="1234" spans="1:39" s="287" customFormat="1" ht="47.25" x14ac:dyDescent="0.25">
      <c r="A1234" s="378"/>
      <c r="B1234" s="194"/>
      <c r="C1234" s="194"/>
      <c r="D1234" s="194"/>
      <c r="E1234" s="194"/>
      <c r="F1234" s="423"/>
      <c r="G1234" s="423"/>
      <c r="H1234" s="21" t="s">
        <v>435</v>
      </c>
      <c r="I1234" s="425" t="e">
        <f t="shared" ref="I1234:N1234" si="799">I1236</f>
        <v>#REF!</v>
      </c>
      <c r="J1234" s="425" t="e">
        <f t="shared" si="799"/>
        <v>#REF!</v>
      </c>
      <c r="K1234" s="425" t="e">
        <f t="shared" si="799"/>
        <v>#REF!</v>
      </c>
      <c r="L1234" s="425" t="e">
        <f t="shared" si="799"/>
        <v>#REF!</v>
      </c>
      <c r="M1234" s="425" t="e">
        <f t="shared" si="799"/>
        <v>#REF!</v>
      </c>
      <c r="N1234" s="425" t="e">
        <f t="shared" si="799"/>
        <v>#REF!</v>
      </c>
      <c r="O1234" s="425" t="e">
        <f>O1236</f>
        <v>#REF!</v>
      </c>
      <c r="P1234" s="197" t="e">
        <f>T1234-N1234</f>
        <v>#REF!</v>
      </c>
      <c r="Q1234" s="424"/>
      <c r="R1234" s="424"/>
      <c r="S1234" s="424"/>
      <c r="T1234" s="425">
        <f t="shared" ref="T1234:Y1234" si="800">T1236</f>
        <v>810000</v>
      </c>
      <c r="U1234" s="425">
        <f t="shared" si="800"/>
        <v>794466.73</v>
      </c>
      <c r="V1234" s="424">
        <f t="shared" si="800"/>
        <v>786400</v>
      </c>
      <c r="W1234" s="424">
        <f t="shared" si="800"/>
        <v>786400</v>
      </c>
      <c r="X1234" s="424">
        <f t="shared" si="800"/>
        <v>811905</v>
      </c>
      <c r="Y1234" s="424">
        <f t="shared" si="800"/>
        <v>167015.93999999997</v>
      </c>
      <c r="Z1234" s="424">
        <f t="shared" ref="Z1234:Z1283" si="801">ROUND(Y1234/V1234*100,2)</f>
        <v>21.24</v>
      </c>
      <c r="AA1234" s="424">
        <f t="shared" si="789"/>
        <v>0</v>
      </c>
      <c r="AB1234" s="424">
        <f>AB1236</f>
        <v>786400</v>
      </c>
      <c r="AC1234" s="424">
        <f>AC1236</f>
        <v>379139.07</v>
      </c>
      <c r="AD1234" s="424">
        <f t="shared" si="774"/>
        <v>48.211987538148527</v>
      </c>
      <c r="AE1234" s="424">
        <f t="shared" si="782"/>
        <v>0</v>
      </c>
      <c r="AF1234" s="424">
        <f>AF1236</f>
        <v>786400</v>
      </c>
      <c r="AG1234" s="424">
        <f>AG1236</f>
        <v>812100</v>
      </c>
      <c r="AH1234" s="424">
        <f>AH1236</f>
        <v>819000</v>
      </c>
      <c r="AI1234" s="424">
        <f>AI1236</f>
        <v>833730</v>
      </c>
      <c r="AJ1234" s="162" t="b">
        <f t="shared" si="795"/>
        <v>1</v>
      </c>
      <c r="AK1234" s="162" t="str">
        <f t="shared" si="796"/>
        <v>PRAZNO</v>
      </c>
      <c r="AL1234" s="288"/>
    </row>
    <row r="1235" spans="1:39" s="164" customFormat="1" ht="15.75" x14ac:dyDescent="0.2">
      <c r="A1235" s="259"/>
      <c r="B1235" s="194"/>
      <c r="C1235" s="194"/>
      <c r="D1235" s="194"/>
      <c r="E1235" s="194"/>
      <c r="F1235" s="159"/>
      <c r="G1235" s="159"/>
      <c r="H1235" s="11" t="s">
        <v>851</v>
      </c>
      <c r="I1235" s="196"/>
      <c r="J1235" s="196"/>
      <c r="K1235" s="196"/>
      <c r="L1235" s="196"/>
      <c r="M1235" s="195"/>
      <c r="N1235" s="195"/>
      <c r="O1235" s="195"/>
      <c r="P1235" s="353"/>
      <c r="Q1235" s="195"/>
      <c r="R1235" s="195"/>
      <c r="S1235" s="195"/>
      <c r="T1235" s="197"/>
      <c r="U1235" s="197"/>
      <c r="V1235" s="195"/>
      <c r="W1235" s="195"/>
      <c r="X1235" s="195"/>
      <c r="Y1235" s="195"/>
      <c r="Z1235" s="195"/>
      <c r="AA1235" s="195"/>
      <c r="AB1235" s="195"/>
      <c r="AC1235" s="195"/>
      <c r="AD1235" s="195"/>
      <c r="AE1235" s="195">
        <f t="shared" si="782"/>
        <v>0</v>
      </c>
      <c r="AF1235" s="195"/>
      <c r="AG1235" s="195"/>
      <c r="AH1235" s="195"/>
      <c r="AI1235" s="195"/>
      <c r="AJ1235" s="162" t="b">
        <f t="shared" si="795"/>
        <v>1</v>
      </c>
      <c r="AK1235" s="162" t="str">
        <f t="shared" si="796"/>
        <v>PRAZNO</v>
      </c>
      <c r="AL1235" s="165"/>
    </row>
    <row r="1236" spans="1:39" s="164" customFormat="1" ht="31.5" x14ac:dyDescent="0.2">
      <c r="A1236" s="259"/>
      <c r="B1236" s="270"/>
      <c r="C1236" s="270"/>
      <c r="D1236" s="270"/>
      <c r="E1236" s="270"/>
      <c r="F1236" s="278"/>
      <c r="G1236" s="278"/>
      <c r="H1236" s="279" t="s">
        <v>721</v>
      </c>
      <c r="I1236" s="273" t="e">
        <f>I1237+#REF!</f>
        <v>#REF!</v>
      </c>
      <c r="J1236" s="273" t="e">
        <f>J1237+#REF!</f>
        <v>#REF!</v>
      </c>
      <c r="K1236" s="273" t="e">
        <f t="shared" si="781"/>
        <v>#REF!</v>
      </c>
      <c r="L1236" s="273" t="e">
        <f t="shared" si="786"/>
        <v>#REF!</v>
      </c>
      <c r="M1236" s="272" t="e">
        <f>M1237+#REF!</f>
        <v>#REF!</v>
      </c>
      <c r="N1236" s="272" t="e">
        <f>N1237+#REF!</f>
        <v>#REF!</v>
      </c>
      <c r="O1236" s="272" t="e">
        <f>O1237+#REF!</f>
        <v>#REF!</v>
      </c>
      <c r="P1236" s="336" t="e">
        <f t="shared" si="755"/>
        <v>#REF!</v>
      </c>
      <c r="Q1236" s="272" t="e">
        <f>Q1237+#REF!</f>
        <v>#REF!</v>
      </c>
      <c r="R1236" s="272" t="e">
        <f>R1237+#REF!</f>
        <v>#REF!</v>
      </c>
      <c r="S1236" s="272" t="e">
        <f>S1237+#REF!</f>
        <v>#REF!</v>
      </c>
      <c r="T1236" s="275">
        <f t="shared" ref="T1236:Y1236" si="802">T1237+T1276</f>
        <v>810000</v>
      </c>
      <c r="U1236" s="275">
        <f t="shared" si="802"/>
        <v>794466.73</v>
      </c>
      <c r="V1236" s="275">
        <f t="shared" si="802"/>
        <v>786400</v>
      </c>
      <c r="W1236" s="275">
        <f t="shared" si="802"/>
        <v>786400</v>
      </c>
      <c r="X1236" s="275">
        <f t="shared" si="802"/>
        <v>811905</v>
      </c>
      <c r="Y1236" s="275">
        <f t="shared" si="802"/>
        <v>167015.93999999997</v>
      </c>
      <c r="Z1236" s="275">
        <f t="shared" si="801"/>
        <v>21.24</v>
      </c>
      <c r="AA1236" s="275">
        <f t="shared" si="789"/>
        <v>0</v>
      </c>
      <c r="AB1236" s="275">
        <f>AB1237+AB1276</f>
        <v>786400</v>
      </c>
      <c r="AC1236" s="275">
        <f>AC1237+AC1276</f>
        <v>379139.07</v>
      </c>
      <c r="AD1236" s="275">
        <f t="shared" si="774"/>
        <v>48.211987538148527</v>
      </c>
      <c r="AE1236" s="275">
        <f t="shared" si="782"/>
        <v>0</v>
      </c>
      <c r="AF1236" s="275">
        <f>AF1237+AF1276</f>
        <v>786400</v>
      </c>
      <c r="AG1236" s="275">
        <f>AG1237+AG1276</f>
        <v>812100</v>
      </c>
      <c r="AH1236" s="275">
        <f>AH1237+AH1276</f>
        <v>819000</v>
      </c>
      <c r="AI1236" s="275">
        <f>AI1237+AI1276</f>
        <v>833730</v>
      </c>
      <c r="AJ1236" s="162" t="b">
        <f t="shared" si="795"/>
        <v>1</v>
      </c>
      <c r="AK1236" s="162" t="str">
        <f t="shared" si="796"/>
        <v>PRAZNO</v>
      </c>
      <c r="AL1236" s="165"/>
    </row>
    <row r="1237" spans="1:39" s="171" customFormat="1" ht="15.75" x14ac:dyDescent="0.2">
      <c r="A1237" s="259"/>
      <c r="B1237" s="168"/>
      <c r="C1237" s="168"/>
      <c r="D1237" s="168"/>
      <c r="E1237" s="168"/>
      <c r="F1237" s="168"/>
      <c r="G1237" s="168"/>
      <c r="H1237" s="12" t="s">
        <v>590</v>
      </c>
      <c r="I1237" s="169">
        <f>I1239</f>
        <v>810000</v>
      </c>
      <c r="J1237" s="169">
        <f>J1239</f>
        <v>488911.83999999997</v>
      </c>
      <c r="K1237" s="169">
        <f t="shared" si="781"/>
        <v>60.36</v>
      </c>
      <c r="L1237" s="169">
        <f t="shared" si="786"/>
        <v>-40652.130000000005</v>
      </c>
      <c r="M1237" s="19">
        <f>M1239</f>
        <v>769347.87</v>
      </c>
      <c r="N1237" s="19">
        <f>N1239</f>
        <v>785000</v>
      </c>
      <c r="O1237" s="19">
        <f>O1239</f>
        <v>349889.36</v>
      </c>
      <c r="P1237" s="303">
        <f t="shared" si="755"/>
        <v>5000</v>
      </c>
      <c r="Q1237" s="19">
        <f t="shared" ref="Q1237:X1237" si="803">Q1239</f>
        <v>785000</v>
      </c>
      <c r="R1237" s="19">
        <f t="shared" si="803"/>
        <v>791000</v>
      </c>
      <c r="S1237" s="19">
        <f t="shared" si="803"/>
        <v>815100</v>
      </c>
      <c r="T1237" s="53">
        <f t="shared" si="803"/>
        <v>790000</v>
      </c>
      <c r="U1237" s="53">
        <f>U1239</f>
        <v>774489.48</v>
      </c>
      <c r="V1237" s="19">
        <f t="shared" si="803"/>
        <v>781400</v>
      </c>
      <c r="W1237" s="19">
        <f t="shared" si="803"/>
        <v>781400</v>
      </c>
      <c r="X1237" s="19">
        <f t="shared" si="803"/>
        <v>810905</v>
      </c>
      <c r="Y1237" s="19">
        <f>Y1239</f>
        <v>167015.93999999997</v>
      </c>
      <c r="Z1237" s="19">
        <f t="shared" si="801"/>
        <v>21.37</v>
      </c>
      <c r="AA1237" s="19">
        <f t="shared" si="789"/>
        <v>0</v>
      </c>
      <c r="AB1237" s="19">
        <f>AB1239</f>
        <v>781400</v>
      </c>
      <c r="AC1237" s="19">
        <f>AC1239</f>
        <v>379139.07</v>
      </c>
      <c r="AD1237" s="19">
        <f t="shared" si="774"/>
        <v>48.520485026874844</v>
      </c>
      <c r="AE1237" s="19">
        <f t="shared" si="782"/>
        <v>-3000</v>
      </c>
      <c r="AF1237" s="19">
        <f>AF1239</f>
        <v>778400</v>
      </c>
      <c r="AG1237" s="19">
        <f>AG1239</f>
        <v>802100</v>
      </c>
      <c r="AH1237" s="19">
        <f>AH1239</f>
        <v>812000</v>
      </c>
      <c r="AI1237" s="19">
        <f>AI1239</f>
        <v>826520</v>
      </c>
      <c r="AJ1237" s="162" t="b">
        <f t="shared" si="795"/>
        <v>1</v>
      </c>
      <c r="AK1237" s="162" t="str">
        <f t="shared" si="796"/>
        <v>PRAZNO</v>
      </c>
      <c r="AL1237" s="170"/>
      <c r="AM1237" s="164"/>
    </row>
    <row r="1238" spans="1:39" s="264" customFormat="1" ht="15.75" x14ac:dyDescent="0.2">
      <c r="A1238" s="259"/>
      <c r="B1238" s="260"/>
      <c r="C1238" s="260"/>
      <c r="D1238" s="260"/>
      <c r="E1238" s="260"/>
      <c r="F1238" s="260"/>
      <c r="G1238" s="260"/>
      <c r="H1238" s="441" t="s">
        <v>824</v>
      </c>
      <c r="I1238" s="181"/>
      <c r="J1238" s="181"/>
      <c r="K1238" s="181"/>
      <c r="L1238" s="181"/>
      <c r="M1238" s="262"/>
      <c r="N1238" s="262"/>
      <c r="O1238" s="262"/>
      <c r="P1238" s="445"/>
      <c r="Q1238" s="262"/>
      <c r="R1238" s="262"/>
      <c r="S1238" s="262"/>
      <c r="T1238" s="342"/>
      <c r="U1238" s="262">
        <f t="shared" ref="U1238:AA1238" si="804">U1239</f>
        <v>774489.48</v>
      </c>
      <c r="V1238" s="262">
        <f t="shared" si="804"/>
        <v>781400</v>
      </c>
      <c r="W1238" s="262">
        <f t="shared" si="804"/>
        <v>781400</v>
      </c>
      <c r="X1238" s="262">
        <f t="shared" si="804"/>
        <v>810905</v>
      </c>
      <c r="Y1238" s="262">
        <f t="shared" si="804"/>
        <v>167015.93999999997</v>
      </c>
      <c r="Z1238" s="262">
        <f t="shared" si="804"/>
        <v>21.37</v>
      </c>
      <c r="AA1238" s="262">
        <f t="shared" si="804"/>
        <v>0</v>
      </c>
      <c r="AB1238" s="262">
        <f>AB1239</f>
        <v>781400</v>
      </c>
      <c r="AC1238" s="262">
        <f>AC1239</f>
        <v>379139.07</v>
      </c>
      <c r="AD1238" s="262">
        <f t="shared" si="774"/>
        <v>48.520485026874844</v>
      </c>
      <c r="AE1238" s="262">
        <f t="shared" si="782"/>
        <v>-3000</v>
      </c>
      <c r="AF1238" s="262">
        <f>AF1239</f>
        <v>778400</v>
      </c>
      <c r="AG1238" s="262">
        <f>AG1239</f>
        <v>802100</v>
      </c>
      <c r="AH1238" s="262">
        <f>AH1239</f>
        <v>812000</v>
      </c>
      <c r="AI1238" s="262">
        <f>AI1239</f>
        <v>826520</v>
      </c>
      <c r="AJ1238" s="162" t="b">
        <f t="shared" si="795"/>
        <v>1</v>
      </c>
      <c r="AK1238" s="162" t="str">
        <f t="shared" si="796"/>
        <v>PRAZNO</v>
      </c>
      <c r="AL1238" s="263"/>
    </row>
    <row r="1239" spans="1:39" s="174" customFormat="1" ht="15.75" x14ac:dyDescent="0.2">
      <c r="A1239" s="259"/>
      <c r="B1239" s="172">
        <v>3</v>
      </c>
      <c r="C1239" s="172"/>
      <c r="D1239" s="172"/>
      <c r="E1239" s="172"/>
      <c r="F1239" s="172"/>
      <c r="G1239" s="172"/>
      <c r="H1239" s="14" t="s">
        <v>524</v>
      </c>
      <c r="I1239" s="20">
        <f>I1240+I1248+I1273</f>
        <v>810000</v>
      </c>
      <c r="J1239" s="20">
        <f>J1240+J1248+J1273</f>
        <v>488911.83999999997</v>
      </c>
      <c r="K1239" s="20">
        <f t="shared" si="781"/>
        <v>60.36</v>
      </c>
      <c r="L1239" s="20">
        <f t="shared" si="786"/>
        <v>-40652.130000000005</v>
      </c>
      <c r="M1239" s="20">
        <f>M1240+M1248+M1273</f>
        <v>769347.87</v>
      </c>
      <c r="N1239" s="20">
        <f>N1240+N1248+N1273</f>
        <v>785000</v>
      </c>
      <c r="O1239" s="20">
        <f>O1240+O1248+O1273</f>
        <v>349889.36</v>
      </c>
      <c r="P1239" s="55">
        <f t="shared" si="755"/>
        <v>5000</v>
      </c>
      <c r="Q1239" s="20">
        <f t="shared" ref="Q1239:X1239" si="805">Q1240+Q1248+Q1273</f>
        <v>785000</v>
      </c>
      <c r="R1239" s="20">
        <f t="shared" si="805"/>
        <v>791000</v>
      </c>
      <c r="S1239" s="20">
        <f t="shared" si="805"/>
        <v>815100</v>
      </c>
      <c r="T1239" s="55">
        <f t="shared" si="805"/>
        <v>790000</v>
      </c>
      <c r="U1239" s="55">
        <f>U1240+U1248+U1273</f>
        <v>774489.48</v>
      </c>
      <c r="V1239" s="20">
        <f t="shared" si="805"/>
        <v>781400</v>
      </c>
      <c r="W1239" s="20">
        <f t="shared" si="805"/>
        <v>781400</v>
      </c>
      <c r="X1239" s="20">
        <f t="shared" si="805"/>
        <v>810905</v>
      </c>
      <c r="Y1239" s="20">
        <f>Y1240+Y1248+Y1273</f>
        <v>167015.93999999997</v>
      </c>
      <c r="Z1239" s="20">
        <f t="shared" si="801"/>
        <v>21.37</v>
      </c>
      <c r="AA1239" s="20">
        <f t="shared" si="789"/>
        <v>0</v>
      </c>
      <c r="AB1239" s="20">
        <f>AB1240+AB1248+AB1273</f>
        <v>781400</v>
      </c>
      <c r="AC1239" s="20">
        <f>AC1240+AC1248+AC1273</f>
        <v>379139.07</v>
      </c>
      <c r="AD1239" s="20">
        <f t="shared" si="774"/>
        <v>48.520485026874844</v>
      </c>
      <c r="AE1239" s="20">
        <f t="shared" si="782"/>
        <v>-3000</v>
      </c>
      <c r="AF1239" s="20">
        <f>AF1240+AF1248+AF1273</f>
        <v>778400</v>
      </c>
      <c r="AG1239" s="20">
        <f>AG1240+AG1248+AG1273</f>
        <v>802100</v>
      </c>
      <c r="AH1239" s="20">
        <f>AH1240+AH1248+AH1273</f>
        <v>812000</v>
      </c>
      <c r="AI1239" s="20">
        <f>AI1240+AI1248+AI1273</f>
        <v>826520</v>
      </c>
      <c r="AJ1239" s="162" t="b">
        <f t="shared" si="795"/>
        <v>1</v>
      </c>
      <c r="AK1239" s="162" t="str">
        <f t="shared" si="796"/>
        <v>PRAZNO</v>
      </c>
      <c r="AL1239" s="173"/>
      <c r="AM1239" s="164"/>
    </row>
    <row r="1240" spans="1:39" s="644" customFormat="1" ht="15.75" x14ac:dyDescent="0.2">
      <c r="A1240" s="633"/>
      <c r="B1240" s="175"/>
      <c r="C1240" s="175">
        <v>31</v>
      </c>
      <c r="D1240" s="175"/>
      <c r="E1240" s="175"/>
      <c r="F1240" s="175"/>
      <c r="G1240" s="175"/>
      <c r="H1240" s="15" t="s">
        <v>197</v>
      </c>
      <c r="I1240" s="645">
        <f>I1241+I1243+I1245</f>
        <v>421000</v>
      </c>
      <c r="J1240" s="648">
        <f>J1241+J1243+J1245</f>
        <v>236085.99</v>
      </c>
      <c r="K1240" s="648">
        <f t="shared" si="781"/>
        <v>56.08</v>
      </c>
      <c r="L1240" s="648">
        <f t="shared" si="786"/>
        <v>-64148.330000000016</v>
      </c>
      <c r="M1240" s="648">
        <f>M1241+M1243+M1245</f>
        <v>356851.67</v>
      </c>
      <c r="N1240" s="648">
        <f>N1241+N1243+N1245</f>
        <v>362000</v>
      </c>
      <c r="O1240" s="648">
        <f>O1241+O1243+O1245</f>
        <v>206743.53</v>
      </c>
      <c r="P1240" s="38">
        <f t="shared" si="755"/>
        <v>-6000</v>
      </c>
      <c r="Q1240" s="648">
        <f t="shared" ref="Q1240:X1240" si="806">Q1241+Q1243+Q1245</f>
        <v>362000</v>
      </c>
      <c r="R1240" s="648">
        <f t="shared" si="806"/>
        <v>366000</v>
      </c>
      <c r="S1240" s="648">
        <f t="shared" si="806"/>
        <v>372000</v>
      </c>
      <c r="T1240" s="649">
        <f t="shared" si="806"/>
        <v>356000</v>
      </c>
      <c r="U1240" s="649">
        <f>U1241+U1243+U1245</f>
        <v>351583.52999999997</v>
      </c>
      <c r="V1240" s="648">
        <f t="shared" si="806"/>
        <v>370000</v>
      </c>
      <c r="W1240" s="648">
        <f t="shared" si="806"/>
        <v>370000</v>
      </c>
      <c r="X1240" s="648">
        <f t="shared" si="806"/>
        <v>377300</v>
      </c>
      <c r="Y1240" s="648">
        <f>Y1241+Y1243+Y1245</f>
        <v>84325.45</v>
      </c>
      <c r="Z1240" s="648">
        <f t="shared" si="801"/>
        <v>22.79</v>
      </c>
      <c r="AA1240" s="648">
        <f t="shared" si="789"/>
        <v>0</v>
      </c>
      <c r="AB1240" s="648">
        <f>AB1241+AB1243+AB1245</f>
        <v>370000</v>
      </c>
      <c r="AC1240" s="648">
        <f>AC1241+AC1243+AC1245</f>
        <v>212208.65000000002</v>
      </c>
      <c r="AD1240" s="648">
        <f t="shared" si="774"/>
        <v>57.353689189189197</v>
      </c>
      <c r="AE1240" s="648">
        <f t="shared" si="782"/>
        <v>-5000</v>
      </c>
      <c r="AF1240" s="648">
        <f>AF1241+AF1243+AF1245</f>
        <v>365000</v>
      </c>
      <c r="AG1240" s="648">
        <f>AG1241+AG1243+AG1245</f>
        <v>378100</v>
      </c>
      <c r="AH1240" s="648">
        <f>AH1241+AH1243+AH1245</f>
        <v>377000</v>
      </c>
      <c r="AI1240" s="648">
        <f>AI1241+AI1243+AI1245</f>
        <v>379400</v>
      </c>
      <c r="AJ1240" s="162" t="b">
        <f t="shared" si="795"/>
        <v>1</v>
      </c>
      <c r="AK1240" s="162" t="str">
        <f t="shared" si="796"/>
        <v>PRAZNO</v>
      </c>
      <c r="AL1240" s="643"/>
      <c r="AM1240" s="647"/>
    </row>
    <row r="1241" spans="1:39" ht="15.75" x14ac:dyDescent="0.2">
      <c r="B1241" s="177"/>
      <c r="C1241" s="177"/>
      <c r="D1241" s="177">
        <v>311</v>
      </c>
      <c r="E1241" s="177"/>
      <c r="F1241" s="177"/>
      <c r="G1241" s="177"/>
      <c r="H1241" s="16" t="s">
        <v>915</v>
      </c>
      <c r="I1241" s="18">
        <f>I1242</f>
        <v>348000</v>
      </c>
      <c r="J1241" s="178">
        <f>J1242</f>
        <v>193770.33</v>
      </c>
      <c r="K1241" s="178">
        <f t="shared" si="781"/>
        <v>55.68</v>
      </c>
      <c r="L1241" s="178">
        <f t="shared" si="786"/>
        <v>-51227.710000000021</v>
      </c>
      <c r="M1241" s="178">
        <f>M1242</f>
        <v>296772.28999999998</v>
      </c>
      <c r="N1241" s="178">
        <f>N1242</f>
        <v>300000</v>
      </c>
      <c r="O1241" s="178">
        <f>O1242</f>
        <v>172994.44</v>
      </c>
      <c r="P1241" s="26">
        <f t="shared" si="755"/>
        <v>-2000</v>
      </c>
      <c r="Q1241" s="178">
        <f t="shared" ref="Q1241:AI1241" si="807">Q1242</f>
        <v>300000</v>
      </c>
      <c r="R1241" s="178">
        <f t="shared" si="807"/>
        <v>302000</v>
      </c>
      <c r="S1241" s="178">
        <f t="shared" si="807"/>
        <v>305000</v>
      </c>
      <c r="T1241" s="266">
        <f t="shared" si="807"/>
        <v>298000</v>
      </c>
      <c r="U1241" s="266">
        <f t="shared" si="807"/>
        <v>294993.03999999998</v>
      </c>
      <c r="V1241" s="178">
        <f t="shared" si="807"/>
        <v>302000</v>
      </c>
      <c r="W1241" s="178">
        <f t="shared" si="807"/>
        <v>302000</v>
      </c>
      <c r="X1241" s="178">
        <f t="shared" si="807"/>
        <v>307300</v>
      </c>
      <c r="Y1241" s="178">
        <f t="shared" si="807"/>
        <v>73199.17</v>
      </c>
      <c r="Z1241" s="178">
        <f t="shared" si="801"/>
        <v>24.24</v>
      </c>
      <c r="AA1241" s="178">
        <f t="shared" si="789"/>
        <v>0</v>
      </c>
      <c r="AB1241" s="178">
        <f t="shared" si="807"/>
        <v>302000</v>
      </c>
      <c r="AC1241" s="178">
        <f t="shared" si="807"/>
        <v>173392.95</v>
      </c>
      <c r="AD1241" s="178">
        <f t="shared" si="774"/>
        <v>57.414884105960276</v>
      </c>
      <c r="AE1241" s="178">
        <f t="shared" si="782"/>
        <v>-2000</v>
      </c>
      <c r="AF1241" s="178">
        <f t="shared" si="807"/>
        <v>300000</v>
      </c>
      <c r="AG1241" s="178">
        <f t="shared" si="807"/>
        <v>306000</v>
      </c>
      <c r="AH1241" s="178">
        <f t="shared" si="807"/>
        <v>308000</v>
      </c>
      <c r="AI1241" s="178">
        <f t="shared" si="807"/>
        <v>310000</v>
      </c>
      <c r="AJ1241" s="162" t="b">
        <f t="shared" si="795"/>
        <v>1</v>
      </c>
      <c r="AK1241" s="162" t="str">
        <f t="shared" si="796"/>
        <v>PRAZNO</v>
      </c>
      <c r="AM1241" s="164"/>
    </row>
    <row r="1242" spans="1:39" ht="15.75" x14ac:dyDescent="0.2">
      <c r="B1242" s="177"/>
      <c r="C1242" s="177"/>
      <c r="D1242" s="177"/>
      <c r="E1242" s="177">
        <v>3111</v>
      </c>
      <c r="F1242" s="176">
        <v>11</v>
      </c>
      <c r="G1242" s="176" t="s">
        <v>537</v>
      </c>
      <c r="H1242" s="16" t="s">
        <v>199</v>
      </c>
      <c r="I1242" s="18">
        <v>348000</v>
      </c>
      <c r="J1242" s="178">
        <v>193770.33</v>
      </c>
      <c r="K1242" s="178">
        <f t="shared" si="781"/>
        <v>55.68</v>
      </c>
      <c r="L1242" s="178">
        <f t="shared" si="786"/>
        <v>-51227.710000000021</v>
      </c>
      <c r="M1242" s="178">
        <f>272484.3+24287.99</f>
        <v>296772.28999999998</v>
      </c>
      <c r="N1242" s="178">
        <v>300000</v>
      </c>
      <c r="O1242" s="178">
        <v>172994.44</v>
      </c>
      <c r="P1242" s="26">
        <f t="shared" ref="P1242:P1306" si="808">T1242-N1242</f>
        <v>-2000</v>
      </c>
      <c r="Q1242" s="178">
        <v>300000</v>
      </c>
      <c r="R1242" s="178">
        <v>302000</v>
      </c>
      <c r="S1242" s="178">
        <v>305000</v>
      </c>
      <c r="T1242" s="266">
        <v>298000</v>
      </c>
      <c r="U1242" s="266">
        <v>294993.03999999998</v>
      </c>
      <c r="V1242" s="266">
        <v>302000</v>
      </c>
      <c r="W1242" s="266">
        <v>302000</v>
      </c>
      <c r="X1242" s="178">
        <v>307300</v>
      </c>
      <c r="Y1242" s="266">
        <v>73199.17</v>
      </c>
      <c r="Z1242" s="266">
        <f t="shared" si="801"/>
        <v>24.24</v>
      </c>
      <c r="AA1242" s="266">
        <f t="shared" si="789"/>
        <v>0</v>
      </c>
      <c r="AB1242" s="266">
        <v>302000</v>
      </c>
      <c r="AC1242" s="266">
        <v>173392.95</v>
      </c>
      <c r="AD1242" s="266">
        <f t="shared" si="774"/>
        <v>57.414884105960276</v>
      </c>
      <c r="AE1242" s="266">
        <f t="shared" si="782"/>
        <v>-2000</v>
      </c>
      <c r="AF1242" s="266">
        <v>300000</v>
      </c>
      <c r="AG1242" s="266">
        <v>306000</v>
      </c>
      <c r="AH1242" s="266">
        <v>308000</v>
      </c>
      <c r="AI1242" s="266">
        <v>310000</v>
      </c>
      <c r="AJ1242" s="162" t="b">
        <f t="shared" si="795"/>
        <v>0</v>
      </c>
      <c r="AK1242" s="162" t="str">
        <f t="shared" si="796"/>
        <v>PUNO</v>
      </c>
      <c r="AM1242" s="164"/>
    </row>
    <row r="1243" spans="1:39" ht="15.75" x14ac:dyDescent="0.2">
      <c r="B1243" s="177"/>
      <c r="C1243" s="177"/>
      <c r="D1243" s="177">
        <v>312</v>
      </c>
      <c r="E1243" s="177"/>
      <c r="F1243" s="177"/>
      <c r="G1243" s="177"/>
      <c r="H1243" s="16" t="s">
        <v>200</v>
      </c>
      <c r="I1243" s="18">
        <f>I1244</f>
        <v>12000</v>
      </c>
      <c r="J1243" s="178">
        <f>J1244</f>
        <v>8880</v>
      </c>
      <c r="K1243" s="178">
        <f t="shared" si="781"/>
        <v>74</v>
      </c>
      <c r="L1243" s="178">
        <f t="shared" si="786"/>
        <v>-3072.5599999999995</v>
      </c>
      <c r="M1243" s="178">
        <f>M1244</f>
        <v>8927.44</v>
      </c>
      <c r="N1243" s="178">
        <f>N1244</f>
        <v>10000</v>
      </c>
      <c r="O1243" s="178">
        <f>O1244</f>
        <v>5035.8100000000004</v>
      </c>
      <c r="P1243" s="26">
        <f t="shared" si="808"/>
        <v>-1000</v>
      </c>
      <c r="Q1243" s="178">
        <f t="shared" ref="Q1243:AI1243" si="809">Q1244</f>
        <v>10000</v>
      </c>
      <c r="R1243" s="178">
        <f t="shared" si="809"/>
        <v>10500</v>
      </c>
      <c r="S1243" s="178">
        <f t="shared" si="809"/>
        <v>11000</v>
      </c>
      <c r="T1243" s="266">
        <f t="shared" si="809"/>
        <v>9000</v>
      </c>
      <c r="U1243" s="266">
        <f t="shared" si="809"/>
        <v>9333.41</v>
      </c>
      <c r="V1243" s="178">
        <f t="shared" si="809"/>
        <v>16000</v>
      </c>
      <c r="W1243" s="178">
        <f t="shared" si="809"/>
        <v>16000</v>
      </c>
      <c r="X1243" s="178">
        <f t="shared" si="809"/>
        <v>12000</v>
      </c>
      <c r="Y1243" s="178">
        <f t="shared" si="809"/>
        <v>0</v>
      </c>
      <c r="Z1243" s="178">
        <f t="shared" si="801"/>
        <v>0</v>
      </c>
      <c r="AA1243" s="178">
        <f t="shared" si="789"/>
        <v>0</v>
      </c>
      <c r="AB1243" s="178">
        <f t="shared" si="809"/>
        <v>16000</v>
      </c>
      <c r="AC1243" s="178">
        <f t="shared" si="809"/>
        <v>12460</v>
      </c>
      <c r="AD1243" s="178">
        <f t="shared" si="774"/>
        <v>77.875</v>
      </c>
      <c r="AE1243" s="178">
        <f t="shared" si="782"/>
        <v>2000</v>
      </c>
      <c r="AF1243" s="178">
        <f t="shared" si="809"/>
        <v>18000</v>
      </c>
      <c r="AG1243" s="178">
        <f t="shared" si="809"/>
        <v>17100</v>
      </c>
      <c r="AH1243" s="178">
        <f t="shared" si="809"/>
        <v>13000</v>
      </c>
      <c r="AI1243" s="178">
        <f t="shared" si="809"/>
        <v>12500</v>
      </c>
      <c r="AJ1243" s="162" t="b">
        <f t="shared" si="795"/>
        <v>1</v>
      </c>
      <c r="AK1243" s="162" t="str">
        <f t="shared" si="796"/>
        <v>PRAZNO</v>
      </c>
      <c r="AM1243" s="164"/>
    </row>
    <row r="1244" spans="1:39" ht="15.75" x14ac:dyDescent="0.2">
      <c r="B1244" s="177"/>
      <c r="C1244" s="177"/>
      <c r="D1244" s="177"/>
      <c r="E1244" s="177">
        <v>3121</v>
      </c>
      <c r="F1244" s="176">
        <v>11</v>
      </c>
      <c r="G1244" s="176" t="s">
        <v>537</v>
      </c>
      <c r="H1244" s="16" t="s">
        <v>200</v>
      </c>
      <c r="I1244" s="18">
        <v>12000</v>
      </c>
      <c r="J1244" s="178">
        <v>8880</v>
      </c>
      <c r="K1244" s="178">
        <f t="shared" si="781"/>
        <v>74</v>
      </c>
      <c r="L1244" s="178">
        <f t="shared" si="786"/>
        <v>-3072.5599999999995</v>
      </c>
      <c r="M1244" s="178">
        <v>8927.44</v>
      </c>
      <c r="N1244" s="178">
        <v>10000</v>
      </c>
      <c r="O1244" s="178">
        <v>5035.8100000000004</v>
      </c>
      <c r="P1244" s="26">
        <f t="shared" si="808"/>
        <v>-1000</v>
      </c>
      <c r="Q1244" s="178">
        <v>10000</v>
      </c>
      <c r="R1244" s="178">
        <v>10500</v>
      </c>
      <c r="S1244" s="178">
        <v>11000</v>
      </c>
      <c r="T1244" s="266">
        <v>9000</v>
      </c>
      <c r="U1244" s="266">
        <v>9333.41</v>
      </c>
      <c r="V1244" s="266">
        <v>16000</v>
      </c>
      <c r="W1244" s="266">
        <v>16000</v>
      </c>
      <c r="X1244" s="178">
        <v>12000</v>
      </c>
      <c r="Y1244" s="266">
        <v>0</v>
      </c>
      <c r="Z1244" s="266">
        <f t="shared" si="801"/>
        <v>0</v>
      </c>
      <c r="AA1244" s="266">
        <f t="shared" si="789"/>
        <v>0</v>
      </c>
      <c r="AB1244" s="266">
        <v>16000</v>
      </c>
      <c r="AC1244" s="266">
        <v>12460</v>
      </c>
      <c r="AD1244" s="266">
        <f t="shared" si="774"/>
        <v>77.875</v>
      </c>
      <c r="AE1244" s="266">
        <f t="shared" si="782"/>
        <v>2000</v>
      </c>
      <c r="AF1244" s="266">
        <v>18000</v>
      </c>
      <c r="AG1244" s="266">
        <f>13000+4100</f>
        <v>17100</v>
      </c>
      <c r="AH1244" s="266">
        <v>13000</v>
      </c>
      <c r="AI1244" s="266">
        <v>12500</v>
      </c>
      <c r="AJ1244" s="162" t="b">
        <f t="shared" si="795"/>
        <v>0</v>
      </c>
      <c r="AK1244" s="162" t="str">
        <f t="shared" si="796"/>
        <v>PUNO</v>
      </c>
      <c r="AM1244" s="164"/>
    </row>
    <row r="1245" spans="1:39" ht="15.75" x14ac:dyDescent="0.2">
      <c r="B1245" s="177"/>
      <c r="C1245" s="177"/>
      <c r="D1245" s="177">
        <v>313</v>
      </c>
      <c r="E1245" s="177"/>
      <c r="F1245" s="177"/>
      <c r="G1245" s="177"/>
      <c r="H1245" s="16" t="s">
        <v>201</v>
      </c>
      <c r="I1245" s="18">
        <f>SUM(I1246:I1247)</f>
        <v>61000</v>
      </c>
      <c r="J1245" s="178">
        <f>SUM(J1246:J1247)</f>
        <v>33435.660000000003</v>
      </c>
      <c r="K1245" s="178">
        <f t="shared" si="781"/>
        <v>54.81</v>
      </c>
      <c r="L1245" s="178">
        <f t="shared" si="786"/>
        <v>-9848.0600000000049</v>
      </c>
      <c r="M1245" s="178">
        <f>SUM(M1246:M1247)</f>
        <v>51151.939999999995</v>
      </c>
      <c r="N1245" s="178">
        <f>SUM(N1246:N1247)</f>
        <v>52000</v>
      </c>
      <c r="O1245" s="178">
        <f>SUM(O1246:O1247)</f>
        <v>28713.279999999999</v>
      </c>
      <c r="P1245" s="26">
        <f t="shared" si="808"/>
        <v>-3000</v>
      </c>
      <c r="Q1245" s="178">
        <f t="shared" ref="Q1245:X1245" si="810">SUM(Q1246:Q1247)</f>
        <v>52000</v>
      </c>
      <c r="R1245" s="178">
        <f t="shared" si="810"/>
        <v>53500</v>
      </c>
      <c r="S1245" s="178">
        <f t="shared" si="810"/>
        <v>56000</v>
      </c>
      <c r="T1245" s="266">
        <f t="shared" si="810"/>
        <v>49000</v>
      </c>
      <c r="U1245" s="266">
        <f>SUM(U1246:U1247)</f>
        <v>47257.08</v>
      </c>
      <c r="V1245" s="178">
        <f t="shared" si="810"/>
        <v>52000</v>
      </c>
      <c r="W1245" s="178">
        <f t="shared" si="810"/>
        <v>52000</v>
      </c>
      <c r="X1245" s="178">
        <f t="shared" si="810"/>
        <v>58000</v>
      </c>
      <c r="Y1245" s="178">
        <f>SUM(Y1246:Y1247)</f>
        <v>11126.279999999999</v>
      </c>
      <c r="Z1245" s="178">
        <f t="shared" si="801"/>
        <v>21.4</v>
      </c>
      <c r="AA1245" s="178">
        <f t="shared" si="789"/>
        <v>0</v>
      </c>
      <c r="AB1245" s="178">
        <f>SUM(AB1246:AB1247)</f>
        <v>52000</v>
      </c>
      <c r="AC1245" s="178">
        <f>SUM(AC1246:AC1247)</f>
        <v>26355.699999999997</v>
      </c>
      <c r="AD1245" s="178">
        <f t="shared" si="774"/>
        <v>50.684038461538464</v>
      </c>
      <c r="AE1245" s="178">
        <f t="shared" si="782"/>
        <v>-5000</v>
      </c>
      <c r="AF1245" s="178">
        <f>SUM(AF1246:AF1247)</f>
        <v>47000</v>
      </c>
      <c r="AG1245" s="178">
        <f>SUM(AG1246:AG1247)</f>
        <v>55000</v>
      </c>
      <c r="AH1245" s="178">
        <f>SUM(AH1246:AH1247)</f>
        <v>56000</v>
      </c>
      <c r="AI1245" s="178">
        <f>SUM(AI1246:AI1247)</f>
        <v>56900</v>
      </c>
      <c r="AJ1245" s="162" t="b">
        <f t="shared" si="795"/>
        <v>1</v>
      </c>
      <c r="AK1245" s="162" t="str">
        <f t="shared" si="796"/>
        <v>PRAZNO</v>
      </c>
      <c r="AM1245" s="164"/>
    </row>
    <row r="1246" spans="1:39" ht="15.75" x14ac:dyDescent="0.2">
      <c r="B1246" s="177"/>
      <c r="C1246" s="177"/>
      <c r="D1246" s="177"/>
      <c r="E1246" s="177">
        <v>3132</v>
      </c>
      <c r="F1246" s="176">
        <v>11</v>
      </c>
      <c r="G1246" s="176" t="s">
        <v>537</v>
      </c>
      <c r="H1246" s="16" t="s">
        <v>202</v>
      </c>
      <c r="I1246" s="18">
        <v>55000</v>
      </c>
      <c r="J1246" s="178">
        <v>30141.57</v>
      </c>
      <c r="K1246" s="178">
        <f t="shared" si="781"/>
        <v>54.8</v>
      </c>
      <c r="L1246" s="178">
        <f t="shared" si="786"/>
        <v>-8893.1600000000035</v>
      </c>
      <c r="M1246" s="178">
        <v>46106.84</v>
      </c>
      <c r="N1246" s="178">
        <v>47000</v>
      </c>
      <c r="O1246" s="178">
        <v>25719.35</v>
      </c>
      <c r="P1246" s="26">
        <f t="shared" si="808"/>
        <v>-3200</v>
      </c>
      <c r="Q1246" s="178">
        <v>47000</v>
      </c>
      <c r="R1246" s="178">
        <v>48000</v>
      </c>
      <c r="S1246" s="178">
        <v>49000</v>
      </c>
      <c r="T1246" s="266">
        <v>43800</v>
      </c>
      <c r="U1246" s="266">
        <v>42189.15</v>
      </c>
      <c r="V1246" s="266">
        <v>46800</v>
      </c>
      <c r="W1246" s="266">
        <v>46800</v>
      </c>
      <c r="X1246" s="178">
        <v>50000</v>
      </c>
      <c r="Y1246" s="266">
        <v>9881.8799999999992</v>
      </c>
      <c r="Z1246" s="266">
        <f t="shared" si="801"/>
        <v>21.12</v>
      </c>
      <c r="AA1246" s="266">
        <f t="shared" si="789"/>
        <v>0</v>
      </c>
      <c r="AB1246" s="266">
        <v>46800</v>
      </c>
      <c r="AC1246" s="266">
        <v>23408.01</v>
      </c>
      <c r="AD1246" s="266">
        <f t="shared" si="774"/>
        <v>50.017115384615387</v>
      </c>
      <c r="AE1246" s="266">
        <f t="shared" si="782"/>
        <v>-5000</v>
      </c>
      <c r="AF1246" s="266">
        <v>41800</v>
      </c>
      <c r="AG1246" s="266">
        <v>48500</v>
      </c>
      <c r="AH1246" s="266">
        <v>49300</v>
      </c>
      <c r="AI1246" s="266">
        <v>50000</v>
      </c>
      <c r="AJ1246" s="162" t="b">
        <f t="shared" si="795"/>
        <v>0</v>
      </c>
      <c r="AK1246" s="162" t="str">
        <f t="shared" si="796"/>
        <v>PUNO</v>
      </c>
      <c r="AM1246" s="164"/>
    </row>
    <row r="1247" spans="1:39" ht="30" x14ac:dyDescent="0.2">
      <c r="B1247" s="177"/>
      <c r="C1247" s="177"/>
      <c r="D1247" s="177"/>
      <c r="E1247" s="177">
        <v>3133</v>
      </c>
      <c r="F1247" s="176">
        <v>11</v>
      </c>
      <c r="G1247" s="176" t="s">
        <v>537</v>
      </c>
      <c r="H1247" s="16" t="s">
        <v>203</v>
      </c>
      <c r="I1247" s="18">
        <v>6000</v>
      </c>
      <c r="J1247" s="178">
        <v>3294.09</v>
      </c>
      <c r="K1247" s="178">
        <f t="shared" si="781"/>
        <v>54.9</v>
      </c>
      <c r="L1247" s="178">
        <f t="shared" si="786"/>
        <v>-954.89999999999964</v>
      </c>
      <c r="M1247" s="178">
        <v>5045.1000000000004</v>
      </c>
      <c r="N1247" s="178">
        <v>5000</v>
      </c>
      <c r="O1247" s="178">
        <v>2993.93</v>
      </c>
      <c r="P1247" s="26">
        <f t="shared" si="808"/>
        <v>200</v>
      </c>
      <c r="Q1247" s="178">
        <v>5000</v>
      </c>
      <c r="R1247" s="178">
        <v>5500</v>
      </c>
      <c r="S1247" s="178">
        <v>7000</v>
      </c>
      <c r="T1247" s="266">
        <v>5200</v>
      </c>
      <c r="U1247" s="266">
        <v>5067.93</v>
      </c>
      <c r="V1247" s="266">
        <v>5200</v>
      </c>
      <c r="W1247" s="266">
        <v>5200</v>
      </c>
      <c r="X1247" s="178">
        <v>8000</v>
      </c>
      <c r="Y1247" s="266">
        <v>1244.4000000000001</v>
      </c>
      <c r="Z1247" s="266">
        <f t="shared" si="801"/>
        <v>23.93</v>
      </c>
      <c r="AA1247" s="266">
        <f t="shared" si="789"/>
        <v>0</v>
      </c>
      <c r="AB1247" s="266">
        <v>5200</v>
      </c>
      <c r="AC1247" s="266">
        <v>2947.69</v>
      </c>
      <c r="AD1247" s="266">
        <f t="shared" si="774"/>
        <v>56.686346153846159</v>
      </c>
      <c r="AE1247" s="266">
        <f t="shared" si="782"/>
        <v>0</v>
      </c>
      <c r="AF1247" s="266">
        <v>5200</v>
      </c>
      <c r="AG1247" s="266">
        <v>6500</v>
      </c>
      <c r="AH1247" s="266">
        <v>6700</v>
      </c>
      <c r="AI1247" s="266">
        <v>6900</v>
      </c>
      <c r="AJ1247" s="162" t="b">
        <f t="shared" si="795"/>
        <v>0</v>
      </c>
      <c r="AK1247" s="162" t="str">
        <f t="shared" si="796"/>
        <v>PUNO</v>
      </c>
      <c r="AM1247" s="164"/>
    </row>
    <row r="1248" spans="1:39" s="644" customFormat="1" ht="15.75" x14ac:dyDescent="0.2">
      <c r="A1248" s="633"/>
      <c r="B1248" s="175"/>
      <c r="C1248" s="175">
        <v>32</v>
      </c>
      <c r="D1248" s="175"/>
      <c r="E1248" s="175"/>
      <c r="F1248" s="175"/>
      <c r="G1248" s="175"/>
      <c r="H1248" s="15" t="s">
        <v>525</v>
      </c>
      <c r="I1248" s="645">
        <f>I1249+I1254+I1260+I1268</f>
        <v>384500</v>
      </c>
      <c r="J1248" s="648">
        <f>J1249+J1254+J1260+J1268</f>
        <v>250452.69999999998</v>
      </c>
      <c r="K1248" s="648">
        <f t="shared" si="781"/>
        <v>65.14</v>
      </c>
      <c r="L1248" s="648">
        <f t="shared" si="786"/>
        <v>24105.849999999977</v>
      </c>
      <c r="M1248" s="648">
        <f>M1249+M1254+M1260+M1268</f>
        <v>408605.85</v>
      </c>
      <c r="N1248" s="648">
        <f>N1249+N1254+N1260+N1268</f>
        <v>419000</v>
      </c>
      <c r="O1248" s="648">
        <f>O1249+O1254+O1260+O1268</f>
        <v>141045.18</v>
      </c>
      <c r="P1248" s="38">
        <f t="shared" si="808"/>
        <v>11000</v>
      </c>
      <c r="Q1248" s="648">
        <f t="shared" ref="Q1248:X1248" si="811">Q1249+Q1254+Q1260+Q1268</f>
        <v>419000</v>
      </c>
      <c r="R1248" s="648">
        <f t="shared" si="811"/>
        <v>421000</v>
      </c>
      <c r="S1248" s="648">
        <f t="shared" si="811"/>
        <v>439000</v>
      </c>
      <c r="T1248" s="649">
        <f t="shared" si="811"/>
        <v>430000</v>
      </c>
      <c r="U1248" s="649">
        <f>U1249+U1254+U1260+U1268</f>
        <v>419784</v>
      </c>
      <c r="V1248" s="648">
        <f t="shared" si="811"/>
        <v>407400</v>
      </c>
      <c r="W1248" s="648">
        <f t="shared" si="811"/>
        <v>407400</v>
      </c>
      <c r="X1248" s="648">
        <f t="shared" si="811"/>
        <v>429605</v>
      </c>
      <c r="Y1248" s="648">
        <f>Y1249+Y1254+Y1260+Y1268</f>
        <v>81527.189999999988</v>
      </c>
      <c r="Z1248" s="648">
        <f t="shared" si="801"/>
        <v>20.010000000000002</v>
      </c>
      <c r="AA1248" s="648">
        <f t="shared" si="789"/>
        <v>0</v>
      </c>
      <c r="AB1248" s="648">
        <f>AB1249+AB1254+AB1260+AB1268</f>
        <v>407400</v>
      </c>
      <c r="AC1248" s="648">
        <f>AC1249+AC1254+AC1260+AC1268</f>
        <v>164841.22</v>
      </c>
      <c r="AD1248" s="648">
        <f t="shared" si="774"/>
        <v>40.461762395679926</v>
      </c>
      <c r="AE1248" s="648">
        <f t="shared" si="782"/>
        <v>2000</v>
      </c>
      <c r="AF1248" s="648">
        <f>AF1249+AF1254+AF1260+AF1268</f>
        <v>409400</v>
      </c>
      <c r="AG1248" s="648">
        <f>AG1249+AG1254+AG1260+AG1268</f>
        <v>420000</v>
      </c>
      <c r="AH1248" s="648">
        <f>AH1249+AH1254+AH1260+AH1268</f>
        <v>431000</v>
      </c>
      <c r="AI1248" s="648">
        <f>AI1249+AI1254+AI1260+AI1268</f>
        <v>443000</v>
      </c>
      <c r="AJ1248" s="162" t="b">
        <f t="shared" si="795"/>
        <v>1</v>
      </c>
      <c r="AK1248" s="162" t="str">
        <f t="shared" si="796"/>
        <v>PRAZNO</v>
      </c>
      <c r="AL1248" s="643"/>
      <c r="AM1248" s="647"/>
    </row>
    <row r="1249" spans="2:39" ht="15.75" x14ac:dyDescent="0.2">
      <c r="B1249" s="177"/>
      <c r="C1249" s="177"/>
      <c r="D1249" s="177">
        <v>321</v>
      </c>
      <c r="E1249" s="177"/>
      <c r="F1249" s="177"/>
      <c r="G1249" s="177"/>
      <c r="H1249" s="16" t="s">
        <v>564</v>
      </c>
      <c r="I1249" s="18">
        <f>SUM(I1250:I1253)</f>
        <v>58500</v>
      </c>
      <c r="J1249" s="178">
        <f>SUM(J1250:J1253)</f>
        <v>33269.96</v>
      </c>
      <c r="K1249" s="178">
        <f t="shared" si="781"/>
        <v>56.87</v>
      </c>
      <c r="L1249" s="178">
        <f t="shared" si="786"/>
        <v>-1308.3899999999994</v>
      </c>
      <c r="M1249" s="178">
        <f>SUM(M1250:M1253)</f>
        <v>57191.61</v>
      </c>
      <c r="N1249" s="178">
        <f>SUM(N1250:N1253)</f>
        <v>60500</v>
      </c>
      <c r="O1249" s="178">
        <f>SUM(O1250:O1253)</f>
        <v>30559.77</v>
      </c>
      <c r="P1249" s="26">
        <f t="shared" si="808"/>
        <v>2200</v>
      </c>
      <c r="Q1249" s="178">
        <f t="shared" ref="Q1249:X1249" si="812">SUM(Q1250:Q1253)</f>
        <v>60500</v>
      </c>
      <c r="R1249" s="178">
        <f t="shared" si="812"/>
        <v>60500</v>
      </c>
      <c r="S1249" s="178">
        <f t="shared" si="812"/>
        <v>64000</v>
      </c>
      <c r="T1249" s="266">
        <f t="shared" si="812"/>
        <v>62700</v>
      </c>
      <c r="U1249" s="266">
        <f>SUM(U1250:U1253)</f>
        <v>60126.94</v>
      </c>
      <c r="V1249" s="178">
        <f t="shared" si="812"/>
        <v>63500</v>
      </c>
      <c r="W1249" s="178">
        <f t="shared" si="812"/>
        <v>63500</v>
      </c>
      <c r="X1249" s="178">
        <f t="shared" si="812"/>
        <v>61000</v>
      </c>
      <c r="Y1249" s="178">
        <f>SUM(Y1250:Y1253)</f>
        <v>12885</v>
      </c>
      <c r="Z1249" s="178">
        <f t="shared" si="801"/>
        <v>20.29</v>
      </c>
      <c r="AA1249" s="178">
        <f t="shared" si="789"/>
        <v>0</v>
      </c>
      <c r="AB1249" s="178">
        <f>SUM(AB1250:AB1253)</f>
        <v>63500</v>
      </c>
      <c r="AC1249" s="178">
        <f>SUM(AC1250:AC1253)</f>
        <v>31964</v>
      </c>
      <c r="AD1249" s="178">
        <f t="shared" si="774"/>
        <v>50.337007874015747</v>
      </c>
      <c r="AE1249" s="178">
        <f t="shared" si="782"/>
        <v>500</v>
      </c>
      <c r="AF1249" s="178">
        <f>SUM(AF1250:AF1253)</f>
        <v>64000</v>
      </c>
      <c r="AG1249" s="178">
        <f>SUM(AG1250:AG1253)</f>
        <v>67000</v>
      </c>
      <c r="AH1249" s="178">
        <f>SUM(AH1250:AH1253)</f>
        <v>67000</v>
      </c>
      <c r="AI1249" s="178">
        <f>SUM(AI1250:AI1253)</f>
        <v>67000</v>
      </c>
      <c r="AJ1249" s="162" t="b">
        <f t="shared" si="795"/>
        <v>1</v>
      </c>
      <c r="AK1249" s="162" t="str">
        <f t="shared" si="796"/>
        <v>PRAZNO</v>
      </c>
      <c r="AM1249" s="164"/>
    </row>
    <row r="1250" spans="2:39" ht="15.75" x14ac:dyDescent="0.2">
      <c r="B1250" s="177"/>
      <c r="C1250" s="177"/>
      <c r="D1250" s="177"/>
      <c r="E1250" s="177">
        <v>3211</v>
      </c>
      <c r="F1250" s="176">
        <v>11</v>
      </c>
      <c r="G1250" s="176" t="s">
        <v>537</v>
      </c>
      <c r="H1250" s="16" t="s">
        <v>565</v>
      </c>
      <c r="I1250" s="18">
        <v>35000</v>
      </c>
      <c r="J1250" s="178">
        <v>8281.9599999999991</v>
      </c>
      <c r="K1250" s="178">
        <f t="shared" si="781"/>
        <v>23.66</v>
      </c>
      <c r="L1250" s="178">
        <f t="shared" si="786"/>
        <v>-21072.59</v>
      </c>
      <c r="M1250" s="178">
        <v>13927.41</v>
      </c>
      <c r="N1250" s="178">
        <v>15000</v>
      </c>
      <c r="O1250" s="178">
        <v>7223.77</v>
      </c>
      <c r="P1250" s="26">
        <f t="shared" si="808"/>
        <v>0</v>
      </c>
      <c r="Q1250" s="178">
        <v>15000</v>
      </c>
      <c r="R1250" s="178">
        <v>15000</v>
      </c>
      <c r="S1250" s="178">
        <v>17000</v>
      </c>
      <c r="T1250" s="266">
        <v>15000</v>
      </c>
      <c r="U1250" s="266">
        <v>13683.44</v>
      </c>
      <c r="V1250" s="266">
        <v>15000</v>
      </c>
      <c r="W1250" s="266">
        <v>15000</v>
      </c>
      <c r="X1250" s="178">
        <v>16000</v>
      </c>
      <c r="Y1250" s="266">
        <v>3635</v>
      </c>
      <c r="Z1250" s="266">
        <f t="shared" si="801"/>
        <v>24.23</v>
      </c>
      <c r="AA1250" s="266">
        <f t="shared" si="789"/>
        <v>0</v>
      </c>
      <c r="AB1250" s="266">
        <v>15000</v>
      </c>
      <c r="AC1250" s="266">
        <v>7174</v>
      </c>
      <c r="AD1250" s="266">
        <f t="shared" si="774"/>
        <v>47.826666666666668</v>
      </c>
      <c r="AE1250" s="266">
        <f t="shared" si="782"/>
        <v>0</v>
      </c>
      <c r="AF1250" s="266">
        <v>15000</v>
      </c>
      <c r="AG1250" s="266">
        <v>16000</v>
      </c>
      <c r="AH1250" s="266">
        <v>16000</v>
      </c>
      <c r="AI1250" s="266">
        <v>16000</v>
      </c>
      <c r="AJ1250" s="162" t="b">
        <f t="shared" si="795"/>
        <v>0</v>
      </c>
      <c r="AK1250" s="162" t="str">
        <f t="shared" si="796"/>
        <v>PUNO</v>
      </c>
      <c r="AM1250" s="164"/>
    </row>
    <row r="1251" spans="2:39" ht="15.75" x14ac:dyDescent="0.2">
      <c r="B1251" s="177"/>
      <c r="C1251" s="177"/>
      <c r="D1251" s="177"/>
      <c r="E1251" s="177">
        <v>3212</v>
      </c>
      <c r="F1251" s="176">
        <v>11</v>
      </c>
      <c r="G1251" s="176" t="s">
        <v>537</v>
      </c>
      <c r="H1251" s="16" t="s">
        <v>220</v>
      </c>
      <c r="I1251" s="18">
        <v>19500</v>
      </c>
      <c r="J1251" s="178">
        <v>10760</v>
      </c>
      <c r="K1251" s="178">
        <f t="shared" si="781"/>
        <v>55.18</v>
      </c>
      <c r="L1251" s="178">
        <f t="shared" si="786"/>
        <v>-2910</v>
      </c>
      <c r="M1251" s="178">
        <f>15120+1470</f>
        <v>16590</v>
      </c>
      <c r="N1251" s="178">
        <v>17500</v>
      </c>
      <c r="O1251" s="178">
        <v>10142</v>
      </c>
      <c r="P1251" s="26">
        <f t="shared" si="808"/>
        <v>1200</v>
      </c>
      <c r="Q1251" s="178">
        <v>17500</v>
      </c>
      <c r="R1251" s="178">
        <v>17500</v>
      </c>
      <c r="S1251" s="178">
        <v>18000</v>
      </c>
      <c r="T1251" s="266">
        <v>18700</v>
      </c>
      <c r="U1251" s="266">
        <v>17864</v>
      </c>
      <c r="V1251" s="266">
        <v>18500</v>
      </c>
      <c r="W1251" s="266">
        <v>18500</v>
      </c>
      <c r="X1251" s="178">
        <v>17000</v>
      </c>
      <c r="Y1251" s="266">
        <v>4902</v>
      </c>
      <c r="Z1251" s="266">
        <f t="shared" si="801"/>
        <v>26.5</v>
      </c>
      <c r="AA1251" s="266">
        <f t="shared" si="789"/>
        <v>0</v>
      </c>
      <c r="AB1251" s="266">
        <v>18500</v>
      </c>
      <c r="AC1251" s="266">
        <v>10808</v>
      </c>
      <c r="AD1251" s="266">
        <f t="shared" ref="AD1251:AD1314" si="813">AC1251/AB1251*100</f>
        <v>58.421621621621625</v>
      </c>
      <c r="AE1251" s="266">
        <f t="shared" si="782"/>
        <v>500</v>
      </c>
      <c r="AF1251" s="266">
        <v>19000</v>
      </c>
      <c r="AG1251" s="266">
        <v>19000</v>
      </c>
      <c r="AH1251" s="266">
        <v>19000</v>
      </c>
      <c r="AI1251" s="266">
        <v>19000</v>
      </c>
      <c r="AJ1251" s="162" t="b">
        <f t="shared" si="795"/>
        <v>0</v>
      </c>
      <c r="AK1251" s="162" t="str">
        <f t="shared" si="796"/>
        <v>PUNO</v>
      </c>
      <c r="AM1251" s="164"/>
    </row>
    <row r="1252" spans="2:39" ht="15.75" x14ac:dyDescent="0.2">
      <c r="B1252" s="177"/>
      <c r="C1252" s="177"/>
      <c r="D1252" s="177"/>
      <c r="E1252" s="177">
        <v>3213</v>
      </c>
      <c r="F1252" s="176">
        <v>11</v>
      </c>
      <c r="G1252" s="176" t="s">
        <v>537</v>
      </c>
      <c r="H1252" s="16" t="s">
        <v>221</v>
      </c>
      <c r="I1252" s="18">
        <v>4000</v>
      </c>
      <c r="J1252" s="178">
        <v>0</v>
      </c>
      <c r="K1252" s="178">
        <f t="shared" si="781"/>
        <v>0</v>
      </c>
      <c r="L1252" s="178">
        <f t="shared" si="786"/>
        <v>142.19999999999982</v>
      </c>
      <c r="M1252" s="178">
        <v>4142.2</v>
      </c>
      <c r="N1252" s="178">
        <v>4000</v>
      </c>
      <c r="O1252" s="178">
        <v>0</v>
      </c>
      <c r="P1252" s="26">
        <f t="shared" si="808"/>
        <v>1000</v>
      </c>
      <c r="Q1252" s="178">
        <v>4000</v>
      </c>
      <c r="R1252" s="178">
        <v>4000</v>
      </c>
      <c r="S1252" s="178">
        <v>4000</v>
      </c>
      <c r="T1252" s="266">
        <v>5000</v>
      </c>
      <c r="U1252" s="266">
        <v>4711.5</v>
      </c>
      <c r="V1252" s="266">
        <v>5000</v>
      </c>
      <c r="W1252" s="266">
        <v>5000</v>
      </c>
      <c r="X1252" s="178">
        <v>4000</v>
      </c>
      <c r="Y1252" s="266">
        <v>0</v>
      </c>
      <c r="Z1252" s="266">
        <f t="shared" si="801"/>
        <v>0</v>
      </c>
      <c r="AA1252" s="266">
        <f t="shared" si="789"/>
        <v>0</v>
      </c>
      <c r="AB1252" s="266">
        <v>5000</v>
      </c>
      <c r="AC1252" s="266">
        <v>1274</v>
      </c>
      <c r="AD1252" s="266">
        <f t="shared" si="813"/>
        <v>25.480000000000004</v>
      </c>
      <c r="AE1252" s="266">
        <f t="shared" si="782"/>
        <v>0</v>
      </c>
      <c r="AF1252" s="266">
        <v>5000</v>
      </c>
      <c r="AG1252" s="266">
        <v>6000</v>
      </c>
      <c r="AH1252" s="266">
        <v>6000</v>
      </c>
      <c r="AI1252" s="266">
        <v>6000</v>
      </c>
      <c r="AJ1252" s="162" t="b">
        <f t="shared" si="795"/>
        <v>0</v>
      </c>
      <c r="AK1252" s="162" t="str">
        <f t="shared" si="796"/>
        <v>PUNO</v>
      </c>
      <c r="AM1252" s="164"/>
    </row>
    <row r="1253" spans="2:39" ht="15.75" x14ac:dyDescent="0.2">
      <c r="B1253" s="177"/>
      <c r="C1253" s="177"/>
      <c r="D1253" s="177"/>
      <c r="E1253" s="177">
        <v>3214</v>
      </c>
      <c r="F1253" s="176">
        <v>11</v>
      </c>
      <c r="G1253" s="176"/>
      <c r="H1253" s="16" t="s">
        <v>852</v>
      </c>
      <c r="I1253" s="18">
        <v>0</v>
      </c>
      <c r="J1253" s="178">
        <v>14228</v>
      </c>
      <c r="K1253" s="178" t="e">
        <f t="shared" si="781"/>
        <v>#DIV/0!</v>
      </c>
      <c r="L1253" s="178">
        <f t="shared" si="786"/>
        <v>22532</v>
      </c>
      <c r="M1253" s="178">
        <v>22532</v>
      </c>
      <c r="N1253" s="178">
        <v>24000</v>
      </c>
      <c r="O1253" s="178">
        <v>13194</v>
      </c>
      <c r="P1253" s="26">
        <f t="shared" si="808"/>
        <v>0</v>
      </c>
      <c r="Q1253" s="178">
        <v>24000</v>
      </c>
      <c r="R1253" s="178">
        <v>24000</v>
      </c>
      <c r="S1253" s="178">
        <v>25000</v>
      </c>
      <c r="T1253" s="266">
        <v>24000</v>
      </c>
      <c r="U1253" s="266">
        <v>23868</v>
      </c>
      <c r="V1253" s="266">
        <v>25000</v>
      </c>
      <c r="W1253" s="266">
        <v>25000</v>
      </c>
      <c r="X1253" s="178">
        <v>24000</v>
      </c>
      <c r="Y1253" s="266">
        <v>4348</v>
      </c>
      <c r="Z1253" s="266">
        <f t="shared" si="801"/>
        <v>17.39</v>
      </c>
      <c r="AA1253" s="266">
        <f t="shared" si="789"/>
        <v>0</v>
      </c>
      <c r="AB1253" s="266">
        <v>25000</v>
      </c>
      <c r="AC1253" s="266">
        <v>12708</v>
      </c>
      <c r="AD1253" s="266">
        <f t="shared" si="813"/>
        <v>50.832000000000001</v>
      </c>
      <c r="AE1253" s="266">
        <f t="shared" si="782"/>
        <v>0</v>
      </c>
      <c r="AF1253" s="266">
        <v>25000</v>
      </c>
      <c r="AG1253" s="266">
        <v>26000</v>
      </c>
      <c r="AH1253" s="266">
        <v>26000</v>
      </c>
      <c r="AI1253" s="266">
        <v>26000</v>
      </c>
      <c r="AJ1253" s="162" t="b">
        <f t="shared" si="795"/>
        <v>0</v>
      </c>
      <c r="AK1253" s="162" t="str">
        <f t="shared" si="796"/>
        <v>PUNO</v>
      </c>
      <c r="AM1253" s="164"/>
    </row>
    <row r="1254" spans="2:39" ht="15.75" x14ac:dyDescent="0.2">
      <c r="B1254" s="177"/>
      <c r="C1254" s="177"/>
      <c r="D1254" s="177">
        <v>322</v>
      </c>
      <c r="E1254" s="177"/>
      <c r="F1254" s="177"/>
      <c r="G1254" s="177"/>
      <c r="H1254" s="16" t="s">
        <v>547</v>
      </c>
      <c r="I1254" s="18">
        <f>SUM(I1255:I1259)</f>
        <v>47000</v>
      </c>
      <c r="J1254" s="18">
        <f>SUM(J1255:J1259)</f>
        <v>28742.43</v>
      </c>
      <c r="K1254" s="178">
        <f t="shared" si="781"/>
        <v>61.15</v>
      </c>
      <c r="L1254" s="18">
        <f t="shared" si="786"/>
        <v>8603.3099999999977</v>
      </c>
      <c r="M1254" s="18">
        <f>SUM(M1255:M1259)</f>
        <v>55603.31</v>
      </c>
      <c r="N1254" s="18">
        <f>SUM(N1255:N1259)</f>
        <v>58500</v>
      </c>
      <c r="O1254" s="18">
        <f>SUM(O1255:O1259)</f>
        <v>27101.050000000003</v>
      </c>
      <c r="P1254" s="26">
        <f t="shared" si="808"/>
        <v>21000</v>
      </c>
      <c r="Q1254" s="18">
        <f t="shared" ref="Q1254:X1254" si="814">SUM(Q1255:Q1259)</f>
        <v>58500</v>
      </c>
      <c r="R1254" s="18">
        <f t="shared" si="814"/>
        <v>59000</v>
      </c>
      <c r="S1254" s="18">
        <f t="shared" si="814"/>
        <v>61000</v>
      </c>
      <c r="T1254" s="27">
        <f t="shared" si="814"/>
        <v>79500</v>
      </c>
      <c r="U1254" s="27">
        <f>SUM(U1255:U1259)</f>
        <v>78904.569999999992</v>
      </c>
      <c r="V1254" s="18">
        <f t="shared" si="814"/>
        <v>68900</v>
      </c>
      <c r="W1254" s="18">
        <f t="shared" si="814"/>
        <v>68900</v>
      </c>
      <c r="X1254" s="18">
        <f t="shared" si="814"/>
        <v>61000</v>
      </c>
      <c r="Y1254" s="18">
        <f>SUM(Y1255:Y1259)</f>
        <v>15502.269999999999</v>
      </c>
      <c r="Z1254" s="18">
        <f t="shared" si="801"/>
        <v>22.5</v>
      </c>
      <c r="AA1254" s="18">
        <f t="shared" si="789"/>
        <v>0</v>
      </c>
      <c r="AB1254" s="18">
        <f>SUM(AB1255:AB1259)</f>
        <v>68900</v>
      </c>
      <c r="AC1254" s="18">
        <f>SUM(AC1255:AC1259)</f>
        <v>24441.159999999996</v>
      </c>
      <c r="AD1254" s="18">
        <f t="shared" si="813"/>
        <v>35.473381712626988</v>
      </c>
      <c r="AE1254" s="18">
        <f t="shared" si="782"/>
        <v>2000</v>
      </c>
      <c r="AF1254" s="18">
        <f>SUM(AF1255:AF1259)</f>
        <v>70900</v>
      </c>
      <c r="AG1254" s="18">
        <f>SUM(AG1255:AG1259)</f>
        <v>71000</v>
      </c>
      <c r="AH1254" s="18">
        <f>SUM(AH1255:AH1259)</f>
        <v>71000</v>
      </c>
      <c r="AI1254" s="18">
        <f>SUM(AI1255:AI1259)</f>
        <v>71000</v>
      </c>
      <c r="AJ1254" s="162" t="b">
        <f t="shared" si="795"/>
        <v>1</v>
      </c>
      <c r="AK1254" s="162" t="str">
        <f t="shared" si="796"/>
        <v>PRAZNO</v>
      </c>
      <c r="AM1254" s="164"/>
    </row>
    <row r="1255" spans="2:39" ht="15.75" x14ac:dyDescent="0.2">
      <c r="B1255" s="177"/>
      <c r="C1255" s="177"/>
      <c r="D1255" s="177"/>
      <c r="E1255" s="177">
        <v>3221</v>
      </c>
      <c r="F1255" s="176">
        <v>11</v>
      </c>
      <c r="G1255" s="176" t="s">
        <v>537</v>
      </c>
      <c r="H1255" s="16" t="s">
        <v>548</v>
      </c>
      <c r="I1255" s="18">
        <v>20000</v>
      </c>
      <c r="J1255" s="178">
        <v>11574.07</v>
      </c>
      <c r="K1255" s="178">
        <f t="shared" si="781"/>
        <v>57.87</v>
      </c>
      <c r="L1255" s="178">
        <f t="shared" si="786"/>
        <v>-787.97000000000116</v>
      </c>
      <c r="M1255" s="178">
        <f>17692.55+1519.48</f>
        <v>19212.03</v>
      </c>
      <c r="N1255" s="178">
        <v>20000</v>
      </c>
      <c r="O1255" s="178">
        <v>7664.8</v>
      </c>
      <c r="P1255" s="26">
        <f t="shared" si="808"/>
        <v>0</v>
      </c>
      <c r="Q1255" s="178">
        <v>20000</v>
      </c>
      <c r="R1255" s="178">
        <v>20000</v>
      </c>
      <c r="S1255" s="178">
        <v>20000</v>
      </c>
      <c r="T1255" s="266">
        <v>20000</v>
      </c>
      <c r="U1255" s="266">
        <v>20253.71</v>
      </c>
      <c r="V1255" s="266">
        <v>20000</v>
      </c>
      <c r="W1255" s="266">
        <v>20000</v>
      </c>
      <c r="X1255" s="266">
        <v>20000</v>
      </c>
      <c r="Y1255" s="266">
        <v>5653.62</v>
      </c>
      <c r="Z1255" s="266">
        <f t="shared" si="801"/>
        <v>28.27</v>
      </c>
      <c r="AA1255" s="266">
        <f t="shared" si="789"/>
        <v>0</v>
      </c>
      <c r="AB1255" s="266">
        <v>20000</v>
      </c>
      <c r="AC1255" s="266">
        <v>10884.72</v>
      </c>
      <c r="AD1255" s="266">
        <f t="shared" si="813"/>
        <v>54.423599999999993</v>
      </c>
      <c r="AE1255" s="266">
        <f t="shared" si="782"/>
        <v>0</v>
      </c>
      <c r="AF1255" s="266">
        <v>20000</v>
      </c>
      <c r="AG1255" s="266">
        <v>20000</v>
      </c>
      <c r="AH1255" s="266">
        <v>20000</v>
      </c>
      <c r="AI1255" s="266">
        <v>20000</v>
      </c>
      <c r="AJ1255" s="162" t="b">
        <f t="shared" si="795"/>
        <v>0</v>
      </c>
      <c r="AK1255" s="162" t="str">
        <f t="shared" si="796"/>
        <v>PUNO</v>
      </c>
      <c r="AM1255" s="164"/>
    </row>
    <row r="1256" spans="2:39" ht="15.75" x14ac:dyDescent="0.2">
      <c r="B1256" s="177"/>
      <c r="C1256" s="177"/>
      <c r="D1256" s="177"/>
      <c r="E1256" s="177">
        <v>3223</v>
      </c>
      <c r="F1256" s="176">
        <v>11</v>
      </c>
      <c r="G1256" s="176" t="s">
        <v>537</v>
      </c>
      <c r="H1256" s="16" t="s">
        <v>204</v>
      </c>
      <c r="I1256" s="18">
        <v>13000</v>
      </c>
      <c r="J1256" s="178">
        <v>10638.02</v>
      </c>
      <c r="K1256" s="178">
        <f t="shared" si="781"/>
        <v>81.83</v>
      </c>
      <c r="L1256" s="178">
        <f t="shared" si="786"/>
        <v>3339</v>
      </c>
      <c r="M1256" s="178">
        <f>15384.19+954.81</f>
        <v>16339</v>
      </c>
      <c r="N1256" s="178">
        <v>17000</v>
      </c>
      <c r="O1256" s="178">
        <v>9494.42</v>
      </c>
      <c r="P1256" s="26">
        <f t="shared" si="808"/>
        <v>1000</v>
      </c>
      <c r="Q1256" s="178">
        <v>17000</v>
      </c>
      <c r="R1256" s="178">
        <v>17500</v>
      </c>
      <c r="S1256" s="178">
        <v>18000</v>
      </c>
      <c r="T1256" s="266">
        <v>18000</v>
      </c>
      <c r="U1256" s="266">
        <v>18478.240000000002</v>
      </c>
      <c r="V1256" s="266">
        <v>18000</v>
      </c>
      <c r="W1256" s="266">
        <v>18000</v>
      </c>
      <c r="X1256" s="266">
        <v>18000</v>
      </c>
      <c r="Y1256" s="266">
        <v>7312.19</v>
      </c>
      <c r="Z1256" s="266">
        <f t="shared" si="801"/>
        <v>40.619999999999997</v>
      </c>
      <c r="AA1256" s="266">
        <f t="shared" si="789"/>
        <v>0</v>
      </c>
      <c r="AB1256" s="266">
        <v>18000</v>
      </c>
      <c r="AC1256" s="266">
        <v>10574.98</v>
      </c>
      <c r="AD1256" s="266">
        <f t="shared" si="813"/>
        <v>58.74988888888889</v>
      </c>
      <c r="AE1256" s="266">
        <f t="shared" si="782"/>
        <v>2000</v>
      </c>
      <c r="AF1256" s="266">
        <v>20000</v>
      </c>
      <c r="AG1256" s="266">
        <v>20000</v>
      </c>
      <c r="AH1256" s="266">
        <v>20000</v>
      </c>
      <c r="AI1256" s="266">
        <v>20000</v>
      </c>
      <c r="AJ1256" s="162" t="b">
        <f t="shared" si="795"/>
        <v>0</v>
      </c>
      <c r="AK1256" s="162" t="str">
        <f t="shared" si="796"/>
        <v>PUNO</v>
      </c>
      <c r="AM1256" s="164"/>
    </row>
    <row r="1257" spans="2:39" ht="18" customHeight="1" x14ac:dyDescent="0.2">
      <c r="B1257" s="177"/>
      <c r="C1257" s="177"/>
      <c r="D1257" s="177"/>
      <c r="E1257" s="177">
        <v>3224</v>
      </c>
      <c r="F1257" s="176">
        <v>11</v>
      </c>
      <c r="G1257" s="176" t="s">
        <v>537</v>
      </c>
      <c r="H1257" s="16" t="s">
        <v>853</v>
      </c>
      <c r="I1257" s="18">
        <v>10000</v>
      </c>
      <c r="J1257" s="178">
        <v>6530.34</v>
      </c>
      <c r="K1257" s="178">
        <f t="shared" si="781"/>
        <v>65.3</v>
      </c>
      <c r="L1257" s="178">
        <f t="shared" si="786"/>
        <v>1333.0599999999995</v>
      </c>
      <c r="M1257" s="178">
        <v>11333.06</v>
      </c>
      <c r="N1257" s="178">
        <v>13000</v>
      </c>
      <c r="O1257" s="178">
        <v>9941.83</v>
      </c>
      <c r="P1257" s="26">
        <f t="shared" si="808"/>
        <v>15000</v>
      </c>
      <c r="Q1257" s="178">
        <v>13000</v>
      </c>
      <c r="R1257" s="178">
        <v>13000</v>
      </c>
      <c r="S1257" s="178">
        <v>14000</v>
      </c>
      <c r="T1257" s="266">
        <v>28000</v>
      </c>
      <c r="U1257" s="266">
        <v>23083.71</v>
      </c>
      <c r="V1257" s="266">
        <v>18000</v>
      </c>
      <c r="W1257" s="266">
        <v>18000</v>
      </c>
      <c r="X1257" s="178">
        <v>14000</v>
      </c>
      <c r="Y1257" s="266">
        <v>2311.5</v>
      </c>
      <c r="Z1257" s="266">
        <f t="shared" si="801"/>
        <v>12.84</v>
      </c>
      <c r="AA1257" s="266">
        <f t="shared" si="789"/>
        <v>0</v>
      </c>
      <c r="AB1257" s="266">
        <v>18000</v>
      </c>
      <c r="AC1257" s="266">
        <v>2756.5</v>
      </c>
      <c r="AD1257" s="266">
        <f t="shared" si="813"/>
        <v>15.313888888888888</v>
      </c>
      <c r="AE1257" s="266">
        <f t="shared" si="782"/>
        <v>0</v>
      </c>
      <c r="AF1257" s="266">
        <v>18000</v>
      </c>
      <c r="AG1257" s="266">
        <v>18000</v>
      </c>
      <c r="AH1257" s="266">
        <v>18000</v>
      </c>
      <c r="AI1257" s="266">
        <v>18000</v>
      </c>
      <c r="AJ1257" s="162" t="b">
        <f t="shared" si="795"/>
        <v>0</v>
      </c>
      <c r="AK1257" s="162" t="str">
        <f t="shared" si="796"/>
        <v>PUNO</v>
      </c>
      <c r="AM1257" s="164"/>
    </row>
    <row r="1258" spans="2:39" ht="15.75" x14ac:dyDescent="0.2">
      <c r="B1258" s="177"/>
      <c r="C1258" s="177"/>
      <c r="D1258" s="177"/>
      <c r="E1258" s="177">
        <v>3225</v>
      </c>
      <c r="F1258" s="176">
        <v>11</v>
      </c>
      <c r="G1258" s="176" t="s">
        <v>537</v>
      </c>
      <c r="H1258" s="16" t="s">
        <v>642</v>
      </c>
      <c r="I1258" s="18">
        <v>4000</v>
      </c>
      <c r="J1258" s="178">
        <v>0</v>
      </c>
      <c r="K1258" s="178">
        <f t="shared" si="781"/>
        <v>0</v>
      </c>
      <c r="L1258" s="178">
        <f t="shared" si="786"/>
        <v>2069.62</v>
      </c>
      <c r="M1258" s="178">
        <v>6069.62</v>
      </c>
      <c r="N1258" s="178">
        <v>5000</v>
      </c>
      <c r="O1258" s="178">
        <v>0</v>
      </c>
      <c r="P1258" s="26">
        <f t="shared" si="808"/>
        <v>5000</v>
      </c>
      <c r="Q1258" s="178">
        <v>5000</v>
      </c>
      <c r="R1258" s="178">
        <v>5000</v>
      </c>
      <c r="S1258" s="178">
        <v>5000</v>
      </c>
      <c r="T1258" s="266">
        <v>10000</v>
      </c>
      <c r="U1258" s="266">
        <v>13670.71</v>
      </c>
      <c r="V1258" s="266">
        <v>8400</v>
      </c>
      <c r="W1258" s="266">
        <v>8400</v>
      </c>
      <c r="X1258" s="178">
        <v>5000</v>
      </c>
      <c r="Y1258" s="266">
        <v>224.96</v>
      </c>
      <c r="Z1258" s="266">
        <f t="shared" si="801"/>
        <v>2.68</v>
      </c>
      <c r="AA1258" s="266">
        <f t="shared" si="789"/>
        <v>0</v>
      </c>
      <c r="AB1258" s="266">
        <v>8400</v>
      </c>
      <c r="AC1258" s="266">
        <v>224.96</v>
      </c>
      <c r="AD1258" s="266">
        <f t="shared" si="813"/>
        <v>2.6780952380952381</v>
      </c>
      <c r="AE1258" s="266">
        <f t="shared" si="782"/>
        <v>0</v>
      </c>
      <c r="AF1258" s="266">
        <v>8400</v>
      </c>
      <c r="AG1258" s="266">
        <v>8400</v>
      </c>
      <c r="AH1258" s="266">
        <v>8400</v>
      </c>
      <c r="AI1258" s="266">
        <v>8400</v>
      </c>
      <c r="AJ1258" s="162" t="b">
        <f t="shared" si="795"/>
        <v>0</v>
      </c>
      <c r="AK1258" s="162" t="str">
        <f t="shared" si="796"/>
        <v>PUNO</v>
      </c>
      <c r="AM1258" s="164"/>
    </row>
    <row r="1259" spans="2:39" ht="15.75" x14ac:dyDescent="0.2">
      <c r="B1259" s="177"/>
      <c r="C1259" s="177"/>
      <c r="D1259" s="177"/>
      <c r="E1259" s="177">
        <v>3227</v>
      </c>
      <c r="F1259" s="176">
        <v>11</v>
      </c>
      <c r="G1259" s="176"/>
      <c r="H1259" s="16" t="s">
        <v>845</v>
      </c>
      <c r="I1259" s="18">
        <v>0</v>
      </c>
      <c r="J1259" s="178">
        <v>0</v>
      </c>
      <c r="K1259" s="178" t="e">
        <f t="shared" si="781"/>
        <v>#DIV/0!</v>
      </c>
      <c r="L1259" s="178">
        <f t="shared" si="786"/>
        <v>2649.6</v>
      </c>
      <c r="M1259" s="178">
        <v>2649.6</v>
      </c>
      <c r="N1259" s="178">
        <v>3500</v>
      </c>
      <c r="O1259" s="178">
        <v>0</v>
      </c>
      <c r="P1259" s="26">
        <f t="shared" si="808"/>
        <v>0</v>
      </c>
      <c r="Q1259" s="178">
        <v>3500</v>
      </c>
      <c r="R1259" s="178">
        <v>3500</v>
      </c>
      <c r="S1259" s="178">
        <v>4000</v>
      </c>
      <c r="T1259" s="266">
        <v>3500</v>
      </c>
      <c r="U1259" s="266">
        <v>3418.2</v>
      </c>
      <c r="V1259" s="266">
        <v>4500</v>
      </c>
      <c r="W1259" s="266">
        <v>4500</v>
      </c>
      <c r="X1259" s="178">
        <v>4000</v>
      </c>
      <c r="Y1259" s="266">
        <v>0</v>
      </c>
      <c r="Z1259" s="266">
        <f t="shared" si="801"/>
        <v>0</v>
      </c>
      <c r="AA1259" s="266">
        <f t="shared" si="789"/>
        <v>0</v>
      </c>
      <c r="AB1259" s="266">
        <v>4500</v>
      </c>
      <c r="AC1259" s="266">
        <v>0</v>
      </c>
      <c r="AD1259" s="266">
        <f t="shared" si="813"/>
        <v>0</v>
      </c>
      <c r="AE1259" s="266">
        <f t="shared" si="782"/>
        <v>0</v>
      </c>
      <c r="AF1259" s="266">
        <v>4500</v>
      </c>
      <c r="AG1259" s="266">
        <v>4600</v>
      </c>
      <c r="AH1259" s="266">
        <v>4600</v>
      </c>
      <c r="AI1259" s="266">
        <v>4600</v>
      </c>
      <c r="AJ1259" s="162" t="b">
        <f t="shared" si="795"/>
        <v>0</v>
      </c>
      <c r="AK1259" s="162" t="str">
        <f t="shared" si="796"/>
        <v>PUNO</v>
      </c>
      <c r="AM1259" s="164"/>
    </row>
    <row r="1260" spans="2:39" ht="15.75" x14ac:dyDescent="0.2">
      <c r="B1260" s="177"/>
      <c r="C1260" s="177"/>
      <c r="D1260" s="177">
        <v>323</v>
      </c>
      <c r="E1260" s="177"/>
      <c r="F1260" s="177"/>
      <c r="G1260" s="177"/>
      <c r="H1260" s="16" t="s">
        <v>526</v>
      </c>
      <c r="I1260" s="18">
        <f>SUM(I1261:I1267)</f>
        <v>230000</v>
      </c>
      <c r="J1260" s="178">
        <f>SUM(J1261:J1267)</f>
        <v>168374.04</v>
      </c>
      <c r="K1260" s="178">
        <f t="shared" si="781"/>
        <v>73.209999999999994</v>
      </c>
      <c r="L1260" s="178">
        <f t="shared" si="786"/>
        <v>30015.070000000007</v>
      </c>
      <c r="M1260" s="178">
        <f>SUM(M1261:M1267)</f>
        <v>260015.07</v>
      </c>
      <c r="N1260" s="178">
        <f>SUM(N1261:N1267)</f>
        <v>251000</v>
      </c>
      <c r="O1260" s="178">
        <f>SUM(O1261:O1267)</f>
        <v>65005.549999999996</v>
      </c>
      <c r="P1260" s="26">
        <f t="shared" si="808"/>
        <v>-14450</v>
      </c>
      <c r="Q1260" s="178">
        <f t="shared" ref="Q1260:X1260" si="815">SUM(Q1261:Q1267)</f>
        <v>251000</v>
      </c>
      <c r="R1260" s="178">
        <f t="shared" si="815"/>
        <v>252500</v>
      </c>
      <c r="S1260" s="178">
        <f t="shared" si="815"/>
        <v>261000</v>
      </c>
      <c r="T1260" s="266">
        <f t="shared" si="815"/>
        <v>236550</v>
      </c>
      <c r="U1260" s="266">
        <f>SUM(U1261:U1267)</f>
        <v>235419.96</v>
      </c>
      <c r="V1260" s="178">
        <f t="shared" si="815"/>
        <v>223000</v>
      </c>
      <c r="W1260" s="178">
        <f t="shared" si="815"/>
        <v>223000</v>
      </c>
      <c r="X1260" s="178">
        <f t="shared" si="815"/>
        <v>259605</v>
      </c>
      <c r="Y1260" s="178">
        <f>SUM(Y1261:Y1267)</f>
        <v>44372.94</v>
      </c>
      <c r="Z1260" s="178">
        <f t="shared" si="801"/>
        <v>19.899999999999999</v>
      </c>
      <c r="AA1260" s="178">
        <f t="shared" si="789"/>
        <v>0</v>
      </c>
      <c r="AB1260" s="178">
        <f>SUM(AB1261:AB1267)</f>
        <v>223000</v>
      </c>
      <c r="AC1260" s="178">
        <f>SUM(AC1261:AC1267)</f>
        <v>86483.15</v>
      </c>
      <c r="AD1260" s="178">
        <f t="shared" si="813"/>
        <v>38.781681614349772</v>
      </c>
      <c r="AE1260" s="178">
        <f t="shared" si="782"/>
        <v>0</v>
      </c>
      <c r="AF1260" s="178">
        <f>SUM(AF1261:AF1267)</f>
        <v>223000</v>
      </c>
      <c r="AG1260" s="178">
        <f>SUM(AG1261:AG1267)</f>
        <v>231000</v>
      </c>
      <c r="AH1260" s="178">
        <f>SUM(AH1261:AH1267)</f>
        <v>241000</v>
      </c>
      <c r="AI1260" s="178">
        <f>SUM(AI1261:AI1267)</f>
        <v>253000</v>
      </c>
      <c r="AJ1260" s="162" t="b">
        <f t="shared" si="795"/>
        <v>1</v>
      </c>
      <c r="AK1260" s="162" t="str">
        <f t="shared" si="796"/>
        <v>PRAZNO</v>
      </c>
      <c r="AM1260" s="164"/>
    </row>
    <row r="1261" spans="2:39" ht="15.75" x14ac:dyDescent="0.2">
      <c r="B1261" s="177"/>
      <c r="C1261" s="177"/>
      <c r="D1261" s="177"/>
      <c r="E1261" s="177">
        <v>3231</v>
      </c>
      <c r="F1261" s="176">
        <v>11</v>
      </c>
      <c r="G1261" s="176" t="s">
        <v>537</v>
      </c>
      <c r="H1261" s="16" t="s">
        <v>206</v>
      </c>
      <c r="I1261" s="18">
        <v>20000</v>
      </c>
      <c r="J1261" s="178">
        <v>9943.75</v>
      </c>
      <c r="K1261" s="178">
        <f t="shared" ref="K1261:K1319" si="816">ROUND(J1261/I1261*100,2)</f>
        <v>49.72</v>
      </c>
      <c r="L1261" s="178">
        <f t="shared" si="786"/>
        <v>-809.68000000000029</v>
      </c>
      <c r="M1261" s="178">
        <v>19190.32</v>
      </c>
      <c r="N1261" s="178">
        <v>18000</v>
      </c>
      <c r="O1261" s="178">
        <v>11446.03</v>
      </c>
      <c r="P1261" s="26">
        <f t="shared" si="808"/>
        <v>2000</v>
      </c>
      <c r="Q1261" s="178">
        <v>18000</v>
      </c>
      <c r="R1261" s="178">
        <v>18000</v>
      </c>
      <c r="S1261" s="178">
        <v>19000</v>
      </c>
      <c r="T1261" s="266">
        <v>20000</v>
      </c>
      <c r="U1261" s="266">
        <v>18568.29</v>
      </c>
      <c r="V1261" s="266">
        <v>20000</v>
      </c>
      <c r="W1261" s="266">
        <v>20000</v>
      </c>
      <c r="X1261" s="178">
        <v>19000</v>
      </c>
      <c r="Y1261" s="266">
        <v>5407.26</v>
      </c>
      <c r="Z1261" s="266">
        <f t="shared" si="801"/>
        <v>27.04</v>
      </c>
      <c r="AA1261" s="266">
        <f t="shared" si="789"/>
        <v>0</v>
      </c>
      <c r="AB1261" s="266">
        <v>20000</v>
      </c>
      <c r="AC1261" s="266">
        <v>10781.63</v>
      </c>
      <c r="AD1261" s="266">
        <f t="shared" si="813"/>
        <v>53.908149999999999</v>
      </c>
      <c r="AE1261" s="266">
        <f t="shared" si="782"/>
        <v>0</v>
      </c>
      <c r="AF1261" s="266">
        <v>20000</v>
      </c>
      <c r="AG1261" s="266">
        <v>20000</v>
      </c>
      <c r="AH1261" s="266">
        <v>20000</v>
      </c>
      <c r="AI1261" s="266">
        <v>20000</v>
      </c>
      <c r="AJ1261" s="162" t="b">
        <f t="shared" si="795"/>
        <v>0</v>
      </c>
      <c r="AK1261" s="162" t="str">
        <f t="shared" si="796"/>
        <v>PUNO</v>
      </c>
      <c r="AM1261" s="164"/>
    </row>
    <row r="1262" spans="2:39" ht="15.75" x14ac:dyDescent="0.2">
      <c r="B1262" s="177"/>
      <c r="C1262" s="177"/>
      <c r="D1262" s="177"/>
      <c r="E1262" s="177">
        <v>3232</v>
      </c>
      <c r="F1262" s="176">
        <v>11</v>
      </c>
      <c r="G1262" s="176" t="s">
        <v>537</v>
      </c>
      <c r="H1262" s="16" t="s">
        <v>207</v>
      </c>
      <c r="I1262" s="18">
        <v>10000</v>
      </c>
      <c r="J1262" s="178">
        <v>1399.31</v>
      </c>
      <c r="K1262" s="178">
        <f t="shared" si="816"/>
        <v>13.99</v>
      </c>
      <c r="L1262" s="178">
        <f t="shared" si="786"/>
        <v>-186.67000000000007</v>
      </c>
      <c r="M1262" s="178">
        <f>3412.63+6400.7</f>
        <v>9813.33</v>
      </c>
      <c r="N1262" s="178">
        <v>10000</v>
      </c>
      <c r="O1262" s="178">
        <v>8713.9699999999993</v>
      </c>
      <c r="P1262" s="26">
        <f t="shared" si="808"/>
        <v>10000</v>
      </c>
      <c r="Q1262" s="178">
        <v>10000</v>
      </c>
      <c r="R1262" s="178">
        <v>10000</v>
      </c>
      <c r="S1262" s="178">
        <v>11000</v>
      </c>
      <c r="T1262" s="266">
        <v>20000</v>
      </c>
      <c r="U1262" s="266">
        <v>26960.68</v>
      </c>
      <c r="V1262" s="266">
        <v>17000</v>
      </c>
      <c r="W1262" s="266">
        <v>17000</v>
      </c>
      <c r="X1262" s="178">
        <v>11000</v>
      </c>
      <c r="Y1262" s="266">
        <v>634.41</v>
      </c>
      <c r="Z1262" s="266">
        <f t="shared" si="801"/>
        <v>3.73</v>
      </c>
      <c r="AA1262" s="266">
        <f t="shared" si="789"/>
        <v>0</v>
      </c>
      <c r="AB1262" s="266">
        <v>17000</v>
      </c>
      <c r="AC1262" s="266">
        <v>1424.41</v>
      </c>
      <c r="AD1262" s="266">
        <f t="shared" si="813"/>
        <v>8.3788823529411758</v>
      </c>
      <c r="AE1262" s="266">
        <f t="shared" si="782"/>
        <v>0</v>
      </c>
      <c r="AF1262" s="266">
        <v>17000</v>
      </c>
      <c r="AG1262" s="266">
        <v>20000</v>
      </c>
      <c r="AH1262" s="266">
        <v>20000</v>
      </c>
      <c r="AI1262" s="178">
        <v>22000</v>
      </c>
      <c r="AJ1262" s="162" t="b">
        <f t="shared" si="795"/>
        <v>0</v>
      </c>
      <c r="AK1262" s="162" t="str">
        <f t="shared" si="796"/>
        <v>PUNO</v>
      </c>
      <c r="AM1262" s="164"/>
    </row>
    <row r="1263" spans="2:39" ht="15.75" x14ac:dyDescent="0.2">
      <c r="B1263" s="177"/>
      <c r="C1263" s="177"/>
      <c r="D1263" s="177"/>
      <c r="E1263" s="177">
        <v>3233</v>
      </c>
      <c r="F1263" s="176">
        <v>11</v>
      </c>
      <c r="G1263" s="176" t="s">
        <v>537</v>
      </c>
      <c r="H1263" s="16" t="s">
        <v>528</v>
      </c>
      <c r="I1263" s="18">
        <v>20000</v>
      </c>
      <c r="J1263" s="178">
        <v>17548.05</v>
      </c>
      <c r="K1263" s="178">
        <f t="shared" si="816"/>
        <v>87.74</v>
      </c>
      <c r="L1263" s="178">
        <f t="shared" si="786"/>
        <v>9805.0400000000009</v>
      </c>
      <c r="M1263" s="178">
        <f>24759.94+5045.1</f>
        <v>29805.040000000001</v>
      </c>
      <c r="N1263" s="178">
        <v>28000</v>
      </c>
      <c r="O1263" s="178">
        <v>1803.1</v>
      </c>
      <c r="P1263" s="26">
        <f t="shared" si="808"/>
        <v>0</v>
      </c>
      <c r="Q1263" s="178">
        <v>28000</v>
      </c>
      <c r="R1263" s="178">
        <v>28000</v>
      </c>
      <c r="S1263" s="178">
        <v>29000</v>
      </c>
      <c r="T1263" s="266">
        <v>28000</v>
      </c>
      <c r="U1263" s="266">
        <v>27935.64</v>
      </c>
      <c r="V1263" s="266">
        <v>25000</v>
      </c>
      <c r="W1263" s="266">
        <v>25000</v>
      </c>
      <c r="X1263" s="178">
        <v>29000</v>
      </c>
      <c r="Y1263" s="266">
        <v>4372.05</v>
      </c>
      <c r="Z1263" s="266">
        <f t="shared" si="801"/>
        <v>17.489999999999998</v>
      </c>
      <c r="AA1263" s="266">
        <f t="shared" si="789"/>
        <v>0</v>
      </c>
      <c r="AB1263" s="266">
        <v>25000</v>
      </c>
      <c r="AC1263" s="266">
        <v>5161.5</v>
      </c>
      <c r="AD1263" s="266">
        <f t="shared" si="813"/>
        <v>20.646000000000001</v>
      </c>
      <c r="AE1263" s="266">
        <f t="shared" si="782"/>
        <v>0</v>
      </c>
      <c r="AF1263" s="266">
        <v>25000</v>
      </c>
      <c r="AG1263" s="266">
        <v>25000</v>
      </c>
      <c r="AH1263" s="266">
        <v>25000</v>
      </c>
      <c r="AI1263" s="178">
        <v>25000</v>
      </c>
      <c r="AJ1263" s="162" t="b">
        <f t="shared" si="795"/>
        <v>0</v>
      </c>
      <c r="AK1263" s="162" t="str">
        <f t="shared" si="796"/>
        <v>PUNO</v>
      </c>
      <c r="AM1263" s="164"/>
    </row>
    <row r="1264" spans="2:39" ht="15.75" x14ac:dyDescent="0.2">
      <c r="B1264" s="177"/>
      <c r="C1264" s="177"/>
      <c r="D1264" s="177"/>
      <c r="E1264" s="177">
        <v>3234</v>
      </c>
      <c r="F1264" s="176">
        <v>11</v>
      </c>
      <c r="G1264" s="176" t="s">
        <v>537</v>
      </c>
      <c r="H1264" s="16" t="s">
        <v>238</v>
      </c>
      <c r="I1264" s="18">
        <v>130000</v>
      </c>
      <c r="J1264" s="178">
        <v>113813.15</v>
      </c>
      <c r="K1264" s="178">
        <f t="shared" si="816"/>
        <v>87.55</v>
      </c>
      <c r="L1264" s="178">
        <f t="shared" si="786"/>
        <v>11898.920000000013</v>
      </c>
      <c r="M1264" s="178">
        <f>139051.04+2847.88</f>
        <v>141898.92000000001</v>
      </c>
      <c r="N1264" s="178">
        <v>137000</v>
      </c>
      <c r="O1264" s="178">
        <v>23688.85</v>
      </c>
      <c r="P1264" s="26">
        <f t="shared" si="808"/>
        <v>-37000</v>
      </c>
      <c r="Q1264" s="178">
        <v>137000</v>
      </c>
      <c r="R1264" s="178">
        <v>138500</v>
      </c>
      <c r="S1264" s="178">
        <v>142000</v>
      </c>
      <c r="T1264" s="266">
        <v>100000</v>
      </c>
      <c r="U1264" s="266">
        <v>99898.87</v>
      </c>
      <c r="V1264" s="266">
        <v>100000</v>
      </c>
      <c r="W1264" s="266">
        <v>100000</v>
      </c>
      <c r="X1264" s="178">
        <v>139605</v>
      </c>
      <c r="Y1264" s="266">
        <v>22458.27</v>
      </c>
      <c r="Z1264" s="266">
        <f t="shared" si="801"/>
        <v>22.46</v>
      </c>
      <c r="AA1264" s="266">
        <f t="shared" si="789"/>
        <v>0</v>
      </c>
      <c r="AB1264" s="266">
        <v>100000</v>
      </c>
      <c r="AC1264" s="266">
        <v>41137.06</v>
      </c>
      <c r="AD1264" s="266">
        <f t="shared" si="813"/>
        <v>41.137059999999998</v>
      </c>
      <c r="AE1264" s="266">
        <f t="shared" ref="AE1264:AE1327" si="817">AF1264-AB1264</f>
        <v>0</v>
      </c>
      <c r="AF1264" s="266">
        <v>100000</v>
      </c>
      <c r="AG1264" s="266">
        <v>100000</v>
      </c>
      <c r="AH1264" s="266">
        <v>110000</v>
      </c>
      <c r="AI1264" s="266">
        <v>120000</v>
      </c>
      <c r="AJ1264" s="162" t="b">
        <f t="shared" si="795"/>
        <v>0</v>
      </c>
      <c r="AK1264" s="162" t="str">
        <f t="shared" si="796"/>
        <v>PUNO</v>
      </c>
      <c r="AM1264" s="164"/>
    </row>
    <row r="1265" spans="1:39" ht="15.75" x14ac:dyDescent="0.2">
      <c r="B1265" s="177"/>
      <c r="C1265" s="177"/>
      <c r="D1265" s="177"/>
      <c r="E1265" s="177">
        <v>3235</v>
      </c>
      <c r="F1265" s="176">
        <v>11</v>
      </c>
      <c r="G1265" s="176"/>
      <c r="H1265" s="16" t="s">
        <v>640</v>
      </c>
      <c r="I1265" s="18"/>
      <c r="J1265" s="178"/>
      <c r="K1265" s="178"/>
      <c r="L1265" s="178"/>
      <c r="M1265" s="178"/>
      <c r="N1265" s="178">
        <v>0</v>
      </c>
      <c r="O1265" s="178"/>
      <c r="P1265" s="26">
        <f t="shared" si="808"/>
        <v>550</v>
      </c>
      <c r="Q1265" s="178"/>
      <c r="R1265" s="178"/>
      <c r="S1265" s="178"/>
      <c r="T1265" s="266">
        <v>550</v>
      </c>
      <c r="U1265" s="266">
        <v>431.07</v>
      </c>
      <c r="V1265" s="266">
        <v>1000</v>
      </c>
      <c r="W1265" s="266">
        <v>1000</v>
      </c>
      <c r="X1265" s="266">
        <v>1000</v>
      </c>
      <c r="Y1265" s="266">
        <v>234.45</v>
      </c>
      <c r="Z1265" s="266">
        <f t="shared" si="801"/>
        <v>23.45</v>
      </c>
      <c r="AA1265" s="266">
        <f t="shared" si="789"/>
        <v>0</v>
      </c>
      <c r="AB1265" s="266">
        <v>1000</v>
      </c>
      <c r="AC1265" s="266">
        <v>547.04999999999995</v>
      </c>
      <c r="AD1265" s="266">
        <f t="shared" si="813"/>
        <v>54.704999999999991</v>
      </c>
      <c r="AE1265" s="266">
        <f t="shared" si="817"/>
        <v>0</v>
      </c>
      <c r="AF1265" s="266">
        <v>1000</v>
      </c>
      <c r="AG1265" s="266">
        <v>1000</v>
      </c>
      <c r="AH1265" s="266">
        <v>1000</v>
      </c>
      <c r="AI1265" s="178">
        <v>1000</v>
      </c>
      <c r="AJ1265" s="162" t="b">
        <f t="shared" si="795"/>
        <v>0</v>
      </c>
      <c r="AK1265" s="162" t="str">
        <f t="shared" si="796"/>
        <v>PUNO</v>
      </c>
      <c r="AM1265" s="164"/>
    </row>
    <row r="1266" spans="1:39" ht="15.75" x14ac:dyDescent="0.2">
      <c r="B1266" s="177"/>
      <c r="C1266" s="177"/>
      <c r="D1266" s="177"/>
      <c r="E1266" s="177">
        <v>3237</v>
      </c>
      <c r="F1266" s="176">
        <v>11</v>
      </c>
      <c r="G1266" s="176" t="s">
        <v>537</v>
      </c>
      <c r="H1266" s="16" t="s">
        <v>566</v>
      </c>
      <c r="I1266" s="18">
        <v>40000</v>
      </c>
      <c r="J1266" s="178">
        <v>20892.77</v>
      </c>
      <c r="K1266" s="178">
        <f t="shared" si="816"/>
        <v>52.23</v>
      </c>
      <c r="L1266" s="178">
        <f t="shared" si="786"/>
        <v>9447.2099999999991</v>
      </c>
      <c r="M1266" s="178">
        <v>49447.21</v>
      </c>
      <c r="N1266" s="178">
        <v>48000</v>
      </c>
      <c r="O1266" s="178">
        <v>15105.5</v>
      </c>
      <c r="P1266" s="26">
        <f t="shared" si="808"/>
        <v>0</v>
      </c>
      <c r="Q1266" s="178">
        <v>48000</v>
      </c>
      <c r="R1266" s="178">
        <v>48000</v>
      </c>
      <c r="S1266" s="178">
        <v>50000</v>
      </c>
      <c r="T1266" s="266">
        <v>48000</v>
      </c>
      <c r="U1266" s="266">
        <v>47779.74</v>
      </c>
      <c r="V1266" s="266">
        <v>40000</v>
      </c>
      <c r="W1266" s="266">
        <v>40000</v>
      </c>
      <c r="X1266" s="178">
        <v>50000</v>
      </c>
      <c r="Y1266" s="266">
        <v>8716.5</v>
      </c>
      <c r="Z1266" s="266">
        <f t="shared" si="801"/>
        <v>21.79</v>
      </c>
      <c r="AA1266" s="266">
        <f t="shared" si="789"/>
        <v>0</v>
      </c>
      <c r="AB1266" s="266">
        <v>40000</v>
      </c>
      <c r="AC1266" s="266">
        <v>23216.5</v>
      </c>
      <c r="AD1266" s="266">
        <f t="shared" si="813"/>
        <v>58.041249999999998</v>
      </c>
      <c r="AE1266" s="266">
        <f t="shared" si="817"/>
        <v>0</v>
      </c>
      <c r="AF1266" s="266">
        <v>40000</v>
      </c>
      <c r="AG1266" s="266">
        <v>45000</v>
      </c>
      <c r="AH1266" s="266">
        <v>45000</v>
      </c>
      <c r="AI1266" s="266">
        <v>45000</v>
      </c>
      <c r="AJ1266" s="162" t="b">
        <f t="shared" si="795"/>
        <v>0</v>
      </c>
      <c r="AK1266" s="162" t="str">
        <f t="shared" si="796"/>
        <v>PUNO</v>
      </c>
      <c r="AM1266" s="164"/>
    </row>
    <row r="1267" spans="1:39" ht="15.75" x14ac:dyDescent="0.2">
      <c r="B1267" s="177"/>
      <c r="C1267" s="177"/>
      <c r="D1267" s="177"/>
      <c r="E1267" s="177">
        <v>3239</v>
      </c>
      <c r="F1267" s="176">
        <v>11</v>
      </c>
      <c r="G1267" s="176" t="s">
        <v>537</v>
      </c>
      <c r="H1267" s="16" t="s">
        <v>529</v>
      </c>
      <c r="I1267" s="18">
        <v>10000</v>
      </c>
      <c r="J1267" s="178">
        <v>4777.01</v>
      </c>
      <c r="K1267" s="178">
        <f t="shared" si="816"/>
        <v>47.77</v>
      </c>
      <c r="L1267" s="178">
        <f t="shared" si="786"/>
        <v>-139.75</v>
      </c>
      <c r="M1267" s="178">
        <f>6285.43+3574.82</f>
        <v>9860.25</v>
      </c>
      <c r="N1267" s="178">
        <v>10000</v>
      </c>
      <c r="O1267" s="178">
        <v>4248.1000000000004</v>
      </c>
      <c r="P1267" s="26">
        <f t="shared" si="808"/>
        <v>10000</v>
      </c>
      <c r="Q1267" s="178">
        <v>10000</v>
      </c>
      <c r="R1267" s="178">
        <v>10000</v>
      </c>
      <c r="S1267" s="178">
        <v>10000</v>
      </c>
      <c r="T1267" s="266">
        <v>20000</v>
      </c>
      <c r="U1267" s="266">
        <v>13845.67</v>
      </c>
      <c r="V1267" s="266">
        <v>20000</v>
      </c>
      <c r="W1267" s="266">
        <v>20000</v>
      </c>
      <c r="X1267" s="178">
        <v>10000</v>
      </c>
      <c r="Y1267" s="266">
        <v>2550</v>
      </c>
      <c r="Z1267" s="266">
        <f t="shared" si="801"/>
        <v>12.75</v>
      </c>
      <c r="AA1267" s="266">
        <f t="shared" si="789"/>
        <v>0</v>
      </c>
      <c r="AB1267" s="266">
        <v>20000</v>
      </c>
      <c r="AC1267" s="266">
        <v>4215</v>
      </c>
      <c r="AD1267" s="266">
        <f t="shared" si="813"/>
        <v>21.074999999999999</v>
      </c>
      <c r="AE1267" s="266">
        <f t="shared" si="817"/>
        <v>0</v>
      </c>
      <c r="AF1267" s="266">
        <v>20000</v>
      </c>
      <c r="AG1267" s="266">
        <v>20000</v>
      </c>
      <c r="AH1267" s="266">
        <v>20000</v>
      </c>
      <c r="AI1267" s="178">
        <v>20000</v>
      </c>
      <c r="AJ1267" s="162" t="b">
        <f t="shared" si="795"/>
        <v>0</v>
      </c>
      <c r="AK1267" s="162" t="str">
        <f t="shared" si="796"/>
        <v>PUNO</v>
      </c>
      <c r="AM1267" s="164"/>
    </row>
    <row r="1268" spans="1:39" ht="15.75" x14ac:dyDescent="0.2">
      <c r="B1268" s="177"/>
      <c r="C1268" s="177"/>
      <c r="D1268" s="177">
        <v>329</v>
      </c>
      <c r="E1268" s="177"/>
      <c r="F1268" s="177"/>
      <c r="G1268" s="177"/>
      <c r="H1268" s="16" t="s">
        <v>531</v>
      </c>
      <c r="I1268" s="18">
        <f>SUM(I1269:I1272)</f>
        <v>49000</v>
      </c>
      <c r="J1268" s="178">
        <f>SUM(J1269:J1272)</f>
        <v>20066.27</v>
      </c>
      <c r="K1268" s="178">
        <f t="shared" si="816"/>
        <v>40.950000000000003</v>
      </c>
      <c r="L1268" s="178">
        <f t="shared" si="786"/>
        <v>-13204.14</v>
      </c>
      <c r="M1268" s="178">
        <f>SUM(M1269:M1272)</f>
        <v>35795.86</v>
      </c>
      <c r="N1268" s="178">
        <f>SUM(N1269:N1272)</f>
        <v>49000</v>
      </c>
      <c r="O1268" s="178">
        <f>SUM(O1269:O1272)</f>
        <v>18378.809999999998</v>
      </c>
      <c r="P1268" s="26">
        <f t="shared" si="808"/>
        <v>2250</v>
      </c>
      <c r="Q1268" s="178">
        <f t="shared" ref="Q1268:X1268" si="818">SUM(Q1269:Q1272)</f>
        <v>49000</v>
      </c>
      <c r="R1268" s="178">
        <f t="shared" si="818"/>
        <v>49000</v>
      </c>
      <c r="S1268" s="178">
        <f t="shared" si="818"/>
        <v>53000</v>
      </c>
      <c r="T1268" s="266">
        <f t="shared" si="818"/>
        <v>51250</v>
      </c>
      <c r="U1268" s="266">
        <f>SUM(U1269:U1272)</f>
        <v>45332.530000000006</v>
      </c>
      <c r="V1268" s="178">
        <f t="shared" si="818"/>
        <v>52000</v>
      </c>
      <c r="W1268" s="178">
        <f t="shared" si="818"/>
        <v>52000</v>
      </c>
      <c r="X1268" s="178">
        <f t="shared" si="818"/>
        <v>48000</v>
      </c>
      <c r="Y1268" s="178">
        <f>SUM(Y1269:Y1272)</f>
        <v>8766.98</v>
      </c>
      <c r="Z1268" s="178">
        <f t="shared" si="801"/>
        <v>16.86</v>
      </c>
      <c r="AA1268" s="178">
        <f t="shared" si="789"/>
        <v>0</v>
      </c>
      <c r="AB1268" s="178">
        <f>SUM(AB1269:AB1272)</f>
        <v>52000</v>
      </c>
      <c r="AC1268" s="178">
        <f>SUM(AC1269:AC1272)</f>
        <v>21952.91</v>
      </c>
      <c r="AD1268" s="178">
        <f t="shared" si="813"/>
        <v>42.217134615384616</v>
      </c>
      <c r="AE1268" s="178">
        <f t="shared" si="817"/>
        <v>-500</v>
      </c>
      <c r="AF1268" s="178">
        <f>SUM(AF1269:AF1272)</f>
        <v>51500</v>
      </c>
      <c r="AG1268" s="178">
        <f>SUM(AG1269:AG1272)</f>
        <v>51000</v>
      </c>
      <c r="AH1268" s="178">
        <f>SUM(AH1269:AH1272)</f>
        <v>52000</v>
      </c>
      <c r="AI1268" s="178">
        <f>SUM(AI1269:AI1272)</f>
        <v>52000</v>
      </c>
      <c r="AJ1268" s="162" t="b">
        <f t="shared" si="795"/>
        <v>1</v>
      </c>
      <c r="AK1268" s="162" t="str">
        <f t="shared" si="796"/>
        <v>PRAZNO</v>
      </c>
      <c r="AM1268" s="164"/>
    </row>
    <row r="1269" spans="1:39" ht="30" x14ac:dyDescent="0.2">
      <c r="B1269" s="177"/>
      <c r="C1269" s="177"/>
      <c r="D1269" s="177"/>
      <c r="E1269" s="177">
        <v>3291</v>
      </c>
      <c r="F1269" s="176">
        <v>11</v>
      </c>
      <c r="G1269" s="176" t="s">
        <v>537</v>
      </c>
      <c r="H1269" s="16" t="s">
        <v>532</v>
      </c>
      <c r="I1269" s="18">
        <v>15000</v>
      </c>
      <c r="J1269" s="178">
        <v>4290.1000000000004</v>
      </c>
      <c r="K1269" s="178">
        <f t="shared" si="816"/>
        <v>28.6</v>
      </c>
      <c r="L1269" s="178">
        <f t="shared" si="786"/>
        <v>-4114.7900000000009</v>
      </c>
      <c r="M1269" s="178">
        <f>7951.25+2933.96</f>
        <v>10885.21</v>
      </c>
      <c r="N1269" s="178">
        <v>14000</v>
      </c>
      <c r="O1269" s="178">
        <v>7575.29</v>
      </c>
      <c r="P1269" s="26">
        <f t="shared" si="808"/>
        <v>2000</v>
      </c>
      <c r="Q1269" s="178">
        <v>14000</v>
      </c>
      <c r="R1269" s="178">
        <v>14000</v>
      </c>
      <c r="S1269" s="178">
        <v>14000</v>
      </c>
      <c r="T1269" s="266">
        <v>16000</v>
      </c>
      <c r="U1269" s="266">
        <v>11790.44</v>
      </c>
      <c r="V1269" s="266">
        <v>14000</v>
      </c>
      <c r="W1269" s="266">
        <v>14000</v>
      </c>
      <c r="X1269" s="266">
        <v>14000</v>
      </c>
      <c r="Y1269" s="266">
        <v>3672.45</v>
      </c>
      <c r="Z1269" s="266">
        <f t="shared" si="801"/>
        <v>26.23</v>
      </c>
      <c r="AA1269" s="266">
        <f t="shared" si="789"/>
        <v>0</v>
      </c>
      <c r="AB1269" s="266">
        <v>14000</v>
      </c>
      <c r="AC1269" s="266">
        <v>7447.12</v>
      </c>
      <c r="AD1269" s="266">
        <f t="shared" si="813"/>
        <v>53.193714285714286</v>
      </c>
      <c r="AE1269" s="266">
        <f t="shared" si="817"/>
        <v>0</v>
      </c>
      <c r="AF1269" s="266">
        <v>14000</v>
      </c>
      <c r="AG1269" s="266">
        <v>14000</v>
      </c>
      <c r="AH1269" s="266">
        <v>14000</v>
      </c>
      <c r="AI1269" s="178">
        <v>14000</v>
      </c>
      <c r="AJ1269" s="162" t="b">
        <f t="shared" si="795"/>
        <v>0</v>
      </c>
      <c r="AK1269" s="162" t="str">
        <f t="shared" si="796"/>
        <v>PUNO</v>
      </c>
      <c r="AM1269" s="164"/>
    </row>
    <row r="1270" spans="1:39" ht="15.75" x14ac:dyDescent="0.2">
      <c r="B1270" s="177"/>
      <c r="C1270" s="177"/>
      <c r="D1270" s="177"/>
      <c r="E1270" s="177">
        <v>3292</v>
      </c>
      <c r="F1270" s="176">
        <v>11</v>
      </c>
      <c r="G1270" s="176" t="s">
        <v>537</v>
      </c>
      <c r="H1270" s="16" t="s">
        <v>399</v>
      </c>
      <c r="I1270" s="18">
        <v>10000</v>
      </c>
      <c r="J1270" s="178">
        <v>6328.98</v>
      </c>
      <c r="K1270" s="178">
        <f t="shared" si="816"/>
        <v>63.29</v>
      </c>
      <c r="L1270" s="178">
        <f t="shared" si="786"/>
        <v>-3142.5600000000004</v>
      </c>
      <c r="M1270" s="178">
        <v>6857.44</v>
      </c>
      <c r="N1270" s="178">
        <v>10000</v>
      </c>
      <c r="O1270" s="178">
        <v>3120</v>
      </c>
      <c r="P1270" s="26">
        <f t="shared" si="808"/>
        <v>0</v>
      </c>
      <c r="Q1270" s="178">
        <v>10000</v>
      </c>
      <c r="R1270" s="178">
        <v>10000</v>
      </c>
      <c r="S1270" s="178">
        <v>10000</v>
      </c>
      <c r="T1270" s="266">
        <v>10000</v>
      </c>
      <c r="U1270" s="266">
        <v>9997.61</v>
      </c>
      <c r="V1270" s="266">
        <v>13000</v>
      </c>
      <c r="W1270" s="266">
        <v>13000</v>
      </c>
      <c r="X1270" s="266">
        <v>10000</v>
      </c>
      <c r="Y1270" s="266">
        <v>0</v>
      </c>
      <c r="Z1270" s="266">
        <f t="shared" si="801"/>
        <v>0</v>
      </c>
      <c r="AA1270" s="266">
        <f t="shared" si="789"/>
        <v>0</v>
      </c>
      <c r="AB1270" s="266">
        <v>13000</v>
      </c>
      <c r="AC1270" s="266">
        <v>3757.44</v>
      </c>
      <c r="AD1270" s="266">
        <f t="shared" si="813"/>
        <v>28.903384615384613</v>
      </c>
      <c r="AE1270" s="266">
        <f t="shared" si="817"/>
        <v>-500</v>
      </c>
      <c r="AF1270" s="266">
        <v>12500</v>
      </c>
      <c r="AG1270" s="266">
        <v>12000</v>
      </c>
      <c r="AH1270" s="266">
        <v>13000</v>
      </c>
      <c r="AI1270" s="266">
        <v>13000</v>
      </c>
      <c r="AJ1270" s="162" t="b">
        <f t="shared" si="795"/>
        <v>0</v>
      </c>
      <c r="AK1270" s="162" t="str">
        <f t="shared" si="796"/>
        <v>PUNO</v>
      </c>
      <c r="AM1270" s="164"/>
    </row>
    <row r="1271" spans="1:39" ht="15.75" x14ac:dyDescent="0.2">
      <c r="B1271" s="177"/>
      <c r="C1271" s="177"/>
      <c r="D1271" s="177"/>
      <c r="E1271" s="177">
        <v>3293</v>
      </c>
      <c r="F1271" s="176">
        <v>11</v>
      </c>
      <c r="G1271" s="176" t="s">
        <v>537</v>
      </c>
      <c r="H1271" s="16" t="s">
        <v>533</v>
      </c>
      <c r="I1271" s="18">
        <v>9000</v>
      </c>
      <c r="J1271" s="178">
        <v>7803.83</v>
      </c>
      <c r="K1271" s="178">
        <f t="shared" si="816"/>
        <v>86.71</v>
      </c>
      <c r="L1271" s="178">
        <f t="shared" si="786"/>
        <v>1746.3199999999997</v>
      </c>
      <c r="M1271" s="178">
        <v>10746.32</v>
      </c>
      <c r="N1271" s="178">
        <v>10000</v>
      </c>
      <c r="O1271" s="178">
        <v>3454.87</v>
      </c>
      <c r="P1271" s="26">
        <f t="shared" si="808"/>
        <v>0</v>
      </c>
      <c r="Q1271" s="178">
        <v>10000</v>
      </c>
      <c r="R1271" s="178">
        <v>10000</v>
      </c>
      <c r="S1271" s="178">
        <v>10000</v>
      </c>
      <c r="T1271" s="266">
        <v>10000</v>
      </c>
      <c r="U1271" s="266">
        <v>9542.83</v>
      </c>
      <c r="V1271" s="266">
        <v>10000</v>
      </c>
      <c r="W1271" s="266">
        <v>10000</v>
      </c>
      <c r="X1271" s="266">
        <v>10000</v>
      </c>
      <c r="Y1271" s="266">
        <v>2768.36</v>
      </c>
      <c r="Z1271" s="266">
        <f t="shared" si="801"/>
        <v>27.68</v>
      </c>
      <c r="AA1271" s="266">
        <f t="shared" si="789"/>
        <v>0</v>
      </c>
      <c r="AB1271" s="266">
        <v>10000</v>
      </c>
      <c r="AC1271" s="266">
        <v>4146.18</v>
      </c>
      <c r="AD1271" s="266">
        <f t="shared" si="813"/>
        <v>41.461800000000004</v>
      </c>
      <c r="AE1271" s="266">
        <f t="shared" si="817"/>
        <v>0</v>
      </c>
      <c r="AF1271" s="266">
        <v>10000</v>
      </c>
      <c r="AG1271" s="266">
        <v>10000</v>
      </c>
      <c r="AH1271" s="266">
        <v>10000</v>
      </c>
      <c r="AI1271" s="266">
        <v>10000</v>
      </c>
      <c r="AJ1271" s="162" t="b">
        <f t="shared" si="795"/>
        <v>0</v>
      </c>
      <c r="AK1271" s="162" t="str">
        <f t="shared" si="796"/>
        <v>PUNO</v>
      </c>
      <c r="AM1271" s="164"/>
    </row>
    <row r="1272" spans="1:39" ht="15.75" x14ac:dyDescent="0.2">
      <c r="B1272" s="177"/>
      <c r="C1272" s="177"/>
      <c r="D1272" s="177"/>
      <c r="E1272" s="177">
        <v>3299</v>
      </c>
      <c r="F1272" s="176">
        <v>11</v>
      </c>
      <c r="G1272" s="176" t="s">
        <v>537</v>
      </c>
      <c r="H1272" s="16" t="s">
        <v>531</v>
      </c>
      <c r="I1272" s="18">
        <v>15000</v>
      </c>
      <c r="J1272" s="178">
        <v>1643.36</v>
      </c>
      <c r="K1272" s="178">
        <f t="shared" si="816"/>
        <v>10.96</v>
      </c>
      <c r="L1272" s="178">
        <f t="shared" si="786"/>
        <v>-7693.11</v>
      </c>
      <c r="M1272" s="178">
        <v>7306.89</v>
      </c>
      <c r="N1272" s="178">
        <v>15000</v>
      </c>
      <c r="O1272" s="178">
        <v>4228.6499999999996</v>
      </c>
      <c r="P1272" s="26">
        <f t="shared" si="808"/>
        <v>250</v>
      </c>
      <c r="Q1272" s="178">
        <v>15000</v>
      </c>
      <c r="R1272" s="178">
        <v>15000</v>
      </c>
      <c r="S1272" s="178">
        <v>19000</v>
      </c>
      <c r="T1272" s="266">
        <v>15250</v>
      </c>
      <c r="U1272" s="266">
        <v>14001.65</v>
      </c>
      <c r="V1272" s="266">
        <v>15000</v>
      </c>
      <c r="W1272" s="266">
        <v>15000</v>
      </c>
      <c r="X1272" s="178">
        <v>14000</v>
      </c>
      <c r="Y1272" s="266">
        <v>2326.17</v>
      </c>
      <c r="Z1272" s="266">
        <f t="shared" si="801"/>
        <v>15.51</v>
      </c>
      <c r="AA1272" s="266">
        <f t="shared" si="789"/>
        <v>0</v>
      </c>
      <c r="AB1272" s="266">
        <v>15000</v>
      </c>
      <c r="AC1272" s="266">
        <v>6602.17</v>
      </c>
      <c r="AD1272" s="266">
        <f t="shared" si="813"/>
        <v>44.014466666666671</v>
      </c>
      <c r="AE1272" s="266">
        <f t="shared" si="817"/>
        <v>0</v>
      </c>
      <c r="AF1272" s="266">
        <v>15000</v>
      </c>
      <c r="AG1272" s="266">
        <v>15000</v>
      </c>
      <c r="AH1272" s="266">
        <v>15000</v>
      </c>
      <c r="AI1272" s="266">
        <v>15000</v>
      </c>
      <c r="AJ1272" s="162" t="b">
        <f t="shared" si="795"/>
        <v>0</v>
      </c>
      <c r="AK1272" s="162" t="str">
        <f t="shared" si="796"/>
        <v>PUNO</v>
      </c>
      <c r="AM1272" s="164"/>
    </row>
    <row r="1273" spans="1:39" s="644" customFormat="1" ht="15.75" x14ac:dyDescent="0.2">
      <c r="A1273" s="633"/>
      <c r="B1273" s="175"/>
      <c r="C1273" s="175">
        <v>34</v>
      </c>
      <c r="D1273" s="175"/>
      <c r="E1273" s="175"/>
      <c r="F1273" s="175"/>
      <c r="G1273" s="175"/>
      <c r="H1273" s="15" t="s">
        <v>208</v>
      </c>
      <c r="I1273" s="645">
        <f t="shared" ref="I1273:AI1274" si="819">I1274</f>
        <v>4500</v>
      </c>
      <c r="J1273" s="648">
        <f t="shared" si="819"/>
        <v>2373.15</v>
      </c>
      <c r="K1273" s="648">
        <f t="shared" si="816"/>
        <v>52.74</v>
      </c>
      <c r="L1273" s="648">
        <f t="shared" si="786"/>
        <v>-609.65000000000009</v>
      </c>
      <c r="M1273" s="648">
        <f>M1274</f>
        <v>3890.35</v>
      </c>
      <c r="N1273" s="648">
        <f t="shared" si="819"/>
        <v>4000</v>
      </c>
      <c r="O1273" s="648">
        <f t="shared" si="819"/>
        <v>2100.65</v>
      </c>
      <c r="P1273" s="38">
        <f t="shared" si="808"/>
        <v>0</v>
      </c>
      <c r="Q1273" s="648">
        <f t="shared" si="819"/>
        <v>4000</v>
      </c>
      <c r="R1273" s="648">
        <f t="shared" si="819"/>
        <v>4000</v>
      </c>
      <c r="S1273" s="648">
        <f t="shared" si="819"/>
        <v>4100</v>
      </c>
      <c r="T1273" s="649">
        <f t="shared" si="819"/>
        <v>4000</v>
      </c>
      <c r="U1273" s="649">
        <f t="shared" si="819"/>
        <v>3121.95</v>
      </c>
      <c r="V1273" s="648">
        <f t="shared" si="819"/>
        <v>4000</v>
      </c>
      <c r="W1273" s="648">
        <f t="shared" si="819"/>
        <v>4000</v>
      </c>
      <c r="X1273" s="648">
        <f t="shared" si="819"/>
        <v>4000</v>
      </c>
      <c r="Y1273" s="648">
        <f t="shared" si="819"/>
        <v>1163.3</v>
      </c>
      <c r="Z1273" s="648">
        <f t="shared" si="801"/>
        <v>29.08</v>
      </c>
      <c r="AA1273" s="648">
        <f t="shared" si="789"/>
        <v>0</v>
      </c>
      <c r="AB1273" s="648">
        <f t="shared" si="819"/>
        <v>4000</v>
      </c>
      <c r="AC1273" s="648">
        <f t="shared" si="819"/>
        <v>2089.1999999999998</v>
      </c>
      <c r="AD1273" s="648">
        <f t="shared" si="813"/>
        <v>52.23</v>
      </c>
      <c r="AE1273" s="648">
        <f t="shared" si="817"/>
        <v>0</v>
      </c>
      <c r="AF1273" s="648">
        <f t="shared" si="819"/>
        <v>4000</v>
      </c>
      <c r="AG1273" s="648">
        <f t="shared" si="819"/>
        <v>4000</v>
      </c>
      <c r="AH1273" s="648">
        <f t="shared" si="819"/>
        <v>4000</v>
      </c>
      <c r="AI1273" s="648">
        <f t="shared" si="819"/>
        <v>4120</v>
      </c>
      <c r="AJ1273" s="162" t="b">
        <f t="shared" si="795"/>
        <v>1</v>
      </c>
      <c r="AK1273" s="162" t="str">
        <f t="shared" si="796"/>
        <v>PRAZNO</v>
      </c>
      <c r="AL1273" s="643"/>
      <c r="AM1273" s="647"/>
    </row>
    <row r="1274" spans="1:39" ht="15.75" x14ac:dyDescent="0.2">
      <c r="B1274" s="177"/>
      <c r="C1274" s="177"/>
      <c r="D1274" s="177">
        <v>343</v>
      </c>
      <c r="E1274" s="177"/>
      <c r="F1274" s="177"/>
      <c r="G1274" s="177"/>
      <c r="H1274" s="16" t="s">
        <v>209</v>
      </c>
      <c r="I1274" s="18">
        <f t="shared" si="819"/>
        <v>4500</v>
      </c>
      <c r="J1274" s="178">
        <f t="shared" si="819"/>
        <v>2373.15</v>
      </c>
      <c r="K1274" s="178">
        <f t="shared" si="816"/>
        <v>52.74</v>
      </c>
      <c r="L1274" s="178">
        <f t="shared" si="786"/>
        <v>-609.65000000000009</v>
      </c>
      <c r="M1274" s="178">
        <f>M1275</f>
        <v>3890.35</v>
      </c>
      <c r="N1274" s="178">
        <f t="shared" si="819"/>
        <v>4000</v>
      </c>
      <c r="O1274" s="178">
        <f t="shared" si="819"/>
        <v>2100.65</v>
      </c>
      <c r="P1274" s="26">
        <f t="shared" si="808"/>
        <v>0</v>
      </c>
      <c r="Q1274" s="178">
        <f t="shared" si="819"/>
        <v>4000</v>
      </c>
      <c r="R1274" s="178">
        <f t="shared" si="819"/>
        <v>4000</v>
      </c>
      <c r="S1274" s="178">
        <f t="shared" si="819"/>
        <v>4100</v>
      </c>
      <c r="T1274" s="266">
        <f t="shared" si="819"/>
        <v>4000</v>
      </c>
      <c r="U1274" s="266">
        <f t="shared" si="819"/>
        <v>3121.95</v>
      </c>
      <c r="V1274" s="178">
        <f t="shared" si="819"/>
        <v>4000</v>
      </c>
      <c r="W1274" s="178">
        <f t="shared" si="819"/>
        <v>4000</v>
      </c>
      <c r="X1274" s="178">
        <f t="shared" si="819"/>
        <v>4000</v>
      </c>
      <c r="Y1274" s="178">
        <f t="shared" si="819"/>
        <v>1163.3</v>
      </c>
      <c r="Z1274" s="178">
        <f t="shared" si="801"/>
        <v>29.08</v>
      </c>
      <c r="AA1274" s="178">
        <f t="shared" si="789"/>
        <v>0</v>
      </c>
      <c r="AB1274" s="178">
        <f t="shared" si="819"/>
        <v>4000</v>
      </c>
      <c r="AC1274" s="178">
        <f t="shared" si="819"/>
        <v>2089.1999999999998</v>
      </c>
      <c r="AD1274" s="178">
        <f t="shared" si="813"/>
        <v>52.23</v>
      </c>
      <c r="AE1274" s="178">
        <f t="shared" si="817"/>
        <v>0</v>
      </c>
      <c r="AF1274" s="178">
        <f t="shared" si="819"/>
        <v>4000</v>
      </c>
      <c r="AG1274" s="178">
        <f t="shared" si="819"/>
        <v>4000</v>
      </c>
      <c r="AH1274" s="178">
        <f t="shared" si="819"/>
        <v>4000</v>
      </c>
      <c r="AI1274" s="178">
        <f t="shared" si="819"/>
        <v>4120</v>
      </c>
      <c r="AJ1274" s="162" t="b">
        <f t="shared" si="795"/>
        <v>1</v>
      </c>
      <c r="AK1274" s="162" t="str">
        <f t="shared" si="796"/>
        <v>PRAZNO</v>
      </c>
      <c r="AM1274" s="164"/>
    </row>
    <row r="1275" spans="1:39" ht="15.75" x14ac:dyDescent="0.2">
      <c r="B1275" s="177"/>
      <c r="C1275" s="177"/>
      <c r="D1275" s="177"/>
      <c r="E1275" s="177">
        <v>3431</v>
      </c>
      <c r="F1275" s="176">
        <v>11</v>
      </c>
      <c r="G1275" s="176" t="s">
        <v>537</v>
      </c>
      <c r="H1275" s="16" t="s">
        <v>211</v>
      </c>
      <c r="I1275" s="18">
        <v>4500</v>
      </c>
      <c r="J1275" s="178">
        <v>2373.15</v>
      </c>
      <c r="K1275" s="178">
        <f t="shared" si="816"/>
        <v>52.74</v>
      </c>
      <c r="L1275" s="178">
        <f t="shared" si="786"/>
        <v>-609.65000000000009</v>
      </c>
      <c r="M1275" s="178">
        <f>3184.6+705.75</f>
        <v>3890.35</v>
      </c>
      <c r="N1275" s="178">
        <v>4000</v>
      </c>
      <c r="O1275" s="178">
        <v>2100.65</v>
      </c>
      <c r="P1275" s="26">
        <f t="shared" si="808"/>
        <v>0</v>
      </c>
      <c r="Q1275" s="178">
        <v>4000</v>
      </c>
      <c r="R1275" s="178">
        <v>4000</v>
      </c>
      <c r="S1275" s="178">
        <v>4100</v>
      </c>
      <c r="T1275" s="266">
        <v>4000</v>
      </c>
      <c r="U1275" s="266">
        <v>3121.95</v>
      </c>
      <c r="V1275" s="266">
        <v>4000</v>
      </c>
      <c r="W1275" s="266">
        <v>4000</v>
      </c>
      <c r="X1275" s="266">
        <v>4000</v>
      </c>
      <c r="Y1275" s="266">
        <v>1163.3</v>
      </c>
      <c r="Z1275" s="266">
        <f t="shared" si="801"/>
        <v>29.08</v>
      </c>
      <c r="AA1275" s="266">
        <f t="shared" si="789"/>
        <v>0</v>
      </c>
      <c r="AB1275" s="266">
        <v>4000</v>
      </c>
      <c r="AC1275" s="266">
        <v>2089.1999999999998</v>
      </c>
      <c r="AD1275" s="266">
        <f t="shared" si="813"/>
        <v>52.23</v>
      </c>
      <c r="AE1275" s="266">
        <f t="shared" si="817"/>
        <v>0</v>
      </c>
      <c r="AF1275" s="266">
        <v>4000</v>
      </c>
      <c r="AG1275" s="266">
        <v>4000</v>
      </c>
      <c r="AH1275" s="266">
        <v>4000</v>
      </c>
      <c r="AI1275" s="266">
        <v>4120</v>
      </c>
      <c r="AJ1275" s="162" t="b">
        <f t="shared" si="795"/>
        <v>0</v>
      </c>
      <c r="AK1275" s="162" t="str">
        <f t="shared" si="796"/>
        <v>PUNO</v>
      </c>
      <c r="AM1275" s="164"/>
    </row>
    <row r="1276" spans="1:39" s="207" customFormat="1" ht="47.25" x14ac:dyDescent="0.25">
      <c r="A1276" s="378"/>
      <c r="B1276" s="168"/>
      <c r="C1276" s="168"/>
      <c r="D1276" s="168"/>
      <c r="E1276" s="168"/>
      <c r="F1276" s="322"/>
      <c r="G1276" s="322"/>
      <c r="H1276" s="13" t="s">
        <v>268</v>
      </c>
      <c r="I1276" s="323">
        <f t="shared" ref="I1276:O1276" si="820">I1278</f>
        <v>0</v>
      </c>
      <c r="J1276" s="323">
        <f t="shared" si="820"/>
        <v>0</v>
      </c>
      <c r="K1276" s="323">
        <f t="shared" si="820"/>
        <v>0</v>
      </c>
      <c r="L1276" s="323">
        <f t="shared" si="820"/>
        <v>0</v>
      </c>
      <c r="M1276" s="323">
        <f t="shared" si="820"/>
        <v>0</v>
      </c>
      <c r="N1276" s="323">
        <f t="shared" si="820"/>
        <v>0</v>
      </c>
      <c r="O1276" s="323">
        <f t="shared" si="820"/>
        <v>0</v>
      </c>
      <c r="P1276" s="53">
        <f t="shared" si="808"/>
        <v>20000</v>
      </c>
      <c r="Q1276" s="308"/>
      <c r="R1276" s="308"/>
      <c r="S1276" s="308"/>
      <c r="T1276" s="323">
        <f t="shared" ref="T1276:Y1276" si="821">T1278</f>
        <v>20000</v>
      </c>
      <c r="U1276" s="323">
        <f t="shared" si="821"/>
        <v>19977.25</v>
      </c>
      <c r="V1276" s="323">
        <f t="shared" si="821"/>
        <v>5000</v>
      </c>
      <c r="W1276" s="323">
        <f t="shared" si="821"/>
        <v>5000</v>
      </c>
      <c r="X1276" s="323">
        <f t="shared" si="821"/>
        <v>1000</v>
      </c>
      <c r="Y1276" s="323">
        <f t="shared" si="821"/>
        <v>0</v>
      </c>
      <c r="Z1276" s="323">
        <f t="shared" si="801"/>
        <v>0</v>
      </c>
      <c r="AA1276" s="323">
        <f t="shared" si="789"/>
        <v>0</v>
      </c>
      <c r="AB1276" s="323">
        <f>AB1278</f>
        <v>5000</v>
      </c>
      <c r="AC1276" s="323">
        <f>AC1278</f>
        <v>0</v>
      </c>
      <c r="AD1276" s="323">
        <f t="shared" si="813"/>
        <v>0</v>
      </c>
      <c r="AE1276" s="323">
        <f t="shared" si="817"/>
        <v>3000</v>
      </c>
      <c r="AF1276" s="323">
        <f>AF1278</f>
        <v>8000</v>
      </c>
      <c r="AG1276" s="323">
        <f>AG1278</f>
        <v>10000</v>
      </c>
      <c r="AH1276" s="323">
        <f>AH1278</f>
        <v>7000</v>
      </c>
      <c r="AI1276" s="323">
        <f>AI1278</f>
        <v>7210</v>
      </c>
      <c r="AJ1276" s="162" t="b">
        <f t="shared" si="795"/>
        <v>1</v>
      </c>
      <c r="AK1276" s="162" t="str">
        <f t="shared" si="796"/>
        <v>PRAZNO</v>
      </c>
      <c r="AL1276" s="206"/>
    </row>
    <row r="1277" spans="1:39" s="447" customFormat="1" ht="15.75" x14ac:dyDescent="0.25">
      <c r="A1277" s="378"/>
      <c r="B1277" s="260"/>
      <c r="C1277" s="260"/>
      <c r="D1277" s="260"/>
      <c r="E1277" s="260"/>
      <c r="F1277" s="442"/>
      <c r="G1277" s="442"/>
      <c r="H1277" s="440" t="s">
        <v>824</v>
      </c>
      <c r="I1277" s="444"/>
      <c r="J1277" s="444"/>
      <c r="K1277" s="444"/>
      <c r="L1277" s="444"/>
      <c r="M1277" s="444"/>
      <c r="N1277" s="444"/>
      <c r="O1277" s="444"/>
      <c r="P1277" s="342"/>
      <c r="Q1277" s="443"/>
      <c r="R1277" s="443"/>
      <c r="S1277" s="443"/>
      <c r="T1277" s="444"/>
      <c r="U1277" s="444">
        <f t="shared" ref="U1277:AI1280" si="822">U1278</f>
        <v>19977.25</v>
      </c>
      <c r="V1277" s="444">
        <f t="shared" si="822"/>
        <v>5000</v>
      </c>
      <c r="W1277" s="444">
        <f t="shared" si="822"/>
        <v>5000</v>
      </c>
      <c r="X1277" s="444">
        <f t="shared" si="822"/>
        <v>1000</v>
      </c>
      <c r="Y1277" s="444">
        <f t="shared" si="822"/>
        <v>0</v>
      </c>
      <c r="Z1277" s="444">
        <f t="shared" si="822"/>
        <v>0</v>
      </c>
      <c r="AA1277" s="444">
        <f t="shared" si="822"/>
        <v>0</v>
      </c>
      <c r="AB1277" s="444">
        <f>AB1278</f>
        <v>5000</v>
      </c>
      <c r="AC1277" s="444">
        <f>AC1278</f>
        <v>0</v>
      </c>
      <c r="AD1277" s="444">
        <f t="shared" si="813"/>
        <v>0</v>
      </c>
      <c r="AE1277" s="444">
        <f t="shared" si="817"/>
        <v>3000</v>
      </c>
      <c r="AF1277" s="444">
        <f>AF1278</f>
        <v>8000</v>
      </c>
      <c r="AG1277" s="444">
        <f>AG1278</f>
        <v>10000</v>
      </c>
      <c r="AH1277" s="444">
        <f>AH1278</f>
        <v>7000</v>
      </c>
      <c r="AI1277" s="444">
        <f>AI1278</f>
        <v>7210</v>
      </c>
      <c r="AJ1277" s="162" t="b">
        <f t="shared" si="795"/>
        <v>1</v>
      </c>
      <c r="AK1277" s="162" t="str">
        <f t="shared" si="796"/>
        <v>PRAZNO</v>
      </c>
      <c r="AL1277" s="446"/>
    </row>
    <row r="1278" spans="1:39" s="174" customFormat="1" ht="15.75" x14ac:dyDescent="0.2">
      <c r="A1278" s="259"/>
      <c r="B1278" s="172">
        <v>4</v>
      </c>
      <c r="C1278" s="172"/>
      <c r="D1278" s="172"/>
      <c r="E1278" s="172"/>
      <c r="F1278" s="220"/>
      <c r="G1278" s="220"/>
      <c r="H1278" s="14" t="s">
        <v>552</v>
      </c>
      <c r="I1278" s="185">
        <f t="shared" ref="I1278:O1280" si="823">I1279</f>
        <v>0</v>
      </c>
      <c r="J1278" s="185">
        <f t="shared" si="823"/>
        <v>0</v>
      </c>
      <c r="K1278" s="185">
        <f t="shared" si="823"/>
        <v>0</v>
      </c>
      <c r="L1278" s="185">
        <f t="shared" si="823"/>
        <v>0</v>
      </c>
      <c r="M1278" s="185">
        <f t="shared" si="823"/>
        <v>0</v>
      </c>
      <c r="N1278" s="185">
        <f t="shared" si="823"/>
        <v>0</v>
      </c>
      <c r="O1278" s="185">
        <f t="shared" si="823"/>
        <v>0</v>
      </c>
      <c r="P1278" s="55">
        <f t="shared" si="808"/>
        <v>20000</v>
      </c>
      <c r="Q1278" s="184"/>
      <c r="R1278" s="184"/>
      <c r="S1278" s="184"/>
      <c r="T1278" s="185">
        <f t="shared" ref="T1278:U1280" si="824">T1279</f>
        <v>20000</v>
      </c>
      <c r="U1278" s="185">
        <f t="shared" si="824"/>
        <v>19977.25</v>
      </c>
      <c r="V1278" s="185">
        <f t="shared" si="822"/>
        <v>5000</v>
      </c>
      <c r="W1278" s="185">
        <f t="shared" si="822"/>
        <v>5000</v>
      </c>
      <c r="X1278" s="185">
        <f t="shared" si="822"/>
        <v>1000</v>
      </c>
      <c r="Y1278" s="185">
        <f t="shared" si="822"/>
        <v>0</v>
      </c>
      <c r="Z1278" s="185">
        <f t="shared" si="801"/>
        <v>0</v>
      </c>
      <c r="AA1278" s="185">
        <f t="shared" si="789"/>
        <v>0</v>
      </c>
      <c r="AB1278" s="185">
        <f t="shared" si="822"/>
        <v>5000</v>
      </c>
      <c r="AC1278" s="185">
        <f t="shared" si="822"/>
        <v>0</v>
      </c>
      <c r="AD1278" s="185">
        <f t="shared" si="813"/>
        <v>0</v>
      </c>
      <c r="AE1278" s="185">
        <f t="shared" si="817"/>
        <v>3000</v>
      </c>
      <c r="AF1278" s="185">
        <f t="shared" si="822"/>
        <v>8000</v>
      </c>
      <c r="AG1278" s="185">
        <f t="shared" si="822"/>
        <v>10000</v>
      </c>
      <c r="AH1278" s="185">
        <f t="shared" si="822"/>
        <v>7000</v>
      </c>
      <c r="AI1278" s="185">
        <f t="shared" si="822"/>
        <v>7210</v>
      </c>
      <c r="AJ1278" s="162" t="b">
        <f t="shared" si="795"/>
        <v>1</v>
      </c>
      <c r="AK1278" s="162" t="str">
        <f t="shared" si="796"/>
        <v>PRAZNO</v>
      </c>
      <c r="AL1278" s="173"/>
    </row>
    <row r="1279" spans="1:39" s="644" customFormat="1" ht="15.75" x14ac:dyDescent="0.2">
      <c r="A1279" s="633"/>
      <c r="B1279" s="175"/>
      <c r="C1279" s="175">
        <v>42</v>
      </c>
      <c r="D1279" s="175"/>
      <c r="E1279" s="175"/>
      <c r="F1279" s="640"/>
      <c r="G1279" s="640"/>
      <c r="H1279" s="15" t="s">
        <v>212</v>
      </c>
      <c r="I1279" s="646">
        <f t="shared" si="823"/>
        <v>0</v>
      </c>
      <c r="J1279" s="646">
        <f t="shared" si="823"/>
        <v>0</v>
      </c>
      <c r="K1279" s="646">
        <f t="shared" si="823"/>
        <v>0</v>
      </c>
      <c r="L1279" s="646">
        <f t="shared" si="823"/>
        <v>0</v>
      </c>
      <c r="M1279" s="646">
        <f t="shared" si="823"/>
        <v>0</v>
      </c>
      <c r="N1279" s="646">
        <f t="shared" si="823"/>
        <v>0</v>
      </c>
      <c r="O1279" s="646">
        <f t="shared" si="823"/>
        <v>0</v>
      </c>
      <c r="P1279" s="38">
        <f t="shared" si="808"/>
        <v>20000</v>
      </c>
      <c r="Q1279" s="645"/>
      <c r="R1279" s="645"/>
      <c r="S1279" s="645"/>
      <c r="T1279" s="646">
        <f t="shared" si="824"/>
        <v>20000</v>
      </c>
      <c r="U1279" s="646">
        <f t="shared" si="824"/>
        <v>19977.25</v>
      </c>
      <c r="V1279" s="646">
        <f t="shared" si="822"/>
        <v>5000</v>
      </c>
      <c r="W1279" s="646">
        <f t="shared" si="822"/>
        <v>5000</v>
      </c>
      <c r="X1279" s="646">
        <f t="shared" si="822"/>
        <v>1000</v>
      </c>
      <c r="Y1279" s="646">
        <f t="shared" si="822"/>
        <v>0</v>
      </c>
      <c r="Z1279" s="646">
        <f t="shared" si="801"/>
        <v>0</v>
      </c>
      <c r="AA1279" s="646">
        <f t="shared" si="789"/>
        <v>0</v>
      </c>
      <c r="AB1279" s="646">
        <f t="shared" si="822"/>
        <v>5000</v>
      </c>
      <c r="AC1279" s="646">
        <f t="shared" si="822"/>
        <v>0</v>
      </c>
      <c r="AD1279" s="646">
        <f t="shared" si="813"/>
        <v>0</v>
      </c>
      <c r="AE1279" s="646">
        <f t="shared" si="817"/>
        <v>3000</v>
      </c>
      <c r="AF1279" s="646">
        <f t="shared" si="822"/>
        <v>8000</v>
      </c>
      <c r="AG1279" s="646">
        <f t="shared" si="822"/>
        <v>10000</v>
      </c>
      <c r="AH1279" s="646">
        <f t="shared" si="822"/>
        <v>7000</v>
      </c>
      <c r="AI1279" s="646">
        <f t="shared" si="822"/>
        <v>7210</v>
      </c>
      <c r="AJ1279" s="162" t="b">
        <f t="shared" si="795"/>
        <v>1</v>
      </c>
      <c r="AK1279" s="162" t="str">
        <f t="shared" si="796"/>
        <v>PRAZNO</v>
      </c>
      <c r="AL1279" s="643"/>
      <c r="AM1279" s="647"/>
    </row>
    <row r="1280" spans="1:39" ht="15.75" x14ac:dyDescent="0.2">
      <c r="B1280" s="177"/>
      <c r="C1280" s="177"/>
      <c r="D1280" s="177">
        <v>422</v>
      </c>
      <c r="E1280" s="177"/>
      <c r="F1280" s="176"/>
      <c r="G1280" s="176"/>
      <c r="H1280" s="16" t="s">
        <v>555</v>
      </c>
      <c r="I1280" s="27">
        <f t="shared" si="823"/>
        <v>0</v>
      </c>
      <c r="J1280" s="27">
        <f t="shared" si="823"/>
        <v>0</v>
      </c>
      <c r="K1280" s="27">
        <f t="shared" si="823"/>
        <v>0</v>
      </c>
      <c r="L1280" s="27">
        <f t="shared" si="823"/>
        <v>0</v>
      </c>
      <c r="M1280" s="27">
        <f t="shared" si="823"/>
        <v>0</v>
      </c>
      <c r="N1280" s="27">
        <f t="shared" si="823"/>
        <v>0</v>
      </c>
      <c r="O1280" s="27">
        <f t="shared" si="823"/>
        <v>0</v>
      </c>
      <c r="P1280" s="26">
        <f t="shared" si="808"/>
        <v>20000</v>
      </c>
      <c r="Q1280" s="18"/>
      <c r="R1280" s="18"/>
      <c r="S1280" s="18"/>
      <c r="T1280" s="27">
        <f t="shared" si="824"/>
        <v>20000</v>
      </c>
      <c r="U1280" s="27">
        <f t="shared" si="824"/>
        <v>19977.25</v>
      </c>
      <c r="V1280" s="27">
        <f t="shared" si="822"/>
        <v>5000</v>
      </c>
      <c r="W1280" s="27">
        <f t="shared" si="822"/>
        <v>5000</v>
      </c>
      <c r="X1280" s="27">
        <f t="shared" si="822"/>
        <v>1000</v>
      </c>
      <c r="Y1280" s="27">
        <f t="shared" si="822"/>
        <v>0</v>
      </c>
      <c r="Z1280" s="27">
        <f t="shared" si="801"/>
        <v>0</v>
      </c>
      <c r="AA1280" s="27">
        <f t="shared" si="789"/>
        <v>0</v>
      </c>
      <c r="AB1280" s="27">
        <f t="shared" si="822"/>
        <v>5000</v>
      </c>
      <c r="AC1280" s="27">
        <f t="shared" si="822"/>
        <v>0</v>
      </c>
      <c r="AD1280" s="27">
        <f t="shared" si="813"/>
        <v>0</v>
      </c>
      <c r="AE1280" s="27">
        <f t="shared" si="817"/>
        <v>3000</v>
      </c>
      <c r="AF1280" s="27">
        <f t="shared" si="822"/>
        <v>8000</v>
      </c>
      <c r="AG1280" s="27">
        <f t="shared" si="822"/>
        <v>10000</v>
      </c>
      <c r="AH1280" s="27">
        <f t="shared" si="822"/>
        <v>7000</v>
      </c>
      <c r="AI1280" s="27">
        <f t="shared" si="822"/>
        <v>7210</v>
      </c>
      <c r="AJ1280" s="162" t="b">
        <f t="shared" si="795"/>
        <v>1</v>
      </c>
      <c r="AK1280" s="162" t="str">
        <f t="shared" si="796"/>
        <v>PRAZNO</v>
      </c>
      <c r="AM1280" s="164"/>
    </row>
    <row r="1281" spans="1:39" ht="15.75" x14ac:dyDescent="0.2">
      <c r="B1281" s="177"/>
      <c r="C1281" s="177"/>
      <c r="D1281" s="177"/>
      <c r="E1281" s="177">
        <v>4221</v>
      </c>
      <c r="F1281" s="176">
        <v>16</v>
      </c>
      <c r="G1281" s="176"/>
      <c r="H1281" s="16" t="s">
        <v>558</v>
      </c>
      <c r="I1281" s="18"/>
      <c r="J1281" s="18"/>
      <c r="K1281" s="18"/>
      <c r="L1281" s="18"/>
      <c r="M1281" s="18">
        <v>0</v>
      </c>
      <c r="N1281" s="18">
        <v>0</v>
      </c>
      <c r="O1281" s="18">
        <v>0</v>
      </c>
      <c r="P1281" s="26">
        <f t="shared" si="808"/>
        <v>20000</v>
      </c>
      <c r="Q1281" s="18"/>
      <c r="R1281" s="18"/>
      <c r="S1281" s="18"/>
      <c r="T1281" s="27">
        <v>20000</v>
      </c>
      <c r="U1281" s="27">
        <v>19977.25</v>
      </c>
      <c r="V1281" s="18">
        <v>5000</v>
      </c>
      <c r="W1281" s="18">
        <v>5000</v>
      </c>
      <c r="X1281" s="18">
        <v>1000</v>
      </c>
      <c r="Y1281" s="18">
        <v>0</v>
      </c>
      <c r="Z1281" s="18">
        <f t="shared" si="801"/>
        <v>0</v>
      </c>
      <c r="AA1281" s="18">
        <f t="shared" si="789"/>
        <v>0</v>
      </c>
      <c r="AB1281" s="18">
        <v>5000</v>
      </c>
      <c r="AC1281" s="18">
        <v>0</v>
      </c>
      <c r="AD1281" s="18">
        <f t="shared" si="813"/>
        <v>0</v>
      </c>
      <c r="AE1281" s="18">
        <f t="shared" si="817"/>
        <v>3000</v>
      </c>
      <c r="AF1281" s="18">
        <v>8000</v>
      </c>
      <c r="AG1281" s="178">
        <v>10000</v>
      </c>
      <c r="AH1281" s="18">
        <v>7000</v>
      </c>
      <c r="AI1281" s="18">
        <v>7210</v>
      </c>
      <c r="AJ1281" s="162" t="b">
        <f t="shared" si="795"/>
        <v>0</v>
      </c>
      <c r="AK1281" s="162" t="str">
        <f t="shared" si="796"/>
        <v>PUNO</v>
      </c>
      <c r="AM1281" s="164"/>
    </row>
    <row r="1282" spans="1:39" s="164" customFormat="1" ht="31.5" x14ac:dyDescent="0.2">
      <c r="A1282" s="259"/>
      <c r="B1282" s="194"/>
      <c r="C1282" s="194"/>
      <c r="D1282" s="194"/>
      <c r="E1282" s="194"/>
      <c r="F1282" s="159"/>
      <c r="G1282" s="159"/>
      <c r="H1282" s="24" t="s">
        <v>624</v>
      </c>
      <c r="I1282" s="196" t="e">
        <f>I1283+I1315+I1499+I1680</f>
        <v>#REF!</v>
      </c>
      <c r="J1282" s="196" t="e">
        <f>J1283+J1315+J1499+J1680</f>
        <v>#REF!</v>
      </c>
      <c r="K1282" s="196" t="e">
        <f t="shared" si="816"/>
        <v>#REF!</v>
      </c>
      <c r="L1282" s="196" t="e">
        <f t="shared" ref="L1282:L1354" si="825">M1282-I1282</f>
        <v>#REF!</v>
      </c>
      <c r="M1282" s="195" t="e">
        <f>M1283+M1315+M1499+M1680</f>
        <v>#REF!</v>
      </c>
      <c r="N1282" s="195" t="e">
        <f>N1283+N1315+N1499+N1680</f>
        <v>#REF!</v>
      </c>
      <c r="O1282" s="195" t="e">
        <f>O1283+O1315+O1499+O1680</f>
        <v>#REF!</v>
      </c>
      <c r="P1282" s="351" t="e">
        <f t="shared" si="808"/>
        <v>#REF!</v>
      </c>
      <c r="Q1282" s="195" t="e">
        <f t="shared" ref="Q1282:Y1282" si="826">Q1283+Q1315+Q1499+Q1680</f>
        <v>#REF!</v>
      </c>
      <c r="R1282" s="195" t="e">
        <f t="shared" si="826"/>
        <v>#REF!</v>
      </c>
      <c r="S1282" s="195" t="e">
        <f t="shared" si="826"/>
        <v>#REF!</v>
      </c>
      <c r="T1282" s="195">
        <f t="shared" si="826"/>
        <v>27817250</v>
      </c>
      <c r="U1282" s="195">
        <f t="shared" si="826"/>
        <v>34685821.550000004</v>
      </c>
      <c r="V1282" s="195">
        <f t="shared" si="826"/>
        <v>34502391</v>
      </c>
      <c r="W1282" s="195" t="e">
        <f t="shared" si="826"/>
        <v>#REF!</v>
      </c>
      <c r="X1282" s="195" t="e">
        <f t="shared" si="826"/>
        <v>#REF!</v>
      </c>
      <c r="Y1282" s="195">
        <f t="shared" si="826"/>
        <v>8777715.8299999982</v>
      </c>
      <c r="Z1282" s="195">
        <f t="shared" si="801"/>
        <v>25.44</v>
      </c>
      <c r="AA1282" s="195">
        <f t="shared" si="789"/>
        <v>838779</v>
      </c>
      <c r="AB1282" s="195">
        <f>AB1283+AB1315+AB1499+AB1680</f>
        <v>35341170</v>
      </c>
      <c r="AC1282" s="195">
        <f>AC1283+AC1315+AC1499+AC1680</f>
        <v>22591907.909999996</v>
      </c>
      <c r="AD1282" s="195">
        <f t="shared" si="813"/>
        <v>63.925183886102232</v>
      </c>
      <c r="AE1282" s="195">
        <f t="shared" si="817"/>
        <v>-142499</v>
      </c>
      <c r="AF1282" s="195">
        <f>AF1283+AF1315+AF1499+AF1680</f>
        <v>35198671</v>
      </c>
      <c r="AG1282" s="195">
        <f>AG1283+AG1315+AG1499+AG1680</f>
        <v>35963641</v>
      </c>
      <c r="AH1282" s="195">
        <f>AH1283+AH1315+AH1499+AH1680</f>
        <v>34417441</v>
      </c>
      <c r="AI1282" s="195">
        <f>AI1283+AI1315+AI1499+AI1680</f>
        <v>34302041</v>
      </c>
      <c r="AJ1282" s="162" t="b">
        <f t="shared" si="795"/>
        <v>1</v>
      </c>
      <c r="AK1282" s="162" t="str">
        <f t="shared" si="796"/>
        <v>PRAZNO</v>
      </c>
      <c r="AL1282" s="163"/>
    </row>
    <row r="1283" spans="1:39" s="164" customFormat="1" ht="15.75" x14ac:dyDescent="0.2">
      <c r="A1283" s="259"/>
      <c r="B1283" s="194"/>
      <c r="C1283" s="194"/>
      <c r="D1283" s="194"/>
      <c r="E1283" s="194"/>
      <c r="F1283" s="159"/>
      <c r="G1283" s="159"/>
      <c r="H1283" s="24" t="s">
        <v>625</v>
      </c>
      <c r="I1283" s="196">
        <f>I1285</f>
        <v>688900</v>
      </c>
      <c r="J1283" s="196">
        <f>J1285</f>
        <v>462307.23999999993</v>
      </c>
      <c r="K1283" s="196">
        <f t="shared" si="816"/>
        <v>67.11</v>
      </c>
      <c r="L1283" s="196">
        <f t="shared" si="825"/>
        <v>-56142.970000000088</v>
      </c>
      <c r="M1283" s="195">
        <f>M1285</f>
        <v>632757.02999999991</v>
      </c>
      <c r="N1283" s="195">
        <f>N1285</f>
        <v>696600</v>
      </c>
      <c r="O1283" s="195">
        <f>O1285</f>
        <v>422808.78</v>
      </c>
      <c r="P1283" s="351">
        <f t="shared" si="808"/>
        <v>-1000</v>
      </c>
      <c r="Q1283" s="195">
        <f t="shared" ref="Q1283:X1283" si="827">Q1285</f>
        <v>696600</v>
      </c>
      <c r="R1283" s="195">
        <f t="shared" si="827"/>
        <v>706900</v>
      </c>
      <c r="S1283" s="195">
        <f t="shared" si="827"/>
        <v>706200</v>
      </c>
      <c r="T1283" s="197">
        <f t="shared" si="827"/>
        <v>695600</v>
      </c>
      <c r="U1283" s="197">
        <f>U1285</f>
        <v>622667.4</v>
      </c>
      <c r="V1283" s="195">
        <f t="shared" si="827"/>
        <v>700100</v>
      </c>
      <c r="W1283" s="195">
        <f t="shared" si="827"/>
        <v>699100</v>
      </c>
      <c r="X1283" s="195">
        <f t="shared" si="827"/>
        <v>739000</v>
      </c>
      <c r="Y1283" s="195">
        <f>Y1285</f>
        <v>256290.68</v>
      </c>
      <c r="Z1283" s="195">
        <f t="shared" si="801"/>
        <v>36.61</v>
      </c>
      <c r="AA1283" s="195">
        <f t="shared" ref="AA1283:AA1346" si="828">AB1283-V1283</f>
        <v>-29000</v>
      </c>
      <c r="AB1283" s="195">
        <f>AB1285</f>
        <v>671100</v>
      </c>
      <c r="AC1283" s="195">
        <f>AC1285</f>
        <v>472101.24000000005</v>
      </c>
      <c r="AD1283" s="195">
        <f t="shared" si="813"/>
        <v>70.347375949932953</v>
      </c>
      <c r="AE1283" s="195">
        <f t="shared" si="817"/>
        <v>0</v>
      </c>
      <c r="AF1283" s="195">
        <f>AF1285</f>
        <v>671100</v>
      </c>
      <c r="AG1283" s="195">
        <f>AG1285</f>
        <v>723100</v>
      </c>
      <c r="AH1283" s="195">
        <f>AH1285</f>
        <v>735400</v>
      </c>
      <c r="AI1283" s="195">
        <f>AI1285</f>
        <v>729500</v>
      </c>
      <c r="AJ1283" s="162" t="b">
        <f t="shared" si="795"/>
        <v>1</v>
      </c>
      <c r="AK1283" s="162" t="str">
        <f t="shared" si="796"/>
        <v>PRAZNO</v>
      </c>
      <c r="AL1283" s="165"/>
    </row>
    <row r="1284" spans="1:39" s="164" customFormat="1" ht="15.75" x14ac:dyDescent="0.2">
      <c r="A1284" s="259"/>
      <c r="B1284" s="194"/>
      <c r="C1284" s="194"/>
      <c r="D1284" s="194"/>
      <c r="E1284" s="194"/>
      <c r="F1284" s="159"/>
      <c r="G1284" s="159"/>
      <c r="H1284" s="11" t="s">
        <v>626</v>
      </c>
      <c r="I1284" s="196"/>
      <c r="J1284" s="196"/>
      <c r="K1284" s="196" t="e">
        <f t="shared" si="816"/>
        <v>#DIV/0!</v>
      </c>
      <c r="L1284" s="196"/>
      <c r="M1284" s="195"/>
      <c r="N1284" s="195"/>
      <c r="O1284" s="195"/>
      <c r="P1284" s="353"/>
      <c r="Q1284" s="195"/>
      <c r="R1284" s="195"/>
      <c r="S1284" s="195"/>
      <c r="T1284" s="197"/>
      <c r="U1284" s="197"/>
      <c r="V1284" s="195"/>
      <c r="W1284" s="195"/>
      <c r="X1284" s="195"/>
      <c r="Y1284" s="195"/>
      <c r="Z1284" s="195"/>
      <c r="AA1284" s="195"/>
      <c r="AB1284" s="195"/>
      <c r="AC1284" s="195"/>
      <c r="AD1284" s="195"/>
      <c r="AE1284" s="195">
        <f t="shared" si="817"/>
        <v>0</v>
      </c>
      <c r="AF1284" s="195"/>
      <c r="AG1284" s="195"/>
      <c r="AH1284" s="195"/>
      <c r="AI1284" s="195"/>
      <c r="AJ1284" s="162" t="b">
        <f t="shared" si="795"/>
        <v>1</v>
      </c>
      <c r="AK1284" s="162" t="str">
        <f t="shared" si="796"/>
        <v>PRAZNO</v>
      </c>
      <c r="AL1284" s="165"/>
    </row>
    <row r="1285" spans="1:39" s="171" customFormat="1" ht="15.75" x14ac:dyDescent="0.2">
      <c r="A1285" s="259"/>
      <c r="B1285" s="280"/>
      <c r="C1285" s="280"/>
      <c r="D1285" s="280"/>
      <c r="E1285" s="280"/>
      <c r="F1285" s="280"/>
      <c r="G1285" s="280"/>
      <c r="H1285" s="271" t="s">
        <v>850</v>
      </c>
      <c r="I1285" s="273">
        <f>I1286+I1308</f>
        <v>688900</v>
      </c>
      <c r="J1285" s="273">
        <f>J1286+J1308</f>
        <v>462307.23999999993</v>
      </c>
      <c r="K1285" s="273">
        <f t="shared" si="816"/>
        <v>67.11</v>
      </c>
      <c r="L1285" s="273">
        <f t="shared" si="825"/>
        <v>-56142.970000000088</v>
      </c>
      <c r="M1285" s="273">
        <f>M1286+M1308</f>
        <v>632757.02999999991</v>
      </c>
      <c r="N1285" s="304">
        <f>N1286+N1308</f>
        <v>696600</v>
      </c>
      <c r="O1285" s="304">
        <f>O1286+O1308</f>
        <v>422808.78</v>
      </c>
      <c r="P1285" s="336">
        <f t="shared" si="808"/>
        <v>-1000</v>
      </c>
      <c r="Q1285" s="304">
        <f t="shared" ref="Q1285:X1285" si="829">Q1286+Q1308</f>
        <v>696600</v>
      </c>
      <c r="R1285" s="304">
        <f t="shared" si="829"/>
        <v>706900</v>
      </c>
      <c r="S1285" s="304">
        <f t="shared" si="829"/>
        <v>706200</v>
      </c>
      <c r="T1285" s="336">
        <f t="shared" si="829"/>
        <v>695600</v>
      </c>
      <c r="U1285" s="336">
        <f>U1286+U1308</f>
        <v>622667.4</v>
      </c>
      <c r="V1285" s="304">
        <f t="shared" si="829"/>
        <v>700100</v>
      </c>
      <c r="W1285" s="304">
        <f t="shared" si="829"/>
        <v>699100</v>
      </c>
      <c r="X1285" s="304">
        <f t="shared" si="829"/>
        <v>739000</v>
      </c>
      <c r="Y1285" s="304">
        <f>Y1286+Y1308</f>
        <v>256290.68</v>
      </c>
      <c r="Z1285" s="304">
        <f t="shared" ref="Z1285:Z1348" si="830">ROUND(Y1285/V1285*100,2)</f>
        <v>36.61</v>
      </c>
      <c r="AA1285" s="304">
        <f t="shared" si="828"/>
        <v>-29000</v>
      </c>
      <c r="AB1285" s="304">
        <f>AB1286+AB1308</f>
        <v>671100</v>
      </c>
      <c r="AC1285" s="304">
        <f>AC1286+AC1308</f>
        <v>472101.24000000005</v>
      </c>
      <c r="AD1285" s="304">
        <f t="shared" si="813"/>
        <v>70.347375949932953</v>
      </c>
      <c r="AE1285" s="304">
        <f t="shared" si="817"/>
        <v>0</v>
      </c>
      <c r="AF1285" s="304">
        <f>AF1286+AF1308</f>
        <v>671100</v>
      </c>
      <c r="AG1285" s="304">
        <f>AG1286+AG1308</f>
        <v>723100</v>
      </c>
      <c r="AH1285" s="304">
        <f>AH1286+AH1308</f>
        <v>735400</v>
      </c>
      <c r="AI1285" s="304">
        <f>AI1286+AI1308</f>
        <v>729500</v>
      </c>
      <c r="AJ1285" s="162" t="b">
        <f t="shared" si="795"/>
        <v>1</v>
      </c>
      <c r="AK1285" s="162" t="str">
        <f t="shared" si="796"/>
        <v>PRAZNO</v>
      </c>
      <c r="AL1285" s="170"/>
      <c r="AM1285" s="164"/>
    </row>
    <row r="1286" spans="1:39" s="207" customFormat="1" ht="15.75" x14ac:dyDescent="0.25">
      <c r="A1286" s="378"/>
      <c r="B1286" s="168"/>
      <c r="C1286" s="168"/>
      <c r="D1286" s="168"/>
      <c r="E1286" s="168"/>
      <c r="F1286" s="168"/>
      <c r="G1286" s="168"/>
      <c r="H1286" s="13" t="s">
        <v>591</v>
      </c>
      <c r="I1286" s="169">
        <f>I1288</f>
        <v>683900</v>
      </c>
      <c r="J1286" s="169">
        <f>J1288</f>
        <v>459892.69999999995</v>
      </c>
      <c r="K1286" s="169">
        <f t="shared" si="816"/>
        <v>67.25</v>
      </c>
      <c r="L1286" s="169">
        <f t="shared" si="825"/>
        <v>-55872.800000000047</v>
      </c>
      <c r="M1286" s="19">
        <f>M1288</f>
        <v>628027.19999999995</v>
      </c>
      <c r="N1286" s="302">
        <f>N1288</f>
        <v>691600</v>
      </c>
      <c r="O1286" s="302">
        <f>O1288</f>
        <v>422808.78</v>
      </c>
      <c r="P1286" s="303">
        <f t="shared" si="808"/>
        <v>-3000</v>
      </c>
      <c r="Q1286" s="302">
        <f t="shared" ref="Q1286:X1286" si="831">Q1288</f>
        <v>691600</v>
      </c>
      <c r="R1286" s="302">
        <f t="shared" si="831"/>
        <v>701900</v>
      </c>
      <c r="S1286" s="302">
        <f t="shared" si="831"/>
        <v>701200</v>
      </c>
      <c r="T1286" s="303">
        <f t="shared" si="831"/>
        <v>688600</v>
      </c>
      <c r="U1286" s="303">
        <f>U1288</f>
        <v>616130.4</v>
      </c>
      <c r="V1286" s="302">
        <f t="shared" si="831"/>
        <v>695100</v>
      </c>
      <c r="W1286" s="302">
        <f t="shared" si="831"/>
        <v>694100</v>
      </c>
      <c r="X1286" s="302">
        <f t="shared" si="831"/>
        <v>734000</v>
      </c>
      <c r="Y1286" s="302">
        <f>Y1288</f>
        <v>252630.28</v>
      </c>
      <c r="Z1286" s="302">
        <f t="shared" si="830"/>
        <v>36.340000000000003</v>
      </c>
      <c r="AA1286" s="302">
        <f t="shared" si="828"/>
        <v>-29000</v>
      </c>
      <c r="AB1286" s="302">
        <f>AB1288</f>
        <v>666100</v>
      </c>
      <c r="AC1286" s="302">
        <f>AC1288</f>
        <v>468440.84</v>
      </c>
      <c r="AD1286" s="302">
        <f t="shared" si="813"/>
        <v>70.32590301756494</v>
      </c>
      <c r="AE1286" s="302">
        <f t="shared" si="817"/>
        <v>0</v>
      </c>
      <c r="AF1286" s="302">
        <f>AF1288</f>
        <v>666100</v>
      </c>
      <c r="AG1286" s="302">
        <f>AG1288</f>
        <v>720100</v>
      </c>
      <c r="AH1286" s="302">
        <f>AH1288</f>
        <v>730400</v>
      </c>
      <c r="AI1286" s="302">
        <f>AI1288</f>
        <v>725500</v>
      </c>
      <c r="AJ1286" s="162" t="b">
        <f t="shared" si="795"/>
        <v>1</v>
      </c>
      <c r="AK1286" s="162" t="str">
        <f t="shared" si="796"/>
        <v>PRAZNO</v>
      </c>
      <c r="AL1286" s="206"/>
      <c r="AM1286" s="164"/>
    </row>
    <row r="1287" spans="1:39" s="447" customFormat="1" ht="15.75" x14ac:dyDescent="0.25">
      <c r="A1287" s="378"/>
      <c r="B1287" s="260"/>
      <c r="C1287" s="260"/>
      <c r="D1287" s="260"/>
      <c r="E1287" s="260"/>
      <c r="F1287" s="260"/>
      <c r="G1287" s="260"/>
      <c r="H1287" s="440" t="s">
        <v>824</v>
      </c>
      <c r="I1287" s="181"/>
      <c r="J1287" s="181"/>
      <c r="K1287" s="181"/>
      <c r="L1287" s="181"/>
      <c r="M1287" s="262"/>
      <c r="N1287" s="406"/>
      <c r="O1287" s="406"/>
      <c r="P1287" s="445"/>
      <c r="Q1287" s="406"/>
      <c r="R1287" s="406"/>
      <c r="S1287" s="406"/>
      <c r="T1287" s="445"/>
      <c r="U1287" s="445"/>
      <c r="V1287" s="406">
        <f>V1288</f>
        <v>695100</v>
      </c>
      <c r="W1287" s="406">
        <f>W1288</f>
        <v>694100</v>
      </c>
      <c r="X1287" s="406">
        <f>X1288</f>
        <v>734000</v>
      </c>
      <c r="Y1287" s="406">
        <f>Y1288</f>
        <v>252630.28</v>
      </c>
      <c r="Z1287" s="406">
        <f t="shared" si="830"/>
        <v>36.340000000000003</v>
      </c>
      <c r="AA1287" s="406">
        <f t="shared" si="828"/>
        <v>-29000</v>
      </c>
      <c r="AB1287" s="406">
        <f>AB1288</f>
        <v>666100</v>
      </c>
      <c r="AC1287" s="406">
        <f>AC1288</f>
        <v>468440.84</v>
      </c>
      <c r="AD1287" s="406">
        <f t="shared" si="813"/>
        <v>70.32590301756494</v>
      </c>
      <c r="AE1287" s="406">
        <f t="shared" si="817"/>
        <v>0</v>
      </c>
      <c r="AF1287" s="406">
        <f>AF1288</f>
        <v>666100</v>
      </c>
      <c r="AG1287" s="406">
        <f>AG1288</f>
        <v>720100</v>
      </c>
      <c r="AH1287" s="406">
        <f>AH1288</f>
        <v>730400</v>
      </c>
      <c r="AI1287" s="406">
        <f>AI1288</f>
        <v>725500</v>
      </c>
      <c r="AJ1287" s="162" t="b">
        <f t="shared" si="795"/>
        <v>1</v>
      </c>
      <c r="AK1287" s="162" t="str">
        <f t="shared" si="796"/>
        <v>PRAZNO</v>
      </c>
      <c r="AL1287" s="446"/>
      <c r="AM1287" s="264"/>
    </row>
    <row r="1288" spans="1:39" s="174" customFormat="1" ht="15.75" x14ac:dyDescent="0.2">
      <c r="A1288" s="259"/>
      <c r="B1288" s="172">
        <v>3</v>
      </c>
      <c r="C1288" s="172"/>
      <c r="D1288" s="172"/>
      <c r="E1288" s="172"/>
      <c r="F1288" s="172"/>
      <c r="G1288" s="172"/>
      <c r="H1288" s="14" t="s">
        <v>524</v>
      </c>
      <c r="I1288" s="20">
        <f>I1289+I1297</f>
        <v>683900</v>
      </c>
      <c r="J1288" s="20">
        <f>J1289+J1297</f>
        <v>459892.69999999995</v>
      </c>
      <c r="K1288" s="20">
        <f t="shared" si="816"/>
        <v>67.25</v>
      </c>
      <c r="L1288" s="20">
        <f t="shared" si="825"/>
        <v>-55872.800000000047</v>
      </c>
      <c r="M1288" s="20">
        <f>M1289+M1297</f>
        <v>628027.19999999995</v>
      </c>
      <c r="N1288" s="20">
        <f>N1289+N1297</f>
        <v>691600</v>
      </c>
      <c r="O1288" s="20">
        <f>O1289+O1297</f>
        <v>422808.78</v>
      </c>
      <c r="P1288" s="55">
        <f t="shared" si="808"/>
        <v>-3000</v>
      </c>
      <c r="Q1288" s="20">
        <f t="shared" ref="Q1288:X1288" si="832">Q1289+Q1297</f>
        <v>691600</v>
      </c>
      <c r="R1288" s="20">
        <f t="shared" si="832"/>
        <v>701900</v>
      </c>
      <c r="S1288" s="20">
        <f t="shared" si="832"/>
        <v>701200</v>
      </c>
      <c r="T1288" s="55">
        <f t="shared" si="832"/>
        <v>688600</v>
      </c>
      <c r="U1288" s="55">
        <f>U1289+U1297</f>
        <v>616130.4</v>
      </c>
      <c r="V1288" s="20">
        <f t="shared" si="832"/>
        <v>695100</v>
      </c>
      <c r="W1288" s="20">
        <f t="shared" si="832"/>
        <v>694100</v>
      </c>
      <c r="X1288" s="20">
        <f t="shared" si="832"/>
        <v>734000</v>
      </c>
      <c r="Y1288" s="20">
        <f>Y1289+Y1297</f>
        <v>252630.28</v>
      </c>
      <c r="Z1288" s="20">
        <f t="shared" si="830"/>
        <v>36.340000000000003</v>
      </c>
      <c r="AA1288" s="20">
        <f t="shared" si="828"/>
        <v>-29000</v>
      </c>
      <c r="AB1288" s="20">
        <f>AB1289+AB1297</f>
        <v>666100</v>
      </c>
      <c r="AC1288" s="20">
        <f>AC1289+AC1297</f>
        <v>468440.84</v>
      </c>
      <c r="AD1288" s="20">
        <f t="shared" si="813"/>
        <v>70.32590301756494</v>
      </c>
      <c r="AE1288" s="20">
        <f t="shared" si="817"/>
        <v>0</v>
      </c>
      <c r="AF1288" s="20">
        <f>AF1289+AF1297</f>
        <v>666100</v>
      </c>
      <c r="AG1288" s="20">
        <f>AG1289+AG1297</f>
        <v>720100</v>
      </c>
      <c r="AH1288" s="20">
        <f>AH1289+AH1297</f>
        <v>730400</v>
      </c>
      <c r="AI1288" s="20">
        <f>AI1289+AI1297</f>
        <v>725500</v>
      </c>
      <c r="AJ1288" s="162" t="b">
        <f t="shared" si="795"/>
        <v>1</v>
      </c>
      <c r="AK1288" s="162" t="str">
        <f t="shared" si="796"/>
        <v>PRAZNO</v>
      </c>
      <c r="AL1288" s="173"/>
      <c r="AM1288" s="164"/>
    </row>
    <row r="1289" spans="1:39" ht="15.75" x14ac:dyDescent="0.2">
      <c r="B1289" s="175"/>
      <c r="C1289" s="175">
        <v>31</v>
      </c>
      <c r="D1289" s="175"/>
      <c r="E1289" s="175"/>
      <c r="F1289" s="175"/>
      <c r="G1289" s="175"/>
      <c r="H1289" s="15" t="s">
        <v>197</v>
      </c>
      <c r="I1289" s="22">
        <f>I1290+I1292+I1294</f>
        <v>640000</v>
      </c>
      <c r="J1289" s="22">
        <f>J1290+J1292+J1294</f>
        <v>432894.86</v>
      </c>
      <c r="K1289" s="22">
        <f t="shared" si="816"/>
        <v>67.64</v>
      </c>
      <c r="L1289" s="22">
        <f t="shared" si="825"/>
        <v>-49498.140000000014</v>
      </c>
      <c r="M1289" s="22">
        <f>M1290+M1292+M1294</f>
        <v>590501.86</v>
      </c>
      <c r="N1289" s="22">
        <f>N1290+N1292+N1294</f>
        <v>629600</v>
      </c>
      <c r="O1289" s="22">
        <f>O1290+O1292+O1294</f>
        <v>393245.74000000005</v>
      </c>
      <c r="P1289" s="26">
        <f t="shared" si="808"/>
        <v>0</v>
      </c>
      <c r="Q1289" s="22">
        <f t="shared" ref="Q1289:X1289" si="833">Q1290+Q1292+Q1294</f>
        <v>629600</v>
      </c>
      <c r="R1289" s="22">
        <f t="shared" si="833"/>
        <v>657000</v>
      </c>
      <c r="S1289" s="22">
        <f t="shared" si="833"/>
        <v>654000</v>
      </c>
      <c r="T1289" s="38">
        <f t="shared" si="833"/>
        <v>629600</v>
      </c>
      <c r="U1289" s="38">
        <f>U1290+U1292+U1294</f>
        <v>569059.53</v>
      </c>
      <c r="V1289" s="22">
        <f t="shared" si="833"/>
        <v>635600</v>
      </c>
      <c r="W1289" s="22">
        <f t="shared" si="833"/>
        <v>634600</v>
      </c>
      <c r="X1289" s="22">
        <f t="shared" si="833"/>
        <v>668000</v>
      </c>
      <c r="Y1289" s="22">
        <f>Y1290+Y1292+Y1294</f>
        <v>237375.3</v>
      </c>
      <c r="Z1289" s="22">
        <f t="shared" si="830"/>
        <v>37.35</v>
      </c>
      <c r="AA1289" s="22">
        <f t="shared" si="828"/>
        <v>-29000</v>
      </c>
      <c r="AB1289" s="22">
        <f>AB1290+AB1292+AB1294</f>
        <v>606600</v>
      </c>
      <c r="AC1289" s="22">
        <f>AC1290+AC1292+AC1294</f>
        <v>440431.41000000003</v>
      </c>
      <c r="AD1289" s="22">
        <f t="shared" si="813"/>
        <v>72.606562809099913</v>
      </c>
      <c r="AE1289" s="22">
        <f t="shared" si="817"/>
        <v>0</v>
      </c>
      <c r="AF1289" s="22">
        <f>AF1290+AF1292+AF1294</f>
        <v>606600</v>
      </c>
      <c r="AG1289" s="22">
        <f>AG1290+AG1292+AG1294</f>
        <v>664000</v>
      </c>
      <c r="AH1289" s="22">
        <f>AH1290+AH1292+AH1294</f>
        <v>674100</v>
      </c>
      <c r="AI1289" s="22">
        <f>AI1290+AI1292+AI1294</f>
        <v>672600</v>
      </c>
      <c r="AJ1289" s="162" t="b">
        <f t="shared" ref="AJ1289:AJ1352" si="834">ISBLANK(E1289)</f>
        <v>1</v>
      </c>
      <c r="AK1289" s="162" t="str">
        <f t="shared" ref="AK1289:AK1352" si="835">IF(AJ1289,"PRAZNO","PUNO")</f>
        <v>PRAZNO</v>
      </c>
      <c r="AM1289" s="164"/>
    </row>
    <row r="1290" spans="1:39" ht="15.75" x14ac:dyDescent="0.2">
      <c r="B1290" s="177"/>
      <c r="C1290" s="177"/>
      <c r="D1290" s="177">
        <v>311</v>
      </c>
      <c r="E1290" s="177"/>
      <c r="F1290" s="177"/>
      <c r="G1290" s="177"/>
      <c r="H1290" s="16" t="s">
        <v>915</v>
      </c>
      <c r="I1290" s="17">
        <f>SUM(I1291:I1291)</f>
        <v>520000</v>
      </c>
      <c r="J1290" s="17">
        <f>SUM(J1291:J1291)</f>
        <v>360455.98</v>
      </c>
      <c r="K1290" s="17">
        <f t="shared" si="816"/>
        <v>69.319999999999993</v>
      </c>
      <c r="L1290" s="17">
        <f t="shared" si="825"/>
        <v>-35373.890000000014</v>
      </c>
      <c r="M1290" s="17">
        <f>SUM(M1291:M1291)</f>
        <v>484626.11</v>
      </c>
      <c r="N1290" s="17">
        <f>SUM(N1291:N1291)</f>
        <v>515000</v>
      </c>
      <c r="O1290" s="17">
        <f>SUM(O1291:O1291)</f>
        <v>328728.59000000003</v>
      </c>
      <c r="P1290" s="26">
        <f t="shared" si="808"/>
        <v>0</v>
      </c>
      <c r="Q1290" s="17">
        <f t="shared" ref="Q1290:AI1290" si="836">SUM(Q1291:Q1291)</f>
        <v>515000</v>
      </c>
      <c r="R1290" s="17">
        <f t="shared" si="836"/>
        <v>524000</v>
      </c>
      <c r="S1290" s="17">
        <f t="shared" si="836"/>
        <v>533000</v>
      </c>
      <c r="T1290" s="26">
        <f t="shared" si="836"/>
        <v>515000</v>
      </c>
      <c r="U1290" s="26">
        <f t="shared" si="836"/>
        <v>474357.31</v>
      </c>
      <c r="V1290" s="17">
        <f t="shared" si="836"/>
        <v>515000</v>
      </c>
      <c r="W1290" s="17">
        <f t="shared" si="836"/>
        <v>515000</v>
      </c>
      <c r="X1290" s="17">
        <f t="shared" si="836"/>
        <v>541000</v>
      </c>
      <c r="Y1290" s="17">
        <f t="shared" si="836"/>
        <v>204488.59</v>
      </c>
      <c r="Z1290" s="17">
        <f t="shared" si="830"/>
        <v>39.71</v>
      </c>
      <c r="AA1290" s="17">
        <f t="shared" si="828"/>
        <v>-17000</v>
      </c>
      <c r="AB1290" s="17">
        <f t="shared" si="836"/>
        <v>498000</v>
      </c>
      <c r="AC1290" s="17">
        <f t="shared" si="836"/>
        <v>369711.65</v>
      </c>
      <c r="AD1290" s="17">
        <f t="shared" si="813"/>
        <v>74.239287148594386</v>
      </c>
      <c r="AE1290" s="17">
        <f t="shared" si="817"/>
        <v>0</v>
      </c>
      <c r="AF1290" s="17">
        <f t="shared" si="836"/>
        <v>498000</v>
      </c>
      <c r="AG1290" s="17">
        <f t="shared" si="836"/>
        <v>553200</v>
      </c>
      <c r="AH1290" s="17">
        <f t="shared" si="836"/>
        <v>555200</v>
      </c>
      <c r="AI1290" s="17">
        <f t="shared" si="836"/>
        <v>558200</v>
      </c>
      <c r="AJ1290" s="162" t="b">
        <f t="shared" si="834"/>
        <v>1</v>
      </c>
      <c r="AK1290" s="162" t="str">
        <f t="shared" si="835"/>
        <v>PRAZNO</v>
      </c>
      <c r="AM1290" s="164"/>
    </row>
    <row r="1291" spans="1:39" ht="15.75" x14ac:dyDescent="0.2">
      <c r="B1291" s="177"/>
      <c r="C1291" s="177"/>
      <c r="D1291" s="177"/>
      <c r="E1291" s="177">
        <v>3111</v>
      </c>
      <c r="F1291" s="176">
        <v>11</v>
      </c>
      <c r="G1291" s="176" t="s">
        <v>746</v>
      </c>
      <c r="H1291" s="16" t="s">
        <v>199</v>
      </c>
      <c r="I1291" s="18">
        <v>520000</v>
      </c>
      <c r="J1291" s="18">
        <v>360455.98</v>
      </c>
      <c r="K1291" s="18">
        <f t="shared" si="816"/>
        <v>69.319999999999993</v>
      </c>
      <c r="L1291" s="18">
        <f t="shared" si="825"/>
        <v>-35373.890000000014</v>
      </c>
      <c r="M1291" s="18">
        <v>484626.11</v>
      </c>
      <c r="N1291" s="18">
        <f>520000-5000</f>
        <v>515000</v>
      </c>
      <c r="O1291" s="18">
        <v>328728.59000000003</v>
      </c>
      <c r="P1291" s="26">
        <f t="shared" si="808"/>
        <v>0</v>
      </c>
      <c r="Q1291" s="18">
        <f>520000-5000</f>
        <v>515000</v>
      </c>
      <c r="R1291" s="18">
        <v>524000</v>
      </c>
      <c r="S1291" s="18">
        <v>533000</v>
      </c>
      <c r="T1291" s="27">
        <v>515000</v>
      </c>
      <c r="U1291" s="27">
        <v>474357.31</v>
      </c>
      <c r="V1291" s="27">
        <v>515000</v>
      </c>
      <c r="W1291" s="27">
        <v>515000</v>
      </c>
      <c r="X1291" s="18">
        <v>541000</v>
      </c>
      <c r="Y1291" s="27">
        <v>204488.59</v>
      </c>
      <c r="Z1291" s="27">
        <f t="shared" si="830"/>
        <v>39.71</v>
      </c>
      <c r="AA1291" s="27">
        <f t="shared" si="828"/>
        <v>-17000</v>
      </c>
      <c r="AB1291" s="27">
        <v>498000</v>
      </c>
      <c r="AC1291" s="27">
        <v>369711.65</v>
      </c>
      <c r="AD1291" s="27">
        <f t="shared" si="813"/>
        <v>74.239287148594386</v>
      </c>
      <c r="AE1291" s="27">
        <f t="shared" si="817"/>
        <v>0</v>
      </c>
      <c r="AF1291" s="27">
        <v>498000</v>
      </c>
      <c r="AG1291" s="18">
        <f>510000+43200</f>
        <v>553200</v>
      </c>
      <c r="AH1291" s="18">
        <f>512000+43200</f>
        <v>555200</v>
      </c>
      <c r="AI1291" s="18">
        <f>515000+43200</f>
        <v>558200</v>
      </c>
      <c r="AJ1291" s="162" t="b">
        <f t="shared" si="834"/>
        <v>0</v>
      </c>
      <c r="AK1291" s="162" t="str">
        <f t="shared" si="835"/>
        <v>PUNO</v>
      </c>
      <c r="AM1291" s="164"/>
    </row>
    <row r="1292" spans="1:39" ht="15.75" x14ac:dyDescent="0.2">
      <c r="B1292" s="177"/>
      <c r="C1292" s="177"/>
      <c r="D1292" s="177">
        <v>312</v>
      </c>
      <c r="E1292" s="177"/>
      <c r="F1292" s="177"/>
      <c r="G1292" s="177"/>
      <c r="H1292" s="16" t="s">
        <v>200</v>
      </c>
      <c r="I1292" s="17">
        <f>I1293</f>
        <v>31000</v>
      </c>
      <c r="J1292" s="17">
        <f>J1293</f>
        <v>10080</v>
      </c>
      <c r="K1292" s="17">
        <f t="shared" si="816"/>
        <v>32.520000000000003</v>
      </c>
      <c r="L1292" s="17">
        <f t="shared" si="825"/>
        <v>-8964.57</v>
      </c>
      <c r="M1292" s="17">
        <f>M1293</f>
        <v>22035.43</v>
      </c>
      <c r="N1292" s="17">
        <f>N1293</f>
        <v>25000</v>
      </c>
      <c r="O1292" s="17">
        <f>O1293</f>
        <v>10080</v>
      </c>
      <c r="P1292" s="26">
        <f t="shared" si="808"/>
        <v>0</v>
      </c>
      <c r="Q1292" s="17">
        <f t="shared" ref="Q1292:AI1292" si="837">Q1293</f>
        <v>25000</v>
      </c>
      <c r="R1292" s="17">
        <f t="shared" si="837"/>
        <v>42000</v>
      </c>
      <c r="S1292" s="17">
        <f t="shared" si="837"/>
        <v>26000</v>
      </c>
      <c r="T1292" s="26">
        <f t="shared" si="837"/>
        <v>25000</v>
      </c>
      <c r="U1292" s="26">
        <f t="shared" si="837"/>
        <v>17983.95</v>
      </c>
      <c r="V1292" s="17">
        <f t="shared" si="837"/>
        <v>31000</v>
      </c>
      <c r="W1292" s="17">
        <f t="shared" si="837"/>
        <v>30000</v>
      </c>
      <c r="X1292" s="17">
        <f t="shared" si="837"/>
        <v>33000</v>
      </c>
      <c r="Y1292" s="17">
        <f t="shared" si="837"/>
        <v>1600</v>
      </c>
      <c r="Z1292" s="17">
        <f t="shared" si="830"/>
        <v>5.16</v>
      </c>
      <c r="AA1292" s="17">
        <f t="shared" si="828"/>
        <v>0</v>
      </c>
      <c r="AB1292" s="17">
        <f t="shared" si="837"/>
        <v>31000</v>
      </c>
      <c r="AC1292" s="17">
        <f t="shared" si="837"/>
        <v>14153.93</v>
      </c>
      <c r="AD1292" s="17">
        <f t="shared" si="813"/>
        <v>45.657838709677421</v>
      </c>
      <c r="AE1292" s="17">
        <f t="shared" si="817"/>
        <v>0</v>
      </c>
      <c r="AF1292" s="17">
        <f t="shared" si="837"/>
        <v>31000</v>
      </c>
      <c r="AG1292" s="17">
        <f t="shared" si="837"/>
        <v>26000</v>
      </c>
      <c r="AH1292" s="17">
        <f t="shared" si="837"/>
        <v>33500</v>
      </c>
      <c r="AI1292" s="17">
        <f t="shared" si="837"/>
        <v>28500</v>
      </c>
      <c r="AJ1292" s="162" t="b">
        <f t="shared" si="834"/>
        <v>1</v>
      </c>
      <c r="AK1292" s="162" t="str">
        <f t="shared" si="835"/>
        <v>PRAZNO</v>
      </c>
      <c r="AM1292" s="164"/>
    </row>
    <row r="1293" spans="1:39" ht="15.75" x14ac:dyDescent="0.2">
      <c r="B1293" s="177"/>
      <c r="C1293" s="177"/>
      <c r="D1293" s="177"/>
      <c r="E1293" s="177">
        <v>3121</v>
      </c>
      <c r="F1293" s="176">
        <v>11</v>
      </c>
      <c r="G1293" s="176" t="s">
        <v>746</v>
      </c>
      <c r="H1293" s="16" t="s">
        <v>200</v>
      </c>
      <c r="I1293" s="18">
        <v>31000</v>
      </c>
      <c r="J1293" s="18">
        <v>10080</v>
      </c>
      <c r="K1293" s="18">
        <f t="shared" si="816"/>
        <v>32.520000000000003</v>
      </c>
      <c r="L1293" s="18">
        <f t="shared" si="825"/>
        <v>-8964.57</v>
      </c>
      <c r="M1293" s="18">
        <v>22035.43</v>
      </c>
      <c r="N1293" s="18">
        <v>25000</v>
      </c>
      <c r="O1293" s="18">
        <v>10080</v>
      </c>
      <c r="P1293" s="26">
        <f t="shared" si="808"/>
        <v>0</v>
      </c>
      <c r="Q1293" s="18">
        <v>25000</v>
      </c>
      <c r="R1293" s="18">
        <v>42000</v>
      </c>
      <c r="S1293" s="18">
        <v>26000</v>
      </c>
      <c r="T1293" s="27">
        <v>25000</v>
      </c>
      <c r="U1293" s="27">
        <v>17983.95</v>
      </c>
      <c r="V1293" s="18">
        <v>31000</v>
      </c>
      <c r="W1293" s="18">
        <v>30000</v>
      </c>
      <c r="X1293" s="18">
        <v>33000</v>
      </c>
      <c r="Y1293" s="18">
        <v>1600</v>
      </c>
      <c r="Z1293" s="18">
        <f t="shared" si="830"/>
        <v>5.16</v>
      </c>
      <c r="AA1293" s="18">
        <f t="shared" si="828"/>
        <v>0</v>
      </c>
      <c r="AB1293" s="18">
        <v>31000</v>
      </c>
      <c r="AC1293" s="18">
        <v>14153.93</v>
      </c>
      <c r="AD1293" s="18">
        <f t="shared" si="813"/>
        <v>45.657838709677421</v>
      </c>
      <c r="AE1293" s="18">
        <f t="shared" si="817"/>
        <v>0</v>
      </c>
      <c r="AF1293" s="18">
        <v>31000</v>
      </c>
      <c r="AG1293" s="18">
        <v>26000</v>
      </c>
      <c r="AH1293" s="18">
        <v>33500</v>
      </c>
      <c r="AI1293" s="18">
        <v>28500</v>
      </c>
      <c r="AJ1293" s="162" t="b">
        <f t="shared" si="834"/>
        <v>0</v>
      </c>
      <c r="AK1293" s="162" t="str">
        <f t="shared" si="835"/>
        <v>PUNO</v>
      </c>
      <c r="AM1293" s="164"/>
    </row>
    <row r="1294" spans="1:39" ht="15.75" x14ac:dyDescent="0.2">
      <c r="B1294" s="177"/>
      <c r="C1294" s="177"/>
      <c r="D1294" s="177">
        <v>313</v>
      </c>
      <c r="E1294" s="177"/>
      <c r="F1294" s="177"/>
      <c r="G1294" s="177"/>
      <c r="H1294" s="16" t="s">
        <v>201</v>
      </c>
      <c r="I1294" s="17">
        <f>SUM(I1295:I1296)</f>
        <v>89000</v>
      </c>
      <c r="J1294" s="17">
        <f>SUM(J1295:J1296)</f>
        <v>62358.879999999997</v>
      </c>
      <c r="K1294" s="17">
        <f t="shared" si="816"/>
        <v>70.069999999999993</v>
      </c>
      <c r="L1294" s="17">
        <f t="shared" si="825"/>
        <v>-5159.679999999993</v>
      </c>
      <c r="M1294" s="17">
        <f>SUM(M1295:M1296)</f>
        <v>83840.320000000007</v>
      </c>
      <c r="N1294" s="17">
        <f>SUM(N1295:N1296)</f>
        <v>89600</v>
      </c>
      <c r="O1294" s="17">
        <f>SUM(O1295:O1296)</f>
        <v>54437.15</v>
      </c>
      <c r="P1294" s="26">
        <f t="shared" si="808"/>
        <v>0</v>
      </c>
      <c r="Q1294" s="17">
        <f t="shared" ref="Q1294:X1294" si="838">SUM(Q1295:Q1296)</f>
        <v>89600</v>
      </c>
      <c r="R1294" s="17">
        <f t="shared" si="838"/>
        <v>91000</v>
      </c>
      <c r="S1294" s="17">
        <f t="shared" si="838"/>
        <v>95000</v>
      </c>
      <c r="T1294" s="26">
        <f t="shared" si="838"/>
        <v>89600</v>
      </c>
      <c r="U1294" s="26">
        <f>SUM(U1295:U1296)</f>
        <v>76718.27</v>
      </c>
      <c r="V1294" s="17">
        <f t="shared" si="838"/>
        <v>89600</v>
      </c>
      <c r="W1294" s="17">
        <f t="shared" si="838"/>
        <v>89600</v>
      </c>
      <c r="X1294" s="17">
        <f t="shared" si="838"/>
        <v>94000</v>
      </c>
      <c r="Y1294" s="17">
        <f>SUM(Y1295:Y1296)</f>
        <v>31286.71</v>
      </c>
      <c r="Z1294" s="17">
        <f t="shared" si="830"/>
        <v>34.92</v>
      </c>
      <c r="AA1294" s="17">
        <f t="shared" si="828"/>
        <v>-12000</v>
      </c>
      <c r="AB1294" s="17">
        <f>SUM(AB1295:AB1296)</f>
        <v>77600</v>
      </c>
      <c r="AC1294" s="17">
        <f>SUM(AC1295:AC1296)</f>
        <v>56565.83</v>
      </c>
      <c r="AD1294" s="17">
        <f t="shared" si="813"/>
        <v>72.89411082474227</v>
      </c>
      <c r="AE1294" s="17">
        <f t="shared" si="817"/>
        <v>0</v>
      </c>
      <c r="AF1294" s="17">
        <f>SUM(AF1295:AF1296)</f>
        <v>77600</v>
      </c>
      <c r="AG1294" s="17">
        <f>SUM(AG1295:AG1296)</f>
        <v>84800</v>
      </c>
      <c r="AH1294" s="17">
        <f>SUM(AH1295:AH1296)</f>
        <v>85400</v>
      </c>
      <c r="AI1294" s="17">
        <f>SUM(AI1295:AI1296)</f>
        <v>85900</v>
      </c>
      <c r="AJ1294" s="162" t="b">
        <f t="shared" si="834"/>
        <v>1</v>
      </c>
      <c r="AK1294" s="162" t="str">
        <f t="shared" si="835"/>
        <v>PRAZNO</v>
      </c>
      <c r="AM1294" s="164"/>
    </row>
    <row r="1295" spans="1:39" ht="15.75" x14ac:dyDescent="0.2">
      <c r="B1295" s="177"/>
      <c r="C1295" s="177"/>
      <c r="D1295" s="177"/>
      <c r="E1295" s="177">
        <v>3132</v>
      </c>
      <c r="F1295" s="176">
        <v>11</v>
      </c>
      <c r="G1295" s="176" t="s">
        <v>746</v>
      </c>
      <c r="H1295" s="16" t="s">
        <v>202</v>
      </c>
      <c r="I1295" s="18">
        <v>80000</v>
      </c>
      <c r="J1295" s="18">
        <v>55870.64</v>
      </c>
      <c r="K1295" s="18">
        <f t="shared" si="816"/>
        <v>69.84</v>
      </c>
      <c r="L1295" s="18">
        <f t="shared" si="825"/>
        <v>-4882.9799999999959</v>
      </c>
      <c r="M1295" s="18">
        <v>75117.02</v>
      </c>
      <c r="N1295" s="18">
        <v>80000</v>
      </c>
      <c r="O1295" s="18">
        <v>48520.11</v>
      </c>
      <c r="P1295" s="26">
        <f t="shared" si="808"/>
        <v>0</v>
      </c>
      <c r="Q1295" s="18">
        <v>80000</v>
      </c>
      <c r="R1295" s="18">
        <v>84000</v>
      </c>
      <c r="S1295" s="18">
        <v>85000</v>
      </c>
      <c r="T1295" s="27">
        <v>80000</v>
      </c>
      <c r="U1295" s="27">
        <v>68179.960000000006</v>
      </c>
      <c r="V1295" s="27">
        <v>80000</v>
      </c>
      <c r="W1295" s="27">
        <v>80000</v>
      </c>
      <c r="X1295" s="18">
        <v>84000</v>
      </c>
      <c r="Y1295" s="27">
        <v>27605.96</v>
      </c>
      <c r="Z1295" s="27">
        <f t="shared" si="830"/>
        <v>34.51</v>
      </c>
      <c r="AA1295" s="27">
        <f t="shared" si="828"/>
        <v>-12000</v>
      </c>
      <c r="AB1295" s="27">
        <v>68000</v>
      </c>
      <c r="AC1295" s="27">
        <v>49911.08</v>
      </c>
      <c r="AD1295" s="27">
        <f t="shared" si="813"/>
        <v>73.398647058823528</v>
      </c>
      <c r="AE1295" s="27">
        <f t="shared" si="817"/>
        <v>0</v>
      </c>
      <c r="AF1295" s="27">
        <v>68000</v>
      </c>
      <c r="AG1295" s="18">
        <v>74800</v>
      </c>
      <c r="AH1295" s="18">
        <v>75200</v>
      </c>
      <c r="AI1295" s="18">
        <v>75500</v>
      </c>
      <c r="AJ1295" s="162" t="b">
        <f t="shared" si="834"/>
        <v>0</v>
      </c>
      <c r="AK1295" s="162" t="str">
        <f t="shared" si="835"/>
        <v>PUNO</v>
      </c>
      <c r="AM1295" s="164"/>
    </row>
    <row r="1296" spans="1:39" ht="30" x14ac:dyDescent="0.2">
      <c r="B1296" s="177"/>
      <c r="C1296" s="177"/>
      <c r="D1296" s="177"/>
      <c r="E1296" s="177">
        <v>3133</v>
      </c>
      <c r="F1296" s="176">
        <v>11</v>
      </c>
      <c r="G1296" s="176" t="s">
        <v>746</v>
      </c>
      <c r="H1296" s="16" t="s">
        <v>203</v>
      </c>
      <c r="I1296" s="18">
        <v>9000</v>
      </c>
      <c r="J1296" s="18">
        <v>6488.24</v>
      </c>
      <c r="K1296" s="18">
        <f t="shared" si="816"/>
        <v>72.09</v>
      </c>
      <c r="L1296" s="18">
        <f t="shared" si="825"/>
        <v>-276.70000000000073</v>
      </c>
      <c r="M1296" s="18">
        <v>8723.2999999999993</v>
      </c>
      <c r="N1296" s="18">
        <v>9600</v>
      </c>
      <c r="O1296" s="18">
        <v>5917.04</v>
      </c>
      <c r="P1296" s="26">
        <f t="shared" si="808"/>
        <v>0</v>
      </c>
      <c r="Q1296" s="18">
        <v>9600</v>
      </c>
      <c r="R1296" s="18">
        <v>7000</v>
      </c>
      <c r="S1296" s="18">
        <v>10000</v>
      </c>
      <c r="T1296" s="27">
        <v>9600</v>
      </c>
      <c r="U1296" s="27">
        <v>8538.31</v>
      </c>
      <c r="V1296" s="27">
        <v>9600</v>
      </c>
      <c r="W1296" s="27">
        <v>9600</v>
      </c>
      <c r="X1296" s="18">
        <v>10000</v>
      </c>
      <c r="Y1296" s="27">
        <v>3680.75</v>
      </c>
      <c r="Z1296" s="27">
        <f t="shared" si="830"/>
        <v>38.340000000000003</v>
      </c>
      <c r="AA1296" s="27">
        <f t="shared" si="828"/>
        <v>0</v>
      </c>
      <c r="AB1296" s="27">
        <v>9600</v>
      </c>
      <c r="AC1296" s="27">
        <v>6654.75</v>
      </c>
      <c r="AD1296" s="27">
        <f t="shared" si="813"/>
        <v>69.3203125</v>
      </c>
      <c r="AE1296" s="27">
        <f t="shared" si="817"/>
        <v>0</v>
      </c>
      <c r="AF1296" s="27">
        <v>9600</v>
      </c>
      <c r="AG1296" s="18">
        <v>10000</v>
      </c>
      <c r="AH1296" s="18">
        <v>10200</v>
      </c>
      <c r="AI1296" s="18">
        <v>10400</v>
      </c>
      <c r="AJ1296" s="162" t="b">
        <f t="shared" si="834"/>
        <v>0</v>
      </c>
      <c r="AK1296" s="162" t="str">
        <f t="shared" si="835"/>
        <v>PUNO</v>
      </c>
      <c r="AM1296" s="164"/>
    </row>
    <row r="1297" spans="1:39" ht="15.75" x14ac:dyDescent="0.2">
      <c r="B1297" s="175"/>
      <c r="C1297" s="175">
        <v>32</v>
      </c>
      <c r="D1297" s="175"/>
      <c r="E1297" s="175"/>
      <c r="F1297" s="175"/>
      <c r="G1297" s="175"/>
      <c r="H1297" s="15" t="s">
        <v>525</v>
      </c>
      <c r="I1297" s="22">
        <f>I1298+I1302+I1304+I1306</f>
        <v>43900</v>
      </c>
      <c r="J1297" s="22">
        <f>J1298+J1302+J1304+J1306</f>
        <v>26997.839999999997</v>
      </c>
      <c r="K1297" s="22">
        <f t="shared" si="816"/>
        <v>61.5</v>
      </c>
      <c r="L1297" s="22">
        <f t="shared" si="825"/>
        <v>-6374.6600000000035</v>
      </c>
      <c r="M1297" s="22">
        <f>M1298+M1302+M1304+M1306</f>
        <v>37525.339999999997</v>
      </c>
      <c r="N1297" s="22">
        <f>N1298+N1302+N1304+N1306</f>
        <v>62000</v>
      </c>
      <c r="O1297" s="22">
        <f>O1298+O1302+O1304+O1306</f>
        <v>29563.039999999997</v>
      </c>
      <c r="P1297" s="26">
        <f t="shared" si="808"/>
        <v>-3000</v>
      </c>
      <c r="Q1297" s="22">
        <f t="shared" ref="Q1297:X1297" si="839">Q1298+Q1302+Q1304+Q1306</f>
        <v>62000</v>
      </c>
      <c r="R1297" s="22">
        <f t="shared" si="839"/>
        <v>44900</v>
      </c>
      <c r="S1297" s="22">
        <f t="shared" si="839"/>
        <v>47200</v>
      </c>
      <c r="T1297" s="38">
        <f t="shared" si="839"/>
        <v>59000</v>
      </c>
      <c r="U1297" s="38">
        <f>U1298+U1302+U1304+U1306</f>
        <v>47070.87</v>
      </c>
      <c r="V1297" s="22">
        <f t="shared" si="839"/>
        <v>59500</v>
      </c>
      <c r="W1297" s="22">
        <f t="shared" si="839"/>
        <v>59500</v>
      </c>
      <c r="X1297" s="22">
        <f t="shared" si="839"/>
        <v>66000</v>
      </c>
      <c r="Y1297" s="22">
        <f>Y1298+Y1302+Y1304+Y1306</f>
        <v>15254.980000000001</v>
      </c>
      <c r="Z1297" s="22">
        <f t="shared" si="830"/>
        <v>25.64</v>
      </c>
      <c r="AA1297" s="22">
        <f t="shared" si="828"/>
        <v>0</v>
      </c>
      <c r="AB1297" s="22">
        <f>AB1298+AB1302+AB1304+AB1306</f>
        <v>59500</v>
      </c>
      <c r="AC1297" s="22">
        <f>AC1298+AC1302+AC1304+AC1306</f>
        <v>28009.43</v>
      </c>
      <c r="AD1297" s="22">
        <f t="shared" si="813"/>
        <v>47.074672268907563</v>
      </c>
      <c r="AE1297" s="22">
        <f t="shared" si="817"/>
        <v>0</v>
      </c>
      <c r="AF1297" s="22">
        <f>AF1298+AF1302+AF1304+AF1306</f>
        <v>59500</v>
      </c>
      <c r="AG1297" s="22">
        <f>AG1298+AG1302+AG1304+AG1306</f>
        <v>56100</v>
      </c>
      <c r="AH1297" s="22">
        <f>AH1298+AH1302+AH1304+AH1306</f>
        <v>56300</v>
      </c>
      <c r="AI1297" s="22">
        <f>AI1298+AI1302+AI1304+AI1306</f>
        <v>52900</v>
      </c>
      <c r="AJ1297" s="162" t="b">
        <f t="shared" si="834"/>
        <v>1</v>
      </c>
      <c r="AK1297" s="162" t="str">
        <f t="shared" si="835"/>
        <v>PRAZNO</v>
      </c>
      <c r="AM1297" s="164"/>
    </row>
    <row r="1298" spans="1:39" ht="15.75" x14ac:dyDescent="0.2">
      <c r="B1298" s="177"/>
      <c r="C1298" s="177"/>
      <c r="D1298" s="177">
        <v>321</v>
      </c>
      <c r="E1298" s="177"/>
      <c r="F1298" s="177"/>
      <c r="G1298" s="177"/>
      <c r="H1298" s="16" t="s">
        <v>564</v>
      </c>
      <c r="I1298" s="17">
        <f>SUM(I1299:I1301)</f>
        <v>29000</v>
      </c>
      <c r="J1298" s="17">
        <f>SUM(J1299:J1301)</f>
        <v>20038.599999999999</v>
      </c>
      <c r="K1298" s="17">
        <f t="shared" si="816"/>
        <v>69.099999999999994</v>
      </c>
      <c r="L1298" s="17">
        <f t="shared" si="825"/>
        <v>-1594.4000000000015</v>
      </c>
      <c r="M1298" s="17">
        <f>SUM(M1299:M1301)</f>
        <v>27405.599999999999</v>
      </c>
      <c r="N1298" s="17">
        <f>SUM(N1299:N1301)</f>
        <v>44000</v>
      </c>
      <c r="O1298" s="17">
        <f>SUM(O1299:O1301)</f>
        <v>24437.599999999999</v>
      </c>
      <c r="P1298" s="26">
        <f t="shared" si="808"/>
        <v>0</v>
      </c>
      <c r="Q1298" s="17">
        <f t="shared" ref="Q1298:X1298" si="840">SUM(Q1299:Q1301)</f>
        <v>44000</v>
      </c>
      <c r="R1298" s="17">
        <f t="shared" si="840"/>
        <v>29400</v>
      </c>
      <c r="S1298" s="17">
        <f t="shared" si="840"/>
        <v>30400</v>
      </c>
      <c r="T1298" s="26">
        <f t="shared" si="840"/>
        <v>44000</v>
      </c>
      <c r="U1298" s="26">
        <f>SUM(U1299:U1301)</f>
        <v>35259.800000000003</v>
      </c>
      <c r="V1298" s="17">
        <f t="shared" si="840"/>
        <v>44000</v>
      </c>
      <c r="W1298" s="17">
        <f t="shared" si="840"/>
        <v>44000</v>
      </c>
      <c r="X1298" s="17">
        <f t="shared" si="840"/>
        <v>48000</v>
      </c>
      <c r="Y1298" s="17">
        <f>SUM(Y1299:Y1301)</f>
        <v>12800.2</v>
      </c>
      <c r="Z1298" s="17">
        <f t="shared" si="830"/>
        <v>29.09</v>
      </c>
      <c r="AA1298" s="17">
        <f t="shared" si="828"/>
        <v>0</v>
      </c>
      <c r="AB1298" s="17">
        <f>SUM(AB1299:AB1301)</f>
        <v>44000</v>
      </c>
      <c r="AC1298" s="17">
        <f>SUM(AC1299:AC1301)</f>
        <v>23145.8</v>
      </c>
      <c r="AD1298" s="17">
        <f t="shared" si="813"/>
        <v>52.604090909090907</v>
      </c>
      <c r="AE1298" s="17">
        <f t="shared" si="817"/>
        <v>0</v>
      </c>
      <c r="AF1298" s="17">
        <f>SUM(AF1299:AF1301)</f>
        <v>44000</v>
      </c>
      <c r="AG1298" s="17">
        <f>SUM(AG1299:AG1301)</f>
        <v>41800</v>
      </c>
      <c r="AH1298" s="17">
        <f>SUM(AH1299:AH1301)</f>
        <v>42000</v>
      </c>
      <c r="AI1298" s="17">
        <f>SUM(AI1299:AI1301)</f>
        <v>38600</v>
      </c>
      <c r="AJ1298" s="162" t="b">
        <f t="shared" si="834"/>
        <v>1</v>
      </c>
      <c r="AK1298" s="162" t="str">
        <f t="shared" si="835"/>
        <v>PRAZNO</v>
      </c>
      <c r="AM1298" s="164"/>
    </row>
    <row r="1299" spans="1:39" ht="15.75" x14ac:dyDescent="0.2">
      <c r="B1299" s="177"/>
      <c r="C1299" s="177"/>
      <c r="D1299" s="177"/>
      <c r="E1299" s="177">
        <v>3211</v>
      </c>
      <c r="F1299" s="176">
        <v>11</v>
      </c>
      <c r="G1299" s="176" t="s">
        <v>746</v>
      </c>
      <c r="H1299" s="16" t="s">
        <v>565</v>
      </c>
      <c r="I1299" s="18">
        <v>3000</v>
      </c>
      <c r="J1299" s="18">
        <v>2656.6</v>
      </c>
      <c r="K1299" s="18">
        <f t="shared" si="816"/>
        <v>88.55</v>
      </c>
      <c r="L1299" s="18">
        <f t="shared" si="825"/>
        <v>646.59999999999991</v>
      </c>
      <c r="M1299" s="18">
        <v>3646.6</v>
      </c>
      <c r="N1299" s="18">
        <v>6000</v>
      </c>
      <c r="O1299" s="18">
        <v>3227.6</v>
      </c>
      <c r="P1299" s="26">
        <f t="shared" si="808"/>
        <v>0</v>
      </c>
      <c r="Q1299" s="18">
        <v>6000</v>
      </c>
      <c r="R1299" s="18">
        <v>3000</v>
      </c>
      <c r="S1299" s="18">
        <v>3500</v>
      </c>
      <c r="T1299" s="27">
        <v>6000</v>
      </c>
      <c r="U1299" s="27">
        <v>4289.8</v>
      </c>
      <c r="V1299" s="27">
        <v>6000</v>
      </c>
      <c r="W1299" s="27">
        <v>6000</v>
      </c>
      <c r="X1299" s="18">
        <v>7000</v>
      </c>
      <c r="Y1299" s="27">
        <v>424.2</v>
      </c>
      <c r="Z1299" s="27">
        <f t="shared" si="830"/>
        <v>7.07</v>
      </c>
      <c r="AA1299" s="27">
        <f t="shared" si="828"/>
        <v>0</v>
      </c>
      <c r="AB1299" s="27">
        <v>6000</v>
      </c>
      <c r="AC1299" s="27">
        <v>1363.8</v>
      </c>
      <c r="AD1299" s="27">
        <f t="shared" si="813"/>
        <v>22.73</v>
      </c>
      <c r="AE1299" s="27">
        <f t="shared" si="817"/>
        <v>0</v>
      </c>
      <c r="AF1299" s="27">
        <v>6000</v>
      </c>
      <c r="AG1299" s="27">
        <v>4500</v>
      </c>
      <c r="AH1299" s="27">
        <v>4500</v>
      </c>
      <c r="AI1299" s="27">
        <v>4500</v>
      </c>
      <c r="AJ1299" s="162" t="b">
        <f t="shared" si="834"/>
        <v>0</v>
      </c>
      <c r="AK1299" s="162" t="str">
        <f t="shared" si="835"/>
        <v>PUNO</v>
      </c>
      <c r="AM1299" s="164"/>
    </row>
    <row r="1300" spans="1:39" ht="15.75" x14ac:dyDescent="0.2">
      <c r="B1300" s="177"/>
      <c r="C1300" s="177"/>
      <c r="D1300" s="177"/>
      <c r="E1300" s="177">
        <v>3212</v>
      </c>
      <c r="F1300" s="176">
        <v>11</v>
      </c>
      <c r="G1300" s="176" t="s">
        <v>746</v>
      </c>
      <c r="H1300" s="16" t="s">
        <v>220</v>
      </c>
      <c r="I1300" s="18">
        <v>25000</v>
      </c>
      <c r="J1300" s="18">
        <v>17382</v>
      </c>
      <c r="K1300" s="18">
        <f t="shared" si="816"/>
        <v>69.53</v>
      </c>
      <c r="L1300" s="18">
        <f t="shared" si="825"/>
        <v>-1716</v>
      </c>
      <c r="M1300" s="18">
        <v>23284</v>
      </c>
      <c r="N1300" s="18">
        <v>28000</v>
      </c>
      <c r="O1300" s="18">
        <v>17310</v>
      </c>
      <c r="P1300" s="26">
        <f t="shared" si="808"/>
        <v>0</v>
      </c>
      <c r="Q1300" s="18">
        <v>28000</v>
      </c>
      <c r="R1300" s="18">
        <v>24400</v>
      </c>
      <c r="S1300" s="18">
        <v>24900</v>
      </c>
      <c r="T1300" s="27">
        <v>28000</v>
      </c>
      <c r="U1300" s="27">
        <v>25470</v>
      </c>
      <c r="V1300" s="27">
        <v>28000</v>
      </c>
      <c r="W1300" s="27">
        <v>28000</v>
      </c>
      <c r="X1300" s="18">
        <v>30000</v>
      </c>
      <c r="Y1300" s="27">
        <v>12376</v>
      </c>
      <c r="Z1300" s="27">
        <f t="shared" si="830"/>
        <v>44.2</v>
      </c>
      <c r="AA1300" s="27">
        <f t="shared" si="828"/>
        <v>0</v>
      </c>
      <c r="AB1300" s="27">
        <v>28000</v>
      </c>
      <c r="AC1300" s="27">
        <v>21182</v>
      </c>
      <c r="AD1300" s="27">
        <f t="shared" si="813"/>
        <v>75.649999999999991</v>
      </c>
      <c r="AE1300" s="27">
        <f t="shared" si="817"/>
        <v>0</v>
      </c>
      <c r="AF1300" s="27">
        <v>28000</v>
      </c>
      <c r="AG1300" s="27">
        <v>28000</v>
      </c>
      <c r="AH1300" s="27">
        <v>28000</v>
      </c>
      <c r="AI1300" s="27">
        <v>28000</v>
      </c>
      <c r="AJ1300" s="162" t="b">
        <f t="shared" si="834"/>
        <v>0</v>
      </c>
      <c r="AK1300" s="162" t="str">
        <f t="shared" si="835"/>
        <v>PUNO</v>
      </c>
      <c r="AM1300" s="164"/>
    </row>
    <row r="1301" spans="1:39" ht="15.75" x14ac:dyDescent="0.2">
      <c r="B1301" s="177"/>
      <c r="C1301" s="177"/>
      <c r="D1301" s="177"/>
      <c r="E1301" s="177">
        <v>3213</v>
      </c>
      <c r="F1301" s="176">
        <v>11</v>
      </c>
      <c r="G1301" s="176" t="s">
        <v>746</v>
      </c>
      <c r="H1301" s="16" t="s">
        <v>221</v>
      </c>
      <c r="I1301" s="18">
        <v>1000</v>
      </c>
      <c r="J1301" s="18">
        <v>0</v>
      </c>
      <c r="K1301" s="18">
        <f t="shared" si="816"/>
        <v>0</v>
      </c>
      <c r="L1301" s="18">
        <f t="shared" si="825"/>
        <v>-525</v>
      </c>
      <c r="M1301" s="18">
        <v>475</v>
      </c>
      <c r="N1301" s="18">
        <v>10000</v>
      </c>
      <c r="O1301" s="18">
        <v>3900</v>
      </c>
      <c r="P1301" s="26">
        <f t="shared" si="808"/>
        <v>0</v>
      </c>
      <c r="Q1301" s="18">
        <v>10000</v>
      </c>
      <c r="R1301" s="18">
        <v>2000</v>
      </c>
      <c r="S1301" s="18">
        <v>2000</v>
      </c>
      <c r="T1301" s="27">
        <v>10000</v>
      </c>
      <c r="U1301" s="27">
        <v>5500</v>
      </c>
      <c r="V1301" s="27">
        <v>10000</v>
      </c>
      <c r="W1301" s="27">
        <v>10000</v>
      </c>
      <c r="X1301" s="18">
        <v>11000</v>
      </c>
      <c r="Y1301" s="27">
        <v>0</v>
      </c>
      <c r="Z1301" s="27">
        <f t="shared" si="830"/>
        <v>0</v>
      </c>
      <c r="AA1301" s="27">
        <f t="shared" si="828"/>
        <v>0</v>
      </c>
      <c r="AB1301" s="27">
        <v>10000</v>
      </c>
      <c r="AC1301" s="27">
        <v>600</v>
      </c>
      <c r="AD1301" s="27">
        <f t="shared" si="813"/>
        <v>6</v>
      </c>
      <c r="AE1301" s="27">
        <f t="shared" si="817"/>
        <v>0</v>
      </c>
      <c r="AF1301" s="27">
        <v>10000</v>
      </c>
      <c r="AG1301" s="27">
        <v>9300</v>
      </c>
      <c r="AH1301" s="27">
        <v>9500</v>
      </c>
      <c r="AI1301" s="27">
        <v>6100</v>
      </c>
      <c r="AJ1301" s="162" t="b">
        <f t="shared" si="834"/>
        <v>0</v>
      </c>
      <c r="AK1301" s="162" t="str">
        <f t="shared" si="835"/>
        <v>PUNO</v>
      </c>
      <c r="AM1301" s="164"/>
    </row>
    <row r="1302" spans="1:39" ht="15.75" x14ac:dyDescent="0.2">
      <c r="B1302" s="177"/>
      <c r="C1302" s="177"/>
      <c r="D1302" s="177">
        <v>322</v>
      </c>
      <c r="E1302" s="177"/>
      <c r="F1302" s="177"/>
      <c r="G1302" s="177"/>
      <c r="H1302" s="16" t="s">
        <v>547</v>
      </c>
      <c r="I1302" s="17">
        <f>I1303</f>
        <v>6500</v>
      </c>
      <c r="J1302" s="17">
        <f>J1303</f>
        <v>1338.46</v>
      </c>
      <c r="K1302" s="17">
        <f t="shared" si="816"/>
        <v>20.59</v>
      </c>
      <c r="L1302" s="17">
        <f t="shared" si="825"/>
        <v>-4474.9400000000005</v>
      </c>
      <c r="M1302" s="17">
        <f>M1303</f>
        <v>2025.06</v>
      </c>
      <c r="N1302" s="17">
        <f>N1303</f>
        <v>9000</v>
      </c>
      <c r="O1302" s="17">
        <f>O1303</f>
        <v>1746.92</v>
      </c>
      <c r="P1302" s="26">
        <f t="shared" si="808"/>
        <v>-3000</v>
      </c>
      <c r="Q1302" s="17">
        <f t="shared" ref="Q1302:AI1302" si="841">Q1303</f>
        <v>9000</v>
      </c>
      <c r="R1302" s="17">
        <f t="shared" si="841"/>
        <v>6500</v>
      </c>
      <c r="S1302" s="17">
        <f t="shared" si="841"/>
        <v>7000</v>
      </c>
      <c r="T1302" s="26">
        <f t="shared" si="841"/>
        <v>6000</v>
      </c>
      <c r="U1302" s="26">
        <f t="shared" si="841"/>
        <v>5586.35</v>
      </c>
      <c r="V1302" s="17">
        <f t="shared" si="841"/>
        <v>6000</v>
      </c>
      <c r="W1302" s="17">
        <f t="shared" si="841"/>
        <v>6000</v>
      </c>
      <c r="X1302" s="17">
        <f t="shared" si="841"/>
        <v>7000</v>
      </c>
      <c r="Y1302" s="17">
        <f t="shared" si="841"/>
        <v>748.69</v>
      </c>
      <c r="Z1302" s="17">
        <f t="shared" si="830"/>
        <v>12.48</v>
      </c>
      <c r="AA1302" s="17">
        <f t="shared" si="828"/>
        <v>0</v>
      </c>
      <c r="AB1302" s="17">
        <f t="shared" si="841"/>
        <v>6000</v>
      </c>
      <c r="AC1302" s="17">
        <f t="shared" si="841"/>
        <v>1377.09</v>
      </c>
      <c r="AD1302" s="17">
        <f t="shared" si="813"/>
        <v>22.951499999999999</v>
      </c>
      <c r="AE1302" s="17">
        <f t="shared" si="817"/>
        <v>0</v>
      </c>
      <c r="AF1302" s="17">
        <f t="shared" si="841"/>
        <v>6000</v>
      </c>
      <c r="AG1302" s="17">
        <f t="shared" si="841"/>
        <v>5500</v>
      </c>
      <c r="AH1302" s="17">
        <f t="shared" si="841"/>
        <v>5500</v>
      </c>
      <c r="AI1302" s="17">
        <f t="shared" si="841"/>
        <v>5500</v>
      </c>
      <c r="AJ1302" s="162" t="b">
        <f t="shared" si="834"/>
        <v>1</v>
      </c>
      <c r="AK1302" s="162" t="str">
        <f t="shared" si="835"/>
        <v>PRAZNO</v>
      </c>
      <c r="AM1302" s="164"/>
    </row>
    <row r="1303" spans="1:39" ht="15.75" x14ac:dyDescent="0.2">
      <c r="B1303" s="177"/>
      <c r="C1303" s="177"/>
      <c r="D1303" s="177"/>
      <c r="E1303" s="177">
        <v>3221</v>
      </c>
      <c r="F1303" s="176">
        <v>11</v>
      </c>
      <c r="G1303" s="176" t="s">
        <v>746</v>
      </c>
      <c r="H1303" s="16" t="s">
        <v>548</v>
      </c>
      <c r="I1303" s="18">
        <v>6500</v>
      </c>
      <c r="J1303" s="18">
        <v>1338.46</v>
      </c>
      <c r="K1303" s="18">
        <f t="shared" si="816"/>
        <v>20.59</v>
      </c>
      <c r="L1303" s="18">
        <f t="shared" si="825"/>
        <v>-4474.9400000000005</v>
      </c>
      <c r="M1303" s="18">
        <v>2025.06</v>
      </c>
      <c r="N1303" s="18">
        <v>9000</v>
      </c>
      <c r="O1303" s="18">
        <v>1746.92</v>
      </c>
      <c r="P1303" s="26">
        <f t="shared" si="808"/>
        <v>-3000</v>
      </c>
      <c r="Q1303" s="18">
        <v>9000</v>
      </c>
      <c r="R1303" s="18">
        <v>6500</v>
      </c>
      <c r="S1303" s="18">
        <v>7000</v>
      </c>
      <c r="T1303" s="27">
        <v>6000</v>
      </c>
      <c r="U1303" s="27">
        <v>5586.35</v>
      </c>
      <c r="V1303" s="27">
        <v>6000</v>
      </c>
      <c r="W1303" s="27">
        <v>6000</v>
      </c>
      <c r="X1303" s="18">
        <v>7000</v>
      </c>
      <c r="Y1303" s="27">
        <v>748.69</v>
      </c>
      <c r="Z1303" s="27">
        <f t="shared" si="830"/>
        <v>12.48</v>
      </c>
      <c r="AA1303" s="27">
        <f t="shared" si="828"/>
        <v>0</v>
      </c>
      <c r="AB1303" s="27">
        <v>6000</v>
      </c>
      <c r="AC1303" s="27">
        <v>1377.09</v>
      </c>
      <c r="AD1303" s="27">
        <f t="shared" si="813"/>
        <v>22.951499999999999</v>
      </c>
      <c r="AE1303" s="27">
        <f t="shared" si="817"/>
        <v>0</v>
      </c>
      <c r="AF1303" s="27">
        <v>6000</v>
      </c>
      <c r="AG1303" s="27">
        <v>5500</v>
      </c>
      <c r="AH1303" s="27">
        <v>5500</v>
      </c>
      <c r="AI1303" s="27">
        <v>5500</v>
      </c>
      <c r="AJ1303" s="162" t="b">
        <f t="shared" si="834"/>
        <v>0</v>
      </c>
      <c r="AK1303" s="162" t="str">
        <f t="shared" si="835"/>
        <v>PUNO</v>
      </c>
      <c r="AM1303" s="164"/>
    </row>
    <row r="1304" spans="1:39" ht="15.75" x14ac:dyDescent="0.2">
      <c r="B1304" s="177"/>
      <c r="C1304" s="177"/>
      <c r="D1304" s="177">
        <v>323</v>
      </c>
      <c r="E1304" s="177"/>
      <c r="F1304" s="177"/>
      <c r="G1304" s="177"/>
      <c r="H1304" s="16" t="s">
        <v>526</v>
      </c>
      <c r="I1304" s="17">
        <f>I1305</f>
        <v>7400</v>
      </c>
      <c r="J1304" s="17">
        <f>J1305</f>
        <v>4580.78</v>
      </c>
      <c r="K1304" s="17">
        <f t="shared" si="816"/>
        <v>61.9</v>
      </c>
      <c r="L1304" s="17">
        <f t="shared" si="825"/>
        <v>-345.31999999999971</v>
      </c>
      <c r="M1304" s="17">
        <f>M1305</f>
        <v>7054.68</v>
      </c>
      <c r="N1304" s="17">
        <f>N1305</f>
        <v>7500</v>
      </c>
      <c r="O1304" s="17">
        <f>O1305</f>
        <v>3378.52</v>
      </c>
      <c r="P1304" s="26">
        <f t="shared" si="808"/>
        <v>0</v>
      </c>
      <c r="Q1304" s="17">
        <f t="shared" ref="Q1304:AI1304" si="842">Q1305</f>
        <v>7500</v>
      </c>
      <c r="R1304" s="17">
        <f t="shared" si="842"/>
        <v>7500</v>
      </c>
      <c r="S1304" s="17">
        <f t="shared" si="842"/>
        <v>7800</v>
      </c>
      <c r="T1304" s="26">
        <f t="shared" si="842"/>
        <v>7500</v>
      </c>
      <c r="U1304" s="26">
        <f t="shared" si="842"/>
        <v>6224.72</v>
      </c>
      <c r="V1304" s="17">
        <f t="shared" si="842"/>
        <v>7500</v>
      </c>
      <c r="W1304" s="17">
        <f t="shared" si="842"/>
        <v>7500</v>
      </c>
      <c r="X1304" s="17">
        <f t="shared" si="842"/>
        <v>8000</v>
      </c>
      <c r="Y1304" s="17">
        <f t="shared" si="842"/>
        <v>1615.19</v>
      </c>
      <c r="Z1304" s="17">
        <f t="shared" si="830"/>
        <v>21.54</v>
      </c>
      <c r="AA1304" s="17">
        <f t="shared" si="828"/>
        <v>0</v>
      </c>
      <c r="AB1304" s="17">
        <f t="shared" si="842"/>
        <v>7500</v>
      </c>
      <c r="AC1304" s="17">
        <f t="shared" si="842"/>
        <v>3395.64</v>
      </c>
      <c r="AD1304" s="17">
        <f t="shared" si="813"/>
        <v>45.275199999999998</v>
      </c>
      <c r="AE1304" s="17">
        <f t="shared" si="817"/>
        <v>0</v>
      </c>
      <c r="AF1304" s="17">
        <f t="shared" si="842"/>
        <v>7500</v>
      </c>
      <c r="AG1304" s="17">
        <f t="shared" si="842"/>
        <v>6800</v>
      </c>
      <c r="AH1304" s="17">
        <f t="shared" si="842"/>
        <v>6800</v>
      </c>
      <c r="AI1304" s="17">
        <f t="shared" si="842"/>
        <v>6800</v>
      </c>
      <c r="AJ1304" s="162" t="b">
        <f t="shared" si="834"/>
        <v>1</v>
      </c>
      <c r="AK1304" s="162" t="str">
        <f t="shared" si="835"/>
        <v>PRAZNO</v>
      </c>
      <c r="AM1304" s="164"/>
    </row>
    <row r="1305" spans="1:39" ht="15.75" x14ac:dyDescent="0.2">
      <c r="B1305" s="177"/>
      <c r="C1305" s="177"/>
      <c r="D1305" s="177"/>
      <c r="E1305" s="177">
        <v>3231</v>
      </c>
      <c r="F1305" s="176">
        <v>11</v>
      </c>
      <c r="G1305" s="176" t="s">
        <v>746</v>
      </c>
      <c r="H1305" s="16" t="s">
        <v>206</v>
      </c>
      <c r="I1305" s="18">
        <v>7400</v>
      </c>
      <c r="J1305" s="18">
        <v>4580.78</v>
      </c>
      <c r="K1305" s="18">
        <f t="shared" si="816"/>
        <v>61.9</v>
      </c>
      <c r="L1305" s="18">
        <f t="shared" si="825"/>
        <v>-345.31999999999971</v>
      </c>
      <c r="M1305" s="18">
        <v>7054.68</v>
      </c>
      <c r="N1305" s="18">
        <v>7500</v>
      </c>
      <c r="O1305" s="18">
        <v>3378.52</v>
      </c>
      <c r="P1305" s="26">
        <f t="shared" si="808"/>
        <v>0</v>
      </c>
      <c r="Q1305" s="18">
        <v>7500</v>
      </c>
      <c r="R1305" s="18">
        <v>7500</v>
      </c>
      <c r="S1305" s="18">
        <v>7800</v>
      </c>
      <c r="T1305" s="27">
        <v>7500</v>
      </c>
      <c r="U1305" s="27">
        <v>6224.72</v>
      </c>
      <c r="V1305" s="27">
        <v>7500</v>
      </c>
      <c r="W1305" s="27">
        <v>7500</v>
      </c>
      <c r="X1305" s="18">
        <v>8000</v>
      </c>
      <c r="Y1305" s="27">
        <v>1615.19</v>
      </c>
      <c r="Z1305" s="27">
        <f t="shared" si="830"/>
        <v>21.54</v>
      </c>
      <c r="AA1305" s="27">
        <f t="shared" si="828"/>
        <v>0</v>
      </c>
      <c r="AB1305" s="27">
        <v>7500</v>
      </c>
      <c r="AC1305" s="27">
        <v>3395.64</v>
      </c>
      <c r="AD1305" s="27">
        <f t="shared" si="813"/>
        <v>45.275199999999998</v>
      </c>
      <c r="AE1305" s="27">
        <f t="shared" si="817"/>
        <v>0</v>
      </c>
      <c r="AF1305" s="27">
        <v>7500</v>
      </c>
      <c r="AG1305" s="27">
        <v>6800</v>
      </c>
      <c r="AH1305" s="27">
        <v>6800</v>
      </c>
      <c r="AI1305" s="27">
        <v>6800</v>
      </c>
      <c r="AJ1305" s="162" t="b">
        <f t="shared" si="834"/>
        <v>0</v>
      </c>
      <c r="AK1305" s="162" t="str">
        <f t="shared" si="835"/>
        <v>PUNO</v>
      </c>
      <c r="AM1305" s="164"/>
    </row>
    <row r="1306" spans="1:39" ht="15.75" x14ac:dyDescent="0.2">
      <c r="B1306" s="177"/>
      <c r="C1306" s="177"/>
      <c r="D1306" s="177">
        <v>329</v>
      </c>
      <c r="E1306" s="177"/>
      <c r="F1306" s="177"/>
      <c r="G1306" s="177"/>
      <c r="H1306" s="16" t="s">
        <v>531</v>
      </c>
      <c r="I1306" s="17">
        <f>I1307</f>
        <v>1000</v>
      </c>
      <c r="J1306" s="17">
        <f>J1307</f>
        <v>1040</v>
      </c>
      <c r="K1306" s="17">
        <f t="shared" si="816"/>
        <v>104</v>
      </c>
      <c r="L1306" s="17">
        <f t="shared" si="825"/>
        <v>40</v>
      </c>
      <c r="M1306" s="17">
        <f>M1307</f>
        <v>1040</v>
      </c>
      <c r="N1306" s="17">
        <f>N1307</f>
        <v>1500</v>
      </c>
      <c r="O1306" s="17">
        <f>O1307</f>
        <v>0</v>
      </c>
      <c r="P1306" s="26">
        <f t="shared" si="808"/>
        <v>0</v>
      </c>
      <c r="Q1306" s="17">
        <f t="shared" ref="Q1306:AI1306" si="843">Q1307</f>
        <v>1500</v>
      </c>
      <c r="R1306" s="17">
        <f t="shared" si="843"/>
        <v>1500</v>
      </c>
      <c r="S1306" s="17">
        <f t="shared" si="843"/>
        <v>2000</v>
      </c>
      <c r="T1306" s="26">
        <f t="shared" si="843"/>
        <v>1500</v>
      </c>
      <c r="U1306" s="26">
        <f t="shared" si="843"/>
        <v>0</v>
      </c>
      <c r="V1306" s="17">
        <f t="shared" si="843"/>
        <v>2000</v>
      </c>
      <c r="W1306" s="17">
        <f t="shared" si="843"/>
        <v>2000</v>
      </c>
      <c r="X1306" s="17">
        <f t="shared" si="843"/>
        <v>3000</v>
      </c>
      <c r="Y1306" s="17">
        <f t="shared" si="843"/>
        <v>90.9</v>
      </c>
      <c r="Z1306" s="17">
        <f t="shared" si="830"/>
        <v>4.55</v>
      </c>
      <c r="AA1306" s="17">
        <f t="shared" si="828"/>
        <v>0</v>
      </c>
      <c r="AB1306" s="17">
        <f t="shared" si="843"/>
        <v>2000</v>
      </c>
      <c r="AC1306" s="17">
        <f t="shared" si="843"/>
        <v>90.9</v>
      </c>
      <c r="AD1306" s="17">
        <f t="shared" si="813"/>
        <v>4.5450000000000008</v>
      </c>
      <c r="AE1306" s="17">
        <f t="shared" si="817"/>
        <v>0</v>
      </c>
      <c r="AF1306" s="17">
        <f t="shared" si="843"/>
        <v>2000</v>
      </c>
      <c r="AG1306" s="17">
        <f t="shared" si="843"/>
        <v>2000</v>
      </c>
      <c r="AH1306" s="17">
        <f t="shared" si="843"/>
        <v>2000</v>
      </c>
      <c r="AI1306" s="17">
        <f t="shared" si="843"/>
        <v>2000</v>
      </c>
      <c r="AJ1306" s="162" t="b">
        <f t="shared" si="834"/>
        <v>1</v>
      </c>
      <c r="AK1306" s="162" t="str">
        <f t="shared" si="835"/>
        <v>PRAZNO</v>
      </c>
      <c r="AM1306" s="164"/>
    </row>
    <row r="1307" spans="1:39" ht="15.75" x14ac:dyDescent="0.2">
      <c r="B1307" s="177"/>
      <c r="C1307" s="177"/>
      <c r="D1307" s="177"/>
      <c r="E1307" s="177">
        <v>3299</v>
      </c>
      <c r="F1307" s="176">
        <v>11</v>
      </c>
      <c r="G1307" s="176" t="s">
        <v>746</v>
      </c>
      <c r="H1307" s="16" t="s">
        <v>531</v>
      </c>
      <c r="I1307" s="18">
        <v>1000</v>
      </c>
      <c r="J1307" s="18">
        <v>1040</v>
      </c>
      <c r="K1307" s="18">
        <f t="shared" si="816"/>
        <v>104</v>
      </c>
      <c r="L1307" s="18">
        <f t="shared" si="825"/>
        <v>40</v>
      </c>
      <c r="M1307" s="18">
        <v>1040</v>
      </c>
      <c r="N1307" s="18">
        <v>1500</v>
      </c>
      <c r="O1307" s="18">
        <v>0</v>
      </c>
      <c r="P1307" s="26">
        <f t="shared" ref="P1307:P1365" si="844">T1307-N1307</f>
        <v>0</v>
      </c>
      <c r="Q1307" s="18">
        <v>1500</v>
      </c>
      <c r="R1307" s="18">
        <v>1500</v>
      </c>
      <c r="S1307" s="18">
        <v>2000</v>
      </c>
      <c r="T1307" s="27">
        <v>1500</v>
      </c>
      <c r="U1307" s="27">
        <v>0</v>
      </c>
      <c r="V1307" s="18">
        <v>2000</v>
      </c>
      <c r="W1307" s="18">
        <v>2000</v>
      </c>
      <c r="X1307" s="18">
        <v>3000</v>
      </c>
      <c r="Y1307" s="18">
        <v>90.9</v>
      </c>
      <c r="Z1307" s="18">
        <f t="shared" si="830"/>
        <v>4.55</v>
      </c>
      <c r="AA1307" s="18">
        <f t="shared" si="828"/>
        <v>0</v>
      </c>
      <c r="AB1307" s="18">
        <v>2000</v>
      </c>
      <c r="AC1307" s="18">
        <v>90.9</v>
      </c>
      <c r="AD1307" s="18">
        <f t="shared" si="813"/>
        <v>4.5450000000000008</v>
      </c>
      <c r="AE1307" s="18">
        <f t="shared" si="817"/>
        <v>0</v>
      </c>
      <c r="AF1307" s="18">
        <v>2000</v>
      </c>
      <c r="AG1307" s="18">
        <v>2000</v>
      </c>
      <c r="AH1307" s="18">
        <v>2000</v>
      </c>
      <c r="AI1307" s="18">
        <v>2000</v>
      </c>
      <c r="AJ1307" s="162" t="b">
        <f t="shared" si="834"/>
        <v>0</v>
      </c>
      <c r="AK1307" s="162" t="str">
        <f t="shared" si="835"/>
        <v>PUNO</v>
      </c>
      <c r="AM1307" s="164"/>
    </row>
    <row r="1308" spans="1:39" s="171" customFormat="1" ht="31.5" x14ac:dyDescent="0.2">
      <c r="A1308" s="259"/>
      <c r="B1308" s="168"/>
      <c r="C1308" s="168"/>
      <c r="D1308" s="168"/>
      <c r="E1308" s="168"/>
      <c r="F1308" s="168"/>
      <c r="G1308" s="168"/>
      <c r="H1308" s="12" t="s">
        <v>162</v>
      </c>
      <c r="I1308" s="169">
        <f>I1310</f>
        <v>5000</v>
      </c>
      <c r="J1308" s="169">
        <f>J1310</f>
        <v>2414.54</v>
      </c>
      <c r="K1308" s="169">
        <f t="shared" si="816"/>
        <v>48.29</v>
      </c>
      <c r="L1308" s="169">
        <f t="shared" si="825"/>
        <v>-270.17000000000007</v>
      </c>
      <c r="M1308" s="19">
        <f>M1310</f>
        <v>4729.83</v>
      </c>
      <c r="N1308" s="19">
        <f>N1310</f>
        <v>5000</v>
      </c>
      <c r="O1308" s="19">
        <f>O1310</f>
        <v>0</v>
      </c>
      <c r="P1308" s="303">
        <f t="shared" si="844"/>
        <v>2000</v>
      </c>
      <c r="Q1308" s="19">
        <f t="shared" ref="Q1308:X1308" si="845">Q1310</f>
        <v>5000</v>
      </c>
      <c r="R1308" s="19">
        <f t="shared" si="845"/>
        <v>5000</v>
      </c>
      <c r="S1308" s="19">
        <f t="shared" si="845"/>
        <v>5000</v>
      </c>
      <c r="T1308" s="53">
        <f t="shared" si="845"/>
        <v>7000</v>
      </c>
      <c r="U1308" s="53">
        <f>U1310</f>
        <v>6537</v>
      </c>
      <c r="V1308" s="19">
        <f t="shared" si="845"/>
        <v>5000</v>
      </c>
      <c r="W1308" s="19">
        <f t="shared" si="845"/>
        <v>5000</v>
      </c>
      <c r="X1308" s="19">
        <f t="shared" si="845"/>
        <v>5000</v>
      </c>
      <c r="Y1308" s="19">
        <f>Y1310</f>
        <v>3660.4</v>
      </c>
      <c r="Z1308" s="19">
        <f t="shared" si="830"/>
        <v>73.209999999999994</v>
      </c>
      <c r="AA1308" s="19">
        <f t="shared" si="828"/>
        <v>0</v>
      </c>
      <c r="AB1308" s="19">
        <f>AB1310</f>
        <v>5000</v>
      </c>
      <c r="AC1308" s="19">
        <f>AC1310</f>
        <v>3660.4</v>
      </c>
      <c r="AD1308" s="19">
        <f t="shared" si="813"/>
        <v>73.208000000000013</v>
      </c>
      <c r="AE1308" s="19">
        <f t="shared" si="817"/>
        <v>0</v>
      </c>
      <c r="AF1308" s="19">
        <f>AF1310</f>
        <v>5000</v>
      </c>
      <c r="AG1308" s="19">
        <f>AG1310</f>
        <v>3000</v>
      </c>
      <c r="AH1308" s="19">
        <f>AH1310</f>
        <v>5000</v>
      </c>
      <c r="AI1308" s="19">
        <f>AI1310</f>
        <v>4000</v>
      </c>
      <c r="AJ1308" s="162" t="b">
        <f t="shared" si="834"/>
        <v>1</v>
      </c>
      <c r="AK1308" s="162" t="str">
        <f t="shared" si="835"/>
        <v>PRAZNO</v>
      </c>
      <c r="AL1308" s="170"/>
      <c r="AM1308" s="164"/>
    </row>
    <row r="1309" spans="1:39" s="264" customFormat="1" ht="15.75" x14ac:dyDescent="0.2">
      <c r="A1309" s="259"/>
      <c r="B1309" s="260"/>
      <c r="C1309" s="260"/>
      <c r="D1309" s="260"/>
      <c r="E1309" s="260"/>
      <c r="F1309" s="260"/>
      <c r="G1309" s="260"/>
      <c r="H1309" s="441" t="s">
        <v>824</v>
      </c>
      <c r="I1309" s="181"/>
      <c r="J1309" s="181"/>
      <c r="K1309" s="181"/>
      <c r="L1309" s="181"/>
      <c r="M1309" s="262"/>
      <c r="N1309" s="262"/>
      <c r="O1309" s="262"/>
      <c r="P1309" s="445"/>
      <c r="Q1309" s="262"/>
      <c r="R1309" s="262"/>
      <c r="S1309" s="262"/>
      <c r="T1309" s="342"/>
      <c r="U1309" s="342"/>
      <c r="V1309" s="262">
        <f>V1310</f>
        <v>5000</v>
      </c>
      <c r="W1309" s="262">
        <f>W1310</f>
        <v>5000</v>
      </c>
      <c r="X1309" s="262">
        <f>X1310</f>
        <v>5000</v>
      </c>
      <c r="Y1309" s="262">
        <f>Y1310</f>
        <v>3660.4</v>
      </c>
      <c r="Z1309" s="262">
        <f t="shared" si="830"/>
        <v>73.209999999999994</v>
      </c>
      <c r="AA1309" s="262">
        <f t="shared" si="828"/>
        <v>0</v>
      </c>
      <c r="AB1309" s="262">
        <f>AB1310</f>
        <v>5000</v>
      </c>
      <c r="AC1309" s="262">
        <f>AC1310</f>
        <v>3660.4</v>
      </c>
      <c r="AD1309" s="262">
        <f t="shared" si="813"/>
        <v>73.208000000000013</v>
      </c>
      <c r="AE1309" s="262">
        <f t="shared" si="817"/>
        <v>0</v>
      </c>
      <c r="AF1309" s="262">
        <f>AF1310</f>
        <v>5000</v>
      </c>
      <c r="AG1309" s="262">
        <f>AG1310</f>
        <v>3000</v>
      </c>
      <c r="AH1309" s="262">
        <f>AH1310</f>
        <v>5000</v>
      </c>
      <c r="AI1309" s="262">
        <f>AI1310</f>
        <v>4000</v>
      </c>
      <c r="AJ1309" s="162" t="b">
        <f t="shared" si="834"/>
        <v>1</v>
      </c>
      <c r="AK1309" s="162" t="str">
        <f t="shared" si="835"/>
        <v>PRAZNO</v>
      </c>
      <c r="AL1309" s="263"/>
    </row>
    <row r="1310" spans="1:39" s="174" customFormat="1" ht="15.75" x14ac:dyDescent="0.2">
      <c r="A1310" s="259"/>
      <c r="B1310" s="172">
        <v>4</v>
      </c>
      <c r="C1310" s="172"/>
      <c r="D1310" s="172"/>
      <c r="E1310" s="172"/>
      <c r="F1310" s="172"/>
      <c r="G1310" s="172"/>
      <c r="H1310" s="14" t="s">
        <v>552</v>
      </c>
      <c r="I1310" s="20">
        <f>I1311</f>
        <v>5000</v>
      </c>
      <c r="J1310" s="20">
        <f>J1311</f>
        <v>2414.54</v>
      </c>
      <c r="K1310" s="20">
        <f t="shared" si="816"/>
        <v>48.29</v>
      </c>
      <c r="L1310" s="20">
        <f t="shared" si="825"/>
        <v>-270.17000000000007</v>
      </c>
      <c r="M1310" s="20">
        <f>M1311</f>
        <v>4729.83</v>
      </c>
      <c r="N1310" s="20">
        <f t="shared" ref="N1310:AI1311" si="846">N1311</f>
        <v>5000</v>
      </c>
      <c r="O1310" s="20">
        <f>O1311</f>
        <v>0</v>
      </c>
      <c r="P1310" s="55">
        <f t="shared" si="844"/>
        <v>2000</v>
      </c>
      <c r="Q1310" s="20">
        <f t="shared" si="846"/>
        <v>5000</v>
      </c>
      <c r="R1310" s="20">
        <f t="shared" si="846"/>
        <v>5000</v>
      </c>
      <c r="S1310" s="20">
        <f t="shared" si="846"/>
        <v>5000</v>
      </c>
      <c r="T1310" s="55">
        <f t="shared" si="846"/>
        <v>7000</v>
      </c>
      <c r="U1310" s="55">
        <f t="shared" si="846"/>
        <v>6537</v>
      </c>
      <c r="V1310" s="20">
        <f t="shared" si="846"/>
        <v>5000</v>
      </c>
      <c r="W1310" s="20">
        <f t="shared" si="846"/>
        <v>5000</v>
      </c>
      <c r="X1310" s="20">
        <f t="shared" si="846"/>
        <v>5000</v>
      </c>
      <c r="Y1310" s="20">
        <f t="shared" si="846"/>
        <v>3660.4</v>
      </c>
      <c r="Z1310" s="20">
        <f t="shared" si="830"/>
        <v>73.209999999999994</v>
      </c>
      <c r="AA1310" s="20">
        <f t="shared" si="828"/>
        <v>0</v>
      </c>
      <c r="AB1310" s="20">
        <f t="shared" si="846"/>
        <v>5000</v>
      </c>
      <c r="AC1310" s="20">
        <f t="shared" si="846"/>
        <v>3660.4</v>
      </c>
      <c r="AD1310" s="20">
        <f t="shared" si="813"/>
        <v>73.208000000000013</v>
      </c>
      <c r="AE1310" s="20">
        <f t="shared" si="817"/>
        <v>0</v>
      </c>
      <c r="AF1310" s="20">
        <f t="shared" si="846"/>
        <v>5000</v>
      </c>
      <c r="AG1310" s="20">
        <f t="shared" si="846"/>
        <v>3000</v>
      </c>
      <c r="AH1310" s="20">
        <f t="shared" si="846"/>
        <v>5000</v>
      </c>
      <c r="AI1310" s="20">
        <f t="shared" si="846"/>
        <v>4000</v>
      </c>
      <c r="AJ1310" s="162" t="b">
        <f t="shared" si="834"/>
        <v>1</v>
      </c>
      <c r="AK1310" s="162" t="str">
        <f t="shared" si="835"/>
        <v>PRAZNO</v>
      </c>
      <c r="AL1310" s="173"/>
      <c r="AM1310" s="164"/>
    </row>
    <row r="1311" spans="1:39" ht="15.75" x14ac:dyDescent="0.2">
      <c r="B1311" s="175"/>
      <c r="C1311" s="175">
        <v>42</v>
      </c>
      <c r="D1311" s="175"/>
      <c r="E1311" s="175"/>
      <c r="F1311" s="175"/>
      <c r="G1311" s="175"/>
      <c r="H1311" s="15" t="s">
        <v>212</v>
      </c>
      <c r="I1311" s="22">
        <f>I1312</f>
        <v>5000</v>
      </c>
      <c r="J1311" s="22">
        <f>J1312</f>
        <v>2414.54</v>
      </c>
      <c r="K1311" s="22">
        <f t="shared" si="816"/>
        <v>48.29</v>
      </c>
      <c r="L1311" s="22">
        <f t="shared" si="825"/>
        <v>-270.17000000000007</v>
      </c>
      <c r="M1311" s="22">
        <f>M1312</f>
        <v>4729.83</v>
      </c>
      <c r="N1311" s="22">
        <f t="shared" si="846"/>
        <v>5000</v>
      </c>
      <c r="O1311" s="22">
        <f t="shared" si="846"/>
        <v>0</v>
      </c>
      <c r="P1311" s="26">
        <f t="shared" si="844"/>
        <v>2000</v>
      </c>
      <c r="Q1311" s="22">
        <f t="shared" si="846"/>
        <v>5000</v>
      </c>
      <c r="R1311" s="22">
        <f t="shared" si="846"/>
        <v>5000</v>
      </c>
      <c r="S1311" s="22">
        <f t="shared" si="846"/>
        <v>5000</v>
      </c>
      <c r="T1311" s="38">
        <f t="shared" si="846"/>
        <v>7000</v>
      </c>
      <c r="U1311" s="38">
        <f t="shared" si="846"/>
        <v>6537</v>
      </c>
      <c r="V1311" s="22">
        <f t="shared" si="846"/>
        <v>5000</v>
      </c>
      <c r="W1311" s="22">
        <f t="shared" si="846"/>
        <v>5000</v>
      </c>
      <c r="X1311" s="22">
        <f t="shared" si="846"/>
        <v>5000</v>
      </c>
      <c r="Y1311" s="22">
        <f t="shared" si="846"/>
        <v>3660.4</v>
      </c>
      <c r="Z1311" s="22">
        <f t="shared" si="830"/>
        <v>73.209999999999994</v>
      </c>
      <c r="AA1311" s="22">
        <f t="shared" si="828"/>
        <v>0</v>
      </c>
      <c r="AB1311" s="22">
        <f t="shared" si="846"/>
        <v>5000</v>
      </c>
      <c r="AC1311" s="22">
        <f t="shared" si="846"/>
        <v>3660.4</v>
      </c>
      <c r="AD1311" s="22">
        <f t="shared" si="813"/>
        <v>73.208000000000013</v>
      </c>
      <c r="AE1311" s="22">
        <f t="shared" si="817"/>
        <v>0</v>
      </c>
      <c r="AF1311" s="22">
        <f t="shared" si="846"/>
        <v>5000</v>
      </c>
      <c r="AG1311" s="22">
        <f t="shared" si="846"/>
        <v>3000</v>
      </c>
      <c r="AH1311" s="22">
        <f t="shared" si="846"/>
        <v>5000</v>
      </c>
      <c r="AI1311" s="22">
        <f t="shared" si="846"/>
        <v>4000</v>
      </c>
      <c r="AJ1311" s="162" t="b">
        <f t="shared" si="834"/>
        <v>1</v>
      </c>
      <c r="AK1311" s="162" t="str">
        <f t="shared" si="835"/>
        <v>PRAZNO</v>
      </c>
      <c r="AM1311" s="164"/>
    </row>
    <row r="1312" spans="1:39" ht="15.75" x14ac:dyDescent="0.2">
      <c r="B1312" s="177"/>
      <c r="C1312" s="177"/>
      <c r="D1312" s="177">
        <v>422</v>
      </c>
      <c r="E1312" s="177"/>
      <c r="F1312" s="177"/>
      <c r="G1312" s="177"/>
      <c r="H1312" s="16" t="s">
        <v>555</v>
      </c>
      <c r="I1312" s="17">
        <f>SUM(I1313:I1314)</f>
        <v>5000</v>
      </c>
      <c r="J1312" s="17">
        <f>SUM(J1313:J1314)</f>
        <v>2414.54</v>
      </c>
      <c r="K1312" s="17">
        <f t="shared" si="816"/>
        <v>48.29</v>
      </c>
      <c r="L1312" s="17">
        <f t="shared" si="825"/>
        <v>-270.17000000000007</v>
      </c>
      <c r="M1312" s="17">
        <f>SUM(M1313:M1314)</f>
        <v>4729.83</v>
      </c>
      <c r="N1312" s="17">
        <f>SUM(N1313:N1314)</f>
        <v>5000</v>
      </c>
      <c r="O1312" s="17">
        <f>SUM(O1313:O1314)</f>
        <v>0</v>
      </c>
      <c r="P1312" s="26">
        <f t="shared" si="844"/>
        <v>2000</v>
      </c>
      <c r="Q1312" s="17">
        <f t="shared" ref="Q1312:X1312" si="847">SUM(Q1313:Q1314)</f>
        <v>5000</v>
      </c>
      <c r="R1312" s="17">
        <f t="shared" si="847"/>
        <v>5000</v>
      </c>
      <c r="S1312" s="17">
        <f t="shared" si="847"/>
        <v>5000</v>
      </c>
      <c r="T1312" s="26">
        <f t="shared" si="847"/>
        <v>7000</v>
      </c>
      <c r="U1312" s="26">
        <f>SUM(U1313:U1314)</f>
        <v>6537</v>
      </c>
      <c r="V1312" s="17">
        <f t="shared" si="847"/>
        <v>5000</v>
      </c>
      <c r="W1312" s="17">
        <f t="shared" si="847"/>
        <v>5000</v>
      </c>
      <c r="X1312" s="17">
        <f t="shared" si="847"/>
        <v>5000</v>
      </c>
      <c r="Y1312" s="17">
        <f>SUM(Y1313:Y1314)</f>
        <v>3660.4</v>
      </c>
      <c r="Z1312" s="17">
        <f t="shared" si="830"/>
        <v>73.209999999999994</v>
      </c>
      <c r="AA1312" s="17">
        <f t="shared" si="828"/>
        <v>0</v>
      </c>
      <c r="AB1312" s="17">
        <f>SUM(AB1313:AB1314)</f>
        <v>5000</v>
      </c>
      <c r="AC1312" s="17">
        <f>SUM(AC1313:AC1314)</f>
        <v>3660.4</v>
      </c>
      <c r="AD1312" s="17">
        <f t="shared" si="813"/>
        <v>73.208000000000013</v>
      </c>
      <c r="AE1312" s="17">
        <f t="shared" si="817"/>
        <v>0</v>
      </c>
      <c r="AF1312" s="17">
        <f>SUM(AF1313:AF1314)</f>
        <v>5000</v>
      </c>
      <c r="AG1312" s="17">
        <f>SUM(AG1313:AG1314)</f>
        <v>3000</v>
      </c>
      <c r="AH1312" s="17">
        <f>SUM(AH1313:AH1314)</f>
        <v>5000</v>
      </c>
      <c r="AI1312" s="17">
        <f>SUM(AI1313:AI1314)</f>
        <v>4000</v>
      </c>
      <c r="AJ1312" s="162" t="b">
        <f t="shared" si="834"/>
        <v>1</v>
      </c>
      <c r="AK1312" s="162" t="str">
        <f t="shared" si="835"/>
        <v>PRAZNO</v>
      </c>
      <c r="AM1312" s="164"/>
    </row>
    <row r="1313" spans="1:39" ht="15.75" x14ac:dyDescent="0.2">
      <c r="B1313" s="177"/>
      <c r="C1313" s="177"/>
      <c r="D1313" s="177"/>
      <c r="E1313" s="177">
        <v>4221</v>
      </c>
      <c r="F1313" s="176">
        <v>11</v>
      </c>
      <c r="G1313" s="176" t="s">
        <v>746</v>
      </c>
      <c r="H1313" s="16" t="s">
        <v>558</v>
      </c>
      <c r="I1313" s="18">
        <v>5000</v>
      </c>
      <c r="J1313" s="18">
        <v>2414.54</v>
      </c>
      <c r="K1313" s="18">
        <f t="shared" si="816"/>
        <v>48.29</v>
      </c>
      <c r="L1313" s="18">
        <f t="shared" si="825"/>
        <v>-270.17000000000007</v>
      </c>
      <c r="M1313" s="18">
        <v>4729.83</v>
      </c>
      <c r="N1313" s="18">
        <v>5000</v>
      </c>
      <c r="O1313" s="18">
        <v>0</v>
      </c>
      <c r="P1313" s="26">
        <f t="shared" si="844"/>
        <v>2000</v>
      </c>
      <c r="Q1313" s="18">
        <v>5000</v>
      </c>
      <c r="R1313" s="18">
        <v>5000</v>
      </c>
      <c r="S1313" s="18">
        <v>5000</v>
      </c>
      <c r="T1313" s="27">
        <v>7000</v>
      </c>
      <c r="U1313" s="27">
        <v>6537</v>
      </c>
      <c r="V1313" s="27">
        <v>5000</v>
      </c>
      <c r="W1313" s="27">
        <v>5000</v>
      </c>
      <c r="X1313" s="27">
        <v>5000</v>
      </c>
      <c r="Y1313" s="27">
        <v>3660.4</v>
      </c>
      <c r="Z1313" s="27">
        <f t="shared" si="830"/>
        <v>73.209999999999994</v>
      </c>
      <c r="AA1313" s="27">
        <f t="shared" si="828"/>
        <v>0</v>
      </c>
      <c r="AB1313" s="27">
        <v>5000</v>
      </c>
      <c r="AC1313" s="27">
        <v>3660.4</v>
      </c>
      <c r="AD1313" s="27">
        <f t="shared" si="813"/>
        <v>73.208000000000013</v>
      </c>
      <c r="AE1313" s="27">
        <f t="shared" si="817"/>
        <v>0</v>
      </c>
      <c r="AF1313" s="27">
        <v>5000</v>
      </c>
      <c r="AG1313" s="27">
        <v>3000</v>
      </c>
      <c r="AH1313" s="27">
        <v>5000</v>
      </c>
      <c r="AI1313" s="27">
        <v>4000</v>
      </c>
      <c r="AJ1313" s="162" t="b">
        <f t="shared" si="834"/>
        <v>0</v>
      </c>
      <c r="AK1313" s="162" t="str">
        <f t="shared" si="835"/>
        <v>PUNO</v>
      </c>
      <c r="AM1313" s="164"/>
    </row>
    <row r="1314" spans="1:39" ht="15.75" x14ac:dyDescent="0.2">
      <c r="B1314" s="177"/>
      <c r="C1314" s="177"/>
      <c r="D1314" s="177"/>
      <c r="E1314" s="177">
        <v>4222</v>
      </c>
      <c r="F1314" s="176" t="s">
        <v>527</v>
      </c>
      <c r="G1314" s="176" t="s">
        <v>746</v>
      </c>
      <c r="H1314" s="16" t="s">
        <v>559</v>
      </c>
      <c r="I1314" s="18"/>
      <c r="J1314" s="18"/>
      <c r="K1314" s="18" t="e">
        <f t="shared" si="816"/>
        <v>#DIV/0!</v>
      </c>
      <c r="L1314" s="18">
        <f t="shared" si="825"/>
        <v>0</v>
      </c>
      <c r="M1314" s="18"/>
      <c r="N1314" s="18"/>
      <c r="O1314" s="18"/>
      <c r="P1314" s="26">
        <f t="shared" si="844"/>
        <v>0</v>
      </c>
      <c r="Q1314" s="18"/>
      <c r="R1314" s="18"/>
      <c r="S1314" s="18"/>
      <c r="T1314" s="27"/>
      <c r="U1314" s="27"/>
      <c r="V1314" s="18"/>
      <c r="W1314" s="18"/>
      <c r="X1314" s="18"/>
      <c r="Y1314" s="18"/>
      <c r="Z1314" s="18" t="e">
        <f t="shared" si="830"/>
        <v>#DIV/0!</v>
      </c>
      <c r="AA1314" s="18">
        <f t="shared" si="828"/>
        <v>0</v>
      </c>
      <c r="AB1314" s="18"/>
      <c r="AC1314" s="18"/>
      <c r="AD1314" s="18" t="e">
        <f t="shared" si="813"/>
        <v>#DIV/0!</v>
      </c>
      <c r="AE1314" s="18">
        <f t="shared" si="817"/>
        <v>0</v>
      </c>
      <c r="AF1314" s="18"/>
      <c r="AG1314" s="18"/>
      <c r="AH1314" s="18"/>
      <c r="AI1314" s="18"/>
      <c r="AJ1314" s="162" t="b">
        <f t="shared" si="834"/>
        <v>0</v>
      </c>
      <c r="AK1314" s="162" t="str">
        <f t="shared" si="835"/>
        <v>PUNO</v>
      </c>
      <c r="AM1314" s="164"/>
    </row>
    <row r="1315" spans="1:39" s="287" customFormat="1" ht="15.75" x14ac:dyDescent="0.25">
      <c r="A1315" s="378"/>
      <c r="B1315" s="194"/>
      <c r="C1315" s="194"/>
      <c r="D1315" s="194"/>
      <c r="E1315" s="194"/>
      <c r="F1315" s="159"/>
      <c r="G1315" s="159"/>
      <c r="H1315" s="24" t="s">
        <v>629</v>
      </c>
      <c r="I1315" s="195" t="e">
        <f>I1317</f>
        <v>#REF!</v>
      </c>
      <c r="J1315" s="195" t="e">
        <f>J1317</f>
        <v>#REF!</v>
      </c>
      <c r="K1315" s="195" t="e">
        <f t="shared" si="816"/>
        <v>#REF!</v>
      </c>
      <c r="L1315" s="195" t="e">
        <f t="shared" si="825"/>
        <v>#REF!</v>
      </c>
      <c r="M1315" s="195" t="e">
        <f>M1317</f>
        <v>#REF!</v>
      </c>
      <c r="N1315" s="195" t="e">
        <f>N1317</f>
        <v>#REF!</v>
      </c>
      <c r="O1315" s="195" t="e">
        <f>O1317</f>
        <v>#REF!</v>
      </c>
      <c r="P1315" s="351" t="e">
        <f t="shared" si="844"/>
        <v>#REF!</v>
      </c>
      <c r="Q1315" s="195" t="e">
        <f t="shared" ref="Q1315:X1315" si="848">Q1317</f>
        <v>#REF!</v>
      </c>
      <c r="R1315" s="195" t="e">
        <f t="shared" si="848"/>
        <v>#REF!</v>
      </c>
      <c r="S1315" s="195" t="e">
        <f t="shared" si="848"/>
        <v>#REF!</v>
      </c>
      <c r="T1315" s="197">
        <f t="shared" si="848"/>
        <v>15958100</v>
      </c>
      <c r="U1315" s="197">
        <f>U1317</f>
        <v>15939776.57</v>
      </c>
      <c r="V1315" s="195">
        <f t="shared" si="848"/>
        <v>16668041</v>
      </c>
      <c r="W1315" s="195" t="e">
        <f t="shared" si="848"/>
        <v>#REF!</v>
      </c>
      <c r="X1315" s="195" t="e">
        <f t="shared" si="848"/>
        <v>#REF!</v>
      </c>
      <c r="Y1315" s="195">
        <f>Y1317</f>
        <v>3036401.1799999997</v>
      </c>
      <c r="Z1315" s="195">
        <f t="shared" si="830"/>
        <v>18.22</v>
      </c>
      <c r="AA1315" s="195">
        <f t="shared" si="828"/>
        <v>846814</v>
      </c>
      <c r="AB1315" s="195">
        <f>AB1317</f>
        <v>17514855</v>
      </c>
      <c r="AC1315" s="195">
        <f>AC1317</f>
        <v>10777886.050000001</v>
      </c>
      <c r="AD1315" s="195">
        <f t="shared" ref="AD1315:AD1384" si="849">AC1315/AB1315*100</f>
        <v>61.535685279723985</v>
      </c>
      <c r="AE1315" s="195">
        <f t="shared" si="817"/>
        <v>-152499</v>
      </c>
      <c r="AF1315" s="195">
        <f>AF1317</f>
        <v>17362356</v>
      </c>
      <c r="AG1315" s="195">
        <f>AG1317</f>
        <v>17592541</v>
      </c>
      <c r="AH1315" s="195">
        <f>AH1317</f>
        <v>16305041</v>
      </c>
      <c r="AI1315" s="195">
        <f>AI1317</f>
        <v>16093541</v>
      </c>
      <c r="AJ1315" s="162" t="b">
        <f t="shared" si="834"/>
        <v>1</v>
      </c>
      <c r="AK1315" s="162" t="str">
        <f t="shared" si="835"/>
        <v>PRAZNO</v>
      </c>
      <c r="AL1315" s="288"/>
    </row>
    <row r="1316" spans="1:39" s="287" customFormat="1" ht="15.75" x14ac:dyDescent="0.25">
      <c r="A1316" s="378"/>
      <c r="B1316" s="194"/>
      <c r="C1316" s="194"/>
      <c r="D1316" s="194"/>
      <c r="E1316" s="194"/>
      <c r="F1316" s="159"/>
      <c r="G1316" s="159"/>
      <c r="H1316" s="11" t="s">
        <v>626</v>
      </c>
      <c r="I1316" s="195"/>
      <c r="J1316" s="195"/>
      <c r="K1316" s="195" t="e">
        <f t="shared" si="816"/>
        <v>#DIV/0!</v>
      </c>
      <c r="L1316" s="195"/>
      <c r="M1316" s="195"/>
      <c r="N1316" s="195"/>
      <c r="O1316" s="195"/>
      <c r="P1316" s="351"/>
      <c r="Q1316" s="195"/>
      <c r="R1316" s="195"/>
      <c r="S1316" s="195"/>
      <c r="T1316" s="197"/>
      <c r="U1316" s="197"/>
      <c r="V1316" s="195"/>
      <c r="W1316" s="195"/>
      <c r="X1316" s="195"/>
      <c r="Y1316" s="195"/>
      <c r="Z1316" s="195"/>
      <c r="AA1316" s="195"/>
      <c r="AB1316" s="195"/>
      <c r="AC1316" s="195"/>
      <c r="AD1316" s="195"/>
      <c r="AE1316" s="195">
        <f t="shared" si="817"/>
        <v>0</v>
      </c>
      <c r="AF1316" s="195"/>
      <c r="AG1316" s="195"/>
      <c r="AH1316" s="195"/>
      <c r="AI1316" s="195"/>
      <c r="AJ1316" s="162" t="b">
        <f t="shared" si="834"/>
        <v>1</v>
      </c>
      <c r="AK1316" s="162" t="str">
        <f t="shared" si="835"/>
        <v>PRAZNO</v>
      </c>
      <c r="AL1316" s="288"/>
    </row>
    <row r="1317" spans="1:39" s="207" customFormat="1" ht="15.75" x14ac:dyDescent="0.25">
      <c r="A1317" s="378"/>
      <c r="B1317" s="168"/>
      <c r="C1317" s="168"/>
      <c r="D1317" s="168"/>
      <c r="E1317" s="168"/>
      <c r="F1317" s="168"/>
      <c r="G1317" s="168"/>
      <c r="H1317" s="35" t="s">
        <v>630</v>
      </c>
      <c r="I1317" s="19" t="e">
        <f>I1319+I1365</f>
        <v>#REF!</v>
      </c>
      <c r="J1317" s="19" t="e">
        <f>J1319+J1365</f>
        <v>#REF!</v>
      </c>
      <c r="K1317" s="19" t="e">
        <f t="shared" si="816"/>
        <v>#REF!</v>
      </c>
      <c r="L1317" s="19" t="e">
        <f t="shared" si="825"/>
        <v>#REF!</v>
      </c>
      <c r="M1317" s="19" t="e">
        <f>M1319+M1365</f>
        <v>#REF!</v>
      </c>
      <c r="N1317" s="19" t="e">
        <f>N1319+N1365</f>
        <v>#REF!</v>
      </c>
      <c r="O1317" s="19" t="e">
        <f>O1319+O1365</f>
        <v>#REF!</v>
      </c>
      <c r="P1317" s="303" t="e">
        <f t="shared" si="844"/>
        <v>#REF!</v>
      </c>
      <c r="Q1317" s="19" t="e">
        <f t="shared" ref="Q1317:X1317" si="850">Q1319+Q1365</f>
        <v>#REF!</v>
      </c>
      <c r="R1317" s="19" t="e">
        <f t="shared" si="850"/>
        <v>#REF!</v>
      </c>
      <c r="S1317" s="19" t="e">
        <f t="shared" si="850"/>
        <v>#REF!</v>
      </c>
      <c r="T1317" s="53">
        <f t="shared" si="850"/>
        <v>15958100</v>
      </c>
      <c r="U1317" s="53">
        <f>U1319+U1365</f>
        <v>15939776.57</v>
      </c>
      <c r="V1317" s="19">
        <f>V1319+V1365</f>
        <v>16668041</v>
      </c>
      <c r="W1317" s="19" t="e">
        <f t="shared" si="850"/>
        <v>#REF!</v>
      </c>
      <c r="X1317" s="19" t="e">
        <f t="shared" si="850"/>
        <v>#REF!</v>
      </c>
      <c r="Y1317" s="19">
        <f>Y1319+Y1365</f>
        <v>3036401.1799999997</v>
      </c>
      <c r="Z1317" s="19">
        <f t="shared" si="830"/>
        <v>18.22</v>
      </c>
      <c r="AA1317" s="19">
        <f t="shared" si="828"/>
        <v>846814</v>
      </c>
      <c r="AB1317" s="19">
        <f>AB1319+AB1365</f>
        <v>17514855</v>
      </c>
      <c r="AC1317" s="19">
        <f>AC1319+AC1365</f>
        <v>10777886.050000001</v>
      </c>
      <c r="AD1317" s="19">
        <f t="shared" si="849"/>
        <v>61.535685279723985</v>
      </c>
      <c r="AE1317" s="19">
        <f t="shared" si="817"/>
        <v>-152499</v>
      </c>
      <c r="AF1317" s="19">
        <f>AF1319+AF1365</f>
        <v>17362356</v>
      </c>
      <c r="AG1317" s="19">
        <f>AG1319+AG1365</f>
        <v>17592541</v>
      </c>
      <c r="AH1317" s="19">
        <f>AH1319+AH1365</f>
        <v>16305041</v>
      </c>
      <c r="AI1317" s="19">
        <f>AI1319+AI1365</f>
        <v>16093541</v>
      </c>
      <c r="AJ1317" s="162" t="b">
        <f t="shared" si="834"/>
        <v>1</v>
      </c>
      <c r="AK1317" s="162" t="str">
        <f t="shared" si="835"/>
        <v>PRAZNO</v>
      </c>
      <c r="AL1317" s="206"/>
      <c r="AM1317" s="287"/>
    </row>
    <row r="1318" spans="1:39" s="207" customFormat="1" ht="15.75" x14ac:dyDescent="0.25">
      <c r="A1318" s="378"/>
      <c r="B1318" s="168"/>
      <c r="C1318" s="168"/>
      <c r="D1318" s="168"/>
      <c r="E1318" s="168"/>
      <c r="F1318" s="168"/>
      <c r="G1318" s="168"/>
      <c r="H1318" s="35" t="s">
        <v>41</v>
      </c>
      <c r="I1318" s="19"/>
      <c r="J1318" s="19"/>
      <c r="K1318" s="19"/>
      <c r="L1318" s="19"/>
      <c r="M1318" s="19"/>
      <c r="N1318" s="19"/>
      <c r="O1318" s="19"/>
      <c r="P1318" s="205"/>
      <c r="Q1318" s="19"/>
      <c r="R1318" s="19"/>
      <c r="S1318" s="19"/>
      <c r="T1318" s="53"/>
      <c r="U1318" s="53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19">
        <f t="shared" si="817"/>
        <v>0</v>
      </c>
      <c r="AF1318" s="19"/>
      <c r="AG1318" s="19"/>
      <c r="AH1318" s="19"/>
      <c r="AI1318" s="19"/>
      <c r="AJ1318" s="162" t="b">
        <f t="shared" si="834"/>
        <v>1</v>
      </c>
      <c r="AK1318" s="162" t="str">
        <f t="shared" si="835"/>
        <v>PRAZNO</v>
      </c>
      <c r="AL1318" s="206"/>
      <c r="AM1318" s="287"/>
    </row>
    <row r="1319" spans="1:39" s="207" customFormat="1" ht="15.75" x14ac:dyDescent="0.25">
      <c r="A1319" s="378"/>
      <c r="B1319" s="270"/>
      <c r="C1319" s="270"/>
      <c r="D1319" s="270"/>
      <c r="E1319" s="270"/>
      <c r="F1319" s="270"/>
      <c r="G1319" s="270"/>
      <c r="H1319" s="282" t="s">
        <v>722</v>
      </c>
      <c r="I1319" s="272" t="e">
        <f>I1344+I1327+I1338+I1320</f>
        <v>#REF!</v>
      </c>
      <c r="J1319" s="272" t="e">
        <f>J1344+J1327+J1338+J1320</f>
        <v>#REF!</v>
      </c>
      <c r="K1319" s="272" t="e">
        <f t="shared" si="816"/>
        <v>#REF!</v>
      </c>
      <c r="L1319" s="272" t="e">
        <f t="shared" si="825"/>
        <v>#REF!</v>
      </c>
      <c r="M1319" s="272" t="e">
        <f>M1344+M1327+M1338+M1320</f>
        <v>#REF!</v>
      </c>
      <c r="N1319" s="272">
        <f>N1344+N1327+N1338+N1320</f>
        <v>13647246</v>
      </c>
      <c r="O1319" s="272" t="e">
        <f>O1344+O1327+O1338+O1320</f>
        <v>#REF!</v>
      </c>
      <c r="P1319" s="336">
        <f t="shared" si="844"/>
        <v>1</v>
      </c>
      <c r="Q1319" s="272">
        <f t="shared" ref="Q1319:Y1319" si="851">Q1344+Q1327+Q1338+Q1320</f>
        <v>13647246</v>
      </c>
      <c r="R1319" s="272">
        <f t="shared" si="851"/>
        <v>14295500</v>
      </c>
      <c r="S1319" s="272">
        <f t="shared" si="851"/>
        <v>15110400</v>
      </c>
      <c r="T1319" s="275">
        <f t="shared" si="851"/>
        <v>13647247</v>
      </c>
      <c r="U1319" s="275">
        <f>U1344+U1327+U1338+U1320</f>
        <v>13714880.73</v>
      </c>
      <c r="V1319" s="272">
        <f t="shared" si="851"/>
        <v>13488949</v>
      </c>
      <c r="W1319" s="272" t="e">
        <f t="shared" si="851"/>
        <v>#REF!</v>
      </c>
      <c r="X1319" s="272" t="e">
        <f t="shared" si="851"/>
        <v>#REF!</v>
      </c>
      <c r="Y1319" s="272">
        <f t="shared" si="851"/>
        <v>2253510.7999999998</v>
      </c>
      <c r="Z1319" s="272">
        <f t="shared" si="830"/>
        <v>16.71</v>
      </c>
      <c r="AA1319" s="272">
        <f t="shared" si="828"/>
        <v>630272</v>
      </c>
      <c r="AB1319" s="272">
        <f>AB1344+AB1327+AB1338+AB1320</f>
        <v>14119221</v>
      </c>
      <c r="AC1319" s="272">
        <f>AC1344+AC1327+AC1338+AC1320</f>
        <v>9146447.2599999998</v>
      </c>
      <c r="AD1319" s="272">
        <f t="shared" si="849"/>
        <v>64.780112585531455</v>
      </c>
      <c r="AE1319" s="272">
        <f t="shared" si="817"/>
        <v>0</v>
      </c>
      <c r="AF1319" s="272">
        <f>AF1344+AF1327+AF1338+AF1320</f>
        <v>14119221</v>
      </c>
      <c r="AG1319" s="272">
        <f>AG1344+AG1327+AG1338+AG1320</f>
        <v>13488949</v>
      </c>
      <c r="AH1319" s="272">
        <f>AH1344+AH1327+AH1338+AH1320</f>
        <v>13488949</v>
      </c>
      <c r="AI1319" s="272">
        <f>AI1344+AI1327+AI1338+AI1320</f>
        <v>13488949</v>
      </c>
      <c r="AJ1319" s="162" t="b">
        <f t="shared" si="834"/>
        <v>1</v>
      </c>
      <c r="AK1319" s="162" t="str">
        <f t="shared" si="835"/>
        <v>PRAZNO</v>
      </c>
      <c r="AL1319" s="206"/>
      <c r="AM1319" s="287"/>
    </row>
    <row r="1320" spans="1:39" s="171" customFormat="1" ht="31.5" x14ac:dyDescent="0.2">
      <c r="A1320" s="259"/>
      <c r="B1320" s="168"/>
      <c r="C1320" s="168"/>
      <c r="D1320" s="168"/>
      <c r="E1320" s="168"/>
      <c r="F1320" s="168"/>
      <c r="G1320" s="168"/>
      <c r="H1320" s="35" t="s">
        <v>592</v>
      </c>
      <c r="I1320" s="169">
        <f>I1322</f>
        <v>0</v>
      </c>
      <c r="J1320" s="169">
        <f>J1322</f>
        <v>0</v>
      </c>
      <c r="K1320" s="169"/>
      <c r="L1320" s="169">
        <f t="shared" si="825"/>
        <v>100407.2</v>
      </c>
      <c r="M1320" s="19">
        <f>M1322</f>
        <v>100407.2</v>
      </c>
      <c r="N1320" s="19">
        <f>N1322</f>
        <v>98524</v>
      </c>
      <c r="O1320" s="19">
        <f>O1322</f>
        <v>87129.64</v>
      </c>
      <c r="P1320" s="303">
        <f t="shared" si="844"/>
        <v>11000</v>
      </c>
      <c r="Q1320" s="19">
        <f t="shared" ref="Q1320:X1320" si="852">Q1322</f>
        <v>98524</v>
      </c>
      <c r="R1320" s="19">
        <f t="shared" si="852"/>
        <v>0</v>
      </c>
      <c r="S1320" s="19">
        <f t="shared" si="852"/>
        <v>0</v>
      </c>
      <c r="T1320" s="53">
        <f t="shared" si="852"/>
        <v>109524</v>
      </c>
      <c r="U1320" s="53">
        <f>U1322</f>
        <v>301172.52</v>
      </c>
      <c r="V1320" s="19">
        <f t="shared" si="852"/>
        <v>184500</v>
      </c>
      <c r="W1320" s="19" t="e">
        <f t="shared" si="852"/>
        <v>#REF!</v>
      </c>
      <c r="X1320" s="19" t="e">
        <f t="shared" si="852"/>
        <v>#REF!</v>
      </c>
      <c r="Y1320" s="19">
        <f>Y1322</f>
        <v>0</v>
      </c>
      <c r="Z1320" s="19">
        <f t="shared" si="830"/>
        <v>0</v>
      </c>
      <c r="AA1320" s="19">
        <f t="shared" si="828"/>
        <v>0</v>
      </c>
      <c r="AB1320" s="19">
        <f>AB1322</f>
        <v>184500</v>
      </c>
      <c r="AC1320" s="19">
        <f>AC1322</f>
        <v>64550</v>
      </c>
      <c r="AD1320" s="19">
        <f t="shared" si="849"/>
        <v>34.986449864498645</v>
      </c>
      <c r="AE1320" s="19">
        <f t="shared" si="817"/>
        <v>0</v>
      </c>
      <c r="AF1320" s="19">
        <f>AF1322</f>
        <v>184500</v>
      </c>
      <c r="AG1320" s="19">
        <f>AG1322</f>
        <v>184500</v>
      </c>
      <c r="AH1320" s="19">
        <f>AH1322</f>
        <v>184500</v>
      </c>
      <c r="AI1320" s="19">
        <f>AI1322</f>
        <v>184500</v>
      </c>
      <c r="AJ1320" s="162" t="b">
        <f t="shared" si="834"/>
        <v>1</v>
      </c>
      <c r="AK1320" s="162" t="str">
        <f t="shared" si="835"/>
        <v>PRAZNO</v>
      </c>
      <c r="AL1320" s="170"/>
      <c r="AM1320" s="164"/>
    </row>
    <row r="1321" spans="1:39" s="264" customFormat="1" ht="20.25" customHeight="1" x14ac:dyDescent="0.2">
      <c r="A1321" s="259"/>
      <c r="B1321" s="260"/>
      <c r="C1321" s="260"/>
      <c r="D1321" s="260"/>
      <c r="E1321" s="260"/>
      <c r="F1321" s="260"/>
      <c r="G1321" s="260"/>
      <c r="H1321" s="473" t="s">
        <v>830</v>
      </c>
      <c r="I1321" s="181"/>
      <c r="J1321" s="181"/>
      <c r="K1321" s="181"/>
      <c r="L1321" s="181"/>
      <c r="M1321" s="262"/>
      <c r="N1321" s="262"/>
      <c r="O1321" s="262"/>
      <c r="P1321" s="445"/>
      <c r="Q1321" s="262"/>
      <c r="R1321" s="262"/>
      <c r="S1321" s="262"/>
      <c r="T1321" s="342"/>
      <c r="U1321" s="342"/>
      <c r="V1321" s="262">
        <f>V1322</f>
        <v>184500</v>
      </c>
      <c r="W1321" s="262" t="e">
        <f>W1322</f>
        <v>#REF!</v>
      </c>
      <c r="X1321" s="262" t="e">
        <f>X1322</f>
        <v>#REF!</v>
      </c>
      <c r="Y1321" s="262">
        <f>Y1322</f>
        <v>0</v>
      </c>
      <c r="Z1321" s="262">
        <f t="shared" si="830"/>
        <v>0</v>
      </c>
      <c r="AA1321" s="262">
        <f t="shared" si="828"/>
        <v>0</v>
      </c>
      <c r="AB1321" s="262">
        <f>AB1322</f>
        <v>184500</v>
      </c>
      <c r="AC1321" s="262">
        <f>AC1322</f>
        <v>64550</v>
      </c>
      <c r="AD1321" s="262">
        <f t="shared" si="849"/>
        <v>34.986449864498645</v>
      </c>
      <c r="AE1321" s="262">
        <f t="shared" si="817"/>
        <v>0</v>
      </c>
      <c r="AF1321" s="262">
        <f>AF1322</f>
        <v>184500</v>
      </c>
      <c r="AG1321" s="262">
        <f>AG1322</f>
        <v>184500</v>
      </c>
      <c r="AH1321" s="262">
        <f>AH1322</f>
        <v>184500</v>
      </c>
      <c r="AI1321" s="262">
        <f>AI1322</f>
        <v>184500</v>
      </c>
      <c r="AJ1321" s="162" t="b">
        <f t="shared" si="834"/>
        <v>1</v>
      </c>
      <c r="AK1321" s="162" t="str">
        <f t="shared" si="835"/>
        <v>PRAZNO</v>
      </c>
      <c r="AL1321" s="263"/>
    </row>
    <row r="1322" spans="1:39" s="174" customFormat="1" ht="15.75" x14ac:dyDescent="0.2">
      <c r="A1322" s="259"/>
      <c r="B1322" s="172">
        <v>3</v>
      </c>
      <c r="C1322" s="172"/>
      <c r="D1322" s="172"/>
      <c r="E1322" s="172"/>
      <c r="F1322" s="172"/>
      <c r="G1322" s="172"/>
      <c r="H1322" s="14" t="s">
        <v>524</v>
      </c>
      <c r="I1322" s="20">
        <f t="shared" ref="I1322:J1324" si="853">I1323</f>
        <v>0</v>
      </c>
      <c r="J1322" s="20">
        <f t="shared" si="853"/>
        <v>0</v>
      </c>
      <c r="K1322" s="20"/>
      <c r="L1322" s="20">
        <f t="shared" si="825"/>
        <v>100407.2</v>
      </c>
      <c r="M1322" s="20">
        <f t="shared" ref="M1322:AI1324" si="854">M1323</f>
        <v>100407.2</v>
      </c>
      <c r="N1322" s="20">
        <f t="shared" si="854"/>
        <v>98524</v>
      </c>
      <c r="O1322" s="20">
        <f t="shared" si="854"/>
        <v>87129.64</v>
      </c>
      <c r="P1322" s="55">
        <f t="shared" si="844"/>
        <v>11000</v>
      </c>
      <c r="Q1322" s="20">
        <f t="shared" si="854"/>
        <v>98524</v>
      </c>
      <c r="R1322" s="20">
        <f t="shared" si="854"/>
        <v>0</v>
      </c>
      <c r="S1322" s="20">
        <f t="shared" si="854"/>
        <v>0</v>
      </c>
      <c r="T1322" s="55">
        <f t="shared" si="854"/>
        <v>109524</v>
      </c>
      <c r="U1322" s="55">
        <f t="shared" si="854"/>
        <v>301172.52</v>
      </c>
      <c r="V1322" s="20">
        <f t="shared" si="854"/>
        <v>184500</v>
      </c>
      <c r="W1322" s="20" t="e">
        <f t="shared" si="854"/>
        <v>#REF!</v>
      </c>
      <c r="X1322" s="20" t="e">
        <f t="shared" si="854"/>
        <v>#REF!</v>
      </c>
      <c r="Y1322" s="20">
        <f t="shared" si="854"/>
        <v>0</v>
      </c>
      <c r="Z1322" s="20">
        <f t="shared" si="830"/>
        <v>0</v>
      </c>
      <c r="AA1322" s="20">
        <f t="shared" si="828"/>
        <v>0</v>
      </c>
      <c r="AB1322" s="20">
        <f t="shared" si="854"/>
        <v>184500</v>
      </c>
      <c r="AC1322" s="20">
        <f t="shared" si="854"/>
        <v>64550</v>
      </c>
      <c r="AD1322" s="20">
        <f t="shared" si="849"/>
        <v>34.986449864498645</v>
      </c>
      <c r="AE1322" s="20">
        <f t="shared" si="817"/>
        <v>0</v>
      </c>
      <c r="AF1322" s="20">
        <f t="shared" si="854"/>
        <v>184500</v>
      </c>
      <c r="AG1322" s="20">
        <f t="shared" si="854"/>
        <v>184500</v>
      </c>
      <c r="AH1322" s="20">
        <f t="shared" si="854"/>
        <v>184500</v>
      </c>
      <c r="AI1322" s="20">
        <f t="shared" si="854"/>
        <v>184500</v>
      </c>
      <c r="AJ1322" s="162" t="b">
        <f t="shared" si="834"/>
        <v>1</v>
      </c>
      <c r="AK1322" s="162" t="str">
        <f t="shared" si="835"/>
        <v>PRAZNO</v>
      </c>
      <c r="AL1322" s="173"/>
      <c r="AM1322" s="164"/>
    </row>
    <row r="1323" spans="1:39" ht="15.75" x14ac:dyDescent="0.2">
      <c r="B1323" s="175"/>
      <c r="C1323" s="175">
        <v>32</v>
      </c>
      <c r="D1323" s="175"/>
      <c r="E1323" s="175"/>
      <c r="F1323" s="175"/>
      <c r="G1323" s="175"/>
      <c r="H1323" s="15" t="s">
        <v>525</v>
      </c>
      <c r="I1323" s="22">
        <f t="shared" si="853"/>
        <v>0</v>
      </c>
      <c r="J1323" s="22">
        <f t="shared" si="853"/>
        <v>0</v>
      </c>
      <c r="K1323" s="22"/>
      <c r="L1323" s="22">
        <f t="shared" si="825"/>
        <v>100407.2</v>
      </c>
      <c r="M1323" s="22">
        <f t="shared" si="854"/>
        <v>100407.2</v>
      </c>
      <c r="N1323" s="22">
        <f t="shared" si="854"/>
        <v>98524</v>
      </c>
      <c r="O1323" s="22">
        <f t="shared" si="854"/>
        <v>87129.64</v>
      </c>
      <c r="P1323" s="26">
        <f t="shared" si="844"/>
        <v>11000</v>
      </c>
      <c r="Q1323" s="22">
        <f t="shared" si="854"/>
        <v>98524</v>
      </c>
      <c r="R1323" s="22">
        <f t="shared" si="854"/>
        <v>0</v>
      </c>
      <c r="S1323" s="22">
        <f t="shared" si="854"/>
        <v>0</v>
      </c>
      <c r="T1323" s="38">
        <f t="shared" si="854"/>
        <v>109524</v>
      </c>
      <c r="U1323" s="38">
        <f t="shared" si="854"/>
        <v>301172.52</v>
      </c>
      <c r="V1323" s="22">
        <f t="shared" si="854"/>
        <v>184500</v>
      </c>
      <c r="W1323" s="22" t="e">
        <f t="shared" si="854"/>
        <v>#REF!</v>
      </c>
      <c r="X1323" s="22" t="e">
        <f t="shared" si="854"/>
        <v>#REF!</v>
      </c>
      <c r="Y1323" s="22">
        <f t="shared" si="854"/>
        <v>0</v>
      </c>
      <c r="Z1323" s="22">
        <f t="shared" si="830"/>
        <v>0</v>
      </c>
      <c r="AA1323" s="22">
        <f t="shared" si="828"/>
        <v>0</v>
      </c>
      <c r="AB1323" s="22">
        <f t="shared" si="854"/>
        <v>184500</v>
      </c>
      <c r="AC1323" s="22">
        <f t="shared" si="854"/>
        <v>64550</v>
      </c>
      <c r="AD1323" s="22">
        <f t="shared" si="849"/>
        <v>34.986449864498645</v>
      </c>
      <c r="AE1323" s="22">
        <f t="shared" si="817"/>
        <v>0</v>
      </c>
      <c r="AF1323" s="22">
        <f t="shared" si="854"/>
        <v>184500</v>
      </c>
      <c r="AG1323" s="22">
        <f t="shared" si="854"/>
        <v>184500</v>
      </c>
      <c r="AH1323" s="22">
        <f t="shared" si="854"/>
        <v>184500</v>
      </c>
      <c r="AI1323" s="22">
        <f t="shared" si="854"/>
        <v>184500</v>
      </c>
      <c r="AJ1323" s="162" t="b">
        <f t="shared" si="834"/>
        <v>1</v>
      </c>
      <c r="AK1323" s="162" t="str">
        <f t="shared" si="835"/>
        <v>PRAZNO</v>
      </c>
      <c r="AM1323" s="164"/>
    </row>
    <row r="1324" spans="1:39" ht="15.75" x14ac:dyDescent="0.2">
      <c r="B1324" s="177"/>
      <c r="C1324" s="177"/>
      <c r="D1324" s="177">
        <v>323</v>
      </c>
      <c r="E1324" s="177"/>
      <c r="F1324" s="177"/>
      <c r="G1324" s="177"/>
      <c r="H1324" s="16" t="s">
        <v>526</v>
      </c>
      <c r="I1324" s="17">
        <f t="shared" si="853"/>
        <v>0</v>
      </c>
      <c r="J1324" s="17">
        <f t="shared" si="853"/>
        <v>0</v>
      </c>
      <c r="K1324" s="17"/>
      <c r="L1324" s="17">
        <f t="shared" si="825"/>
        <v>100407.2</v>
      </c>
      <c r="M1324" s="17">
        <f t="shared" si="854"/>
        <v>100407.2</v>
      </c>
      <c r="N1324" s="17">
        <f t="shared" si="854"/>
        <v>98524</v>
      </c>
      <c r="O1324" s="17">
        <f t="shared" si="854"/>
        <v>87129.64</v>
      </c>
      <c r="P1324" s="26">
        <f t="shared" si="844"/>
        <v>11000</v>
      </c>
      <c r="Q1324" s="17">
        <f t="shared" si="854"/>
        <v>98524</v>
      </c>
      <c r="R1324" s="17">
        <f t="shared" si="854"/>
        <v>0</v>
      </c>
      <c r="S1324" s="17">
        <f t="shared" si="854"/>
        <v>0</v>
      </c>
      <c r="T1324" s="26">
        <f>T1325</f>
        <v>109524</v>
      </c>
      <c r="U1324" s="26">
        <f>U1325+U1326</f>
        <v>301172.52</v>
      </c>
      <c r="V1324" s="26">
        <f>V1325</f>
        <v>184500</v>
      </c>
      <c r="W1324" s="26" t="e">
        <f>W1325+#REF!</f>
        <v>#REF!</v>
      </c>
      <c r="X1324" s="26" t="e">
        <f>X1325+#REF!</f>
        <v>#REF!</v>
      </c>
      <c r="Y1324" s="26">
        <f>Y1325</f>
        <v>0</v>
      </c>
      <c r="Z1324" s="26">
        <f t="shared" si="830"/>
        <v>0</v>
      </c>
      <c r="AA1324" s="18">
        <f t="shared" si="828"/>
        <v>0</v>
      </c>
      <c r="AB1324" s="26">
        <f>AB1325</f>
        <v>184500</v>
      </c>
      <c r="AC1324" s="26">
        <f>AC1325</f>
        <v>64550</v>
      </c>
      <c r="AD1324" s="26">
        <f t="shared" si="849"/>
        <v>34.986449864498645</v>
      </c>
      <c r="AE1324" s="26">
        <f t="shared" si="817"/>
        <v>0</v>
      </c>
      <c r="AF1324" s="26">
        <f>AF1325</f>
        <v>184500</v>
      </c>
      <c r="AG1324" s="26">
        <f>AG1325</f>
        <v>184500</v>
      </c>
      <c r="AH1324" s="26">
        <f>AH1325</f>
        <v>184500</v>
      </c>
      <c r="AI1324" s="26">
        <f>AI1325</f>
        <v>184500</v>
      </c>
      <c r="AJ1324" s="162" t="b">
        <f t="shared" si="834"/>
        <v>1</v>
      </c>
      <c r="AK1324" s="162" t="str">
        <f t="shared" si="835"/>
        <v>PRAZNO</v>
      </c>
      <c r="AM1324" s="164"/>
    </row>
    <row r="1325" spans="1:39" ht="15.75" x14ac:dyDescent="0.2">
      <c r="B1325" s="177"/>
      <c r="C1325" s="177"/>
      <c r="D1325" s="177"/>
      <c r="E1325" s="177">
        <v>3232</v>
      </c>
      <c r="F1325" s="176">
        <v>54</v>
      </c>
      <c r="G1325" s="176"/>
      <c r="H1325" s="16" t="s">
        <v>207</v>
      </c>
      <c r="I1325" s="18">
        <v>0</v>
      </c>
      <c r="J1325" s="18">
        <v>0</v>
      </c>
      <c r="K1325" s="18"/>
      <c r="L1325" s="18">
        <f t="shared" si="825"/>
        <v>100407.2</v>
      </c>
      <c r="M1325" s="18">
        <v>100407.2</v>
      </c>
      <c r="N1325" s="18">
        <v>98524</v>
      </c>
      <c r="O1325" s="18">
        <v>87129.64</v>
      </c>
      <c r="P1325" s="26">
        <f t="shared" si="844"/>
        <v>11000</v>
      </c>
      <c r="Q1325" s="18">
        <v>98524</v>
      </c>
      <c r="R1325" s="18">
        <v>0</v>
      </c>
      <c r="S1325" s="18">
        <v>0</v>
      </c>
      <c r="T1325" s="27">
        <f>98524+11000</f>
        <v>109524</v>
      </c>
      <c r="U1325" s="27">
        <v>96944.639999999999</v>
      </c>
      <c r="V1325" s="18">
        <v>184500</v>
      </c>
      <c r="W1325" s="18">
        <v>798816</v>
      </c>
      <c r="X1325" s="18">
        <v>1593600</v>
      </c>
      <c r="Y1325" s="18">
        <v>0</v>
      </c>
      <c r="Z1325" s="18">
        <f t="shared" si="830"/>
        <v>0</v>
      </c>
      <c r="AA1325" s="18">
        <f t="shared" si="828"/>
        <v>0</v>
      </c>
      <c r="AB1325" s="18">
        <v>184500</v>
      </c>
      <c r="AC1325" s="18">
        <v>64550</v>
      </c>
      <c r="AD1325" s="18">
        <f t="shared" si="849"/>
        <v>34.986449864498645</v>
      </c>
      <c r="AE1325" s="18">
        <f t="shared" si="817"/>
        <v>0</v>
      </c>
      <c r="AF1325" s="18">
        <v>184500</v>
      </c>
      <c r="AG1325" s="18">
        <v>184500</v>
      </c>
      <c r="AH1325" s="18">
        <v>184500</v>
      </c>
      <c r="AI1325" s="18">
        <v>184500</v>
      </c>
      <c r="AJ1325" s="162" t="b">
        <f t="shared" si="834"/>
        <v>0</v>
      </c>
      <c r="AK1325" s="162" t="str">
        <f t="shared" si="835"/>
        <v>PUNO</v>
      </c>
      <c r="AM1325" s="164"/>
    </row>
    <row r="1326" spans="1:39" ht="15.75" x14ac:dyDescent="0.2">
      <c r="B1326" s="177"/>
      <c r="C1326" s="177"/>
      <c r="D1326" s="177"/>
      <c r="E1326" s="177">
        <v>3232</v>
      </c>
      <c r="F1326" s="176">
        <v>14</v>
      </c>
      <c r="G1326" s="176"/>
      <c r="H1326" s="16" t="s">
        <v>207</v>
      </c>
      <c r="I1326" s="18"/>
      <c r="J1326" s="18"/>
      <c r="K1326" s="18"/>
      <c r="L1326" s="18"/>
      <c r="M1326" s="18"/>
      <c r="N1326" s="18"/>
      <c r="O1326" s="18"/>
      <c r="P1326" s="26"/>
      <c r="Q1326" s="18"/>
      <c r="R1326" s="18"/>
      <c r="S1326" s="18"/>
      <c r="T1326" s="27"/>
      <c r="U1326" s="27">
        <v>204227.88</v>
      </c>
      <c r="V1326" s="18"/>
      <c r="W1326" s="18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62" t="b">
        <f t="shared" si="834"/>
        <v>0</v>
      </c>
      <c r="AK1326" s="162" t="str">
        <f t="shared" si="835"/>
        <v>PUNO</v>
      </c>
      <c r="AM1326" s="164"/>
    </row>
    <row r="1327" spans="1:39" s="171" customFormat="1" ht="31.5" x14ac:dyDescent="0.2">
      <c r="A1327" s="259"/>
      <c r="B1327" s="168"/>
      <c r="C1327" s="168"/>
      <c r="D1327" s="168"/>
      <c r="E1327" s="168"/>
      <c r="F1327" s="168"/>
      <c r="G1327" s="168"/>
      <c r="H1327" s="35" t="s">
        <v>593</v>
      </c>
      <c r="I1327" s="169" t="e">
        <f>I1329+I1333</f>
        <v>#REF!</v>
      </c>
      <c r="J1327" s="169" t="e">
        <f>J1329+J1333</f>
        <v>#REF!</v>
      </c>
      <c r="K1327" s="169" t="e">
        <f t="shared" ref="K1327:K1364" si="855">ROUND(J1327/I1327*100,2)</f>
        <v>#REF!</v>
      </c>
      <c r="L1327" s="169" t="e">
        <f t="shared" si="825"/>
        <v>#REF!</v>
      </c>
      <c r="M1327" s="19" t="e">
        <f>M1329+M1333</f>
        <v>#REF!</v>
      </c>
      <c r="N1327" s="19">
        <f>N1329+N1333</f>
        <v>8630000</v>
      </c>
      <c r="O1327" s="19" t="e">
        <f>O1329+O1333</f>
        <v>#REF!</v>
      </c>
      <c r="P1327" s="303">
        <f t="shared" si="844"/>
        <v>0</v>
      </c>
      <c r="Q1327" s="19">
        <f t="shared" ref="Q1327:Y1327" si="856">Q1329+Q1333</f>
        <v>8630000</v>
      </c>
      <c r="R1327" s="19">
        <f t="shared" si="856"/>
        <v>8350000</v>
      </c>
      <c r="S1327" s="19">
        <f t="shared" si="856"/>
        <v>8250000</v>
      </c>
      <c r="T1327" s="53">
        <f t="shared" si="856"/>
        <v>8630000</v>
      </c>
      <c r="U1327" s="53">
        <f>U1329+U1333</f>
        <v>8498133.2400000002</v>
      </c>
      <c r="V1327" s="19">
        <f t="shared" si="856"/>
        <v>8300000</v>
      </c>
      <c r="W1327" s="19">
        <f t="shared" si="856"/>
        <v>8300000</v>
      </c>
      <c r="X1327" s="19">
        <f t="shared" si="856"/>
        <v>8300000</v>
      </c>
      <c r="Y1327" s="19">
        <f t="shared" si="856"/>
        <v>2174752.0099999998</v>
      </c>
      <c r="Z1327" s="19">
        <f t="shared" si="830"/>
        <v>26.2</v>
      </c>
      <c r="AA1327" s="19">
        <f t="shared" si="828"/>
        <v>0</v>
      </c>
      <c r="AB1327" s="19">
        <f>AB1329+AB1333</f>
        <v>8300000</v>
      </c>
      <c r="AC1327" s="19">
        <f>AC1329+AC1333</f>
        <v>6173690.1000000006</v>
      </c>
      <c r="AD1327" s="19">
        <f t="shared" si="849"/>
        <v>74.381808433734946</v>
      </c>
      <c r="AE1327" s="19">
        <f t="shared" si="817"/>
        <v>-80000</v>
      </c>
      <c r="AF1327" s="19">
        <f>AF1329+AF1333</f>
        <v>8220000</v>
      </c>
      <c r="AG1327" s="19">
        <f>AG1329+AG1333</f>
        <v>8145000</v>
      </c>
      <c r="AH1327" s="19">
        <f>AH1329+AH1333</f>
        <v>8110000</v>
      </c>
      <c r="AI1327" s="19">
        <f>AI1329+AI1333</f>
        <v>8070000</v>
      </c>
      <c r="AJ1327" s="162" t="b">
        <f t="shared" si="834"/>
        <v>1</v>
      </c>
      <c r="AK1327" s="162" t="str">
        <f t="shared" si="835"/>
        <v>PRAZNO</v>
      </c>
      <c r="AL1327" s="170"/>
      <c r="AM1327" s="164"/>
    </row>
    <row r="1328" spans="1:39" s="264" customFormat="1" ht="31.5" x14ac:dyDescent="0.2">
      <c r="A1328" s="259"/>
      <c r="B1328" s="260"/>
      <c r="C1328" s="260"/>
      <c r="D1328" s="260"/>
      <c r="E1328" s="260"/>
      <c r="F1328" s="260"/>
      <c r="G1328" s="260"/>
      <c r="H1328" s="473" t="s">
        <v>831</v>
      </c>
      <c r="I1328" s="181"/>
      <c r="J1328" s="181"/>
      <c r="K1328" s="181"/>
      <c r="L1328" s="181"/>
      <c r="M1328" s="262"/>
      <c r="N1328" s="262"/>
      <c r="O1328" s="262"/>
      <c r="P1328" s="445"/>
      <c r="Q1328" s="262"/>
      <c r="R1328" s="262"/>
      <c r="S1328" s="262"/>
      <c r="T1328" s="342"/>
      <c r="U1328" s="262">
        <f t="shared" ref="U1328:AA1328" si="857">U1329+U1333</f>
        <v>8498133.2400000002</v>
      </c>
      <c r="V1328" s="262">
        <f t="shared" si="857"/>
        <v>8300000</v>
      </c>
      <c r="W1328" s="262">
        <f t="shared" si="857"/>
        <v>8300000</v>
      </c>
      <c r="X1328" s="262">
        <f t="shared" si="857"/>
        <v>8300000</v>
      </c>
      <c r="Y1328" s="262">
        <f t="shared" si="857"/>
        <v>2174752.0099999998</v>
      </c>
      <c r="Z1328" s="262">
        <f t="shared" si="857"/>
        <v>70.12</v>
      </c>
      <c r="AA1328" s="262">
        <f t="shared" si="857"/>
        <v>0</v>
      </c>
      <c r="AB1328" s="262">
        <f>AB1329+AB1333</f>
        <v>8300000</v>
      </c>
      <c r="AC1328" s="262">
        <f>AC1329+AC1333</f>
        <v>6173690.1000000006</v>
      </c>
      <c r="AD1328" s="262">
        <f t="shared" si="849"/>
        <v>74.381808433734946</v>
      </c>
      <c r="AE1328" s="262">
        <f t="shared" ref="AE1328:AE1396" si="858">AF1328-AB1328</f>
        <v>-80000</v>
      </c>
      <c r="AF1328" s="262">
        <f>AF1329+AF1333</f>
        <v>8220000</v>
      </c>
      <c r="AG1328" s="262">
        <f>AG1329+AG1333</f>
        <v>8145000</v>
      </c>
      <c r="AH1328" s="262">
        <f>AH1329+AH1333</f>
        <v>8110000</v>
      </c>
      <c r="AI1328" s="262">
        <f>AI1329+AI1333</f>
        <v>8070000</v>
      </c>
      <c r="AJ1328" s="162" t="b">
        <f t="shared" si="834"/>
        <v>1</v>
      </c>
      <c r="AK1328" s="162" t="str">
        <f t="shared" si="835"/>
        <v>PRAZNO</v>
      </c>
      <c r="AL1328" s="263"/>
    </row>
    <row r="1329" spans="1:39" s="174" customFormat="1" ht="15.75" x14ac:dyDescent="0.2">
      <c r="A1329" s="259"/>
      <c r="B1329" s="172">
        <v>3</v>
      </c>
      <c r="C1329" s="172"/>
      <c r="D1329" s="172"/>
      <c r="E1329" s="172"/>
      <c r="F1329" s="172"/>
      <c r="G1329" s="172"/>
      <c r="H1329" s="14" t="s">
        <v>524</v>
      </c>
      <c r="I1329" s="20" t="e">
        <f t="shared" ref="I1329:AI1331" si="859">I1330</f>
        <v>#REF!</v>
      </c>
      <c r="J1329" s="20" t="e">
        <f t="shared" si="859"/>
        <v>#REF!</v>
      </c>
      <c r="K1329" s="20" t="e">
        <f t="shared" si="855"/>
        <v>#REF!</v>
      </c>
      <c r="L1329" s="20" t="e">
        <f t="shared" si="825"/>
        <v>#REF!</v>
      </c>
      <c r="M1329" s="20" t="e">
        <f t="shared" si="859"/>
        <v>#REF!</v>
      </c>
      <c r="N1329" s="20">
        <f t="shared" si="859"/>
        <v>900000</v>
      </c>
      <c r="O1329" s="20" t="e">
        <f t="shared" si="859"/>
        <v>#REF!</v>
      </c>
      <c r="P1329" s="55">
        <f t="shared" si="844"/>
        <v>0</v>
      </c>
      <c r="Q1329" s="20">
        <f t="shared" si="859"/>
        <v>900000</v>
      </c>
      <c r="R1329" s="20">
        <f t="shared" si="859"/>
        <v>600000</v>
      </c>
      <c r="S1329" s="20">
        <f t="shared" si="859"/>
        <v>500000</v>
      </c>
      <c r="T1329" s="55">
        <f t="shared" si="859"/>
        <v>900000</v>
      </c>
      <c r="U1329" s="55">
        <f t="shared" si="859"/>
        <v>701268.54</v>
      </c>
      <c r="V1329" s="20">
        <f t="shared" si="859"/>
        <v>450000</v>
      </c>
      <c r="W1329" s="20">
        <f t="shared" si="859"/>
        <v>450000</v>
      </c>
      <c r="X1329" s="20">
        <f t="shared" si="859"/>
        <v>450000</v>
      </c>
      <c r="Y1329" s="20">
        <f t="shared" si="859"/>
        <v>202505.61</v>
      </c>
      <c r="Z1329" s="20">
        <f t="shared" si="830"/>
        <v>45</v>
      </c>
      <c r="AA1329" s="20">
        <f t="shared" si="828"/>
        <v>0</v>
      </c>
      <c r="AB1329" s="20">
        <f t="shared" si="859"/>
        <v>450000</v>
      </c>
      <c r="AC1329" s="20">
        <f t="shared" si="859"/>
        <v>292976.32</v>
      </c>
      <c r="AD1329" s="20">
        <f t="shared" si="849"/>
        <v>65.1058488888889</v>
      </c>
      <c r="AE1329" s="20">
        <f t="shared" si="858"/>
        <v>-69440</v>
      </c>
      <c r="AF1329" s="20">
        <f t="shared" si="859"/>
        <v>380560</v>
      </c>
      <c r="AG1329" s="20">
        <f t="shared" si="859"/>
        <v>345000</v>
      </c>
      <c r="AH1329" s="20">
        <f t="shared" si="859"/>
        <v>310000</v>
      </c>
      <c r="AI1329" s="20">
        <f t="shared" si="859"/>
        <v>270000</v>
      </c>
      <c r="AJ1329" s="162" t="b">
        <f t="shared" si="834"/>
        <v>1</v>
      </c>
      <c r="AK1329" s="162" t="str">
        <f t="shared" si="835"/>
        <v>PRAZNO</v>
      </c>
      <c r="AL1329" s="173"/>
      <c r="AM1329" s="164"/>
    </row>
    <row r="1330" spans="1:39" ht="15.75" x14ac:dyDescent="0.2">
      <c r="B1330" s="175"/>
      <c r="C1330" s="175">
        <v>34</v>
      </c>
      <c r="D1330" s="175"/>
      <c r="E1330" s="175"/>
      <c r="F1330" s="175"/>
      <c r="G1330" s="175"/>
      <c r="H1330" s="15" t="s">
        <v>208</v>
      </c>
      <c r="I1330" s="22" t="e">
        <f t="shared" si="859"/>
        <v>#REF!</v>
      </c>
      <c r="J1330" s="22" t="e">
        <f t="shared" si="859"/>
        <v>#REF!</v>
      </c>
      <c r="K1330" s="22" t="e">
        <f t="shared" si="855"/>
        <v>#REF!</v>
      </c>
      <c r="L1330" s="22" t="e">
        <f t="shared" si="825"/>
        <v>#REF!</v>
      </c>
      <c r="M1330" s="22" t="e">
        <f t="shared" si="859"/>
        <v>#REF!</v>
      </c>
      <c r="N1330" s="22">
        <f t="shared" si="859"/>
        <v>900000</v>
      </c>
      <c r="O1330" s="22" t="e">
        <f t="shared" si="859"/>
        <v>#REF!</v>
      </c>
      <c r="P1330" s="26">
        <f t="shared" si="844"/>
        <v>0</v>
      </c>
      <c r="Q1330" s="22">
        <f t="shared" si="859"/>
        <v>900000</v>
      </c>
      <c r="R1330" s="22">
        <f t="shared" si="859"/>
        <v>600000</v>
      </c>
      <c r="S1330" s="22">
        <f t="shared" si="859"/>
        <v>500000</v>
      </c>
      <c r="T1330" s="38">
        <f t="shared" si="859"/>
        <v>900000</v>
      </c>
      <c r="U1330" s="38">
        <f t="shared" si="859"/>
        <v>701268.54</v>
      </c>
      <c r="V1330" s="22">
        <f t="shared" si="859"/>
        <v>450000</v>
      </c>
      <c r="W1330" s="22">
        <f t="shared" si="859"/>
        <v>450000</v>
      </c>
      <c r="X1330" s="22">
        <f t="shared" si="859"/>
        <v>450000</v>
      </c>
      <c r="Y1330" s="22">
        <f t="shared" si="859"/>
        <v>202505.61</v>
      </c>
      <c r="Z1330" s="22">
        <f t="shared" si="830"/>
        <v>45</v>
      </c>
      <c r="AA1330" s="22">
        <f t="shared" si="828"/>
        <v>0</v>
      </c>
      <c r="AB1330" s="22">
        <f t="shared" si="859"/>
        <v>450000</v>
      </c>
      <c r="AC1330" s="22">
        <f t="shared" si="859"/>
        <v>292976.32</v>
      </c>
      <c r="AD1330" s="22">
        <f t="shared" si="849"/>
        <v>65.1058488888889</v>
      </c>
      <c r="AE1330" s="22">
        <f t="shared" si="858"/>
        <v>-69440</v>
      </c>
      <c r="AF1330" s="22">
        <f t="shared" si="859"/>
        <v>380560</v>
      </c>
      <c r="AG1330" s="22">
        <f t="shared" si="859"/>
        <v>345000</v>
      </c>
      <c r="AH1330" s="22">
        <f t="shared" si="859"/>
        <v>310000</v>
      </c>
      <c r="AI1330" s="22">
        <f t="shared" si="859"/>
        <v>270000</v>
      </c>
      <c r="AJ1330" s="162" t="b">
        <f t="shared" si="834"/>
        <v>1</v>
      </c>
      <c r="AK1330" s="162" t="str">
        <f t="shared" si="835"/>
        <v>PRAZNO</v>
      </c>
      <c r="AM1330" s="164"/>
    </row>
    <row r="1331" spans="1:39" ht="15.75" x14ac:dyDescent="0.2">
      <c r="B1331" s="177"/>
      <c r="C1331" s="177"/>
      <c r="D1331" s="177">
        <v>342</v>
      </c>
      <c r="E1331" s="177"/>
      <c r="F1331" s="177"/>
      <c r="G1331" s="177"/>
      <c r="H1331" s="16" t="s">
        <v>401</v>
      </c>
      <c r="I1331" s="17" t="e">
        <f>#REF!+I1332</f>
        <v>#REF!</v>
      </c>
      <c r="J1331" s="17" t="e">
        <f>#REF!+J1332</f>
        <v>#REF!</v>
      </c>
      <c r="K1331" s="17" t="e">
        <f t="shared" si="855"/>
        <v>#REF!</v>
      </c>
      <c r="L1331" s="17" t="e">
        <f t="shared" si="825"/>
        <v>#REF!</v>
      </c>
      <c r="M1331" s="17" t="e">
        <f>#REF!+M1332</f>
        <v>#REF!</v>
      </c>
      <c r="N1331" s="17">
        <f>N1332</f>
        <v>900000</v>
      </c>
      <c r="O1331" s="17" t="e">
        <f>#REF!+O1332</f>
        <v>#REF!</v>
      </c>
      <c r="P1331" s="26">
        <f t="shared" si="844"/>
        <v>0</v>
      </c>
      <c r="Q1331" s="17">
        <f t="shared" si="859"/>
        <v>900000</v>
      </c>
      <c r="R1331" s="17">
        <f t="shared" si="859"/>
        <v>600000</v>
      </c>
      <c r="S1331" s="17">
        <f t="shared" si="859"/>
        <v>500000</v>
      </c>
      <c r="T1331" s="26">
        <f t="shared" si="859"/>
        <v>900000</v>
      </c>
      <c r="U1331" s="26">
        <f t="shared" si="859"/>
        <v>701268.54</v>
      </c>
      <c r="V1331" s="17">
        <f t="shared" si="859"/>
        <v>450000</v>
      </c>
      <c r="W1331" s="17">
        <f t="shared" si="859"/>
        <v>450000</v>
      </c>
      <c r="X1331" s="17">
        <f t="shared" si="859"/>
        <v>450000</v>
      </c>
      <c r="Y1331" s="17">
        <f>Y1332</f>
        <v>202505.61</v>
      </c>
      <c r="Z1331" s="17">
        <f t="shared" si="830"/>
        <v>45</v>
      </c>
      <c r="AA1331" s="17">
        <f t="shared" si="828"/>
        <v>0</v>
      </c>
      <c r="AB1331" s="17">
        <f>AB1332</f>
        <v>450000</v>
      </c>
      <c r="AC1331" s="17">
        <f>AC1332</f>
        <v>292976.32</v>
      </c>
      <c r="AD1331" s="17">
        <f t="shared" si="849"/>
        <v>65.1058488888889</v>
      </c>
      <c r="AE1331" s="17">
        <f t="shared" si="858"/>
        <v>-69440</v>
      </c>
      <c r="AF1331" s="17">
        <f>AF1332</f>
        <v>380560</v>
      </c>
      <c r="AG1331" s="17">
        <f>AG1332</f>
        <v>345000</v>
      </c>
      <c r="AH1331" s="17">
        <f>AH1332</f>
        <v>310000</v>
      </c>
      <c r="AI1331" s="17">
        <f>AI1332</f>
        <v>270000</v>
      </c>
      <c r="AJ1331" s="162" t="b">
        <f t="shared" si="834"/>
        <v>1</v>
      </c>
      <c r="AK1331" s="162" t="str">
        <f t="shared" si="835"/>
        <v>PRAZNO</v>
      </c>
      <c r="AM1331" s="164"/>
    </row>
    <row r="1332" spans="1:39" ht="30" x14ac:dyDescent="0.2">
      <c r="B1332" s="177"/>
      <c r="C1332" s="177"/>
      <c r="D1332" s="177"/>
      <c r="E1332" s="177">
        <v>3422</v>
      </c>
      <c r="F1332" s="176">
        <v>54</v>
      </c>
      <c r="G1332" s="176" t="s">
        <v>746</v>
      </c>
      <c r="H1332" s="16" t="s">
        <v>39</v>
      </c>
      <c r="I1332" s="18">
        <v>620000</v>
      </c>
      <c r="J1332" s="18">
        <v>620000</v>
      </c>
      <c r="K1332" s="18">
        <f t="shared" si="855"/>
        <v>100</v>
      </c>
      <c r="L1332" s="18">
        <f t="shared" si="825"/>
        <v>0</v>
      </c>
      <c r="M1332" s="18">
        <v>620000</v>
      </c>
      <c r="N1332" s="18">
        <f>1000000-100000</f>
        <v>900000</v>
      </c>
      <c r="O1332" s="18">
        <v>582142.52</v>
      </c>
      <c r="P1332" s="26">
        <f t="shared" si="844"/>
        <v>0</v>
      </c>
      <c r="Q1332" s="18">
        <f>1000000-100000</f>
        <v>900000</v>
      </c>
      <c r="R1332" s="18">
        <f>600000</f>
        <v>600000</v>
      </c>
      <c r="S1332" s="18">
        <v>500000</v>
      </c>
      <c r="T1332" s="27">
        <v>900000</v>
      </c>
      <c r="U1332" s="27">
        <v>701268.54</v>
      </c>
      <c r="V1332" s="18">
        <v>450000</v>
      </c>
      <c r="W1332" s="18">
        <v>450000</v>
      </c>
      <c r="X1332" s="18">
        <v>450000</v>
      </c>
      <c r="Y1332" s="18">
        <v>202505.61</v>
      </c>
      <c r="Z1332" s="18">
        <f t="shared" si="830"/>
        <v>45</v>
      </c>
      <c r="AA1332" s="18">
        <f t="shared" si="828"/>
        <v>0</v>
      </c>
      <c r="AB1332" s="18">
        <v>450000</v>
      </c>
      <c r="AC1332" s="18">
        <v>292976.32</v>
      </c>
      <c r="AD1332" s="18">
        <f t="shared" si="849"/>
        <v>65.1058488888889</v>
      </c>
      <c r="AE1332" s="18">
        <f t="shared" si="858"/>
        <v>-69440</v>
      </c>
      <c r="AF1332" s="18">
        <v>380560</v>
      </c>
      <c r="AG1332" s="18">
        <v>345000</v>
      </c>
      <c r="AH1332" s="18">
        <v>310000</v>
      </c>
      <c r="AI1332" s="18">
        <v>270000</v>
      </c>
      <c r="AJ1332" s="162" t="b">
        <f t="shared" si="834"/>
        <v>0</v>
      </c>
      <c r="AK1332" s="162" t="str">
        <f t="shared" si="835"/>
        <v>PUNO</v>
      </c>
      <c r="AM1332" s="164"/>
    </row>
    <row r="1333" spans="1:39" s="174" customFormat="1" ht="15.75" x14ac:dyDescent="0.2">
      <c r="A1333" s="259"/>
      <c r="B1333" s="172">
        <v>5</v>
      </c>
      <c r="C1333" s="172"/>
      <c r="D1333" s="172"/>
      <c r="E1333" s="172"/>
      <c r="F1333" s="172"/>
      <c r="G1333" s="172"/>
      <c r="H1333" s="36" t="s">
        <v>415</v>
      </c>
      <c r="I1333" s="37">
        <f t="shared" ref="I1333:AI1334" si="860">I1334</f>
        <v>7460000</v>
      </c>
      <c r="J1333" s="37">
        <f t="shared" si="860"/>
        <v>5783635.1099999994</v>
      </c>
      <c r="K1333" s="37">
        <f t="shared" si="855"/>
        <v>77.53</v>
      </c>
      <c r="L1333" s="37">
        <f t="shared" si="825"/>
        <v>0</v>
      </c>
      <c r="M1333" s="37">
        <f t="shared" si="860"/>
        <v>7460000</v>
      </c>
      <c r="N1333" s="37">
        <f t="shared" si="860"/>
        <v>7730000</v>
      </c>
      <c r="O1333" s="37">
        <f t="shared" si="860"/>
        <v>3917027.51</v>
      </c>
      <c r="P1333" s="55">
        <f t="shared" si="844"/>
        <v>0</v>
      </c>
      <c r="Q1333" s="37">
        <f t="shared" si="860"/>
        <v>7730000</v>
      </c>
      <c r="R1333" s="37">
        <f t="shared" si="860"/>
        <v>7750000</v>
      </c>
      <c r="S1333" s="37">
        <f t="shared" si="860"/>
        <v>7750000</v>
      </c>
      <c r="T1333" s="54">
        <f t="shared" si="860"/>
        <v>7730000</v>
      </c>
      <c r="U1333" s="54">
        <f t="shared" si="860"/>
        <v>7796864.7000000002</v>
      </c>
      <c r="V1333" s="37">
        <f t="shared" si="860"/>
        <v>7850000</v>
      </c>
      <c r="W1333" s="37">
        <f t="shared" si="860"/>
        <v>7850000</v>
      </c>
      <c r="X1333" s="37">
        <f t="shared" si="860"/>
        <v>7850000</v>
      </c>
      <c r="Y1333" s="37">
        <f t="shared" si="860"/>
        <v>1972246.4</v>
      </c>
      <c r="Z1333" s="37">
        <f t="shared" si="830"/>
        <v>25.12</v>
      </c>
      <c r="AA1333" s="37">
        <f t="shared" si="828"/>
        <v>0</v>
      </c>
      <c r="AB1333" s="37">
        <f t="shared" si="860"/>
        <v>7850000</v>
      </c>
      <c r="AC1333" s="37">
        <f t="shared" si="860"/>
        <v>5880713.7800000003</v>
      </c>
      <c r="AD1333" s="37">
        <f t="shared" si="849"/>
        <v>74.913551337579619</v>
      </c>
      <c r="AE1333" s="37">
        <f t="shared" si="858"/>
        <v>-10560</v>
      </c>
      <c r="AF1333" s="37">
        <f t="shared" si="860"/>
        <v>7839440</v>
      </c>
      <c r="AG1333" s="37">
        <f t="shared" si="860"/>
        <v>7800000</v>
      </c>
      <c r="AH1333" s="37">
        <f t="shared" si="860"/>
        <v>7800000</v>
      </c>
      <c r="AI1333" s="37">
        <f t="shared" si="860"/>
        <v>7800000</v>
      </c>
      <c r="AJ1333" s="162" t="b">
        <f t="shared" si="834"/>
        <v>1</v>
      </c>
      <c r="AK1333" s="162" t="str">
        <f t="shared" si="835"/>
        <v>PRAZNO</v>
      </c>
      <c r="AL1333" s="173"/>
      <c r="AM1333" s="164"/>
    </row>
    <row r="1334" spans="1:39" ht="22.5" customHeight="1" x14ac:dyDescent="0.2">
      <c r="B1334" s="175"/>
      <c r="C1334" s="175">
        <v>54</v>
      </c>
      <c r="D1334" s="175"/>
      <c r="E1334" s="175"/>
      <c r="F1334" s="175"/>
      <c r="G1334" s="175"/>
      <c r="H1334" s="15" t="s">
        <v>416</v>
      </c>
      <c r="I1334" s="22">
        <f t="shared" si="860"/>
        <v>7460000</v>
      </c>
      <c r="J1334" s="22">
        <f t="shared" si="860"/>
        <v>5783635.1099999994</v>
      </c>
      <c r="K1334" s="22">
        <f t="shared" si="855"/>
        <v>77.53</v>
      </c>
      <c r="L1334" s="22">
        <f t="shared" si="825"/>
        <v>0</v>
      </c>
      <c r="M1334" s="22">
        <f t="shared" si="860"/>
        <v>7460000</v>
      </c>
      <c r="N1334" s="22">
        <f t="shared" si="860"/>
        <v>7730000</v>
      </c>
      <c r="O1334" s="22">
        <f t="shared" si="860"/>
        <v>3917027.51</v>
      </c>
      <c r="P1334" s="26">
        <f t="shared" si="844"/>
        <v>0</v>
      </c>
      <c r="Q1334" s="22">
        <f t="shared" si="860"/>
        <v>7730000</v>
      </c>
      <c r="R1334" s="22">
        <f t="shared" si="860"/>
        <v>7750000</v>
      </c>
      <c r="S1334" s="22">
        <f t="shared" si="860"/>
        <v>7750000</v>
      </c>
      <c r="T1334" s="38">
        <f t="shared" si="860"/>
        <v>7730000</v>
      </c>
      <c r="U1334" s="38">
        <f t="shared" si="860"/>
        <v>7796864.7000000002</v>
      </c>
      <c r="V1334" s="22">
        <f t="shared" si="860"/>
        <v>7850000</v>
      </c>
      <c r="W1334" s="22">
        <f t="shared" si="860"/>
        <v>7850000</v>
      </c>
      <c r="X1334" s="22">
        <f t="shared" si="860"/>
        <v>7850000</v>
      </c>
      <c r="Y1334" s="22">
        <f t="shared" si="860"/>
        <v>1972246.4</v>
      </c>
      <c r="Z1334" s="22">
        <f t="shared" si="830"/>
        <v>25.12</v>
      </c>
      <c r="AA1334" s="22">
        <f t="shared" si="828"/>
        <v>0</v>
      </c>
      <c r="AB1334" s="22">
        <f t="shared" si="860"/>
        <v>7850000</v>
      </c>
      <c r="AC1334" s="22">
        <f t="shared" si="860"/>
        <v>5880713.7800000003</v>
      </c>
      <c r="AD1334" s="22">
        <f t="shared" si="849"/>
        <v>74.913551337579619</v>
      </c>
      <c r="AE1334" s="22">
        <f t="shared" si="858"/>
        <v>-10560</v>
      </c>
      <c r="AF1334" s="22">
        <f t="shared" si="860"/>
        <v>7839440</v>
      </c>
      <c r="AG1334" s="22">
        <f t="shared" si="860"/>
        <v>7800000</v>
      </c>
      <c r="AH1334" s="22">
        <f t="shared" si="860"/>
        <v>7800000</v>
      </c>
      <c r="AI1334" s="22">
        <f t="shared" si="860"/>
        <v>7800000</v>
      </c>
      <c r="AJ1334" s="162" t="b">
        <f t="shared" si="834"/>
        <v>1</v>
      </c>
      <c r="AK1334" s="162" t="str">
        <f t="shared" si="835"/>
        <v>PRAZNO</v>
      </c>
      <c r="AM1334" s="164"/>
    </row>
    <row r="1335" spans="1:39" ht="36" customHeight="1" x14ac:dyDescent="0.2">
      <c r="B1335" s="177"/>
      <c r="C1335" s="177"/>
      <c r="D1335" s="177">
        <v>542</v>
      </c>
      <c r="E1335" s="177"/>
      <c r="F1335" s="177"/>
      <c r="G1335" s="177"/>
      <c r="H1335" s="16" t="s">
        <v>633</v>
      </c>
      <c r="I1335" s="17">
        <f>I1336+I1337</f>
        <v>7460000</v>
      </c>
      <c r="J1335" s="17">
        <f>J1336+J1337</f>
        <v>5783635.1099999994</v>
      </c>
      <c r="K1335" s="17">
        <f t="shared" si="855"/>
        <v>77.53</v>
      </c>
      <c r="L1335" s="17">
        <f t="shared" si="825"/>
        <v>0</v>
      </c>
      <c r="M1335" s="17">
        <f>SUM(M1336:M1337)</f>
        <v>7460000</v>
      </c>
      <c r="N1335" s="17">
        <f>N1336+N1337</f>
        <v>7730000</v>
      </c>
      <c r="O1335" s="17">
        <f>O1336+O1337</f>
        <v>3917027.51</v>
      </c>
      <c r="P1335" s="26">
        <f t="shared" si="844"/>
        <v>0</v>
      </c>
      <c r="Q1335" s="17">
        <f t="shared" ref="Q1335:Y1335" si="861">Q1336+Q1337</f>
        <v>7730000</v>
      </c>
      <c r="R1335" s="17">
        <f t="shared" si="861"/>
        <v>7750000</v>
      </c>
      <c r="S1335" s="17">
        <f t="shared" si="861"/>
        <v>7750000</v>
      </c>
      <c r="T1335" s="26">
        <f t="shared" si="861"/>
        <v>7730000</v>
      </c>
      <c r="U1335" s="26">
        <f>U1336+U1337</f>
        <v>7796864.7000000002</v>
      </c>
      <c r="V1335" s="17">
        <f t="shared" si="861"/>
        <v>7850000</v>
      </c>
      <c r="W1335" s="17">
        <f t="shared" si="861"/>
        <v>7850000</v>
      </c>
      <c r="X1335" s="17">
        <f t="shared" si="861"/>
        <v>7850000</v>
      </c>
      <c r="Y1335" s="17">
        <f t="shared" si="861"/>
        <v>1972246.4</v>
      </c>
      <c r="Z1335" s="17">
        <f t="shared" si="830"/>
        <v>25.12</v>
      </c>
      <c r="AA1335" s="17">
        <f t="shared" si="828"/>
        <v>0</v>
      </c>
      <c r="AB1335" s="17">
        <f>AB1336+AB1337</f>
        <v>7850000</v>
      </c>
      <c r="AC1335" s="17">
        <f>AC1336+AC1337</f>
        <v>5880713.7800000003</v>
      </c>
      <c r="AD1335" s="17">
        <f t="shared" si="849"/>
        <v>74.913551337579619</v>
      </c>
      <c r="AE1335" s="17">
        <f t="shared" si="858"/>
        <v>-10560</v>
      </c>
      <c r="AF1335" s="17">
        <f>AF1336+AF1337</f>
        <v>7839440</v>
      </c>
      <c r="AG1335" s="17">
        <f>AG1336+AG1337</f>
        <v>7800000</v>
      </c>
      <c r="AH1335" s="17">
        <f>AH1336+AH1337</f>
        <v>7800000</v>
      </c>
      <c r="AI1335" s="17">
        <f>AI1336+AI1337</f>
        <v>7800000</v>
      </c>
      <c r="AJ1335" s="162" t="b">
        <f t="shared" si="834"/>
        <v>1</v>
      </c>
      <c r="AK1335" s="162" t="str">
        <f t="shared" si="835"/>
        <v>PRAZNO</v>
      </c>
      <c r="AM1335" s="164"/>
    </row>
    <row r="1336" spans="1:39" ht="30" x14ac:dyDescent="0.2">
      <c r="B1336" s="177"/>
      <c r="C1336" s="177"/>
      <c r="D1336" s="177"/>
      <c r="E1336" s="177">
        <v>5422</v>
      </c>
      <c r="F1336" s="176">
        <v>12</v>
      </c>
      <c r="G1336" s="176"/>
      <c r="H1336" s="16" t="s">
        <v>634</v>
      </c>
      <c r="I1336" s="18">
        <v>5541600</v>
      </c>
      <c r="J1336" s="18">
        <v>3838132.86</v>
      </c>
      <c r="K1336" s="18">
        <f t="shared" si="855"/>
        <v>69.260000000000005</v>
      </c>
      <c r="L1336" s="18">
        <f t="shared" si="825"/>
        <v>220885.25999999978</v>
      </c>
      <c r="M1336" s="18">
        <v>5762485.2599999998</v>
      </c>
      <c r="N1336" s="18">
        <v>5776100</v>
      </c>
      <c r="O1336" s="18">
        <v>3917027.51</v>
      </c>
      <c r="P1336" s="26">
        <f t="shared" si="844"/>
        <v>229900</v>
      </c>
      <c r="Q1336" s="18">
        <v>5776100</v>
      </c>
      <c r="R1336" s="18">
        <v>5796100</v>
      </c>
      <c r="S1336" s="18">
        <v>5796100</v>
      </c>
      <c r="T1336" s="27">
        <v>6006000</v>
      </c>
      <c r="U1336" s="27">
        <v>6072864.7000000002</v>
      </c>
      <c r="V1336" s="178">
        <v>6135000</v>
      </c>
      <c r="W1336" s="178">
        <v>6312000</v>
      </c>
      <c r="X1336" s="178">
        <v>6599000</v>
      </c>
      <c r="Y1336" s="178">
        <v>1972246.4</v>
      </c>
      <c r="Z1336" s="178">
        <f t="shared" si="830"/>
        <v>32.15</v>
      </c>
      <c r="AA1336" s="178">
        <f t="shared" si="828"/>
        <v>0</v>
      </c>
      <c r="AB1336" s="178">
        <v>6135000</v>
      </c>
      <c r="AC1336" s="178">
        <v>5880713.7800000003</v>
      </c>
      <c r="AD1336" s="178">
        <f t="shared" si="849"/>
        <v>95.855155338223312</v>
      </c>
      <c r="AE1336" s="178">
        <f t="shared" si="858"/>
        <v>0</v>
      </c>
      <c r="AF1336" s="178">
        <v>6135000</v>
      </c>
      <c r="AG1336" s="178">
        <v>6100000</v>
      </c>
      <c r="AH1336" s="178">
        <v>6262000</v>
      </c>
      <c r="AI1336" s="178">
        <v>6549000</v>
      </c>
      <c r="AJ1336" s="162" t="b">
        <f t="shared" si="834"/>
        <v>0</v>
      </c>
      <c r="AK1336" s="162" t="str">
        <f t="shared" si="835"/>
        <v>PUNO</v>
      </c>
      <c r="AM1336" s="164"/>
    </row>
    <row r="1337" spans="1:39" ht="30" x14ac:dyDescent="0.2">
      <c r="B1337" s="177"/>
      <c r="C1337" s="177"/>
      <c r="D1337" s="177"/>
      <c r="E1337" s="177">
        <v>5422</v>
      </c>
      <c r="F1337" s="177">
        <v>54</v>
      </c>
      <c r="G1337" s="176"/>
      <c r="H1337" s="16" t="s">
        <v>634</v>
      </c>
      <c r="I1337" s="18">
        <v>1918400</v>
      </c>
      <c r="J1337" s="18">
        <v>1945502.25</v>
      </c>
      <c r="K1337" s="18">
        <f t="shared" si="855"/>
        <v>101.41</v>
      </c>
      <c r="L1337" s="18">
        <f t="shared" si="825"/>
        <v>-220885.26</v>
      </c>
      <c r="M1337" s="18">
        <v>1697514.74</v>
      </c>
      <c r="N1337" s="18">
        <v>1953900</v>
      </c>
      <c r="O1337" s="18">
        <v>0</v>
      </c>
      <c r="P1337" s="26">
        <f t="shared" si="844"/>
        <v>-229900</v>
      </c>
      <c r="Q1337" s="18">
        <v>1953900</v>
      </c>
      <c r="R1337" s="18">
        <v>1953900</v>
      </c>
      <c r="S1337" s="18">
        <v>1953900</v>
      </c>
      <c r="T1337" s="27">
        <v>1724000</v>
      </c>
      <c r="U1337" s="27">
        <v>1724000</v>
      </c>
      <c r="V1337" s="18">
        <v>1715000</v>
      </c>
      <c r="W1337" s="18">
        <v>1538000</v>
      </c>
      <c r="X1337" s="18">
        <v>1251000</v>
      </c>
      <c r="Y1337" s="18">
        <v>0</v>
      </c>
      <c r="Z1337" s="18">
        <f t="shared" si="830"/>
        <v>0</v>
      </c>
      <c r="AA1337" s="18">
        <f t="shared" si="828"/>
        <v>0</v>
      </c>
      <c r="AB1337" s="18">
        <v>1715000</v>
      </c>
      <c r="AC1337" s="18">
        <v>0</v>
      </c>
      <c r="AD1337" s="18">
        <f t="shared" si="849"/>
        <v>0</v>
      </c>
      <c r="AE1337" s="18">
        <f t="shared" si="858"/>
        <v>-10560</v>
      </c>
      <c r="AF1337" s="18">
        <f>1715000-10560</f>
        <v>1704440</v>
      </c>
      <c r="AG1337" s="18">
        <v>1700000</v>
      </c>
      <c r="AH1337" s="18">
        <v>1538000</v>
      </c>
      <c r="AI1337" s="18">
        <v>1251000</v>
      </c>
      <c r="AJ1337" s="162" t="b">
        <f t="shared" si="834"/>
        <v>0</v>
      </c>
      <c r="AK1337" s="162" t="str">
        <f t="shared" si="835"/>
        <v>PUNO</v>
      </c>
      <c r="AM1337" s="164"/>
    </row>
    <row r="1338" spans="1:39" s="171" customFormat="1" ht="18.75" customHeight="1" x14ac:dyDescent="0.2">
      <c r="A1338" s="259"/>
      <c r="B1338" s="168"/>
      <c r="C1338" s="168"/>
      <c r="D1338" s="168"/>
      <c r="E1338" s="168"/>
      <c r="F1338" s="168"/>
      <c r="G1338" s="168"/>
      <c r="H1338" s="35" t="s">
        <v>163</v>
      </c>
      <c r="I1338" s="169">
        <f>I1340</f>
        <v>682500</v>
      </c>
      <c r="J1338" s="169">
        <f>J1340</f>
        <v>450040.38</v>
      </c>
      <c r="K1338" s="169">
        <f t="shared" si="855"/>
        <v>65.94</v>
      </c>
      <c r="L1338" s="169">
        <f t="shared" si="825"/>
        <v>1236059.75</v>
      </c>
      <c r="M1338" s="19">
        <f>M1340</f>
        <v>1918559.75</v>
      </c>
      <c r="N1338" s="19">
        <f>N1340</f>
        <v>713890</v>
      </c>
      <c r="O1338" s="19">
        <f>O1340</f>
        <v>314335.56</v>
      </c>
      <c r="P1338" s="303">
        <f t="shared" si="844"/>
        <v>73268</v>
      </c>
      <c r="Q1338" s="19">
        <f t="shared" ref="Q1338:X1338" si="862">Q1340</f>
        <v>713890</v>
      </c>
      <c r="R1338" s="19">
        <f t="shared" si="862"/>
        <v>5172000</v>
      </c>
      <c r="S1338" s="19">
        <f t="shared" si="862"/>
        <v>6750000</v>
      </c>
      <c r="T1338" s="53">
        <f t="shared" si="862"/>
        <v>787158</v>
      </c>
      <c r="U1338" s="53">
        <f>U1340</f>
        <v>487124.59</v>
      </c>
      <c r="V1338" s="19">
        <f t="shared" si="862"/>
        <v>605900</v>
      </c>
      <c r="W1338" s="19">
        <f t="shared" si="862"/>
        <v>1750000</v>
      </c>
      <c r="X1338" s="19">
        <f t="shared" si="862"/>
        <v>1845000</v>
      </c>
      <c r="Y1338" s="19">
        <f>Y1340</f>
        <v>0</v>
      </c>
      <c r="Z1338" s="19">
        <f t="shared" si="830"/>
        <v>0</v>
      </c>
      <c r="AA1338" s="19">
        <f t="shared" si="828"/>
        <v>-84179</v>
      </c>
      <c r="AB1338" s="19">
        <f>AB1340</f>
        <v>521721</v>
      </c>
      <c r="AC1338" s="19">
        <f>AC1340</f>
        <v>351717.01</v>
      </c>
      <c r="AD1338" s="19">
        <f t="shared" si="849"/>
        <v>67.414769579909574</v>
      </c>
      <c r="AE1338" s="19">
        <f t="shared" si="858"/>
        <v>-1942</v>
      </c>
      <c r="AF1338" s="19">
        <f>AF1340</f>
        <v>519779</v>
      </c>
      <c r="AG1338" s="19">
        <f>AG1340</f>
        <v>100256</v>
      </c>
      <c r="AH1338" s="19">
        <f>AH1340</f>
        <v>894553</v>
      </c>
      <c r="AI1338" s="19">
        <f>AI1340</f>
        <v>977553</v>
      </c>
      <c r="AJ1338" s="162" t="b">
        <f t="shared" si="834"/>
        <v>1</v>
      </c>
      <c r="AK1338" s="162" t="str">
        <f t="shared" si="835"/>
        <v>PRAZNO</v>
      </c>
      <c r="AL1338" s="170"/>
      <c r="AM1338" s="164"/>
    </row>
    <row r="1339" spans="1:39" s="264" customFormat="1" ht="15.75" customHeight="1" x14ac:dyDescent="0.2">
      <c r="A1339" s="259"/>
      <c r="B1339" s="260"/>
      <c r="C1339" s="260"/>
      <c r="D1339" s="260"/>
      <c r="E1339" s="260"/>
      <c r="F1339" s="260"/>
      <c r="G1339" s="260"/>
      <c r="H1339" s="473" t="s">
        <v>830</v>
      </c>
      <c r="I1339" s="181"/>
      <c r="J1339" s="181"/>
      <c r="K1339" s="181"/>
      <c r="L1339" s="181"/>
      <c r="M1339" s="262"/>
      <c r="N1339" s="262"/>
      <c r="O1339" s="262"/>
      <c r="P1339" s="445"/>
      <c r="Q1339" s="262"/>
      <c r="R1339" s="262"/>
      <c r="S1339" s="262"/>
      <c r="T1339" s="342"/>
      <c r="U1339" s="342"/>
      <c r="V1339" s="262">
        <f>V1340</f>
        <v>605900</v>
      </c>
      <c r="W1339" s="262">
        <f>W1340</f>
        <v>1750000</v>
      </c>
      <c r="X1339" s="262">
        <f>X1340</f>
        <v>1845000</v>
      </c>
      <c r="Y1339" s="262">
        <f>Y1340</f>
        <v>0</v>
      </c>
      <c r="Z1339" s="262">
        <f t="shared" si="830"/>
        <v>0</v>
      </c>
      <c r="AA1339" s="262">
        <f t="shared" si="828"/>
        <v>-84179</v>
      </c>
      <c r="AB1339" s="262">
        <f>AB1340</f>
        <v>521721</v>
      </c>
      <c r="AC1339" s="262">
        <f>AC1340</f>
        <v>351717.01</v>
      </c>
      <c r="AD1339" s="262">
        <f t="shared" si="849"/>
        <v>67.414769579909574</v>
      </c>
      <c r="AE1339" s="262">
        <f t="shared" si="858"/>
        <v>-1942</v>
      </c>
      <c r="AF1339" s="262">
        <f>AF1340</f>
        <v>519779</v>
      </c>
      <c r="AG1339" s="262">
        <f>AG1340</f>
        <v>100256</v>
      </c>
      <c r="AH1339" s="262">
        <f>AH1340</f>
        <v>894553</v>
      </c>
      <c r="AI1339" s="262">
        <f>AI1340</f>
        <v>977553</v>
      </c>
      <c r="AJ1339" s="162" t="b">
        <f t="shared" si="834"/>
        <v>1</v>
      </c>
      <c r="AK1339" s="162" t="str">
        <f t="shared" si="835"/>
        <v>PRAZNO</v>
      </c>
      <c r="AL1339" s="263"/>
    </row>
    <row r="1340" spans="1:39" s="174" customFormat="1" ht="15.75" x14ac:dyDescent="0.2">
      <c r="A1340" s="259"/>
      <c r="B1340" s="172">
        <v>4</v>
      </c>
      <c r="C1340" s="172"/>
      <c r="D1340" s="172"/>
      <c r="E1340" s="172"/>
      <c r="F1340" s="172"/>
      <c r="G1340" s="172"/>
      <c r="H1340" s="36" t="s">
        <v>552</v>
      </c>
      <c r="I1340" s="37">
        <f t="shared" ref="I1340:J1342" si="863">I1341</f>
        <v>682500</v>
      </c>
      <c r="J1340" s="37">
        <f t="shared" si="863"/>
        <v>450040.38</v>
      </c>
      <c r="K1340" s="37">
        <f t="shared" si="855"/>
        <v>65.94</v>
      </c>
      <c r="L1340" s="37">
        <f t="shared" si="825"/>
        <v>1236059.75</v>
      </c>
      <c r="M1340" s="37">
        <f t="shared" ref="M1340:AI1342" si="864">M1341</f>
        <v>1918559.75</v>
      </c>
      <c r="N1340" s="37">
        <f t="shared" si="864"/>
        <v>713890</v>
      </c>
      <c r="O1340" s="37">
        <f t="shared" si="864"/>
        <v>314335.56</v>
      </c>
      <c r="P1340" s="55">
        <f t="shared" si="844"/>
        <v>73268</v>
      </c>
      <c r="Q1340" s="37">
        <f t="shared" si="864"/>
        <v>713890</v>
      </c>
      <c r="R1340" s="37">
        <f t="shared" si="864"/>
        <v>5172000</v>
      </c>
      <c r="S1340" s="37">
        <f t="shared" si="864"/>
        <v>6750000</v>
      </c>
      <c r="T1340" s="54">
        <f t="shared" si="864"/>
        <v>787158</v>
      </c>
      <c r="U1340" s="54">
        <f t="shared" si="864"/>
        <v>487124.59</v>
      </c>
      <c r="V1340" s="37">
        <f t="shared" si="864"/>
        <v>605900</v>
      </c>
      <c r="W1340" s="37">
        <f t="shared" si="864"/>
        <v>1750000</v>
      </c>
      <c r="X1340" s="37">
        <f t="shared" si="864"/>
        <v>1845000</v>
      </c>
      <c r="Y1340" s="37">
        <f t="shared" si="864"/>
        <v>0</v>
      </c>
      <c r="Z1340" s="37">
        <f t="shared" si="830"/>
        <v>0</v>
      </c>
      <c r="AA1340" s="37">
        <f t="shared" si="828"/>
        <v>-84179</v>
      </c>
      <c r="AB1340" s="37">
        <f t="shared" si="864"/>
        <v>521721</v>
      </c>
      <c r="AC1340" s="37">
        <f t="shared" si="864"/>
        <v>351717.01</v>
      </c>
      <c r="AD1340" s="37">
        <f t="shared" si="849"/>
        <v>67.414769579909574</v>
      </c>
      <c r="AE1340" s="37">
        <f t="shared" si="858"/>
        <v>-1942</v>
      </c>
      <c r="AF1340" s="37">
        <f t="shared" si="864"/>
        <v>519779</v>
      </c>
      <c r="AG1340" s="37">
        <f t="shared" si="864"/>
        <v>100256</v>
      </c>
      <c r="AH1340" s="37">
        <f t="shared" si="864"/>
        <v>894553</v>
      </c>
      <c r="AI1340" s="37">
        <f t="shared" si="864"/>
        <v>977553</v>
      </c>
      <c r="AJ1340" s="162" t="b">
        <f t="shared" si="834"/>
        <v>1</v>
      </c>
      <c r="AK1340" s="162" t="str">
        <f t="shared" si="835"/>
        <v>PRAZNO</v>
      </c>
      <c r="AL1340" s="173"/>
      <c r="AM1340" s="164"/>
    </row>
    <row r="1341" spans="1:39" ht="27.75" customHeight="1" x14ac:dyDescent="0.2">
      <c r="B1341" s="175"/>
      <c r="C1341" s="175">
        <v>45</v>
      </c>
      <c r="D1341" s="175"/>
      <c r="E1341" s="175"/>
      <c r="F1341" s="175"/>
      <c r="G1341" s="175"/>
      <c r="H1341" s="28" t="s">
        <v>808</v>
      </c>
      <c r="I1341" s="22">
        <f t="shared" si="863"/>
        <v>682500</v>
      </c>
      <c r="J1341" s="22">
        <f t="shared" si="863"/>
        <v>450040.38</v>
      </c>
      <c r="K1341" s="22">
        <f t="shared" si="855"/>
        <v>65.94</v>
      </c>
      <c r="L1341" s="22">
        <f t="shared" si="825"/>
        <v>1236059.75</v>
      </c>
      <c r="M1341" s="22">
        <f t="shared" si="864"/>
        <v>1918559.75</v>
      </c>
      <c r="N1341" s="22">
        <f t="shared" si="864"/>
        <v>713890</v>
      </c>
      <c r="O1341" s="22">
        <f t="shared" si="864"/>
        <v>314335.56</v>
      </c>
      <c r="P1341" s="26">
        <f t="shared" si="844"/>
        <v>73268</v>
      </c>
      <c r="Q1341" s="22">
        <f t="shared" si="864"/>
        <v>713890</v>
      </c>
      <c r="R1341" s="22">
        <f t="shared" si="864"/>
        <v>5172000</v>
      </c>
      <c r="S1341" s="22">
        <f t="shared" si="864"/>
        <v>6750000</v>
      </c>
      <c r="T1341" s="38">
        <f t="shared" si="864"/>
        <v>787158</v>
      </c>
      <c r="U1341" s="38">
        <f t="shared" si="864"/>
        <v>487124.59</v>
      </c>
      <c r="V1341" s="22">
        <f t="shared" si="864"/>
        <v>605900</v>
      </c>
      <c r="W1341" s="22">
        <f t="shared" si="864"/>
        <v>1750000</v>
      </c>
      <c r="X1341" s="22">
        <f t="shared" si="864"/>
        <v>1845000</v>
      </c>
      <c r="Y1341" s="22">
        <f t="shared" si="864"/>
        <v>0</v>
      </c>
      <c r="Z1341" s="22">
        <f t="shared" si="830"/>
        <v>0</v>
      </c>
      <c r="AA1341" s="22">
        <f t="shared" si="828"/>
        <v>-84179</v>
      </c>
      <c r="AB1341" s="22">
        <f t="shared" si="864"/>
        <v>521721</v>
      </c>
      <c r="AC1341" s="22">
        <f t="shared" si="864"/>
        <v>351717.01</v>
      </c>
      <c r="AD1341" s="22">
        <f t="shared" si="849"/>
        <v>67.414769579909574</v>
      </c>
      <c r="AE1341" s="22">
        <f t="shared" si="858"/>
        <v>-1942</v>
      </c>
      <c r="AF1341" s="22">
        <f t="shared" si="864"/>
        <v>519779</v>
      </c>
      <c r="AG1341" s="22">
        <f t="shared" si="864"/>
        <v>100256</v>
      </c>
      <c r="AH1341" s="22">
        <f t="shared" si="864"/>
        <v>894553</v>
      </c>
      <c r="AI1341" s="22">
        <f t="shared" si="864"/>
        <v>977553</v>
      </c>
      <c r="AJ1341" s="162" t="b">
        <f t="shared" si="834"/>
        <v>1</v>
      </c>
      <c r="AK1341" s="162" t="str">
        <f t="shared" si="835"/>
        <v>PRAZNO</v>
      </c>
      <c r="AM1341" s="164"/>
    </row>
    <row r="1342" spans="1:39" ht="15.75" x14ac:dyDescent="0.2">
      <c r="B1342" s="177"/>
      <c r="C1342" s="177"/>
      <c r="D1342" s="177">
        <v>451</v>
      </c>
      <c r="E1342" s="177"/>
      <c r="F1342" s="177"/>
      <c r="G1342" s="177"/>
      <c r="H1342" s="29" t="s">
        <v>809</v>
      </c>
      <c r="I1342" s="17">
        <f t="shared" si="863"/>
        <v>682500</v>
      </c>
      <c r="J1342" s="17">
        <f t="shared" si="863"/>
        <v>450040.38</v>
      </c>
      <c r="K1342" s="17">
        <f t="shared" si="855"/>
        <v>65.94</v>
      </c>
      <c r="L1342" s="17">
        <f t="shared" si="825"/>
        <v>1236059.75</v>
      </c>
      <c r="M1342" s="17">
        <f t="shared" si="864"/>
        <v>1918559.75</v>
      </c>
      <c r="N1342" s="17">
        <f t="shared" si="864"/>
        <v>713890</v>
      </c>
      <c r="O1342" s="17">
        <f t="shared" si="864"/>
        <v>314335.56</v>
      </c>
      <c r="P1342" s="26">
        <f t="shared" si="844"/>
        <v>73268</v>
      </c>
      <c r="Q1342" s="17">
        <f t="shared" si="864"/>
        <v>713890</v>
      </c>
      <c r="R1342" s="17">
        <f t="shared" si="864"/>
        <v>5172000</v>
      </c>
      <c r="S1342" s="17">
        <f t="shared" si="864"/>
        <v>6750000</v>
      </c>
      <c r="T1342" s="26">
        <f t="shared" si="864"/>
        <v>787158</v>
      </c>
      <c r="U1342" s="26">
        <f t="shared" si="864"/>
        <v>487124.59</v>
      </c>
      <c r="V1342" s="17">
        <f t="shared" si="864"/>
        <v>605900</v>
      </c>
      <c r="W1342" s="17">
        <f t="shared" si="864"/>
        <v>1750000</v>
      </c>
      <c r="X1342" s="17">
        <f t="shared" si="864"/>
        <v>1845000</v>
      </c>
      <c r="Y1342" s="17">
        <f t="shared" si="864"/>
        <v>0</v>
      </c>
      <c r="Z1342" s="17">
        <f t="shared" si="830"/>
        <v>0</v>
      </c>
      <c r="AA1342" s="17">
        <f t="shared" si="828"/>
        <v>-84179</v>
      </c>
      <c r="AB1342" s="17">
        <f t="shared" si="864"/>
        <v>521721</v>
      </c>
      <c r="AC1342" s="17">
        <f t="shared" si="864"/>
        <v>351717.01</v>
      </c>
      <c r="AD1342" s="17">
        <f t="shared" si="849"/>
        <v>67.414769579909574</v>
      </c>
      <c r="AE1342" s="17">
        <f t="shared" si="858"/>
        <v>-1942</v>
      </c>
      <c r="AF1342" s="17">
        <f t="shared" si="864"/>
        <v>519779</v>
      </c>
      <c r="AG1342" s="17">
        <f t="shared" si="864"/>
        <v>100256</v>
      </c>
      <c r="AH1342" s="17">
        <f t="shared" si="864"/>
        <v>894553</v>
      </c>
      <c r="AI1342" s="17">
        <f t="shared" si="864"/>
        <v>977553</v>
      </c>
      <c r="AJ1342" s="162" t="b">
        <f t="shared" si="834"/>
        <v>1</v>
      </c>
      <c r="AK1342" s="162" t="str">
        <f t="shared" si="835"/>
        <v>PRAZNO</v>
      </c>
      <c r="AM1342" s="164"/>
    </row>
    <row r="1343" spans="1:39" ht="15.75" x14ac:dyDescent="0.2">
      <c r="B1343" s="177"/>
      <c r="C1343" s="177"/>
      <c r="D1343" s="177"/>
      <c r="E1343" s="177">
        <v>4511</v>
      </c>
      <c r="F1343" s="176">
        <v>54</v>
      </c>
      <c r="G1343" s="176" t="s">
        <v>746</v>
      </c>
      <c r="H1343" s="29" t="s">
        <v>809</v>
      </c>
      <c r="I1343" s="189">
        <v>682500</v>
      </c>
      <c r="J1343" s="189">
        <v>450040.38</v>
      </c>
      <c r="K1343" s="189">
        <f t="shared" si="855"/>
        <v>65.94</v>
      </c>
      <c r="L1343" s="189">
        <f t="shared" si="825"/>
        <v>1236059.75</v>
      </c>
      <c r="M1343" s="189">
        <v>1918559.75</v>
      </c>
      <c r="N1343" s="189">
        <f>413890+300000</f>
        <v>713890</v>
      </c>
      <c r="O1343" s="189">
        <v>314335.56</v>
      </c>
      <c r="P1343" s="26">
        <f t="shared" si="844"/>
        <v>73268</v>
      </c>
      <c r="Q1343" s="189">
        <f>413890+300000</f>
        <v>713890</v>
      </c>
      <c r="R1343" s="189">
        <f>5172000</f>
        <v>5172000</v>
      </c>
      <c r="S1343" s="189">
        <f>6750000</f>
        <v>6750000</v>
      </c>
      <c r="T1343" s="190">
        <v>787158</v>
      </c>
      <c r="U1343" s="190">
        <v>487124.59</v>
      </c>
      <c r="V1343" s="190">
        <v>605900</v>
      </c>
      <c r="W1343" s="190">
        <v>1750000</v>
      </c>
      <c r="X1343" s="190">
        <v>1845000</v>
      </c>
      <c r="Y1343" s="190">
        <v>0</v>
      </c>
      <c r="Z1343" s="190">
        <f t="shared" si="830"/>
        <v>0</v>
      </c>
      <c r="AA1343" s="190">
        <f t="shared" si="828"/>
        <v>-84179</v>
      </c>
      <c r="AB1343" s="190">
        <v>521721</v>
      </c>
      <c r="AC1343" s="190">
        <v>351717.01</v>
      </c>
      <c r="AD1343" s="190">
        <f t="shared" si="849"/>
        <v>67.414769579909574</v>
      </c>
      <c r="AE1343" s="190">
        <f t="shared" si="858"/>
        <v>-1942</v>
      </c>
      <c r="AF1343" s="190">
        <f>519780-1</f>
        <v>519779</v>
      </c>
      <c r="AG1343" s="190">
        <v>100256</v>
      </c>
      <c r="AH1343" s="190">
        <v>894553</v>
      </c>
      <c r="AI1343" s="190">
        <v>977553</v>
      </c>
      <c r="AJ1343" s="162" t="b">
        <f t="shared" si="834"/>
        <v>0</v>
      </c>
      <c r="AK1343" s="162" t="str">
        <f t="shared" si="835"/>
        <v>PUNO</v>
      </c>
      <c r="AM1343" s="164"/>
    </row>
    <row r="1344" spans="1:39" s="171" customFormat="1" ht="15.75" x14ac:dyDescent="0.2">
      <c r="A1344" s="259"/>
      <c r="B1344" s="168"/>
      <c r="C1344" s="168"/>
      <c r="D1344" s="168"/>
      <c r="E1344" s="168"/>
      <c r="F1344" s="168"/>
      <c r="G1344" s="168"/>
      <c r="H1344" s="35" t="s">
        <v>164</v>
      </c>
      <c r="I1344" s="169">
        <f>I1346</f>
        <v>3599200</v>
      </c>
      <c r="J1344" s="169">
        <f>J1346</f>
        <v>1021032.59</v>
      </c>
      <c r="K1344" s="169">
        <f t="shared" si="855"/>
        <v>28.37</v>
      </c>
      <c r="L1344" s="169">
        <f t="shared" si="825"/>
        <v>1038681.8399999999</v>
      </c>
      <c r="M1344" s="19">
        <f>M1346</f>
        <v>4637881.84</v>
      </c>
      <c r="N1344" s="19">
        <f>N1346</f>
        <v>4204832</v>
      </c>
      <c r="O1344" s="19">
        <f>O1346</f>
        <v>1189614.2400000002</v>
      </c>
      <c r="P1344" s="303">
        <f t="shared" si="844"/>
        <v>-84267</v>
      </c>
      <c r="Q1344" s="19">
        <f t="shared" ref="Q1344:X1344" si="865">Q1346</f>
        <v>4204832</v>
      </c>
      <c r="R1344" s="19">
        <f t="shared" si="865"/>
        <v>773500</v>
      </c>
      <c r="S1344" s="19">
        <f t="shared" si="865"/>
        <v>110400</v>
      </c>
      <c r="T1344" s="53">
        <f t="shared" si="865"/>
        <v>4120565</v>
      </c>
      <c r="U1344" s="53">
        <f>U1346</f>
        <v>4428450.38</v>
      </c>
      <c r="V1344" s="19">
        <f t="shared" si="865"/>
        <v>4398549</v>
      </c>
      <c r="W1344" s="19">
        <f t="shared" si="865"/>
        <v>2855956</v>
      </c>
      <c r="X1344" s="19">
        <f t="shared" si="865"/>
        <v>3268125</v>
      </c>
      <c r="Y1344" s="19">
        <f>Y1346</f>
        <v>78758.789999999994</v>
      </c>
      <c r="Z1344" s="19">
        <f t="shared" si="830"/>
        <v>1.79</v>
      </c>
      <c r="AA1344" s="19">
        <f t="shared" si="828"/>
        <v>714451</v>
      </c>
      <c r="AB1344" s="19">
        <f>AB1346</f>
        <v>5113000</v>
      </c>
      <c r="AC1344" s="19">
        <f>AC1346</f>
        <v>2556490.15</v>
      </c>
      <c r="AD1344" s="19">
        <f t="shared" si="849"/>
        <v>49.99980735380403</v>
      </c>
      <c r="AE1344" s="19">
        <f t="shared" si="858"/>
        <v>81942</v>
      </c>
      <c r="AF1344" s="19">
        <f>AF1346</f>
        <v>5194942</v>
      </c>
      <c r="AG1344" s="19">
        <f>AG1346</f>
        <v>5059193</v>
      </c>
      <c r="AH1344" s="19">
        <f>AH1346</f>
        <v>4299896</v>
      </c>
      <c r="AI1344" s="19">
        <f>AI1346</f>
        <v>4256896</v>
      </c>
      <c r="AJ1344" s="162" t="b">
        <f t="shared" si="834"/>
        <v>1</v>
      </c>
      <c r="AK1344" s="162" t="str">
        <f t="shared" si="835"/>
        <v>PRAZNO</v>
      </c>
      <c r="AL1344" s="170"/>
      <c r="AM1344" s="164"/>
    </row>
    <row r="1345" spans="1:39" s="264" customFormat="1" ht="16.5" customHeight="1" x14ac:dyDescent="0.2">
      <c r="A1345" s="259"/>
      <c r="B1345" s="260"/>
      <c r="C1345" s="260"/>
      <c r="D1345" s="260"/>
      <c r="E1345" s="260"/>
      <c r="F1345" s="260"/>
      <c r="G1345" s="260"/>
      <c r="H1345" s="473" t="s">
        <v>830</v>
      </c>
      <c r="I1345" s="181"/>
      <c r="J1345" s="181"/>
      <c r="K1345" s="181"/>
      <c r="L1345" s="181"/>
      <c r="M1345" s="262"/>
      <c r="N1345" s="262"/>
      <c r="O1345" s="262"/>
      <c r="P1345" s="445"/>
      <c r="Q1345" s="262"/>
      <c r="R1345" s="262"/>
      <c r="S1345" s="262"/>
      <c r="T1345" s="342"/>
      <c r="U1345" s="342"/>
      <c r="V1345" s="262">
        <f>V1346</f>
        <v>4398549</v>
      </c>
      <c r="W1345" s="262">
        <f>W1346</f>
        <v>2855956</v>
      </c>
      <c r="X1345" s="262">
        <f>X1346</f>
        <v>3268125</v>
      </c>
      <c r="Y1345" s="262">
        <f>Y1346</f>
        <v>78758.789999999994</v>
      </c>
      <c r="Z1345" s="262">
        <f t="shared" si="830"/>
        <v>1.79</v>
      </c>
      <c r="AA1345" s="262">
        <f t="shared" si="828"/>
        <v>714451</v>
      </c>
      <c r="AB1345" s="262">
        <f>AB1346</f>
        <v>5113000</v>
      </c>
      <c r="AC1345" s="262">
        <f>AC1346</f>
        <v>2556490.15</v>
      </c>
      <c r="AD1345" s="262">
        <f t="shared" si="849"/>
        <v>49.99980735380403</v>
      </c>
      <c r="AE1345" s="262">
        <f t="shared" si="858"/>
        <v>81942</v>
      </c>
      <c r="AF1345" s="262">
        <f>AF1346</f>
        <v>5194942</v>
      </c>
      <c r="AG1345" s="262">
        <f>AG1346</f>
        <v>5059193</v>
      </c>
      <c r="AH1345" s="262">
        <f>AH1346</f>
        <v>4299896</v>
      </c>
      <c r="AI1345" s="262">
        <f>AI1346</f>
        <v>4256896</v>
      </c>
      <c r="AJ1345" s="162" t="b">
        <f t="shared" si="834"/>
        <v>1</v>
      </c>
      <c r="AK1345" s="162" t="str">
        <f t="shared" si="835"/>
        <v>PRAZNO</v>
      </c>
      <c r="AL1345" s="263"/>
    </row>
    <row r="1346" spans="1:39" s="174" customFormat="1" ht="15.75" x14ac:dyDescent="0.2">
      <c r="A1346" s="259"/>
      <c r="B1346" s="172">
        <v>4</v>
      </c>
      <c r="C1346" s="172"/>
      <c r="D1346" s="172"/>
      <c r="E1346" s="172"/>
      <c r="F1346" s="172"/>
      <c r="G1346" s="172"/>
      <c r="H1346" s="36" t="s">
        <v>552</v>
      </c>
      <c r="I1346" s="37">
        <f>I1350+I1362</f>
        <v>3599200</v>
      </c>
      <c r="J1346" s="37">
        <f>J1350+J1362</f>
        <v>1021032.59</v>
      </c>
      <c r="K1346" s="37">
        <f t="shared" si="855"/>
        <v>28.37</v>
      </c>
      <c r="L1346" s="37">
        <f t="shared" si="825"/>
        <v>1038681.8399999999</v>
      </c>
      <c r="M1346" s="37">
        <f>M1350+M1362</f>
        <v>4637881.84</v>
      </c>
      <c r="N1346" s="37">
        <f>N1350+N1362+N1347</f>
        <v>4204832</v>
      </c>
      <c r="O1346" s="37">
        <f>O1350+O1362+O1347</f>
        <v>1189614.2400000002</v>
      </c>
      <c r="P1346" s="55">
        <f t="shared" si="844"/>
        <v>-84267</v>
      </c>
      <c r="Q1346" s="37">
        <f t="shared" ref="Q1346:Y1346" si="866">Q1350+Q1362+Q1347</f>
        <v>4204832</v>
      </c>
      <c r="R1346" s="37">
        <f t="shared" si="866"/>
        <v>773500</v>
      </c>
      <c r="S1346" s="37">
        <f t="shared" si="866"/>
        <v>110400</v>
      </c>
      <c r="T1346" s="54">
        <f t="shared" si="866"/>
        <v>4120565</v>
      </c>
      <c r="U1346" s="54">
        <f>U1350+U1362+U1347</f>
        <v>4428450.38</v>
      </c>
      <c r="V1346" s="37">
        <f t="shared" si="866"/>
        <v>4398549</v>
      </c>
      <c r="W1346" s="37">
        <f t="shared" si="866"/>
        <v>2855956</v>
      </c>
      <c r="X1346" s="37">
        <f t="shared" si="866"/>
        <v>3268125</v>
      </c>
      <c r="Y1346" s="37">
        <f t="shared" si="866"/>
        <v>78758.789999999994</v>
      </c>
      <c r="Z1346" s="37">
        <f t="shared" si="830"/>
        <v>1.79</v>
      </c>
      <c r="AA1346" s="37">
        <f t="shared" si="828"/>
        <v>714451</v>
      </c>
      <c r="AB1346" s="37">
        <f>AB1350+AB1362+AB1347</f>
        <v>5113000</v>
      </c>
      <c r="AC1346" s="37">
        <f>AC1350+AC1362+AC1347</f>
        <v>2556490.15</v>
      </c>
      <c r="AD1346" s="37">
        <f t="shared" si="849"/>
        <v>49.99980735380403</v>
      </c>
      <c r="AE1346" s="37">
        <f t="shared" si="858"/>
        <v>81942</v>
      </c>
      <c r="AF1346" s="37">
        <f>AF1350+AF1362+AF1347</f>
        <v>5194942</v>
      </c>
      <c r="AG1346" s="37">
        <f>AG1350+AG1362+AG1347</f>
        <v>5059193</v>
      </c>
      <c r="AH1346" s="37">
        <f>AH1350+AH1362+AH1347</f>
        <v>4299896</v>
      </c>
      <c r="AI1346" s="37">
        <f>AI1350+AI1362+AI1347</f>
        <v>4256896</v>
      </c>
      <c r="AJ1346" s="162" t="b">
        <f t="shared" si="834"/>
        <v>1</v>
      </c>
      <c r="AK1346" s="162" t="str">
        <f t="shared" si="835"/>
        <v>PRAZNO</v>
      </c>
      <c r="AL1346" s="173"/>
      <c r="AM1346" s="164"/>
    </row>
    <row r="1347" spans="1:39" s="252" customFormat="1" ht="27.75" customHeight="1" x14ac:dyDescent="0.2">
      <c r="A1347" s="259"/>
      <c r="B1347" s="250"/>
      <c r="C1347" s="250">
        <v>41</v>
      </c>
      <c r="D1347" s="250"/>
      <c r="E1347" s="250"/>
      <c r="F1347" s="250"/>
      <c r="G1347" s="250"/>
      <c r="H1347" s="30" t="s">
        <v>753</v>
      </c>
      <c r="I1347" s="203"/>
      <c r="J1347" s="203"/>
      <c r="K1347" s="203"/>
      <c r="L1347" s="203"/>
      <c r="M1347" s="203"/>
      <c r="N1347" s="203">
        <f t="shared" ref="N1347:AI1348" si="867">N1348</f>
        <v>62000</v>
      </c>
      <c r="O1347" s="203">
        <f t="shared" si="867"/>
        <v>9249.25</v>
      </c>
      <c r="P1347" s="26">
        <f t="shared" si="844"/>
        <v>-20000</v>
      </c>
      <c r="Q1347" s="203">
        <f t="shared" si="867"/>
        <v>62000</v>
      </c>
      <c r="R1347" s="203">
        <f t="shared" si="867"/>
        <v>0</v>
      </c>
      <c r="S1347" s="203">
        <f t="shared" si="867"/>
        <v>0</v>
      </c>
      <c r="T1347" s="204">
        <f t="shared" si="867"/>
        <v>42000</v>
      </c>
      <c r="U1347" s="204">
        <f t="shared" si="867"/>
        <v>41716.75</v>
      </c>
      <c r="V1347" s="203">
        <f t="shared" si="867"/>
        <v>162000</v>
      </c>
      <c r="W1347" s="203">
        <f t="shared" si="867"/>
        <v>0</v>
      </c>
      <c r="X1347" s="203">
        <f t="shared" si="867"/>
        <v>20000</v>
      </c>
      <c r="Y1347" s="203">
        <f t="shared" si="867"/>
        <v>0</v>
      </c>
      <c r="Z1347" s="203">
        <f t="shared" si="830"/>
        <v>0</v>
      </c>
      <c r="AA1347" s="203">
        <f t="shared" ref="AA1347:AA1405" si="868">AB1347-V1347</f>
        <v>17958</v>
      </c>
      <c r="AB1347" s="203">
        <f t="shared" si="867"/>
        <v>179958</v>
      </c>
      <c r="AC1347" s="203">
        <f t="shared" si="867"/>
        <v>29957.83</v>
      </c>
      <c r="AD1347" s="203">
        <f t="shared" si="849"/>
        <v>16.647123217639674</v>
      </c>
      <c r="AE1347" s="203">
        <f t="shared" si="858"/>
        <v>-6400</v>
      </c>
      <c r="AF1347" s="203">
        <f t="shared" si="867"/>
        <v>173558</v>
      </c>
      <c r="AG1347" s="203">
        <f t="shared" si="867"/>
        <v>0</v>
      </c>
      <c r="AH1347" s="203">
        <f t="shared" si="867"/>
        <v>0</v>
      </c>
      <c r="AI1347" s="203">
        <f t="shared" si="867"/>
        <v>160000</v>
      </c>
      <c r="AJ1347" s="162" t="b">
        <f t="shared" si="834"/>
        <v>1</v>
      </c>
      <c r="AK1347" s="162" t="str">
        <f t="shared" si="835"/>
        <v>PRAZNO</v>
      </c>
      <c r="AL1347" s="251"/>
    </row>
    <row r="1348" spans="1:39" s="252" customFormat="1" ht="15.75" x14ac:dyDescent="0.2">
      <c r="A1348" s="259"/>
      <c r="B1348" s="250"/>
      <c r="C1348" s="250"/>
      <c r="D1348" s="250">
        <v>412</v>
      </c>
      <c r="E1348" s="250"/>
      <c r="F1348" s="250"/>
      <c r="G1348" s="250"/>
      <c r="H1348" s="16" t="s">
        <v>553</v>
      </c>
      <c r="I1348" s="203"/>
      <c r="J1348" s="203"/>
      <c r="K1348" s="203"/>
      <c r="L1348" s="203"/>
      <c r="M1348" s="203"/>
      <c r="N1348" s="203">
        <f t="shared" si="867"/>
        <v>62000</v>
      </c>
      <c r="O1348" s="203">
        <f t="shared" si="867"/>
        <v>9249.25</v>
      </c>
      <c r="P1348" s="26">
        <f t="shared" si="844"/>
        <v>-20000</v>
      </c>
      <c r="Q1348" s="203">
        <f t="shared" si="867"/>
        <v>62000</v>
      </c>
      <c r="R1348" s="203">
        <f t="shared" si="867"/>
        <v>0</v>
      </c>
      <c r="S1348" s="203">
        <f t="shared" si="867"/>
        <v>0</v>
      </c>
      <c r="T1348" s="204">
        <f t="shared" si="867"/>
        <v>42000</v>
      </c>
      <c r="U1348" s="204">
        <f t="shared" si="867"/>
        <v>41716.75</v>
      </c>
      <c r="V1348" s="203">
        <f t="shared" si="867"/>
        <v>162000</v>
      </c>
      <c r="W1348" s="203">
        <f t="shared" si="867"/>
        <v>0</v>
      </c>
      <c r="X1348" s="203">
        <f t="shared" si="867"/>
        <v>20000</v>
      </c>
      <c r="Y1348" s="203">
        <f t="shared" si="867"/>
        <v>0</v>
      </c>
      <c r="Z1348" s="203">
        <f t="shared" si="830"/>
        <v>0</v>
      </c>
      <c r="AA1348" s="203">
        <f t="shared" si="868"/>
        <v>17958</v>
      </c>
      <c r="AB1348" s="203">
        <f t="shared" si="867"/>
        <v>179958</v>
      </c>
      <c r="AC1348" s="203">
        <f t="shared" si="867"/>
        <v>29957.83</v>
      </c>
      <c r="AD1348" s="203">
        <f t="shared" si="849"/>
        <v>16.647123217639674</v>
      </c>
      <c r="AE1348" s="203">
        <f t="shared" si="858"/>
        <v>-6400</v>
      </c>
      <c r="AF1348" s="203">
        <f t="shared" si="867"/>
        <v>173558</v>
      </c>
      <c r="AG1348" s="203">
        <f t="shared" si="867"/>
        <v>0</v>
      </c>
      <c r="AH1348" s="203">
        <f t="shared" si="867"/>
        <v>0</v>
      </c>
      <c r="AI1348" s="203">
        <f t="shared" si="867"/>
        <v>160000</v>
      </c>
      <c r="AJ1348" s="162" t="b">
        <f t="shared" si="834"/>
        <v>1</v>
      </c>
      <c r="AK1348" s="162" t="str">
        <f t="shared" si="835"/>
        <v>PRAZNO</v>
      </c>
      <c r="AL1348" s="251"/>
    </row>
    <row r="1349" spans="1:39" s="252" customFormat="1" ht="15.75" x14ac:dyDescent="0.2">
      <c r="A1349" s="259"/>
      <c r="B1349" s="250"/>
      <c r="C1349" s="250"/>
      <c r="D1349" s="250"/>
      <c r="E1349" s="250">
        <v>4123</v>
      </c>
      <c r="F1349" s="250">
        <v>54</v>
      </c>
      <c r="G1349" s="250"/>
      <c r="H1349" s="30" t="s">
        <v>554</v>
      </c>
      <c r="I1349" s="203"/>
      <c r="J1349" s="203"/>
      <c r="K1349" s="203"/>
      <c r="L1349" s="203"/>
      <c r="M1349" s="203"/>
      <c r="N1349" s="203">
        <v>62000</v>
      </c>
      <c r="O1349" s="203">
        <v>9249.25</v>
      </c>
      <c r="P1349" s="26">
        <f t="shared" si="844"/>
        <v>-20000</v>
      </c>
      <c r="Q1349" s="203">
        <v>62000</v>
      </c>
      <c r="R1349" s="203">
        <v>0</v>
      </c>
      <c r="S1349" s="203">
        <v>0</v>
      </c>
      <c r="T1349" s="204">
        <v>42000</v>
      </c>
      <c r="U1349" s="204">
        <v>41716.75</v>
      </c>
      <c r="V1349" s="203">
        <f>12000+150000</f>
        <v>162000</v>
      </c>
      <c r="W1349" s="203">
        <v>0</v>
      </c>
      <c r="X1349" s="203">
        <v>20000</v>
      </c>
      <c r="Y1349" s="203">
        <v>0</v>
      </c>
      <c r="Z1349" s="203">
        <f t="shared" ref="Z1349:Z1436" si="869">ROUND(Y1349/V1349*100,2)</f>
        <v>0</v>
      </c>
      <c r="AA1349" s="203">
        <f t="shared" si="868"/>
        <v>17958</v>
      </c>
      <c r="AB1349" s="203">
        <v>179958</v>
      </c>
      <c r="AC1349" s="203">
        <f>0+10674.08+19283.75</f>
        <v>29957.83</v>
      </c>
      <c r="AD1349" s="203">
        <f t="shared" si="849"/>
        <v>16.647123217639674</v>
      </c>
      <c r="AE1349" s="203">
        <f t="shared" si="858"/>
        <v>-6400</v>
      </c>
      <c r="AF1349" s="203">
        <v>173558</v>
      </c>
      <c r="AG1349" s="203">
        <v>0</v>
      </c>
      <c r="AH1349" s="203">
        <v>0</v>
      </c>
      <c r="AI1349" s="203">
        <v>160000</v>
      </c>
      <c r="AJ1349" s="162" t="b">
        <f t="shared" si="834"/>
        <v>0</v>
      </c>
      <c r="AK1349" s="162" t="str">
        <f t="shared" si="835"/>
        <v>PUNO</v>
      </c>
      <c r="AL1349" s="251"/>
    </row>
    <row r="1350" spans="1:39" ht="20.25" customHeight="1" x14ac:dyDescent="0.2">
      <c r="B1350" s="175"/>
      <c r="C1350" s="175">
        <v>42</v>
      </c>
      <c r="D1350" s="175"/>
      <c r="E1350" s="175"/>
      <c r="F1350" s="175"/>
      <c r="G1350" s="175"/>
      <c r="H1350" s="28" t="s">
        <v>212</v>
      </c>
      <c r="I1350" s="22">
        <f>I1351+I1358+I1360</f>
        <v>3584200</v>
      </c>
      <c r="J1350" s="22">
        <f>J1351+J1358+J1360</f>
        <v>1010722.48</v>
      </c>
      <c r="K1350" s="22">
        <f t="shared" si="855"/>
        <v>28.2</v>
      </c>
      <c r="L1350" s="22">
        <f t="shared" si="825"/>
        <v>1043371.7299999995</v>
      </c>
      <c r="M1350" s="22">
        <f>M1351+M1358+M1360</f>
        <v>4627571.7299999995</v>
      </c>
      <c r="N1350" s="22">
        <f>N1351+N1358+N1360</f>
        <v>4060059</v>
      </c>
      <c r="O1350" s="22">
        <f>O1351+O1358+O1360</f>
        <v>1098127.3600000001</v>
      </c>
      <c r="P1350" s="26">
        <f t="shared" si="844"/>
        <v>-64267</v>
      </c>
      <c r="Q1350" s="22">
        <f t="shared" ref="Q1350:Y1350" si="870">Q1351+Q1358+Q1360</f>
        <v>4060059</v>
      </c>
      <c r="R1350" s="22">
        <f t="shared" si="870"/>
        <v>773500</v>
      </c>
      <c r="S1350" s="22">
        <f t="shared" si="870"/>
        <v>110400</v>
      </c>
      <c r="T1350" s="38">
        <f t="shared" si="870"/>
        <v>3995792</v>
      </c>
      <c r="U1350" s="38">
        <f>U1351+U1358+U1360</f>
        <v>4304496</v>
      </c>
      <c r="V1350" s="22">
        <f t="shared" si="870"/>
        <v>3199549</v>
      </c>
      <c r="W1350" s="22">
        <f t="shared" si="870"/>
        <v>2855956</v>
      </c>
      <c r="X1350" s="22">
        <f t="shared" si="870"/>
        <v>3248125</v>
      </c>
      <c r="Y1350" s="22">
        <f t="shared" si="870"/>
        <v>78758.789999999994</v>
      </c>
      <c r="Z1350" s="22">
        <f t="shared" si="869"/>
        <v>2.46</v>
      </c>
      <c r="AA1350" s="22">
        <f t="shared" si="868"/>
        <v>683251</v>
      </c>
      <c r="AB1350" s="22">
        <f>AB1351+AB1358+AB1360</f>
        <v>3882800</v>
      </c>
      <c r="AC1350" s="22">
        <f>AC1351+AC1358+AC1360</f>
        <v>2428183.7199999997</v>
      </c>
      <c r="AD1350" s="22">
        <f t="shared" si="849"/>
        <v>62.536924899557015</v>
      </c>
      <c r="AE1350" s="22">
        <f t="shared" si="858"/>
        <v>226392</v>
      </c>
      <c r="AF1350" s="22">
        <f>AF1351+AF1358+AF1360</f>
        <v>4109192</v>
      </c>
      <c r="AG1350" s="22">
        <f>AG1351+AG1358+AG1360</f>
        <v>5059193</v>
      </c>
      <c r="AH1350" s="22">
        <f>AH1351+AH1358+AH1360</f>
        <v>4299896</v>
      </c>
      <c r="AI1350" s="22">
        <f>AI1351+AI1358+AI1360</f>
        <v>4096896</v>
      </c>
      <c r="AJ1350" s="162" t="b">
        <f t="shared" si="834"/>
        <v>1</v>
      </c>
      <c r="AK1350" s="162" t="str">
        <f t="shared" si="835"/>
        <v>PRAZNO</v>
      </c>
      <c r="AM1350" s="164"/>
    </row>
    <row r="1351" spans="1:39" ht="16.5" customHeight="1" x14ac:dyDescent="0.2">
      <c r="B1351" s="177"/>
      <c r="C1351" s="177"/>
      <c r="D1351" s="177">
        <v>422</v>
      </c>
      <c r="E1351" s="177"/>
      <c r="F1351" s="177"/>
      <c r="G1351" s="177"/>
      <c r="H1351" s="29" t="s">
        <v>555</v>
      </c>
      <c r="I1351" s="17">
        <f>SUM(I1352:I1357)</f>
        <v>2764200</v>
      </c>
      <c r="J1351" s="17">
        <f>SUM(J1352:J1357)</f>
        <v>1010722.48</v>
      </c>
      <c r="K1351" s="17">
        <f t="shared" si="855"/>
        <v>36.56</v>
      </c>
      <c r="L1351" s="17">
        <f t="shared" si="825"/>
        <v>117732.40999999968</v>
      </c>
      <c r="M1351" s="17">
        <f>SUM(M1352:M1357)</f>
        <v>2881932.4099999997</v>
      </c>
      <c r="N1351" s="17">
        <f>SUM(N1352:N1357)</f>
        <v>2719259</v>
      </c>
      <c r="O1351" s="17">
        <f>SUM(O1352:O1357)</f>
        <v>1077202.3600000001</v>
      </c>
      <c r="P1351" s="26">
        <f t="shared" si="844"/>
        <v>93973</v>
      </c>
      <c r="Q1351" s="17">
        <f t="shared" ref="Q1351:X1351" si="871">SUM(Q1352:Q1357)</f>
        <v>2719259</v>
      </c>
      <c r="R1351" s="17">
        <f t="shared" si="871"/>
        <v>225000</v>
      </c>
      <c r="S1351" s="17">
        <f t="shared" si="871"/>
        <v>110400</v>
      </c>
      <c r="T1351" s="26">
        <f>SUM(T1352:T1357)</f>
        <v>2813232</v>
      </c>
      <c r="U1351" s="26">
        <f>SUM(U1352:U1357)</f>
        <v>3122048.5</v>
      </c>
      <c r="V1351" s="17">
        <f t="shared" si="871"/>
        <v>2934549</v>
      </c>
      <c r="W1351" s="17">
        <f t="shared" si="871"/>
        <v>2355956</v>
      </c>
      <c r="X1351" s="17">
        <f t="shared" si="871"/>
        <v>2700572</v>
      </c>
      <c r="Y1351" s="17">
        <f>SUM(Y1352:Y1357)</f>
        <v>78758.789999999994</v>
      </c>
      <c r="Z1351" s="17">
        <f t="shared" si="869"/>
        <v>2.68</v>
      </c>
      <c r="AA1351" s="17">
        <f t="shared" si="868"/>
        <v>509978</v>
      </c>
      <c r="AB1351" s="17">
        <f>SUM(AB1352:AB1357)</f>
        <v>3444527</v>
      </c>
      <c r="AC1351" s="17">
        <f>SUM(AC1352:AC1357)</f>
        <v>2411112.34</v>
      </c>
      <c r="AD1351" s="17">
        <f t="shared" si="849"/>
        <v>69.998357974839493</v>
      </c>
      <c r="AE1351" s="17">
        <f t="shared" si="858"/>
        <v>319230.5</v>
      </c>
      <c r="AF1351" s="17">
        <f>SUM(AF1352:AF1357)</f>
        <v>3763757.5</v>
      </c>
      <c r="AG1351" s="17">
        <f>SUM(AG1352:AG1357)</f>
        <v>4399193</v>
      </c>
      <c r="AH1351" s="17">
        <f>SUM(AH1352:AH1357)</f>
        <v>3410160</v>
      </c>
      <c r="AI1351" s="17">
        <f>SUM(AI1352:AI1357)</f>
        <v>3579600</v>
      </c>
      <c r="AJ1351" s="162" t="b">
        <f t="shared" si="834"/>
        <v>1</v>
      </c>
      <c r="AK1351" s="162" t="str">
        <f t="shared" si="835"/>
        <v>PRAZNO</v>
      </c>
      <c r="AM1351" s="164"/>
    </row>
    <row r="1352" spans="1:39" ht="15.75" x14ac:dyDescent="0.2">
      <c r="B1352" s="177"/>
      <c r="C1352" s="177"/>
      <c r="D1352" s="177"/>
      <c r="E1352" s="177">
        <v>4221</v>
      </c>
      <c r="F1352" s="176">
        <v>54</v>
      </c>
      <c r="G1352" s="176"/>
      <c r="H1352" s="29" t="s">
        <v>558</v>
      </c>
      <c r="I1352" s="189">
        <v>58000</v>
      </c>
      <c r="J1352" s="189">
        <v>57203.73</v>
      </c>
      <c r="K1352" s="189">
        <f t="shared" si="855"/>
        <v>98.63</v>
      </c>
      <c r="L1352" s="189">
        <f t="shared" si="825"/>
        <v>198065.86</v>
      </c>
      <c r="M1352" s="189">
        <v>256065.86</v>
      </c>
      <c r="N1352" s="189">
        <v>147938</v>
      </c>
      <c r="O1352" s="189">
        <v>105428.71</v>
      </c>
      <c r="P1352" s="26">
        <f t="shared" si="844"/>
        <v>53141</v>
      </c>
      <c r="Q1352" s="189">
        <v>147938</v>
      </c>
      <c r="R1352" s="189">
        <v>65000</v>
      </c>
      <c r="S1352" s="189">
        <v>0</v>
      </c>
      <c r="T1352" s="416">
        <f>205439-4360</f>
        <v>201079</v>
      </c>
      <c r="U1352" s="416">
        <v>270206.12</v>
      </c>
      <c r="V1352" s="189">
        <v>437800</v>
      </c>
      <c r="W1352" s="189">
        <v>115000</v>
      </c>
      <c r="X1352" s="189">
        <v>559000</v>
      </c>
      <c r="Y1352" s="189">
        <v>11328.61</v>
      </c>
      <c r="Z1352" s="189">
        <f t="shared" si="869"/>
        <v>2.59</v>
      </c>
      <c r="AA1352" s="189">
        <f t="shared" si="868"/>
        <v>79645</v>
      </c>
      <c r="AB1352" s="189">
        <v>517445</v>
      </c>
      <c r="AC1352" s="189">
        <f>346881.74+133480.07+27200</f>
        <v>507561.81</v>
      </c>
      <c r="AD1352" s="189">
        <f t="shared" si="849"/>
        <v>98.090001835943923</v>
      </c>
      <c r="AE1352" s="189">
        <f t="shared" si="858"/>
        <v>9432</v>
      </c>
      <c r="AF1352" s="189">
        <v>526877</v>
      </c>
      <c r="AG1352" s="189">
        <v>100800</v>
      </c>
      <c r="AH1352" s="189">
        <v>304000</v>
      </c>
      <c r="AI1352" s="189">
        <v>302600</v>
      </c>
      <c r="AJ1352" s="162" t="b">
        <f t="shared" si="834"/>
        <v>0</v>
      </c>
      <c r="AK1352" s="162" t="str">
        <f t="shared" si="835"/>
        <v>PUNO</v>
      </c>
      <c r="AM1352" s="164"/>
    </row>
    <row r="1353" spans="1:39" ht="15.75" x14ac:dyDescent="0.2">
      <c r="B1353" s="177"/>
      <c r="C1353" s="177"/>
      <c r="D1353" s="177"/>
      <c r="E1353" s="177">
        <v>4222</v>
      </c>
      <c r="F1353" s="176">
        <v>54</v>
      </c>
      <c r="G1353" s="176"/>
      <c r="H1353" s="29" t="s">
        <v>559</v>
      </c>
      <c r="I1353" s="18"/>
      <c r="J1353" s="178"/>
      <c r="K1353" s="178"/>
      <c r="L1353" s="178"/>
      <c r="M1353" s="178"/>
      <c r="N1353" s="178">
        <v>37300</v>
      </c>
      <c r="O1353" s="178">
        <v>2299.66</v>
      </c>
      <c r="P1353" s="26">
        <f t="shared" si="844"/>
        <v>-35000</v>
      </c>
      <c r="Q1353" s="178">
        <v>37300</v>
      </c>
      <c r="R1353" s="178">
        <v>0</v>
      </c>
      <c r="S1353" s="178">
        <v>0</v>
      </c>
      <c r="T1353" s="266">
        <v>2300</v>
      </c>
      <c r="U1353" s="266">
        <v>2299.66</v>
      </c>
      <c r="V1353" s="178">
        <v>0</v>
      </c>
      <c r="W1353" s="178">
        <v>0</v>
      </c>
      <c r="X1353" s="178">
        <v>0</v>
      </c>
      <c r="Y1353" s="178"/>
      <c r="Z1353" s="178" t="e">
        <f t="shared" si="869"/>
        <v>#DIV/0!</v>
      </c>
      <c r="AA1353" s="178">
        <f t="shared" si="868"/>
        <v>0</v>
      </c>
      <c r="AB1353" s="178">
        <v>0</v>
      </c>
      <c r="AC1353" s="178"/>
      <c r="AD1353" s="178"/>
      <c r="AE1353" s="178">
        <f t="shared" si="858"/>
        <v>0</v>
      </c>
      <c r="AF1353" s="178">
        <v>0</v>
      </c>
      <c r="AG1353" s="178">
        <v>0</v>
      </c>
      <c r="AH1353" s="178">
        <v>0</v>
      </c>
      <c r="AI1353" s="178">
        <v>0</v>
      </c>
      <c r="AJ1353" s="162" t="b">
        <f t="shared" ref="AJ1353:AJ1416" si="872">ISBLANK(E1353)</f>
        <v>0</v>
      </c>
      <c r="AK1353" s="162" t="str">
        <f t="shared" ref="AK1353:AK1416" si="873">IF(AJ1353,"PRAZNO","PUNO")</f>
        <v>PUNO</v>
      </c>
      <c r="AM1353" s="164"/>
    </row>
    <row r="1354" spans="1:39" ht="15.75" x14ac:dyDescent="0.2">
      <c r="B1354" s="177"/>
      <c r="C1354" s="177"/>
      <c r="D1354" s="177"/>
      <c r="E1354" s="177">
        <v>4223</v>
      </c>
      <c r="F1354" s="176">
        <v>54</v>
      </c>
      <c r="G1354" s="176"/>
      <c r="H1354" s="29" t="s">
        <v>628</v>
      </c>
      <c r="I1354" s="18">
        <v>0</v>
      </c>
      <c r="J1354" s="18">
        <v>0</v>
      </c>
      <c r="K1354" s="18" t="e">
        <f t="shared" si="855"/>
        <v>#DIV/0!</v>
      </c>
      <c r="L1354" s="18">
        <f t="shared" si="825"/>
        <v>0</v>
      </c>
      <c r="M1354" s="18"/>
      <c r="N1354" s="18"/>
      <c r="O1354" s="18"/>
      <c r="P1354" s="26">
        <f t="shared" si="844"/>
        <v>0</v>
      </c>
      <c r="Q1354" s="18"/>
      <c r="R1354" s="18"/>
      <c r="S1354" s="18"/>
      <c r="T1354" s="27"/>
      <c r="U1354" s="27"/>
      <c r="V1354" s="18">
        <v>0</v>
      </c>
      <c r="W1354" s="18">
        <v>0</v>
      </c>
      <c r="X1354" s="18">
        <v>15000</v>
      </c>
      <c r="Y1354" s="18"/>
      <c r="Z1354" s="18" t="e">
        <f t="shared" si="869"/>
        <v>#DIV/0!</v>
      </c>
      <c r="AA1354" s="18">
        <f t="shared" si="868"/>
        <v>0</v>
      </c>
      <c r="AB1354" s="18">
        <v>0</v>
      </c>
      <c r="AC1354" s="18"/>
      <c r="AD1354" s="18"/>
      <c r="AE1354" s="18">
        <f t="shared" si="858"/>
        <v>0</v>
      </c>
      <c r="AF1354" s="18">
        <v>0</v>
      </c>
      <c r="AG1354" s="18">
        <v>87400</v>
      </c>
      <c r="AH1354" s="18">
        <v>15000</v>
      </c>
      <c r="AI1354" s="18">
        <v>2000</v>
      </c>
      <c r="AJ1354" s="162" t="b">
        <f t="shared" si="872"/>
        <v>0</v>
      </c>
      <c r="AK1354" s="162" t="str">
        <f t="shared" si="873"/>
        <v>PUNO</v>
      </c>
      <c r="AM1354" s="164"/>
    </row>
    <row r="1355" spans="1:39" ht="15.75" x14ac:dyDescent="0.2">
      <c r="B1355" s="177"/>
      <c r="C1355" s="177"/>
      <c r="D1355" s="177"/>
      <c r="E1355" s="177">
        <v>4224</v>
      </c>
      <c r="F1355" s="176">
        <v>54</v>
      </c>
      <c r="G1355" s="176"/>
      <c r="H1355" s="29" t="s">
        <v>638</v>
      </c>
      <c r="I1355" s="18">
        <f>472200+2200000</f>
        <v>2672200</v>
      </c>
      <c r="J1355" s="178">
        <f>343912.3+575750.7</f>
        <v>919663</v>
      </c>
      <c r="K1355" s="178">
        <f t="shared" si="855"/>
        <v>34.42</v>
      </c>
      <c r="L1355" s="178">
        <f t="shared" ref="L1355:L1365" si="874">M1355-I1355</f>
        <v>-80189.200000000186</v>
      </c>
      <c r="M1355" s="178">
        <v>2592010.7999999998</v>
      </c>
      <c r="N1355" s="178">
        <v>2525054</v>
      </c>
      <c r="O1355" s="178">
        <v>960749.24</v>
      </c>
      <c r="P1355" s="26">
        <f t="shared" si="844"/>
        <v>71472</v>
      </c>
      <c r="Q1355" s="178">
        <v>2525054</v>
      </c>
      <c r="R1355" s="178">
        <v>160000</v>
      </c>
      <c r="S1355" s="178">
        <v>110400</v>
      </c>
      <c r="T1355" s="266">
        <f>2593826+2700</f>
        <v>2596526</v>
      </c>
      <c r="U1355" s="266">
        <v>2836457.97</v>
      </c>
      <c r="V1355" s="178">
        <v>2484649</v>
      </c>
      <c r="W1355" s="178">
        <v>2240956</v>
      </c>
      <c r="X1355" s="178">
        <v>1421572</v>
      </c>
      <c r="Y1355" s="178">
        <f>0+35148.63+27200</f>
        <v>62348.63</v>
      </c>
      <c r="Z1355" s="178">
        <f t="shared" si="869"/>
        <v>2.5099999999999998</v>
      </c>
      <c r="AA1355" s="178">
        <f t="shared" si="868"/>
        <v>431381</v>
      </c>
      <c r="AB1355" s="178">
        <f>2916031-1</f>
        <v>2916030</v>
      </c>
      <c r="AC1355" s="178">
        <f>1296596.25+565642.6+30293.63</f>
        <v>1892532.48</v>
      </c>
      <c r="AD1355" s="178">
        <f t="shared" si="849"/>
        <v>64.900994845732043</v>
      </c>
      <c r="AE1355" s="178">
        <f t="shared" si="858"/>
        <v>309798.5</v>
      </c>
      <c r="AF1355" s="178">
        <f>3149685-56313+132456.5</f>
        <v>3225828.5</v>
      </c>
      <c r="AG1355" s="178">
        <v>4193393</v>
      </c>
      <c r="AH1355" s="178">
        <v>2391160</v>
      </c>
      <c r="AI1355" s="178">
        <v>3270000</v>
      </c>
      <c r="AJ1355" s="162" t="b">
        <f t="shared" si="872"/>
        <v>0</v>
      </c>
      <c r="AK1355" s="162" t="str">
        <f t="shared" si="873"/>
        <v>PUNO</v>
      </c>
      <c r="AM1355" s="164"/>
    </row>
    <row r="1356" spans="1:39" ht="15.75" x14ac:dyDescent="0.2">
      <c r="B1356" s="177"/>
      <c r="C1356" s="177"/>
      <c r="D1356" s="177"/>
      <c r="E1356" s="177">
        <v>4225</v>
      </c>
      <c r="F1356" s="176">
        <v>54</v>
      </c>
      <c r="G1356" s="176"/>
      <c r="H1356" s="29" t="s">
        <v>844</v>
      </c>
      <c r="I1356" s="18">
        <v>34000</v>
      </c>
      <c r="J1356" s="18">
        <v>33855.75</v>
      </c>
      <c r="K1356" s="18">
        <f t="shared" si="855"/>
        <v>99.58</v>
      </c>
      <c r="L1356" s="18">
        <f t="shared" si="874"/>
        <v>-144.25</v>
      </c>
      <c r="M1356" s="18">
        <v>33855.75</v>
      </c>
      <c r="N1356" s="18">
        <v>4467</v>
      </c>
      <c r="O1356" s="18">
        <v>4467</v>
      </c>
      <c r="P1356" s="26">
        <f t="shared" si="844"/>
        <v>0</v>
      </c>
      <c r="Q1356" s="18">
        <v>4467</v>
      </c>
      <c r="R1356" s="18">
        <v>0</v>
      </c>
      <c r="S1356" s="18">
        <v>0</v>
      </c>
      <c r="T1356" s="27">
        <v>4467</v>
      </c>
      <c r="U1356" s="27">
        <v>4467</v>
      </c>
      <c r="V1356" s="18">
        <v>6700</v>
      </c>
      <c r="W1356" s="18">
        <v>0</v>
      </c>
      <c r="X1356" s="18">
        <v>0</v>
      </c>
      <c r="Y1356" s="18">
        <v>0</v>
      </c>
      <c r="Z1356" s="18">
        <f t="shared" si="869"/>
        <v>0</v>
      </c>
      <c r="AA1356" s="18">
        <f t="shared" si="868"/>
        <v>-6700</v>
      </c>
      <c r="AB1356" s="18">
        <v>0</v>
      </c>
      <c r="AC1356" s="18"/>
      <c r="AD1356" s="18"/>
      <c r="AE1356" s="18">
        <f t="shared" si="858"/>
        <v>0</v>
      </c>
      <c r="AF1356" s="18">
        <v>0</v>
      </c>
      <c r="AG1356" s="18">
        <v>0</v>
      </c>
      <c r="AH1356" s="18">
        <v>0</v>
      </c>
      <c r="AI1356" s="18">
        <v>0</v>
      </c>
      <c r="AJ1356" s="162" t="b">
        <f t="shared" si="872"/>
        <v>0</v>
      </c>
      <c r="AK1356" s="162" t="str">
        <f t="shared" si="873"/>
        <v>PUNO</v>
      </c>
      <c r="AM1356" s="164"/>
    </row>
    <row r="1357" spans="1:39" ht="15.75" x14ac:dyDescent="0.2">
      <c r="B1357" s="177"/>
      <c r="C1357" s="177"/>
      <c r="D1357" s="177"/>
      <c r="E1357" s="177">
        <v>4227</v>
      </c>
      <c r="F1357" s="176">
        <v>54</v>
      </c>
      <c r="G1357" s="176"/>
      <c r="H1357" s="29" t="s">
        <v>413</v>
      </c>
      <c r="I1357" s="18">
        <v>0</v>
      </c>
      <c r="J1357" s="18">
        <v>0</v>
      </c>
      <c r="K1357" s="18" t="e">
        <f t="shared" si="855"/>
        <v>#DIV/0!</v>
      </c>
      <c r="L1357" s="18">
        <f t="shared" si="874"/>
        <v>0</v>
      </c>
      <c r="M1357" s="18"/>
      <c r="N1357" s="18">
        <v>4500</v>
      </c>
      <c r="O1357" s="18">
        <v>4257.75</v>
      </c>
      <c r="P1357" s="26">
        <f t="shared" si="844"/>
        <v>4360</v>
      </c>
      <c r="Q1357" s="18">
        <v>4500</v>
      </c>
      <c r="R1357" s="18">
        <v>0</v>
      </c>
      <c r="S1357" s="18">
        <v>0</v>
      </c>
      <c r="T1357" s="266">
        <f>4500+4360</f>
        <v>8860</v>
      </c>
      <c r="U1357" s="266">
        <v>8617.75</v>
      </c>
      <c r="V1357" s="18">
        <v>5400</v>
      </c>
      <c r="W1357" s="18">
        <v>0</v>
      </c>
      <c r="X1357" s="18">
        <v>705000</v>
      </c>
      <c r="Y1357" s="18">
        <v>5081.55</v>
      </c>
      <c r="Z1357" s="18">
        <f t="shared" si="869"/>
        <v>94.1</v>
      </c>
      <c r="AA1357" s="18">
        <f t="shared" si="868"/>
        <v>5652</v>
      </c>
      <c r="AB1357" s="18">
        <v>11052</v>
      </c>
      <c r="AC1357" s="18">
        <v>11018.05</v>
      </c>
      <c r="AD1357" s="18">
        <f t="shared" si="849"/>
        <v>99.692815779949328</v>
      </c>
      <c r="AE1357" s="18">
        <f t="shared" si="858"/>
        <v>0</v>
      </c>
      <c r="AF1357" s="18">
        <v>11052</v>
      </c>
      <c r="AG1357" s="18">
        <v>17600</v>
      </c>
      <c r="AH1357" s="18">
        <v>700000</v>
      </c>
      <c r="AI1357" s="18">
        <v>5000</v>
      </c>
      <c r="AJ1357" s="162" t="b">
        <f t="shared" si="872"/>
        <v>0</v>
      </c>
      <c r="AK1357" s="162" t="str">
        <f t="shared" si="873"/>
        <v>PUNO</v>
      </c>
      <c r="AM1357" s="164"/>
    </row>
    <row r="1358" spans="1:39" ht="15.75" x14ac:dyDescent="0.2">
      <c r="B1358" s="177"/>
      <c r="C1358" s="177"/>
      <c r="D1358" s="177">
        <v>423</v>
      </c>
      <c r="E1358" s="177"/>
      <c r="F1358" s="177"/>
      <c r="G1358" s="177"/>
      <c r="H1358" s="29" t="s">
        <v>223</v>
      </c>
      <c r="I1358" s="17">
        <f>I1359</f>
        <v>820000</v>
      </c>
      <c r="J1358" s="17">
        <f>J1359</f>
        <v>0</v>
      </c>
      <c r="K1358" s="17">
        <f t="shared" si="855"/>
        <v>0</v>
      </c>
      <c r="L1358" s="17">
        <f t="shared" si="874"/>
        <v>-400</v>
      </c>
      <c r="M1358" s="17">
        <f>M1359</f>
        <v>819600</v>
      </c>
      <c r="N1358" s="17">
        <f>N1359</f>
        <v>1253800</v>
      </c>
      <c r="O1358" s="17">
        <f>O1359</f>
        <v>0</v>
      </c>
      <c r="P1358" s="26">
        <f t="shared" si="844"/>
        <v>-144540</v>
      </c>
      <c r="Q1358" s="17">
        <f t="shared" ref="Q1358:AI1358" si="875">Q1359</f>
        <v>1253800</v>
      </c>
      <c r="R1358" s="17">
        <f t="shared" si="875"/>
        <v>548500</v>
      </c>
      <c r="S1358" s="17">
        <f t="shared" si="875"/>
        <v>0</v>
      </c>
      <c r="T1358" s="26">
        <f t="shared" si="875"/>
        <v>1109260</v>
      </c>
      <c r="U1358" s="26">
        <f t="shared" si="875"/>
        <v>1109260</v>
      </c>
      <c r="V1358" s="17">
        <f t="shared" si="875"/>
        <v>259000</v>
      </c>
      <c r="W1358" s="17">
        <f t="shared" si="875"/>
        <v>500000</v>
      </c>
      <c r="X1358" s="17">
        <f t="shared" si="875"/>
        <v>500000</v>
      </c>
      <c r="Y1358" s="17">
        <f t="shared" si="875"/>
        <v>0</v>
      </c>
      <c r="Z1358" s="17">
        <f t="shared" si="869"/>
        <v>0</v>
      </c>
      <c r="AA1358" s="17">
        <f t="shared" si="868"/>
        <v>162115</v>
      </c>
      <c r="AB1358" s="17">
        <f t="shared" si="875"/>
        <v>421115</v>
      </c>
      <c r="AC1358" s="17">
        <f t="shared" si="875"/>
        <v>0</v>
      </c>
      <c r="AD1358" s="17">
        <f t="shared" si="849"/>
        <v>0</v>
      </c>
      <c r="AE1358" s="17">
        <f t="shared" si="858"/>
        <v>-92838.5</v>
      </c>
      <c r="AF1358" s="17">
        <f t="shared" si="875"/>
        <v>328276.5</v>
      </c>
      <c r="AG1358" s="17">
        <f t="shared" si="875"/>
        <v>583000</v>
      </c>
      <c r="AH1358" s="17">
        <f t="shared" si="875"/>
        <v>839736</v>
      </c>
      <c r="AI1358" s="17">
        <f t="shared" si="875"/>
        <v>470000</v>
      </c>
      <c r="AJ1358" s="162" t="b">
        <f t="shared" si="872"/>
        <v>1</v>
      </c>
      <c r="AK1358" s="162" t="str">
        <f t="shared" si="873"/>
        <v>PRAZNO</v>
      </c>
      <c r="AM1358" s="164"/>
    </row>
    <row r="1359" spans="1:39" ht="15.75" x14ac:dyDescent="0.2">
      <c r="B1359" s="177"/>
      <c r="C1359" s="177"/>
      <c r="D1359" s="177"/>
      <c r="E1359" s="177">
        <v>4231</v>
      </c>
      <c r="F1359" s="176">
        <v>54</v>
      </c>
      <c r="G1359" s="176"/>
      <c r="H1359" s="29" t="s">
        <v>224</v>
      </c>
      <c r="I1359" s="18">
        <v>820000</v>
      </c>
      <c r="J1359" s="18">
        <v>0</v>
      </c>
      <c r="K1359" s="18">
        <f t="shared" si="855"/>
        <v>0</v>
      </c>
      <c r="L1359" s="18">
        <f t="shared" si="874"/>
        <v>-400</v>
      </c>
      <c r="M1359" s="18">
        <v>819600</v>
      </c>
      <c r="N1359" s="18">
        <v>1253800</v>
      </c>
      <c r="O1359" s="18">
        <v>0</v>
      </c>
      <c r="P1359" s="26">
        <f t="shared" si="844"/>
        <v>-144540</v>
      </c>
      <c r="Q1359" s="18">
        <v>1253800</v>
      </c>
      <c r="R1359" s="18">
        <v>548500</v>
      </c>
      <c r="S1359" s="18">
        <v>0</v>
      </c>
      <c r="T1359" s="27">
        <v>1109260</v>
      </c>
      <c r="U1359" s="27">
        <v>1109260</v>
      </c>
      <c r="V1359" s="18">
        <v>259000</v>
      </c>
      <c r="W1359" s="18">
        <v>500000</v>
      </c>
      <c r="X1359" s="18">
        <v>500000</v>
      </c>
      <c r="Y1359" s="18">
        <v>0</v>
      </c>
      <c r="Z1359" s="18">
        <f t="shared" si="869"/>
        <v>0</v>
      </c>
      <c r="AA1359" s="18">
        <f t="shared" si="868"/>
        <v>162115</v>
      </c>
      <c r="AB1359" s="18">
        <v>421115</v>
      </c>
      <c r="AC1359" s="18">
        <f>0+0</f>
        <v>0</v>
      </c>
      <c r="AD1359" s="18">
        <f t="shared" si="849"/>
        <v>0</v>
      </c>
      <c r="AE1359" s="18">
        <f t="shared" si="858"/>
        <v>-92838.5</v>
      </c>
      <c r="AF1359" s="18">
        <v>328276.5</v>
      </c>
      <c r="AG1359" s="18">
        <v>583000</v>
      </c>
      <c r="AH1359" s="18">
        <v>839736</v>
      </c>
      <c r="AI1359" s="18">
        <v>470000</v>
      </c>
      <c r="AJ1359" s="162" t="b">
        <f t="shared" si="872"/>
        <v>0</v>
      </c>
      <c r="AK1359" s="162" t="str">
        <f t="shared" si="873"/>
        <v>PUNO</v>
      </c>
      <c r="AM1359" s="164"/>
    </row>
    <row r="1360" spans="1:39" ht="15.75" x14ac:dyDescent="0.2">
      <c r="B1360" s="177"/>
      <c r="C1360" s="177"/>
      <c r="D1360" s="177">
        <v>426</v>
      </c>
      <c r="E1360" s="177"/>
      <c r="F1360" s="177"/>
      <c r="G1360" s="177"/>
      <c r="H1360" s="29" t="s">
        <v>560</v>
      </c>
      <c r="I1360" s="18">
        <f>I1361</f>
        <v>0</v>
      </c>
      <c r="J1360" s="18">
        <f>J1361</f>
        <v>0</v>
      </c>
      <c r="K1360" s="18" t="e">
        <f t="shared" si="855"/>
        <v>#DIV/0!</v>
      </c>
      <c r="L1360" s="18">
        <f t="shared" si="874"/>
        <v>926039.32</v>
      </c>
      <c r="M1360" s="18">
        <f>M1361</f>
        <v>926039.32</v>
      </c>
      <c r="N1360" s="18">
        <f>N1361</f>
        <v>87000</v>
      </c>
      <c r="O1360" s="18">
        <f>O1361</f>
        <v>20925</v>
      </c>
      <c r="P1360" s="26">
        <f t="shared" si="844"/>
        <v>-13700</v>
      </c>
      <c r="Q1360" s="18">
        <f t="shared" ref="Q1360:AI1360" si="876">Q1361</f>
        <v>87000</v>
      </c>
      <c r="R1360" s="18">
        <f t="shared" si="876"/>
        <v>0</v>
      </c>
      <c r="S1360" s="18">
        <f t="shared" si="876"/>
        <v>0</v>
      </c>
      <c r="T1360" s="27">
        <f t="shared" si="876"/>
        <v>73300</v>
      </c>
      <c r="U1360" s="27">
        <f t="shared" si="876"/>
        <v>73187.5</v>
      </c>
      <c r="V1360" s="18">
        <f t="shared" si="876"/>
        <v>6000</v>
      </c>
      <c r="W1360" s="18">
        <f t="shared" si="876"/>
        <v>0</v>
      </c>
      <c r="X1360" s="18">
        <f t="shared" si="876"/>
        <v>47553</v>
      </c>
      <c r="Y1360" s="18">
        <f t="shared" si="876"/>
        <v>0</v>
      </c>
      <c r="Z1360" s="18">
        <f t="shared" si="869"/>
        <v>0</v>
      </c>
      <c r="AA1360" s="18">
        <f t="shared" si="868"/>
        <v>11158</v>
      </c>
      <c r="AB1360" s="18">
        <f t="shared" si="876"/>
        <v>17158</v>
      </c>
      <c r="AC1360" s="18">
        <f t="shared" si="876"/>
        <v>17071.38</v>
      </c>
      <c r="AD1360" s="18">
        <f t="shared" si="849"/>
        <v>99.495162606364389</v>
      </c>
      <c r="AE1360" s="18">
        <f t="shared" si="858"/>
        <v>0</v>
      </c>
      <c r="AF1360" s="18">
        <f t="shared" si="876"/>
        <v>17158</v>
      </c>
      <c r="AG1360" s="18">
        <f t="shared" si="876"/>
        <v>77000</v>
      </c>
      <c r="AH1360" s="18">
        <f t="shared" si="876"/>
        <v>50000</v>
      </c>
      <c r="AI1360" s="18">
        <f t="shared" si="876"/>
        <v>47296</v>
      </c>
      <c r="AJ1360" s="162" t="b">
        <f t="shared" si="872"/>
        <v>1</v>
      </c>
      <c r="AK1360" s="162" t="str">
        <f t="shared" si="873"/>
        <v>PRAZNO</v>
      </c>
      <c r="AM1360" s="164"/>
    </row>
    <row r="1361" spans="1:39" ht="15.75" x14ac:dyDescent="0.2">
      <c r="B1361" s="177"/>
      <c r="C1361" s="177"/>
      <c r="D1361" s="177"/>
      <c r="E1361" s="177">
        <v>4262</v>
      </c>
      <c r="F1361" s="176">
        <v>54</v>
      </c>
      <c r="G1361" s="176"/>
      <c r="H1361" s="29" t="s">
        <v>561</v>
      </c>
      <c r="I1361" s="18">
        <v>0</v>
      </c>
      <c r="J1361" s="18"/>
      <c r="K1361" s="18" t="e">
        <f t="shared" si="855"/>
        <v>#DIV/0!</v>
      </c>
      <c r="L1361" s="18">
        <f t="shared" si="874"/>
        <v>926039.32</v>
      </c>
      <c r="M1361" s="18">
        <v>926039.32</v>
      </c>
      <c r="N1361" s="18">
        <v>87000</v>
      </c>
      <c r="O1361" s="18">
        <v>20925</v>
      </c>
      <c r="P1361" s="26">
        <f t="shared" si="844"/>
        <v>-13700</v>
      </c>
      <c r="Q1361" s="18">
        <v>87000</v>
      </c>
      <c r="R1361" s="18">
        <v>0</v>
      </c>
      <c r="S1361" s="18">
        <v>0</v>
      </c>
      <c r="T1361" s="27">
        <f>87000-13700</f>
        <v>73300</v>
      </c>
      <c r="U1361" s="27">
        <v>73187.5</v>
      </c>
      <c r="V1361" s="18">
        <v>6000</v>
      </c>
      <c r="W1361" s="18">
        <v>0</v>
      </c>
      <c r="X1361" s="18">
        <v>47553</v>
      </c>
      <c r="Y1361" s="18">
        <v>0</v>
      </c>
      <c r="Z1361" s="18">
        <f t="shared" si="869"/>
        <v>0</v>
      </c>
      <c r="AA1361" s="18">
        <f t="shared" si="868"/>
        <v>11158</v>
      </c>
      <c r="AB1361" s="18">
        <v>17158</v>
      </c>
      <c r="AC1361" s="18">
        <v>17071.38</v>
      </c>
      <c r="AD1361" s="18">
        <f t="shared" si="849"/>
        <v>99.495162606364389</v>
      </c>
      <c r="AE1361" s="18">
        <f t="shared" si="858"/>
        <v>0</v>
      </c>
      <c r="AF1361" s="18">
        <v>17158</v>
      </c>
      <c r="AG1361" s="18">
        <v>77000</v>
      </c>
      <c r="AH1361" s="18">
        <v>50000</v>
      </c>
      <c r="AI1361" s="18">
        <v>47296</v>
      </c>
      <c r="AJ1361" s="162" t="b">
        <f t="shared" si="872"/>
        <v>0</v>
      </c>
      <c r="AK1361" s="162" t="str">
        <f t="shared" si="873"/>
        <v>PUNO</v>
      </c>
      <c r="AM1361" s="164"/>
    </row>
    <row r="1362" spans="1:39" ht="27.75" customHeight="1" x14ac:dyDescent="0.2">
      <c r="B1362" s="177"/>
      <c r="C1362" s="177">
        <v>45</v>
      </c>
      <c r="D1362" s="177"/>
      <c r="E1362" s="177"/>
      <c r="F1362" s="177"/>
      <c r="G1362" s="177"/>
      <c r="H1362" s="28" t="s">
        <v>808</v>
      </c>
      <c r="I1362" s="17">
        <f>I1363</f>
        <v>15000</v>
      </c>
      <c r="J1362" s="17">
        <f>J1363</f>
        <v>10310.11</v>
      </c>
      <c r="K1362" s="17">
        <f t="shared" si="855"/>
        <v>68.73</v>
      </c>
      <c r="L1362" s="17">
        <f t="shared" si="874"/>
        <v>-4689.8899999999994</v>
      </c>
      <c r="M1362" s="17">
        <f t="shared" ref="M1362:AI1363" si="877">M1363</f>
        <v>10310.11</v>
      </c>
      <c r="N1362" s="17">
        <f t="shared" si="877"/>
        <v>82773</v>
      </c>
      <c r="O1362" s="17">
        <f t="shared" si="877"/>
        <v>82237.63</v>
      </c>
      <c r="P1362" s="26">
        <f t="shared" si="844"/>
        <v>0</v>
      </c>
      <c r="Q1362" s="17">
        <f t="shared" si="877"/>
        <v>82773</v>
      </c>
      <c r="R1362" s="17">
        <f t="shared" si="877"/>
        <v>0</v>
      </c>
      <c r="S1362" s="17">
        <f t="shared" si="877"/>
        <v>0</v>
      </c>
      <c r="T1362" s="26">
        <f t="shared" si="877"/>
        <v>82773</v>
      </c>
      <c r="U1362" s="26">
        <f t="shared" si="877"/>
        <v>82237.63</v>
      </c>
      <c r="V1362" s="17">
        <f t="shared" si="877"/>
        <v>1037000</v>
      </c>
      <c r="W1362" s="17">
        <f t="shared" si="877"/>
        <v>0</v>
      </c>
      <c r="X1362" s="17">
        <f t="shared" si="877"/>
        <v>0</v>
      </c>
      <c r="Y1362" s="17">
        <f t="shared" si="877"/>
        <v>0</v>
      </c>
      <c r="Z1362" s="17">
        <f t="shared" si="869"/>
        <v>0</v>
      </c>
      <c r="AA1362" s="17">
        <f t="shared" si="868"/>
        <v>13242</v>
      </c>
      <c r="AB1362" s="17">
        <f t="shared" si="877"/>
        <v>1050242</v>
      </c>
      <c r="AC1362" s="17">
        <f t="shared" si="877"/>
        <v>98348.6</v>
      </c>
      <c r="AD1362" s="17">
        <f t="shared" si="849"/>
        <v>9.3643750678415074</v>
      </c>
      <c r="AE1362" s="17">
        <f t="shared" si="858"/>
        <v>-138050</v>
      </c>
      <c r="AF1362" s="17">
        <f t="shared" si="877"/>
        <v>912192</v>
      </c>
      <c r="AG1362" s="17">
        <f t="shared" si="877"/>
        <v>0</v>
      </c>
      <c r="AH1362" s="17">
        <f t="shared" si="877"/>
        <v>0</v>
      </c>
      <c r="AI1362" s="17">
        <f t="shared" si="877"/>
        <v>0</v>
      </c>
      <c r="AJ1362" s="162" t="b">
        <f t="shared" si="872"/>
        <v>1</v>
      </c>
      <c r="AK1362" s="162" t="str">
        <f t="shared" si="873"/>
        <v>PRAZNO</v>
      </c>
      <c r="AM1362" s="164"/>
    </row>
    <row r="1363" spans="1:39" ht="15.75" x14ac:dyDescent="0.2">
      <c r="B1363" s="177"/>
      <c r="C1363" s="177"/>
      <c r="D1363" s="177">
        <v>452</v>
      </c>
      <c r="E1363" s="177"/>
      <c r="F1363" s="177"/>
      <c r="G1363" s="177"/>
      <c r="H1363" s="40" t="s">
        <v>639</v>
      </c>
      <c r="I1363" s="17">
        <f>I1364</f>
        <v>15000</v>
      </c>
      <c r="J1363" s="17">
        <f>J1364</f>
        <v>10310.11</v>
      </c>
      <c r="K1363" s="17">
        <f t="shared" si="855"/>
        <v>68.73</v>
      </c>
      <c r="L1363" s="17">
        <f t="shared" si="874"/>
        <v>-4689.8899999999994</v>
      </c>
      <c r="M1363" s="17">
        <f t="shared" si="877"/>
        <v>10310.11</v>
      </c>
      <c r="N1363" s="17">
        <f t="shared" si="877"/>
        <v>82773</v>
      </c>
      <c r="O1363" s="17">
        <f t="shared" si="877"/>
        <v>82237.63</v>
      </c>
      <c r="P1363" s="26">
        <f t="shared" si="844"/>
        <v>0</v>
      </c>
      <c r="Q1363" s="17">
        <f t="shared" si="877"/>
        <v>82773</v>
      </c>
      <c r="R1363" s="17">
        <f t="shared" si="877"/>
        <v>0</v>
      </c>
      <c r="S1363" s="17">
        <f t="shared" si="877"/>
        <v>0</v>
      </c>
      <c r="T1363" s="26">
        <f t="shared" si="877"/>
        <v>82773</v>
      </c>
      <c r="U1363" s="26">
        <f t="shared" si="877"/>
        <v>82237.63</v>
      </c>
      <c r="V1363" s="17">
        <f t="shared" si="877"/>
        <v>1037000</v>
      </c>
      <c r="W1363" s="17">
        <f t="shared" si="877"/>
        <v>0</v>
      </c>
      <c r="X1363" s="17">
        <f t="shared" si="877"/>
        <v>0</v>
      </c>
      <c r="Y1363" s="17">
        <f t="shared" si="877"/>
        <v>0</v>
      </c>
      <c r="Z1363" s="17">
        <f t="shared" si="869"/>
        <v>0</v>
      </c>
      <c r="AA1363" s="17">
        <f t="shared" si="868"/>
        <v>13242</v>
      </c>
      <c r="AB1363" s="17">
        <f t="shared" si="877"/>
        <v>1050242</v>
      </c>
      <c r="AC1363" s="17">
        <f t="shared" si="877"/>
        <v>98348.6</v>
      </c>
      <c r="AD1363" s="17">
        <f t="shared" si="849"/>
        <v>9.3643750678415074</v>
      </c>
      <c r="AE1363" s="17">
        <f t="shared" si="858"/>
        <v>-138050</v>
      </c>
      <c r="AF1363" s="17">
        <f t="shared" si="877"/>
        <v>912192</v>
      </c>
      <c r="AG1363" s="17">
        <f t="shared" si="877"/>
        <v>0</v>
      </c>
      <c r="AH1363" s="17">
        <f t="shared" si="877"/>
        <v>0</v>
      </c>
      <c r="AI1363" s="17">
        <f t="shared" si="877"/>
        <v>0</v>
      </c>
      <c r="AJ1363" s="162" t="b">
        <f t="shared" si="872"/>
        <v>1</v>
      </c>
      <c r="AK1363" s="162" t="str">
        <f t="shared" si="873"/>
        <v>PRAZNO</v>
      </c>
      <c r="AM1363" s="164"/>
    </row>
    <row r="1364" spans="1:39" ht="15.75" x14ac:dyDescent="0.2">
      <c r="B1364" s="177"/>
      <c r="C1364" s="177"/>
      <c r="D1364" s="177"/>
      <c r="E1364" s="177">
        <v>4521</v>
      </c>
      <c r="F1364" s="176">
        <v>54</v>
      </c>
      <c r="G1364" s="176"/>
      <c r="H1364" s="16" t="s">
        <v>639</v>
      </c>
      <c r="I1364" s="17">
        <v>15000</v>
      </c>
      <c r="J1364" s="17">
        <v>10310.11</v>
      </c>
      <c r="K1364" s="17">
        <f t="shared" si="855"/>
        <v>68.73</v>
      </c>
      <c r="L1364" s="17">
        <f t="shared" si="874"/>
        <v>-4689.8899999999994</v>
      </c>
      <c r="M1364" s="17">
        <v>10310.11</v>
      </c>
      <c r="N1364" s="17">
        <v>82773</v>
      </c>
      <c r="O1364" s="17">
        <v>82237.63</v>
      </c>
      <c r="P1364" s="26">
        <f t="shared" si="844"/>
        <v>0</v>
      </c>
      <c r="Q1364" s="17">
        <v>82773</v>
      </c>
      <c r="R1364" s="17"/>
      <c r="S1364" s="17"/>
      <c r="T1364" s="26">
        <v>82773</v>
      </c>
      <c r="U1364" s="26">
        <v>82237.63</v>
      </c>
      <c r="V1364" s="17">
        <f>1000000+37000</f>
        <v>1037000</v>
      </c>
      <c r="W1364" s="17">
        <v>0</v>
      </c>
      <c r="X1364" s="17">
        <v>0</v>
      </c>
      <c r="Y1364" s="17">
        <v>0</v>
      </c>
      <c r="Z1364" s="17">
        <f t="shared" si="869"/>
        <v>0</v>
      </c>
      <c r="AA1364" s="17">
        <f t="shared" si="868"/>
        <v>13242</v>
      </c>
      <c r="AB1364" s="17">
        <v>1050242</v>
      </c>
      <c r="AC1364" s="17">
        <v>98348.6</v>
      </c>
      <c r="AD1364" s="17">
        <f t="shared" si="849"/>
        <v>9.3643750678415074</v>
      </c>
      <c r="AE1364" s="17">
        <f t="shared" si="858"/>
        <v>-138050</v>
      </c>
      <c r="AF1364" s="17">
        <v>912192</v>
      </c>
      <c r="AG1364" s="17">
        <v>0</v>
      </c>
      <c r="AH1364" s="17">
        <v>0</v>
      </c>
      <c r="AI1364" s="17">
        <v>0</v>
      </c>
      <c r="AJ1364" s="162" t="b">
        <f t="shared" si="872"/>
        <v>0</v>
      </c>
      <c r="AK1364" s="162" t="str">
        <f t="shared" si="873"/>
        <v>PUNO</v>
      </c>
      <c r="AM1364" s="164"/>
    </row>
    <row r="1365" spans="1:39" s="171" customFormat="1" ht="15.75" x14ac:dyDescent="0.2">
      <c r="A1365" s="259"/>
      <c r="B1365" s="270"/>
      <c r="C1365" s="270"/>
      <c r="D1365" s="270"/>
      <c r="E1365" s="270"/>
      <c r="F1365" s="270"/>
      <c r="G1365" s="270"/>
      <c r="H1365" s="282" t="s">
        <v>723</v>
      </c>
      <c r="I1365" s="273" t="e">
        <f>#REF!+I1483+#REF!+I1385+I1434+#REF!</f>
        <v>#REF!</v>
      </c>
      <c r="J1365" s="273" t="e">
        <f>#REF!+J1483+#REF!+J1385+J1434+#REF!</f>
        <v>#REF!</v>
      </c>
      <c r="K1365" s="273" t="e">
        <f>ROUND(J1365/I1365*100,2)</f>
        <v>#REF!</v>
      </c>
      <c r="L1365" s="273" t="e">
        <f t="shared" si="874"/>
        <v>#REF!</v>
      </c>
      <c r="M1365" s="272" t="e">
        <f>#REF!+M1483+#REF!+M1385+M1434</f>
        <v>#REF!</v>
      </c>
      <c r="N1365" s="272" t="e">
        <f>#REF!+N1483+#REF!+N1385+N1434+N1454+N1366</f>
        <v>#REF!</v>
      </c>
      <c r="O1365" s="272" t="e">
        <f>#REF!+O1483+#REF!+O1385+O1434+O1454</f>
        <v>#REF!</v>
      </c>
      <c r="P1365" s="336" t="e">
        <f t="shared" si="844"/>
        <v>#REF!</v>
      </c>
      <c r="Q1365" s="272" t="e">
        <f>#REF!+Q1483+#REF!+Q1385+Q1434+Q1454+Q1366</f>
        <v>#REF!</v>
      </c>
      <c r="R1365" s="272" t="e">
        <f>#REF!+R1483+#REF!+R1385+R1434+#REF!+R1454</f>
        <v>#REF!</v>
      </c>
      <c r="S1365" s="272" t="e">
        <f>#REF!+S1483+#REF!+S1385+S1434+#REF!+S1454</f>
        <v>#REF!</v>
      </c>
      <c r="T1365" s="272">
        <f>T1483+T1385+T1434+T1454+T1366+T1378+T1493</f>
        <v>2310853</v>
      </c>
      <c r="U1365" s="272">
        <f>U1483+U1385+U1434+U1454+U1366+U1378+U1493</f>
        <v>2224895.84</v>
      </c>
      <c r="V1365" s="272">
        <f>V1483+V1385+V1434+V1454+V1366+V1378+V1493</f>
        <v>3179092</v>
      </c>
      <c r="W1365" s="272" t="e">
        <f>#REF!+W1483+#REF!+W1385+W1434+W1454+W1366+W1378+W1493</f>
        <v>#REF!</v>
      </c>
      <c r="X1365" s="272" t="e">
        <f>#REF!+X1483+#REF!+X1385+X1434+X1454+X1366+X1378+X1493</f>
        <v>#REF!</v>
      </c>
      <c r="Y1365" s="272">
        <f>Y1483+Y1385+Y1434+Y1454+Y1366+Y1378+Y1493</f>
        <v>782890.38</v>
      </c>
      <c r="Z1365" s="272">
        <f t="shared" si="869"/>
        <v>24.63</v>
      </c>
      <c r="AA1365" s="272">
        <f t="shared" si="868"/>
        <v>216542</v>
      </c>
      <c r="AB1365" s="272">
        <f>AB1483+AB1385+AB1434+AB1454+AB1366+AB1378+AB1493</f>
        <v>3395634</v>
      </c>
      <c r="AC1365" s="272">
        <f>AC1483+AC1385+AC1434+AC1454+AC1366+AC1378+AC1493</f>
        <v>1631438.79</v>
      </c>
      <c r="AD1365" s="272">
        <f t="shared" si="849"/>
        <v>48.045189499221649</v>
      </c>
      <c r="AE1365" s="272">
        <f>AE1483+AE1385+AE1434+AE1454+AE1366+AE1378+AE1493+AE1406+AE1426</f>
        <v>-152499</v>
      </c>
      <c r="AF1365" s="272">
        <f>AF1483+AF1385+AF1434+AF1454+AF1366+AF1378+AF1493+AF1406+AF1426</f>
        <v>3243135</v>
      </c>
      <c r="AG1365" s="272">
        <f>AG1483+AG1385+AG1434+AG1454+AG1366+AG1378+AG1493+AG1406+AG1426</f>
        <v>4103592</v>
      </c>
      <c r="AH1365" s="272">
        <f>AH1483+AH1385+AH1434+AH1454+AH1366+AH1378+AH1493+AH1406+AH1426</f>
        <v>2816092</v>
      </c>
      <c r="AI1365" s="272">
        <f>AI1483+AI1385+AI1434+AI1454+AI1366+AI1378+AI1493+AI1406+AI1426</f>
        <v>2604592</v>
      </c>
      <c r="AJ1365" s="162" t="b">
        <f t="shared" si="872"/>
        <v>1</v>
      </c>
      <c r="AK1365" s="162" t="str">
        <f t="shared" si="873"/>
        <v>PRAZNO</v>
      </c>
      <c r="AL1365" s="170"/>
      <c r="AM1365" s="164"/>
    </row>
    <row r="1366" spans="1:39" s="171" customFormat="1" ht="15.75" x14ac:dyDescent="0.2">
      <c r="A1366" s="259"/>
      <c r="B1366" s="168"/>
      <c r="C1366" s="168"/>
      <c r="D1366" s="168"/>
      <c r="E1366" s="168"/>
      <c r="F1366" s="168"/>
      <c r="G1366" s="168"/>
      <c r="H1366" s="35" t="s">
        <v>20</v>
      </c>
      <c r="I1366" s="169"/>
      <c r="J1366" s="169"/>
      <c r="K1366" s="169"/>
      <c r="L1366" s="169"/>
      <c r="M1366" s="19"/>
      <c r="N1366" s="19">
        <f>N1368</f>
        <v>226000</v>
      </c>
      <c r="O1366" s="19">
        <f>O1368</f>
        <v>0</v>
      </c>
      <c r="P1366" s="303">
        <f>T1366-N1366</f>
        <v>364000</v>
      </c>
      <c r="Q1366" s="19">
        <f>Q1368</f>
        <v>226000</v>
      </c>
      <c r="R1366" s="19"/>
      <c r="S1366" s="19"/>
      <c r="T1366" s="53">
        <f t="shared" ref="T1366:Y1366" si="878">T1368</f>
        <v>590000</v>
      </c>
      <c r="U1366" s="53">
        <f t="shared" si="878"/>
        <v>702144.72</v>
      </c>
      <c r="V1366" s="19">
        <f t="shared" si="878"/>
        <v>453592</v>
      </c>
      <c r="W1366" s="19" t="e">
        <f t="shared" si="878"/>
        <v>#REF!</v>
      </c>
      <c r="X1366" s="19" t="e">
        <f t="shared" si="878"/>
        <v>#REF!</v>
      </c>
      <c r="Y1366" s="19">
        <f t="shared" si="878"/>
        <v>0</v>
      </c>
      <c r="Z1366" s="19">
        <f t="shared" si="869"/>
        <v>0</v>
      </c>
      <c r="AA1366" s="19">
        <f t="shared" si="868"/>
        <v>-303592</v>
      </c>
      <c r="AB1366" s="19">
        <f>AB1368</f>
        <v>150000</v>
      </c>
      <c r="AC1366" s="19">
        <f>AC1368</f>
        <v>0</v>
      </c>
      <c r="AD1366" s="19">
        <f t="shared" si="849"/>
        <v>0</v>
      </c>
      <c r="AE1366" s="19">
        <f t="shared" si="858"/>
        <v>149199</v>
      </c>
      <c r="AF1366" s="19">
        <f>AF1368</f>
        <v>299199</v>
      </c>
      <c r="AG1366" s="19">
        <f>AG1368</f>
        <v>544000</v>
      </c>
      <c r="AH1366" s="19">
        <f>AH1368</f>
        <v>418000</v>
      </c>
      <c r="AI1366" s="19">
        <f>AI1368</f>
        <v>400000</v>
      </c>
      <c r="AJ1366" s="162" t="b">
        <f t="shared" si="872"/>
        <v>1</v>
      </c>
      <c r="AK1366" s="162" t="str">
        <f t="shared" si="873"/>
        <v>PRAZNO</v>
      </c>
      <c r="AL1366" s="170"/>
      <c r="AM1366" s="164"/>
    </row>
    <row r="1367" spans="1:39" s="264" customFormat="1" ht="15.75" x14ac:dyDescent="0.2">
      <c r="A1367" s="259"/>
      <c r="B1367" s="260"/>
      <c r="C1367" s="260"/>
      <c r="D1367" s="260"/>
      <c r="E1367" s="260"/>
      <c r="F1367" s="260"/>
      <c r="G1367" s="260"/>
      <c r="H1367" s="473" t="s">
        <v>824</v>
      </c>
      <c r="I1367" s="181"/>
      <c r="J1367" s="181"/>
      <c r="K1367" s="181"/>
      <c r="L1367" s="181"/>
      <c r="M1367" s="262"/>
      <c r="N1367" s="262"/>
      <c r="O1367" s="262"/>
      <c r="P1367" s="445"/>
      <c r="Q1367" s="262"/>
      <c r="R1367" s="262"/>
      <c r="S1367" s="262"/>
      <c r="T1367" s="342"/>
      <c r="U1367" s="342"/>
      <c r="V1367" s="262">
        <f t="shared" ref="V1367:AI1368" si="879">V1368</f>
        <v>453592</v>
      </c>
      <c r="W1367" s="262" t="e">
        <f t="shared" si="879"/>
        <v>#REF!</v>
      </c>
      <c r="X1367" s="262" t="e">
        <f t="shared" si="879"/>
        <v>#REF!</v>
      </c>
      <c r="Y1367" s="262">
        <f t="shared" si="879"/>
        <v>0</v>
      </c>
      <c r="Z1367" s="262">
        <f t="shared" si="869"/>
        <v>0</v>
      </c>
      <c r="AA1367" s="262">
        <f t="shared" si="868"/>
        <v>-303592</v>
      </c>
      <c r="AB1367" s="262">
        <f t="shared" si="879"/>
        <v>150000</v>
      </c>
      <c r="AC1367" s="262">
        <f t="shared" si="879"/>
        <v>0</v>
      </c>
      <c r="AD1367" s="262">
        <f t="shared" si="849"/>
        <v>0</v>
      </c>
      <c r="AE1367" s="262">
        <f t="shared" si="858"/>
        <v>149199</v>
      </c>
      <c r="AF1367" s="262">
        <f t="shared" si="879"/>
        <v>299199</v>
      </c>
      <c r="AG1367" s="262">
        <f t="shared" si="879"/>
        <v>544000</v>
      </c>
      <c r="AH1367" s="262">
        <f t="shared" si="879"/>
        <v>418000</v>
      </c>
      <c r="AI1367" s="262">
        <f t="shared" si="879"/>
        <v>400000</v>
      </c>
      <c r="AJ1367" s="162" t="b">
        <f t="shared" si="872"/>
        <v>1</v>
      </c>
      <c r="AK1367" s="162" t="str">
        <f t="shared" si="873"/>
        <v>PRAZNO</v>
      </c>
      <c r="AL1367" s="263"/>
    </row>
    <row r="1368" spans="1:39" s="174" customFormat="1" ht="15.75" x14ac:dyDescent="0.2">
      <c r="A1368" s="259"/>
      <c r="B1368" s="172">
        <v>4</v>
      </c>
      <c r="C1368" s="172"/>
      <c r="D1368" s="172"/>
      <c r="E1368" s="172"/>
      <c r="F1368" s="172"/>
      <c r="G1368" s="172"/>
      <c r="H1368" s="36" t="s">
        <v>552</v>
      </c>
      <c r="I1368" s="37"/>
      <c r="J1368" s="37"/>
      <c r="K1368" s="37"/>
      <c r="L1368" s="37"/>
      <c r="M1368" s="37"/>
      <c r="N1368" s="37">
        <f>N1369</f>
        <v>226000</v>
      </c>
      <c r="O1368" s="37">
        <f>O1369</f>
        <v>0</v>
      </c>
      <c r="P1368" s="55">
        <f>T1368-N1368</f>
        <v>364000</v>
      </c>
      <c r="Q1368" s="37">
        <f>Q1369</f>
        <v>226000</v>
      </c>
      <c r="R1368" s="37"/>
      <c r="S1368" s="37"/>
      <c r="T1368" s="54">
        <f>T1369</f>
        <v>590000</v>
      </c>
      <c r="U1368" s="54">
        <f>U1369</f>
        <v>702144.72</v>
      </c>
      <c r="V1368" s="54">
        <f>V1369+V1376</f>
        <v>453592</v>
      </c>
      <c r="W1368" s="54" t="e">
        <f t="shared" si="879"/>
        <v>#REF!</v>
      </c>
      <c r="X1368" s="54" t="e">
        <f t="shared" si="879"/>
        <v>#REF!</v>
      </c>
      <c r="Y1368" s="54">
        <f t="shared" si="879"/>
        <v>0</v>
      </c>
      <c r="Z1368" s="54">
        <f t="shared" si="869"/>
        <v>0</v>
      </c>
      <c r="AA1368" s="54">
        <f t="shared" si="868"/>
        <v>-303592</v>
      </c>
      <c r="AB1368" s="54">
        <f t="shared" si="879"/>
        <v>150000</v>
      </c>
      <c r="AC1368" s="54">
        <f t="shared" si="879"/>
        <v>0</v>
      </c>
      <c r="AD1368" s="54">
        <f t="shared" si="849"/>
        <v>0</v>
      </c>
      <c r="AE1368" s="54">
        <f t="shared" si="858"/>
        <v>149199</v>
      </c>
      <c r="AF1368" s="54">
        <f t="shared" si="879"/>
        <v>299199</v>
      </c>
      <c r="AG1368" s="54">
        <f t="shared" si="879"/>
        <v>544000</v>
      </c>
      <c r="AH1368" s="54">
        <f t="shared" si="879"/>
        <v>418000</v>
      </c>
      <c r="AI1368" s="54">
        <f t="shared" si="879"/>
        <v>400000</v>
      </c>
      <c r="AJ1368" s="162" t="b">
        <f t="shared" si="872"/>
        <v>1</v>
      </c>
      <c r="AK1368" s="162" t="str">
        <f t="shared" si="873"/>
        <v>PRAZNO</v>
      </c>
      <c r="AL1368" s="173"/>
      <c r="AM1368" s="164"/>
    </row>
    <row r="1369" spans="1:39" s="644" customFormat="1" ht="15.75" x14ac:dyDescent="0.2">
      <c r="A1369" s="633"/>
      <c r="B1369" s="175"/>
      <c r="C1369" s="175">
        <v>42</v>
      </c>
      <c r="D1369" s="175"/>
      <c r="E1369" s="175"/>
      <c r="F1369" s="640"/>
      <c r="G1369" s="640"/>
      <c r="H1369" s="15" t="s">
        <v>212</v>
      </c>
      <c r="I1369" s="315"/>
      <c r="J1369" s="315"/>
      <c r="K1369" s="315"/>
      <c r="L1369" s="315"/>
      <c r="M1369" s="315"/>
      <c r="N1369" s="315">
        <f>N1370</f>
        <v>226000</v>
      </c>
      <c r="O1369" s="315">
        <f>O1370</f>
        <v>0</v>
      </c>
      <c r="P1369" s="38">
        <f>T1369-N1369</f>
        <v>364000</v>
      </c>
      <c r="Q1369" s="315">
        <f>Q1370</f>
        <v>226000</v>
      </c>
      <c r="R1369" s="315"/>
      <c r="S1369" s="315"/>
      <c r="T1369" s="316">
        <f>T1370</f>
        <v>590000</v>
      </c>
      <c r="U1369" s="316">
        <f>U1370+U1376</f>
        <v>702144.72</v>
      </c>
      <c r="V1369" s="316">
        <f>V1370</f>
        <v>130272</v>
      </c>
      <c r="W1369" s="316" t="e">
        <f>W1370+#REF!</f>
        <v>#REF!</v>
      </c>
      <c r="X1369" s="316" t="e">
        <f>X1370+#REF!</f>
        <v>#REF!</v>
      </c>
      <c r="Y1369" s="316">
        <f>Y1370</f>
        <v>0</v>
      </c>
      <c r="Z1369" s="316">
        <f t="shared" si="869"/>
        <v>0</v>
      </c>
      <c r="AA1369" s="316">
        <f t="shared" si="868"/>
        <v>19728</v>
      </c>
      <c r="AB1369" s="316">
        <f>AB1370</f>
        <v>150000</v>
      </c>
      <c r="AC1369" s="316">
        <f>AC1370</f>
        <v>0</v>
      </c>
      <c r="AD1369" s="316">
        <f t="shared" si="849"/>
        <v>0</v>
      </c>
      <c r="AE1369" s="316">
        <f t="shared" si="858"/>
        <v>149199</v>
      </c>
      <c r="AF1369" s="316">
        <f>AF1370</f>
        <v>299199</v>
      </c>
      <c r="AG1369" s="316">
        <f>AG1370</f>
        <v>544000</v>
      </c>
      <c r="AH1369" s="316">
        <f>AH1370</f>
        <v>418000</v>
      </c>
      <c r="AI1369" s="316">
        <f>AI1370</f>
        <v>400000</v>
      </c>
      <c r="AJ1369" s="162" t="b">
        <f t="shared" si="872"/>
        <v>1</v>
      </c>
      <c r="AK1369" s="162" t="str">
        <f t="shared" si="873"/>
        <v>PRAZNO</v>
      </c>
      <c r="AL1369" s="643"/>
      <c r="AM1369" s="647"/>
    </row>
    <row r="1370" spans="1:39" ht="15.75" x14ac:dyDescent="0.2">
      <c r="B1370" s="177"/>
      <c r="C1370" s="177"/>
      <c r="D1370" s="177">
        <v>422</v>
      </c>
      <c r="E1370" s="177"/>
      <c r="F1370" s="176"/>
      <c r="G1370" s="176"/>
      <c r="H1370" s="16" t="s">
        <v>555</v>
      </c>
      <c r="I1370" s="203"/>
      <c r="J1370" s="203"/>
      <c r="K1370" s="203"/>
      <c r="L1370" s="203"/>
      <c r="M1370" s="203"/>
      <c r="N1370" s="203">
        <f>N1373</f>
        <v>226000</v>
      </c>
      <c r="O1370" s="203">
        <f>O1373</f>
        <v>0</v>
      </c>
      <c r="P1370" s="26">
        <f>T1370-N1370</f>
        <v>364000</v>
      </c>
      <c r="Q1370" s="203">
        <f>Q1373</f>
        <v>226000</v>
      </c>
      <c r="R1370" s="203"/>
      <c r="S1370" s="203"/>
      <c r="T1370" s="204">
        <f t="shared" ref="T1370:Y1370" si="880">SUM(T1371:T1375)</f>
        <v>590000</v>
      </c>
      <c r="U1370" s="204">
        <f t="shared" si="880"/>
        <v>570908.47</v>
      </c>
      <c r="V1370" s="204">
        <f t="shared" si="880"/>
        <v>130272</v>
      </c>
      <c r="W1370" s="204">
        <f t="shared" si="880"/>
        <v>458000</v>
      </c>
      <c r="X1370" s="204">
        <f t="shared" si="880"/>
        <v>488000</v>
      </c>
      <c r="Y1370" s="204">
        <f t="shared" si="880"/>
        <v>0</v>
      </c>
      <c r="Z1370" s="204">
        <f t="shared" si="869"/>
        <v>0</v>
      </c>
      <c r="AA1370" s="204">
        <f t="shared" si="868"/>
        <v>19728</v>
      </c>
      <c r="AB1370" s="204">
        <f>SUM(AB1371:AB1375)</f>
        <v>150000</v>
      </c>
      <c r="AC1370" s="204">
        <f>SUM(AC1371:AC1375)</f>
        <v>0</v>
      </c>
      <c r="AD1370" s="204">
        <f t="shared" si="849"/>
        <v>0</v>
      </c>
      <c r="AE1370" s="204">
        <f t="shared" si="858"/>
        <v>149199</v>
      </c>
      <c r="AF1370" s="204">
        <f>SUM(AF1371:AF1375)</f>
        <v>299199</v>
      </c>
      <c r="AG1370" s="204">
        <f>SUM(AG1371:AG1375)</f>
        <v>544000</v>
      </c>
      <c r="AH1370" s="204">
        <f>SUM(AH1371:AH1375)</f>
        <v>418000</v>
      </c>
      <c r="AI1370" s="204">
        <f>SUM(AI1371:AI1375)</f>
        <v>400000</v>
      </c>
      <c r="AJ1370" s="162" t="b">
        <f t="shared" si="872"/>
        <v>1</v>
      </c>
      <c r="AK1370" s="162" t="str">
        <f t="shared" si="873"/>
        <v>PRAZNO</v>
      </c>
      <c r="AM1370" s="164"/>
    </row>
    <row r="1371" spans="1:39" ht="15.75" x14ac:dyDescent="0.2">
      <c r="B1371" s="177"/>
      <c r="C1371" s="177"/>
      <c r="D1371" s="177"/>
      <c r="E1371" s="177">
        <v>4221</v>
      </c>
      <c r="F1371" s="265">
        <v>11</v>
      </c>
      <c r="G1371" s="176"/>
      <c r="H1371" s="16" t="s">
        <v>499</v>
      </c>
      <c r="I1371" s="203"/>
      <c r="J1371" s="203"/>
      <c r="K1371" s="203"/>
      <c r="L1371" s="203"/>
      <c r="M1371" s="203"/>
      <c r="N1371" s="203">
        <v>0</v>
      </c>
      <c r="O1371" s="203"/>
      <c r="P1371" s="26">
        <f>T1371-N1371</f>
        <v>0</v>
      </c>
      <c r="Q1371" s="203"/>
      <c r="R1371" s="203"/>
      <c r="S1371" s="203"/>
      <c r="T1371" s="204">
        <v>0</v>
      </c>
      <c r="U1371" s="204"/>
      <c r="V1371" s="204">
        <v>0</v>
      </c>
      <c r="W1371" s="204">
        <v>0</v>
      </c>
      <c r="X1371" s="204">
        <v>0</v>
      </c>
      <c r="Y1371" s="204"/>
      <c r="Z1371" s="204" t="e">
        <f t="shared" si="869"/>
        <v>#DIV/0!</v>
      </c>
      <c r="AA1371" s="204">
        <f t="shared" si="868"/>
        <v>0</v>
      </c>
      <c r="AB1371" s="204">
        <v>0</v>
      </c>
      <c r="AC1371" s="204"/>
      <c r="AD1371" s="204"/>
      <c r="AE1371" s="204">
        <f t="shared" si="858"/>
        <v>0</v>
      </c>
      <c r="AF1371" s="204">
        <v>0</v>
      </c>
      <c r="AG1371" s="204">
        <v>0</v>
      </c>
      <c r="AH1371" s="204">
        <v>40000</v>
      </c>
      <c r="AI1371" s="204">
        <v>0</v>
      </c>
      <c r="AJ1371" s="162" t="b">
        <f t="shared" si="872"/>
        <v>0</v>
      </c>
      <c r="AK1371" s="162" t="str">
        <f t="shared" si="873"/>
        <v>PUNO</v>
      </c>
      <c r="AM1371" s="164"/>
    </row>
    <row r="1372" spans="1:39" ht="15.75" x14ac:dyDescent="0.2">
      <c r="B1372" s="177"/>
      <c r="C1372" s="177"/>
      <c r="D1372" s="177"/>
      <c r="E1372" s="177">
        <v>4224</v>
      </c>
      <c r="F1372" s="176">
        <v>11</v>
      </c>
      <c r="G1372" s="176"/>
      <c r="H1372" s="16" t="s">
        <v>638</v>
      </c>
      <c r="I1372" s="203"/>
      <c r="J1372" s="203"/>
      <c r="K1372" s="203"/>
      <c r="L1372" s="203"/>
      <c r="M1372" s="203"/>
      <c r="N1372" s="203"/>
      <c r="O1372" s="203"/>
      <c r="P1372" s="26"/>
      <c r="Q1372" s="203"/>
      <c r="R1372" s="203"/>
      <c r="S1372" s="203"/>
      <c r="T1372" s="204"/>
      <c r="U1372" s="204"/>
      <c r="V1372" s="204"/>
      <c r="W1372" s="204"/>
      <c r="X1372" s="204"/>
      <c r="Y1372" s="204"/>
      <c r="Z1372" s="204"/>
      <c r="AA1372" s="204"/>
      <c r="AB1372" s="204"/>
      <c r="AC1372" s="204"/>
      <c r="AD1372" s="204"/>
      <c r="AE1372" s="204">
        <f t="shared" si="858"/>
        <v>299199</v>
      </c>
      <c r="AF1372" s="204">
        <v>299199</v>
      </c>
      <c r="AG1372" s="204">
        <v>378000</v>
      </c>
      <c r="AH1372" s="204">
        <v>378000</v>
      </c>
      <c r="AI1372" s="204">
        <v>400000</v>
      </c>
      <c r="AJ1372" s="162" t="b">
        <f t="shared" si="872"/>
        <v>0</v>
      </c>
      <c r="AK1372" s="162" t="str">
        <f t="shared" si="873"/>
        <v>PUNO</v>
      </c>
      <c r="AM1372" s="164"/>
    </row>
    <row r="1373" spans="1:39" ht="15.75" x14ac:dyDescent="0.2">
      <c r="B1373" s="177"/>
      <c r="C1373" s="177"/>
      <c r="D1373" s="177"/>
      <c r="E1373" s="177">
        <v>4224</v>
      </c>
      <c r="F1373" s="176">
        <v>14</v>
      </c>
      <c r="G1373" s="176"/>
      <c r="H1373" s="16" t="s">
        <v>638</v>
      </c>
      <c r="I1373" s="203"/>
      <c r="J1373" s="203"/>
      <c r="K1373" s="203"/>
      <c r="L1373" s="203"/>
      <c r="M1373" s="203"/>
      <c r="N1373" s="203">
        <v>226000</v>
      </c>
      <c r="O1373" s="203">
        <v>0</v>
      </c>
      <c r="P1373" s="26">
        <f>T1373-N1373</f>
        <v>262000</v>
      </c>
      <c r="Q1373" s="203">
        <v>226000</v>
      </c>
      <c r="R1373" s="203"/>
      <c r="S1373" s="203"/>
      <c r="T1373" s="204">
        <f>452000+36000</f>
        <v>488000</v>
      </c>
      <c r="U1373" s="204">
        <v>468919</v>
      </c>
      <c r="V1373" s="204">
        <v>130272</v>
      </c>
      <c r="W1373" s="204">
        <f>558000-100000</f>
        <v>458000</v>
      </c>
      <c r="X1373" s="204">
        <f>588000-100000</f>
        <v>488000</v>
      </c>
      <c r="Y1373" s="204">
        <v>0</v>
      </c>
      <c r="Z1373" s="204">
        <f t="shared" si="869"/>
        <v>0</v>
      </c>
      <c r="AA1373" s="204">
        <f t="shared" si="868"/>
        <v>19728</v>
      </c>
      <c r="AB1373" s="204">
        <v>150000</v>
      </c>
      <c r="AC1373" s="204">
        <v>0</v>
      </c>
      <c r="AD1373" s="204">
        <f t="shared" si="849"/>
        <v>0</v>
      </c>
      <c r="AE1373" s="204">
        <f t="shared" si="858"/>
        <v>-150000</v>
      </c>
      <c r="AF1373" s="204">
        <v>0</v>
      </c>
      <c r="AG1373" s="204"/>
      <c r="AH1373" s="204"/>
      <c r="AI1373" s="204"/>
      <c r="AJ1373" s="162" t="b">
        <f t="shared" si="872"/>
        <v>0</v>
      </c>
      <c r="AK1373" s="162" t="str">
        <f t="shared" si="873"/>
        <v>PUNO</v>
      </c>
      <c r="AM1373" s="164"/>
    </row>
    <row r="1374" spans="1:39" ht="15.75" x14ac:dyDescent="0.2">
      <c r="B1374" s="177"/>
      <c r="C1374" s="177"/>
      <c r="D1374" s="177"/>
      <c r="E1374" s="177">
        <v>4227</v>
      </c>
      <c r="F1374" s="176">
        <v>11</v>
      </c>
      <c r="G1374" s="176"/>
      <c r="H1374" s="16" t="s">
        <v>413</v>
      </c>
      <c r="I1374" s="203"/>
      <c r="J1374" s="203"/>
      <c r="K1374" s="203"/>
      <c r="L1374" s="203"/>
      <c r="M1374" s="203"/>
      <c r="N1374" s="203"/>
      <c r="O1374" s="203"/>
      <c r="P1374" s="26"/>
      <c r="Q1374" s="203"/>
      <c r="R1374" s="203"/>
      <c r="S1374" s="203"/>
      <c r="T1374" s="204"/>
      <c r="U1374" s="204"/>
      <c r="V1374" s="204"/>
      <c r="W1374" s="204"/>
      <c r="X1374" s="204"/>
      <c r="Y1374" s="204"/>
      <c r="Z1374" s="204"/>
      <c r="AA1374" s="204"/>
      <c r="AB1374" s="204"/>
      <c r="AC1374" s="204"/>
      <c r="AD1374" s="204"/>
      <c r="AE1374" s="204">
        <f t="shared" si="858"/>
        <v>0</v>
      </c>
      <c r="AF1374" s="204"/>
      <c r="AG1374" s="343">
        <v>166000</v>
      </c>
      <c r="AH1374" s="204"/>
      <c r="AI1374" s="204"/>
      <c r="AJ1374" s="162" t="b">
        <f t="shared" si="872"/>
        <v>0</v>
      </c>
      <c r="AK1374" s="162" t="str">
        <f t="shared" si="873"/>
        <v>PUNO</v>
      </c>
      <c r="AM1374" s="164"/>
    </row>
    <row r="1375" spans="1:39" ht="15.75" x14ac:dyDescent="0.2">
      <c r="B1375" s="177"/>
      <c r="C1375" s="177"/>
      <c r="D1375" s="177"/>
      <c r="E1375" s="177">
        <v>4227</v>
      </c>
      <c r="F1375" s="176">
        <v>14</v>
      </c>
      <c r="G1375" s="176"/>
      <c r="H1375" s="16" t="s">
        <v>413</v>
      </c>
      <c r="I1375" s="203"/>
      <c r="J1375" s="203"/>
      <c r="K1375" s="203"/>
      <c r="L1375" s="203"/>
      <c r="M1375" s="203"/>
      <c r="N1375" s="203">
        <v>0</v>
      </c>
      <c r="O1375" s="203"/>
      <c r="P1375" s="26">
        <f>T1375-N1375</f>
        <v>102000</v>
      </c>
      <c r="Q1375" s="203"/>
      <c r="R1375" s="203"/>
      <c r="S1375" s="203"/>
      <c r="T1375" s="204">
        <v>102000</v>
      </c>
      <c r="U1375" s="204">
        <v>101989.47</v>
      </c>
      <c r="V1375" s="343">
        <v>0</v>
      </c>
      <c r="W1375" s="343">
        <v>0</v>
      </c>
      <c r="X1375" s="343">
        <v>0</v>
      </c>
      <c r="Y1375" s="343"/>
      <c r="Z1375" s="343" t="e">
        <f>ROUND(Y1375/V1375*100,2)</f>
        <v>#DIV/0!</v>
      </c>
      <c r="AA1375" s="343">
        <f>AB1375-V1375</f>
        <v>0</v>
      </c>
      <c r="AB1375" s="343">
        <v>0</v>
      </c>
      <c r="AC1375" s="343"/>
      <c r="AD1375" s="343"/>
      <c r="AE1375" s="204">
        <f t="shared" si="858"/>
        <v>0</v>
      </c>
      <c r="AF1375" s="343">
        <v>0</v>
      </c>
      <c r="AG1375" s="343"/>
      <c r="AH1375" s="343">
        <v>0</v>
      </c>
      <c r="AI1375" s="343">
        <v>0</v>
      </c>
      <c r="AJ1375" s="162" t="b">
        <f t="shared" si="872"/>
        <v>0</v>
      </c>
      <c r="AK1375" s="162" t="str">
        <f t="shared" si="873"/>
        <v>PUNO</v>
      </c>
      <c r="AM1375" s="164"/>
    </row>
    <row r="1376" spans="1:39" ht="15.75" x14ac:dyDescent="0.2">
      <c r="B1376" s="177"/>
      <c r="C1376" s="177"/>
      <c r="D1376" s="177">
        <v>423</v>
      </c>
      <c r="E1376" s="177"/>
      <c r="F1376" s="176"/>
      <c r="G1376" s="176"/>
      <c r="H1376" s="16" t="s">
        <v>223</v>
      </c>
      <c r="I1376" s="203"/>
      <c r="J1376" s="203"/>
      <c r="K1376" s="203"/>
      <c r="L1376" s="203"/>
      <c r="M1376" s="203"/>
      <c r="N1376" s="203"/>
      <c r="O1376" s="203"/>
      <c r="P1376" s="26"/>
      <c r="Q1376" s="203"/>
      <c r="R1376" s="203"/>
      <c r="S1376" s="203"/>
      <c r="T1376" s="204"/>
      <c r="U1376" s="204">
        <f>U1377</f>
        <v>131236.25</v>
      </c>
      <c r="V1376" s="343">
        <f>V1377</f>
        <v>323320</v>
      </c>
      <c r="W1376" s="343"/>
      <c r="X1376" s="343"/>
      <c r="Y1376" s="343"/>
      <c r="Z1376" s="343"/>
      <c r="AA1376" s="343"/>
      <c r="AB1376" s="343"/>
      <c r="AC1376" s="343"/>
      <c r="AD1376" s="343"/>
      <c r="AE1376" s="204">
        <f t="shared" si="858"/>
        <v>0</v>
      </c>
      <c r="AF1376" s="343"/>
      <c r="AG1376" s="343"/>
      <c r="AH1376" s="343"/>
      <c r="AI1376" s="343"/>
      <c r="AJ1376" s="162" t="b">
        <f t="shared" si="872"/>
        <v>1</v>
      </c>
      <c r="AK1376" s="162" t="str">
        <f t="shared" si="873"/>
        <v>PRAZNO</v>
      </c>
      <c r="AM1376" s="164"/>
    </row>
    <row r="1377" spans="1:39" ht="15.75" x14ac:dyDescent="0.2">
      <c r="B1377" s="177"/>
      <c r="C1377" s="177"/>
      <c r="D1377" s="177"/>
      <c r="E1377" s="177">
        <v>4231</v>
      </c>
      <c r="F1377" s="176">
        <v>14</v>
      </c>
      <c r="G1377" s="176"/>
      <c r="H1377" s="16" t="s">
        <v>224</v>
      </c>
      <c r="I1377" s="203"/>
      <c r="J1377" s="203"/>
      <c r="K1377" s="203"/>
      <c r="L1377" s="203"/>
      <c r="M1377" s="203"/>
      <c r="N1377" s="203"/>
      <c r="O1377" s="203"/>
      <c r="P1377" s="26"/>
      <c r="Q1377" s="203"/>
      <c r="R1377" s="203"/>
      <c r="S1377" s="203"/>
      <c r="T1377" s="204"/>
      <c r="U1377" s="204">
        <v>131236.25</v>
      </c>
      <c r="V1377" s="343">
        <v>323320</v>
      </c>
      <c r="W1377" s="343"/>
      <c r="X1377" s="343"/>
      <c r="Y1377" s="343"/>
      <c r="Z1377" s="343"/>
      <c r="AA1377" s="343"/>
      <c r="AB1377" s="343"/>
      <c r="AC1377" s="343"/>
      <c r="AD1377" s="343"/>
      <c r="AE1377" s="204">
        <f t="shared" si="858"/>
        <v>0</v>
      </c>
      <c r="AF1377" s="343"/>
      <c r="AG1377" s="343"/>
      <c r="AH1377" s="343"/>
      <c r="AI1377" s="343"/>
      <c r="AJ1377" s="162" t="b">
        <f t="shared" si="872"/>
        <v>0</v>
      </c>
      <c r="AK1377" s="162" t="str">
        <f t="shared" si="873"/>
        <v>PUNO</v>
      </c>
      <c r="AM1377" s="164"/>
    </row>
    <row r="1378" spans="1:39" s="207" customFormat="1" ht="94.5" x14ac:dyDescent="0.25">
      <c r="A1378" s="378"/>
      <c r="B1378" s="168"/>
      <c r="C1378" s="168"/>
      <c r="D1378" s="168"/>
      <c r="E1378" s="168"/>
      <c r="F1378" s="322"/>
      <c r="G1378" s="322"/>
      <c r="H1378" s="13" t="s">
        <v>247</v>
      </c>
      <c r="I1378" s="302"/>
      <c r="J1378" s="302"/>
      <c r="K1378" s="302"/>
      <c r="L1378" s="302"/>
      <c r="M1378" s="302"/>
      <c r="N1378" s="302"/>
      <c r="O1378" s="302"/>
      <c r="P1378" s="53"/>
      <c r="Q1378" s="302"/>
      <c r="R1378" s="302"/>
      <c r="S1378" s="302"/>
      <c r="T1378" s="303"/>
      <c r="U1378" s="303"/>
      <c r="V1378" s="302">
        <f>V1380</f>
        <v>550000</v>
      </c>
      <c r="W1378" s="302">
        <f>W1380</f>
        <v>550000</v>
      </c>
      <c r="X1378" s="302">
        <f>X1380</f>
        <v>550000</v>
      </c>
      <c r="Y1378" s="302">
        <f>Y1380</f>
        <v>0</v>
      </c>
      <c r="Z1378" s="302">
        <f t="shared" si="869"/>
        <v>0</v>
      </c>
      <c r="AA1378" s="302">
        <f t="shared" si="868"/>
        <v>208125</v>
      </c>
      <c r="AB1378" s="302">
        <f>AB1380</f>
        <v>758125</v>
      </c>
      <c r="AC1378" s="302">
        <f>AC1380</f>
        <v>252843.75</v>
      </c>
      <c r="AD1378" s="302">
        <f t="shared" si="849"/>
        <v>33.351195383347068</v>
      </c>
      <c r="AE1378" s="302">
        <f t="shared" si="858"/>
        <v>-149198</v>
      </c>
      <c r="AF1378" s="302">
        <f>AF1380</f>
        <v>608927</v>
      </c>
      <c r="AG1378" s="302">
        <f>AG1380</f>
        <v>1327000</v>
      </c>
      <c r="AH1378" s="302">
        <f>AH1380</f>
        <v>250000</v>
      </c>
      <c r="AI1378" s="302">
        <f>AI1380</f>
        <v>30000</v>
      </c>
      <c r="AJ1378" s="162" t="b">
        <f t="shared" si="872"/>
        <v>1</v>
      </c>
      <c r="AK1378" s="162" t="str">
        <f t="shared" si="873"/>
        <v>PRAZNO</v>
      </c>
      <c r="AL1378" s="206"/>
    </row>
    <row r="1379" spans="1:39" s="447" customFormat="1" ht="15.75" x14ac:dyDescent="0.25">
      <c r="A1379" s="378"/>
      <c r="B1379" s="260"/>
      <c r="C1379" s="260"/>
      <c r="D1379" s="260"/>
      <c r="E1379" s="260"/>
      <c r="F1379" s="442"/>
      <c r="G1379" s="442"/>
      <c r="H1379" s="440" t="s">
        <v>824</v>
      </c>
      <c r="I1379" s="406"/>
      <c r="J1379" s="406"/>
      <c r="K1379" s="406"/>
      <c r="L1379" s="406"/>
      <c r="M1379" s="406"/>
      <c r="N1379" s="406"/>
      <c r="O1379" s="406"/>
      <c r="P1379" s="342"/>
      <c r="Q1379" s="406"/>
      <c r="R1379" s="406"/>
      <c r="S1379" s="406"/>
      <c r="T1379" s="445"/>
      <c r="U1379" s="445"/>
      <c r="V1379" s="406">
        <f>V1380</f>
        <v>550000</v>
      </c>
      <c r="W1379" s="406">
        <f t="shared" ref="W1379:X1381" si="881">W1380</f>
        <v>550000</v>
      </c>
      <c r="X1379" s="406">
        <f>X1380</f>
        <v>550000</v>
      </c>
      <c r="Y1379" s="406">
        <f>Y1380</f>
        <v>0</v>
      </c>
      <c r="Z1379" s="406">
        <f t="shared" si="869"/>
        <v>0</v>
      </c>
      <c r="AA1379" s="406">
        <f t="shared" si="868"/>
        <v>208125</v>
      </c>
      <c r="AB1379" s="406">
        <f t="shared" ref="AB1379:AI1381" si="882">AB1380</f>
        <v>758125</v>
      </c>
      <c r="AC1379" s="406">
        <f t="shared" si="882"/>
        <v>252843.75</v>
      </c>
      <c r="AD1379" s="406">
        <f t="shared" si="849"/>
        <v>33.351195383347068</v>
      </c>
      <c r="AE1379" s="406">
        <f t="shared" si="858"/>
        <v>-149198</v>
      </c>
      <c r="AF1379" s="406">
        <f t="shared" si="882"/>
        <v>608927</v>
      </c>
      <c r="AG1379" s="406">
        <f t="shared" si="882"/>
        <v>1327000</v>
      </c>
      <c r="AH1379" s="406">
        <f t="shared" si="882"/>
        <v>250000</v>
      </c>
      <c r="AI1379" s="406">
        <f t="shared" si="882"/>
        <v>30000</v>
      </c>
      <c r="AJ1379" s="162" t="b">
        <f t="shared" si="872"/>
        <v>1</v>
      </c>
      <c r="AK1379" s="162" t="str">
        <f t="shared" si="873"/>
        <v>PRAZNO</v>
      </c>
      <c r="AL1379" s="446"/>
    </row>
    <row r="1380" spans="1:39" s="174" customFormat="1" ht="15.75" x14ac:dyDescent="0.2">
      <c r="A1380" s="259"/>
      <c r="B1380" s="172">
        <v>4</v>
      </c>
      <c r="C1380" s="172"/>
      <c r="D1380" s="172"/>
      <c r="E1380" s="172"/>
      <c r="F1380" s="220"/>
      <c r="G1380" s="220"/>
      <c r="H1380" s="14" t="s">
        <v>552</v>
      </c>
      <c r="I1380" s="37"/>
      <c r="J1380" s="37"/>
      <c r="K1380" s="37"/>
      <c r="L1380" s="37"/>
      <c r="M1380" s="37"/>
      <c r="N1380" s="37"/>
      <c r="O1380" s="37"/>
      <c r="P1380" s="55"/>
      <c r="Q1380" s="37"/>
      <c r="R1380" s="37"/>
      <c r="S1380" s="37"/>
      <c r="T1380" s="54"/>
      <c r="U1380" s="54"/>
      <c r="V1380" s="37">
        <f>V1381</f>
        <v>550000</v>
      </c>
      <c r="W1380" s="37">
        <f t="shared" si="881"/>
        <v>550000</v>
      </c>
      <c r="X1380" s="37">
        <f t="shared" si="881"/>
        <v>550000</v>
      </c>
      <c r="Y1380" s="37">
        <f>Y1381</f>
        <v>0</v>
      </c>
      <c r="Z1380" s="37">
        <f t="shared" si="869"/>
        <v>0</v>
      </c>
      <c r="AA1380" s="37">
        <f t="shared" si="868"/>
        <v>208125</v>
      </c>
      <c r="AB1380" s="37">
        <f t="shared" si="882"/>
        <v>758125</v>
      </c>
      <c r="AC1380" s="37">
        <f t="shared" si="882"/>
        <v>252843.75</v>
      </c>
      <c r="AD1380" s="37">
        <f t="shared" si="849"/>
        <v>33.351195383347068</v>
      </c>
      <c r="AE1380" s="37">
        <f t="shared" si="858"/>
        <v>-149198</v>
      </c>
      <c r="AF1380" s="37">
        <f t="shared" si="882"/>
        <v>608927</v>
      </c>
      <c r="AG1380" s="37">
        <f t="shared" si="882"/>
        <v>1327000</v>
      </c>
      <c r="AH1380" s="37">
        <f t="shared" si="882"/>
        <v>250000</v>
      </c>
      <c r="AI1380" s="37">
        <f t="shared" si="882"/>
        <v>30000</v>
      </c>
      <c r="AJ1380" s="162" t="b">
        <f t="shared" si="872"/>
        <v>1</v>
      </c>
      <c r="AK1380" s="162" t="str">
        <f t="shared" si="873"/>
        <v>PRAZNO</v>
      </c>
      <c r="AL1380" s="173"/>
    </row>
    <row r="1381" spans="1:39" s="644" customFormat="1" ht="28.5" customHeight="1" x14ac:dyDescent="0.2">
      <c r="A1381" s="633"/>
      <c r="B1381" s="175"/>
      <c r="C1381" s="175">
        <v>45</v>
      </c>
      <c r="D1381" s="175"/>
      <c r="E1381" s="175"/>
      <c r="F1381" s="640"/>
      <c r="G1381" s="640"/>
      <c r="H1381" s="15" t="s">
        <v>808</v>
      </c>
      <c r="I1381" s="315"/>
      <c r="J1381" s="315"/>
      <c r="K1381" s="315"/>
      <c r="L1381" s="315"/>
      <c r="M1381" s="315"/>
      <c r="N1381" s="315"/>
      <c r="O1381" s="315"/>
      <c r="P1381" s="38"/>
      <c r="Q1381" s="315"/>
      <c r="R1381" s="315"/>
      <c r="S1381" s="315"/>
      <c r="T1381" s="316"/>
      <c r="U1381" s="316"/>
      <c r="V1381" s="315">
        <f>V1382</f>
        <v>550000</v>
      </c>
      <c r="W1381" s="315">
        <f t="shared" si="881"/>
        <v>550000</v>
      </c>
      <c r="X1381" s="315">
        <f t="shared" si="881"/>
        <v>550000</v>
      </c>
      <c r="Y1381" s="315">
        <f>Y1382</f>
        <v>0</v>
      </c>
      <c r="Z1381" s="315">
        <f t="shared" si="869"/>
        <v>0</v>
      </c>
      <c r="AA1381" s="315">
        <f t="shared" si="868"/>
        <v>208125</v>
      </c>
      <c r="AB1381" s="315">
        <f t="shared" si="882"/>
        <v>758125</v>
      </c>
      <c r="AC1381" s="315">
        <f t="shared" si="882"/>
        <v>252843.75</v>
      </c>
      <c r="AD1381" s="315">
        <f t="shared" si="849"/>
        <v>33.351195383347068</v>
      </c>
      <c r="AE1381" s="315">
        <f t="shared" si="858"/>
        <v>-149198</v>
      </c>
      <c r="AF1381" s="315">
        <f t="shared" si="882"/>
        <v>608927</v>
      </c>
      <c r="AG1381" s="315">
        <f t="shared" si="882"/>
        <v>1327000</v>
      </c>
      <c r="AH1381" s="315">
        <f t="shared" si="882"/>
        <v>250000</v>
      </c>
      <c r="AI1381" s="315">
        <f t="shared" si="882"/>
        <v>30000</v>
      </c>
      <c r="AJ1381" s="162" t="b">
        <f t="shared" si="872"/>
        <v>1</v>
      </c>
      <c r="AK1381" s="162" t="str">
        <f t="shared" si="873"/>
        <v>PRAZNO</v>
      </c>
      <c r="AL1381" s="643"/>
      <c r="AM1381" s="647"/>
    </row>
    <row r="1382" spans="1:39" ht="15.75" x14ac:dyDescent="0.2">
      <c r="B1382" s="177"/>
      <c r="C1382" s="177"/>
      <c r="D1382" s="177">
        <v>451</v>
      </c>
      <c r="E1382" s="177"/>
      <c r="F1382" s="176"/>
      <c r="G1382" s="176"/>
      <c r="H1382" s="16" t="s">
        <v>809</v>
      </c>
      <c r="I1382" s="203"/>
      <c r="J1382" s="203"/>
      <c r="K1382" s="203"/>
      <c r="L1382" s="203"/>
      <c r="M1382" s="203"/>
      <c r="N1382" s="203"/>
      <c r="O1382" s="203"/>
      <c r="P1382" s="26"/>
      <c r="Q1382" s="203"/>
      <c r="R1382" s="203"/>
      <c r="S1382" s="203"/>
      <c r="T1382" s="204"/>
      <c r="U1382" s="204"/>
      <c r="V1382" s="203">
        <f>V1384</f>
        <v>550000</v>
      </c>
      <c r="W1382" s="203">
        <f>W1384</f>
        <v>550000</v>
      </c>
      <c r="X1382" s="203">
        <f>X1384</f>
        <v>550000</v>
      </c>
      <c r="Y1382" s="203">
        <f>Y1384</f>
        <v>0</v>
      </c>
      <c r="Z1382" s="203">
        <f t="shared" si="869"/>
        <v>0</v>
      </c>
      <c r="AA1382" s="203">
        <f t="shared" si="868"/>
        <v>208125</v>
      </c>
      <c r="AB1382" s="203">
        <f>AB1384</f>
        <v>758125</v>
      </c>
      <c r="AC1382" s="203">
        <f>AC1384</f>
        <v>252843.75</v>
      </c>
      <c r="AD1382" s="203">
        <f t="shared" si="849"/>
        <v>33.351195383347068</v>
      </c>
      <c r="AE1382" s="203">
        <f t="shared" si="858"/>
        <v>-149198</v>
      </c>
      <c r="AF1382" s="203">
        <f>AF1384</f>
        <v>608927</v>
      </c>
      <c r="AG1382" s="203">
        <f>AG1383</f>
        <v>1327000</v>
      </c>
      <c r="AH1382" s="203">
        <f>AH1383</f>
        <v>250000</v>
      </c>
      <c r="AI1382" s="203">
        <f>AI1383</f>
        <v>30000</v>
      </c>
      <c r="AJ1382" s="162" t="b">
        <f t="shared" si="872"/>
        <v>1</v>
      </c>
      <c r="AK1382" s="162" t="str">
        <f t="shared" si="873"/>
        <v>PRAZNO</v>
      </c>
      <c r="AM1382" s="164"/>
    </row>
    <row r="1383" spans="1:39" ht="15.75" x14ac:dyDescent="0.2">
      <c r="B1383" s="177"/>
      <c r="C1383" s="177"/>
      <c r="D1383" s="177"/>
      <c r="E1383" s="177">
        <v>4511</v>
      </c>
      <c r="F1383" s="176">
        <v>11</v>
      </c>
      <c r="G1383" s="176"/>
      <c r="H1383" s="16" t="s">
        <v>809</v>
      </c>
      <c r="I1383" s="203"/>
      <c r="J1383" s="203"/>
      <c r="K1383" s="203"/>
      <c r="L1383" s="203"/>
      <c r="M1383" s="203"/>
      <c r="N1383" s="203"/>
      <c r="O1383" s="203"/>
      <c r="P1383" s="26"/>
      <c r="Q1383" s="203"/>
      <c r="R1383" s="203"/>
      <c r="S1383" s="203"/>
      <c r="T1383" s="204"/>
      <c r="U1383" s="204"/>
      <c r="V1383" s="203"/>
      <c r="W1383" s="203"/>
      <c r="X1383" s="203"/>
      <c r="Y1383" s="203"/>
      <c r="Z1383" s="203"/>
      <c r="AA1383" s="203"/>
      <c r="AB1383" s="203"/>
      <c r="AC1383" s="203"/>
      <c r="AD1383" s="203"/>
      <c r="AE1383" s="203"/>
      <c r="AF1383" s="203"/>
      <c r="AG1383" s="203">
        <v>1327000</v>
      </c>
      <c r="AH1383" s="203">
        <v>250000</v>
      </c>
      <c r="AI1383" s="203">
        <v>30000</v>
      </c>
      <c r="AJ1383" s="162" t="b">
        <f t="shared" si="872"/>
        <v>0</v>
      </c>
      <c r="AK1383" s="162" t="str">
        <f t="shared" si="873"/>
        <v>PUNO</v>
      </c>
      <c r="AM1383" s="164"/>
    </row>
    <row r="1384" spans="1:39" ht="15.75" x14ac:dyDescent="0.2">
      <c r="B1384" s="177"/>
      <c r="C1384" s="177"/>
      <c r="D1384" s="177"/>
      <c r="E1384" s="177">
        <v>4511</v>
      </c>
      <c r="F1384" s="176">
        <v>14</v>
      </c>
      <c r="G1384" s="176"/>
      <c r="H1384" s="16" t="s">
        <v>809</v>
      </c>
      <c r="I1384" s="203"/>
      <c r="J1384" s="203"/>
      <c r="K1384" s="203"/>
      <c r="L1384" s="203"/>
      <c r="M1384" s="203"/>
      <c r="N1384" s="203"/>
      <c r="O1384" s="203"/>
      <c r="P1384" s="26"/>
      <c r="Q1384" s="203"/>
      <c r="R1384" s="203"/>
      <c r="S1384" s="203"/>
      <c r="T1384" s="204"/>
      <c r="U1384" s="204"/>
      <c r="V1384" s="203">
        <v>550000</v>
      </c>
      <c r="W1384" s="203">
        <v>550000</v>
      </c>
      <c r="X1384" s="203">
        <v>550000</v>
      </c>
      <c r="Y1384" s="203">
        <v>0</v>
      </c>
      <c r="Z1384" s="203">
        <f t="shared" si="869"/>
        <v>0</v>
      </c>
      <c r="AA1384" s="203">
        <f t="shared" si="868"/>
        <v>208125</v>
      </c>
      <c r="AB1384" s="203">
        <v>758125</v>
      </c>
      <c r="AC1384" s="203">
        <v>252843.75</v>
      </c>
      <c r="AD1384" s="203">
        <f t="shared" si="849"/>
        <v>33.351195383347068</v>
      </c>
      <c r="AE1384" s="203">
        <f t="shared" si="858"/>
        <v>-149198</v>
      </c>
      <c r="AF1384" s="203">
        <f>608926+1</f>
        <v>608927</v>
      </c>
      <c r="AG1384" s="203"/>
      <c r="AH1384" s="203"/>
      <c r="AI1384" s="203"/>
      <c r="AJ1384" s="162" t="b">
        <f t="shared" si="872"/>
        <v>0</v>
      </c>
      <c r="AK1384" s="162" t="str">
        <f t="shared" si="873"/>
        <v>PUNO</v>
      </c>
      <c r="AM1384" s="164"/>
    </row>
    <row r="1385" spans="1:39" s="171" customFormat="1" ht="35.25" customHeight="1" x14ac:dyDescent="0.2">
      <c r="A1385" s="259"/>
      <c r="B1385" s="168"/>
      <c r="C1385" s="168"/>
      <c r="D1385" s="168"/>
      <c r="E1385" s="168"/>
      <c r="F1385" s="168"/>
      <c r="G1385" s="168"/>
      <c r="H1385" s="35" t="s">
        <v>434</v>
      </c>
      <c r="I1385" s="169">
        <f>I1387</f>
        <v>59000</v>
      </c>
      <c r="J1385" s="169">
        <f>J1387</f>
        <v>5331.13</v>
      </c>
      <c r="K1385" s="169">
        <f>ROUND(J1385/I1385*100,2)</f>
        <v>9.0399999999999991</v>
      </c>
      <c r="L1385" s="169">
        <f>M1385-I1385</f>
        <v>-1337.3499999999985</v>
      </c>
      <c r="M1385" s="19">
        <f>M1387</f>
        <v>57662.65</v>
      </c>
      <c r="N1385" s="19">
        <f>N1387</f>
        <v>59000</v>
      </c>
      <c r="O1385" s="19">
        <f>O1387</f>
        <v>17686.650000000001</v>
      </c>
      <c r="P1385" s="303">
        <f>T1385-N1385</f>
        <v>9500</v>
      </c>
      <c r="Q1385" s="19">
        <f t="shared" ref="Q1385:X1385" si="883">Q1387</f>
        <v>59000</v>
      </c>
      <c r="R1385" s="19">
        <f t="shared" si="883"/>
        <v>59000</v>
      </c>
      <c r="S1385" s="19">
        <f t="shared" si="883"/>
        <v>60000</v>
      </c>
      <c r="T1385" s="53">
        <f t="shared" si="883"/>
        <v>68500</v>
      </c>
      <c r="U1385" s="53">
        <f>U1387</f>
        <v>51212.909999999996</v>
      </c>
      <c r="V1385" s="19">
        <f t="shared" si="883"/>
        <v>68500</v>
      </c>
      <c r="W1385" s="19">
        <f t="shared" si="883"/>
        <v>68500</v>
      </c>
      <c r="X1385" s="19">
        <f t="shared" si="883"/>
        <v>71000</v>
      </c>
      <c r="Y1385" s="19">
        <f>Y1387</f>
        <v>20477.75</v>
      </c>
      <c r="Z1385" s="19">
        <f t="shared" si="869"/>
        <v>29.89</v>
      </c>
      <c r="AA1385" s="19">
        <f t="shared" si="868"/>
        <v>0</v>
      </c>
      <c r="AB1385" s="19">
        <f>AB1387</f>
        <v>68500</v>
      </c>
      <c r="AC1385" s="19">
        <f>AC1387</f>
        <v>27767.75</v>
      </c>
      <c r="AD1385" s="19">
        <f t="shared" ref="AD1385:AD1494" si="884">AC1385/AB1385*100</f>
        <v>40.536861313868613</v>
      </c>
      <c r="AE1385" s="19">
        <f t="shared" si="858"/>
        <v>0</v>
      </c>
      <c r="AF1385" s="19">
        <f>AF1387</f>
        <v>68500</v>
      </c>
      <c r="AG1385" s="19">
        <f>AG1387</f>
        <v>70000</v>
      </c>
      <c r="AH1385" s="19">
        <f>AH1387</f>
        <v>104500</v>
      </c>
      <c r="AI1385" s="19">
        <f>AI1387</f>
        <v>117000</v>
      </c>
      <c r="AJ1385" s="162" t="b">
        <f t="shared" si="872"/>
        <v>1</v>
      </c>
      <c r="AK1385" s="162" t="str">
        <f t="shared" si="873"/>
        <v>PRAZNO</v>
      </c>
      <c r="AL1385" s="170"/>
      <c r="AM1385" s="164"/>
    </row>
    <row r="1386" spans="1:39" s="264" customFormat="1" ht="17.25" customHeight="1" x14ac:dyDescent="0.2">
      <c r="A1386" s="259"/>
      <c r="B1386" s="260"/>
      <c r="C1386" s="260"/>
      <c r="D1386" s="260"/>
      <c r="E1386" s="260"/>
      <c r="F1386" s="260"/>
      <c r="G1386" s="260"/>
      <c r="H1386" s="473" t="s">
        <v>824</v>
      </c>
      <c r="I1386" s="181"/>
      <c r="J1386" s="181"/>
      <c r="K1386" s="181"/>
      <c r="L1386" s="181"/>
      <c r="M1386" s="262"/>
      <c r="N1386" s="262"/>
      <c r="O1386" s="262"/>
      <c r="P1386" s="445"/>
      <c r="Q1386" s="262"/>
      <c r="R1386" s="262"/>
      <c r="S1386" s="262"/>
      <c r="T1386" s="342"/>
      <c r="U1386" s="342"/>
      <c r="V1386" s="262">
        <f>V1387</f>
        <v>68500</v>
      </c>
      <c r="W1386" s="262">
        <f>W1387</f>
        <v>68500</v>
      </c>
      <c r="X1386" s="262">
        <f>X1387</f>
        <v>71000</v>
      </c>
      <c r="Y1386" s="262">
        <f>Y1387</f>
        <v>20477.75</v>
      </c>
      <c r="Z1386" s="262">
        <f t="shared" si="869"/>
        <v>29.89</v>
      </c>
      <c r="AA1386" s="262">
        <f t="shared" si="868"/>
        <v>0</v>
      </c>
      <c r="AB1386" s="262">
        <f>AB1387</f>
        <v>68500</v>
      </c>
      <c r="AC1386" s="262">
        <f>AC1387</f>
        <v>27767.75</v>
      </c>
      <c r="AD1386" s="262">
        <f t="shared" si="884"/>
        <v>40.536861313868613</v>
      </c>
      <c r="AE1386" s="262">
        <f t="shared" si="858"/>
        <v>0</v>
      </c>
      <c r="AF1386" s="262">
        <f>AF1387</f>
        <v>68500</v>
      </c>
      <c r="AG1386" s="262">
        <f>AG1387</f>
        <v>70000</v>
      </c>
      <c r="AH1386" s="262">
        <f>AH1387</f>
        <v>104500</v>
      </c>
      <c r="AI1386" s="262">
        <f>AI1387</f>
        <v>117000</v>
      </c>
      <c r="AJ1386" s="162" t="b">
        <f t="shared" si="872"/>
        <v>1</v>
      </c>
      <c r="AK1386" s="162" t="str">
        <f t="shared" si="873"/>
        <v>PRAZNO</v>
      </c>
      <c r="AL1386" s="263"/>
    </row>
    <row r="1387" spans="1:39" s="174" customFormat="1" ht="15.75" x14ac:dyDescent="0.2">
      <c r="A1387" s="259"/>
      <c r="B1387" s="172">
        <v>3</v>
      </c>
      <c r="C1387" s="172"/>
      <c r="D1387" s="172"/>
      <c r="E1387" s="172"/>
      <c r="F1387" s="172"/>
      <c r="G1387" s="172"/>
      <c r="H1387" s="36" t="s">
        <v>524</v>
      </c>
      <c r="I1387" s="37">
        <f t="shared" ref="I1387:AI1387" si="885">I1388</f>
        <v>59000</v>
      </c>
      <c r="J1387" s="37">
        <f t="shared" si="885"/>
        <v>5331.13</v>
      </c>
      <c r="K1387" s="37">
        <f>ROUND(J1387/I1387*100,2)</f>
        <v>9.0399999999999991</v>
      </c>
      <c r="L1387" s="37">
        <f>M1387-I1387</f>
        <v>-1337.3499999999985</v>
      </c>
      <c r="M1387" s="37">
        <f t="shared" si="885"/>
        <v>57662.65</v>
      </c>
      <c r="N1387" s="37">
        <f t="shared" si="885"/>
        <v>59000</v>
      </c>
      <c r="O1387" s="37">
        <f t="shared" si="885"/>
        <v>17686.650000000001</v>
      </c>
      <c r="P1387" s="55">
        <f>T1387-N1387</f>
        <v>9500</v>
      </c>
      <c r="Q1387" s="37">
        <f t="shared" si="885"/>
        <v>59000</v>
      </c>
      <c r="R1387" s="37">
        <f t="shared" si="885"/>
        <v>59000</v>
      </c>
      <c r="S1387" s="37">
        <f t="shared" si="885"/>
        <v>60000</v>
      </c>
      <c r="T1387" s="54">
        <f t="shared" si="885"/>
        <v>68500</v>
      </c>
      <c r="U1387" s="54">
        <f t="shared" si="885"/>
        <v>51212.909999999996</v>
      </c>
      <c r="V1387" s="37">
        <f t="shared" si="885"/>
        <v>68500</v>
      </c>
      <c r="W1387" s="37">
        <f t="shared" si="885"/>
        <v>68500</v>
      </c>
      <c r="X1387" s="37">
        <f t="shared" si="885"/>
        <v>71000</v>
      </c>
      <c r="Y1387" s="37">
        <f t="shared" si="885"/>
        <v>20477.75</v>
      </c>
      <c r="Z1387" s="37">
        <f t="shared" si="869"/>
        <v>29.89</v>
      </c>
      <c r="AA1387" s="37">
        <f t="shared" si="868"/>
        <v>0</v>
      </c>
      <c r="AB1387" s="37">
        <f t="shared" si="885"/>
        <v>68500</v>
      </c>
      <c r="AC1387" s="37">
        <f t="shared" si="885"/>
        <v>27767.75</v>
      </c>
      <c r="AD1387" s="37">
        <f t="shared" si="884"/>
        <v>40.536861313868613</v>
      </c>
      <c r="AE1387" s="37">
        <f t="shared" si="858"/>
        <v>0</v>
      </c>
      <c r="AF1387" s="37">
        <f t="shared" si="885"/>
        <v>68500</v>
      </c>
      <c r="AG1387" s="37">
        <f t="shared" si="885"/>
        <v>70000</v>
      </c>
      <c r="AH1387" s="37">
        <f t="shared" si="885"/>
        <v>104500</v>
      </c>
      <c r="AI1387" s="37">
        <f t="shared" si="885"/>
        <v>117000</v>
      </c>
      <c r="AJ1387" s="162" t="b">
        <f t="shared" si="872"/>
        <v>1</v>
      </c>
      <c r="AK1387" s="162" t="str">
        <f t="shared" si="873"/>
        <v>PRAZNO</v>
      </c>
      <c r="AL1387" s="173"/>
      <c r="AM1387" s="164"/>
    </row>
    <row r="1388" spans="1:39" s="644" customFormat="1" ht="15.75" x14ac:dyDescent="0.2">
      <c r="A1388" s="633"/>
      <c r="B1388" s="175"/>
      <c r="C1388" s="175">
        <v>32</v>
      </c>
      <c r="D1388" s="175"/>
      <c r="E1388" s="175"/>
      <c r="F1388" s="175"/>
      <c r="G1388" s="175"/>
      <c r="H1388" s="15" t="s">
        <v>525</v>
      </c>
      <c r="I1388" s="315">
        <f>I1392+I1402+I1389+I1399</f>
        <v>59000</v>
      </c>
      <c r="J1388" s="315">
        <f>J1392+J1402+J1389+J1399</f>
        <v>5331.13</v>
      </c>
      <c r="K1388" s="315">
        <f>ROUND(J1388/I1388*100,2)</f>
        <v>9.0399999999999991</v>
      </c>
      <c r="L1388" s="315">
        <f>M1388-I1388</f>
        <v>-1337.3499999999985</v>
      </c>
      <c r="M1388" s="315">
        <f>M1392+M1402+M1389+M1399</f>
        <v>57662.65</v>
      </c>
      <c r="N1388" s="315">
        <f>N1392+N1402+N1389+N1399</f>
        <v>59000</v>
      </c>
      <c r="O1388" s="315">
        <f>O1392+O1402+O1389+O1399</f>
        <v>17686.650000000001</v>
      </c>
      <c r="P1388" s="38">
        <f>T1388-N1388</f>
        <v>9500</v>
      </c>
      <c r="Q1388" s="315">
        <f t="shared" ref="Q1388:X1388" si="886">Q1392+Q1402+Q1389+Q1399</f>
        <v>59000</v>
      </c>
      <c r="R1388" s="315">
        <f t="shared" si="886"/>
        <v>59000</v>
      </c>
      <c r="S1388" s="315">
        <f t="shared" si="886"/>
        <v>60000</v>
      </c>
      <c r="T1388" s="316">
        <f t="shared" si="886"/>
        <v>68500</v>
      </c>
      <c r="U1388" s="316">
        <f>U1392+U1402+U1389+U1399</f>
        <v>51212.909999999996</v>
      </c>
      <c r="V1388" s="315">
        <f t="shared" si="886"/>
        <v>68500</v>
      </c>
      <c r="W1388" s="315">
        <f t="shared" si="886"/>
        <v>68500</v>
      </c>
      <c r="X1388" s="315">
        <f t="shared" si="886"/>
        <v>71000</v>
      </c>
      <c r="Y1388" s="315">
        <f>Y1392+Y1402+Y1389+Y1399</f>
        <v>20477.75</v>
      </c>
      <c r="Z1388" s="315">
        <f t="shared" si="869"/>
        <v>29.89</v>
      </c>
      <c r="AA1388" s="315">
        <f t="shared" si="868"/>
        <v>0</v>
      </c>
      <c r="AB1388" s="315">
        <f>AB1392+AB1402+AB1389+AB1399</f>
        <v>68500</v>
      </c>
      <c r="AC1388" s="315">
        <f>AC1392+AC1402+AC1389+AC1399</f>
        <v>27767.75</v>
      </c>
      <c r="AD1388" s="315">
        <f t="shared" si="884"/>
        <v>40.536861313868613</v>
      </c>
      <c r="AE1388" s="315">
        <f t="shared" si="858"/>
        <v>0</v>
      </c>
      <c r="AF1388" s="315">
        <f>AF1392+AF1402+AF1389+AF1399</f>
        <v>68500</v>
      </c>
      <c r="AG1388" s="315">
        <f>AG1392+AG1402+AG1389+AG1399</f>
        <v>70000</v>
      </c>
      <c r="AH1388" s="315">
        <f>AH1392+AH1402+AH1389+AH1399</f>
        <v>104500</v>
      </c>
      <c r="AI1388" s="315">
        <f>AI1392+AI1402+AI1389+AI1399</f>
        <v>117000</v>
      </c>
      <c r="AJ1388" s="162" t="b">
        <f t="shared" si="872"/>
        <v>1</v>
      </c>
      <c r="AK1388" s="162" t="str">
        <f t="shared" si="873"/>
        <v>PRAZNO</v>
      </c>
      <c r="AL1388" s="643"/>
      <c r="AM1388" s="647"/>
    </row>
    <row r="1389" spans="1:39" ht="15.75" x14ac:dyDescent="0.2">
      <c r="B1389" s="177"/>
      <c r="C1389" s="177"/>
      <c r="D1389" s="177">
        <v>322</v>
      </c>
      <c r="E1389" s="177"/>
      <c r="F1389" s="177"/>
      <c r="G1389" s="177"/>
      <c r="H1389" s="16" t="s">
        <v>547</v>
      </c>
      <c r="I1389" s="203">
        <f>I1391</f>
        <v>4000</v>
      </c>
      <c r="J1389" s="203">
        <f>J1391</f>
        <v>889.04</v>
      </c>
      <c r="K1389" s="203">
        <f>ROUND(J1389/I1389*100,2)</f>
        <v>22.23</v>
      </c>
      <c r="L1389" s="203">
        <f>M1389-I1389</f>
        <v>-368.30999999999995</v>
      </c>
      <c r="M1389" s="203">
        <f>M1391</f>
        <v>3631.69</v>
      </c>
      <c r="N1389" s="203">
        <f>N1391</f>
        <v>4000</v>
      </c>
      <c r="O1389" s="203">
        <f>O1391</f>
        <v>649.45000000000005</v>
      </c>
      <c r="P1389" s="26">
        <f>T1389-N1389</f>
        <v>-2500</v>
      </c>
      <c r="Q1389" s="203">
        <f t="shared" ref="Q1389:AF1389" si="887">Q1391</f>
        <v>4000</v>
      </c>
      <c r="R1389" s="203">
        <f t="shared" si="887"/>
        <v>3500</v>
      </c>
      <c r="S1389" s="203">
        <f t="shared" si="887"/>
        <v>4000</v>
      </c>
      <c r="T1389" s="204">
        <f t="shared" si="887"/>
        <v>1500</v>
      </c>
      <c r="U1389" s="204">
        <f t="shared" si="887"/>
        <v>649.45000000000005</v>
      </c>
      <c r="V1389" s="203">
        <f t="shared" si="887"/>
        <v>3000</v>
      </c>
      <c r="W1389" s="203">
        <f t="shared" si="887"/>
        <v>3000</v>
      </c>
      <c r="X1389" s="203">
        <f t="shared" si="887"/>
        <v>3000</v>
      </c>
      <c r="Y1389" s="203">
        <f t="shared" si="887"/>
        <v>0</v>
      </c>
      <c r="Z1389" s="203">
        <f t="shared" si="869"/>
        <v>0</v>
      </c>
      <c r="AA1389" s="203">
        <f t="shared" si="868"/>
        <v>0</v>
      </c>
      <c r="AB1389" s="203">
        <f t="shared" si="887"/>
        <v>3000</v>
      </c>
      <c r="AC1389" s="203">
        <f t="shared" si="887"/>
        <v>0</v>
      </c>
      <c r="AD1389" s="203">
        <f t="shared" si="884"/>
        <v>0</v>
      </c>
      <c r="AE1389" s="203">
        <f t="shared" si="858"/>
        <v>0</v>
      </c>
      <c r="AF1389" s="203">
        <f t="shared" si="887"/>
        <v>3000</v>
      </c>
      <c r="AG1389" s="203">
        <f>AG1390</f>
        <v>4000</v>
      </c>
      <c r="AH1389" s="203">
        <f>AH1390</f>
        <v>20000</v>
      </c>
      <c r="AI1389" s="203">
        <f>AI1390</f>
        <v>25000</v>
      </c>
      <c r="AJ1389" s="162" t="b">
        <f t="shared" si="872"/>
        <v>1</v>
      </c>
      <c r="AK1389" s="162" t="str">
        <f t="shared" si="873"/>
        <v>PRAZNO</v>
      </c>
      <c r="AM1389" s="164"/>
    </row>
    <row r="1390" spans="1:39" ht="15.75" x14ac:dyDescent="0.2">
      <c r="B1390" s="177"/>
      <c r="C1390" s="177"/>
      <c r="D1390" s="177"/>
      <c r="E1390" s="177">
        <v>3221</v>
      </c>
      <c r="F1390" s="176">
        <v>11</v>
      </c>
      <c r="G1390" s="177"/>
      <c r="H1390" s="16" t="s">
        <v>548</v>
      </c>
      <c r="I1390" s="203"/>
      <c r="J1390" s="203"/>
      <c r="K1390" s="203"/>
      <c r="L1390" s="203"/>
      <c r="M1390" s="203"/>
      <c r="N1390" s="203"/>
      <c r="O1390" s="203"/>
      <c r="P1390" s="26"/>
      <c r="Q1390" s="203"/>
      <c r="R1390" s="203"/>
      <c r="S1390" s="203"/>
      <c r="T1390" s="204"/>
      <c r="U1390" s="204"/>
      <c r="V1390" s="203"/>
      <c r="W1390" s="203"/>
      <c r="X1390" s="203"/>
      <c r="Y1390" s="203"/>
      <c r="Z1390" s="203"/>
      <c r="AA1390" s="203"/>
      <c r="AB1390" s="203"/>
      <c r="AC1390" s="203"/>
      <c r="AD1390" s="203"/>
      <c r="AE1390" s="203"/>
      <c r="AF1390" s="203"/>
      <c r="AG1390" s="203">
        <v>4000</v>
      </c>
      <c r="AH1390" s="203">
        <v>20000</v>
      </c>
      <c r="AI1390" s="203">
        <v>25000</v>
      </c>
      <c r="AJ1390" s="162" t="b">
        <f t="shared" si="872"/>
        <v>0</v>
      </c>
      <c r="AK1390" s="162" t="str">
        <f t="shared" si="873"/>
        <v>PUNO</v>
      </c>
      <c r="AM1390" s="164"/>
    </row>
    <row r="1391" spans="1:39" ht="15.75" x14ac:dyDescent="0.2">
      <c r="B1391" s="177"/>
      <c r="C1391" s="177"/>
      <c r="D1391" s="177"/>
      <c r="E1391" s="177">
        <v>3221</v>
      </c>
      <c r="F1391" s="176">
        <v>14</v>
      </c>
      <c r="G1391" s="177"/>
      <c r="H1391" s="16" t="s">
        <v>548</v>
      </c>
      <c r="I1391" s="203">
        <v>4000</v>
      </c>
      <c r="J1391" s="203">
        <v>889.04</v>
      </c>
      <c r="K1391" s="203">
        <f>ROUND(J1391/I1391*100,2)</f>
        <v>22.23</v>
      </c>
      <c r="L1391" s="203">
        <f>M1391-I1391</f>
        <v>-368.30999999999995</v>
      </c>
      <c r="M1391" s="203">
        <v>3631.69</v>
      </c>
      <c r="N1391" s="203">
        <v>4000</v>
      </c>
      <c r="O1391" s="203">
        <v>649.45000000000005</v>
      </c>
      <c r="P1391" s="26">
        <f>T1391-N1391</f>
        <v>-2500</v>
      </c>
      <c r="Q1391" s="203">
        <v>4000</v>
      </c>
      <c r="R1391" s="203">
        <v>3500</v>
      </c>
      <c r="S1391" s="203">
        <v>4000</v>
      </c>
      <c r="T1391" s="204">
        <v>1500</v>
      </c>
      <c r="U1391" s="204">
        <v>649.45000000000005</v>
      </c>
      <c r="V1391" s="203">
        <v>3000</v>
      </c>
      <c r="W1391" s="203">
        <v>3000</v>
      </c>
      <c r="X1391" s="203">
        <v>3000</v>
      </c>
      <c r="Y1391" s="203">
        <v>0</v>
      </c>
      <c r="Z1391" s="203">
        <f t="shared" si="869"/>
        <v>0</v>
      </c>
      <c r="AA1391" s="203">
        <f t="shared" si="868"/>
        <v>0</v>
      </c>
      <c r="AB1391" s="203">
        <v>3000</v>
      </c>
      <c r="AC1391" s="203">
        <v>0</v>
      </c>
      <c r="AD1391" s="203">
        <f t="shared" si="884"/>
        <v>0</v>
      </c>
      <c r="AE1391" s="203">
        <f t="shared" si="858"/>
        <v>0</v>
      </c>
      <c r="AF1391" s="203">
        <v>3000</v>
      </c>
      <c r="AG1391" s="203"/>
      <c r="AH1391" s="203"/>
      <c r="AI1391" s="203"/>
      <c r="AJ1391" s="162" t="b">
        <f t="shared" si="872"/>
        <v>0</v>
      </c>
      <c r="AK1391" s="162" t="str">
        <f t="shared" si="873"/>
        <v>PUNO</v>
      </c>
      <c r="AM1391" s="164"/>
    </row>
    <row r="1392" spans="1:39" ht="15.75" x14ac:dyDescent="0.2">
      <c r="B1392" s="177"/>
      <c r="C1392" s="177"/>
      <c r="D1392" s="177">
        <v>323</v>
      </c>
      <c r="E1392" s="177"/>
      <c r="F1392" s="177"/>
      <c r="G1392" s="177"/>
      <c r="H1392" s="16" t="s">
        <v>526</v>
      </c>
      <c r="I1392" s="203">
        <f>I1398+I1396</f>
        <v>42000</v>
      </c>
      <c r="J1392" s="203">
        <f>J1398+J1396</f>
        <v>0</v>
      </c>
      <c r="K1392" s="203">
        <f>ROUND(J1392/I1392*100,2)</f>
        <v>0</v>
      </c>
      <c r="L1392" s="203">
        <f>M1392-I1392</f>
        <v>225.47000000000116</v>
      </c>
      <c r="M1392" s="203">
        <f>M1398+M1396</f>
        <v>42225.47</v>
      </c>
      <c r="N1392" s="203">
        <f>N1398+N1396</f>
        <v>42000</v>
      </c>
      <c r="O1392" s="203">
        <f>O1398+O1396</f>
        <v>10037.200000000001</v>
      </c>
      <c r="P1392" s="26">
        <f>T1392-N1392</f>
        <v>9000</v>
      </c>
      <c r="Q1392" s="203">
        <f>Q1398+Q1396</f>
        <v>42000</v>
      </c>
      <c r="R1392" s="203">
        <f>R1398+R1396</f>
        <v>42500</v>
      </c>
      <c r="S1392" s="203">
        <f>S1398+S1396</f>
        <v>43000</v>
      </c>
      <c r="T1392" s="204">
        <f>T1393+T1396+T1398</f>
        <v>51000</v>
      </c>
      <c r="U1392" s="204">
        <f>U1393+U1396+U1398</f>
        <v>34975.56</v>
      </c>
      <c r="V1392" s="203">
        <f>V1398+V1396+V1393</f>
        <v>52500</v>
      </c>
      <c r="W1392" s="203">
        <f>W1398+W1396+W1393</f>
        <v>52500</v>
      </c>
      <c r="X1392" s="203">
        <f>X1393+X1396+X1398</f>
        <v>55000</v>
      </c>
      <c r="Y1392" s="203">
        <f>Y1398+Y1396+Y1393</f>
        <v>8993.75</v>
      </c>
      <c r="Z1392" s="203">
        <f t="shared" si="869"/>
        <v>17.13</v>
      </c>
      <c r="AA1392" s="203">
        <f t="shared" si="868"/>
        <v>0</v>
      </c>
      <c r="AB1392" s="203">
        <f>AB1398+AB1396+AB1393</f>
        <v>52500</v>
      </c>
      <c r="AC1392" s="203">
        <f>AC1398+AC1396+AC1393</f>
        <v>16283.75</v>
      </c>
      <c r="AD1392" s="203">
        <f t="shared" si="884"/>
        <v>31.016666666666666</v>
      </c>
      <c r="AE1392" s="203">
        <f t="shared" si="858"/>
        <v>0</v>
      </c>
      <c r="AF1392" s="203">
        <f>AF1398+AF1396+AF1393</f>
        <v>52500</v>
      </c>
      <c r="AG1392" s="203">
        <f>SUM(AG1393:AG1398)</f>
        <v>53000</v>
      </c>
      <c r="AH1392" s="203">
        <f>SUM(AH1393:AH1398)</f>
        <v>71500</v>
      </c>
      <c r="AI1392" s="203">
        <f>SUM(AI1393:AI1398)</f>
        <v>79000</v>
      </c>
      <c r="AJ1392" s="162" t="b">
        <f t="shared" si="872"/>
        <v>1</v>
      </c>
      <c r="AK1392" s="162" t="str">
        <f t="shared" si="873"/>
        <v>PRAZNO</v>
      </c>
      <c r="AM1392" s="164"/>
    </row>
    <row r="1393" spans="1:39" ht="15.75" x14ac:dyDescent="0.2">
      <c r="B1393" s="177"/>
      <c r="C1393" s="177"/>
      <c r="D1393" s="177"/>
      <c r="E1393" s="177">
        <v>3231</v>
      </c>
      <c r="F1393" s="177">
        <v>14</v>
      </c>
      <c r="G1393" s="177"/>
      <c r="H1393" s="16" t="s">
        <v>341</v>
      </c>
      <c r="I1393" s="203"/>
      <c r="J1393" s="203"/>
      <c r="K1393" s="203"/>
      <c r="L1393" s="203"/>
      <c r="M1393" s="203"/>
      <c r="N1393" s="203">
        <v>0</v>
      </c>
      <c r="O1393" s="203"/>
      <c r="P1393" s="26">
        <f>T1393-N1393</f>
        <v>18000</v>
      </c>
      <c r="Q1393" s="203"/>
      <c r="R1393" s="203"/>
      <c r="S1393" s="203"/>
      <c r="T1393" s="204">
        <f>20000-2000</f>
        <v>18000</v>
      </c>
      <c r="U1393" s="204">
        <v>0</v>
      </c>
      <c r="V1393" s="203">
        <v>14500</v>
      </c>
      <c r="W1393" s="203">
        <v>14500</v>
      </c>
      <c r="X1393" s="203">
        <v>17000</v>
      </c>
      <c r="Y1393" s="203">
        <v>0</v>
      </c>
      <c r="Z1393" s="203">
        <f t="shared" si="869"/>
        <v>0</v>
      </c>
      <c r="AA1393" s="203">
        <f t="shared" si="868"/>
        <v>0</v>
      </c>
      <c r="AB1393" s="203">
        <v>14500</v>
      </c>
      <c r="AC1393" s="203">
        <v>0</v>
      </c>
      <c r="AD1393" s="203">
        <f t="shared" si="884"/>
        <v>0</v>
      </c>
      <c r="AE1393" s="203">
        <f t="shared" si="858"/>
        <v>0</v>
      </c>
      <c r="AF1393" s="203">
        <v>14500</v>
      </c>
      <c r="AG1393" s="203"/>
      <c r="AH1393" s="203"/>
      <c r="AI1393" s="203"/>
      <c r="AJ1393" s="162" t="b">
        <f t="shared" si="872"/>
        <v>0</v>
      </c>
      <c r="AK1393" s="162" t="str">
        <f t="shared" si="873"/>
        <v>PUNO</v>
      </c>
      <c r="AM1393" s="164"/>
    </row>
    <row r="1394" spans="1:39" ht="15.75" x14ac:dyDescent="0.2">
      <c r="B1394" s="177"/>
      <c r="C1394" s="177"/>
      <c r="D1394" s="177"/>
      <c r="E1394" s="177">
        <v>3231</v>
      </c>
      <c r="F1394" s="177">
        <v>11</v>
      </c>
      <c r="G1394" s="177"/>
      <c r="H1394" s="16" t="s">
        <v>341</v>
      </c>
      <c r="I1394" s="203"/>
      <c r="J1394" s="203"/>
      <c r="K1394" s="203"/>
      <c r="L1394" s="203"/>
      <c r="M1394" s="203"/>
      <c r="N1394" s="203"/>
      <c r="O1394" s="203"/>
      <c r="P1394" s="26"/>
      <c r="Q1394" s="203"/>
      <c r="R1394" s="203"/>
      <c r="S1394" s="203"/>
      <c r="T1394" s="204"/>
      <c r="U1394" s="204"/>
      <c r="V1394" s="203"/>
      <c r="W1394" s="203"/>
      <c r="X1394" s="203"/>
      <c r="Y1394" s="203"/>
      <c r="Z1394" s="203"/>
      <c r="AA1394" s="203"/>
      <c r="AB1394" s="203"/>
      <c r="AC1394" s="203"/>
      <c r="AD1394" s="203"/>
      <c r="AE1394" s="203"/>
      <c r="AF1394" s="203"/>
      <c r="AG1394" s="203">
        <v>15000</v>
      </c>
      <c r="AH1394" s="203">
        <v>14500</v>
      </c>
      <c r="AI1394" s="203">
        <v>17000</v>
      </c>
      <c r="AJ1394" s="162" t="b">
        <f t="shared" si="872"/>
        <v>0</v>
      </c>
      <c r="AK1394" s="162" t="str">
        <f t="shared" si="873"/>
        <v>PUNO</v>
      </c>
      <c r="AM1394" s="164"/>
    </row>
    <row r="1395" spans="1:39" ht="15.75" x14ac:dyDescent="0.2">
      <c r="B1395" s="177"/>
      <c r="C1395" s="177"/>
      <c r="D1395" s="177"/>
      <c r="E1395" s="177">
        <v>3233</v>
      </c>
      <c r="F1395" s="176">
        <v>11</v>
      </c>
      <c r="G1395" s="177"/>
      <c r="H1395" s="16" t="s">
        <v>528</v>
      </c>
      <c r="I1395" s="203"/>
      <c r="J1395" s="203"/>
      <c r="K1395" s="203"/>
      <c r="L1395" s="203"/>
      <c r="M1395" s="203"/>
      <c r="N1395" s="203"/>
      <c r="O1395" s="203"/>
      <c r="P1395" s="26"/>
      <c r="Q1395" s="203"/>
      <c r="R1395" s="203"/>
      <c r="S1395" s="203"/>
      <c r="T1395" s="204"/>
      <c r="U1395" s="204"/>
      <c r="V1395" s="203"/>
      <c r="W1395" s="203"/>
      <c r="X1395" s="203"/>
      <c r="Y1395" s="203"/>
      <c r="Z1395" s="203"/>
      <c r="AA1395" s="203"/>
      <c r="AB1395" s="203"/>
      <c r="AC1395" s="203"/>
      <c r="AD1395" s="203"/>
      <c r="AE1395" s="203"/>
      <c r="AF1395" s="203"/>
      <c r="AG1395" s="213">
        <v>17000</v>
      </c>
      <c r="AH1395" s="213">
        <v>17000</v>
      </c>
      <c r="AI1395" s="213">
        <v>17000</v>
      </c>
      <c r="AJ1395" s="162" t="b">
        <f t="shared" si="872"/>
        <v>0</v>
      </c>
      <c r="AK1395" s="162" t="str">
        <f t="shared" si="873"/>
        <v>PUNO</v>
      </c>
      <c r="AM1395" s="164"/>
    </row>
    <row r="1396" spans="1:39" ht="15.75" x14ac:dyDescent="0.2">
      <c r="B1396" s="177"/>
      <c r="C1396" s="177"/>
      <c r="D1396" s="177"/>
      <c r="E1396" s="177">
        <v>3233</v>
      </c>
      <c r="F1396" s="176">
        <v>14</v>
      </c>
      <c r="G1396" s="177"/>
      <c r="H1396" s="16" t="s">
        <v>528</v>
      </c>
      <c r="I1396" s="203">
        <v>7000</v>
      </c>
      <c r="J1396" s="203">
        <v>0</v>
      </c>
      <c r="K1396" s="203">
        <f>ROUND(J1396/I1396*100,2)</f>
        <v>0</v>
      </c>
      <c r="L1396" s="203">
        <f>M1396-I1396</f>
        <v>14611.099999999999</v>
      </c>
      <c r="M1396" s="203">
        <v>21611.1</v>
      </c>
      <c r="N1396" s="203">
        <v>17000</v>
      </c>
      <c r="O1396" s="203">
        <v>10037.200000000001</v>
      </c>
      <c r="P1396" s="26">
        <f>T1396-N1396</f>
        <v>0</v>
      </c>
      <c r="Q1396" s="203">
        <v>17000</v>
      </c>
      <c r="R1396" s="203">
        <v>17500</v>
      </c>
      <c r="S1396" s="203">
        <v>18000</v>
      </c>
      <c r="T1396" s="204">
        <v>17000</v>
      </c>
      <c r="U1396" s="204">
        <v>14719.7</v>
      </c>
      <c r="V1396" s="213">
        <v>17000</v>
      </c>
      <c r="W1396" s="213">
        <v>17000</v>
      </c>
      <c r="X1396" s="213">
        <v>17000</v>
      </c>
      <c r="Y1396" s="213">
        <v>8993.75</v>
      </c>
      <c r="Z1396" s="213">
        <f t="shared" si="869"/>
        <v>52.9</v>
      </c>
      <c r="AA1396" s="213">
        <f t="shared" si="868"/>
        <v>0</v>
      </c>
      <c r="AB1396" s="213">
        <v>17000</v>
      </c>
      <c r="AC1396" s="213">
        <v>16283.75</v>
      </c>
      <c r="AD1396" s="213">
        <f t="shared" si="884"/>
        <v>95.786764705882348</v>
      </c>
      <c r="AE1396" s="213">
        <f t="shared" si="858"/>
        <v>0</v>
      </c>
      <c r="AF1396" s="213">
        <v>17000</v>
      </c>
      <c r="AG1396" s="213"/>
      <c r="AH1396" s="213"/>
      <c r="AI1396" s="213"/>
      <c r="AJ1396" s="162" t="b">
        <f t="shared" si="872"/>
        <v>0</v>
      </c>
      <c r="AK1396" s="162" t="str">
        <f t="shared" si="873"/>
        <v>PUNO</v>
      </c>
      <c r="AM1396" s="164"/>
    </row>
    <row r="1397" spans="1:39" ht="15.75" x14ac:dyDescent="0.2">
      <c r="B1397" s="177"/>
      <c r="C1397" s="177"/>
      <c r="D1397" s="177"/>
      <c r="E1397" s="177">
        <v>3237</v>
      </c>
      <c r="F1397" s="176">
        <v>11</v>
      </c>
      <c r="G1397" s="176" t="s">
        <v>746</v>
      </c>
      <c r="H1397" s="16" t="s">
        <v>566</v>
      </c>
      <c r="I1397" s="203"/>
      <c r="J1397" s="203"/>
      <c r="K1397" s="203"/>
      <c r="L1397" s="203"/>
      <c r="M1397" s="203"/>
      <c r="N1397" s="203"/>
      <c r="O1397" s="203"/>
      <c r="P1397" s="26"/>
      <c r="Q1397" s="203"/>
      <c r="R1397" s="203"/>
      <c r="S1397" s="203"/>
      <c r="T1397" s="204"/>
      <c r="U1397" s="204"/>
      <c r="V1397" s="213"/>
      <c r="W1397" s="213"/>
      <c r="X1397" s="213"/>
      <c r="Y1397" s="213"/>
      <c r="Z1397" s="213"/>
      <c r="AA1397" s="213"/>
      <c r="AB1397" s="213"/>
      <c r="AC1397" s="213"/>
      <c r="AD1397" s="213"/>
      <c r="AE1397" s="213"/>
      <c r="AF1397" s="213"/>
      <c r="AG1397" s="203">
        <v>21000</v>
      </c>
      <c r="AH1397" s="203">
        <v>40000</v>
      </c>
      <c r="AI1397" s="203">
        <v>45000</v>
      </c>
      <c r="AJ1397" s="162" t="b">
        <f t="shared" si="872"/>
        <v>0</v>
      </c>
      <c r="AK1397" s="162" t="str">
        <f t="shared" si="873"/>
        <v>PUNO</v>
      </c>
      <c r="AM1397" s="164"/>
    </row>
    <row r="1398" spans="1:39" ht="15.75" x14ac:dyDescent="0.2">
      <c r="B1398" s="177"/>
      <c r="C1398" s="177"/>
      <c r="D1398" s="177"/>
      <c r="E1398" s="177">
        <v>3237</v>
      </c>
      <c r="F1398" s="176">
        <v>14</v>
      </c>
      <c r="G1398" s="176" t="s">
        <v>746</v>
      </c>
      <c r="H1398" s="16" t="s">
        <v>566</v>
      </c>
      <c r="I1398" s="203">
        <v>35000</v>
      </c>
      <c r="J1398" s="203">
        <v>0</v>
      </c>
      <c r="K1398" s="203">
        <f>ROUND(J1398/I1398*100,2)</f>
        <v>0</v>
      </c>
      <c r="L1398" s="203">
        <f>M1398-I1398</f>
        <v>-14385.630000000001</v>
      </c>
      <c r="M1398" s="203">
        <v>20614.37</v>
      </c>
      <c r="N1398" s="203">
        <v>25000</v>
      </c>
      <c r="O1398" s="203">
        <v>0</v>
      </c>
      <c r="P1398" s="26">
        <f>T1398-N1398</f>
        <v>-9000</v>
      </c>
      <c r="Q1398" s="203">
        <v>25000</v>
      </c>
      <c r="R1398" s="203">
        <v>25000</v>
      </c>
      <c r="S1398" s="203">
        <v>25000</v>
      </c>
      <c r="T1398" s="204">
        <v>16000</v>
      </c>
      <c r="U1398" s="204">
        <v>20255.86</v>
      </c>
      <c r="V1398" s="203">
        <v>21000</v>
      </c>
      <c r="W1398" s="203">
        <v>21000</v>
      </c>
      <c r="X1398" s="203">
        <v>21000</v>
      </c>
      <c r="Y1398" s="203">
        <v>0</v>
      </c>
      <c r="Z1398" s="203">
        <f t="shared" si="869"/>
        <v>0</v>
      </c>
      <c r="AA1398" s="203">
        <f t="shared" si="868"/>
        <v>0</v>
      </c>
      <c r="AB1398" s="203">
        <v>21000</v>
      </c>
      <c r="AC1398" s="203">
        <v>0</v>
      </c>
      <c r="AD1398" s="203">
        <f t="shared" si="884"/>
        <v>0</v>
      </c>
      <c r="AE1398" s="203">
        <f t="shared" ref="AE1398:AE1507" si="888">AF1398-AB1398</f>
        <v>0</v>
      </c>
      <c r="AF1398" s="203">
        <v>21000</v>
      </c>
      <c r="AG1398" s="203"/>
      <c r="AH1398" s="203"/>
      <c r="AI1398" s="203"/>
      <c r="AJ1398" s="162" t="b">
        <f t="shared" si="872"/>
        <v>0</v>
      </c>
      <c r="AK1398" s="162" t="str">
        <f t="shared" si="873"/>
        <v>PUNO</v>
      </c>
      <c r="AM1398" s="164"/>
    </row>
    <row r="1399" spans="1:39" ht="15.75" x14ac:dyDescent="0.2">
      <c r="B1399" s="177"/>
      <c r="C1399" s="177"/>
      <c r="D1399" s="177">
        <v>324</v>
      </c>
      <c r="E1399" s="177"/>
      <c r="F1399" s="176"/>
      <c r="G1399" s="176"/>
      <c r="H1399" s="16" t="s">
        <v>530</v>
      </c>
      <c r="I1399" s="203">
        <f>I1401</f>
        <v>6000</v>
      </c>
      <c r="J1399" s="203">
        <f>J1401</f>
        <v>4442.09</v>
      </c>
      <c r="K1399" s="203">
        <f>ROUND(J1399/I1399*100,2)</f>
        <v>74.03</v>
      </c>
      <c r="L1399" s="203">
        <f>M1399-I1399</f>
        <v>-1194.5100000000002</v>
      </c>
      <c r="M1399" s="203">
        <f>M1401</f>
        <v>4805.49</v>
      </c>
      <c r="N1399" s="203">
        <f>N1401</f>
        <v>6000</v>
      </c>
      <c r="O1399" s="203">
        <f>O1401</f>
        <v>0</v>
      </c>
      <c r="P1399" s="26">
        <f>T1399-N1399</f>
        <v>3000</v>
      </c>
      <c r="Q1399" s="203">
        <f t="shared" ref="Q1399:AF1399" si="889">Q1401</f>
        <v>6000</v>
      </c>
      <c r="R1399" s="203">
        <f t="shared" si="889"/>
        <v>6000</v>
      </c>
      <c r="S1399" s="203">
        <f t="shared" si="889"/>
        <v>6000</v>
      </c>
      <c r="T1399" s="204">
        <f t="shared" si="889"/>
        <v>9000</v>
      </c>
      <c r="U1399" s="204">
        <f t="shared" si="889"/>
        <v>8587.9</v>
      </c>
      <c r="V1399" s="203">
        <f t="shared" si="889"/>
        <v>6000</v>
      </c>
      <c r="W1399" s="203">
        <f t="shared" si="889"/>
        <v>6000</v>
      </c>
      <c r="X1399" s="203">
        <f t="shared" si="889"/>
        <v>6000</v>
      </c>
      <c r="Y1399" s="203">
        <f t="shared" si="889"/>
        <v>4484</v>
      </c>
      <c r="Z1399" s="203">
        <f t="shared" si="869"/>
        <v>74.73</v>
      </c>
      <c r="AA1399" s="203">
        <f t="shared" si="868"/>
        <v>0</v>
      </c>
      <c r="AB1399" s="203">
        <f t="shared" si="889"/>
        <v>6000</v>
      </c>
      <c r="AC1399" s="203">
        <f t="shared" si="889"/>
        <v>4484</v>
      </c>
      <c r="AD1399" s="203">
        <f t="shared" si="884"/>
        <v>74.733333333333334</v>
      </c>
      <c r="AE1399" s="203">
        <f t="shared" si="888"/>
        <v>0</v>
      </c>
      <c r="AF1399" s="203">
        <f t="shared" si="889"/>
        <v>6000</v>
      </c>
      <c r="AG1399" s="203">
        <f>AG1400</f>
        <v>6000</v>
      </c>
      <c r="AH1399" s="203">
        <f>AH1400</f>
        <v>6000</v>
      </c>
      <c r="AI1399" s="203">
        <f>AI1400</f>
        <v>6000</v>
      </c>
      <c r="AJ1399" s="162" t="b">
        <f t="shared" si="872"/>
        <v>1</v>
      </c>
      <c r="AK1399" s="162" t="str">
        <f t="shared" si="873"/>
        <v>PRAZNO</v>
      </c>
      <c r="AM1399" s="164"/>
    </row>
    <row r="1400" spans="1:39" ht="15.75" x14ac:dyDescent="0.2">
      <c r="B1400" s="177"/>
      <c r="C1400" s="177"/>
      <c r="D1400" s="177"/>
      <c r="E1400" s="177">
        <v>3241</v>
      </c>
      <c r="F1400" s="176">
        <v>11</v>
      </c>
      <c r="G1400" s="176"/>
      <c r="H1400" s="16" t="s">
        <v>530</v>
      </c>
      <c r="I1400" s="203"/>
      <c r="J1400" s="203"/>
      <c r="K1400" s="203"/>
      <c r="L1400" s="203"/>
      <c r="M1400" s="203"/>
      <c r="N1400" s="203"/>
      <c r="O1400" s="203"/>
      <c r="P1400" s="26"/>
      <c r="Q1400" s="203"/>
      <c r="R1400" s="203"/>
      <c r="S1400" s="203"/>
      <c r="T1400" s="204"/>
      <c r="U1400" s="204"/>
      <c r="V1400" s="203"/>
      <c r="W1400" s="203"/>
      <c r="X1400" s="203"/>
      <c r="Y1400" s="203"/>
      <c r="Z1400" s="203"/>
      <c r="AA1400" s="203"/>
      <c r="AB1400" s="203"/>
      <c r="AC1400" s="203"/>
      <c r="AD1400" s="203"/>
      <c r="AE1400" s="203"/>
      <c r="AF1400" s="203"/>
      <c r="AG1400" s="203">
        <v>6000</v>
      </c>
      <c r="AH1400" s="203">
        <v>6000</v>
      </c>
      <c r="AI1400" s="203">
        <v>6000</v>
      </c>
      <c r="AJ1400" s="162" t="b">
        <f t="shared" si="872"/>
        <v>0</v>
      </c>
      <c r="AK1400" s="162" t="str">
        <f t="shared" si="873"/>
        <v>PUNO</v>
      </c>
      <c r="AM1400" s="164"/>
    </row>
    <row r="1401" spans="1:39" ht="15.75" x14ac:dyDescent="0.2">
      <c r="B1401" s="177"/>
      <c r="C1401" s="177"/>
      <c r="D1401" s="177"/>
      <c r="E1401" s="177">
        <v>3241</v>
      </c>
      <c r="F1401" s="176">
        <v>14</v>
      </c>
      <c r="G1401" s="176"/>
      <c r="H1401" s="16" t="s">
        <v>530</v>
      </c>
      <c r="I1401" s="203">
        <v>6000</v>
      </c>
      <c r="J1401" s="203">
        <v>4442.09</v>
      </c>
      <c r="K1401" s="203">
        <f>ROUND(J1401/I1401*100,2)</f>
        <v>74.03</v>
      </c>
      <c r="L1401" s="203">
        <f>M1401-I1401</f>
        <v>-1194.5100000000002</v>
      </c>
      <c r="M1401" s="203">
        <v>4805.49</v>
      </c>
      <c r="N1401" s="203">
        <v>6000</v>
      </c>
      <c r="O1401" s="203">
        <v>0</v>
      </c>
      <c r="P1401" s="26">
        <f>T1401-N1401</f>
        <v>3000</v>
      </c>
      <c r="Q1401" s="203">
        <v>6000</v>
      </c>
      <c r="R1401" s="203">
        <v>6000</v>
      </c>
      <c r="S1401" s="203">
        <v>6000</v>
      </c>
      <c r="T1401" s="204">
        <v>9000</v>
      </c>
      <c r="U1401" s="204">
        <v>8587.9</v>
      </c>
      <c r="V1401" s="203">
        <v>6000</v>
      </c>
      <c r="W1401" s="203">
        <v>6000</v>
      </c>
      <c r="X1401" s="203">
        <v>6000</v>
      </c>
      <c r="Y1401" s="203">
        <v>4484</v>
      </c>
      <c r="Z1401" s="203">
        <f t="shared" si="869"/>
        <v>74.73</v>
      </c>
      <c r="AA1401" s="203">
        <f t="shared" si="868"/>
        <v>0</v>
      </c>
      <c r="AB1401" s="203">
        <v>6000</v>
      </c>
      <c r="AC1401" s="203">
        <v>4484</v>
      </c>
      <c r="AD1401" s="203">
        <f t="shared" si="884"/>
        <v>74.733333333333334</v>
      </c>
      <c r="AE1401" s="203">
        <f t="shared" si="888"/>
        <v>0</v>
      </c>
      <c r="AF1401" s="203">
        <v>6000</v>
      </c>
      <c r="AG1401" s="203"/>
      <c r="AH1401" s="203"/>
      <c r="AI1401" s="203"/>
      <c r="AJ1401" s="162" t="b">
        <f t="shared" si="872"/>
        <v>0</v>
      </c>
      <c r="AK1401" s="162" t="str">
        <f t="shared" si="873"/>
        <v>PUNO</v>
      </c>
      <c r="AM1401" s="164"/>
    </row>
    <row r="1402" spans="1:39" ht="15.75" x14ac:dyDescent="0.2">
      <c r="B1402" s="177"/>
      <c r="C1402" s="177"/>
      <c r="D1402" s="177">
        <v>329</v>
      </c>
      <c r="E1402" s="177"/>
      <c r="F1402" s="177"/>
      <c r="G1402" s="177"/>
      <c r="H1402" s="16" t="s">
        <v>531</v>
      </c>
      <c r="I1402" s="203">
        <f>I1404+I1405</f>
        <v>7000</v>
      </c>
      <c r="J1402" s="203">
        <f>J1404+J1405</f>
        <v>0</v>
      </c>
      <c r="K1402" s="203">
        <f>ROUND(J1402/I1402*100,2)</f>
        <v>0</v>
      </c>
      <c r="L1402" s="203">
        <f>M1402-I1402</f>
        <v>0</v>
      </c>
      <c r="M1402" s="203">
        <f>M1404+M1405</f>
        <v>7000</v>
      </c>
      <c r="N1402" s="203">
        <f>N1404+N1405</f>
        <v>7000</v>
      </c>
      <c r="O1402" s="203">
        <f>O1404+O1405</f>
        <v>7000</v>
      </c>
      <c r="P1402" s="26">
        <f>T1402-N1402</f>
        <v>0</v>
      </c>
      <c r="Q1402" s="203">
        <f t="shared" ref="Q1402:X1402" si="890">Q1404+Q1405</f>
        <v>7000</v>
      </c>
      <c r="R1402" s="203">
        <f t="shared" si="890"/>
        <v>7000</v>
      </c>
      <c r="S1402" s="203">
        <f t="shared" si="890"/>
        <v>7000</v>
      </c>
      <c r="T1402" s="204">
        <f t="shared" si="890"/>
        <v>7000</v>
      </c>
      <c r="U1402" s="204">
        <f>U1404+U1405</f>
        <v>7000</v>
      </c>
      <c r="V1402" s="203">
        <f t="shared" si="890"/>
        <v>7000</v>
      </c>
      <c r="W1402" s="203">
        <f t="shared" si="890"/>
        <v>7000</v>
      </c>
      <c r="X1402" s="203">
        <f t="shared" si="890"/>
        <v>7000</v>
      </c>
      <c r="Y1402" s="203">
        <f>Y1404+Y1405</f>
        <v>7000</v>
      </c>
      <c r="Z1402" s="203">
        <f t="shared" si="869"/>
        <v>100</v>
      </c>
      <c r="AA1402" s="203">
        <f t="shared" si="868"/>
        <v>0</v>
      </c>
      <c r="AB1402" s="203">
        <f>AB1404+AB1405</f>
        <v>7000</v>
      </c>
      <c r="AC1402" s="203">
        <f>AC1404+AC1405</f>
        <v>7000</v>
      </c>
      <c r="AD1402" s="203">
        <f t="shared" si="884"/>
        <v>100</v>
      </c>
      <c r="AE1402" s="203">
        <f t="shared" si="888"/>
        <v>0</v>
      </c>
      <c r="AF1402" s="203">
        <f>AF1404+AF1405</f>
        <v>7000</v>
      </c>
      <c r="AG1402" s="203">
        <f>AG1403</f>
        <v>7000</v>
      </c>
      <c r="AH1402" s="203">
        <f>AH1403</f>
        <v>7000</v>
      </c>
      <c r="AI1402" s="203">
        <f>AI1403</f>
        <v>7000</v>
      </c>
      <c r="AJ1402" s="162" t="b">
        <f t="shared" si="872"/>
        <v>1</v>
      </c>
      <c r="AK1402" s="162" t="str">
        <f t="shared" si="873"/>
        <v>PRAZNO</v>
      </c>
      <c r="AM1402" s="164"/>
    </row>
    <row r="1403" spans="1:39" ht="15.75" x14ac:dyDescent="0.2">
      <c r="B1403" s="177"/>
      <c r="C1403" s="177"/>
      <c r="D1403" s="177"/>
      <c r="E1403" s="177">
        <v>3294</v>
      </c>
      <c r="F1403" s="176">
        <v>11</v>
      </c>
      <c r="G1403" s="176" t="s">
        <v>746</v>
      </c>
      <c r="H1403" s="16" t="s">
        <v>567</v>
      </c>
      <c r="I1403" s="203"/>
      <c r="J1403" s="203"/>
      <c r="K1403" s="203"/>
      <c r="L1403" s="203"/>
      <c r="M1403" s="203"/>
      <c r="N1403" s="203"/>
      <c r="O1403" s="203"/>
      <c r="P1403" s="26"/>
      <c r="Q1403" s="203"/>
      <c r="R1403" s="203"/>
      <c r="S1403" s="203"/>
      <c r="T1403" s="204"/>
      <c r="U1403" s="204"/>
      <c r="V1403" s="203"/>
      <c r="W1403" s="203"/>
      <c r="X1403" s="203"/>
      <c r="Y1403" s="203"/>
      <c r="Z1403" s="203"/>
      <c r="AA1403" s="203"/>
      <c r="AB1403" s="203"/>
      <c r="AC1403" s="203"/>
      <c r="AD1403" s="203"/>
      <c r="AE1403" s="203"/>
      <c r="AF1403" s="203"/>
      <c r="AG1403" s="203">
        <v>7000</v>
      </c>
      <c r="AH1403" s="203">
        <v>7000</v>
      </c>
      <c r="AI1403" s="203">
        <v>7000</v>
      </c>
      <c r="AJ1403" s="162" t="b">
        <f t="shared" si="872"/>
        <v>0</v>
      </c>
      <c r="AK1403" s="162" t="str">
        <f t="shared" si="873"/>
        <v>PUNO</v>
      </c>
      <c r="AM1403" s="164"/>
    </row>
    <row r="1404" spans="1:39" ht="15.75" x14ac:dyDescent="0.2">
      <c r="B1404" s="177"/>
      <c r="C1404" s="177"/>
      <c r="D1404" s="177"/>
      <c r="E1404" s="177">
        <v>3294</v>
      </c>
      <c r="F1404" s="176">
        <v>14</v>
      </c>
      <c r="G1404" s="176" t="s">
        <v>746</v>
      </c>
      <c r="H1404" s="16" t="s">
        <v>567</v>
      </c>
      <c r="I1404" s="203">
        <v>7000</v>
      </c>
      <c r="J1404" s="203">
        <v>0</v>
      </c>
      <c r="K1404" s="203">
        <f>ROUND(J1404/I1404*100,2)</f>
        <v>0</v>
      </c>
      <c r="L1404" s="203">
        <f>M1404-I1404</f>
        <v>0</v>
      </c>
      <c r="M1404" s="203">
        <v>7000</v>
      </c>
      <c r="N1404" s="203">
        <v>7000</v>
      </c>
      <c r="O1404" s="203">
        <v>7000</v>
      </c>
      <c r="P1404" s="26">
        <f>T1404-N1404</f>
        <v>0</v>
      </c>
      <c r="Q1404" s="203">
        <v>7000</v>
      </c>
      <c r="R1404" s="203">
        <v>7000</v>
      </c>
      <c r="S1404" s="203">
        <v>7000</v>
      </c>
      <c r="T1404" s="204">
        <v>7000</v>
      </c>
      <c r="U1404" s="204">
        <v>7000</v>
      </c>
      <c r="V1404" s="203">
        <v>7000</v>
      </c>
      <c r="W1404" s="203">
        <v>7000</v>
      </c>
      <c r="X1404" s="203">
        <v>7000</v>
      </c>
      <c r="Y1404" s="203">
        <v>7000</v>
      </c>
      <c r="Z1404" s="203">
        <f t="shared" si="869"/>
        <v>100</v>
      </c>
      <c r="AA1404" s="203">
        <f t="shared" si="868"/>
        <v>0</v>
      </c>
      <c r="AB1404" s="203">
        <v>7000</v>
      </c>
      <c r="AC1404" s="203">
        <v>7000</v>
      </c>
      <c r="AD1404" s="203">
        <f t="shared" si="884"/>
        <v>100</v>
      </c>
      <c r="AE1404" s="203">
        <f t="shared" si="888"/>
        <v>0</v>
      </c>
      <c r="AF1404" s="203">
        <v>7000</v>
      </c>
      <c r="AG1404" s="203"/>
      <c r="AH1404" s="203"/>
      <c r="AI1404" s="203"/>
      <c r="AJ1404" s="162" t="b">
        <f t="shared" si="872"/>
        <v>0</v>
      </c>
      <c r="AK1404" s="162" t="str">
        <f t="shared" si="873"/>
        <v>PUNO</v>
      </c>
      <c r="AM1404" s="164"/>
    </row>
    <row r="1405" spans="1:39" ht="15.75" x14ac:dyDescent="0.2">
      <c r="B1405" s="177"/>
      <c r="C1405" s="177"/>
      <c r="D1405" s="177"/>
      <c r="E1405" s="177">
        <v>3299</v>
      </c>
      <c r="F1405" s="176" t="s">
        <v>527</v>
      </c>
      <c r="G1405" s="176" t="s">
        <v>746</v>
      </c>
      <c r="H1405" s="16" t="s">
        <v>531</v>
      </c>
      <c r="I1405" s="203">
        <v>0</v>
      </c>
      <c r="J1405" s="203"/>
      <c r="K1405" s="203" t="e">
        <f>ROUND(J1405/I1405*100,2)</f>
        <v>#DIV/0!</v>
      </c>
      <c r="L1405" s="203">
        <f>M1405-I1405</f>
        <v>0</v>
      </c>
      <c r="M1405" s="203"/>
      <c r="N1405" s="203"/>
      <c r="O1405" s="203"/>
      <c r="P1405" s="26">
        <f>T1405-N1405</f>
        <v>0</v>
      </c>
      <c r="Q1405" s="203"/>
      <c r="R1405" s="203"/>
      <c r="S1405" s="203"/>
      <c r="T1405" s="204"/>
      <c r="U1405" s="204"/>
      <c r="V1405" s="203"/>
      <c r="W1405" s="203"/>
      <c r="X1405" s="203"/>
      <c r="Y1405" s="203"/>
      <c r="Z1405" s="203"/>
      <c r="AA1405" s="203">
        <f t="shared" si="868"/>
        <v>0</v>
      </c>
      <c r="AB1405" s="203"/>
      <c r="AC1405" s="203"/>
      <c r="AD1405" s="203"/>
      <c r="AE1405" s="203">
        <f t="shared" si="888"/>
        <v>0</v>
      </c>
      <c r="AF1405" s="203"/>
      <c r="AG1405" s="203"/>
      <c r="AH1405" s="203"/>
      <c r="AI1405" s="203"/>
      <c r="AJ1405" s="162" t="b">
        <f t="shared" si="872"/>
        <v>0</v>
      </c>
      <c r="AK1405" s="162" t="str">
        <f t="shared" si="873"/>
        <v>PUNO</v>
      </c>
      <c r="AM1405" s="164"/>
    </row>
    <row r="1406" spans="1:39" s="171" customFormat="1" ht="35.25" customHeight="1" x14ac:dyDescent="0.2">
      <c r="A1406" s="259"/>
      <c r="B1406" s="168"/>
      <c r="C1406" s="168"/>
      <c r="D1406" s="168"/>
      <c r="E1406" s="168"/>
      <c r="F1406" s="168"/>
      <c r="G1406" s="168"/>
      <c r="H1406" s="35" t="s">
        <v>314</v>
      </c>
      <c r="I1406" s="169"/>
      <c r="J1406" s="169"/>
      <c r="K1406" s="169"/>
      <c r="L1406" s="169"/>
      <c r="M1406" s="19"/>
      <c r="N1406" s="19"/>
      <c r="O1406" s="19"/>
      <c r="P1406" s="303"/>
      <c r="Q1406" s="19"/>
      <c r="R1406" s="19"/>
      <c r="S1406" s="19"/>
      <c r="T1406" s="53"/>
      <c r="U1406" s="53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19"/>
      <c r="AF1406" s="19"/>
      <c r="AG1406" s="19">
        <f t="shared" ref="AG1406:AI1407" si="891">AG1407</f>
        <v>120000</v>
      </c>
      <c r="AH1406" s="19">
        <f t="shared" si="891"/>
        <v>90000</v>
      </c>
      <c r="AI1406" s="19">
        <f t="shared" si="891"/>
        <v>90000</v>
      </c>
      <c r="AJ1406" s="162" t="b">
        <f t="shared" si="872"/>
        <v>1</v>
      </c>
      <c r="AK1406" s="162" t="str">
        <f t="shared" si="873"/>
        <v>PRAZNO</v>
      </c>
      <c r="AL1406" s="170"/>
      <c r="AM1406" s="164"/>
    </row>
    <row r="1407" spans="1:39" s="264" customFormat="1" ht="17.25" customHeight="1" x14ac:dyDescent="0.2">
      <c r="A1407" s="259"/>
      <c r="B1407" s="260"/>
      <c r="C1407" s="260"/>
      <c r="D1407" s="260"/>
      <c r="E1407" s="260"/>
      <c r="F1407" s="260"/>
      <c r="G1407" s="260"/>
      <c r="H1407" s="473" t="s">
        <v>15</v>
      </c>
      <c r="I1407" s="181"/>
      <c r="J1407" s="181"/>
      <c r="K1407" s="181"/>
      <c r="L1407" s="181"/>
      <c r="M1407" s="262"/>
      <c r="N1407" s="262"/>
      <c r="O1407" s="262"/>
      <c r="P1407" s="445"/>
      <c r="Q1407" s="262"/>
      <c r="R1407" s="262"/>
      <c r="S1407" s="262"/>
      <c r="T1407" s="342"/>
      <c r="U1407" s="342"/>
      <c r="V1407" s="262"/>
      <c r="W1407" s="262"/>
      <c r="X1407" s="262"/>
      <c r="Y1407" s="262"/>
      <c r="Z1407" s="262"/>
      <c r="AA1407" s="262"/>
      <c r="AB1407" s="262"/>
      <c r="AC1407" s="262"/>
      <c r="AD1407" s="262"/>
      <c r="AE1407" s="262"/>
      <c r="AF1407" s="262"/>
      <c r="AG1407" s="262">
        <f t="shared" si="891"/>
        <v>120000</v>
      </c>
      <c r="AH1407" s="262">
        <f t="shared" si="891"/>
        <v>90000</v>
      </c>
      <c r="AI1407" s="262">
        <f t="shared" si="891"/>
        <v>90000</v>
      </c>
      <c r="AJ1407" s="162" t="b">
        <f t="shared" si="872"/>
        <v>1</v>
      </c>
      <c r="AK1407" s="162" t="str">
        <f t="shared" si="873"/>
        <v>PRAZNO</v>
      </c>
      <c r="AL1407" s="263"/>
    </row>
    <row r="1408" spans="1:39" s="174" customFormat="1" ht="15.75" x14ac:dyDescent="0.2">
      <c r="A1408" s="259"/>
      <c r="B1408" s="172">
        <v>3</v>
      </c>
      <c r="C1408" s="172"/>
      <c r="D1408" s="172"/>
      <c r="E1408" s="172"/>
      <c r="F1408" s="172"/>
      <c r="G1408" s="172"/>
      <c r="H1408" s="36" t="s">
        <v>524</v>
      </c>
      <c r="I1408" s="37"/>
      <c r="J1408" s="37"/>
      <c r="K1408" s="37"/>
      <c r="L1408" s="37"/>
      <c r="M1408" s="37"/>
      <c r="N1408" s="37"/>
      <c r="O1408" s="37"/>
      <c r="P1408" s="55"/>
      <c r="Q1408" s="37"/>
      <c r="R1408" s="37"/>
      <c r="S1408" s="37"/>
      <c r="T1408" s="54"/>
      <c r="U1408" s="54"/>
      <c r="V1408" s="37"/>
      <c r="W1408" s="37"/>
      <c r="X1408" s="37"/>
      <c r="Y1408" s="37"/>
      <c r="Z1408" s="37"/>
      <c r="AA1408" s="37"/>
      <c r="AB1408" s="37"/>
      <c r="AC1408" s="37"/>
      <c r="AD1408" s="37"/>
      <c r="AE1408" s="37"/>
      <c r="AF1408" s="37"/>
      <c r="AG1408" s="37">
        <f>AG1409+AG1419</f>
        <v>120000</v>
      </c>
      <c r="AH1408" s="37">
        <f>AH1409+AH1419</f>
        <v>90000</v>
      </c>
      <c r="AI1408" s="37">
        <f>AI1409+AI1419</f>
        <v>90000</v>
      </c>
      <c r="AJ1408" s="162" t="b">
        <f t="shared" si="872"/>
        <v>1</v>
      </c>
      <c r="AK1408" s="162" t="str">
        <f t="shared" si="873"/>
        <v>PRAZNO</v>
      </c>
      <c r="AL1408" s="173"/>
      <c r="AM1408" s="164"/>
    </row>
    <row r="1409" spans="1:39" s="644" customFormat="1" ht="15.75" x14ac:dyDescent="0.2">
      <c r="A1409" s="633"/>
      <c r="B1409" s="175"/>
      <c r="C1409" s="175">
        <v>31</v>
      </c>
      <c r="D1409" s="175"/>
      <c r="E1409" s="175"/>
      <c r="F1409" s="175"/>
      <c r="G1409" s="175"/>
      <c r="H1409" s="15" t="s">
        <v>197</v>
      </c>
      <c r="I1409" s="315"/>
      <c r="J1409" s="315"/>
      <c r="K1409" s="315"/>
      <c r="L1409" s="315"/>
      <c r="M1409" s="315"/>
      <c r="N1409" s="315"/>
      <c r="O1409" s="315"/>
      <c r="P1409" s="38"/>
      <c r="Q1409" s="315"/>
      <c r="R1409" s="315"/>
      <c r="S1409" s="315"/>
      <c r="T1409" s="316"/>
      <c r="U1409" s="316"/>
      <c r="V1409" s="315"/>
      <c r="W1409" s="315"/>
      <c r="X1409" s="315"/>
      <c r="Y1409" s="315"/>
      <c r="Z1409" s="315"/>
      <c r="AA1409" s="315"/>
      <c r="AB1409" s="315"/>
      <c r="AC1409" s="315"/>
      <c r="AD1409" s="315"/>
      <c r="AE1409" s="315"/>
      <c r="AF1409" s="315"/>
      <c r="AG1409" s="315">
        <f>AG1410+AG1414+AG1416</f>
        <v>82800</v>
      </c>
      <c r="AH1409" s="315">
        <f>AH1410+AH1414+AH1416</f>
        <v>82800</v>
      </c>
      <c r="AI1409" s="315">
        <f>AI1410+AI1414+AI1416</f>
        <v>82800</v>
      </c>
      <c r="AJ1409" s="162" t="b">
        <f t="shared" si="872"/>
        <v>1</v>
      </c>
      <c r="AK1409" s="162" t="str">
        <f t="shared" si="873"/>
        <v>PRAZNO</v>
      </c>
      <c r="AL1409" s="643"/>
      <c r="AM1409" s="647"/>
    </row>
    <row r="1410" spans="1:39" ht="15.75" x14ac:dyDescent="0.2">
      <c r="B1410" s="177"/>
      <c r="C1410" s="177"/>
      <c r="D1410" s="177">
        <v>311</v>
      </c>
      <c r="E1410" s="177"/>
      <c r="F1410" s="177"/>
      <c r="G1410" s="177"/>
      <c r="H1410" s="16" t="s">
        <v>915</v>
      </c>
      <c r="I1410" s="203"/>
      <c r="J1410" s="203"/>
      <c r="K1410" s="203"/>
      <c r="L1410" s="203"/>
      <c r="M1410" s="203"/>
      <c r="N1410" s="203"/>
      <c r="O1410" s="203"/>
      <c r="P1410" s="26"/>
      <c r="Q1410" s="203"/>
      <c r="R1410" s="203"/>
      <c r="S1410" s="203"/>
      <c r="T1410" s="204"/>
      <c r="U1410" s="204"/>
      <c r="V1410" s="203"/>
      <c r="W1410" s="203"/>
      <c r="X1410" s="203"/>
      <c r="Y1410" s="203"/>
      <c r="Z1410" s="203"/>
      <c r="AA1410" s="203"/>
      <c r="AB1410" s="203"/>
      <c r="AC1410" s="203"/>
      <c r="AD1410" s="203"/>
      <c r="AE1410" s="203"/>
      <c r="AF1410" s="203"/>
      <c r="AG1410" s="203">
        <f>SUM(AG1411:AG1413)</f>
        <v>70500</v>
      </c>
      <c r="AH1410" s="203">
        <f>SUM(AH1411:AH1413)</f>
        <v>70500</v>
      </c>
      <c r="AI1410" s="203">
        <f>SUM(AI1411:AI1413)</f>
        <v>70500</v>
      </c>
      <c r="AJ1410" s="162" t="b">
        <f t="shared" si="872"/>
        <v>1</v>
      </c>
      <c r="AK1410" s="162" t="str">
        <f t="shared" si="873"/>
        <v>PRAZNO</v>
      </c>
      <c r="AM1410" s="164"/>
    </row>
    <row r="1411" spans="1:39" ht="15.75" x14ac:dyDescent="0.2">
      <c r="B1411" s="177"/>
      <c r="C1411" s="177"/>
      <c r="D1411" s="177"/>
      <c r="E1411" s="177">
        <v>3111</v>
      </c>
      <c r="F1411" s="176">
        <v>31</v>
      </c>
      <c r="G1411" s="176"/>
      <c r="H1411" s="16" t="s">
        <v>199</v>
      </c>
      <c r="I1411" s="203"/>
      <c r="J1411" s="203"/>
      <c r="K1411" s="203"/>
      <c r="L1411" s="203"/>
      <c r="M1411" s="203"/>
      <c r="N1411" s="203"/>
      <c r="O1411" s="203"/>
      <c r="P1411" s="26"/>
      <c r="Q1411" s="203"/>
      <c r="R1411" s="203"/>
      <c r="S1411" s="203"/>
      <c r="T1411" s="204"/>
      <c r="U1411" s="204"/>
      <c r="V1411" s="203"/>
      <c r="W1411" s="203"/>
      <c r="X1411" s="203"/>
      <c r="Y1411" s="203"/>
      <c r="Z1411" s="203"/>
      <c r="AA1411" s="203"/>
      <c r="AB1411" s="203"/>
      <c r="AC1411" s="203"/>
      <c r="AD1411" s="203"/>
      <c r="AE1411" s="203"/>
      <c r="AF1411" s="203"/>
      <c r="AG1411" s="203">
        <v>62000</v>
      </c>
      <c r="AH1411" s="203">
        <v>62000</v>
      </c>
      <c r="AI1411" s="203">
        <v>62000</v>
      </c>
      <c r="AJ1411" s="162" t="b">
        <f t="shared" si="872"/>
        <v>0</v>
      </c>
      <c r="AK1411" s="162" t="str">
        <f t="shared" si="873"/>
        <v>PUNO</v>
      </c>
      <c r="AM1411" s="164"/>
    </row>
    <row r="1412" spans="1:39" ht="15.75" x14ac:dyDescent="0.2">
      <c r="B1412" s="177"/>
      <c r="C1412" s="177"/>
      <c r="D1412" s="177"/>
      <c r="E1412" s="177">
        <v>3113</v>
      </c>
      <c r="F1412" s="176">
        <v>31</v>
      </c>
      <c r="G1412" s="176"/>
      <c r="H1412" s="16" t="s">
        <v>476</v>
      </c>
      <c r="I1412" s="203"/>
      <c r="J1412" s="203"/>
      <c r="K1412" s="203"/>
      <c r="L1412" s="203"/>
      <c r="M1412" s="203"/>
      <c r="N1412" s="203"/>
      <c r="O1412" s="203"/>
      <c r="P1412" s="26"/>
      <c r="Q1412" s="203"/>
      <c r="R1412" s="203"/>
      <c r="S1412" s="203"/>
      <c r="T1412" s="204"/>
      <c r="U1412" s="204"/>
      <c r="V1412" s="203"/>
      <c r="W1412" s="203"/>
      <c r="X1412" s="203"/>
      <c r="Y1412" s="203"/>
      <c r="Z1412" s="203"/>
      <c r="AA1412" s="203"/>
      <c r="AB1412" s="203"/>
      <c r="AC1412" s="203"/>
      <c r="AD1412" s="203"/>
      <c r="AE1412" s="203"/>
      <c r="AF1412" s="203"/>
      <c r="AG1412" s="203">
        <v>2500</v>
      </c>
      <c r="AH1412" s="203">
        <v>2500</v>
      </c>
      <c r="AI1412" s="203">
        <v>2500</v>
      </c>
      <c r="AJ1412" s="162" t="b">
        <f t="shared" si="872"/>
        <v>0</v>
      </c>
      <c r="AK1412" s="162" t="str">
        <f t="shared" si="873"/>
        <v>PUNO</v>
      </c>
      <c r="AM1412" s="164"/>
    </row>
    <row r="1413" spans="1:39" ht="15.75" x14ac:dyDescent="0.2">
      <c r="B1413" s="177"/>
      <c r="C1413" s="177"/>
      <c r="D1413" s="177"/>
      <c r="E1413" s="177">
        <v>3114</v>
      </c>
      <c r="F1413" s="176">
        <v>31</v>
      </c>
      <c r="G1413" s="176"/>
      <c r="H1413" s="16" t="s">
        <v>643</v>
      </c>
      <c r="I1413" s="203"/>
      <c r="J1413" s="203"/>
      <c r="K1413" s="203"/>
      <c r="L1413" s="203"/>
      <c r="M1413" s="203"/>
      <c r="N1413" s="203"/>
      <c r="O1413" s="203"/>
      <c r="P1413" s="26"/>
      <c r="Q1413" s="203"/>
      <c r="R1413" s="203"/>
      <c r="S1413" s="203"/>
      <c r="T1413" s="204"/>
      <c r="U1413" s="204"/>
      <c r="V1413" s="203"/>
      <c r="W1413" s="203"/>
      <c r="X1413" s="203"/>
      <c r="Y1413" s="203"/>
      <c r="Z1413" s="203"/>
      <c r="AA1413" s="203"/>
      <c r="AB1413" s="203"/>
      <c r="AC1413" s="203"/>
      <c r="AD1413" s="203"/>
      <c r="AE1413" s="203"/>
      <c r="AF1413" s="203"/>
      <c r="AG1413" s="203">
        <v>6000</v>
      </c>
      <c r="AH1413" s="203">
        <v>6000</v>
      </c>
      <c r="AI1413" s="203">
        <v>6000</v>
      </c>
      <c r="AJ1413" s="162" t="b">
        <f t="shared" si="872"/>
        <v>0</v>
      </c>
      <c r="AK1413" s="162" t="str">
        <f t="shared" si="873"/>
        <v>PUNO</v>
      </c>
      <c r="AM1413" s="164"/>
    </row>
    <row r="1414" spans="1:39" ht="15.75" x14ac:dyDescent="0.2">
      <c r="B1414" s="177"/>
      <c r="C1414" s="177"/>
      <c r="D1414" s="177">
        <v>312</v>
      </c>
      <c r="E1414" s="177"/>
      <c r="F1414" s="176"/>
      <c r="G1414" s="176"/>
      <c r="H1414" s="16" t="s">
        <v>200</v>
      </c>
      <c r="I1414" s="203"/>
      <c r="J1414" s="203"/>
      <c r="K1414" s="203"/>
      <c r="L1414" s="203"/>
      <c r="M1414" s="203"/>
      <c r="N1414" s="203"/>
      <c r="O1414" s="203"/>
      <c r="P1414" s="26"/>
      <c r="Q1414" s="203"/>
      <c r="R1414" s="203"/>
      <c r="S1414" s="203"/>
      <c r="T1414" s="204"/>
      <c r="U1414" s="204"/>
      <c r="V1414" s="203"/>
      <c r="W1414" s="203"/>
      <c r="X1414" s="203"/>
      <c r="Y1414" s="203"/>
      <c r="Z1414" s="203"/>
      <c r="AA1414" s="203"/>
      <c r="AB1414" s="203"/>
      <c r="AC1414" s="203"/>
      <c r="AD1414" s="203"/>
      <c r="AE1414" s="203"/>
      <c r="AF1414" s="203"/>
      <c r="AG1414" s="203">
        <f>AG1415</f>
        <v>2000</v>
      </c>
      <c r="AH1414" s="203">
        <f>AH1415</f>
        <v>2000</v>
      </c>
      <c r="AI1414" s="203">
        <f>AI1415</f>
        <v>2000</v>
      </c>
      <c r="AJ1414" s="162" t="b">
        <f t="shared" si="872"/>
        <v>1</v>
      </c>
      <c r="AK1414" s="162" t="str">
        <f t="shared" si="873"/>
        <v>PRAZNO</v>
      </c>
      <c r="AM1414" s="164"/>
    </row>
    <row r="1415" spans="1:39" ht="15.75" x14ac:dyDescent="0.2">
      <c r="B1415" s="177"/>
      <c r="C1415" s="177"/>
      <c r="D1415" s="177"/>
      <c r="E1415" s="177">
        <v>3121</v>
      </c>
      <c r="F1415" s="176">
        <v>31</v>
      </c>
      <c r="G1415" s="176"/>
      <c r="H1415" s="16" t="s">
        <v>200</v>
      </c>
      <c r="I1415" s="203"/>
      <c r="J1415" s="203"/>
      <c r="K1415" s="203"/>
      <c r="L1415" s="203"/>
      <c r="M1415" s="203"/>
      <c r="N1415" s="203"/>
      <c r="O1415" s="203"/>
      <c r="P1415" s="26"/>
      <c r="Q1415" s="203"/>
      <c r="R1415" s="203"/>
      <c r="S1415" s="203"/>
      <c r="T1415" s="204"/>
      <c r="U1415" s="204"/>
      <c r="V1415" s="203"/>
      <c r="W1415" s="203"/>
      <c r="X1415" s="203"/>
      <c r="Y1415" s="203"/>
      <c r="Z1415" s="203"/>
      <c r="AA1415" s="203"/>
      <c r="AB1415" s="203"/>
      <c r="AC1415" s="203"/>
      <c r="AD1415" s="203"/>
      <c r="AE1415" s="203"/>
      <c r="AF1415" s="203"/>
      <c r="AG1415" s="203">
        <v>2000</v>
      </c>
      <c r="AH1415" s="203">
        <v>2000</v>
      </c>
      <c r="AI1415" s="203">
        <v>2000</v>
      </c>
      <c r="AJ1415" s="162" t="b">
        <f t="shared" si="872"/>
        <v>0</v>
      </c>
      <c r="AK1415" s="162" t="str">
        <f t="shared" si="873"/>
        <v>PUNO</v>
      </c>
      <c r="AM1415" s="164"/>
    </row>
    <row r="1416" spans="1:39" ht="15.75" x14ac:dyDescent="0.2">
      <c r="B1416" s="177"/>
      <c r="C1416" s="177"/>
      <c r="D1416" s="177">
        <v>313</v>
      </c>
      <c r="E1416" s="177"/>
      <c r="F1416" s="176"/>
      <c r="G1416" s="176"/>
      <c r="H1416" s="16" t="s">
        <v>201</v>
      </c>
      <c r="I1416" s="203"/>
      <c r="J1416" s="203"/>
      <c r="K1416" s="203"/>
      <c r="L1416" s="203"/>
      <c r="M1416" s="203"/>
      <c r="N1416" s="203"/>
      <c r="O1416" s="203"/>
      <c r="P1416" s="26"/>
      <c r="Q1416" s="203"/>
      <c r="R1416" s="203"/>
      <c r="S1416" s="203"/>
      <c r="T1416" s="204"/>
      <c r="U1416" s="204"/>
      <c r="V1416" s="203"/>
      <c r="W1416" s="203"/>
      <c r="X1416" s="203"/>
      <c r="Y1416" s="203"/>
      <c r="Z1416" s="203"/>
      <c r="AA1416" s="203"/>
      <c r="AB1416" s="203"/>
      <c r="AC1416" s="203"/>
      <c r="AD1416" s="203"/>
      <c r="AE1416" s="203"/>
      <c r="AF1416" s="203"/>
      <c r="AG1416" s="203">
        <f>SUM(AG1417:AG1418)</f>
        <v>10300</v>
      </c>
      <c r="AH1416" s="203">
        <f>SUM(AH1417:AH1418)</f>
        <v>10300</v>
      </c>
      <c r="AI1416" s="203">
        <f>SUM(AI1417:AI1418)</f>
        <v>10300</v>
      </c>
      <c r="AJ1416" s="162" t="b">
        <f t="shared" si="872"/>
        <v>1</v>
      </c>
      <c r="AK1416" s="162" t="str">
        <f t="shared" si="873"/>
        <v>PRAZNO</v>
      </c>
      <c r="AM1416" s="164"/>
    </row>
    <row r="1417" spans="1:39" ht="15.75" x14ac:dyDescent="0.2">
      <c r="B1417" s="177"/>
      <c r="C1417" s="177"/>
      <c r="D1417" s="177"/>
      <c r="E1417" s="177">
        <v>3132</v>
      </c>
      <c r="F1417" s="176">
        <v>31</v>
      </c>
      <c r="G1417" s="176"/>
      <c r="H1417" s="16" t="s">
        <v>202</v>
      </c>
      <c r="I1417" s="203"/>
      <c r="J1417" s="203"/>
      <c r="K1417" s="203"/>
      <c r="L1417" s="203"/>
      <c r="M1417" s="203"/>
      <c r="N1417" s="203"/>
      <c r="O1417" s="203"/>
      <c r="P1417" s="26"/>
      <c r="Q1417" s="203"/>
      <c r="R1417" s="203"/>
      <c r="S1417" s="203"/>
      <c r="T1417" s="204"/>
      <c r="U1417" s="204"/>
      <c r="V1417" s="203"/>
      <c r="W1417" s="203"/>
      <c r="X1417" s="203"/>
      <c r="Y1417" s="203"/>
      <c r="Z1417" s="203"/>
      <c r="AA1417" s="203"/>
      <c r="AB1417" s="203"/>
      <c r="AC1417" s="203"/>
      <c r="AD1417" s="203"/>
      <c r="AE1417" s="203"/>
      <c r="AF1417" s="203"/>
      <c r="AG1417" s="203">
        <v>8800</v>
      </c>
      <c r="AH1417" s="203">
        <v>8800</v>
      </c>
      <c r="AI1417" s="203">
        <v>8800</v>
      </c>
      <c r="AJ1417" s="162" t="b">
        <f t="shared" ref="AJ1417:AJ1480" si="892">ISBLANK(E1417)</f>
        <v>0</v>
      </c>
      <c r="AK1417" s="162" t="str">
        <f t="shared" ref="AK1417:AK1480" si="893">IF(AJ1417,"PRAZNO","PUNO")</f>
        <v>PUNO</v>
      </c>
      <c r="AM1417" s="164"/>
    </row>
    <row r="1418" spans="1:39" ht="30" x14ac:dyDescent="0.2">
      <c r="B1418" s="177"/>
      <c r="C1418" s="177"/>
      <c r="D1418" s="177"/>
      <c r="E1418" s="177">
        <v>3133</v>
      </c>
      <c r="F1418" s="176">
        <v>31</v>
      </c>
      <c r="G1418" s="176"/>
      <c r="H1418" s="16" t="s">
        <v>203</v>
      </c>
      <c r="I1418" s="203"/>
      <c r="J1418" s="203"/>
      <c r="K1418" s="203"/>
      <c r="L1418" s="203"/>
      <c r="M1418" s="203"/>
      <c r="N1418" s="203"/>
      <c r="O1418" s="203"/>
      <c r="P1418" s="26"/>
      <c r="Q1418" s="203"/>
      <c r="R1418" s="203"/>
      <c r="S1418" s="203"/>
      <c r="T1418" s="204"/>
      <c r="U1418" s="204"/>
      <c r="V1418" s="203"/>
      <c r="W1418" s="203"/>
      <c r="X1418" s="203"/>
      <c r="Y1418" s="203"/>
      <c r="Z1418" s="203"/>
      <c r="AA1418" s="203"/>
      <c r="AB1418" s="203"/>
      <c r="AC1418" s="203"/>
      <c r="AD1418" s="203"/>
      <c r="AE1418" s="203"/>
      <c r="AF1418" s="203"/>
      <c r="AG1418" s="203">
        <v>1500</v>
      </c>
      <c r="AH1418" s="203">
        <v>1500</v>
      </c>
      <c r="AI1418" s="203">
        <v>1500</v>
      </c>
      <c r="AJ1418" s="162" t="b">
        <f t="shared" si="892"/>
        <v>0</v>
      </c>
      <c r="AK1418" s="162" t="str">
        <f t="shared" si="893"/>
        <v>PUNO</v>
      </c>
      <c r="AM1418" s="164"/>
    </row>
    <row r="1419" spans="1:39" ht="15.75" x14ac:dyDescent="0.2">
      <c r="B1419" s="175"/>
      <c r="C1419" s="175">
        <v>32</v>
      </c>
      <c r="D1419" s="175"/>
      <c r="E1419" s="175"/>
      <c r="F1419" s="640"/>
      <c r="G1419" s="640"/>
      <c r="H1419" s="15" t="s">
        <v>525</v>
      </c>
      <c r="I1419" s="203"/>
      <c r="J1419" s="203"/>
      <c r="K1419" s="203"/>
      <c r="L1419" s="203"/>
      <c r="M1419" s="203"/>
      <c r="N1419" s="203"/>
      <c r="O1419" s="203"/>
      <c r="P1419" s="26"/>
      <c r="Q1419" s="203"/>
      <c r="R1419" s="203"/>
      <c r="S1419" s="203"/>
      <c r="T1419" s="204"/>
      <c r="U1419" s="204"/>
      <c r="V1419" s="203"/>
      <c r="W1419" s="203"/>
      <c r="X1419" s="203"/>
      <c r="Y1419" s="203"/>
      <c r="Z1419" s="203"/>
      <c r="AA1419" s="203"/>
      <c r="AB1419" s="203"/>
      <c r="AC1419" s="203"/>
      <c r="AD1419" s="203"/>
      <c r="AE1419" s="203"/>
      <c r="AF1419" s="203"/>
      <c r="AG1419" s="203">
        <f>AG1420+AG1424</f>
        <v>37200</v>
      </c>
      <c r="AH1419" s="203">
        <f>AH1420+AH1424</f>
        <v>7200</v>
      </c>
      <c r="AI1419" s="203">
        <f>AI1420+AI1424</f>
        <v>7200</v>
      </c>
      <c r="AJ1419" s="162" t="b">
        <f t="shared" si="892"/>
        <v>1</v>
      </c>
      <c r="AK1419" s="162" t="str">
        <f t="shared" si="893"/>
        <v>PRAZNO</v>
      </c>
      <c r="AM1419" s="164"/>
    </row>
    <row r="1420" spans="1:39" ht="15.75" x14ac:dyDescent="0.2">
      <c r="B1420" s="177"/>
      <c r="C1420" s="177"/>
      <c r="D1420" s="177">
        <v>321</v>
      </c>
      <c r="E1420" s="177"/>
      <c r="F1420" s="176"/>
      <c r="G1420" s="176"/>
      <c r="H1420" s="16" t="s">
        <v>564</v>
      </c>
      <c r="I1420" s="203"/>
      <c r="J1420" s="203"/>
      <c r="K1420" s="203"/>
      <c r="L1420" s="203"/>
      <c r="M1420" s="203"/>
      <c r="N1420" s="203"/>
      <c r="O1420" s="203"/>
      <c r="P1420" s="26"/>
      <c r="Q1420" s="203"/>
      <c r="R1420" s="203"/>
      <c r="S1420" s="203"/>
      <c r="T1420" s="204"/>
      <c r="U1420" s="204"/>
      <c r="V1420" s="203"/>
      <c r="W1420" s="203"/>
      <c r="X1420" s="203"/>
      <c r="Y1420" s="203"/>
      <c r="Z1420" s="203"/>
      <c r="AA1420" s="203"/>
      <c r="AB1420" s="203"/>
      <c r="AC1420" s="203"/>
      <c r="AD1420" s="203"/>
      <c r="AE1420" s="203"/>
      <c r="AF1420" s="203"/>
      <c r="AG1420" s="203">
        <f>SUM(AG1421:AG1423)</f>
        <v>7200</v>
      </c>
      <c r="AH1420" s="203">
        <f>SUM(AH1421:AH1423)</f>
        <v>7200</v>
      </c>
      <c r="AI1420" s="203">
        <f>SUM(AI1421:AI1423)</f>
        <v>7200</v>
      </c>
      <c r="AJ1420" s="162" t="b">
        <f t="shared" si="892"/>
        <v>1</v>
      </c>
      <c r="AK1420" s="162" t="str">
        <f t="shared" si="893"/>
        <v>PRAZNO</v>
      </c>
      <c r="AM1420" s="164"/>
    </row>
    <row r="1421" spans="1:39" ht="15.75" x14ac:dyDescent="0.2">
      <c r="B1421" s="177"/>
      <c r="C1421" s="177"/>
      <c r="D1421" s="177"/>
      <c r="E1421" s="177">
        <v>3211</v>
      </c>
      <c r="F1421" s="176">
        <v>31</v>
      </c>
      <c r="G1421" s="176"/>
      <c r="H1421" s="16" t="s">
        <v>565</v>
      </c>
      <c r="I1421" s="203"/>
      <c r="J1421" s="203"/>
      <c r="K1421" s="203"/>
      <c r="L1421" s="203"/>
      <c r="M1421" s="203"/>
      <c r="N1421" s="203"/>
      <c r="O1421" s="203"/>
      <c r="P1421" s="26"/>
      <c r="Q1421" s="203"/>
      <c r="R1421" s="203"/>
      <c r="S1421" s="203"/>
      <c r="T1421" s="204"/>
      <c r="U1421" s="204"/>
      <c r="V1421" s="203"/>
      <c r="W1421" s="203"/>
      <c r="X1421" s="203"/>
      <c r="Y1421" s="203"/>
      <c r="Z1421" s="203"/>
      <c r="AA1421" s="203"/>
      <c r="AB1421" s="203"/>
      <c r="AC1421" s="203"/>
      <c r="AD1421" s="203"/>
      <c r="AE1421" s="203"/>
      <c r="AF1421" s="203"/>
      <c r="AG1421" s="203">
        <v>1000</v>
      </c>
      <c r="AH1421" s="203">
        <v>1000</v>
      </c>
      <c r="AI1421" s="203">
        <v>1000</v>
      </c>
      <c r="AJ1421" s="162" t="b">
        <f t="shared" si="892"/>
        <v>0</v>
      </c>
      <c r="AK1421" s="162" t="str">
        <f t="shared" si="893"/>
        <v>PUNO</v>
      </c>
      <c r="AM1421" s="164"/>
    </row>
    <row r="1422" spans="1:39" ht="15.75" x14ac:dyDescent="0.2">
      <c r="B1422" s="177"/>
      <c r="C1422" s="177"/>
      <c r="D1422" s="177"/>
      <c r="E1422" s="177">
        <v>3212</v>
      </c>
      <c r="F1422" s="176">
        <v>31</v>
      </c>
      <c r="G1422" s="176"/>
      <c r="H1422" s="16" t="s">
        <v>220</v>
      </c>
      <c r="I1422" s="203"/>
      <c r="J1422" s="203"/>
      <c r="K1422" s="203"/>
      <c r="L1422" s="203"/>
      <c r="M1422" s="203"/>
      <c r="N1422" s="203"/>
      <c r="O1422" s="203"/>
      <c r="P1422" s="26"/>
      <c r="Q1422" s="203"/>
      <c r="R1422" s="203"/>
      <c r="S1422" s="203"/>
      <c r="T1422" s="204"/>
      <c r="U1422" s="204"/>
      <c r="V1422" s="203"/>
      <c r="W1422" s="203"/>
      <c r="X1422" s="203"/>
      <c r="Y1422" s="203"/>
      <c r="Z1422" s="203"/>
      <c r="AA1422" s="203"/>
      <c r="AB1422" s="203"/>
      <c r="AC1422" s="203"/>
      <c r="AD1422" s="203"/>
      <c r="AE1422" s="203"/>
      <c r="AF1422" s="203"/>
      <c r="AG1422" s="203">
        <v>5000</v>
      </c>
      <c r="AH1422" s="203">
        <v>5000</v>
      </c>
      <c r="AI1422" s="203">
        <v>5000</v>
      </c>
      <c r="AJ1422" s="162" t="b">
        <f t="shared" si="892"/>
        <v>0</v>
      </c>
      <c r="AK1422" s="162" t="str">
        <f t="shared" si="893"/>
        <v>PUNO</v>
      </c>
      <c r="AM1422" s="164"/>
    </row>
    <row r="1423" spans="1:39" ht="15.75" x14ac:dyDescent="0.2">
      <c r="B1423" s="177"/>
      <c r="C1423" s="177"/>
      <c r="D1423" s="177"/>
      <c r="E1423" s="177">
        <v>3213</v>
      </c>
      <c r="F1423" s="176">
        <v>31</v>
      </c>
      <c r="G1423" s="176"/>
      <c r="H1423" s="16" t="s">
        <v>221</v>
      </c>
      <c r="I1423" s="203"/>
      <c r="J1423" s="203"/>
      <c r="K1423" s="203"/>
      <c r="L1423" s="203"/>
      <c r="M1423" s="203"/>
      <c r="N1423" s="203"/>
      <c r="O1423" s="203"/>
      <c r="P1423" s="26"/>
      <c r="Q1423" s="203"/>
      <c r="R1423" s="203"/>
      <c r="S1423" s="203"/>
      <c r="T1423" s="204"/>
      <c r="U1423" s="204"/>
      <c r="V1423" s="203"/>
      <c r="W1423" s="203"/>
      <c r="X1423" s="203"/>
      <c r="Y1423" s="203"/>
      <c r="Z1423" s="203"/>
      <c r="AA1423" s="203"/>
      <c r="AB1423" s="203"/>
      <c r="AC1423" s="203"/>
      <c r="AD1423" s="203"/>
      <c r="AE1423" s="203"/>
      <c r="AF1423" s="203"/>
      <c r="AG1423" s="203">
        <v>1200</v>
      </c>
      <c r="AH1423" s="203">
        <v>1200</v>
      </c>
      <c r="AI1423" s="203">
        <v>1200</v>
      </c>
      <c r="AJ1423" s="162" t="b">
        <f t="shared" si="892"/>
        <v>0</v>
      </c>
      <c r="AK1423" s="162" t="str">
        <f t="shared" si="893"/>
        <v>PUNO</v>
      </c>
      <c r="AM1423" s="164"/>
    </row>
    <row r="1424" spans="1:39" ht="15.75" x14ac:dyDescent="0.2">
      <c r="B1424" s="177"/>
      <c r="C1424" s="177"/>
      <c r="D1424" s="177">
        <v>322</v>
      </c>
      <c r="E1424" s="177"/>
      <c r="F1424" s="176"/>
      <c r="G1424" s="176"/>
      <c r="H1424" s="16" t="s">
        <v>547</v>
      </c>
      <c r="I1424" s="203"/>
      <c r="J1424" s="203"/>
      <c r="K1424" s="203"/>
      <c r="L1424" s="203"/>
      <c r="M1424" s="203"/>
      <c r="N1424" s="203"/>
      <c r="O1424" s="203"/>
      <c r="P1424" s="26"/>
      <c r="Q1424" s="203"/>
      <c r="R1424" s="203"/>
      <c r="S1424" s="203"/>
      <c r="T1424" s="204"/>
      <c r="U1424" s="204"/>
      <c r="V1424" s="203"/>
      <c r="W1424" s="203"/>
      <c r="X1424" s="203"/>
      <c r="Y1424" s="203"/>
      <c r="Z1424" s="203"/>
      <c r="AA1424" s="203"/>
      <c r="AB1424" s="203"/>
      <c r="AC1424" s="203"/>
      <c r="AD1424" s="203"/>
      <c r="AE1424" s="203"/>
      <c r="AF1424" s="203"/>
      <c r="AG1424" s="203">
        <f>SUM(AG1425:AG1425)</f>
        <v>30000</v>
      </c>
      <c r="AH1424" s="203">
        <f>SUM(AH1425:AH1425)</f>
        <v>0</v>
      </c>
      <c r="AI1424" s="203">
        <f>SUM(AI1425:AI1425)</f>
        <v>0</v>
      </c>
      <c r="AJ1424" s="162" t="b">
        <f t="shared" si="892"/>
        <v>1</v>
      </c>
      <c r="AK1424" s="162" t="str">
        <f t="shared" si="893"/>
        <v>PRAZNO</v>
      </c>
      <c r="AM1424" s="164"/>
    </row>
    <row r="1425" spans="1:39" ht="15.75" x14ac:dyDescent="0.2">
      <c r="B1425" s="177"/>
      <c r="C1425" s="177"/>
      <c r="D1425" s="177"/>
      <c r="E1425" s="177">
        <v>3222</v>
      </c>
      <c r="F1425" s="176">
        <v>31</v>
      </c>
      <c r="G1425" s="176"/>
      <c r="H1425" s="16" t="s">
        <v>474</v>
      </c>
      <c r="I1425" s="203"/>
      <c r="J1425" s="203"/>
      <c r="K1425" s="203"/>
      <c r="L1425" s="203"/>
      <c r="M1425" s="203"/>
      <c r="N1425" s="203"/>
      <c r="O1425" s="203"/>
      <c r="P1425" s="26"/>
      <c r="Q1425" s="203"/>
      <c r="R1425" s="203"/>
      <c r="S1425" s="203"/>
      <c r="T1425" s="204"/>
      <c r="U1425" s="204"/>
      <c r="V1425" s="203"/>
      <c r="W1425" s="203"/>
      <c r="X1425" s="203"/>
      <c r="Y1425" s="203"/>
      <c r="Z1425" s="203"/>
      <c r="AA1425" s="203"/>
      <c r="AB1425" s="203"/>
      <c r="AC1425" s="203"/>
      <c r="AD1425" s="203"/>
      <c r="AE1425" s="203"/>
      <c r="AF1425" s="203"/>
      <c r="AG1425" s="203">
        <v>30000</v>
      </c>
      <c r="AH1425" s="203"/>
      <c r="AI1425" s="203"/>
      <c r="AJ1425" s="162" t="b">
        <f t="shared" si="892"/>
        <v>0</v>
      </c>
      <c r="AK1425" s="162" t="str">
        <f t="shared" si="893"/>
        <v>PUNO</v>
      </c>
      <c r="AM1425" s="164"/>
    </row>
    <row r="1426" spans="1:39" s="171" customFormat="1" ht="35.25" customHeight="1" x14ac:dyDescent="0.2">
      <c r="A1426" s="259"/>
      <c r="B1426" s="168"/>
      <c r="C1426" s="168"/>
      <c r="D1426" s="168"/>
      <c r="E1426" s="168"/>
      <c r="F1426" s="168"/>
      <c r="G1426" s="168"/>
      <c r="H1426" s="35" t="s">
        <v>315</v>
      </c>
      <c r="I1426" s="169"/>
      <c r="J1426" s="169"/>
      <c r="K1426" s="169"/>
      <c r="L1426" s="169"/>
      <c r="M1426" s="19"/>
      <c r="N1426" s="19"/>
      <c r="O1426" s="19"/>
      <c r="P1426" s="303"/>
      <c r="Q1426" s="19"/>
      <c r="R1426" s="19"/>
      <c r="S1426" s="19"/>
      <c r="T1426" s="53"/>
      <c r="U1426" s="53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19"/>
      <c r="AF1426" s="19"/>
      <c r="AG1426" s="19">
        <f t="shared" ref="AG1426:AI1428" si="894">AG1427</f>
        <v>100000</v>
      </c>
      <c r="AH1426" s="19">
        <f t="shared" si="894"/>
        <v>0</v>
      </c>
      <c r="AI1426" s="19">
        <f t="shared" si="894"/>
        <v>0</v>
      </c>
      <c r="AJ1426" s="162" t="b">
        <f t="shared" si="892"/>
        <v>1</v>
      </c>
      <c r="AK1426" s="162" t="str">
        <f t="shared" si="893"/>
        <v>PRAZNO</v>
      </c>
      <c r="AL1426" s="170"/>
      <c r="AM1426" s="164"/>
    </row>
    <row r="1427" spans="1:39" s="264" customFormat="1" ht="17.25" customHeight="1" x14ac:dyDescent="0.2">
      <c r="A1427" s="259"/>
      <c r="B1427" s="260"/>
      <c r="C1427" s="260"/>
      <c r="D1427" s="260"/>
      <c r="E1427" s="260"/>
      <c r="F1427" s="260"/>
      <c r="G1427" s="260"/>
      <c r="H1427" s="473" t="s">
        <v>15</v>
      </c>
      <c r="I1427" s="181"/>
      <c r="J1427" s="181"/>
      <c r="K1427" s="181"/>
      <c r="L1427" s="181"/>
      <c r="M1427" s="262"/>
      <c r="N1427" s="262"/>
      <c r="O1427" s="262"/>
      <c r="P1427" s="445"/>
      <c r="Q1427" s="262"/>
      <c r="R1427" s="262"/>
      <c r="S1427" s="262"/>
      <c r="T1427" s="342"/>
      <c r="U1427" s="342"/>
      <c r="V1427" s="262"/>
      <c r="W1427" s="262"/>
      <c r="X1427" s="262"/>
      <c r="Y1427" s="262"/>
      <c r="Z1427" s="262"/>
      <c r="AA1427" s="262"/>
      <c r="AB1427" s="262"/>
      <c r="AC1427" s="262"/>
      <c r="AD1427" s="262"/>
      <c r="AE1427" s="262"/>
      <c r="AF1427" s="262"/>
      <c r="AG1427" s="262">
        <f t="shared" si="894"/>
        <v>100000</v>
      </c>
      <c r="AH1427" s="262">
        <f t="shared" si="894"/>
        <v>0</v>
      </c>
      <c r="AI1427" s="262">
        <f t="shared" si="894"/>
        <v>0</v>
      </c>
      <c r="AJ1427" s="162" t="b">
        <f t="shared" si="892"/>
        <v>1</v>
      </c>
      <c r="AK1427" s="162" t="str">
        <f t="shared" si="893"/>
        <v>PRAZNO</v>
      </c>
      <c r="AL1427" s="263"/>
    </row>
    <row r="1428" spans="1:39" s="174" customFormat="1" ht="15.75" x14ac:dyDescent="0.2">
      <c r="A1428" s="259"/>
      <c r="B1428" s="172">
        <v>4</v>
      </c>
      <c r="C1428" s="172"/>
      <c r="D1428" s="172"/>
      <c r="E1428" s="172"/>
      <c r="F1428" s="172"/>
      <c r="G1428" s="172"/>
      <c r="H1428" s="36" t="s">
        <v>552</v>
      </c>
      <c r="I1428" s="37"/>
      <c r="J1428" s="37"/>
      <c r="K1428" s="37"/>
      <c r="L1428" s="37"/>
      <c r="M1428" s="37"/>
      <c r="N1428" s="37"/>
      <c r="O1428" s="37"/>
      <c r="P1428" s="55"/>
      <c r="Q1428" s="37"/>
      <c r="R1428" s="37"/>
      <c r="S1428" s="37"/>
      <c r="T1428" s="54"/>
      <c r="U1428" s="54"/>
      <c r="V1428" s="37"/>
      <c r="W1428" s="37"/>
      <c r="X1428" s="37"/>
      <c r="Y1428" s="37"/>
      <c r="Z1428" s="37"/>
      <c r="AA1428" s="37"/>
      <c r="AB1428" s="37"/>
      <c r="AC1428" s="37"/>
      <c r="AD1428" s="37"/>
      <c r="AE1428" s="37"/>
      <c r="AF1428" s="37"/>
      <c r="AG1428" s="37">
        <f t="shared" si="894"/>
        <v>100000</v>
      </c>
      <c r="AH1428" s="37">
        <f t="shared" si="894"/>
        <v>0</v>
      </c>
      <c r="AI1428" s="37">
        <f t="shared" si="894"/>
        <v>0</v>
      </c>
      <c r="AJ1428" s="162" t="b">
        <f t="shared" si="892"/>
        <v>1</v>
      </c>
      <c r="AK1428" s="162" t="str">
        <f t="shared" si="893"/>
        <v>PRAZNO</v>
      </c>
      <c r="AL1428" s="173"/>
      <c r="AM1428" s="164"/>
    </row>
    <row r="1429" spans="1:39" ht="15.75" x14ac:dyDescent="0.2">
      <c r="B1429" s="177"/>
      <c r="C1429" s="177">
        <v>42</v>
      </c>
      <c r="D1429" s="177"/>
      <c r="E1429" s="177"/>
      <c r="F1429" s="176"/>
      <c r="G1429" s="176"/>
      <c r="H1429" s="16" t="s">
        <v>212</v>
      </c>
      <c r="I1429" s="203"/>
      <c r="J1429" s="203"/>
      <c r="K1429" s="203"/>
      <c r="L1429" s="203"/>
      <c r="M1429" s="203"/>
      <c r="N1429" s="203"/>
      <c r="O1429" s="203"/>
      <c r="P1429" s="26"/>
      <c r="Q1429" s="203"/>
      <c r="R1429" s="203"/>
      <c r="S1429" s="203"/>
      <c r="T1429" s="204"/>
      <c r="U1429" s="204"/>
      <c r="V1429" s="203"/>
      <c r="W1429" s="203"/>
      <c r="X1429" s="203"/>
      <c r="Y1429" s="203"/>
      <c r="Z1429" s="203"/>
      <c r="AA1429" s="203"/>
      <c r="AB1429" s="203"/>
      <c r="AC1429" s="203"/>
      <c r="AD1429" s="203"/>
      <c r="AE1429" s="203"/>
      <c r="AF1429" s="203"/>
      <c r="AG1429" s="203">
        <f>AG1430+AG1432</f>
        <v>100000</v>
      </c>
      <c r="AH1429" s="203">
        <f>AH1430+AH1432</f>
        <v>0</v>
      </c>
      <c r="AI1429" s="203">
        <f>AI1430+AI1432</f>
        <v>0</v>
      </c>
      <c r="AJ1429" s="162" t="b">
        <f t="shared" si="892"/>
        <v>1</v>
      </c>
      <c r="AK1429" s="162" t="str">
        <f t="shared" si="893"/>
        <v>PRAZNO</v>
      </c>
      <c r="AM1429" s="164"/>
    </row>
    <row r="1430" spans="1:39" ht="15.75" x14ac:dyDescent="0.2">
      <c r="B1430" s="177"/>
      <c r="C1430" s="177"/>
      <c r="D1430" s="177">
        <v>422</v>
      </c>
      <c r="E1430" s="177"/>
      <c r="F1430" s="176"/>
      <c r="G1430" s="176"/>
      <c r="H1430" s="16" t="s">
        <v>555</v>
      </c>
      <c r="I1430" s="203"/>
      <c r="J1430" s="203"/>
      <c r="K1430" s="203"/>
      <c r="L1430" s="203"/>
      <c r="M1430" s="203"/>
      <c r="N1430" s="203"/>
      <c r="O1430" s="203"/>
      <c r="P1430" s="26"/>
      <c r="Q1430" s="203"/>
      <c r="R1430" s="203"/>
      <c r="S1430" s="203"/>
      <c r="T1430" s="204"/>
      <c r="U1430" s="204"/>
      <c r="V1430" s="203"/>
      <c r="W1430" s="203"/>
      <c r="X1430" s="203"/>
      <c r="Y1430" s="203"/>
      <c r="Z1430" s="203"/>
      <c r="AA1430" s="203"/>
      <c r="AB1430" s="203"/>
      <c r="AC1430" s="203"/>
      <c r="AD1430" s="203"/>
      <c r="AE1430" s="203"/>
      <c r="AF1430" s="203"/>
      <c r="AG1430" s="203">
        <f>AG1431</f>
        <v>80000</v>
      </c>
      <c r="AH1430" s="203">
        <f>AH1431</f>
        <v>0</v>
      </c>
      <c r="AI1430" s="203">
        <f>AI1431</f>
        <v>0</v>
      </c>
      <c r="AJ1430" s="162" t="b">
        <f t="shared" si="892"/>
        <v>1</v>
      </c>
      <c r="AK1430" s="162" t="str">
        <f t="shared" si="893"/>
        <v>PRAZNO</v>
      </c>
      <c r="AM1430" s="164"/>
    </row>
    <row r="1431" spans="1:39" ht="15.75" x14ac:dyDescent="0.2">
      <c r="B1431" s="177"/>
      <c r="C1431" s="177"/>
      <c r="D1431" s="177"/>
      <c r="E1431" s="177">
        <v>4224</v>
      </c>
      <c r="F1431" s="176">
        <v>31</v>
      </c>
      <c r="G1431" s="176"/>
      <c r="H1431" s="16" t="s">
        <v>638</v>
      </c>
      <c r="I1431" s="203"/>
      <c r="J1431" s="203"/>
      <c r="K1431" s="203"/>
      <c r="L1431" s="203"/>
      <c r="M1431" s="203"/>
      <c r="N1431" s="203"/>
      <c r="O1431" s="203"/>
      <c r="P1431" s="26"/>
      <c r="Q1431" s="203"/>
      <c r="R1431" s="203"/>
      <c r="S1431" s="203"/>
      <c r="T1431" s="204"/>
      <c r="U1431" s="204"/>
      <c r="V1431" s="203"/>
      <c r="W1431" s="203"/>
      <c r="X1431" s="203"/>
      <c r="Y1431" s="203"/>
      <c r="Z1431" s="203"/>
      <c r="AA1431" s="203"/>
      <c r="AB1431" s="203"/>
      <c r="AC1431" s="203"/>
      <c r="AD1431" s="203"/>
      <c r="AE1431" s="203"/>
      <c r="AF1431" s="203"/>
      <c r="AG1431" s="203">
        <v>80000</v>
      </c>
      <c r="AH1431" s="203">
        <v>0</v>
      </c>
      <c r="AI1431" s="203">
        <v>0</v>
      </c>
      <c r="AJ1431" s="162" t="b">
        <f t="shared" si="892"/>
        <v>0</v>
      </c>
      <c r="AK1431" s="162" t="str">
        <f t="shared" si="893"/>
        <v>PUNO</v>
      </c>
      <c r="AM1431" s="164"/>
    </row>
    <row r="1432" spans="1:39" ht="15.75" x14ac:dyDescent="0.2">
      <c r="B1432" s="177"/>
      <c r="C1432" s="177"/>
      <c r="D1432" s="177">
        <v>426</v>
      </c>
      <c r="E1432" s="177"/>
      <c r="F1432" s="176"/>
      <c r="G1432" s="176"/>
      <c r="H1432" s="16" t="s">
        <v>560</v>
      </c>
      <c r="I1432" s="203"/>
      <c r="J1432" s="203"/>
      <c r="K1432" s="203"/>
      <c r="L1432" s="203"/>
      <c r="M1432" s="203"/>
      <c r="N1432" s="203"/>
      <c r="O1432" s="203"/>
      <c r="P1432" s="26"/>
      <c r="Q1432" s="203"/>
      <c r="R1432" s="203"/>
      <c r="S1432" s="203"/>
      <c r="T1432" s="204"/>
      <c r="U1432" s="204"/>
      <c r="V1432" s="203"/>
      <c r="W1432" s="203"/>
      <c r="X1432" s="203"/>
      <c r="Y1432" s="203"/>
      <c r="Z1432" s="203"/>
      <c r="AA1432" s="203"/>
      <c r="AB1432" s="203"/>
      <c r="AC1432" s="203"/>
      <c r="AD1432" s="203"/>
      <c r="AE1432" s="203"/>
      <c r="AF1432" s="203"/>
      <c r="AG1432" s="203">
        <f>AG1433</f>
        <v>20000</v>
      </c>
      <c r="AH1432" s="203">
        <f>AH1433</f>
        <v>0</v>
      </c>
      <c r="AI1432" s="203">
        <f>AI1433</f>
        <v>0</v>
      </c>
      <c r="AJ1432" s="162" t="b">
        <f t="shared" si="892"/>
        <v>1</v>
      </c>
      <c r="AK1432" s="162" t="str">
        <f t="shared" si="893"/>
        <v>PRAZNO</v>
      </c>
      <c r="AM1432" s="164"/>
    </row>
    <row r="1433" spans="1:39" ht="15.75" x14ac:dyDescent="0.2">
      <c r="B1433" s="177"/>
      <c r="C1433" s="177"/>
      <c r="D1433" s="177"/>
      <c r="E1433" s="177">
        <v>4262</v>
      </c>
      <c r="F1433" s="176">
        <v>31</v>
      </c>
      <c r="G1433" s="176"/>
      <c r="H1433" s="16" t="s">
        <v>561</v>
      </c>
      <c r="I1433" s="203"/>
      <c r="J1433" s="203"/>
      <c r="K1433" s="203"/>
      <c r="L1433" s="203"/>
      <c r="M1433" s="203"/>
      <c r="N1433" s="203"/>
      <c r="O1433" s="203"/>
      <c r="P1433" s="26"/>
      <c r="Q1433" s="203"/>
      <c r="R1433" s="203"/>
      <c r="S1433" s="203"/>
      <c r="T1433" s="204"/>
      <c r="U1433" s="204"/>
      <c r="V1433" s="203"/>
      <c r="W1433" s="203"/>
      <c r="X1433" s="203"/>
      <c r="Y1433" s="203"/>
      <c r="Z1433" s="203"/>
      <c r="AA1433" s="203"/>
      <c r="AB1433" s="203"/>
      <c r="AC1433" s="203"/>
      <c r="AD1433" s="203"/>
      <c r="AE1433" s="203"/>
      <c r="AF1433" s="203"/>
      <c r="AG1433" s="203">
        <v>20000</v>
      </c>
      <c r="AH1433" s="203">
        <v>0</v>
      </c>
      <c r="AI1433" s="203">
        <v>0</v>
      </c>
      <c r="AJ1433" s="162" t="b">
        <f t="shared" si="892"/>
        <v>0</v>
      </c>
      <c r="AK1433" s="162" t="str">
        <f t="shared" si="893"/>
        <v>PUNO</v>
      </c>
      <c r="AM1433" s="164"/>
    </row>
    <row r="1434" spans="1:39" s="171" customFormat="1" ht="31.5" x14ac:dyDescent="0.2">
      <c r="A1434" s="259"/>
      <c r="B1434" s="168"/>
      <c r="C1434" s="168"/>
      <c r="D1434" s="168"/>
      <c r="E1434" s="168"/>
      <c r="F1434" s="168"/>
      <c r="G1434" s="168"/>
      <c r="H1434" s="35" t="s">
        <v>594</v>
      </c>
      <c r="I1434" s="169">
        <f>I1436</f>
        <v>1095073</v>
      </c>
      <c r="J1434" s="169">
        <f>J1436</f>
        <v>73</v>
      </c>
      <c r="K1434" s="169">
        <f>ROUND(J1434/I1434*100,2)</f>
        <v>0.01</v>
      </c>
      <c r="L1434" s="169">
        <f>M1434-I1434</f>
        <v>68561.469999999972</v>
      </c>
      <c r="M1434" s="19">
        <f>M1436</f>
        <v>1163634.47</v>
      </c>
      <c r="N1434" s="19">
        <f>N1436</f>
        <v>881566</v>
      </c>
      <c r="O1434" s="19">
        <f>O1436</f>
        <v>508305.04</v>
      </c>
      <c r="P1434" s="303">
        <f>T1434-N1434</f>
        <v>145434</v>
      </c>
      <c r="Q1434" s="19">
        <f t="shared" ref="Q1434:X1434" si="895">Q1436</f>
        <v>881566</v>
      </c>
      <c r="R1434" s="19">
        <f t="shared" si="895"/>
        <v>606500</v>
      </c>
      <c r="S1434" s="19">
        <f t="shared" si="895"/>
        <v>601000</v>
      </c>
      <c r="T1434" s="53">
        <f t="shared" si="895"/>
        <v>1027000</v>
      </c>
      <c r="U1434" s="53">
        <f>U1436</f>
        <v>1027000</v>
      </c>
      <c r="V1434" s="19">
        <f t="shared" si="895"/>
        <v>1027000</v>
      </c>
      <c r="W1434" s="19">
        <f t="shared" si="895"/>
        <v>1027000</v>
      </c>
      <c r="X1434" s="19">
        <f t="shared" si="895"/>
        <v>1027000</v>
      </c>
      <c r="Y1434" s="19">
        <f>Y1436</f>
        <v>254436.64</v>
      </c>
      <c r="Z1434" s="19">
        <f t="shared" si="869"/>
        <v>24.77</v>
      </c>
      <c r="AA1434" s="19">
        <f t="shared" ref="AA1434:AA1528" si="896">AB1434-V1434</f>
        <v>-15</v>
      </c>
      <c r="AB1434" s="19">
        <f>AB1436</f>
        <v>1026985</v>
      </c>
      <c r="AC1434" s="19">
        <f>AC1436</f>
        <v>508795.28</v>
      </c>
      <c r="AD1434" s="19">
        <f t="shared" si="884"/>
        <v>49.542620388808018</v>
      </c>
      <c r="AE1434" s="19">
        <f t="shared" si="888"/>
        <v>0</v>
      </c>
      <c r="AF1434" s="19">
        <f>AF1436</f>
        <v>1026985</v>
      </c>
      <c r="AG1434" s="19">
        <f>AG1436</f>
        <v>225292</v>
      </c>
      <c r="AH1434" s="19">
        <f>AH1436</f>
        <v>225292</v>
      </c>
      <c r="AI1434" s="19">
        <f>AI1436</f>
        <v>225292</v>
      </c>
      <c r="AJ1434" s="162" t="b">
        <f t="shared" si="892"/>
        <v>1</v>
      </c>
      <c r="AK1434" s="162" t="str">
        <f t="shared" si="893"/>
        <v>PRAZNO</v>
      </c>
      <c r="AL1434" s="170"/>
      <c r="AM1434" s="164"/>
    </row>
    <row r="1435" spans="1:39" s="264" customFormat="1" ht="15.75" x14ac:dyDescent="0.2">
      <c r="A1435" s="259"/>
      <c r="B1435" s="260"/>
      <c r="C1435" s="260"/>
      <c r="D1435" s="260"/>
      <c r="E1435" s="260"/>
      <c r="F1435" s="260"/>
      <c r="G1435" s="260"/>
      <c r="H1435" s="473" t="s">
        <v>824</v>
      </c>
      <c r="I1435" s="181"/>
      <c r="J1435" s="181"/>
      <c r="K1435" s="181"/>
      <c r="L1435" s="181"/>
      <c r="M1435" s="262"/>
      <c r="N1435" s="262"/>
      <c r="O1435" s="262"/>
      <c r="P1435" s="445"/>
      <c r="Q1435" s="262"/>
      <c r="R1435" s="262"/>
      <c r="S1435" s="262"/>
      <c r="T1435" s="342"/>
      <c r="U1435" s="342"/>
      <c r="V1435" s="262">
        <f>V1436</f>
        <v>1027000</v>
      </c>
      <c r="W1435" s="262">
        <f>W1436</f>
        <v>1027000</v>
      </c>
      <c r="X1435" s="262">
        <f>X1436</f>
        <v>1027000</v>
      </c>
      <c r="Y1435" s="262">
        <f>Y1436</f>
        <v>254436.64</v>
      </c>
      <c r="Z1435" s="262">
        <f t="shared" si="869"/>
        <v>24.77</v>
      </c>
      <c r="AA1435" s="262">
        <f t="shared" si="896"/>
        <v>-15</v>
      </c>
      <c r="AB1435" s="262">
        <f>AB1436</f>
        <v>1026985</v>
      </c>
      <c r="AC1435" s="262">
        <f>AC1436</f>
        <v>508795.28</v>
      </c>
      <c r="AD1435" s="262">
        <f t="shared" si="884"/>
        <v>49.542620388808018</v>
      </c>
      <c r="AE1435" s="262">
        <f t="shared" si="888"/>
        <v>0</v>
      </c>
      <c r="AF1435" s="262">
        <f>AF1436</f>
        <v>1026985</v>
      </c>
      <c r="AG1435" s="262">
        <f>AG1436</f>
        <v>225292</v>
      </c>
      <c r="AH1435" s="262">
        <f>AH1436</f>
        <v>225292</v>
      </c>
      <c r="AI1435" s="262">
        <f>AI1436</f>
        <v>225292</v>
      </c>
      <c r="AJ1435" s="162" t="b">
        <f t="shared" si="892"/>
        <v>1</v>
      </c>
      <c r="AK1435" s="162" t="str">
        <f t="shared" si="893"/>
        <v>PRAZNO</v>
      </c>
      <c r="AL1435" s="263"/>
    </row>
    <row r="1436" spans="1:39" s="174" customFormat="1" ht="15.75" x14ac:dyDescent="0.2">
      <c r="A1436" s="259"/>
      <c r="B1436" s="172">
        <v>3</v>
      </c>
      <c r="C1436" s="172"/>
      <c r="D1436" s="172"/>
      <c r="E1436" s="172"/>
      <c r="F1436" s="172"/>
      <c r="G1436" s="172"/>
      <c r="H1436" s="36" t="s">
        <v>524</v>
      </c>
      <c r="I1436" s="37">
        <f>I1437+I1446</f>
        <v>1095073</v>
      </c>
      <c r="J1436" s="37">
        <f>J1437+J1446</f>
        <v>73</v>
      </c>
      <c r="K1436" s="37">
        <f t="shared" ref="K1436:K1447" si="897">ROUND(J1436/I1436*100,2)</f>
        <v>0.01</v>
      </c>
      <c r="L1436" s="37">
        <f t="shared" ref="L1436:L1446" si="898">M1436-I1436</f>
        <v>68561.469999999972</v>
      </c>
      <c r="M1436" s="37">
        <f>M1437+M1446</f>
        <v>1163634.47</v>
      </c>
      <c r="N1436" s="37">
        <f>N1437+N1446</f>
        <v>881566</v>
      </c>
      <c r="O1436" s="37">
        <f>O1437+O1446</f>
        <v>508305.04</v>
      </c>
      <c r="P1436" s="55">
        <f>T1436-N1436</f>
        <v>145434</v>
      </c>
      <c r="Q1436" s="37">
        <f t="shared" ref="Q1436:X1436" si="899">Q1437+Q1446</f>
        <v>881566</v>
      </c>
      <c r="R1436" s="37">
        <f t="shared" si="899"/>
        <v>606500</v>
      </c>
      <c r="S1436" s="37">
        <f t="shared" si="899"/>
        <v>601000</v>
      </c>
      <c r="T1436" s="54">
        <f t="shared" si="899"/>
        <v>1027000</v>
      </c>
      <c r="U1436" s="54">
        <f>U1437+U1446</f>
        <v>1027000</v>
      </c>
      <c r="V1436" s="37">
        <f t="shared" si="899"/>
        <v>1027000</v>
      </c>
      <c r="W1436" s="37">
        <f t="shared" si="899"/>
        <v>1027000</v>
      </c>
      <c r="X1436" s="37">
        <f t="shared" si="899"/>
        <v>1027000</v>
      </c>
      <c r="Y1436" s="37">
        <f>Y1437+Y1446</f>
        <v>254436.64</v>
      </c>
      <c r="Z1436" s="37">
        <f t="shared" si="869"/>
        <v>24.77</v>
      </c>
      <c r="AA1436" s="37">
        <f t="shared" si="896"/>
        <v>-15</v>
      </c>
      <c r="AB1436" s="37">
        <f>AB1437+AB1446</f>
        <v>1026985</v>
      </c>
      <c r="AC1436" s="37">
        <f>AC1437+AC1446</f>
        <v>508795.28</v>
      </c>
      <c r="AD1436" s="37">
        <f t="shared" si="884"/>
        <v>49.542620388808018</v>
      </c>
      <c r="AE1436" s="37">
        <f t="shared" si="888"/>
        <v>0</v>
      </c>
      <c r="AF1436" s="37">
        <f>AF1437+AF1446</f>
        <v>1026985</v>
      </c>
      <c r="AG1436" s="37">
        <f>AG1437+AG1446</f>
        <v>225292</v>
      </c>
      <c r="AH1436" s="37">
        <f>AH1437+AH1446</f>
        <v>225292</v>
      </c>
      <c r="AI1436" s="37">
        <f>AI1437+AI1446</f>
        <v>225292</v>
      </c>
      <c r="AJ1436" s="162" t="b">
        <f t="shared" si="892"/>
        <v>1</v>
      </c>
      <c r="AK1436" s="162" t="str">
        <f t="shared" si="893"/>
        <v>PRAZNO</v>
      </c>
      <c r="AL1436" s="173"/>
      <c r="AM1436" s="164"/>
    </row>
    <row r="1437" spans="1:39" ht="15.75" x14ac:dyDescent="0.2">
      <c r="B1437" s="175"/>
      <c r="C1437" s="175">
        <v>31</v>
      </c>
      <c r="D1437" s="175"/>
      <c r="E1437" s="175"/>
      <c r="F1437" s="175"/>
      <c r="G1437" s="175"/>
      <c r="H1437" s="15" t="s">
        <v>197</v>
      </c>
      <c r="I1437" s="22">
        <f>I1438+I1441</f>
        <v>995000</v>
      </c>
      <c r="J1437" s="22">
        <f>J1438+J1441</f>
        <v>0</v>
      </c>
      <c r="K1437" s="22">
        <f t="shared" si="897"/>
        <v>0</v>
      </c>
      <c r="L1437" s="22">
        <f t="shared" si="898"/>
        <v>1622</v>
      </c>
      <c r="M1437" s="22">
        <f>M1438+M1441</f>
        <v>996622</v>
      </c>
      <c r="N1437" s="22">
        <f>N1438+N1441</f>
        <v>820754</v>
      </c>
      <c r="O1437" s="22">
        <f>O1438+O1441</f>
        <v>486100.54</v>
      </c>
      <c r="P1437" s="26">
        <f>T1437-N1437</f>
        <v>145434</v>
      </c>
      <c r="Q1437" s="22">
        <f t="shared" ref="Q1437:X1437" si="900">Q1438+Q1441</f>
        <v>820754</v>
      </c>
      <c r="R1437" s="22">
        <f t="shared" si="900"/>
        <v>547000</v>
      </c>
      <c r="S1437" s="22">
        <f t="shared" si="900"/>
        <v>545000</v>
      </c>
      <c r="T1437" s="38">
        <f t="shared" si="900"/>
        <v>966188</v>
      </c>
      <c r="U1437" s="38">
        <f>U1438+U1441</f>
        <v>966188</v>
      </c>
      <c r="V1437" s="22">
        <f t="shared" si="900"/>
        <v>946208</v>
      </c>
      <c r="W1437" s="22">
        <f t="shared" si="900"/>
        <v>946208</v>
      </c>
      <c r="X1437" s="22">
        <f t="shared" si="900"/>
        <v>946208</v>
      </c>
      <c r="Y1437" s="22">
        <f>Y1438+Y1441</f>
        <v>236552</v>
      </c>
      <c r="Z1437" s="22">
        <f t="shared" ref="Z1437:Z1505" si="901">ROUND(Y1437/V1437*100,2)</f>
        <v>25</v>
      </c>
      <c r="AA1437" s="22">
        <f t="shared" si="896"/>
        <v>0</v>
      </c>
      <c r="AB1437" s="22">
        <f>AB1438+AB1441</f>
        <v>946208</v>
      </c>
      <c r="AC1437" s="22">
        <f>AC1438+AC1441</f>
        <v>473104</v>
      </c>
      <c r="AD1437" s="22">
        <f t="shared" si="884"/>
        <v>50</v>
      </c>
      <c r="AE1437" s="22">
        <f t="shared" si="888"/>
        <v>0</v>
      </c>
      <c r="AF1437" s="22">
        <f>AF1438+AF1441</f>
        <v>946208</v>
      </c>
      <c r="AG1437" s="22">
        <f>AG1438+AG1441</f>
        <v>109500</v>
      </c>
      <c r="AH1437" s="22">
        <f>AH1438+AH1441</f>
        <v>109500</v>
      </c>
      <c r="AI1437" s="22">
        <f>AI1438+AI1441</f>
        <v>109500</v>
      </c>
      <c r="AJ1437" s="162" t="b">
        <f t="shared" si="892"/>
        <v>1</v>
      </c>
      <c r="AK1437" s="162" t="str">
        <f t="shared" si="893"/>
        <v>PRAZNO</v>
      </c>
      <c r="AM1437" s="164"/>
    </row>
    <row r="1438" spans="1:39" ht="15.75" x14ac:dyDescent="0.2">
      <c r="B1438" s="177"/>
      <c r="C1438" s="177"/>
      <c r="D1438" s="177">
        <v>311</v>
      </c>
      <c r="E1438" s="177"/>
      <c r="F1438" s="177"/>
      <c r="G1438" s="177"/>
      <c r="H1438" s="16" t="s">
        <v>915</v>
      </c>
      <c r="I1438" s="17">
        <f>I1440</f>
        <v>850500</v>
      </c>
      <c r="J1438" s="17">
        <f>J1440</f>
        <v>0</v>
      </c>
      <c r="K1438" s="17">
        <f t="shared" si="897"/>
        <v>0</v>
      </c>
      <c r="L1438" s="17">
        <f t="shared" si="898"/>
        <v>1622</v>
      </c>
      <c r="M1438" s="17">
        <f>M1440</f>
        <v>852122</v>
      </c>
      <c r="N1438" s="17">
        <f>N1440</f>
        <v>701000</v>
      </c>
      <c r="O1438" s="17">
        <f>O1440</f>
        <v>413550.42</v>
      </c>
      <c r="P1438" s="26">
        <f>T1438-N1438</f>
        <v>135434</v>
      </c>
      <c r="Q1438" s="17">
        <f t="shared" ref="Q1438:AF1438" si="902">Q1440</f>
        <v>701000</v>
      </c>
      <c r="R1438" s="17">
        <f t="shared" si="902"/>
        <v>446000</v>
      </c>
      <c r="S1438" s="17">
        <f t="shared" si="902"/>
        <v>446000</v>
      </c>
      <c r="T1438" s="26">
        <f t="shared" si="902"/>
        <v>836434</v>
      </c>
      <c r="U1438" s="26">
        <f t="shared" si="902"/>
        <v>836434</v>
      </c>
      <c r="V1438" s="17">
        <f t="shared" si="902"/>
        <v>820649</v>
      </c>
      <c r="W1438" s="17">
        <f t="shared" si="902"/>
        <v>820649</v>
      </c>
      <c r="X1438" s="17">
        <f t="shared" si="902"/>
        <v>820649</v>
      </c>
      <c r="Y1438" s="17">
        <f t="shared" si="902"/>
        <v>205162</v>
      </c>
      <c r="Z1438" s="17">
        <f t="shared" si="901"/>
        <v>25</v>
      </c>
      <c r="AA1438" s="17">
        <f t="shared" si="896"/>
        <v>0</v>
      </c>
      <c r="AB1438" s="17">
        <f t="shared" si="902"/>
        <v>820649</v>
      </c>
      <c r="AC1438" s="17">
        <f t="shared" si="902"/>
        <v>410324</v>
      </c>
      <c r="AD1438" s="17">
        <f t="shared" si="884"/>
        <v>49.999939072612044</v>
      </c>
      <c r="AE1438" s="17">
        <f t="shared" si="888"/>
        <v>0</v>
      </c>
      <c r="AF1438" s="17">
        <f t="shared" si="902"/>
        <v>820649</v>
      </c>
      <c r="AG1438" s="17">
        <f>AG1439</f>
        <v>95000</v>
      </c>
      <c r="AH1438" s="17">
        <f>AH1439</f>
        <v>95000</v>
      </c>
      <c r="AI1438" s="17">
        <f>AI1439</f>
        <v>95000</v>
      </c>
      <c r="AJ1438" s="162" t="b">
        <f t="shared" si="892"/>
        <v>1</v>
      </c>
      <c r="AK1438" s="162" t="str">
        <f t="shared" si="893"/>
        <v>PRAZNO</v>
      </c>
      <c r="AM1438" s="164"/>
    </row>
    <row r="1439" spans="1:39" ht="15.75" x14ac:dyDescent="0.2">
      <c r="B1439" s="177"/>
      <c r="C1439" s="177"/>
      <c r="D1439" s="177"/>
      <c r="E1439" s="177">
        <v>3111</v>
      </c>
      <c r="F1439" s="176">
        <v>11</v>
      </c>
      <c r="G1439" s="176" t="s">
        <v>746</v>
      </c>
      <c r="H1439" s="16" t="s">
        <v>199</v>
      </c>
      <c r="I1439" s="17"/>
      <c r="J1439" s="17"/>
      <c r="K1439" s="17"/>
      <c r="L1439" s="17"/>
      <c r="M1439" s="17"/>
      <c r="N1439" s="17"/>
      <c r="O1439" s="17"/>
      <c r="P1439" s="26"/>
      <c r="Q1439" s="17"/>
      <c r="R1439" s="17"/>
      <c r="S1439" s="17"/>
      <c r="T1439" s="26"/>
      <c r="U1439" s="26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>
        <v>95000</v>
      </c>
      <c r="AH1439" s="17">
        <v>95000</v>
      </c>
      <c r="AI1439" s="17">
        <v>95000</v>
      </c>
      <c r="AJ1439" s="162" t="b">
        <f t="shared" si="892"/>
        <v>0</v>
      </c>
      <c r="AK1439" s="162" t="str">
        <f t="shared" si="893"/>
        <v>PUNO</v>
      </c>
      <c r="AM1439" s="164"/>
    </row>
    <row r="1440" spans="1:39" ht="15.75" x14ac:dyDescent="0.2">
      <c r="B1440" s="177"/>
      <c r="C1440" s="177"/>
      <c r="D1440" s="177"/>
      <c r="E1440" s="177">
        <v>3111</v>
      </c>
      <c r="F1440" s="176">
        <v>14</v>
      </c>
      <c r="G1440" s="176" t="s">
        <v>746</v>
      </c>
      <c r="H1440" s="16" t="s">
        <v>199</v>
      </c>
      <c r="I1440" s="18">
        <v>850500</v>
      </c>
      <c r="J1440" s="18">
        <v>0</v>
      </c>
      <c r="K1440" s="18">
        <f t="shared" si="897"/>
        <v>0</v>
      </c>
      <c r="L1440" s="18">
        <f t="shared" si="898"/>
        <v>1622</v>
      </c>
      <c r="M1440" s="18">
        <v>852122</v>
      </c>
      <c r="N1440" s="18">
        <f>760000-59000</f>
        <v>701000</v>
      </c>
      <c r="O1440" s="18">
        <v>413550.42</v>
      </c>
      <c r="P1440" s="26">
        <f>T1440-N1440</f>
        <v>135434</v>
      </c>
      <c r="Q1440" s="18">
        <f>760000-59000</f>
        <v>701000</v>
      </c>
      <c r="R1440" s="18">
        <v>446000</v>
      </c>
      <c r="S1440" s="18">
        <v>446000</v>
      </c>
      <c r="T1440" s="27">
        <v>836434</v>
      </c>
      <c r="U1440" s="27">
        <v>836434</v>
      </c>
      <c r="V1440" s="27">
        <v>820649</v>
      </c>
      <c r="W1440" s="27">
        <v>820649</v>
      </c>
      <c r="X1440" s="27">
        <v>820649</v>
      </c>
      <c r="Y1440" s="27">
        <v>205162</v>
      </c>
      <c r="Z1440" s="27">
        <f t="shared" si="901"/>
        <v>25</v>
      </c>
      <c r="AA1440" s="27">
        <f t="shared" si="896"/>
        <v>0</v>
      </c>
      <c r="AB1440" s="27">
        <v>820649</v>
      </c>
      <c r="AC1440" s="27">
        <v>410324</v>
      </c>
      <c r="AD1440" s="27">
        <f t="shared" si="884"/>
        <v>49.999939072612044</v>
      </c>
      <c r="AE1440" s="27">
        <f t="shared" si="888"/>
        <v>0</v>
      </c>
      <c r="AF1440" s="27">
        <v>820649</v>
      </c>
      <c r="AG1440" s="27"/>
      <c r="AH1440" s="27"/>
      <c r="AI1440" s="27"/>
      <c r="AJ1440" s="162" t="b">
        <f t="shared" si="892"/>
        <v>0</v>
      </c>
      <c r="AK1440" s="162" t="str">
        <f t="shared" si="893"/>
        <v>PUNO</v>
      </c>
      <c r="AM1440" s="164"/>
    </row>
    <row r="1441" spans="1:39" ht="15.75" x14ac:dyDescent="0.2">
      <c r="B1441" s="177"/>
      <c r="C1441" s="177"/>
      <c r="D1441" s="177">
        <v>313</v>
      </c>
      <c r="E1441" s="177"/>
      <c r="F1441" s="177"/>
      <c r="G1441" s="177"/>
      <c r="H1441" s="16" t="s">
        <v>201</v>
      </c>
      <c r="I1441" s="17">
        <f>SUM(I1442:I1445)</f>
        <v>144500</v>
      </c>
      <c r="J1441" s="17">
        <f>SUM(J1442:J1445)</f>
        <v>0</v>
      </c>
      <c r="K1441" s="17">
        <f t="shared" si="897"/>
        <v>0</v>
      </c>
      <c r="L1441" s="17">
        <f t="shared" si="898"/>
        <v>0</v>
      </c>
      <c r="M1441" s="17">
        <f>SUM(M1442:M1445)</f>
        <v>144500</v>
      </c>
      <c r="N1441" s="17">
        <f>SUM(N1442:N1445)</f>
        <v>119754</v>
      </c>
      <c r="O1441" s="17">
        <f>SUM(O1442:O1445)</f>
        <v>72550.12</v>
      </c>
      <c r="P1441" s="26">
        <f>T1441-N1441</f>
        <v>10000</v>
      </c>
      <c r="Q1441" s="17">
        <f t="shared" ref="Q1441:X1441" si="903">SUM(Q1442:Q1445)</f>
        <v>119754</v>
      </c>
      <c r="R1441" s="17">
        <f t="shared" si="903"/>
        <v>101000</v>
      </c>
      <c r="S1441" s="17">
        <f t="shared" si="903"/>
        <v>99000</v>
      </c>
      <c r="T1441" s="26">
        <f t="shared" si="903"/>
        <v>129754</v>
      </c>
      <c r="U1441" s="26">
        <f>SUM(U1442:U1445)</f>
        <v>129754</v>
      </c>
      <c r="V1441" s="17">
        <f t="shared" si="903"/>
        <v>125559</v>
      </c>
      <c r="W1441" s="17">
        <f t="shared" si="903"/>
        <v>125559</v>
      </c>
      <c r="X1441" s="17">
        <f t="shared" si="903"/>
        <v>125559</v>
      </c>
      <c r="Y1441" s="17">
        <f>SUM(Y1442:Y1445)</f>
        <v>31390</v>
      </c>
      <c r="Z1441" s="17">
        <f t="shared" si="901"/>
        <v>25</v>
      </c>
      <c r="AA1441" s="17">
        <f t="shared" si="896"/>
        <v>0</v>
      </c>
      <c r="AB1441" s="17">
        <f>SUM(AB1442:AB1445)</f>
        <v>125559</v>
      </c>
      <c r="AC1441" s="17">
        <f>SUM(AC1442:AC1445)</f>
        <v>62780</v>
      </c>
      <c r="AD1441" s="17">
        <f t="shared" si="884"/>
        <v>50.000398219163898</v>
      </c>
      <c r="AE1441" s="17">
        <f t="shared" si="888"/>
        <v>0</v>
      </c>
      <c r="AF1441" s="17">
        <f>SUM(AF1442:AF1445)</f>
        <v>125559</v>
      </c>
      <c r="AG1441" s="17">
        <f>SUM(AG1442:AG1445)</f>
        <v>14500</v>
      </c>
      <c r="AH1441" s="17">
        <f>SUM(AH1442:AH1445)</f>
        <v>14500</v>
      </c>
      <c r="AI1441" s="17">
        <f>SUM(AI1442:AI1445)</f>
        <v>14500</v>
      </c>
      <c r="AJ1441" s="162" t="b">
        <f t="shared" si="892"/>
        <v>1</v>
      </c>
      <c r="AK1441" s="162" t="str">
        <f t="shared" si="893"/>
        <v>PRAZNO</v>
      </c>
      <c r="AM1441" s="164"/>
    </row>
    <row r="1442" spans="1:39" ht="21" customHeight="1" x14ac:dyDescent="0.2">
      <c r="B1442" s="177"/>
      <c r="C1442" s="177"/>
      <c r="D1442" s="177"/>
      <c r="E1442" s="177">
        <v>3132</v>
      </c>
      <c r="F1442" s="176">
        <v>14</v>
      </c>
      <c r="G1442" s="176" t="s">
        <v>746</v>
      </c>
      <c r="H1442" s="16" t="s">
        <v>202</v>
      </c>
      <c r="I1442" s="18">
        <v>127500</v>
      </c>
      <c r="J1442" s="18">
        <v>0</v>
      </c>
      <c r="K1442" s="18">
        <f t="shared" si="897"/>
        <v>0</v>
      </c>
      <c r="L1442" s="18">
        <f t="shared" si="898"/>
        <v>0</v>
      </c>
      <c r="M1442" s="18">
        <v>127500</v>
      </c>
      <c r="N1442" s="18">
        <v>107000</v>
      </c>
      <c r="O1442" s="18">
        <v>65001.55</v>
      </c>
      <c r="P1442" s="26">
        <f>T1442-N1442</f>
        <v>10000</v>
      </c>
      <c r="Q1442" s="18">
        <v>107000</v>
      </c>
      <c r="R1442" s="18">
        <v>91000</v>
      </c>
      <c r="S1442" s="18">
        <v>89000</v>
      </c>
      <c r="T1442" s="27">
        <v>117000</v>
      </c>
      <c r="U1442" s="27">
        <v>117000</v>
      </c>
      <c r="V1442" s="27">
        <v>110788</v>
      </c>
      <c r="W1442" s="27">
        <v>110788</v>
      </c>
      <c r="X1442" s="27">
        <v>110788</v>
      </c>
      <c r="Y1442" s="27">
        <v>27697</v>
      </c>
      <c r="Z1442" s="27">
        <f t="shared" si="901"/>
        <v>25</v>
      </c>
      <c r="AA1442" s="27">
        <f t="shared" si="896"/>
        <v>0</v>
      </c>
      <c r="AB1442" s="27">
        <v>110788</v>
      </c>
      <c r="AC1442" s="27">
        <v>55394</v>
      </c>
      <c r="AD1442" s="27">
        <f t="shared" si="884"/>
        <v>50</v>
      </c>
      <c r="AE1442" s="27">
        <f t="shared" si="888"/>
        <v>0</v>
      </c>
      <c r="AF1442" s="27">
        <v>110788</v>
      </c>
      <c r="AG1442" s="27"/>
      <c r="AH1442" s="27"/>
      <c r="AI1442" s="27"/>
      <c r="AJ1442" s="162" t="b">
        <f t="shared" si="892"/>
        <v>0</v>
      </c>
      <c r="AK1442" s="162" t="str">
        <f t="shared" si="893"/>
        <v>PUNO</v>
      </c>
      <c r="AM1442" s="164"/>
    </row>
    <row r="1443" spans="1:39" ht="15.75" x14ac:dyDescent="0.2">
      <c r="B1443" s="177"/>
      <c r="C1443" s="177"/>
      <c r="D1443" s="177"/>
      <c r="E1443" s="177">
        <v>3132</v>
      </c>
      <c r="F1443" s="176">
        <v>11</v>
      </c>
      <c r="G1443" s="176" t="s">
        <v>746</v>
      </c>
      <c r="H1443" s="16" t="s">
        <v>202</v>
      </c>
      <c r="I1443" s="18"/>
      <c r="J1443" s="18"/>
      <c r="K1443" s="18"/>
      <c r="L1443" s="18"/>
      <c r="M1443" s="18"/>
      <c r="N1443" s="18"/>
      <c r="O1443" s="18"/>
      <c r="P1443" s="26"/>
      <c r="Q1443" s="18"/>
      <c r="R1443" s="18"/>
      <c r="S1443" s="18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>
        <v>12500</v>
      </c>
      <c r="AH1443" s="27">
        <v>12500</v>
      </c>
      <c r="AI1443" s="27">
        <v>12500</v>
      </c>
      <c r="AJ1443" s="162" t="b">
        <f t="shared" si="892"/>
        <v>0</v>
      </c>
      <c r="AK1443" s="162" t="str">
        <f t="shared" si="893"/>
        <v>PUNO</v>
      </c>
      <c r="AM1443" s="164"/>
    </row>
    <row r="1444" spans="1:39" ht="30" x14ac:dyDescent="0.2">
      <c r="B1444" s="177"/>
      <c r="C1444" s="177"/>
      <c r="D1444" s="177"/>
      <c r="E1444" s="177">
        <v>3133</v>
      </c>
      <c r="F1444" s="176">
        <v>11</v>
      </c>
      <c r="G1444" s="176" t="s">
        <v>746</v>
      </c>
      <c r="H1444" s="16" t="s">
        <v>203</v>
      </c>
      <c r="I1444" s="18"/>
      <c r="J1444" s="18"/>
      <c r="K1444" s="18"/>
      <c r="L1444" s="18"/>
      <c r="M1444" s="18"/>
      <c r="N1444" s="18"/>
      <c r="O1444" s="18"/>
      <c r="P1444" s="26"/>
      <c r="Q1444" s="18"/>
      <c r="R1444" s="18"/>
      <c r="S1444" s="18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>
        <v>2000</v>
      </c>
      <c r="AH1444" s="27">
        <v>2000</v>
      </c>
      <c r="AI1444" s="27">
        <v>2000</v>
      </c>
      <c r="AJ1444" s="162" t="b">
        <f t="shared" si="892"/>
        <v>0</v>
      </c>
      <c r="AK1444" s="162" t="str">
        <f t="shared" si="893"/>
        <v>PUNO</v>
      </c>
      <c r="AM1444" s="164"/>
    </row>
    <row r="1445" spans="1:39" ht="30" x14ac:dyDescent="0.2">
      <c r="B1445" s="177"/>
      <c r="C1445" s="177"/>
      <c r="D1445" s="177"/>
      <c r="E1445" s="177">
        <v>3133</v>
      </c>
      <c r="F1445" s="176">
        <v>14</v>
      </c>
      <c r="G1445" s="176" t="s">
        <v>746</v>
      </c>
      <c r="H1445" s="16" t="s">
        <v>203</v>
      </c>
      <c r="I1445" s="18">
        <v>17000</v>
      </c>
      <c r="J1445" s="18">
        <v>0</v>
      </c>
      <c r="K1445" s="18">
        <f t="shared" si="897"/>
        <v>0</v>
      </c>
      <c r="L1445" s="18">
        <f t="shared" si="898"/>
        <v>0</v>
      </c>
      <c r="M1445" s="18">
        <v>17000</v>
      </c>
      <c r="N1445" s="18">
        <f>12000+754</f>
        <v>12754</v>
      </c>
      <c r="O1445" s="18">
        <v>7548.57</v>
      </c>
      <c r="P1445" s="26">
        <f>T1445-N1445</f>
        <v>0</v>
      </c>
      <c r="Q1445" s="18">
        <f>12000+754</f>
        <v>12754</v>
      </c>
      <c r="R1445" s="18">
        <v>10000</v>
      </c>
      <c r="S1445" s="18">
        <v>10000</v>
      </c>
      <c r="T1445" s="27">
        <v>12754</v>
      </c>
      <c r="U1445" s="27">
        <v>12754</v>
      </c>
      <c r="V1445" s="27">
        <v>14771</v>
      </c>
      <c r="W1445" s="27">
        <v>14771</v>
      </c>
      <c r="X1445" s="27">
        <v>14771</v>
      </c>
      <c r="Y1445" s="27">
        <v>3693</v>
      </c>
      <c r="Z1445" s="27">
        <f t="shared" si="901"/>
        <v>25</v>
      </c>
      <c r="AA1445" s="27">
        <f t="shared" si="896"/>
        <v>0</v>
      </c>
      <c r="AB1445" s="27">
        <v>14771</v>
      </c>
      <c r="AC1445" s="27">
        <v>7386</v>
      </c>
      <c r="AD1445" s="27">
        <f t="shared" si="884"/>
        <v>50.003385011170529</v>
      </c>
      <c r="AE1445" s="27">
        <f t="shared" si="888"/>
        <v>0</v>
      </c>
      <c r="AF1445" s="27">
        <v>14771</v>
      </c>
      <c r="AG1445" s="27"/>
      <c r="AH1445" s="27"/>
      <c r="AI1445" s="27"/>
      <c r="AJ1445" s="162" t="b">
        <f t="shared" si="892"/>
        <v>0</v>
      </c>
      <c r="AK1445" s="162" t="str">
        <f t="shared" si="893"/>
        <v>PUNO</v>
      </c>
      <c r="AM1445" s="164"/>
    </row>
    <row r="1446" spans="1:39" ht="15.75" x14ac:dyDescent="0.2">
      <c r="B1446" s="175"/>
      <c r="C1446" s="175">
        <v>32</v>
      </c>
      <c r="D1446" s="175"/>
      <c r="E1446" s="175"/>
      <c r="F1446" s="175"/>
      <c r="G1446" s="175"/>
      <c r="H1446" s="15" t="s">
        <v>525</v>
      </c>
      <c r="I1446" s="22">
        <f>I1447+I1452</f>
        <v>100073</v>
      </c>
      <c r="J1446" s="22">
        <f>J1447+J1452</f>
        <v>73</v>
      </c>
      <c r="K1446" s="22">
        <f t="shared" si="897"/>
        <v>7.0000000000000007E-2</v>
      </c>
      <c r="L1446" s="22">
        <f t="shared" si="898"/>
        <v>66939.47</v>
      </c>
      <c r="M1446" s="22">
        <f>M1447+M1452</f>
        <v>167012.47</v>
      </c>
      <c r="N1446" s="22">
        <f>N1447+N1452</f>
        <v>60812</v>
      </c>
      <c r="O1446" s="22">
        <f>O1447+O1452</f>
        <v>22204.5</v>
      </c>
      <c r="P1446" s="26">
        <f>T1446-N1446</f>
        <v>0</v>
      </c>
      <c r="Q1446" s="22">
        <f t="shared" ref="Q1446:X1446" si="904">Q1447+Q1452</f>
        <v>60812</v>
      </c>
      <c r="R1446" s="22">
        <f t="shared" si="904"/>
        <v>59500</v>
      </c>
      <c r="S1446" s="22">
        <f t="shared" si="904"/>
        <v>56000</v>
      </c>
      <c r="T1446" s="38">
        <f t="shared" si="904"/>
        <v>60812</v>
      </c>
      <c r="U1446" s="38">
        <f>U1447+U1452</f>
        <v>60812</v>
      </c>
      <c r="V1446" s="22">
        <f t="shared" si="904"/>
        <v>80792</v>
      </c>
      <c r="W1446" s="22">
        <f t="shared" si="904"/>
        <v>80792</v>
      </c>
      <c r="X1446" s="22">
        <f t="shared" si="904"/>
        <v>80792</v>
      </c>
      <c r="Y1446" s="22">
        <f>Y1447+Y1452</f>
        <v>17884.64</v>
      </c>
      <c r="Z1446" s="22">
        <f t="shared" si="901"/>
        <v>22.14</v>
      </c>
      <c r="AA1446" s="22">
        <f t="shared" si="896"/>
        <v>-15</v>
      </c>
      <c r="AB1446" s="22">
        <f>AB1447+AB1452</f>
        <v>80777</v>
      </c>
      <c r="AC1446" s="22">
        <f>AC1447+AC1452</f>
        <v>35691.279999999999</v>
      </c>
      <c r="AD1446" s="22">
        <f t="shared" si="884"/>
        <v>44.184953637792937</v>
      </c>
      <c r="AE1446" s="22">
        <f t="shared" si="888"/>
        <v>0</v>
      </c>
      <c r="AF1446" s="22">
        <f>AF1447+AF1452</f>
        <v>80777</v>
      </c>
      <c r="AG1446" s="22">
        <f>AG1447+AG1452</f>
        <v>115792</v>
      </c>
      <c r="AH1446" s="22">
        <f>AH1447+AH1452</f>
        <v>115792</v>
      </c>
      <c r="AI1446" s="22">
        <f>AI1447+AI1452</f>
        <v>115792</v>
      </c>
      <c r="AJ1446" s="162" t="b">
        <f t="shared" si="892"/>
        <v>1</v>
      </c>
      <c r="AK1446" s="162" t="str">
        <f t="shared" si="893"/>
        <v>PRAZNO</v>
      </c>
      <c r="AM1446" s="164"/>
    </row>
    <row r="1447" spans="1:39" ht="15.75" x14ac:dyDescent="0.2">
      <c r="B1447" s="177"/>
      <c r="C1447" s="177"/>
      <c r="D1447" s="177">
        <v>323</v>
      </c>
      <c r="E1447" s="177"/>
      <c r="F1447" s="177"/>
      <c r="G1447" s="177"/>
      <c r="H1447" s="16" t="s">
        <v>526</v>
      </c>
      <c r="I1447" s="17">
        <f>I1448+I1450</f>
        <v>73</v>
      </c>
      <c r="J1447" s="17">
        <f>J1448+J1450</f>
        <v>73</v>
      </c>
      <c r="K1447" s="17">
        <f t="shared" si="897"/>
        <v>100</v>
      </c>
      <c r="L1447" s="17">
        <f>L1448+L1450</f>
        <v>74503</v>
      </c>
      <c r="M1447" s="17">
        <f>M1448+M1450</f>
        <v>74576</v>
      </c>
      <c r="N1447" s="17">
        <f>N1450</f>
        <v>812</v>
      </c>
      <c r="O1447" s="17">
        <f>O1448+O1450</f>
        <v>408</v>
      </c>
      <c r="P1447" s="26">
        <f>T1447-N1447</f>
        <v>0</v>
      </c>
      <c r="Q1447" s="17">
        <f t="shared" ref="Q1447:X1447" si="905">Q1450</f>
        <v>812</v>
      </c>
      <c r="R1447" s="17">
        <f t="shared" si="905"/>
        <v>888</v>
      </c>
      <c r="S1447" s="17">
        <f t="shared" si="905"/>
        <v>888</v>
      </c>
      <c r="T1447" s="26">
        <f t="shared" si="905"/>
        <v>812</v>
      </c>
      <c r="U1447" s="26">
        <f>U1450</f>
        <v>812</v>
      </c>
      <c r="V1447" s="17">
        <f t="shared" si="905"/>
        <v>792</v>
      </c>
      <c r="W1447" s="17">
        <f t="shared" si="905"/>
        <v>792</v>
      </c>
      <c r="X1447" s="17">
        <f t="shared" si="905"/>
        <v>792</v>
      </c>
      <c r="Y1447" s="17">
        <f>Y1450</f>
        <v>323</v>
      </c>
      <c r="Z1447" s="17">
        <f t="shared" si="901"/>
        <v>40.78</v>
      </c>
      <c r="AA1447" s="17">
        <f t="shared" si="896"/>
        <v>-15</v>
      </c>
      <c r="AB1447" s="17">
        <f>AB1450</f>
        <v>777</v>
      </c>
      <c r="AC1447" s="17">
        <f>AC1450</f>
        <v>568</v>
      </c>
      <c r="AD1447" s="17">
        <f t="shared" si="884"/>
        <v>73.1016731016731</v>
      </c>
      <c r="AE1447" s="17">
        <f t="shared" si="888"/>
        <v>0</v>
      </c>
      <c r="AF1447" s="17">
        <f>AF1450</f>
        <v>777</v>
      </c>
      <c r="AG1447" s="17">
        <f>AG1448+AG1449+AG1450+AG1451</f>
        <v>115792</v>
      </c>
      <c r="AH1447" s="17">
        <f>AH1448+AH1449+AH1450+AH1451</f>
        <v>115792</v>
      </c>
      <c r="AI1447" s="17">
        <f>AI1448+AI1449+AI1450+AI1451</f>
        <v>115792</v>
      </c>
      <c r="AJ1447" s="162" t="b">
        <f t="shared" si="892"/>
        <v>1</v>
      </c>
      <c r="AK1447" s="162" t="str">
        <f t="shared" si="893"/>
        <v>PRAZNO</v>
      </c>
      <c r="AM1447" s="164"/>
    </row>
    <row r="1448" spans="1:39" ht="15.75" x14ac:dyDescent="0.2">
      <c r="B1448" s="177"/>
      <c r="C1448" s="177"/>
      <c r="D1448" s="177"/>
      <c r="E1448" s="177">
        <v>3232</v>
      </c>
      <c r="F1448" s="176">
        <v>14</v>
      </c>
      <c r="G1448" s="177"/>
      <c r="H1448" s="16" t="s">
        <v>207</v>
      </c>
      <c r="I1448" s="17">
        <v>0</v>
      </c>
      <c r="J1448" s="17">
        <v>0</v>
      </c>
      <c r="K1448" s="17"/>
      <c r="L1448" s="17">
        <f>M1448-I1448</f>
        <v>73700</v>
      </c>
      <c r="M1448" s="17">
        <v>73700</v>
      </c>
      <c r="N1448" s="17">
        <v>0</v>
      </c>
      <c r="O1448" s="17">
        <v>0</v>
      </c>
      <c r="P1448" s="26">
        <f>T1448-N1448</f>
        <v>0</v>
      </c>
      <c r="Q1448" s="17">
        <v>0</v>
      </c>
      <c r="R1448" s="17"/>
      <c r="S1448" s="17"/>
      <c r="T1448" s="26"/>
      <c r="U1448" s="26"/>
      <c r="V1448" s="17"/>
      <c r="W1448" s="17"/>
      <c r="X1448" s="17"/>
      <c r="Y1448" s="17"/>
      <c r="Z1448" s="17" t="e">
        <f t="shared" si="901"/>
        <v>#DIV/0!</v>
      </c>
      <c r="AA1448" s="17">
        <f t="shared" si="896"/>
        <v>0</v>
      </c>
      <c r="AB1448" s="17"/>
      <c r="AC1448" s="17"/>
      <c r="AD1448" s="17"/>
      <c r="AE1448" s="17">
        <f t="shared" si="888"/>
        <v>0</v>
      </c>
      <c r="AF1448" s="17"/>
      <c r="AG1448" s="17"/>
      <c r="AH1448" s="17"/>
      <c r="AI1448" s="17"/>
      <c r="AJ1448" s="162" t="b">
        <f t="shared" si="892"/>
        <v>0</v>
      </c>
      <c r="AK1448" s="162" t="str">
        <f t="shared" si="893"/>
        <v>PUNO</v>
      </c>
      <c r="AM1448" s="164"/>
    </row>
    <row r="1449" spans="1:39" ht="15.75" x14ac:dyDescent="0.2">
      <c r="B1449" s="177"/>
      <c r="C1449" s="177"/>
      <c r="D1449" s="177"/>
      <c r="E1449" s="177">
        <v>3235</v>
      </c>
      <c r="F1449" s="176">
        <v>11</v>
      </c>
      <c r="G1449" s="176" t="s">
        <v>746</v>
      </c>
      <c r="H1449" s="16" t="s">
        <v>640</v>
      </c>
      <c r="I1449" s="17"/>
      <c r="J1449" s="17"/>
      <c r="K1449" s="17"/>
      <c r="L1449" s="17"/>
      <c r="M1449" s="17"/>
      <c r="N1449" s="17"/>
      <c r="O1449" s="17"/>
      <c r="P1449" s="26"/>
      <c r="Q1449" s="17"/>
      <c r="R1449" s="17"/>
      <c r="S1449" s="17"/>
      <c r="T1449" s="26"/>
      <c r="U1449" s="26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>
        <v>792</v>
      </c>
      <c r="AH1449" s="17">
        <v>792</v>
      </c>
      <c r="AI1449" s="17">
        <v>792</v>
      </c>
      <c r="AJ1449" s="162" t="b">
        <f t="shared" si="892"/>
        <v>0</v>
      </c>
      <c r="AK1449" s="162" t="str">
        <f t="shared" si="893"/>
        <v>PUNO</v>
      </c>
      <c r="AM1449" s="164"/>
    </row>
    <row r="1450" spans="1:39" ht="15.75" x14ac:dyDescent="0.2">
      <c r="B1450" s="177"/>
      <c r="C1450" s="177"/>
      <c r="D1450" s="177"/>
      <c r="E1450" s="177">
        <v>3235</v>
      </c>
      <c r="F1450" s="176">
        <v>14</v>
      </c>
      <c r="G1450" s="176" t="s">
        <v>746</v>
      </c>
      <c r="H1450" s="16" t="s">
        <v>640</v>
      </c>
      <c r="I1450" s="18">
        <v>73</v>
      </c>
      <c r="J1450" s="18">
        <v>73</v>
      </c>
      <c r="K1450" s="18">
        <f>ROUND(J1450/I1450*100,2)</f>
        <v>100</v>
      </c>
      <c r="L1450" s="18">
        <f>M1450-I1450</f>
        <v>803</v>
      </c>
      <c r="M1450" s="18">
        <v>876</v>
      </c>
      <c r="N1450" s="18">
        <v>812</v>
      </c>
      <c r="O1450" s="18">
        <v>408</v>
      </c>
      <c r="P1450" s="26">
        <f>T1450-N1450</f>
        <v>0</v>
      </c>
      <c r="Q1450" s="18">
        <v>812</v>
      </c>
      <c r="R1450" s="18">
        <v>888</v>
      </c>
      <c r="S1450" s="18">
        <v>888</v>
      </c>
      <c r="T1450" s="27">
        <v>812</v>
      </c>
      <c r="U1450" s="27">
        <v>812</v>
      </c>
      <c r="V1450" s="18">
        <v>792</v>
      </c>
      <c r="W1450" s="18">
        <v>792</v>
      </c>
      <c r="X1450" s="18">
        <v>792</v>
      </c>
      <c r="Y1450" s="18">
        <v>323</v>
      </c>
      <c r="Z1450" s="18">
        <f t="shared" si="901"/>
        <v>40.78</v>
      </c>
      <c r="AA1450" s="18">
        <f t="shared" si="896"/>
        <v>-15</v>
      </c>
      <c r="AB1450" s="18">
        <v>777</v>
      </c>
      <c r="AC1450" s="18">
        <v>568</v>
      </c>
      <c r="AD1450" s="18">
        <f t="shared" si="884"/>
        <v>73.1016731016731</v>
      </c>
      <c r="AE1450" s="18">
        <f t="shared" si="888"/>
        <v>0</v>
      </c>
      <c r="AF1450" s="18">
        <v>777</v>
      </c>
      <c r="AG1450" s="18"/>
      <c r="AH1450" s="18"/>
      <c r="AI1450" s="18"/>
      <c r="AJ1450" s="162" t="b">
        <f t="shared" si="892"/>
        <v>0</v>
      </c>
      <c r="AK1450" s="162" t="str">
        <f t="shared" si="893"/>
        <v>PUNO</v>
      </c>
      <c r="AM1450" s="164"/>
    </row>
    <row r="1451" spans="1:39" ht="15.75" x14ac:dyDescent="0.2">
      <c r="B1451" s="177"/>
      <c r="C1451" s="177"/>
      <c r="D1451" s="177"/>
      <c r="E1451" s="177">
        <v>3237</v>
      </c>
      <c r="F1451" s="176">
        <v>11</v>
      </c>
      <c r="G1451" s="176"/>
      <c r="H1451" s="16" t="s">
        <v>566</v>
      </c>
      <c r="I1451" s="18"/>
      <c r="J1451" s="18"/>
      <c r="K1451" s="18"/>
      <c r="L1451" s="18"/>
      <c r="M1451" s="18"/>
      <c r="N1451" s="18"/>
      <c r="O1451" s="18"/>
      <c r="P1451" s="26"/>
      <c r="Q1451" s="18"/>
      <c r="R1451" s="18"/>
      <c r="S1451" s="18"/>
      <c r="T1451" s="27"/>
      <c r="U1451" s="27"/>
      <c r="V1451" s="18"/>
      <c r="W1451" s="18"/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>
        <v>115000</v>
      </c>
      <c r="AH1451" s="18">
        <v>115000</v>
      </c>
      <c r="AI1451" s="18">
        <v>115000</v>
      </c>
      <c r="AJ1451" s="162" t="b">
        <f t="shared" si="892"/>
        <v>0</v>
      </c>
      <c r="AK1451" s="162" t="str">
        <f t="shared" si="893"/>
        <v>PUNO</v>
      </c>
      <c r="AM1451" s="164"/>
    </row>
    <row r="1452" spans="1:39" ht="15.75" x14ac:dyDescent="0.2">
      <c r="B1452" s="177"/>
      <c r="C1452" s="177"/>
      <c r="D1452" s="177">
        <v>329</v>
      </c>
      <c r="E1452" s="177"/>
      <c r="F1452" s="177"/>
      <c r="G1452" s="177"/>
      <c r="H1452" s="16" t="s">
        <v>531</v>
      </c>
      <c r="I1452" s="17">
        <f>I1453</f>
        <v>100000</v>
      </c>
      <c r="J1452" s="17">
        <f>J1453</f>
        <v>0</v>
      </c>
      <c r="K1452" s="17">
        <f>ROUND(J1452/I1452*100,2)</f>
        <v>0</v>
      </c>
      <c r="L1452" s="17">
        <f>M1452-I1452</f>
        <v>-7563.5299999999988</v>
      </c>
      <c r="M1452" s="17">
        <f>M1453</f>
        <v>92436.47</v>
      </c>
      <c r="N1452" s="17">
        <f>N1453</f>
        <v>60000</v>
      </c>
      <c r="O1452" s="17">
        <f>O1453</f>
        <v>21796.5</v>
      </c>
      <c r="P1452" s="26">
        <f>T1452-N1452</f>
        <v>0</v>
      </c>
      <c r="Q1452" s="17">
        <f t="shared" ref="Q1452:AI1452" si="906">Q1453</f>
        <v>60000</v>
      </c>
      <c r="R1452" s="17">
        <f t="shared" si="906"/>
        <v>58612</v>
      </c>
      <c r="S1452" s="17">
        <f t="shared" si="906"/>
        <v>55112</v>
      </c>
      <c r="T1452" s="26">
        <f t="shared" si="906"/>
        <v>60000</v>
      </c>
      <c r="U1452" s="26">
        <f t="shared" si="906"/>
        <v>60000</v>
      </c>
      <c r="V1452" s="17">
        <f t="shared" si="906"/>
        <v>80000</v>
      </c>
      <c r="W1452" s="17">
        <f t="shared" si="906"/>
        <v>80000</v>
      </c>
      <c r="X1452" s="17">
        <f t="shared" si="906"/>
        <v>80000</v>
      </c>
      <c r="Y1452" s="17">
        <f t="shared" si="906"/>
        <v>17561.64</v>
      </c>
      <c r="Z1452" s="17">
        <f t="shared" si="901"/>
        <v>21.95</v>
      </c>
      <c r="AA1452" s="17">
        <f t="shared" si="896"/>
        <v>0</v>
      </c>
      <c r="AB1452" s="17">
        <f t="shared" si="906"/>
        <v>80000</v>
      </c>
      <c r="AC1452" s="17">
        <f t="shared" si="906"/>
        <v>35123.279999999999</v>
      </c>
      <c r="AD1452" s="17">
        <f t="shared" si="884"/>
        <v>43.904099999999993</v>
      </c>
      <c r="AE1452" s="17">
        <f t="shared" si="888"/>
        <v>0</v>
      </c>
      <c r="AF1452" s="17">
        <f t="shared" si="906"/>
        <v>80000</v>
      </c>
      <c r="AG1452" s="17">
        <f t="shared" si="906"/>
        <v>0</v>
      </c>
      <c r="AH1452" s="17">
        <f t="shared" si="906"/>
        <v>0</v>
      </c>
      <c r="AI1452" s="17">
        <f t="shared" si="906"/>
        <v>0</v>
      </c>
      <c r="AJ1452" s="162" t="b">
        <f t="shared" si="892"/>
        <v>1</v>
      </c>
      <c r="AK1452" s="162" t="str">
        <f t="shared" si="893"/>
        <v>PRAZNO</v>
      </c>
      <c r="AM1452" s="164"/>
    </row>
    <row r="1453" spans="1:39" ht="30" x14ac:dyDescent="0.2">
      <c r="B1453" s="177"/>
      <c r="C1453" s="177"/>
      <c r="D1453" s="177"/>
      <c r="E1453" s="177">
        <v>3291</v>
      </c>
      <c r="F1453" s="176">
        <v>14</v>
      </c>
      <c r="G1453" s="176" t="s">
        <v>746</v>
      </c>
      <c r="H1453" s="16" t="s">
        <v>532</v>
      </c>
      <c r="I1453" s="18">
        <v>100000</v>
      </c>
      <c r="J1453" s="18">
        <v>0</v>
      </c>
      <c r="K1453" s="18">
        <f>ROUND(J1453/I1453*100,2)</f>
        <v>0</v>
      </c>
      <c r="L1453" s="18">
        <f>M1453-I1453</f>
        <v>-7563.5299999999988</v>
      </c>
      <c r="M1453" s="18">
        <v>92436.47</v>
      </c>
      <c r="N1453" s="18">
        <v>60000</v>
      </c>
      <c r="O1453" s="18">
        <v>21796.5</v>
      </c>
      <c r="P1453" s="26">
        <f>T1453-N1453</f>
        <v>0</v>
      </c>
      <c r="Q1453" s="18">
        <v>60000</v>
      </c>
      <c r="R1453" s="18">
        <v>58612</v>
      </c>
      <c r="S1453" s="18">
        <v>55112</v>
      </c>
      <c r="T1453" s="27">
        <v>60000</v>
      </c>
      <c r="U1453" s="27">
        <v>60000</v>
      </c>
      <c r="V1453" s="18">
        <v>80000</v>
      </c>
      <c r="W1453" s="18">
        <v>80000</v>
      </c>
      <c r="X1453" s="18">
        <v>80000</v>
      </c>
      <c r="Y1453" s="18">
        <v>17561.64</v>
      </c>
      <c r="Z1453" s="18">
        <f t="shared" si="901"/>
        <v>21.95</v>
      </c>
      <c r="AA1453" s="18">
        <f t="shared" si="896"/>
        <v>0</v>
      </c>
      <c r="AB1453" s="18">
        <v>80000</v>
      </c>
      <c r="AC1453" s="18">
        <v>35123.279999999999</v>
      </c>
      <c r="AD1453" s="18">
        <f t="shared" si="884"/>
        <v>43.904099999999993</v>
      </c>
      <c r="AE1453" s="18">
        <f t="shared" si="888"/>
        <v>0</v>
      </c>
      <c r="AF1453" s="18">
        <v>80000</v>
      </c>
      <c r="AG1453" s="18"/>
      <c r="AH1453" s="18"/>
      <c r="AI1453" s="18"/>
      <c r="AJ1453" s="162" t="b">
        <f t="shared" si="892"/>
        <v>0</v>
      </c>
      <c r="AK1453" s="162" t="str">
        <f t="shared" si="893"/>
        <v>PUNO</v>
      </c>
      <c r="AM1453" s="164"/>
    </row>
    <row r="1454" spans="1:39" s="171" customFormat="1" ht="28.5" customHeight="1" x14ac:dyDescent="0.2">
      <c r="A1454" s="259"/>
      <c r="B1454" s="209"/>
      <c r="C1454" s="209"/>
      <c r="D1454" s="209"/>
      <c r="E1454" s="209"/>
      <c r="F1454" s="219"/>
      <c r="G1454" s="219"/>
      <c r="H1454" s="12" t="s">
        <v>500</v>
      </c>
      <c r="I1454" s="242"/>
      <c r="J1454" s="242"/>
      <c r="K1454" s="242"/>
      <c r="L1454" s="242"/>
      <c r="M1454" s="242">
        <f>M1456</f>
        <v>0</v>
      </c>
      <c r="N1454" s="301" t="e">
        <f>N1456</f>
        <v>#REF!</v>
      </c>
      <c r="O1454" s="301" t="e">
        <f>O1456</f>
        <v>#REF!</v>
      </c>
      <c r="P1454" s="303" t="e">
        <f>T1454-N1454</f>
        <v>#REF!</v>
      </c>
      <c r="Q1454" s="242" t="e">
        <f t="shared" ref="Q1454:X1454" si="907">Q1456</f>
        <v>#REF!</v>
      </c>
      <c r="R1454" s="242">
        <f t="shared" si="907"/>
        <v>503500</v>
      </c>
      <c r="S1454" s="242">
        <f t="shared" si="907"/>
        <v>509000</v>
      </c>
      <c r="T1454" s="301">
        <f>T1456</f>
        <v>320353</v>
      </c>
      <c r="U1454" s="301">
        <f>U1456</f>
        <v>166438.12</v>
      </c>
      <c r="V1454" s="301">
        <f>V1456</f>
        <v>675000</v>
      </c>
      <c r="W1454" s="301" t="e">
        <f t="shared" si="907"/>
        <v>#REF!</v>
      </c>
      <c r="X1454" s="301" t="e">
        <f t="shared" si="907"/>
        <v>#REF!</v>
      </c>
      <c r="Y1454" s="301">
        <f>Y1456</f>
        <v>432383.27999999997</v>
      </c>
      <c r="Z1454" s="301">
        <f t="shared" si="901"/>
        <v>64.06</v>
      </c>
      <c r="AA1454" s="301">
        <f t="shared" si="896"/>
        <v>312024</v>
      </c>
      <c r="AB1454" s="301">
        <f>AB1456</f>
        <v>987024</v>
      </c>
      <c r="AC1454" s="301">
        <f>AC1456</f>
        <v>692897.50999999989</v>
      </c>
      <c r="AD1454" s="301">
        <f t="shared" si="884"/>
        <v>70.200674958258347</v>
      </c>
      <c r="AE1454" s="301">
        <f t="shared" si="888"/>
        <v>-52500</v>
      </c>
      <c r="AF1454" s="301">
        <f>AF1456</f>
        <v>934524</v>
      </c>
      <c r="AG1454" s="301">
        <f>AG1456</f>
        <v>1410800</v>
      </c>
      <c r="AH1454" s="301">
        <f>AH1456</f>
        <v>1419800</v>
      </c>
      <c r="AI1454" s="301">
        <f>AI1456</f>
        <v>1431800</v>
      </c>
      <c r="AJ1454" s="162" t="b">
        <f t="shared" si="892"/>
        <v>1</v>
      </c>
      <c r="AK1454" s="162" t="str">
        <f t="shared" si="893"/>
        <v>PRAZNO</v>
      </c>
      <c r="AL1454" s="170"/>
    </row>
    <row r="1455" spans="1:39" s="264" customFormat="1" ht="15.75" x14ac:dyDescent="0.2">
      <c r="A1455" s="259"/>
      <c r="B1455" s="177"/>
      <c r="C1455" s="177"/>
      <c r="D1455" s="177"/>
      <c r="E1455" s="177"/>
      <c r="F1455" s="265"/>
      <c r="G1455" s="265"/>
      <c r="H1455" s="441" t="s">
        <v>824</v>
      </c>
      <c r="I1455" s="178"/>
      <c r="J1455" s="178"/>
      <c r="K1455" s="178"/>
      <c r="L1455" s="178"/>
      <c r="M1455" s="178"/>
      <c r="N1455" s="462"/>
      <c r="O1455" s="462"/>
      <c r="P1455" s="445"/>
      <c r="Q1455" s="178"/>
      <c r="R1455" s="178"/>
      <c r="S1455" s="178"/>
      <c r="T1455" s="462">
        <f t="shared" ref="T1455:Y1455" si="908">T1456</f>
        <v>320353</v>
      </c>
      <c r="U1455" s="462">
        <f t="shared" si="908"/>
        <v>166438.12</v>
      </c>
      <c r="V1455" s="462">
        <f t="shared" si="908"/>
        <v>675000</v>
      </c>
      <c r="W1455" s="462" t="e">
        <f t="shared" si="908"/>
        <v>#REF!</v>
      </c>
      <c r="X1455" s="462" t="e">
        <f t="shared" si="908"/>
        <v>#REF!</v>
      </c>
      <c r="Y1455" s="462">
        <f t="shared" si="908"/>
        <v>432383.27999999997</v>
      </c>
      <c r="Z1455" s="462">
        <f t="shared" si="901"/>
        <v>64.06</v>
      </c>
      <c r="AA1455" s="462">
        <f t="shared" si="896"/>
        <v>312024</v>
      </c>
      <c r="AB1455" s="462">
        <f>AB1456</f>
        <v>987024</v>
      </c>
      <c r="AC1455" s="462">
        <f>AC1456</f>
        <v>692897.50999999989</v>
      </c>
      <c r="AD1455" s="462">
        <f t="shared" si="884"/>
        <v>70.200674958258347</v>
      </c>
      <c r="AE1455" s="462">
        <f t="shared" si="888"/>
        <v>-52500</v>
      </c>
      <c r="AF1455" s="462">
        <f>AF1456</f>
        <v>934524</v>
      </c>
      <c r="AG1455" s="462">
        <f>AG1456</f>
        <v>1410800</v>
      </c>
      <c r="AH1455" s="462">
        <f>AH1456</f>
        <v>1419800</v>
      </c>
      <c r="AI1455" s="462">
        <f>AI1456</f>
        <v>1431800</v>
      </c>
      <c r="AJ1455" s="162" t="b">
        <f t="shared" si="892"/>
        <v>1</v>
      </c>
      <c r="AK1455" s="162" t="str">
        <f t="shared" si="893"/>
        <v>PRAZNO</v>
      </c>
      <c r="AL1455" s="263"/>
    </row>
    <row r="1456" spans="1:39" s="174" customFormat="1" ht="15.75" x14ac:dyDescent="0.2">
      <c r="A1456" s="259"/>
      <c r="B1456" s="172">
        <v>3</v>
      </c>
      <c r="C1456" s="172"/>
      <c r="D1456" s="172"/>
      <c r="E1456" s="172"/>
      <c r="F1456" s="220"/>
      <c r="G1456" s="220"/>
      <c r="H1456" s="14" t="s">
        <v>524</v>
      </c>
      <c r="I1456" s="184"/>
      <c r="J1456" s="184"/>
      <c r="K1456" s="184"/>
      <c r="L1456" s="184"/>
      <c r="M1456" s="184">
        <f t="shared" ref="M1456:S1456" si="909">M1457</f>
        <v>0</v>
      </c>
      <c r="N1456" s="184" t="e">
        <f>N1457+#REF!</f>
        <v>#REF!</v>
      </c>
      <c r="O1456" s="184" t="e">
        <f>O1457+#REF!</f>
        <v>#REF!</v>
      </c>
      <c r="P1456" s="55" t="e">
        <f>T1456-N1456</f>
        <v>#REF!</v>
      </c>
      <c r="Q1456" s="184" t="e">
        <f>Q1457+#REF!</f>
        <v>#REF!</v>
      </c>
      <c r="R1456" s="184">
        <f t="shared" si="909"/>
        <v>503500</v>
      </c>
      <c r="S1456" s="184">
        <f t="shared" si="909"/>
        <v>509000</v>
      </c>
      <c r="T1456" s="184">
        <f>T1457+T1467</f>
        <v>320353</v>
      </c>
      <c r="U1456" s="184">
        <f>U1457+U1467</f>
        <v>166438.12</v>
      </c>
      <c r="V1456" s="184">
        <f>V1457+V1467</f>
        <v>675000</v>
      </c>
      <c r="W1456" s="184" t="e">
        <f>W1457+#REF!</f>
        <v>#REF!</v>
      </c>
      <c r="X1456" s="184" t="e">
        <f>X1457+#REF!</f>
        <v>#REF!</v>
      </c>
      <c r="Y1456" s="184">
        <f>Y1457+Y1467</f>
        <v>432383.27999999997</v>
      </c>
      <c r="Z1456" s="184">
        <f t="shared" si="901"/>
        <v>64.06</v>
      </c>
      <c r="AA1456" s="184">
        <f t="shared" si="896"/>
        <v>312024</v>
      </c>
      <c r="AB1456" s="184">
        <f>AB1457+AB1467</f>
        <v>987024</v>
      </c>
      <c r="AC1456" s="184">
        <f>AC1457+AC1467</f>
        <v>692897.50999999989</v>
      </c>
      <c r="AD1456" s="184">
        <f t="shared" si="884"/>
        <v>70.200674958258347</v>
      </c>
      <c r="AE1456" s="184">
        <f t="shared" si="888"/>
        <v>-52500</v>
      </c>
      <c r="AF1456" s="184">
        <f>AF1457+AF1467</f>
        <v>934524</v>
      </c>
      <c r="AG1456" s="184">
        <f>AG1457+AG1467</f>
        <v>1410800</v>
      </c>
      <c r="AH1456" s="184">
        <f>AH1457+AH1467</f>
        <v>1419800</v>
      </c>
      <c r="AI1456" s="184">
        <f>AI1457+AI1467</f>
        <v>1431800</v>
      </c>
      <c r="AJ1456" s="162" t="b">
        <f t="shared" si="892"/>
        <v>1</v>
      </c>
      <c r="AK1456" s="162" t="str">
        <f t="shared" si="893"/>
        <v>PRAZNO</v>
      </c>
      <c r="AL1456" s="173"/>
    </row>
    <row r="1457" spans="1:39" s="644" customFormat="1" ht="15.75" x14ac:dyDescent="0.2">
      <c r="A1457" s="633"/>
      <c r="B1457" s="175"/>
      <c r="C1457" s="175">
        <v>31</v>
      </c>
      <c r="D1457" s="175"/>
      <c r="E1457" s="175"/>
      <c r="F1457" s="640"/>
      <c r="G1457" s="640"/>
      <c r="H1457" s="15" t="s">
        <v>197</v>
      </c>
      <c r="I1457" s="645"/>
      <c r="J1457" s="645"/>
      <c r="K1457" s="645"/>
      <c r="L1457" s="645"/>
      <c r="M1457" s="645">
        <f>M1458+M1464</f>
        <v>0</v>
      </c>
      <c r="N1457" s="645">
        <f>N1458+N1464</f>
        <v>469717</v>
      </c>
      <c r="O1457" s="645">
        <f>O1458+O1464</f>
        <v>0</v>
      </c>
      <c r="P1457" s="38">
        <f>T1457-N1457</f>
        <v>-149364</v>
      </c>
      <c r="Q1457" s="645">
        <f t="shared" ref="Q1457:Y1457" si="910">Q1458+Q1464</f>
        <v>469717</v>
      </c>
      <c r="R1457" s="645">
        <f t="shared" si="910"/>
        <v>503500</v>
      </c>
      <c r="S1457" s="645">
        <f t="shared" si="910"/>
        <v>509000</v>
      </c>
      <c r="T1457" s="646">
        <f t="shared" si="910"/>
        <v>320353</v>
      </c>
      <c r="U1457" s="646">
        <f>U1458+U1464</f>
        <v>0</v>
      </c>
      <c r="V1457" s="645">
        <f t="shared" si="910"/>
        <v>675000</v>
      </c>
      <c r="W1457" s="645">
        <f t="shared" si="910"/>
        <v>675000</v>
      </c>
      <c r="X1457" s="645">
        <f t="shared" si="910"/>
        <v>775000</v>
      </c>
      <c r="Y1457" s="645">
        <f t="shared" si="910"/>
        <v>432383.27999999997</v>
      </c>
      <c r="Z1457" s="645">
        <f t="shared" si="901"/>
        <v>64.06</v>
      </c>
      <c r="AA1457" s="645">
        <f t="shared" si="896"/>
        <v>226500</v>
      </c>
      <c r="AB1457" s="645">
        <f>AB1458+AB1464+AB1462</f>
        <v>901500</v>
      </c>
      <c r="AC1457" s="645">
        <f>AC1458+AC1464+AC1462</f>
        <v>628434.79999999993</v>
      </c>
      <c r="AD1457" s="645">
        <f t="shared" si="884"/>
        <v>69.709905712701044</v>
      </c>
      <c r="AE1457" s="645">
        <f t="shared" si="888"/>
        <v>-52500</v>
      </c>
      <c r="AF1457" s="645">
        <f>AF1458+AF1464+AF1462</f>
        <v>849000</v>
      </c>
      <c r="AG1457" s="645">
        <f>AG1458+AG1464+AG1462</f>
        <v>1298800</v>
      </c>
      <c r="AH1457" s="645">
        <f>AH1458+AH1464+AH1462</f>
        <v>1302800</v>
      </c>
      <c r="AI1457" s="645">
        <f>AI1458+AI1464+AI1462</f>
        <v>1307800</v>
      </c>
      <c r="AJ1457" s="162" t="b">
        <f t="shared" si="892"/>
        <v>1</v>
      </c>
      <c r="AK1457" s="162" t="str">
        <f t="shared" si="893"/>
        <v>PRAZNO</v>
      </c>
      <c r="AL1457" s="643"/>
      <c r="AM1457" s="647"/>
    </row>
    <row r="1458" spans="1:39" ht="15.75" x14ac:dyDescent="0.2">
      <c r="B1458" s="177"/>
      <c r="C1458" s="177"/>
      <c r="D1458" s="177">
        <v>311</v>
      </c>
      <c r="E1458" s="177"/>
      <c r="F1458" s="176"/>
      <c r="G1458" s="176"/>
      <c r="H1458" s="16" t="s">
        <v>915</v>
      </c>
      <c r="I1458" s="18"/>
      <c r="J1458" s="18"/>
      <c r="K1458" s="18"/>
      <c r="L1458" s="18"/>
      <c r="M1458" s="18">
        <f>M1459</f>
        <v>0</v>
      </c>
      <c r="N1458" s="18">
        <f>N1459</f>
        <v>393717</v>
      </c>
      <c r="O1458" s="18">
        <f>O1459</f>
        <v>0</v>
      </c>
      <c r="P1458" s="26">
        <f>T1458-N1458</f>
        <v>-139364</v>
      </c>
      <c r="Q1458" s="18">
        <f t="shared" ref="Q1458:X1458" si="911">Q1459</f>
        <v>393717</v>
      </c>
      <c r="R1458" s="18">
        <f t="shared" si="911"/>
        <v>423500</v>
      </c>
      <c r="S1458" s="18">
        <f t="shared" si="911"/>
        <v>426000</v>
      </c>
      <c r="T1458" s="27">
        <f t="shared" si="911"/>
        <v>254353</v>
      </c>
      <c r="U1458" s="27">
        <f t="shared" si="911"/>
        <v>0</v>
      </c>
      <c r="V1458" s="18">
        <f t="shared" si="911"/>
        <v>585000</v>
      </c>
      <c r="W1458" s="18">
        <f t="shared" si="911"/>
        <v>585000</v>
      </c>
      <c r="X1458" s="18">
        <f t="shared" si="911"/>
        <v>675000</v>
      </c>
      <c r="Y1458" s="18">
        <f>Y1459+Y1460+Y1461</f>
        <v>375005.86</v>
      </c>
      <c r="Z1458" s="18">
        <f t="shared" si="901"/>
        <v>64.099999999999994</v>
      </c>
      <c r="AA1458" s="18">
        <f t="shared" si="896"/>
        <v>190500</v>
      </c>
      <c r="AB1458" s="18">
        <f>AB1459+AB1460+AB1461</f>
        <v>775500</v>
      </c>
      <c r="AC1458" s="18">
        <f>AC1459+AC1460+AC1461</f>
        <v>544283.71</v>
      </c>
      <c r="AD1458" s="18">
        <f t="shared" si="884"/>
        <v>70.184875564152165</v>
      </c>
      <c r="AE1458" s="18">
        <f t="shared" si="888"/>
        <v>-64500</v>
      </c>
      <c r="AF1458" s="18">
        <f>AF1459+AF1460+AF1461</f>
        <v>711000</v>
      </c>
      <c r="AG1458" s="18">
        <f>AG1459+AG1460+AG1461</f>
        <v>1117800</v>
      </c>
      <c r="AH1458" s="18">
        <f>AH1459+AH1460+AH1461</f>
        <v>1117800</v>
      </c>
      <c r="AI1458" s="18">
        <f>AI1459+AI1460+AI1461</f>
        <v>1117800</v>
      </c>
      <c r="AJ1458" s="162" t="b">
        <f t="shared" si="892"/>
        <v>1</v>
      </c>
      <c r="AK1458" s="162" t="str">
        <f t="shared" si="893"/>
        <v>PRAZNO</v>
      </c>
      <c r="AM1458" s="164"/>
    </row>
    <row r="1459" spans="1:39" ht="15.75" x14ac:dyDescent="0.2">
      <c r="B1459" s="177"/>
      <c r="C1459" s="177"/>
      <c r="D1459" s="177"/>
      <c r="E1459" s="177">
        <v>3111</v>
      </c>
      <c r="F1459" s="176">
        <v>14</v>
      </c>
      <c r="G1459" s="176"/>
      <c r="H1459" s="16" t="s">
        <v>199</v>
      </c>
      <c r="I1459" s="27">
        <v>0</v>
      </c>
      <c r="J1459" s="27">
        <v>0</v>
      </c>
      <c r="K1459" s="27">
        <v>0</v>
      </c>
      <c r="L1459" s="27">
        <v>0</v>
      </c>
      <c r="M1459" s="27">
        <v>0</v>
      </c>
      <c r="N1459" s="18">
        <f>420000-26283</f>
        <v>393717</v>
      </c>
      <c r="O1459" s="18">
        <v>0</v>
      </c>
      <c r="P1459" s="26">
        <f>T1459-N1459</f>
        <v>-139364</v>
      </c>
      <c r="Q1459" s="18">
        <f>420000-26283</f>
        <v>393717</v>
      </c>
      <c r="R1459" s="18">
        <v>423500</v>
      </c>
      <c r="S1459" s="18">
        <v>426000</v>
      </c>
      <c r="T1459" s="266">
        <f>293717+136-19000-15000-5500</f>
        <v>254353</v>
      </c>
      <c r="U1459" s="266">
        <v>0</v>
      </c>
      <c r="V1459" s="18">
        <v>585000</v>
      </c>
      <c r="W1459" s="18">
        <v>585000</v>
      </c>
      <c r="X1459" s="18">
        <v>675000</v>
      </c>
      <c r="Y1459" s="18">
        <v>375005.86</v>
      </c>
      <c r="Z1459" s="18">
        <f t="shared" si="901"/>
        <v>64.099999999999994</v>
      </c>
      <c r="AA1459" s="18">
        <f t="shared" si="896"/>
        <v>34500</v>
      </c>
      <c r="AB1459" s="18">
        <v>619500</v>
      </c>
      <c r="AC1459" s="18">
        <v>477061.27</v>
      </c>
      <c r="AD1459" s="18">
        <f t="shared" si="884"/>
        <v>77.007468926553685</v>
      </c>
      <c r="AE1459" s="18">
        <f t="shared" si="888"/>
        <v>5500</v>
      </c>
      <c r="AF1459" s="18">
        <v>625000</v>
      </c>
      <c r="AG1459" s="18">
        <v>920000</v>
      </c>
      <c r="AH1459" s="18">
        <v>920000</v>
      </c>
      <c r="AI1459" s="18">
        <v>920000</v>
      </c>
      <c r="AJ1459" s="162" t="b">
        <f t="shared" si="892"/>
        <v>0</v>
      </c>
      <c r="AK1459" s="162" t="str">
        <f t="shared" si="893"/>
        <v>PUNO</v>
      </c>
      <c r="AM1459" s="164"/>
    </row>
    <row r="1460" spans="1:39" ht="15.75" x14ac:dyDescent="0.2">
      <c r="B1460" s="177"/>
      <c r="C1460" s="177"/>
      <c r="D1460" s="177"/>
      <c r="E1460" s="177">
        <v>3113</v>
      </c>
      <c r="F1460" s="176">
        <v>14</v>
      </c>
      <c r="G1460" s="176"/>
      <c r="H1460" s="16" t="s">
        <v>476</v>
      </c>
      <c r="I1460" s="27"/>
      <c r="J1460" s="27"/>
      <c r="K1460" s="27"/>
      <c r="L1460" s="27"/>
      <c r="M1460" s="27"/>
      <c r="N1460" s="18"/>
      <c r="O1460" s="18"/>
      <c r="P1460" s="26"/>
      <c r="Q1460" s="18"/>
      <c r="R1460" s="18"/>
      <c r="S1460" s="18"/>
      <c r="T1460" s="266"/>
      <c r="U1460" s="266">
        <v>0</v>
      </c>
      <c r="V1460" s="18">
        <v>0</v>
      </c>
      <c r="W1460" s="18"/>
      <c r="X1460" s="18"/>
      <c r="Y1460" s="18">
        <v>0</v>
      </c>
      <c r="Z1460" s="18"/>
      <c r="AA1460" s="18">
        <f t="shared" si="896"/>
        <v>65000</v>
      </c>
      <c r="AB1460" s="18">
        <v>65000</v>
      </c>
      <c r="AC1460" s="18">
        <v>7528.54</v>
      </c>
      <c r="AD1460" s="18">
        <f t="shared" si="884"/>
        <v>11.582369230769231</v>
      </c>
      <c r="AE1460" s="18">
        <f t="shared" si="888"/>
        <v>-54000</v>
      </c>
      <c r="AF1460" s="18">
        <v>11000</v>
      </c>
      <c r="AG1460" s="18">
        <v>70000</v>
      </c>
      <c r="AH1460" s="18">
        <v>70000</v>
      </c>
      <c r="AI1460" s="18">
        <v>70000</v>
      </c>
      <c r="AJ1460" s="162" t="b">
        <f t="shared" si="892"/>
        <v>0</v>
      </c>
      <c r="AK1460" s="162" t="str">
        <f t="shared" si="893"/>
        <v>PUNO</v>
      </c>
      <c r="AM1460" s="164"/>
    </row>
    <row r="1461" spans="1:39" ht="15.75" x14ac:dyDescent="0.2">
      <c r="B1461" s="177"/>
      <c r="C1461" s="177"/>
      <c r="D1461" s="177"/>
      <c r="E1461" s="177">
        <v>3114</v>
      </c>
      <c r="F1461" s="176">
        <v>14</v>
      </c>
      <c r="G1461" s="176"/>
      <c r="H1461" s="16" t="s">
        <v>643</v>
      </c>
      <c r="I1461" s="27"/>
      <c r="J1461" s="27"/>
      <c r="K1461" s="27"/>
      <c r="L1461" s="27"/>
      <c r="M1461" s="27"/>
      <c r="N1461" s="18"/>
      <c r="O1461" s="18"/>
      <c r="P1461" s="26"/>
      <c r="Q1461" s="18"/>
      <c r="R1461" s="18"/>
      <c r="S1461" s="18"/>
      <c r="T1461" s="266"/>
      <c r="U1461" s="266">
        <v>0</v>
      </c>
      <c r="V1461" s="18">
        <v>0</v>
      </c>
      <c r="W1461" s="18"/>
      <c r="X1461" s="18"/>
      <c r="Y1461" s="18">
        <v>0</v>
      </c>
      <c r="Z1461" s="18"/>
      <c r="AA1461" s="18">
        <f t="shared" si="896"/>
        <v>91000</v>
      </c>
      <c r="AB1461" s="18">
        <v>91000</v>
      </c>
      <c r="AC1461" s="18">
        <v>59693.9</v>
      </c>
      <c r="AD1461" s="18">
        <f t="shared" si="884"/>
        <v>65.597692307692313</v>
      </c>
      <c r="AE1461" s="18">
        <f t="shared" si="888"/>
        <v>-16000</v>
      </c>
      <c r="AF1461" s="18">
        <v>75000</v>
      </c>
      <c r="AG1461" s="18">
        <v>127800</v>
      </c>
      <c r="AH1461" s="18">
        <v>127800</v>
      </c>
      <c r="AI1461" s="18">
        <v>127800</v>
      </c>
      <c r="AJ1461" s="162" t="b">
        <f t="shared" si="892"/>
        <v>0</v>
      </c>
      <c r="AK1461" s="162" t="str">
        <f t="shared" si="893"/>
        <v>PUNO</v>
      </c>
      <c r="AM1461" s="164"/>
    </row>
    <row r="1462" spans="1:39" ht="15.75" x14ac:dyDescent="0.2">
      <c r="B1462" s="177"/>
      <c r="C1462" s="177"/>
      <c r="D1462" s="177">
        <v>312</v>
      </c>
      <c r="E1462" s="177"/>
      <c r="F1462" s="176"/>
      <c r="G1462" s="176"/>
      <c r="H1462" s="16" t="s">
        <v>200</v>
      </c>
      <c r="I1462" s="27"/>
      <c r="J1462" s="27"/>
      <c r="K1462" s="27"/>
      <c r="L1462" s="27"/>
      <c r="M1462" s="27"/>
      <c r="N1462" s="18"/>
      <c r="O1462" s="18"/>
      <c r="P1462" s="26"/>
      <c r="Q1462" s="18"/>
      <c r="R1462" s="18"/>
      <c r="S1462" s="18"/>
      <c r="T1462" s="266"/>
      <c r="U1462" s="266"/>
      <c r="V1462" s="18">
        <f>V1463</f>
        <v>0</v>
      </c>
      <c r="W1462" s="18"/>
      <c r="X1462" s="18"/>
      <c r="Y1462" s="18">
        <v>0</v>
      </c>
      <c r="Z1462" s="18"/>
      <c r="AA1462" s="18">
        <f t="shared" si="896"/>
        <v>10000</v>
      </c>
      <c r="AB1462" s="18">
        <f>AB1463</f>
        <v>10000</v>
      </c>
      <c r="AC1462" s="18">
        <f>AC1463</f>
        <v>875</v>
      </c>
      <c r="AD1462" s="18">
        <f t="shared" si="884"/>
        <v>8.75</v>
      </c>
      <c r="AE1462" s="18">
        <f t="shared" si="888"/>
        <v>0</v>
      </c>
      <c r="AF1462" s="18">
        <f>AF1463</f>
        <v>10000</v>
      </c>
      <c r="AG1462" s="18">
        <f>AG1463</f>
        <v>15000</v>
      </c>
      <c r="AH1462" s="18">
        <f>AH1463</f>
        <v>15000</v>
      </c>
      <c r="AI1462" s="18">
        <f>AI1463</f>
        <v>15000</v>
      </c>
      <c r="AJ1462" s="162" t="b">
        <f t="shared" si="892"/>
        <v>1</v>
      </c>
      <c r="AK1462" s="162" t="str">
        <f t="shared" si="893"/>
        <v>PRAZNO</v>
      </c>
      <c r="AM1462" s="164"/>
    </row>
    <row r="1463" spans="1:39" ht="15.75" x14ac:dyDescent="0.2">
      <c r="B1463" s="177"/>
      <c r="C1463" s="177"/>
      <c r="D1463" s="177"/>
      <c r="E1463" s="177">
        <v>3121</v>
      </c>
      <c r="F1463" s="176">
        <v>14</v>
      </c>
      <c r="G1463" s="176"/>
      <c r="H1463" s="16" t="s">
        <v>200</v>
      </c>
      <c r="I1463" s="27"/>
      <c r="J1463" s="27"/>
      <c r="K1463" s="27"/>
      <c r="L1463" s="27"/>
      <c r="M1463" s="27"/>
      <c r="N1463" s="18"/>
      <c r="O1463" s="18"/>
      <c r="P1463" s="26"/>
      <c r="Q1463" s="18"/>
      <c r="R1463" s="18"/>
      <c r="S1463" s="18"/>
      <c r="T1463" s="266"/>
      <c r="U1463" s="266">
        <v>0</v>
      </c>
      <c r="V1463" s="18">
        <v>0</v>
      </c>
      <c r="W1463" s="18"/>
      <c r="X1463" s="18"/>
      <c r="Y1463" s="18">
        <v>0</v>
      </c>
      <c r="Z1463" s="18"/>
      <c r="AA1463" s="18">
        <f t="shared" si="896"/>
        <v>10000</v>
      </c>
      <c r="AB1463" s="18">
        <v>10000</v>
      </c>
      <c r="AC1463" s="18">
        <v>875</v>
      </c>
      <c r="AD1463" s="18">
        <f t="shared" si="884"/>
        <v>8.75</v>
      </c>
      <c r="AE1463" s="18">
        <f t="shared" si="888"/>
        <v>0</v>
      </c>
      <c r="AF1463" s="18">
        <v>10000</v>
      </c>
      <c r="AG1463" s="18">
        <v>15000</v>
      </c>
      <c r="AH1463" s="18">
        <v>15000</v>
      </c>
      <c r="AI1463" s="18">
        <v>15000</v>
      </c>
      <c r="AJ1463" s="162" t="b">
        <f t="shared" si="892"/>
        <v>0</v>
      </c>
      <c r="AK1463" s="162" t="str">
        <f t="shared" si="893"/>
        <v>PUNO</v>
      </c>
      <c r="AM1463" s="164"/>
    </row>
    <row r="1464" spans="1:39" ht="15.75" x14ac:dyDescent="0.2">
      <c r="B1464" s="177"/>
      <c r="C1464" s="177"/>
      <c r="D1464" s="177">
        <v>313</v>
      </c>
      <c r="E1464" s="177"/>
      <c r="F1464" s="176"/>
      <c r="G1464" s="176"/>
      <c r="H1464" s="16" t="s">
        <v>201</v>
      </c>
      <c r="I1464" s="18"/>
      <c r="J1464" s="18"/>
      <c r="K1464" s="18"/>
      <c r="L1464" s="18"/>
      <c r="M1464" s="18">
        <f>M1465+M1466</f>
        <v>0</v>
      </c>
      <c r="N1464" s="18">
        <f>N1465+N1466</f>
        <v>76000</v>
      </c>
      <c r="O1464" s="18">
        <f>O1465+O1466</f>
        <v>0</v>
      </c>
      <c r="P1464" s="26">
        <f>T1464-N1464</f>
        <v>-10000</v>
      </c>
      <c r="Q1464" s="18">
        <f t="shared" ref="Q1464:X1464" si="912">Q1465+Q1466</f>
        <v>76000</v>
      </c>
      <c r="R1464" s="18">
        <f t="shared" si="912"/>
        <v>80000</v>
      </c>
      <c r="S1464" s="18">
        <f t="shared" si="912"/>
        <v>83000</v>
      </c>
      <c r="T1464" s="27">
        <f t="shared" si="912"/>
        <v>66000</v>
      </c>
      <c r="U1464" s="27">
        <f>U1465+U1466</f>
        <v>0</v>
      </c>
      <c r="V1464" s="18">
        <f t="shared" si="912"/>
        <v>90000</v>
      </c>
      <c r="W1464" s="18">
        <f t="shared" si="912"/>
        <v>90000</v>
      </c>
      <c r="X1464" s="18">
        <f t="shared" si="912"/>
        <v>100000</v>
      </c>
      <c r="Y1464" s="18">
        <f>Y1465+Y1466</f>
        <v>57377.42</v>
      </c>
      <c r="Z1464" s="18">
        <f t="shared" si="901"/>
        <v>63.75</v>
      </c>
      <c r="AA1464" s="18">
        <f t="shared" si="896"/>
        <v>26000</v>
      </c>
      <c r="AB1464" s="18">
        <f>AB1465+AB1466</f>
        <v>116000</v>
      </c>
      <c r="AC1464" s="18">
        <f>AC1465+AC1466</f>
        <v>83276.09</v>
      </c>
      <c r="AD1464" s="18">
        <f t="shared" si="884"/>
        <v>71.789732758620687</v>
      </c>
      <c r="AE1464" s="18">
        <f t="shared" si="888"/>
        <v>12000</v>
      </c>
      <c r="AF1464" s="18">
        <f>AF1465+AF1466</f>
        <v>128000</v>
      </c>
      <c r="AG1464" s="18">
        <f>AG1465+AG1466</f>
        <v>166000</v>
      </c>
      <c r="AH1464" s="18">
        <f>AH1465+AH1466</f>
        <v>170000</v>
      </c>
      <c r="AI1464" s="18">
        <f>AI1465+AI1466</f>
        <v>175000</v>
      </c>
      <c r="AJ1464" s="162" t="b">
        <f t="shared" si="892"/>
        <v>1</v>
      </c>
      <c r="AK1464" s="162" t="str">
        <f t="shared" si="893"/>
        <v>PRAZNO</v>
      </c>
      <c r="AM1464" s="164"/>
    </row>
    <row r="1465" spans="1:39" ht="15.75" x14ac:dyDescent="0.2">
      <c r="B1465" s="177"/>
      <c r="C1465" s="177"/>
      <c r="D1465" s="177"/>
      <c r="E1465" s="177">
        <v>3132</v>
      </c>
      <c r="F1465" s="176">
        <v>14</v>
      </c>
      <c r="G1465" s="176"/>
      <c r="H1465" s="16" t="s">
        <v>202</v>
      </c>
      <c r="I1465" s="18"/>
      <c r="J1465" s="18"/>
      <c r="K1465" s="18"/>
      <c r="L1465" s="18"/>
      <c r="M1465" s="18">
        <v>0</v>
      </c>
      <c r="N1465" s="18">
        <f>63000-4000</f>
        <v>59000</v>
      </c>
      <c r="O1465" s="18">
        <v>0</v>
      </c>
      <c r="P1465" s="26">
        <f>T1465-N1465</f>
        <v>-10000</v>
      </c>
      <c r="Q1465" s="18">
        <f>63000-4000</f>
        <v>59000</v>
      </c>
      <c r="R1465" s="18">
        <v>63000</v>
      </c>
      <c r="S1465" s="18">
        <v>65000</v>
      </c>
      <c r="T1465" s="27">
        <v>49000</v>
      </c>
      <c r="U1465" s="27">
        <v>0</v>
      </c>
      <c r="V1465" s="18">
        <v>78000</v>
      </c>
      <c r="W1465" s="18">
        <v>78000</v>
      </c>
      <c r="X1465" s="18">
        <v>86500</v>
      </c>
      <c r="Y1465" s="18">
        <v>50627.17</v>
      </c>
      <c r="Z1465" s="18">
        <f t="shared" si="901"/>
        <v>64.91</v>
      </c>
      <c r="AA1465" s="18">
        <f t="shared" si="896"/>
        <v>26000</v>
      </c>
      <c r="AB1465" s="18">
        <v>104000</v>
      </c>
      <c r="AC1465" s="18">
        <v>73478.95</v>
      </c>
      <c r="AD1465" s="18">
        <f t="shared" si="884"/>
        <v>70.652836538461543</v>
      </c>
      <c r="AE1465" s="18">
        <f t="shared" si="888"/>
        <v>10000</v>
      </c>
      <c r="AF1465" s="18">
        <v>114000</v>
      </c>
      <c r="AG1465" s="18">
        <v>151000</v>
      </c>
      <c r="AH1465" s="18">
        <v>154000</v>
      </c>
      <c r="AI1465" s="18">
        <v>158000</v>
      </c>
      <c r="AJ1465" s="162" t="b">
        <f t="shared" si="892"/>
        <v>0</v>
      </c>
      <c r="AK1465" s="162" t="str">
        <f t="shared" si="893"/>
        <v>PUNO</v>
      </c>
      <c r="AM1465" s="164"/>
    </row>
    <row r="1466" spans="1:39" ht="27.75" customHeight="1" x14ac:dyDescent="0.2">
      <c r="B1466" s="177"/>
      <c r="C1466" s="177"/>
      <c r="D1466" s="177"/>
      <c r="E1466" s="177">
        <v>3133</v>
      </c>
      <c r="F1466" s="176">
        <v>14</v>
      </c>
      <c r="G1466" s="176"/>
      <c r="H1466" s="16" t="s">
        <v>203</v>
      </c>
      <c r="I1466" s="18"/>
      <c r="J1466" s="18"/>
      <c r="K1466" s="18"/>
      <c r="L1466" s="18"/>
      <c r="M1466" s="18">
        <v>0</v>
      </c>
      <c r="N1466" s="18">
        <f>17000</f>
        <v>17000</v>
      </c>
      <c r="O1466" s="18">
        <v>0</v>
      </c>
      <c r="P1466" s="26">
        <f>T1466-N1466</f>
        <v>0</v>
      </c>
      <c r="Q1466" s="18">
        <f>17000</f>
        <v>17000</v>
      </c>
      <c r="R1466" s="18">
        <v>17000</v>
      </c>
      <c r="S1466" s="18">
        <v>18000</v>
      </c>
      <c r="T1466" s="27">
        <v>17000</v>
      </c>
      <c r="U1466" s="27">
        <v>0</v>
      </c>
      <c r="V1466" s="18">
        <v>12000</v>
      </c>
      <c r="W1466" s="18">
        <v>12000</v>
      </c>
      <c r="X1466" s="18">
        <v>13500</v>
      </c>
      <c r="Y1466" s="18">
        <v>6750.25</v>
      </c>
      <c r="Z1466" s="18">
        <f t="shared" si="901"/>
        <v>56.25</v>
      </c>
      <c r="AA1466" s="18">
        <f t="shared" si="896"/>
        <v>0</v>
      </c>
      <c r="AB1466" s="18">
        <v>12000</v>
      </c>
      <c r="AC1466" s="18">
        <v>9797.14</v>
      </c>
      <c r="AD1466" s="18">
        <f t="shared" si="884"/>
        <v>81.642833333333328</v>
      </c>
      <c r="AE1466" s="18">
        <f t="shared" si="888"/>
        <v>2000</v>
      </c>
      <c r="AF1466" s="18">
        <v>14000</v>
      </c>
      <c r="AG1466" s="18">
        <v>15000</v>
      </c>
      <c r="AH1466" s="18">
        <v>16000</v>
      </c>
      <c r="AI1466" s="18">
        <v>17000</v>
      </c>
      <c r="AJ1466" s="162" t="b">
        <f t="shared" si="892"/>
        <v>0</v>
      </c>
      <c r="AK1466" s="162" t="str">
        <f t="shared" si="893"/>
        <v>PUNO</v>
      </c>
      <c r="AM1466" s="164"/>
    </row>
    <row r="1467" spans="1:39" s="644" customFormat="1" ht="15.75" x14ac:dyDescent="0.2">
      <c r="A1467" s="633"/>
      <c r="B1467" s="175"/>
      <c r="C1467" s="175">
        <v>32</v>
      </c>
      <c r="D1467" s="175"/>
      <c r="E1467" s="175"/>
      <c r="F1467" s="640"/>
      <c r="G1467" s="640"/>
      <c r="H1467" s="15" t="s">
        <v>525</v>
      </c>
      <c r="I1467" s="645"/>
      <c r="J1467" s="645"/>
      <c r="K1467" s="645"/>
      <c r="L1467" s="645"/>
      <c r="M1467" s="645"/>
      <c r="N1467" s="645"/>
      <c r="O1467" s="645"/>
      <c r="P1467" s="38"/>
      <c r="Q1467" s="645"/>
      <c r="R1467" s="645"/>
      <c r="S1467" s="645"/>
      <c r="T1467" s="646"/>
      <c r="U1467" s="645">
        <f>U1468+U1472+U1476+U1480</f>
        <v>166438.12</v>
      </c>
      <c r="V1467" s="645">
        <f t="shared" ref="V1467:AC1467" si="913">V1468+V1472+V1476</f>
        <v>0</v>
      </c>
      <c r="W1467" s="645">
        <f t="shared" si="913"/>
        <v>0</v>
      </c>
      <c r="X1467" s="645">
        <f t="shared" si="913"/>
        <v>0</v>
      </c>
      <c r="Y1467" s="645">
        <f t="shared" si="913"/>
        <v>0</v>
      </c>
      <c r="Z1467" s="645">
        <f t="shared" si="913"/>
        <v>0</v>
      </c>
      <c r="AA1467" s="645">
        <f t="shared" si="913"/>
        <v>85524</v>
      </c>
      <c r="AB1467" s="645">
        <f t="shared" si="913"/>
        <v>85524</v>
      </c>
      <c r="AC1467" s="645">
        <f t="shared" si="913"/>
        <v>64462.710000000006</v>
      </c>
      <c r="AD1467" s="645">
        <f t="shared" si="884"/>
        <v>75.373824891258607</v>
      </c>
      <c r="AE1467" s="645">
        <f t="shared" si="888"/>
        <v>0</v>
      </c>
      <c r="AF1467" s="645">
        <f>AF1468+AF1472+AF1476</f>
        <v>85524</v>
      </c>
      <c r="AG1467" s="645">
        <f>AG1468+AG1472+AG1476</f>
        <v>112000</v>
      </c>
      <c r="AH1467" s="645">
        <f>AH1468+AH1472+AH1476</f>
        <v>117000</v>
      </c>
      <c r="AI1467" s="645">
        <f>AI1468+AI1472+AI1476</f>
        <v>124000</v>
      </c>
      <c r="AJ1467" s="162" t="b">
        <f t="shared" si="892"/>
        <v>1</v>
      </c>
      <c r="AK1467" s="162" t="str">
        <f t="shared" si="893"/>
        <v>PRAZNO</v>
      </c>
      <c r="AL1467" s="643"/>
      <c r="AM1467" s="647"/>
    </row>
    <row r="1468" spans="1:39" ht="15.75" x14ac:dyDescent="0.2">
      <c r="B1468" s="177"/>
      <c r="C1468" s="177"/>
      <c r="D1468" s="177">
        <v>321</v>
      </c>
      <c r="E1468" s="177"/>
      <c r="F1468" s="176"/>
      <c r="G1468" s="176"/>
      <c r="H1468" s="16" t="s">
        <v>564</v>
      </c>
      <c r="I1468" s="18"/>
      <c r="J1468" s="18"/>
      <c r="K1468" s="18"/>
      <c r="L1468" s="18"/>
      <c r="M1468" s="18"/>
      <c r="N1468" s="18"/>
      <c r="O1468" s="18"/>
      <c r="P1468" s="26"/>
      <c r="Q1468" s="18"/>
      <c r="R1468" s="18"/>
      <c r="S1468" s="18"/>
      <c r="T1468" s="27"/>
      <c r="U1468" s="18">
        <f t="shared" ref="U1468:AA1468" si="914">U1469+U1470+U1471</f>
        <v>0</v>
      </c>
      <c r="V1468" s="18">
        <f t="shared" si="914"/>
        <v>0</v>
      </c>
      <c r="W1468" s="18">
        <f t="shared" si="914"/>
        <v>0</v>
      </c>
      <c r="X1468" s="18">
        <f t="shared" si="914"/>
        <v>0</v>
      </c>
      <c r="Y1468" s="18">
        <f t="shared" si="914"/>
        <v>0</v>
      </c>
      <c r="Z1468" s="18">
        <f t="shared" si="914"/>
        <v>0</v>
      </c>
      <c r="AA1468" s="18">
        <f t="shared" si="914"/>
        <v>65600</v>
      </c>
      <c r="AB1468" s="18">
        <f>AB1469+AB1470+AB1471</f>
        <v>65600</v>
      </c>
      <c r="AC1468" s="18">
        <f>AC1469+AC1470+AC1471</f>
        <v>44538.91</v>
      </c>
      <c r="AD1468" s="18">
        <f t="shared" si="884"/>
        <v>67.894679878048777</v>
      </c>
      <c r="AE1468" s="18">
        <f t="shared" si="888"/>
        <v>0</v>
      </c>
      <c r="AF1468" s="18">
        <f>AF1469+AF1470+AF1471</f>
        <v>65600</v>
      </c>
      <c r="AG1468" s="18">
        <f>AG1469+AG1470+AG1471</f>
        <v>112000</v>
      </c>
      <c r="AH1468" s="18">
        <f>AH1469+AH1470+AH1471</f>
        <v>117000</v>
      </c>
      <c r="AI1468" s="18">
        <f>AI1469+AI1470+AI1471</f>
        <v>124000</v>
      </c>
      <c r="AJ1468" s="162" t="b">
        <f t="shared" si="892"/>
        <v>1</v>
      </c>
      <c r="AK1468" s="162" t="str">
        <f t="shared" si="893"/>
        <v>PRAZNO</v>
      </c>
      <c r="AM1468" s="164"/>
    </row>
    <row r="1469" spans="1:39" ht="15.75" x14ac:dyDescent="0.2">
      <c r="B1469" s="177"/>
      <c r="C1469" s="177"/>
      <c r="D1469" s="177"/>
      <c r="E1469" s="177">
        <v>3211</v>
      </c>
      <c r="F1469" s="176">
        <v>14</v>
      </c>
      <c r="G1469" s="176"/>
      <c r="H1469" s="16" t="s">
        <v>565</v>
      </c>
      <c r="I1469" s="18"/>
      <c r="J1469" s="18"/>
      <c r="K1469" s="18"/>
      <c r="L1469" s="18"/>
      <c r="M1469" s="18"/>
      <c r="N1469" s="18"/>
      <c r="O1469" s="18"/>
      <c r="P1469" s="26"/>
      <c r="Q1469" s="18"/>
      <c r="R1469" s="18"/>
      <c r="S1469" s="18"/>
      <c r="T1469" s="27"/>
      <c r="U1469" s="27"/>
      <c r="V1469" s="18">
        <v>0</v>
      </c>
      <c r="W1469" s="18"/>
      <c r="X1469" s="18"/>
      <c r="Y1469" s="18">
        <v>0</v>
      </c>
      <c r="Z1469" s="18"/>
      <c r="AA1469" s="18">
        <f t="shared" si="896"/>
        <v>1000</v>
      </c>
      <c r="AB1469" s="18">
        <v>1000</v>
      </c>
      <c r="AC1469" s="18">
        <v>0</v>
      </c>
      <c r="AD1469" s="18">
        <f t="shared" si="884"/>
        <v>0</v>
      </c>
      <c r="AE1469" s="18">
        <f t="shared" si="888"/>
        <v>0</v>
      </c>
      <c r="AF1469" s="18">
        <v>1000</v>
      </c>
      <c r="AG1469" s="27">
        <v>2000</v>
      </c>
      <c r="AH1469" s="27">
        <v>2000</v>
      </c>
      <c r="AI1469" s="27">
        <v>2000</v>
      </c>
      <c r="AJ1469" s="162" t="b">
        <f t="shared" si="892"/>
        <v>0</v>
      </c>
      <c r="AK1469" s="162" t="str">
        <f t="shared" si="893"/>
        <v>PUNO</v>
      </c>
      <c r="AM1469" s="164"/>
    </row>
    <row r="1470" spans="1:39" ht="15.75" x14ac:dyDescent="0.2">
      <c r="B1470" s="177"/>
      <c r="C1470" s="177"/>
      <c r="D1470" s="177"/>
      <c r="E1470" s="177">
        <v>3212</v>
      </c>
      <c r="F1470" s="176">
        <v>14</v>
      </c>
      <c r="G1470" s="176"/>
      <c r="H1470" s="16" t="s">
        <v>220</v>
      </c>
      <c r="I1470" s="18"/>
      <c r="J1470" s="18"/>
      <c r="K1470" s="18"/>
      <c r="L1470" s="18"/>
      <c r="M1470" s="18"/>
      <c r="N1470" s="18"/>
      <c r="O1470" s="18"/>
      <c r="P1470" s="26"/>
      <c r="Q1470" s="18"/>
      <c r="R1470" s="18"/>
      <c r="S1470" s="18"/>
      <c r="T1470" s="27"/>
      <c r="U1470" s="27"/>
      <c r="V1470" s="18">
        <v>0</v>
      </c>
      <c r="W1470" s="18"/>
      <c r="X1470" s="18"/>
      <c r="Y1470" s="18">
        <v>0</v>
      </c>
      <c r="Z1470" s="18"/>
      <c r="AA1470" s="18">
        <f t="shared" si="896"/>
        <v>63600</v>
      </c>
      <c r="AB1470" s="18">
        <v>63600</v>
      </c>
      <c r="AC1470" s="18">
        <v>44538.91</v>
      </c>
      <c r="AD1470" s="18">
        <f t="shared" si="884"/>
        <v>70.02973270440252</v>
      </c>
      <c r="AE1470" s="18">
        <f t="shared" si="888"/>
        <v>0</v>
      </c>
      <c r="AF1470" s="18">
        <v>63600</v>
      </c>
      <c r="AG1470" s="27">
        <v>108000</v>
      </c>
      <c r="AH1470" s="27">
        <v>112000</v>
      </c>
      <c r="AI1470" s="27">
        <v>118000</v>
      </c>
      <c r="AJ1470" s="162" t="b">
        <f t="shared" si="892"/>
        <v>0</v>
      </c>
      <c r="AK1470" s="162" t="str">
        <f t="shared" si="893"/>
        <v>PUNO</v>
      </c>
      <c r="AM1470" s="164"/>
    </row>
    <row r="1471" spans="1:39" ht="15.75" x14ac:dyDescent="0.2">
      <c r="B1471" s="177"/>
      <c r="C1471" s="177"/>
      <c r="D1471" s="177"/>
      <c r="E1471" s="177">
        <v>3213</v>
      </c>
      <c r="F1471" s="176">
        <v>14</v>
      </c>
      <c r="G1471" s="176"/>
      <c r="H1471" s="16" t="s">
        <v>221</v>
      </c>
      <c r="I1471" s="18"/>
      <c r="J1471" s="18"/>
      <c r="K1471" s="18"/>
      <c r="L1471" s="18"/>
      <c r="M1471" s="18"/>
      <c r="N1471" s="18"/>
      <c r="O1471" s="18"/>
      <c r="P1471" s="26"/>
      <c r="Q1471" s="18"/>
      <c r="R1471" s="18"/>
      <c r="S1471" s="18"/>
      <c r="T1471" s="27"/>
      <c r="U1471" s="27"/>
      <c r="V1471" s="18">
        <v>0</v>
      </c>
      <c r="W1471" s="18"/>
      <c r="X1471" s="18"/>
      <c r="Y1471" s="18">
        <v>0</v>
      </c>
      <c r="Z1471" s="18"/>
      <c r="AA1471" s="18">
        <f t="shared" si="896"/>
        <v>1000</v>
      </c>
      <c r="AB1471" s="18">
        <v>1000</v>
      </c>
      <c r="AC1471" s="18">
        <v>0</v>
      </c>
      <c r="AD1471" s="18">
        <f t="shared" si="884"/>
        <v>0</v>
      </c>
      <c r="AE1471" s="18">
        <f t="shared" si="888"/>
        <v>0</v>
      </c>
      <c r="AF1471" s="18">
        <v>1000</v>
      </c>
      <c r="AG1471" s="27">
        <v>2000</v>
      </c>
      <c r="AH1471" s="27">
        <v>3000</v>
      </c>
      <c r="AI1471" s="27">
        <v>4000</v>
      </c>
      <c r="AJ1471" s="162" t="b">
        <f t="shared" si="892"/>
        <v>0</v>
      </c>
      <c r="AK1471" s="162" t="str">
        <f t="shared" si="893"/>
        <v>PUNO</v>
      </c>
      <c r="AM1471" s="164"/>
    </row>
    <row r="1472" spans="1:39" ht="15.75" x14ac:dyDescent="0.2">
      <c r="B1472" s="177"/>
      <c r="C1472" s="177"/>
      <c r="D1472" s="177">
        <v>322</v>
      </c>
      <c r="E1472" s="177"/>
      <c r="F1472" s="176"/>
      <c r="G1472" s="176"/>
      <c r="H1472" s="16" t="s">
        <v>547</v>
      </c>
      <c r="I1472" s="18"/>
      <c r="J1472" s="18"/>
      <c r="K1472" s="18"/>
      <c r="L1472" s="18"/>
      <c r="M1472" s="18"/>
      <c r="N1472" s="18"/>
      <c r="O1472" s="18"/>
      <c r="P1472" s="26"/>
      <c r="Q1472" s="18"/>
      <c r="R1472" s="18"/>
      <c r="S1472" s="18"/>
      <c r="T1472" s="27"/>
      <c r="U1472" s="27">
        <f>U1473+U1474+U1475</f>
        <v>957.76</v>
      </c>
      <c r="V1472" s="18">
        <f>V1474</f>
        <v>0</v>
      </c>
      <c r="W1472" s="18"/>
      <c r="X1472" s="18"/>
      <c r="Y1472" s="18">
        <f>Y1474</f>
        <v>0</v>
      </c>
      <c r="Z1472" s="18"/>
      <c r="AA1472" s="18">
        <f t="shared" si="896"/>
        <v>11142</v>
      </c>
      <c r="AB1472" s="18">
        <f>AB1474</f>
        <v>11142</v>
      </c>
      <c r="AC1472" s="18">
        <f>AC1474</f>
        <v>11141.8</v>
      </c>
      <c r="AD1472" s="18">
        <f t="shared" si="884"/>
        <v>99.998204990127434</v>
      </c>
      <c r="AE1472" s="18">
        <f t="shared" si="888"/>
        <v>0</v>
      </c>
      <c r="AF1472" s="18">
        <f>AF1474</f>
        <v>11142</v>
      </c>
      <c r="AG1472" s="18">
        <f>AG1474</f>
        <v>0</v>
      </c>
      <c r="AH1472" s="18">
        <f>AH1474</f>
        <v>0</v>
      </c>
      <c r="AI1472" s="18">
        <f>AI1474</f>
        <v>0</v>
      </c>
      <c r="AJ1472" s="162" t="b">
        <f t="shared" si="892"/>
        <v>1</v>
      </c>
      <c r="AK1472" s="162" t="str">
        <f t="shared" si="893"/>
        <v>PRAZNO</v>
      </c>
      <c r="AM1472" s="164"/>
    </row>
    <row r="1473" spans="1:39" ht="15.75" x14ac:dyDescent="0.2">
      <c r="B1473" s="177"/>
      <c r="C1473" s="177"/>
      <c r="D1473" s="177"/>
      <c r="E1473" s="177">
        <v>3221</v>
      </c>
      <c r="F1473" s="176">
        <v>14</v>
      </c>
      <c r="G1473" s="176"/>
      <c r="H1473" s="16" t="s">
        <v>548</v>
      </c>
      <c r="I1473" s="18"/>
      <c r="J1473" s="18"/>
      <c r="K1473" s="18"/>
      <c r="L1473" s="18"/>
      <c r="M1473" s="18"/>
      <c r="N1473" s="18"/>
      <c r="O1473" s="18"/>
      <c r="P1473" s="26"/>
      <c r="Q1473" s="18"/>
      <c r="R1473" s="18"/>
      <c r="S1473" s="18"/>
      <c r="T1473" s="27"/>
      <c r="U1473" s="27">
        <v>93.76</v>
      </c>
      <c r="V1473" s="18"/>
      <c r="W1473" s="18"/>
      <c r="X1473" s="18"/>
      <c r="Y1473" s="18"/>
      <c r="Z1473" s="18"/>
      <c r="AA1473" s="18"/>
      <c r="AB1473" s="18"/>
      <c r="AC1473" s="18"/>
      <c r="AD1473" s="18"/>
      <c r="AE1473" s="18"/>
      <c r="AF1473" s="18"/>
      <c r="AG1473" s="18"/>
      <c r="AH1473" s="18"/>
      <c r="AI1473" s="18"/>
      <c r="AJ1473" s="162" t="b">
        <f t="shared" si="892"/>
        <v>0</v>
      </c>
      <c r="AK1473" s="162" t="str">
        <f t="shared" si="893"/>
        <v>PUNO</v>
      </c>
      <c r="AM1473" s="164"/>
    </row>
    <row r="1474" spans="1:39" ht="15.75" x14ac:dyDescent="0.2">
      <c r="B1474" s="177"/>
      <c r="C1474" s="177"/>
      <c r="D1474" s="177"/>
      <c r="E1474" s="177">
        <v>3223</v>
      </c>
      <c r="F1474" s="176">
        <v>14</v>
      </c>
      <c r="G1474" s="176"/>
      <c r="H1474" s="16" t="s">
        <v>204</v>
      </c>
      <c r="I1474" s="18"/>
      <c r="J1474" s="18"/>
      <c r="K1474" s="18"/>
      <c r="L1474" s="18"/>
      <c r="M1474" s="18"/>
      <c r="N1474" s="18"/>
      <c r="O1474" s="18"/>
      <c r="P1474" s="26"/>
      <c r="Q1474" s="18"/>
      <c r="R1474" s="18"/>
      <c r="S1474" s="18"/>
      <c r="T1474" s="27"/>
      <c r="U1474" s="27"/>
      <c r="V1474" s="18">
        <v>0</v>
      </c>
      <c r="W1474" s="18"/>
      <c r="X1474" s="18"/>
      <c r="Y1474" s="18">
        <v>0</v>
      </c>
      <c r="Z1474" s="18"/>
      <c r="AA1474" s="18">
        <f t="shared" si="896"/>
        <v>11142</v>
      </c>
      <c r="AB1474" s="18">
        <v>11142</v>
      </c>
      <c r="AC1474" s="18">
        <v>11141.8</v>
      </c>
      <c r="AD1474" s="18">
        <f t="shared" si="884"/>
        <v>99.998204990127434</v>
      </c>
      <c r="AE1474" s="18">
        <f t="shared" si="888"/>
        <v>0</v>
      </c>
      <c r="AF1474" s="18">
        <v>11142</v>
      </c>
      <c r="AG1474" s="18"/>
      <c r="AH1474" s="18"/>
      <c r="AI1474" s="18"/>
      <c r="AJ1474" s="162" t="b">
        <f t="shared" si="892"/>
        <v>0</v>
      </c>
      <c r="AK1474" s="162" t="str">
        <f t="shared" si="893"/>
        <v>PUNO</v>
      </c>
      <c r="AM1474" s="164"/>
    </row>
    <row r="1475" spans="1:39" ht="15.75" x14ac:dyDescent="0.2">
      <c r="B1475" s="177"/>
      <c r="C1475" s="177"/>
      <c r="D1475" s="177"/>
      <c r="E1475" s="177">
        <v>3225</v>
      </c>
      <c r="F1475" s="176">
        <v>14</v>
      </c>
      <c r="G1475" s="176"/>
      <c r="H1475" s="16" t="s">
        <v>642</v>
      </c>
      <c r="I1475" s="18"/>
      <c r="J1475" s="18"/>
      <c r="K1475" s="18"/>
      <c r="L1475" s="18"/>
      <c r="M1475" s="18"/>
      <c r="N1475" s="18"/>
      <c r="O1475" s="18"/>
      <c r="P1475" s="26"/>
      <c r="Q1475" s="18"/>
      <c r="R1475" s="18"/>
      <c r="S1475" s="18"/>
      <c r="T1475" s="27"/>
      <c r="U1475" s="27">
        <v>864</v>
      </c>
      <c r="V1475" s="18"/>
      <c r="W1475" s="18"/>
      <c r="X1475" s="18"/>
      <c r="Y1475" s="18"/>
      <c r="Z1475" s="18"/>
      <c r="AA1475" s="18"/>
      <c r="AB1475" s="18"/>
      <c r="AC1475" s="18"/>
      <c r="AD1475" s="18"/>
      <c r="AE1475" s="18"/>
      <c r="AF1475" s="18"/>
      <c r="AG1475" s="18"/>
      <c r="AH1475" s="18"/>
      <c r="AI1475" s="18"/>
      <c r="AJ1475" s="162" t="b">
        <f t="shared" si="892"/>
        <v>0</v>
      </c>
      <c r="AK1475" s="162" t="str">
        <f t="shared" si="893"/>
        <v>PUNO</v>
      </c>
      <c r="AM1475" s="164"/>
    </row>
    <row r="1476" spans="1:39" ht="16.5" customHeight="1" x14ac:dyDescent="0.2">
      <c r="B1476" s="177"/>
      <c r="C1476" s="177"/>
      <c r="D1476" s="177">
        <v>323</v>
      </c>
      <c r="E1476" s="177"/>
      <c r="F1476" s="176"/>
      <c r="G1476" s="176"/>
      <c r="H1476" s="16" t="s">
        <v>526</v>
      </c>
      <c r="I1476" s="18"/>
      <c r="J1476" s="18"/>
      <c r="K1476" s="18"/>
      <c r="L1476" s="18"/>
      <c r="M1476" s="18"/>
      <c r="N1476" s="18"/>
      <c r="O1476" s="18"/>
      <c r="P1476" s="26"/>
      <c r="Q1476" s="18"/>
      <c r="R1476" s="18"/>
      <c r="S1476" s="18"/>
      <c r="T1476" s="27"/>
      <c r="U1476" s="18">
        <f>SUM(U1477:U1479)</f>
        <v>37773.599999999999</v>
      </c>
      <c r="V1476" s="18">
        <f t="shared" ref="V1476:AA1476" si="915">V1478</f>
        <v>0</v>
      </c>
      <c r="W1476" s="18">
        <f t="shared" si="915"/>
        <v>0</v>
      </c>
      <c r="X1476" s="18">
        <f t="shared" si="915"/>
        <v>0</v>
      </c>
      <c r="Y1476" s="18">
        <f t="shared" si="915"/>
        <v>0</v>
      </c>
      <c r="Z1476" s="18">
        <f t="shared" si="915"/>
        <v>0</v>
      </c>
      <c r="AA1476" s="18">
        <f t="shared" si="915"/>
        <v>8782</v>
      </c>
      <c r="AB1476" s="18">
        <f>AB1478</f>
        <v>8782</v>
      </c>
      <c r="AC1476" s="18">
        <f>AC1478</f>
        <v>8782</v>
      </c>
      <c r="AD1476" s="18">
        <f t="shared" si="884"/>
        <v>100</v>
      </c>
      <c r="AE1476" s="18">
        <f t="shared" si="888"/>
        <v>0</v>
      </c>
      <c r="AF1476" s="18">
        <f>AF1478</f>
        <v>8782</v>
      </c>
      <c r="AG1476" s="18">
        <f>AG1478</f>
        <v>0</v>
      </c>
      <c r="AH1476" s="18">
        <f>AH1478</f>
        <v>0</v>
      </c>
      <c r="AI1476" s="18">
        <f>AI1478</f>
        <v>0</v>
      </c>
      <c r="AJ1476" s="162" t="b">
        <f t="shared" si="892"/>
        <v>1</v>
      </c>
      <c r="AK1476" s="162" t="str">
        <f t="shared" si="893"/>
        <v>PRAZNO</v>
      </c>
      <c r="AM1476" s="164"/>
    </row>
    <row r="1477" spans="1:39" ht="16.5" customHeight="1" x14ac:dyDescent="0.2">
      <c r="B1477" s="177"/>
      <c r="C1477" s="177"/>
      <c r="D1477" s="177"/>
      <c r="E1477" s="177">
        <v>3232</v>
      </c>
      <c r="F1477" s="176">
        <v>14</v>
      </c>
      <c r="G1477" s="176"/>
      <c r="H1477" s="16" t="s">
        <v>937</v>
      </c>
      <c r="I1477" s="18"/>
      <c r="J1477" s="18"/>
      <c r="K1477" s="18"/>
      <c r="L1477" s="18"/>
      <c r="M1477" s="18"/>
      <c r="N1477" s="18"/>
      <c r="O1477" s="18"/>
      <c r="P1477" s="26"/>
      <c r="Q1477" s="18"/>
      <c r="R1477" s="18"/>
      <c r="S1477" s="18"/>
      <c r="T1477" s="27"/>
      <c r="U1477" s="27">
        <v>29081.1</v>
      </c>
      <c r="V1477" s="18"/>
      <c r="W1477" s="18"/>
      <c r="X1477" s="18"/>
      <c r="Y1477" s="18"/>
      <c r="Z1477" s="18"/>
      <c r="AA1477" s="18"/>
      <c r="AB1477" s="18"/>
      <c r="AC1477" s="18"/>
      <c r="AD1477" s="18"/>
      <c r="AE1477" s="18"/>
      <c r="AF1477" s="18"/>
      <c r="AG1477" s="18"/>
      <c r="AH1477" s="18"/>
      <c r="AI1477" s="18"/>
      <c r="AJ1477" s="162" t="b">
        <f t="shared" si="892"/>
        <v>0</v>
      </c>
      <c r="AK1477" s="162" t="str">
        <f t="shared" si="893"/>
        <v>PUNO</v>
      </c>
      <c r="AM1477" s="164"/>
    </row>
    <row r="1478" spans="1:39" ht="15.75" x14ac:dyDescent="0.2">
      <c r="B1478" s="177"/>
      <c r="C1478" s="177"/>
      <c r="D1478" s="177"/>
      <c r="E1478" s="177">
        <v>3237</v>
      </c>
      <c r="F1478" s="176">
        <v>14</v>
      </c>
      <c r="G1478" s="176"/>
      <c r="H1478" s="16" t="s">
        <v>566</v>
      </c>
      <c r="I1478" s="18"/>
      <c r="J1478" s="18"/>
      <c r="K1478" s="18"/>
      <c r="L1478" s="18"/>
      <c r="M1478" s="18"/>
      <c r="N1478" s="18"/>
      <c r="O1478" s="18"/>
      <c r="P1478" s="26"/>
      <c r="Q1478" s="18"/>
      <c r="R1478" s="18"/>
      <c r="S1478" s="18"/>
      <c r="T1478" s="27"/>
      <c r="U1478" s="27">
        <v>4000</v>
      </c>
      <c r="V1478" s="18">
        <v>0</v>
      </c>
      <c r="W1478" s="18"/>
      <c r="X1478" s="18"/>
      <c r="Y1478" s="18">
        <v>0</v>
      </c>
      <c r="Z1478" s="18"/>
      <c r="AA1478" s="18">
        <f t="shared" si="896"/>
        <v>8782</v>
      </c>
      <c r="AB1478" s="18">
        <v>8782</v>
      </c>
      <c r="AC1478" s="18">
        <v>8782</v>
      </c>
      <c r="AD1478" s="18">
        <f t="shared" si="884"/>
        <v>100</v>
      </c>
      <c r="AE1478" s="18">
        <f t="shared" si="888"/>
        <v>0</v>
      </c>
      <c r="AF1478" s="18">
        <v>8782</v>
      </c>
      <c r="AG1478" s="18"/>
      <c r="AH1478" s="18"/>
      <c r="AI1478" s="18"/>
      <c r="AJ1478" s="162" t="b">
        <f t="shared" si="892"/>
        <v>0</v>
      </c>
      <c r="AK1478" s="162" t="str">
        <f t="shared" si="893"/>
        <v>PUNO</v>
      </c>
      <c r="AM1478" s="164"/>
    </row>
    <row r="1479" spans="1:39" ht="15.75" x14ac:dyDescent="0.2">
      <c r="B1479" s="177"/>
      <c r="C1479" s="177"/>
      <c r="D1479" s="177"/>
      <c r="E1479" s="177">
        <v>3239</v>
      </c>
      <c r="F1479" s="176">
        <v>14</v>
      </c>
      <c r="G1479" s="176"/>
      <c r="H1479" s="16" t="s">
        <v>529</v>
      </c>
      <c r="I1479" s="18"/>
      <c r="J1479" s="18"/>
      <c r="K1479" s="18"/>
      <c r="L1479" s="18"/>
      <c r="M1479" s="18"/>
      <c r="N1479" s="18"/>
      <c r="O1479" s="18"/>
      <c r="P1479" s="26"/>
      <c r="Q1479" s="18"/>
      <c r="R1479" s="18"/>
      <c r="S1479" s="18"/>
      <c r="T1479" s="27"/>
      <c r="U1479" s="27">
        <v>4692.5</v>
      </c>
      <c r="V1479" s="18"/>
      <c r="W1479" s="18"/>
      <c r="X1479" s="18"/>
      <c r="Y1479" s="18"/>
      <c r="Z1479" s="18"/>
      <c r="AA1479" s="18"/>
      <c r="AB1479" s="18"/>
      <c r="AC1479" s="18"/>
      <c r="AD1479" s="18"/>
      <c r="AE1479" s="18"/>
      <c r="AF1479" s="18"/>
      <c r="AG1479" s="670"/>
      <c r="AH1479" s="670"/>
      <c r="AI1479" s="670"/>
      <c r="AJ1479" s="162" t="b">
        <f t="shared" si="892"/>
        <v>0</v>
      </c>
      <c r="AK1479" s="162" t="str">
        <f t="shared" si="893"/>
        <v>PUNO</v>
      </c>
      <c r="AM1479" s="164"/>
    </row>
    <row r="1480" spans="1:39" ht="15.75" x14ac:dyDescent="0.2">
      <c r="B1480" s="177"/>
      <c r="C1480" s="177"/>
      <c r="D1480" s="177">
        <v>329</v>
      </c>
      <c r="E1480" s="177"/>
      <c r="F1480" s="176"/>
      <c r="G1480" s="176"/>
      <c r="H1480" s="16" t="s">
        <v>531</v>
      </c>
      <c r="I1480" s="18"/>
      <c r="J1480" s="18"/>
      <c r="K1480" s="18"/>
      <c r="L1480" s="18"/>
      <c r="M1480" s="18"/>
      <c r="N1480" s="18"/>
      <c r="O1480" s="18"/>
      <c r="P1480" s="26"/>
      <c r="Q1480" s="18"/>
      <c r="R1480" s="18"/>
      <c r="S1480" s="18"/>
      <c r="T1480" s="27"/>
      <c r="U1480" s="27">
        <f>SUM(U1481:U1482)</f>
        <v>127706.76</v>
      </c>
      <c r="V1480" s="18"/>
      <c r="W1480" s="18"/>
      <c r="X1480" s="18"/>
      <c r="Y1480" s="18"/>
      <c r="Z1480" s="18"/>
      <c r="AA1480" s="18"/>
      <c r="AB1480" s="18"/>
      <c r="AC1480" s="18"/>
      <c r="AD1480" s="18"/>
      <c r="AE1480" s="18"/>
      <c r="AF1480" s="18"/>
      <c r="AG1480" s="670"/>
      <c r="AH1480" s="670"/>
      <c r="AI1480" s="670"/>
      <c r="AJ1480" s="162" t="b">
        <f t="shared" si="892"/>
        <v>1</v>
      </c>
      <c r="AK1480" s="162" t="str">
        <f t="shared" si="893"/>
        <v>PRAZNO</v>
      </c>
      <c r="AM1480" s="164"/>
    </row>
    <row r="1481" spans="1:39" ht="15.75" x14ac:dyDescent="0.2">
      <c r="B1481" s="177"/>
      <c r="C1481" s="177"/>
      <c r="D1481" s="177"/>
      <c r="E1481" s="177">
        <v>3291</v>
      </c>
      <c r="F1481" s="176">
        <v>14</v>
      </c>
      <c r="G1481" s="176"/>
      <c r="H1481" s="16" t="s">
        <v>938</v>
      </c>
      <c r="I1481" s="18"/>
      <c r="J1481" s="18"/>
      <c r="K1481" s="18"/>
      <c r="L1481" s="18"/>
      <c r="M1481" s="18"/>
      <c r="N1481" s="18"/>
      <c r="O1481" s="18"/>
      <c r="P1481" s="26"/>
      <c r="Q1481" s="18"/>
      <c r="R1481" s="18"/>
      <c r="S1481" s="18"/>
      <c r="T1481" s="27"/>
      <c r="U1481" s="27">
        <v>101424.59</v>
      </c>
      <c r="V1481" s="18"/>
      <c r="W1481" s="18"/>
      <c r="X1481" s="18"/>
      <c r="Y1481" s="18"/>
      <c r="Z1481" s="18"/>
      <c r="AA1481" s="18"/>
      <c r="AB1481" s="18"/>
      <c r="AC1481" s="18"/>
      <c r="AD1481" s="18"/>
      <c r="AE1481" s="18"/>
      <c r="AF1481" s="18"/>
      <c r="AG1481" s="670"/>
      <c r="AH1481" s="670"/>
      <c r="AI1481" s="670"/>
      <c r="AJ1481" s="162" t="b">
        <f t="shared" ref="AJ1481:AJ1544" si="916">ISBLANK(E1481)</f>
        <v>0</v>
      </c>
      <c r="AK1481" s="162" t="str">
        <f t="shared" ref="AK1481:AK1544" si="917">IF(AJ1481,"PRAZNO","PUNO")</f>
        <v>PUNO</v>
      </c>
      <c r="AM1481" s="164"/>
    </row>
    <row r="1482" spans="1:39" ht="15.75" x14ac:dyDescent="0.2">
      <c r="B1482" s="177"/>
      <c r="C1482" s="177"/>
      <c r="D1482" s="177"/>
      <c r="E1482" s="177">
        <v>3292</v>
      </c>
      <c r="F1482" s="176">
        <v>14</v>
      </c>
      <c r="G1482" s="176"/>
      <c r="H1482" s="16" t="s">
        <v>939</v>
      </c>
      <c r="I1482" s="18"/>
      <c r="J1482" s="18"/>
      <c r="K1482" s="18"/>
      <c r="L1482" s="18"/>
      <c r="M1482" s="18"/>
      <c r="N1482" s="18"/>
      <c r="O1482" s="18"/>
      <c r="P1482" s="26"/>
      <c r="Q1482" s="18"/>
      <c r="R1482" s="18"/>
      <c r="S1482" s="18"/>
      <c r="T1482" s="27"/>
      <c r="U1482" s="27">
        <v>26282.17</v>
      </c>
      <c r="V1482" s="18"/>
      <c r="W1482" s="18"/>
      <c r="X1482" s="18"/>
      <c r="Y1482" s="18"/>
      <c r="Z1482" s="18"/>
      <c r="AA1482" s="18"/>
      <c r="AB1482" s="18"/>
      <c r="AC1482" s="18"/>
      <c r="AD1482" s="18"/>
      <c r="AE1482" s="18"/>
      <c r="AF1482" s="18"/>
      <c r="AG1482" s="670"/>
      <c r="AH1482" s="670"/>
      <c r="AI1482" s="670"/>
      <c r="AJ1482" s="162" t="b">
        <f t="shared" si="916"/>
        <v>0</v>
      </c>
      <c r="AK1482" s="162" t="str">
        <f t="shared" si="917"/>
        <v>PUNO</v>
      </c>
      <c r="AM1482" s="164"/>
    </row>
    <row r="1483" spans="1:39" s="171" customFormat="1" ht="31.5" x14ac:dyDescent="0.2">
      <c r="A1483" s="259"/>
      <c r="B1483" s="168"/>
      <c r="C1483" s="168"/>
      <c r="D1483" s="168"/>
      <c r="E1483" s="168"/>
      <c r="F1483" s="168"/>
      <c r="G1483" s="168"/>
      <c r="H1483" s="13" t="s">
        <v>436</v>
      </c>
      <c r="I1483" s="169">
        <f>I1485</f>
        <v>295000</v>
      </c>
      <c r="J1483" s="169">
        <f>J1485</f>
        <v>176403.73</v>
      </c>
      <c r="K1483" s="169">
        <f>ROUND(J1483/I1483*100,2)</f>
        <v>59.8</v>
      </c>
      <c r="L1483" s="169" t="e">
        <f>M1483-I1483</f>
        <v>#REF!</v>
      </c>
      <c r="M1483" s="19" t="e">
        <f>M1485</f>
        <v>#REF!</v>
      </c>
      <c r="N1483" s="19">
        <f>N1485</f>
        <v>302000</v>
      </c>
      <c r="O1483" s="19">
        <f>O1485</f>
        <v>139013.17000000001</v>
      </c>
      <c r="P1483" s="303">
        <f>T1483-N1483</f>
        <v>3000</v>
      </c>
      <c r="Q1483" s="19">
        <f t="shared" ref="Q1483:X1483" si="918">Q1485</f>
        <v>302000</v>
      </c>
      <c r="R1483" s="19">
        <f t="shared" si="918"/>
        <v>302000</v>
      </c>
      <c r="S1483" s="19">
        <f t="shared" si="918"/>
        <v>302000</v>
      </c>
      <c r="T1483" s="53">
        <f t="shared" si="918"/>
        <v>305000</v>
      </c>
      <c r="U1483" s="53">
        <f>U1485</f>
        <v>278100.08999999997</v>
      </c>
      <c r="V1483" s="19">
        <f t="shared" si="918"/>
        <v>305000</v>
      </c>
      <c r="W1483" s="19">
        <f t="shared" si="918"/>
        <v>305000</v>
      </c>
      <c r="X1483" s="19">
        <f t="shared" si="918"/>
        <v>312000</v>
      </c>
      <c r="Y1483" s="19">
        <f>Y1485</f>
        <v>75592.710000000006</v>
      </c>
      <c r="Z1483" s="19">
        <f t="shared" si="901"/>
        <v>24.78</v>
      </c>
      <c r="AA1483" s="19">
        <f t="shared" si="896"/>
        <v>0</v>
      </c>
      <c r="AB1483" s="19">
        <f>AB1485</f>
        <v>305000</v>
      </c>
      <c r="AC1483" s="19">
        <f>AC1485</f>
        <v>149134.5</v>
      </c>
      <c r="AD1483" s="19">
        <f t="shared" si="884"/>
        <v>48.896557377049184</v>
      </c>
      <c r="AE1483" s="19">
        <f t="shared" si="888"/>
        <v>0</v>
      </c>
      <c r="AF1483" s="19">
        <f>AF1485</f>
        <v>305000</v>
      </c>
      <c r="AG1483" s="19">
        <f>AG1485</f>
        <v>306500</v>
      </c>
      <c r="AH1483" s="19">
        <f>AH1485</f>
        <v>308500</v>
      </c>
      <c r="AI1483" s="19">
        <f>AI1485</f>
        <v>310500</v>
      </c>
      <c r="AJ1483" s="162" t="b">
        <f t="shared" si="916"/>
        <v>1</v>
      </c>
      <c r="AK1483" s="162" t="str">
        <f t="shared" si="917"/>
        <v>PRAZNO</v>
      </c>
      <c r="AL1483" s="170"/>
      <c r="AM1483" s="164"/>
    </row>
    <row r="1484" spans="1:39" s="264" customFormat="1" ht="15.75" x14ac:dyDescent="0.2">
      <c r="A1484" s="259"/>
      <c r="B1484" s="260"/>
      <c r="C1484" s="260"/>
      <c r="D1484" s="260"/>
      <c r="E1484" s="260"/>
      <c r="F1484" s="260"/>
      <c r="G1484" s="260"/>
      <c r="H1484" s="440" t="s">
        <v>824</v>
      </c>
      <c r="I1484" s="181"/>
      <c r="J1484" s="181"/>
      <c r="K1484" s="181"/>
      <c r="L1484" s="181"/>
      <c r="M1484" s="262"/>
      <c r="N1484" s="262"/>
      <c r="O1484" s="262"/>
      <c r="P1484" s="445"/>
      <c r="Q1484" s="262"/>
      <c r="R1484" s="262"/>
      <c r="S1484" s="262"/>
      <c r="T1484" s="342"/>
      <c r="U1484" s="342"/>
      <c r="V1484" s="262">
        <f>V1485</f>
        <v>305000</v>
      </c>
      <c r="W1484" s="262">
        <f>W1485</f>
        <v>305000</v>
      </c>
      <c r="X1484" s="262">
        <f>X1485</f>
        <v>312000</v>
      </c>
      <c r="Y1484" s="262">
        <f>Y1485</f>
        <v>75592.710000000006</v>
      </c>
      <c r="Z1484" s="262">
        <f t="shared" si="901"/>
        <v>24.78</v>
      </c>
      <c r="AA1484" s="262">
        <f t="shared" si="896"/>
        <v>0</v>
      </c>
      <c r="AB1484" s="262">
        <f t="shared" ref="AB1484:AI1485" si="919">AB1485</f>
        <v>305000</v>
      </c>
      <c r="AC1484" s="262">
        <f t="shared" si="919"/>
        <v>149134.5</v>
      </c>
      <c r="AD1484" s="262">
        <f t="shared" si="884"/>
        <v>48.896557377049184</v>
      </c>
      <c r="AE1484" s="262">
        <f t="shared" si="888"/>
        <v>0</v>
      </c>
      <c r="AF1484" s="262">
        <f t="shared" si="919"/>
        <v>305000</v>
      </c>
      <c r="AG1484" s="262">
        <f t="shared" si="919"/>
        <v>306500</v>
      </c>
      <c r="AH1484" s="262">
        <f t="shared" si="919"/>
        <v>308500</v>
      </c>
      <c r="AI1484" s="262">
        <f t="shared" si="919"/>
        <v>310500</v>
      </c>
      <c r="AJ1484" s="162" t="b">
        <f t="shared" si="916"/>
        <v>1</v>
      </c>
      <c r="AK1484" s="162" t="str">
        <f t="shared" si="917"/>
        <v>PRAZNO</v>
      </c>
      <c r="AL1484" s="263"/>
    </row>
    <row r="1485" spans="1:39" s="174" customFormat="1" ht="15.75" x14ac:dyDescent="0.2">
      <c r="A1485" s="259"/>
      <c r="B1485" s="172">
        <v>3</v>
      </c>
      <c r="C1485" s="172"/>
      <c r="D1485" s="172"/>
      <c r="E1485" s="172"/>
      <c r="F1485" s="172"/>
      <c r="G1485" s="172"/>
      <c r="H1485" s="36" t="s">
        <v>524</v>
      </c>
      <c r="I1485" s="37">
        <f t="shared" ref="I1485:Y1485" si="920">I1486</f>
        <v>295000</v>
      </c>
      <c r="J1485" s="37">
        <f t="shared" si="920"/>
        <v>176403.73</v>
      </c>
      <c r="K1485" s="37">
        <f>ROUND(J1485/I1485*100,2)</f>
        <v>59.8</v>
      </c>
      <c r="L1485" s="37" t="e">
        <f t="shared" ref="L1485:L1490" si="921">M1485-I1485</f>
        <v>#REF!</v>
      </c>
      <c r="M1485" s="37" t="e">
        <f t="shared" si="920"/>
        <v>#REF!</v>
      </c>
      <c r="N1485" s="37">
        <f t="shared" si="920"/>
        <v>302000</v>
      </c>
      <c r="O1485" s="37">
        <f t="shared" si="920"/>
        <v>139013.17000000001</v>
      </c>
      <c r="P1485" s="55">
        <f t="shared" ref="P1485:P1492" si="922">T1485-N1485</f>
        <v>3000</v>
      </c>
      <c r="Q1485" s="37">
        <f t="shared" si="920"/>
        <v>302000</v>
      </c>
      <c r="R1485" s="37">
        <f t="shared" si="920"/>
        <v>302000</v>
      </c>
      <c r="S1485" s="37">
        <f t="shared" si="920"/>
        <v>302000</v>
      </c>
      <c r="T1485" s="54">
        <f t="shared" si="920"/>
        <v>305000</v>
      </c>
      <c r="U1485" s="54">
        <f t="shared" si="920"/>
        <v>278100.08999999997</v>
      </c>
      <c r="V1485" s="37">
        <f t="shared" si="920"/>
        <v>305000</v>
      </c>
      <c r="W1485" s="37">
        <f t="shared" si="920"/>
        <v>305000</v>
      </c>
      <c r="X1485" s="37">
        <f t="shared" si="920"/>
        <v>312000</v>
      </c>
      <c r="Y1485" s="37">
        <f t="shared" si="920"/>
        <v>75592.710000000006</v>
      </c>
      <c r="Z1485" s="37">
        <f t="shared" si="901"/>
        <v>24.78</v>
      </c>
      <c r="AA1485" s="37">
        <f t="shared" si="896"/>
        <v>0</v>
      </c>
      <c r="AB1485" s="37">
        <f t="shared" si="919"/>
        <v>305000</v>
      </c>
      <c r="AC1485" s="37">
        <f t="shared" si="919"/>
        <v>149134.5</v>
      </c>
      <c r="AD1485" s="37">
        <f t="shared" si="884"/>
        <v>48.896557377049184</v>
      </c>
      <c r="AE1485" s="37">
        <f t="shared" si="888"/>
        <v>0</v>
      </c>
      <c r="AF1485" s="37">
        <f t="shared" si="919"/>
        <v>305000</v>
      </c>
      <c r="AG1485" s="37">
        <f t="shared" si="919"/>
        <v>306500</v>
      </c>
      <c r="AH1485" s="37">
        <f t="shared" si="919"/>
        <v>308500</v>
      </c>
      <c r="AI1485" s="37">
        <f t="shared" si="919"/>
        <v>310500</v>
      </c>
      <c r="AJ1485" s="162" t="b">
        <f t="shared" si="916"/>
        <v>1</v>
      </c>
      <c r="AK1485" s="162" t="str">
        <f t="shared" si="917"/>
        <v>PRAZNO</v>
      </c>
      <c r="AL1485" s="173"/>
      <c r="AM1485" s="164"/>
    </row>
    <row r="1486" spans="1:39" s="644" customFormat="1" ht="15.75" x14ac:dyDescent="0.2">
      <c r="A1486" s="633"/>
      <c r="B1486" s="175"/>
      <c r="C1486" s="175">
        <v>32</v>
      </c>
      <c r="D1486" s="175"/>
      <c r="E1486" s="175"/>
      <c r="F1486" s="175"/>
      <c r="G1486" s="175"/>
      <c r="H1486" s="15" t="s">
        <v>525</v>
      </c>
      <c r="I1486" s="22">
        <f>I1489+I1487+I1491</f>
        <v>295000</v>
      </c>
      <c r="J1486" s="22">
        <f>J1489+J1487+J1491</f>
        <v>176403.73</v>
      </c>
      <c r="K1486" s="22">
        <f>ROUND(J1486/I1486*100,2)</f>
        <v>59.8</v>
      </c>
      <c r="L1486" s="22" t="e">
        <f t="shared" si="921"/>
        <v>#REF!</v>
      </c>
      <c r="M1486" s="22" t="e">
        <f>M1489+M1487+M1491</f>
        <v>#REF!</v>
      </c>
      <c r="N1486" s="22">
        <f>N1489+N1487+N1491</f>
        <v>302000</v>
      </c>
      <c r="O1486" s="22">
        <f>O1489+O1487+O1491</f>
        <v>139013.17000000001</v>
      </c>
      <c r="P1486" s="38">
        <f t="shared" si="922"/>
        <v>3000</v>
      </c>
      <c r="Q1486" s="22">
        <f t="shared" ref="Q1486:Y1486" si="923">Q1489+Q1487+Q1491</f>
        <v>302000</v>
      </c>
      <c r="R1486" s="22">
        <f t="shared" si="923"/>
        <v>302000</v>
      </c>
      <c r="S1486" s="22">
        <f t="shared" si="923"/>
        <v>302000</v>
      </c>
      <c r="T1486" s="38">
        <f t="shared" si="923"/>
        <v>305000</v>
      </c>
      <c r="U1486" s="38">
        <f>U1489+U1487+U1491</f>
        <v>278100.08999999997</v>
      </c>
      <c r="V1486" s="22">
        <f t="shared" si="923"/>
        <v>305000</v>
      </c>
      <c r="W1486" s="22">
        <f t="shared" si="923"/>
        <v>305000</v>
      </c>
      <c r="X1486" s="22">
        <f t="shared" si="923"/>
        <v>312000</v>
      </c>
      <c r="Y1486" s="22">
        <f t="shared" si="923"/>
        <v>75592.710000000006</v>
      </c>
      <c r="Z1486" s="22">
        <f t="shared" si="901"/>
        <v>24.78</v>
      </c>
      <c r="AA1486" s="22">
        <f t="shared" si="896"/>
        <v>0</v>
      </c>
      <c r="AB1486" s="22">
        <f>AB1489+AB1487+AB1491</f>
        <v>305000</v>
      </c>
      <c r="AC1486" s="22">
        <f>AC1489+AC1487+AC1491</f>
        <v>149134.5</v>
      </c>
      <c r="AD1486" s="22">
        <f t="shared" si="884"/>
        <v>48.896557377049184</v>
      </c>
      <c r="AE1486" s="22">
        <f t="shared" si="888"/>
        <v>0</v>
      </c>
      <c r="AF1486" s="22">
        <f>AF1489+AF1487+AF1491</f>
        <v>305000</v>
      </c>
      <c r="AG1486" s="22">
        <f>AG1489+AG1487+AG1491</f>
        <v>306500</v>
      </c>
      <c r="AH1486" s="22">
        <f>AH1489+AH1487+AH1491</f>
        <v>308500</v>
      </c>
      <c r="AI1486" s="22">
        <f>AI1489+AI1487+AI1491</f>
        <v>310500</v>
      </c>
      <c r="AJ1486" s="162" t="b">
        <f t="shared" si="916"/>
        <v>1</v>
      </c>
      <c r="AK1486" s="162" t="str">
        <f t="shared" si="917"/>
        <v>PRAZNO</v>
      </c>
      <c r="AL1486" s="643"/>
      <c r="AM1486" s="647"/>
    </row>
    <row r="1487" spans="1:39" ht="15.75" x14ac:dyDescent="0.2">
      <c r="B1487" s="175"/>
      <c r="C1487" s="175"/>
      <c r="D1487" s="175">
        <v>322</v>
      </c>
      <c r="E1487" s="175"/>
      <c r="F1487" s="175"/>
      <c r="G1487" s="175"/>
      <c r="H1487" s="16" t="s">
        <v>547</v>
      </c>
      <c r="I1487" s="22">
        <f>I1488</f>
        <v>0</v>
      </c>
      <c r="J1487" s="22">
        <f>J1488</f>
        <v>0</v>
      </c>
      <c r="K1487" s="22"/>
      <c r="L1487" s="22">
        <f t="shared" si="921"/>
        <v>6027</v>
      </c>
      <c r="M1487" s="22">
        <f>M1488</f>
        <v>6027</v>
      </c>
      <c r="N1487" s="22">
        <f>N1488</f>
        <v>7000</v>
      </c>
      <c r="O1487" s="22">
        <f>O1488</f>
        <v>5538.6</v>
      </c>
      <c r="P1487" s="26">
        <f t="shared" si="922"/>
        <v>3000</v>
      </c>
      <c r="Q1487" s="22">
        <f t="shared" ref="Q1487:AI1487" si="924">Q1488</f>
        <v>7000</v>
      </c>
      <c r="R1487" s="22">
        <f t="shared" si="924"/>
        <v>5000</v>
      </c>
      <c r="S1487" s="22">
        <f t="shared" si="924"/>
        <v>5000</v>
      </c>
      <c r="T1487" s="38">
        <f t="shared" si="924"/>
        <v>10000</v>
      </c>
      <c r="U1487" s="38">
        <f t="shared" si="924"/>
        <v>7888.6</v>
      </c>
      <c r="V1487" s="22">
        <f t="shared" si="924"/>
        <v>10000</v>
      </c>
      <c r="W1487" s="22">
        <f t="shared" si="924"/>
        <v>10000</v>
      </c>
      <c r="X1487" s="22">
        <f>X1488</f>
        <v>10000</v>
      </c>
      <c r="Y1487" s="22">
        <f t="shared" si="924"/>
        <v>1950</v>
      </c>
      <c r="Z1487" s="22">
        <f t="shared" si="901"/>
        <v>19.5</v>
      </c>
      <c r="AA1487" s="22">
        <f t="shared" si="896"/>
        <v>0</v>
      </c>
      <c r="AB1487" s="22">
        <f t="shared" si="924"/>
        <v>10000</v>
      </c>
      <c r="AC1487" s="22">
        <f t="shared" si="924"/>
        <v>3900</v>
      </c>
      <c r="AD1487" s="22">
        <f t="shared" si="884"/>
        <v>39</v>
      </c>
      <c r="AE1487" s="22">
        <f t="shared" si="888"/>
        <v>0</v>
      </c>
      <c r="AF1487" s="22">
        <f t="shared" si="924"/>
        <v>10000</v>
      </c>
      <c r="AG1487" s="22">
        <f t="shared" si="924"/>
        <v>10000</v>
      </c>
      <c r="AH1487" s="22">
        <f t="shared" si="924"/>
        <v>11000</v>
      </c>
      <c r="AI1487" s="22">
        <f t="shared" si="924"/>
        <v>12000</v>
      </c>
      <c r="AJ1487" s="162" t="b">
        <f t="shared" si="916"/>
        <v>1</v>
      </c>
      <c r="AK1487" s="162" t="str">
        <f t="shared" si="917"/>
        <v>PRAZNO</v>
      </c>
      <c r="AM1487" s="164"/>
    </row>
    <row r="1488" spans="1:39" ht="15.75" x14ac:dyDescent="0.2">
      <c r="B1488" s="175"/>
      <c r="C1488" s="175"/>
      <c r="D1488" s="175"/>
      <c r="E1488" s="212">
        <v>3221</v>
      </c>
      <c r="F1488" s="212">
        <v>11</v>
      </c>
      <c r="G1488" s="175"/>
      <c r="H1488" s="16" t="s">
        <v>548</v>
      </c>
      <c r="I1488" s="22">
        <v>0</v>
      </c>
      <c r="J1488" s="210">
        <v>0</v>
      </c>
      <c r="K1488" s="22"/>
      <c r="L1488" s="210">
        <f t="shared" si="921"/>
        <v>6027</v>
      </c>
      <c r="M1488" s="22">
        <v>6027</v>
      </c>
      <c r="N1488" s="22">
        <v>7000</v>
      </c>
      <c r="O1488" s="22">
        <v>5538.6</v>
      </c>
      <c r="P1488" s="26">
        <f t="shared" si="922"/>
        <v>3000</v>
      </c>
      <c r="Q1488" s="22">
        <v>7000</v>
      </c>
      <c r="R1488" s="22">
        <v>5000</v>
      </c>
      <c r="S1488" s="22">
        <v>5000</v>
      </c>
      <c r="T1488" s="38">
        <v>10000</v>
      </c>
      <c r="U1488" s="38">
        <v>7888.6</v>
      </c>
      <c r="V1488" s="38">
        <v>10000</v>
      </c>
      <c r="W1488" s="38">
        <v>10000</v>
      </c>
      <c r="X1488" s="38">
        <v>10000</v>
      </c>
      <c r="Y1488" s="38">
        <v>1950</v>
      </c>
      <c r="Z1488" s="38">
        <f t="shared" si="901"/>
        <v>19.5</v>
      </c>
      <c r="AA1488" s="38">
        <f t="shared" si="896"/>
        <v>0</v>
      </c>
      <c r="AB1488" s="38">
        <v>10000</v>
      </c>
      <c r="AC1488" s="38">
        <v>3900</v>
      </c>
      <c r="AD1488" s="38">
        <f t="shared" si="884"/>
        <v>39</v>
      </c>
      <c r="AE1488" s="38">
        <f t="shared" si="888"/>
        <v>0</v>
      </c>
      <c r="AF1488" s="38">
        <v>10000</v>
      </c>
      <c r="AG1488" s="38">
        <v>10000</v>
      </c>
      <c r="AH1488" s="38">
        <v>11000</v>
      </c>
      <c r="AI1488" s="38">
        <v>12000</v>
      </c>
      <c r="AJ1488" s="162" t="b">
        <f t="shared" si="916"/>
        <v>0</v>
      </c>
      <c r="AK1488" s="162" t="str">
        <f t="shared" si="917"/>
        <v>PUNO</v>
      </c>
      <c r="AM1488" s="164"/>
    </row>
    <row r="1489" spans="1:39" ht="15.75" x14ac:dyDescent="0.2">
      <c r="B1489" s="177"/>
      <c r="C1489" s="177"/>
      <c r="D1489" s="177">
        <v>323</v>
      </c>
      <c r="E1489" s="177"/>
      <c r="F1489" s="177"/>
      <c r="G1489" s="177"/>
      <c r="H1489" s="29" t="s">
        <v>526</v>
      </c>
      <c r="I1489" s="17">
        <f t="shared" ref="I1489:AI1489" si="925">I1490</f>
        <v>295000</v>
      </c>
      <c r="J1489" s="210">
        <f>J1490</f>
        <v>176403.73</v>
      </c>
      <c r="K1489" s="17">
        <f>ROUND(J1489/I1489*100,2)</f>
        <v>59.8</v>
      </c>
      <c r="L1489" s="210" t="e">
        <f t="shared" si="921"/>
        <v>#REF!</v>
      </c>
      <c r="M1489" s="17" t="e">
        <f>M1490+#REF!</f>
        <v>#REF!</v>
      </c>
      <c r="N1489" s="17">
        <f t="shared" si="925"/>
        <v>294000</v>
      </c>
      <c r="O1489" s="17">
        <f t="shared" si="925"/>
        <v>133474.57</v>
      </c>
      <c r="P1489" s="26">
        <f t="shared" si="922"/>
        <v>0</v>
      </c>
      <c r="Q1489" s="17">
        <f t="shared" si="925"/>
        <v>294000</v>
      </c>
      <c r="R1489" s="17">
        <f t="shared" si="925"/>
        <v>295000</v>
      </c>
      <c r="S1489" s="17">
        <f t="shared" si="925"/>
        <v>295000</v>
      </c>
      <c r="T1489" s="26">
        <f t="shared" si="925"/>
        <v>294000</v>
      </c>
      <c r="U1489" s="26">
        <f t="shared" si="925"/>
        <v>270211.49</v>
      </c>
      <c r="V1489" s="17">
        <f t="shared" si="925"/>
        <v>294000</v>
      </c>
      <c r="W1489" s="17">
        <f t="shared" si="925"/>
        <v>294000</v>
      </c>
      <c r="X1489" s="17">
        <f t="shared" si="925"/>
        <v>301000</v>
      </c>
      <c r="Y1489" s="17">
        <f t="shared" si="925"/>
        <v>73642.710000000006</v>
      </c>
      <c r="Z1489" s="17">
        <f t="shared" si="901"/>
        <v>25.05</v>
      </c>
      <c r="AA1489" s="17">
        <f t="shared" si="896"/>
        <v>0</v>
      </c>
      <c r="AB1489" s="17">
        <f t="shared" si="925"/>
        <v>294000</v>
      </c>
      <c r="AC1489" s="17">
        <f t="shared" si="925"/>
        <v>145234.5</v>
      </c>
      <c r="AD1489" s="17">
        <f t="shared" si="884"/>
        <v>49.399489795918363</v>
      </c>
      <c r="AE1489" s="17">
        <f t="shared" si="888"/>
        <v>0</v>
      </c>
      <c r="AF1489" s="17">
        <f t="shared" si="925"/>
        <v>294000</v>
      </c>
      <c r="AG1489" s="17">
        <f t="shared" si="925"/>
        <v>294000</v>
      </c>
      <c r="AH1489" s="17">
        <f t="shared" si="925"/>
        <v>294000</v>
      </c>
      <c r="AI1489" s="17">
        <f t="shared" si="925"/>
        <v>294000</v>
      </c>
      <c r="AJ1489" s="162" t="b">
        <f t="shared" si="916"/>
        <v>1</v>
      </c>
      <c r="AK1489" s="162" t="str">
        <f t="shared" si="917"/>
        <v>PRAZNO</v>
      </c>
      <c r="AM1489" s="164"/>
    </row>
    <row r="1490" spans="1:39" ht="15.75" x14ac:dyDescent="0.2">
      <c r="B1490" s="177"/>
      <c r="C1490" s="177"/>
      <c r="D1490" s="177"/>
      <c r="E1490" s="177">
        <v>3236</v>
      </c>
      <c r="F1490" s="176">
        <v>11</v>
      </c>
      <c r="G1490" s="176" t="s">
        <v>746</v>
      </c>
      <c r="H1490" s="29" t="s">
        <v>27</v>
      </c>
      <c r="I1490" s="210">
        <v>295000</v>
      </c>
      <c r="J1490" s="210">
        <v>176403.73</v>
      </c>
      <c r="K1490" s="210">
        <f>ROUND(J1490/I1490*100,2)</f>
        <v>59.8</v>
      </c>
      <c r="L1490" s="210">
        <f t="shared" si="921"/>
        <v>-226702</v>
      </c>
      <c r="M1490" s="210">
        <v>68298</v>
      </c>
      <c r="N1490" s="210">
        <v>294000</v>
      </c>
      <c r="O1490" s="210">
        <v>133474.57</v>
      </c>
      <c r="P1490" s="26">
        <f t="shared" si="922"/>
        <v>0</v>
      </c>
      <c r="Q1490" s="210">
        <v>294000</v>
      </c>
      <c r="R1490" s="210">
        <v>295000</v>
      </c>
      <c r="S1490" s="210">
        <v>295000</v>
      </c>
      <c r="T1490" s="211">
        <v>294000</v>
      </c>
      <c r="U1490" s="211">
        <v>270211.49</v>
      </c>
      <c r="V1490" s="211">
        <v>294000</v>
      </c>
      <c r="W1490" s="211">
        <v>294000</v>
      </c>
      <c r="X1490" s="211">
        <v>301000</v>
      </c>
      <c r="Y1490" s="211">
        <v>73642.710000000006</v>
      </c>
      <c r="Z1490" s="211">
        <f t="shared" si="901"/>
        <v>25.05</v>
      </c>
      <c r="AA1490" s="211">
        <f t="shared" si="896"/>
        <v>0</v>
      </c>
      <c r="AB1490" s="211">
        <v>294000</v>
      </c>
      <c r="AC1490" s="211">
        <v>145234.5</v>
      </c>
      <c r="AD1490" s="211">
        <f t="shared" si="884"/>
        <v>49.399489795918363</v>
      </c>
      <c r="AE1490" s="211">
        <f t="shared" si="888"/>
        <v>0</v>
      </c>
      <c r="AF1490" s="211">
        <v>294000</v>
      </c>
      <c r="AG1490" s="211">
        <v>294000</v>
      </c>
      <c r="AH1490" s="211">
        <v>294000</v>
      </c>
      <c r="AI1490" s="211">
        <v>294000</v>
      </c>
      <c r="AJ1490" s="162" t="b">
        <f t="shared" si="916"/>
        <v>0</v>
      </c>
      <c r="AK1490" s="162" t="str">
        <f t="shared" si="917"/>
        <v>PUNO</v>
      </c>
      <c r="AM1490" s="164"/>
    </row>
    <row r="1491" spans="1:39" ht="15.75" x14ac:dyDescent="0.2">
      <c r="B1491" s="177"/>
      <c r="C1491" s="177"/>
      <c r="D1491" s="177">
        <v>324</v>
      </c>
      <c r="E1491" s="177"/>
      <c r="F1491" s="176"/>
      <c r="G1491" s="176"/>
      <c r="H1491" s="29" t="s">
        <v>530</v>
      </c>
      <c r="I1491" s="210">
        <f>I1492</f>
        <v>0</v>
      </c>
      <c r="J1491" s="210">
        <f>J1492</f>
        <v>0</v>
      </c>
      <c r="K1491" s="210"/>
      <c r="L1491" s="210">
        <f>M1491-I1491</f>
        <v>851.01</v>
      </c>
      <c r="M1491" s="210">
        <f>M1492</f>
        <v>851.01</v>
      </c>
      <c r="N1491" s="210">
        <f>N1492</f>
        <v>1000</v>
      </c>
      <c r="O1491" s="210">
        <f>O1492</f>
        <v>0</v>
      </c>
      <c r="P1491" s="26">
        <f t="shared" si="922"/>
        <v>0</v>
      </c>
      <c r="Q1491" s="210">
        <f t="shared" ref="Q1491:AI1491" si="926">Q1492</f>
        <v>1000</v>
      </c>
      <c r="R1491" s="210">
        <f t="shared" si="926"/>
        <v>2000</v>
      </c>
      <c r="S1491" s="210">
        <f t="shared" si="926"/>
        <v>2000</v>
      </c>
      <c r="T1491" s="211">
        <f t="shared" si="926"/>
        <v>1000</v>
      </c>
      <c r="U1491" s="211">
        <f t="shared" si="926"/>
        <v>0</v>
      </c>
      <c r="V1491" s="210">
        <f t="shared" si="926"/>
        <v>1000</v>
      </c>
      <c r="W1491" s="210">
        <f t="shared" si="926"/>
        <v>1000</v>
      </c>
      <c r="X1491" s="210">
        <f t="shared" si="926"/>
        <v>1000</v>
      </c>
      <c r="Y1491" s="210">
        <f t="shared" si="926"/>
        <v>0</v>
      </c>
      <c r="Z1491" s="210">
        <f t="shared" si="901"/>
        <v>0</v>
      </c>
      <c r="AA1491" s="210">
        <f t="shared" si="896"/>
        <v>0</v>
      </c>
      <c r="AB1491" s="210">
        <f t="shared" si="926"/>
        <v>1000</v>
      </c>
      <c r="AC1491" s="210">
        <f t="shared" si="926"/>
        <v>0</v>
      </c>
      <c r="AD1491" s="210">
        <f t="shared" si="884"/>
        <v>0</v>
      </c>
      <c r="AE1491" s="210">
        <f t="shared" si="888"/>
        <v>0</v>
      </c>
      <c r="AF1491" s="210">
        <f t="shared" si="926"/>
        <v>1000</v>
      </c>
      <c r="AG1491" s="210">
        <f t="shared" si="926"/>
        <v>2500</v>
      </c>
      <c r="AH1491" s="210">
        <f t="shared" si="926"/>
        <v>3500</v>
      </c>
      <c r="AI1491" s="210">
        <f t="shared" si="926"/>
        <v>4500</v>
      </c>
      <c r="AJ1491" s="162" t="b">
        <f t="shared" si="916"/>
        <v>1</v>
      </c>
      <c r="AK1491" s="162" t="str">
        <f t="shared" si="917"/>
        <v>PRAZNO</v>
      </c>
      <c r="AM1491" s="164"/>
    </row>
    <row r="1492" spans="1:39" ht="15.75" x14ac:dyDescent="0.2">
      <c r="B1492" s="177"/>
      <c r="C1492" s="177"/>
      <c r="D1492" s="177"/>
      <c r="E1492" s="177">
        <v>3241</v>
      </c>
      <c r="F1492" s="176">
        <v>11</v>
      </c>
      <c r="G1492" s="176"/>
      <c r="H1492" s="29" t="s">
        <v>530</v>
      </c>
      <c r="I1492" s="210">
        <v>0</v>
      </c>
      <c r="J1492" s="210">
        <v>0</v>
      </c>
      <c r="K1492" s="210"/>
      <c r="L1492" s="210">
        <f>M1492-I1492</f>
        <v>851.01</v>
      </c>
      <c r="M1492" s="210">
        <v>851.01</v>
      </c>
      <c r="N1492" s="210">
        <v>1000</v>
      </c>
      <c r="O1492" s="210">
        <v>0</v>
      </c>
      <c r="P1492" s="26">
        <f t="shared" si="922"/>
        <v>0</v>
      </c>
      <c r="Q1492" s="210">
        <v>1000</v>
      </c>
      <c r="R1492" s="210">
        <v>2000</v>
      </c>
      <c r="S1492" s="210">
        <v>2000</v>
      </c>
      <c r="T1492" s="211">
        <v>1000</v>
      </c>
      <c r="U1492" s="211">
        <v>0</v>
      </c>
      <c r="V1492" s="211">
        <v>1000</v>
      </c>
      <c r="W1492" s="211">
        <v>1000</v>
      </c>
      <c r="X1492" s="211">
        <v>1000</v>
      </c>
      <c r="Y1492" s="211">
        <v>0</v>
      </c>
      <c r="Z1492" s="211">
        <f t="shared" si="901"/>
        <v>0</v>
      </c>
      <c r="AA1492" s="211">
        <f t="shared" si="896"/>
        <v>0</v>
      </c>
      <c r="AB1492" s="211">
        <v>1000</v>
      </c>
      <c r="AC1492" s="211">
        <v>0</v>
      </c>
      <c r="AD1492" s="211">
        <f t="shared" si="884"/>
        <v>0</v>
      </c>
      <c r="AE1492" s="211">
        <f t="shared" si="888"/>
        <v>0</v>
      </c>
      <c r="AF1492" s="211">
        <v>1000</v>
      </c>
      <c r="AG1492" s="211">
        <v>2500</v>
      </c>
      <c r="AH1492" s="211">
        <v>3500</v>
      </c>
      <c r="AI1492" s="211">
        <v>4500</v>
      </c>
      <c r="AJ1492" s="162" t="b">
        <f t="shared" si="916"/>
        <v>0</v>
      </c>
      <c r="AK1492" s="162" t="str">
        <f t="shared" si="917"/>
        <v>PUNO</v>
      </c>
      <c r="AM1492" s="164"/>
    </row>
    <row r="1493" spans="1:39" s="207" customFormat="1" ht="31.5" x14ac:dyDescent="0.25">
      <c r="A1493" s="378"/>
      <c r="B1493" s="168"/>
      <c r="C1493" s="168"/>
      <c r="D1493" s="168"/>
      <c r="E1493" s="168"/>
      <c r="F1493" s="322"/>
      <c r="G1493" s="322"/>
      <c r="H1493" s="35" t="s">
        <v>406</v>
      </c>
      <c r="I1493" s="334"/>
      <c r="J1493" s="334"/>
      <c r="K1493" s="334"/>
      <c r="L1493" s="334"/>
      <c r="M1493" s="334"/>
      <c r="N1493" s="334"/>
      <c r="O1493" s="334"/>
      <c r="P1493" s="53"/>
      <c r="Q1493" s="334"/>
      <c r="R1493" s="334"/>
      <c r="S1493" s="334"/>
      <c r="T1493" s="335"/>
      <c r="U1493" s="335">
        <f t="shared" ref="U1493:AI1497" si="927">U1494</f>
        <v>0</v>
      </c>
      <c r="V1493" s="335">
        <f t="shared" si="927"/>
        <v>100000</v>
      </c>
      <c r="W1493" s="335">
        <f t="shared" si="927"/>
        <v>100000</v>
      </c>
      <c r="X1493" s="335">
        <f t="shared" si="927"/>
        <v>100000</v>
      </c>
      <c r="Y1493" s="335">
        <f t="shared" si="927"/>
        <v>0</v>
      </c>
      <c r="Z1493" s="335">
        <f t="shared" si="927"/>
        <v>0</v>
      </c>
      <c r="AA1493" s="335">
        <f t="shared" si="927"/>
        <v>0</v>
      </c>
      <c r="AB1493" s="335">
        <f t="shared" si="927"/>
        <v>100000</v>
      </c>
      <c r="AC1493" s="335">
        <f t="shared" si="927"/>
        <v>0</v>
      </c>
      <c r="AD1493" s="335">
        <f t="shared" si="884"/>
        <v>0</v>
      </c>
      <c r="AE1493" s="335">
        <f t="shared" si="888"/>
        <v>-100000</v>
      </c>
      <c r="AF1493" s="335">
        <f t="shared" si="927"/>
        <v>0</v>
      </c>
      <c r="AG1493" s="335">
        <f t="shared" si="927"/>
        <v>0</v>
      </c>
      <c r="AH1493" s="335">
        <f t="shared" si="927"/>
        <v>0</v>
      </c>
      <c r="AI1493" s="335">
        <f t="shared" si="927"/>
        <v>0</v>
      </c>
      <c r="AJ1493" s="162" t="b">
        <f t="shared" si="916"/>
        <v>1</v>
      </c>
      <c r="AK1493" s="162" t="str">
        <f t="shared" si="917"/>
        <v>PRAZNO</v>
      </c>
      <c r="AL1493" s="206"/>
    </row>
    <row r="1494" spans="1:39" s="447" customFormat="1" ht="15.75" x14ac:dyDescent="0.25">
      <c r="A1494" s="378"/>
      <c r="B1494" s="260"/>
      <c r="C1494" s="260"/>
      <c r="D1494" s="260"/>
      <c r="E1494" s="260"/>
      <c r="F1494" s="442"/>
      <c r="G1494" s="442"/>
      <c r="H1494" s="261" t="s">
        <v>824</v>
      </c>
      <c r="I1494" s="500"/>
      <c r="J1494" s="500"/>
      <c r="K1494" s="500"/>
      <c r="L1494" s="500"/>
      <c r="M1494" s="500"/>
      <c r="N1494" s="500"/>
      <c r="O1494" s="500"/>
      <c r="P1494" s="342"/>
      <c r="Q1494" s="500"/>
      <c r="R1494" s="500"/>
      <c r="S1494" s="500"/>
      <c r="T1494" s="501"/>
      <c r="U1494" s="501">
        <f t="shared" si="927"/>
        <v>0</v>
      </c>
      <c r="V1494" s="501">
        <f t="shared" si="927"/>
        <v>100000</v>
      </c>
      <c r="W1494" s="501">
        <f t="shared" si="927"/>
        <v>100000</v>
      </c>
      <c r="X1494" s="501">
        <f t="shared" si="927"/>
        <v>100000</v>
      </c>
      <c r="Y1494" s="501">
        <f t="shared" si="927"/>
        <v>0</v>
      </c>
      <c r="Z1494" s="501">
        <f t="shared" si="927"/>
        <v>0</v>
      </c>
      <c r="AA1494" s="501">
        <f t="shared" si="927"/>
        <v>0</v>
      </c>
      <c r="AB1494" s="501">
        <f t="shared" si="927"/>
        <v>100000</v>
      </c>
      <c r="AC1494" s="501">
        <f t="shared" si="927"/>
        <v>0</v>
      </c>
      <c r="AD1494" s="501">
        <f t="shared" si="884"/>
        <v>0</v>
      </c>
      <c r="AE1494" s="501">
        <f t="shared" si="888"/>
        <v>-100000</v>
      </c>
      <c r="AF1494" s="501">
        <f t="shared" si="927"/>
        <v>0</v>
      </c>
      <c r="AG1494" s="501">
        <f t="shared" si="927"/>
        <v>0</v>
      </c>
      <c r="AH1494" s="501">
        <f t="shared" si="927"/>
        <v>0</v>
      </c>
      <c r="AI1494" s="501">
        <f t="shared" si="927"/>
        <v>0</v>
      </c>
      <c r="AJ1494" s="162" t="b">
        <f t="shared" si="916"/>
        <v>1</v>
      </c>
      <c r="AK1494" s="162" t="str">
        <f t="shared" si="917"/>
        <v>PRAZNO</v>
      </c>
      <c r="AL1494" s="446"/>
    </row>
    <row r="1495" spans="1:39" s="174" customFormat="1" ht="15.75" x14ac:dyDescent="0.2">
      <c r="A1495" s="259"/>
      <c r="B1495" s="172">
        <v>3</v>
      </c>
      <c r="C1495" s="172"/>
      <c r="D1495" s="172"/>
      <c r="E1495" s="172"/>
      <c r="F1495" s="220"/>
      <c r="G1495" s="220"/>
      <c r="H1495" s="524" t="s">
        <v>524</v>
      </c>
      <c r="I1495" s="332"/>
      <c r="J1495" s="332"/>
      <c r="K1495" s="332"/>
      <c r="L1495" s="332"/>
      <c r="M1495" s="332"/>
      <c r="N1495" s="332"/>
      <c r="O1495" s="332"/>
      <c r="P1495" s="55"/>
      <c r="Q1495" s="332"/>
      <c r="R1495" s="332"/>
      <c r="S1495" s="332"/>
      <c r="T1495" s="333"/>
      <c r="U1495" s="333">
        <f t="shared" si="927"/>
        <v>0</v>
      </c>
      <c r="V1495" s="333">
        <f t="shared" si="927"/>
        <v>100000</v>
      </c>
      <c r="W1495" s="333">
        <f t="shared" si="927"/>
        <v>100000</v>
      </c>
      <c r="X1495" s="333">
        <f t="shared" si="927"/>
        <v>100000</v>
      </c>
      <c r="Y1495" s="333">
        <f t="shared" si="927"/>
        <v>0</v>
      </c>
      <c r="Z1495" s="333">
        <f t="shared" si="927"/>
        <v>0</v>
      </c>
      <c r="AA1495" s="333">
        <f t="shared" si="927"/>
        <v>0</v>
      </c>
      <c r="AB1495" s="333">
        <f t="shared" si="927"/>
        <v>100000</v>
      </c>
      <c r="AC1495" s="333">
        <f t="shared" si="927"/>
        <v>0</v>
      </c>
      <c r="AD1495" s="333">
        <f t="shared" ref="AD1495:AD1559" si="928">AC1495/AB1495*100</f>
        <v>0</v>
      </c>
      <c r="AE1495" s="333">
        <f t="shared" si="888"/>
        <v>-100000</v>
      </c>
      <c r="AF1495" s="333">
        <f t="shared" si="927"/>
        <v>0</v>
      </c>
      <c r="AG1495" s="333">
        <f t="shared" si="927"/>
        <v>0</v>
      </c>
      <c r="AH1495" s="333">
        <f t="shared" si="927"/>
        <v>0</v>
      </c>
      <c r="AI1495" s="333">
        <f t="shared" si="927"/>
        <v>0</v>
      </c>
      <c r="AJ1495" s="162" t="b">
        <f t="shared" si="916"/>
        <v>1</v>
      </c>
      <c r="AK1495" s="162" t="str">
        <f t="shared" si="917"/>
        <v>PRAZNO</v>
      </c>
      <c r="AL1495" s="173"/>
    </row>
    <row r="1496" spans="1:39" s="638" customFormat="1" ht="30" x14ac:dyDescent="0.2">
      <c r="A1496" s="633"/>
      <c r="B1496" s="175"/>
      <c r="C1496" s="175">
        <v>37</v>
      </c>
      <c r="D1496" s="175"/>
      <c r="E1496" s="175"/>
      <c r="F1496" s="650"/>
      <c r="G1496" s="650"/>
      <c r="H1496" s="651" t="s">
        <v>410</v>
      </c>
      <c r="I1496" s="652"/>
      <c r="J1496" s="652"/>
      <c r="K1496" s="652"/>
      <c r="L1496" s="652"/>
      <c r="M1496" s="652"/>
      <c r="N1496" s="652"/>
      <c r="O1496" s="652"/>
      <c r="P1496" s="340"/>
      <c r="Q1496" s="652"/>
      <c r="R1496" s="652"/>
      <c r="S1496" s="652"/>
      <c r="T1496" s="653"/>
      <c r="U1496" s="653">
        <f t="shared" si="927"/>
        <v>0</v>
      </c>
      <c r="V1496" s="653">
        <f t="shared" si="927"/>
        <v>100000</v>
      </c>
      <c r="W1496" s="653">
        <f t="shared" si="927"/>
        <v>100000</v>
      </c>
      <c r="X1496" s="653">
        <f t="shared" si="927"/>
        <v>100000</v>
      </c>
      <c r="Y1496" s="653">
        <f t="shared" si="927"/>
        <v>0</v>
      </c>
      <c r="Z1496" s="653">
        <f t="shared" si="927"/>
        <v>0</v>
      </c>
      <c r="AA1496" s="653">
        <f t="shared" si="927"/>
        <v>0</v>
      </c>
      <c r="AB1496" s="653">
        <f t="shared" si="927"/>
        <v>100000</v>
      </c>
      <c r="AC1496" s="653">
        <f t="shared" si="927"/>
        <v>0</v>
      </c>
      <c r="AD1496" s="653">
        <f t="shared" si="928"/>
        <v>0</v>
      </c>
      <c r="AE1496" s="653">
        <f t="shared" si="888"/>
        <v>-100000</v>
      </c>
      <c r="AF1496" s="653">
        <f t="shared" si="927"/>
        <v>0</v>
      </c>
      <c r="AG1496" s="653">
        <f t="shared" si="927"/>
        <v>0</v>
      </c>
      <c r="AH1496" s="653">
        <f t="shared" si="927"/>
        <v>0</v>
      </c>
      <c r="AI1496" s="653">
        <f t="shared" si="927"/>
        <v>0</v>
      </c>
      <c r="AJ1496" s="162" t="b">
        <f t="shared" si="916"/>
        <v>1</v>
      </c>
      <c r="AK1496" s="162" t="str">
        <f t="shared" si="917"/>
        <v>PRAZNO</v>
      </c>
      <c r="AL1496" s="637"/>
    </row>
    <row r="1497" spans="1:39" s="264" customFormat="1" ht="36.75" customHeight="1" x14ac:dyDescent="0.2">
      <c r="A1497" s="259"/>
      <c r="B1497" s="177"/>
      <c r="C1497" s="177"/>
      <c r="D1497" s="177">
        <v>372</v>
      </c>
      <c r="E1497" s="177"/>
      <c r="F1497" s="265"/>
      <c r="G1497" s="265"/>
      <c r="H1497" s="502" t="s">
        <v>411</v>
      </c>
      <c r="I1497" s="503"/>
      <c r="J1497" s="503"/>
      <c r="K1497" s="503"/>
      <c r="L1497" s="503"/>
      <c r="M1497" s="503"/>
      <c r="N1497" s="503"/>
      <c r="O1497" s="503"/>
      <c r="P1497" s="307"/>
      <c r="Q1497" s="503"/>
      <c r="R1497" s="503"/>
      <c r="S1497" s="503"/>
      <c r="T1497" s="504"/>
      <c r="U1497" s="504">
        <f t="shared" si="927"/>
        <v>0</v>
      </c>
      <c r="V1497" s="504">
        <f t="shared" si="927"/>
        <v>100000</v>
      </c>
      <c r="W1497" s="504">
        <f t="shared" si="927"/>
        <v>100000</v>
      </c>
      <c r="X1497" s="504">
        <f t="shared" si="927"/>
        <v>100000</v>
      </c>
      <c r="Y1497" s="504">
        <f t="shared" si="927"/>
        <v>0</v>
      </c>
      <c r="Z1497" s="504">
        <f t="shared" si="927"/>
        <v>0</v>
      </c>
      <c r="AA1497" s="504">
        <f t="shared" si="927"/>
        <v>0</v>
      </c>
      <c r="AB1497" s="504">
        <f t="shared" si="927"/>
        <v>100000</v>
      </c>
      <c r="AC1497" s="504">
        <f t="shared" si="927"/>
        <v>0</v>
      </c>
      <c r="AD1497" s="504">
        <f t="shared" si="928"/>
        <v>0</v>
      </c>
      <c r="AE1497" s="504">
        <f t="shared" si="888"/>
        <v>-100000</v>
      </c>
      <c r="AF1497" s="504">
        <f t="shared" si="927"/>
        <v>0</v>
      </c>
      <c r="AG1497" s="504">
        <f t="shared" si="927"/>
        <v>0</v>
      </c>
      <c r="AH1497" s="504">
        <f t="shared" si="927"/>
        <v>0</v>
      </c>
      <c r="AI1497" s="504">
        <f t="shared" si="927"/>
        <v>0</v>
      </c>
      <c r="AJ1497" s="162" t="b">
        <f t="shared" si="916"/>
        <v>1</v>
      </c>
      <c r="AK1497" s="162" t="str">
        <f t="shared" si="917"/>
        <v>PRAZNO</v>
      </c>
      <c r="AL1497" s="263"/>
    </row>
    <row r="1498" spans="1:39" ht="15.75" x14ac:dyDescent="0.2">
      <c r="B1498" s="177"/>
      <c r="C1498" s="177"/>
      <c r="D1498" s="177"/>
      <c r="E1498" s="177">
        <v>3722</v>
      </c>
      <c r="F1498" s="176">
        <v>14</v>
      </c>
      <c r="G1498" s="176"/>
      <c r="H1498" s="29" t="s">
        <v>647</v>
      </c>
      <c r="I1498" s="210"/>
      <c r="J1498" s="210"/>
      <c r="K1498" s="210"/>
      <c r="L1498" s="210"/>
      <c r="M1498" s="210"/>
      <c r="N1498" s="210"/>
      <c r="O1498" s="210"/>
      <c r="P1498" s="26"/>
      <c r="Q1498" s="210"/>
      <c r="R1498" s="210"/>
      <c r="S1498" s="210"/>
      <c r="T1498" s="211"/>
      <c r="U1498" s="211"/>
      <c r="V1498" s="211">
        <v>100000</v>
      </c>
      <c r="W1498" s="211">
        <v>100000</v>
      </c>
      <c r="X1498" s="211">
        <v>100000</v>
      </c>
      <c r="Y1498" s="211">
        <v>0</v>
      </c>
      <c r="Z1498" s="211">
        <f t="shared" si="901"/>
        <v>0</v>
      </c>
      <c r="AA1498" s="211">
        <f t="shared" si="896"/>
        <v>0</v>
      </c>
      <c r="AB1498" s="211">
        <v>100000</v>
      </c>
      <c r="AC1498" s="211">
        <v>0</v>
      </c>
      <c r="AD1498" s="211">
        <f t="shared" si="928"/>
        <v>0</v>
      </c>
      <c r="AE1498" s="211">
        <f t="shared" si="888"/>
        <v>-100000</v>
      </c>
      <c r="AF1498" s="211">
        <v>0</v>
      </c>
      <c r="AG1498" s="211">
        <v>0</v>
      </c>
      <c r="AH1498" s="211">
        <v>0</v>
      </c>
      <c r="AI1498" s="211">
        <v>0</v>
      </c>
      <c r="AJ1498" s="162" t="b">
        <f t="shared" si="916"/>
        <v>0</v>
      </c>
      <c r="AK1498" s="162" t="str">
        <f t="shared" si="917"/>
        <v>PUNO</v>
      </c>
      <c r="AM1498" s="164"/>
    </row>
    <row r="1499" spans="1:39" s="287" customFormat="1" ht="15.75" x14ac:dyDescent="0.25">
      <c r="A1499" s="378"/>
      <c r="B1499" s="194"/>
      <c r="C1499" s="194"/>
      <c r="D1499" s="194"/>
      <c r="E1499" s="194"/>
      <c r="F1499" s="159"/>
      <c r="G1499" s="159"/>
      <c r="H1499" s="24" t="s">
        <v>641</v>
      </c>
      <c r="I1499" s="195" t="e">
        <f>I1501</f>
        <v>#REF!</v>
      </c>
      <c r="J1499" s="195" t="e">
        <f>J1501</f>
        <v>#REF!</v>
      </c>
      <c r="K1499" s="195" t="e">
        <f t="shared" ref="K1499:K1562" si="929">ROUND(J1499/I1499*100,2)</f>
        <v>#REF!</v>
      </c>
      <c r="L1499" s="195" t="e">
        <f t="shared" ref="L1499:L1562" si="930">M1499-I1499</f>
        <v>#REF!</v>
      </c>
      <c r="M1499" s="195" t="e">
        <f>M1501</f>
        <v>#REF!</v>
      </c>
      <c r="N1499" s="195" t="e">
        <f>N1501</f>
        <v>#REF!</v>
      </c>
      <c r="O1499" s="195" t="e">
        <f>O1501</f>
        <v>#REF!</v>
      </c>
      <c r="P1499" s="351" t="e">
        <f>T1499-N1499</f>
        <v>#REF!</v>
      </c>
      <c r="Q1499" s="195" t="e">
        <f t="shared" ref="Q1499:X1499" si="931">Q1501</f>
        <v>#REF!</v>
      </c>
      <c r="R1499" s="195" t="e">
        <f t="shared" si="931"/>
        <v>#REF!</v>
      </c>
      <c r="S1499" s="195" t="e">
        <f t="shared" si="931"/>
        <v>#REF!</v>
      </c>
      <c r="T1499" s="197">
        <f t="shared" si="931"/>
        <v>10053550</v>
      </c>
      <c r="U1499" s="197">
        <f>U1501</f>
        <v>16227877.580000002</v>
      </c>
      <c r="V1499" s="195">
        <f>V1501</f>
        <v>15194250</v>
      </c>
      <c r="W1499" s="195" t="e">
        <f t="shared" si="931"/>
        <v>#REF!</v>
      </c>
      <c r="X1499" s="195" t="e">
        <f t="shared" si="931"/>
        <v>#REF!</v>
      </c>
      <c r="Y1499" s="195">
        <f>Y1501</f>
        <v>4873115.0199999996</v>
      </c>
      <c r="Z1499" s="195">
        <f t="shared" si="901"/>
        <v>32.07</v>
      </c>
      <c r="AA1499" s="195">
        <f t="shared" si="896"/>
        <v>2750</v>
      </c>
      <c r="AB1499" s="195">
        <f>AB1501</f>
        <v>15197000</v>
      </c>
      <c r="AC1499" s="195">
        <f>AC1501</f>
        <v>10094433.219999999</v>
      </c>
      <c r="AD1499" s="195">
        <f t="shared" si="928"/>
        <v>66.423854839770996</v>
      </c>
      <c r="AE1499" s="195">
        <f t="shared" si="888"/>
        <v>10000</v>
      </c>
      <c r="AF1499" s="195">
        <f>AF1501</f>
        <v>15207000</v>
      </c>
      <c r="AG1499" s="195">
        <f>AG1501</f>
        <v>15597000</v>
      </c>
      <c r="AH1499" s="195">
        <f>AH1501</f>
        <v>15307000</v>
      </c>
      <c r="AI1499" s="195">
        <f>AI1501</f>
        <v>15317000</v>
      </c>
      <c r="AJ1499" s="162" t="b">
        <f t="shared" si="916"/>
        <v>1</v>
      </c>
      <c r="AK1499" s="162" t="str">
        <f t="shared" si="917"/>
        <v>PRAZNO</v>
      </c>
      <c r="AL1499" s="288"/>
    </row>
    <row r="1500" spans="1:39" s="287" customFormat="1" ht="15.75" x14ac:dyDescent="0.25">
      <c r="A1500" s="378"/>
      <c r="B1500" s="194"/>
      <c r="C1500" s="194"/>
      <c r="D1500" s="194"/>
      <c r="E1500" s="194"/>
      <c r="F1500" s="159"/>
      <c r="G1500" s="159"/>
      <c r="H1500" s="11" t="s">
        <v>814</v>
      </c>
      <c r="I1500" s="195"/>
      <c r="J1500" s="195"/>
      <c r="K1500" s="195" t="e">
        <f t="shared" si="929"/>
        <v>#DIV/0!</v>
      </c>
      <c r="L1500" s="195"/>
      <c r="M1500" s="195"/>
      <c r="N1500" s="195"/>
      <c r="O1500" s="195"/>
      <c r="P1500" s="351"/>
      <c r="Q1500" s="195"/>
      <c r="R1500" s="195"/>
      <c r="S1500" s="195"/>
      <c r="T1500" s="197"/>
      <c r="U1500" s="197"/>
      <c r="V1500" s="195"/>
      <c r="W1500" s="195"/>
      <c r="X1500" s="195"/>
      <c r="Y1500" s="195"/>
      <c r="Z1500" s="195"/>
      <c r="AA1500" s="195"/>
      <c r="AB1500" s="195"/>
      <c r="AC1500" s="195"/>
      <c r="AD1500" s="195"/>
      <c r="AE1500" s="195"/>
      <c r="AF1500" s="195"/>
      <c r="AG1500" s="195"/>
      <c r="AH1500" s="195"/>
      <c r="AI1500" s="195"/>
      <c r="AJ1500" s="162" t="b">
        <f t="shared" si="916"/>
        <v>1</v>
      </c>
      <c r="AK1500" s="162" t="str">
        <f t="shared" si="917"/>
        <v>PRAZNO</v>
      </c>
      <c r="AL1500" s="288"/>
    </row>
    <row r="1501" spans="1:39" s="207" customFormat="1" ht="31.5" x14ac:dyDescent="0.25">
      <c r="A1501" s="378"/>
      <c r="B1501" s="168"/>
      <c r="C1501" s="168"/>
      <c r="D1501" s="168"/>
      <c r="E1501" s="168"/>
      <c r="F1501" s="168"/>
      <c r="G1501" s="168"/>
      <c r="H1501" s="13" t="s">
        <v>815</v>
      </c>
      <c r="I1501" s="19" t="e">
        <f>I1503+I1542+I1617</f>
        <v>#REF!</v>
      </c>
      <c r="J1501" s="19" t="e">
        <f>J1503+J1542+J1617</f>
        <v>#REF!</v>
      </c>
      <c r="K1501" s="19" t="e">
        <f t="shared" si="929"/>
        <v>#REF!</v>
      </c>
      <c r="L1501" s="19" t="e">
        <f t="shared" si="930"/>
        <v>#REF!</v>
      </c>
      <c r="M1501" s="19" t="e">
        <f>M1503+M1542+M1617</f>
        <v>#REF!</v>
      </c>
      <c r="N1501" s="19" t="e">
        <f>N1503+N1542+N1617</f>
        <v>#REF!</v>
      </c>
      <c r="O1501" s="19" t="e">
        <f>O1503+O1542+O1617</f>
        <v>#REF!</v>
      </c>
      <c r="P1501" s="303" t="e">
        <f>T1501-N1501</f>
        <v>#REF!</v>
      </c>
      <c r="Q1501" s="19" t="e">
        <f t="shared" ref="Q1501:X1501" si="932">Q1503+Q1542+Q1617</f>
        <v>#REF!</v>
      </c>
      <c r="R1501" s="19" t="e">
        <f t="shared" si="932"/>
        <v>#REF!</v>
      </c>
      <c r="S1501" s="19" t="e">
        <f t="shared" si="932"/>
        <v>#REF!</v>
      </c>
      <c r="T1501" s="19">
        <f>T1503+T1542+T1617</f>
        <v>10053550</v>
      </c>
      <c r="U1501" s="19">
        <f>U1503+U1542+U1617</f>
        <v>16227877.580000002</v>
      </c>
      <c r="V1501" s="19">
        <f>V1503+V1542+V1617</f>
        <v>15194250</v>
      </c>
      <c r="W1501" s="19" t="e">
        <f t="shared" si="932"/>
        <v>#REF!</v>
      </c>
      <c r="X1501" s="19" t="e">
        <f t="shared" si="932"/>
        <v>#REF!</v>
      </c>
      <c r="Y1501" s="19">
        <f>Y1503+Y1542+Y1617</f>
        <v>4873115.0199999996</v>
      </c>
      <c r="Z1501" s="19">
        <f t="shared" si="901"/>
        <v>32.07</v>
      </c>
      <c r="AA1501" s="19">
        <f t="shared" si="896"/>
        <v>2750</v>
      </c>
      <c r="AB1501" s="19">
        <f>AB1503+AB1542+AB1617</f>
        <v>15197000</v>
      </c>
      <c r="AC1501" s="19">
        <f>AC1503+AC1542+AC1617</f>
        <v>10094433.219999999</v>
      </c>
      <c r="AD1501" s="19">
        <f t="shared" si="928"/>
        <v>66.423854839770996</v>
      </c>
      <c r="AE1501" s="19">
        <f t="shared" si="888"/>
        <v>10000</v>
      </c>
      <c r="AF1501" s="19">
        <f>AF1503+AF1542+AF1617+AF1674</f>
        <v>15207000</v>
      </c>
      <c r="AG1501" s="19">
        <f>AG1503+AG1542+AG1617+AG1674</f>
        <v>15597000</v>
      </c>
      <c r="AH1501" s="19">
        <f>AH1503+AH1542+AH1617+AH1674</f>
        <v>15307000</v>
      </c>
      <c r="AI1501" s="19">
        <f>AI1503+AI1542+AI1617+AI1674</f>
        <v>15317000</v>
      </c>
      <c r="AJ1501" s="162" t="b">
        <f t="shared" si="916"/>
        <v>1</v>
      </c>
      <c r="AK1501" s="162" t="str">
        <f t="shared" si="917"/>
        <v>PRAZNO</v>
      </c>
      <c r="AL1501" s="206"/>
      <c r="AM1501" s="287"/>
    </row>
    <row r="1502" spans="1:39" s="207" customFormat="1" ht="15.75" x14ac:dyDescent="0.25">
      <c r="A1502" s="378"/>
      <c r="B1502" s="168"/>
      <c r="C1502" s="168"/>
      <c r="D1502" s="168"/>
      <c r="E1502" s="168"/>
      <c r="F1502" s="168"/>
      <c r="G1502" s="168"/>
      <c r="H1502" s="13" t="s">
        <v>42</v>
      </c>
      <c r="I1502" s="19"/>
      <c r="J1502" s="19"/>
      <c r="K1502" s="19"/>
      <c r="L1502" s="19"/>
      <c r="M1502" s="19"/>
      <c r="N1502" s="19"/>
      <c r="O1502" s="19"/>
      <c r="P1502" s="303"/>
      <c r="Q1502" s="19"/>
      <c r="R1502" s="19"/>
      <c r="S1502" s="19"/>
      <c r="T1502" s="53"/>
      <c r="U1502" s="53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19">
        <f t="shared" si="888"/>
        <v>0</v>
      </c>
      <c r="AF1502" s="19"/>
      <c r="AG1502" s="19"/>
      <c r="AH1502" s="19"/>
      <c r="AI1502" s="19"/>
      <c r="AJ1502" s="162" t="b">
        <f t="shared" si="916"/>
        <v>1</v>
      </c>
      <c r="AK1502" s="162" t="str">
        <f t="shared" si="917"/>
        <v>PRAZNO</v>
      </c>
      <c r="AL1502" s="206"/>
      <c r="AM1502" s="287"/>
    </row>
    <row r="1503" spans="1:39" s="207" customFormat="1" ht="31.5" x14ac:dyDescent="0.25">
      <c r="A1503" s="378"/>
      <c r="B1503" s="270"/>
      <c r="C1503" s="270"/>
      <c r="D1503" s="270"/>
      <c r="E1503" s="270"/>
      <c r="F1503" s="270"/>
      <c r="G1503" s="270"/>
      <c r="H1503" s="274" t="s">
        <v>816</v>
      </c>
      <c r="I1503" s="272">
        <f>I1505+I1536</f>
        <v>3261350</v>
      </c>
      <c r="J1503" s="272">
        <f>J1505+J1536</f>
        <v>1464569.9000000001</v>
      </c>
      <c r="K1503" s="272">
        <f t="shared" si="929"/>
        <v>44.91</v>
      </c>
      <c r="L1503" s="272">
        <f t="shared" si="930"/>
        <v>-27399.990000000224</v>
      </c>
      <c r="M1503" s="272">
        <f>M1505+M1536</f>
        <v>3233950.01</v>
      </c>
      <c r="N1503" s="272">
        <f>N1505+N1536</f>
        <v>3183575</v>
      </c>
      <c r="O1503" s="272">
        <f>O1505+O1536</f>
        <v>1029661.6</v>
      </c>
      <c r="P1503" s="336">
        <f>T1503-N1503</f>
        <v>16975</v>
      </c>
      <c r="Q1503" s="272">
        <f t="shared" ref="Q1503:Y1503" si="933">Q1505+Q1536</f>
        <v>3184650</v>
      </c>
      <c r="R1503" s="272">
        <f t="shared" si="933"/>
        <v>3217130</v>
      </c>
      <c r="S1503" s="272">
        <f t="shared" si="933"/>
        <v>3275990</v>
      </c>
      <c r="T1503" s="275">
        <f t="shared" si="933"/>
        <v>3200550</v>
      </c>
      <c r="U1503" s="275">
        <f>U1505+U1536</f>
        <v>3210006.4799999995</v>
      </c>
      <c r="V1503" s="272">
        <f t="shared" si="933"/>
        <v>2899250</v>
      </c>
      <c r="W1503" s="272">
        <f t="shared" si="933"/>
        <v>2825435</v>
      </c>
      <c r="X1503" s="272">
        <f t="shared" si="933"/>
        <v>2922800</v>
      </c>
      <c r="Y1503" s="272">
        <f t="shared" si="933"/>
        <v>585003.43000000005</v>
      </c>
      <c r="Z1503" s="272">
        <f t="shared" si="901"/>
        <v>20.18</v>
      </c>
      <c r="AA1503" s="272">
        <f t="shared" si="896"/>
        <v>-27250</v>
      </c>
      <c r="AB1503" s="272">
        <f>AB1505+AB1536</f>
        <v>2872000</v>
      </c>
      <c r="AC1503" s="272">
        <f>AC1505+AC1536</f>
        <v>1398974.76</v>
      </c>
      <c r="AD1503" s="272">
        <f t="shared" si="928"/>
        <v>48.71082033426184</v>
      </c>
      <c r="AE1503" s="272">
        <f t="shared" si="888"/>
        <v>0</v>
      </c>
      <c r="AF1503" s="272">
        <f>AF1505+AF1536</f>
        <v>2872000</v>
      </c>
      <c r="AG1503" s="272">
        <f>AG1505+AG1536</f>
        <v>2872000</v>
      </c>
      <c r="AH1503" s="272">
        <f>AH1505+AH1536</f>
        <v>2872000</v>
      </c>
      <c r="AI1503" s="272">
        <f>AI1505+AI1536</f>
        <v>2872000</v>
      </c>
      <c r="AJ1503" s="162" t="b">
        <f t="shared" si="916"/>
        <v>1</v>
      </c>
      <c r="AK1503" s="162" t="str">
        <f t="shared" si="917"/>
        <v>PRAZNO</v>
      </c>
      <c r="AL1503" s="206"/>
      <c r="AM1503" s="287"/>
    </row>
    <row r="1504" spans="1:39" s="447" customFormat="1" ht="31.5" x14ac:dyDescent="0.25">
      <c r="A1504" s="378"/>
      <c r="B1504" s="260"/>
      <c r="C1504" s="260"/>
      <c r="D1504" s="260"/>
      <c r="E1504" s="260"/>
      <c r="F1504" s="260"/>
      <c r="G1504" s="260"/>
      <c r="H1504" s="440" t="s">
        <v>831</v>
      </c>
      <c r="I1504" s="262"/>
      <c r="J1504" s="262"/>
      <c r="K1504" s="262"/>
      <c r="L1504" s="262"/>
      <c r="M1504" s="262"/>
      <c r="N1504" s="262"/>
      <c r="O1504" s="262"/>
      <c r="P1504" s="445"/>
      <c r="Q1504" s="262"/>
      <c r="R1504" s="262"/>
      <c r="S1504" s="262"/>
      <c r="T1504" s="342"/>
      <c r="U1504" s="342"/>
      <c r="V1504" s="262">
        <f>V1505</f>
        <v>1484700</v>
      </c>
      <c r="W1504" s="262">
        <f>W1505</f>
        <v>1438435</v>
      </c>
      <c r="X1504" s="262">
        <f>X1505</f>
        <v>1511100</v>
      </c>
      <c r="Y1504" s="262">
        <f>Y1505</f>
        <v>585003.43000000005</v>
      </c>
      <c r="Z1504" s="262">
        <f t="shared" si="901"/>
        <v>39.4</v>
      </c>
      <c r="AA1504" s="262">
        <f t="shared" si="896"/>
        <v>-30100</v>
      </c>
      <c r="AB1504" s="262">
        <f>AB1505</f>
        <v>1454600</v>
      </c>
      <c r="AC1504" s="262">
        <f>AC1505</f>
        <v>1051274.76</v>
      </c>
      <c r="AD1504" s="262">
        <f t="shared" si="928"/>
        <v>72.272429533892478</v>
      </c>
      <c r="AE1504" s="262">
        <f t="shared" si="888"/>
        <v>0</v>
      </c>
      <c r="AF1504" s="262">
        <f>AF1505</f>
        <v>1454600</v>
      </c>
      <c r="AG1504" s="262">
        <f>AG1505</f>
        <v>1454600</v>
      </c>
      <c r="AH1504" s="262">
        <f>AH1505</f>
        <v>1454600</v>
      </c>
      <c r="AI1504" s="262">
        <f>AI1505</f>
        <v>1454600</v>
      </c>
      <c r="AJ1504" s="162" t="b">
        <f t="shared" si="916"/>
        <v>1</v>
      </c>
      <c r="AK1504" s="162" t="str">
        <f t="shared" si="917"/>
        <v>PRAZNO</v>
      </c>
      <c r="AL1504" s="446"/>
    </row>
    <row r="1505" spans="1:39" s="171" customFormat="1" ht="15.75" x14ac:dyDescent="0.2">
      <c r="A1505" s="259"/>
      <c r="B1505" s="168"/>
      <c r="C1505" s="168"/>
      <c r="D1505" s="168"/>
      <c r="E1505" s="168"/>
      <c r="F1505" s="168"/>
      <c r="G1505" s="168"/>
      <c r="H1505" s="13" t="s">
        <v>817</v>
      </c>
      <c r="I1505" s="169">
        <f>I1506</f>
        <v>1637800</v>
      </c>
      <c r="J1505" s="169">
        <f>J1506</f>
        <v>1141569.9000000001</v>
      </c>
      <c r="K1505" s="169">
        <f t="shared" si="929"/>
        <v>69.7</v>
      </c>
      <c r="L1505" s="169">
        <f t="shared" si="930"/>
        <v>-799.98999999999069</v>
      </c>
      <c r="M1505" s="19">
        <f>M1506</f>
        <v>1637000.01</v>
      </c>
      <c r="N1505" s="19">
        <f>N1506</f>
        <v>1621775</v>
      </c>
      <c r="O1505" s="19">
        <f>O1506</f>
        <v>1001161.6</v>
      </c>
      <c r="P1505" s="303">
        <f t="shared" ref="P1505:P1568" si="934">T1505-N1505</f>
        <v>16975</v>
      </c>
      <c r="Q1505" s="19">
        <f t="shared" ref="Q1505:AI1505" si="935">Q1506</f>
        <v>1622850</v>
      </c>
      <c r="R1505" s="19">
        <f t="shared" si="935"/>
        <v>1619130</v>
      </c>
      <c r="S1505" s="19">
        <f t="shared" si="935"/>
        <v>1668990</v>
      </c>
      <c r="T1505" s="53">
        <f t="shared" si="935"/>
        <v>1638750</v>
      </c>
      <c r="U1505" s="53">
        <f t="shared" si="935"/>
        <v>1648206.4799999997</v>
      </c>
      <c r="V1505" s="19">
        <f t="shared" si="935"/>
        <v>1484700</v>
      </c>
      <c r="W1505" s="19">
        <f t="shared" si="935"/>
        <v>1438435</v>
      </c>
      <c r="X1505" s="19">
        <f t="shared" si="935"/>
        <v>1511100</v>
      </c>
      <c r="Y1505" s="19">
        <f t="shared" si="935"/>
        <v>585003.43000000005</v>
      </c>
      <c r="Z1505" s="19">
        <f t="shared" si="901"/>
        <v>39.4</v>
      </c>
      <c r="AA1505" s="19">
        <f t="shared" si="896"/>
        <v>-30100</v>
      </c>
      <c r="AB1505" s="19">
        <f t="shared" si="935"/>
        <v>1454600</v>
      </c>
      <c r="AC1505" s="19">
        <f t="shared" si="935"/>
        <v>1051274.76</v>
      </c>
      <c r="AD1505" s="19">
        <f t="shared" si="928"/>
        <v>72.272429533892478</v>
      </c>
      <c r="AE1505" s="19">
        <f t="shared" si="888"/>
        <v>0</v>
      </c>
      <c r="AF1505" s="19">
        <f t="shared" si="935"/>
        <v>1454600</v>
      </c>
      <c r="AG1505" s="19">
        <f t="shared" si="935"/>
        <v>1454600</v>
      </c>
      <c r="AH1505" s="19">
        <f t="shared" si="935"/>
        <v>1454600</v>
      </c>
      <c r="AI1505" s="19">
        <f t="shared" si="935"/>
        <v>1454600</v>
      </c>
      <c r="AJ1505" s="162" t="b">
        <f t="shared" si="916"/>
        <v>1</v>
      </c>
      <c r="AK1505" s="162" t="str">
        <f t="shared" si="917"/>
        <v>PRAZNO</v>
      </c>
      <c r="AL1505" s="170"/>
      <c r="AM1505" s="164"/>
    </row>
    <row r="1506" spans="1:39" s="174" customFormat="1" ht="15.75" x14ac:dyDescent="0.2">
      <c r="A1506" s="259"/>
      <c r="B1506" s="172">
        <v>3</v>
      </c>
      <c r="C1506" s="172"/>
      <c r="D1506" s="172"/>
      <c r="E1506" s="172"/>
      <c r="F1506" s="172"/>
      <c r="G1506" s="172"/>
      <c r="H1506" s="36" t="s">
        <v>524</v>
      </c>
      <c r="I1506" s="37">
        <f>I1507+I1532</f>
        <v>1637800</v>
      </c>
      <c r="J1506" s="37">
        <f>J1507+J1532</f>
        <v>1141569.9000000001</v>
      </c>
      <c r="K1506" s="37">
        <f t="shared" si="929"/>
        <v>69.7</v>
      </c>
      <c r="L1506" s="37">
        <f t="shared" si="930"/>
        <v>-799.98999999999069</v>
      </c>
      <c r="M1506" s="37">
        <f>M1507+M1532</f>
        <v>1637000.01</v>
      </c>
      <c r="N1506" s="37">
        <f>N1507+N1532</f>
        <v>1621775</v>
      </c>
      <c r="O1506" s="37">
        <f>O1507+O1532</f>
        <v>1001161.6</v>
      </c>
      <c r="P1506" s="55">
        <f t="shared" si="934"/>
        <v>16975</v>
      </c>
      <c r="Q1506" s="37">
        <f t="shared" ref="Q1506:Y1506" si="936">Q1507+Q1532</f>
        <v>1622850</v>
      </c>
      <c r="R1506" s="37">
        <f t="shared" si="936"/>
        <v>1619130</v>
      </c>
      <c r="S1506" s="37">
        <f t="shared" si="936"/>
        <v>1668990</v>
      </c>
      <c r="T1506" s="54">
        <f t="shared" si="936"/>
        <v>1638750</v>
      </c>
      <c r="U1506" s="54">
        <f>U1507+U1532</f>
        <v>1648206.4799999997</v>
      </c>
      <c r="V1506" s="37">
        <f t="shared" si="936"/>
        <v>1484700</v>
      </c>
      <c r="W1506" s="37">
        <f t="shared" si="936"/>
        <v>1438435</v>
      </c>
      <c r="X1506" s="37">
        <f t="shared" si="936"/>
        <v>1511100</v>
      </c>
      <c r="Y1506" s="37">
        <f t="shared" si="936"/>
        <v>585003.43000000005</v>
      </c>
      <c r="Z1506" s="37">
        <f t="shared" ref="Z1506:Z1569" si="937">ROUND(Y1506/V1506*100,2)</f>
        <v>39.4</v>
      </c>
      <c r="AA1506" s="37">
        <f t="shared" si="896"/>
        <v>-30100</v>
      </c>
      <c r="AB1506" s="37">
        <f>AB1507+AB1532</f>
        <v>1454600</v>
      </c>
      <c r="AC1506" s="37">
        <f>AC1507+AC1532</f>
        <v>1051274.76</v>
      </c>
      <c r="AD1506" s="37">
        <f t="shared" si="928"/>
        <v>72.272429533892478</v>
      </c>
      <c r="AE1506" s="37">
        <f t="shared" si="888"/>
        <v>0</v>
      </c>
      <c r="AF1506" s="37">
        <f>AF1507+AF1532</f>
        <v>1454600</v>
      </c>
      <c r="AG1506" s="37">
        <f>AG1507+AG1532</f>
        <v>1454600</v>
      </c>
      <c r="AH1506" s="37">
        <f>AH1507+AH1532</f>
        <v>1454600</v>
      </c>
      <c r="AI1506" s="37">
        <f>AI1507+AI1532</f>
        <v>1454600</v>
      </c>
      <c r="AJ1506" s="162" t="b">
        <f t="shared" si="916"/>
        <v>1</v>
      </c>
      <c r="AK1506" s="162" t="str">
        <f t="shared" si="917"/>
        <v>PRAZNO</v>
      </c>
      <c r="AL1506" s="173"/>
      <c r="AM1506" s="164"/>
    </row>
    <row r="1507" spans="1:39" ht="15.75" x14ac:dyDescent="0.2">
      <c r="B1507" s="175"/>
      <c r="C1507" s="175">
        <v>32</v>
      </c>
      <c r="D1507" s="175"/>
      <c r="E1507" s="175"/>
      <c r="F1507" s="175"/>
      <c r="G1507" s="175"/>
      <c r="H1507" s="15" t="s">
        <v>525</v>
      </c>
      <c r="I1507" s="22">
        <f>I1508+I1511+I1517+I1528</f>
        <v>1628300</v>
      </c>
      <c r="J1507" s="22">
        <f>J1508+J1511+J1517+J1528</f>
        <v>1132449.3900000001</v>
      </c>
      <c r="K1507" s="22">
        <f t="shared" si="929"/>
        <v>69.55</v>
      </c>
      <c r="L1507" s="22">
        <f t="shared" si="930"/>
        <v>-4224.8500000000931</v>
      </c>
      <c r="M1507" s="22">
        <f>M1508+M1511+M1517+M1528</f>
        <v>1624075.15</v>
      </c>
      <c r="N1507" s="22">
        <f>N1508+N1511+N1517+N1528</f>
        <v>1617805</v>
      </c>
      <c r="O1507" s="22">
        <f>O1508+O1511+O1517+O1528</f>
        <v>999674.9</v>
      </c>
      <c r="P1507" s="26">
        <f t="shared" si="934"/>
        <v>17690</v>
      </c>
      <c r="Q1507" s="22">
        <f t="shared" ref="Q1507:Y1507" si="938">Q1508+Q1511+Q1517+Q1528</f>
        <v>1618880</v>
      </c>
      <c r="R1507" s="22">
        <f t="shared" si="938"/>
        <v>1610100</v>
      </c>
      <c r="S1507" s="22">
        <f t="shared" si="938"/>
        <v>1659940</v>
      </c>
      <c r="T1507" s="38">
        <f t="shared" si="938"/>
        <v>1635495</v>
      </c>
      <c r="U1507" s="38">
        <f>U1508+U1511+U1517+U1528</f>
        <v>1646130.4899999998</v>
      </c>
      <c r="V1507" s="22">
        <f t="shared" si="938"/>
        <v>1481220</v>
      </c>
      <c r="W1507" s="22">
        <f t="shared" si="938"/>
        <v>1434995</v>
      </c>
      <c r="X1507" s="22">
        <f t="shared" si="938"/>
        <v>1507600</v>
      </c>
      <c r="Y1507" s="22">
        <f t="shared" si="938"/>
        <v>584898.14</v>
      </c>
      <c r="Z1507" s="22">
        <f t="shared" si="937"/>
        <v>39.49</v>
      </c>
      <c r="AA1507" s="22">
        <f t="shared" si="896"/>
        <v>-27858</v>
      </c>
      <c r="AB1507" s="22">
        <f>AB1508+AB1511+AB1517+AB1528</f>
        <v>1453362</v>
      </c>
      <c r="AC1507" s="22">
        <f>AC1508+AC1511+AC1517+AC1528</f>
        <v>1050252.47</v>
      </c>
      <c r="AD1507" s="22">
        <f t="shared" si="928"/>
        <v>72.263652827031393</v>
      </c>
      <c r="AE1507" s="22">
        <f t="shared" si="888"/>
        <v>0</v>
      </c>
      <c r="AF1507" s="22">
        <f>AF1508+AF1511+AF1517+AF1528</f>
        <v>1453362</v>
      </c>
      <c r="AG1507" s="22">
        <f>AG1508+AG1511+AG1517+AG1528</f>
        <v>1451100</v>
      </c>
      <c r="AH1507" s="22">
        <f>AH1508+AH1511+AH1517+AH1528</f>
        <v>1450600</v>
      </c>
      <c r="AI1507" s="22">
        <f>AI1508+AI1511+AI1517+AI1528</f>
        <v>1450400</v>
      </c>
      <c r="AJ1507" s="162" t="b">
        <f t="shared" si="916"/>
        <v>1</v>
      </c>
      <c r="AK1507" s="162" t="str">
        <f t="shared" si="917"/>
        <v>PRAZNO</v>
      </c>
      <c r="AM1507" s="164"/>
    </row>
    <row r="1508" spans="1:39" ht="15.75" x14ac:dyDescent="0.2">
      <c r="B1508" s="177"/>
      <c r="C1508" s="177"/>
      <c r="D1508" s="177">
        <v>321</v>
      </c>
      <c r="E1508" s="177"/>
      <c r="F1508" s="177"/>
      <c r="G1508" s="177"/>
      <c r="H1508" s="16" t="s">
        <v>564</v>
      </c>
      <c r="I1508" s="17">
        <f>SUM(I1509:I1510)</f>
        <v>117200</v>
      </c>
      <c r="J1508" s="17">
        <f>SUM(J1509:J1510)</f>
        <v>75169.679999999993</v>
      </c>
      <c r="K1508" s="17">
        <f t="shared" si="929"/>
        <v>64.14</v>
      </c>
      <c r="L1508" s="17">
        <f t="shared" si="930"/>
        <v>-12564.220000000001</v>
      </c>
      <c r="M1508" s="17">
        <f>SUM(M1509:M1510)</f>
        <v>104635.78</v>
      </c>
      <c r="N1508" s="17">
        <f>SUM(N1509:N1510)</f>
        <v>131050</v>
      </c>
      <c r="O1508" s="17">
        <f>SUM(O1509:O1510)</f>
        <v>39428.6</v>
      </c>
      <c r="P1508" s="26">
        <f t="shared" si="934"/>
        <v>-43274</v>
      </c>
      <c r="Q1508" s="17">
        <f t="shared" ref="Q1508:X1508" si="939">SUM(Q1509:Q1510)</f>
        <v>131050</v>
      </c>
      <c r="R1508" s="17">
        <f t="shared" si="939"/>
        <v>141950</v>
      </c>
      <c r="S1508" s="17">
        <f t="shared" si="939"/>
        <v>147260</v>
      </c>
      <c r="T1508" s="26">
        <f t="shared" si="939"/>
        <v>87776</v>
      </c>
      <c r="U1508" s="26">
        <f>SUM(U1509:U1510)</f>
        <v>77255.199999999997</v>
      </c>
      <c r="V1508" s="17">
        <f t="shared" si="939"/>
        <v>127971</v>
      </c>
      <c r="W1508" s="17">
        <f t="shared" si="939"/>
        <v>125045</v>
      </c>
      <c r="X1508" s="17">
        <f t="shared" si="939"/>
        <v>144240</v>
      </c>
      <c r="Y1508" s="17">
        <f>SUM(Y1509:Y1510)</f>
        <v>43379.85</v>
      </c>
      <c r="Z1508" s="17">
        <f t="shared" si="937"/>
        <v>33.9</v>
      </c>
      <c r="AA1508" s="17">
        <f t="shared" si="896"/>
        <v>-34455</v>
      </c>
      <c r="AB1508" s="17">
        <f>SUM(AB1509:AB1510)</f>
        <v>93516</v>
      </c>
      <c r="AC1508" s="17">
        <f>SUM(AC1509:AC1510)</f>
        <v>58549.85</v>
      </c>
      <c r="AD1508" s="17">
        <f t="shared" si="928"/>
        <v>62.609446511826846</v>
      </c>
      <c r="AE1508" s="17">
        <f t="shared" ref="AE1508:AE1571" si="940">AF1508-AB1508</f>
        <v>0</v>
      </c>
      <c r="AF1508" s="17">
        <f>SUM(AF1509:AF1510)</f>
        <v>93516</v>
      </c>
      <c r="AG1508" s="17">
        <f>SUM(AG1509:AG1510)</f>
        <v>105160</v>
      </c>
      <c r="AH1508" s="17">
        <f>SUM(AH1509:AH1510)</f>
        <v>109000</v>
      </c>
      <c r="AI1508" s="17">
        <f>SUM(AI1509:AI1510)</f>
        <v>113900</v>
      </c>
      <c r="AJ1508" s="162" t="b">
        <f t="shared" si="916"/>
        <v>1</v>
      </c>
      <c r="AK1508" s="162" t="str">
        <f t="shared" si="917"/>
        <v>PRAZNO</v>
      </c>
      <c r="AM1508" s="164"/>
    </row>
    <row r="1509" spans="1:39" ht="15.75" x14ac:dyDescent="0.2">
      <c r="B1509" s="177"/>
      <c r="C1509" s="177"/>
      <c r="D1509" s="177"/>
      <c r="E1509" s="177">
        <v>3211</v>
      </c>
      <c r="F1509" s="176">
        <v>54</v>
      </c>
      <c r="G1509" s="176"/>
      <c r="H1509" s="16" t="s">
        <v>565</v>
      </c>
      <c r="I1509" s="18">
        <v>80600</v>
      </c>
      <c r="J1509" s="178">
        <f>15278.1+25266.18+9444.9</f>
        <v>49989.18</v>
      </c>
      <c r="K1509" s="178">
        <f t="shared" si="929"/>
        <v>62.02</v>
      </c>
      <c r="L1509" s="178">
        <f t="shared" si="930"/>
        <v>-4427.7200000000012</v>
      </c>
      <c r="M1509" s="178">
        <v>76172.28</v>
      </c>
      <c r="N1509" s="178">
        <v>85150</v>
      </c>
      <c r="O1509" s="178">
        <v>24228.6</v>
      </c>
      <c r="P1509" s="26">
        <f t="shared" si="934"/>
        <v>-25504</v>
      </c>
      <c r="Q1509" s="178">
        <v>85150</v>
      </c>
      <c r="R1509" s="178">
        <v>94120</v>
      </c>
      <c r="S1509" s="178">
        <v>95510</v>
      </c>
      <c r="T1509" s="266">
        <v>59646</v>
      </c>
      <c r="U1509" s="266">
        <v>54042.7</v>
      </c>
      <c r="V1509" s="178">
        <v>82251</v>
      </c>
      <c r="W1509" s="178">
        <v>84985</v>
      </c>
      <c r="X1509" s="178">
        <v>90930</v>
      </c>
      <c r="Y1509" s="178">
        <f>5833.4+12516.7+8056</f>
        <v>26406.1</v>
      </c>
      <c r="Z1509" s="178">
        <f t="shared" si="937"/>
        <v>32.1</v>
      </c>
      <c r="AA1509" s="178">
        <f t="shared" si="896"/>
        <v>-16440</v>
      </c>
      <c r="AB1509" s="178">
        <v>65811</v>
      </c>
      <c r="AC1509" s="178">
        <f>9021.8+20912.3+10952</f>
        <v>40886.1</v>
      </c>
      <c r="AD1509" s="178">
        <f t="shared" si="928"/>
        <v>62.126544194739473</v>
      </c>
      <c r="AE1509" s="178">
        <f t="shared" si="940"/>
        <v>0</v>
      </c>
      <c r="AF1509" s="178">
        <v>65811</v>
      </c>
      <c r="AG1509" s="178">
        <v>65000</v>
      </c>
      <c r="AH1509" s="178">
        <v>65000</v>
      </c>
      <c r="AI1509" s="178">
        <v>65900</v>
      </c>
      <c r="AJ1509" s="162" t="b">
        <f t="shared" si="916"/>
        <v>0</v>
      </c>
      <c r="AK1509" s="162" t="str">
        <f t="shared" si="917"/>
        <v>PUNO</v>
      </c>
      <c r="AM1509" s="164"/>
    </row>
    <row r="1510" spans="1:39" ht="15.75" x14ac:dyDescent="0.2">
      <c r="B1510" s="177"/>
      <c r="C1510" s="177"/>
      <c r="D1510" s="177"/>
      <c r="E1510" s="177">
        <v>3213</v>
      </c>
      <c r="F1510" s="176">
        <v>54</v>
      </c>
      <c r="G1510" s="176"/>
      <c r="H1510" s="16" t="s">
        <v>221</v>
      </c>
      <c r="I1510" s="18">
        <v>36600</v>
      </c>
      <c r="J1510" s="178">
        <f>4429.5+13841.75+6909.25</f>
        <v>25180.5</v>
      </c>
      <c r="K1510" s="178">
        <f t="shared" si="929"/>
        <v>68.8</v>
      </c>
      <c r="L1510" s="178">
        <f t="shared" si="930"/>
        <v>-8136.5</v>
      </c>
      <c r="M1510" s="178">
        <v>28463.5</v>
      </c>
      <c r="N1510" s="178">
        <v>45900</v>
      </c>
      <c r="O1510" s="178">
        <v>15200</v>
      </c>
      <c r="P1510" s="26">
        <f t="shared" si="934"/>
        <v>-17770</v>
      </c>
      <c r="Q1510" s="178">
        <v>45900</v>
      </c>
      <c r="R1510" s="178">
        <v>47830</v>
      </c>
      <c r="S1510" s="178">
        <v>51750</v>
      </c>
      <c r="T1510" s="266">
        <v>28130</v>
      </c>
      <c r="U1510" s="266">
        <v>23212.5</v>
      </c>
      <c r="V1510" s="178">
        <v>45720</v>
      </c>
      <c r="W1510" s="178">
        <v>40060</v>
      </c>
      <c r="X1510" s="178">
        <v>53310</v>
      </c>
      <c r="Y1510" s="178">
        <f>2836.25+6906.25+7231.25</f>
        <v>16973.75</v>
      </c>
      <c r="Z1510" s="178">
        <f t="shared" si="937"/>
        <v>37.130000000000003</v>
      </c>
      <c r="AA1510" s="178">
        <f t="shared" si="896"/>
        <v>-18015</v>
      </c>
      <c r="AB1510" s="178">
        <v>27705</v>
      </c>
      <c r="AC1510" s="178">
        <f>3526.25+6906.25+7231.25</f>
        <v>17663.75</v>
      </c>
      <c r="AD1510" s="178">
        <f t="shared" si="928"/>
        <v>63.756542140407866</v>
      </c>
      <c r="AE1510" s="178">
        <f t="shared" si="940"/>
        <v>0</v>
      </c>
      <c r="AF1510" s="178">
        <v>27705</v>
      </c>
      <c r="AG1510" s="178">
        <v>40160</v>
      </c>
      <c r="AH1510" s="178">
        <v>44000</v>
      </c>
      <c r="AI1510" s="178">
        <v>48000</v>
      </c>
      <c r="AJ1510" s="162" t="b">
        <f t="shared" si="916"/>
        <v>0</v>
      </c>
      <c r="AK1510" s="162" t="str">
        <f t="shared" si="917"/>
        <v>PUNO</v>
      </c>
      <c r="AM1510" s="164"/>
    </row>
    <row r="1511" spans="1:39" ht="15.75" x14ac:dyDescent="0.2">
      <c r="B1511" s="177"/>
      <c r="C1511" s="177"/>
      <c r="D1511" s="177">
        <v>322</v>
      </c>
      <c r="E1511" s="177"/>
      <c r="F1511" s="177"/>
      <c r="G1511" s="177"/>
      <c r="H1511" s="16" t="s">
        <v>547</v>
      </c>
      <c r="I1511" s="17">
        <f>SUM(I1512:I1516)</f>
        <v>453600</v>
      </c>
      <c r="J1511" s="17">
        <f>SUM(J1512:J1516)</f>
        <v>327232.82</v>
      </c>
      <c r="K1511" s="17">
        <f t="shared" si="929"/>
        <v>72.14</v>
      </c>
      <c r="L1511" s="17">
        <f t="shared" si="930"/>
        <v>29939.200000000012</v>
      </c>
      <c r="M1511" s="17">
        <f>SUM(M1512:M1516)</f>
        <v>483539.20000000001</v>
      </c>
      <c r="N1511" s="17">
        <f>SUM(N1512:N1516)</f>
        <v>455490</v>
      </c>
      <c r="O1511" s="17">
        <f>SUM(O1512:O1516)</f>
        <v>276644.67</v>
      </c>
      <c r="P1511" s="26">
        <f t="shared" si="934"/>
        <v>13794</v>
      </c>
      <c r="Q1511" s="17">
        <f t="shared" ref="Q1511:Y1511" si="941">SUM(Q1512:Q1516)</f>
        <v>455490</v>
      </c>
      <c r="R1511" s="17">
        <f t="shared" si="941"/>
        <v>468523</v>
      </c>
      <c r="S1511" s="17">
        <f t="shared" si="941"/>
        <v>487190</v>
      </c>
      <c r="T1511" s="26">
        <f t="shared" si="941"/>
        <v>469284</v>
      </c>
      <c r="U1511" s="26">
        <f>SUM(U1512:U1516)</f>
        <v>485590.20999999996</v>
      </c>
      <c r="V1511" s="17">
        <f t="shared" si="941"/>
        <v>438810</v>
      </c>
      <c r="W1511" s="17">
        <f t="shared" si="941"/>
        <v>434897</v>
      </c>
      <c r="X1511" s="17">
        <f t="shared" si="941"/>
        <v>471193</v>
      </c>
      <c r="Y1511" s="17">
        <f t="shared" si="941"/>
        <v>193847.25</v>
      </c>
      <c r="Z1511" s="17">
        <f t="shared" si="937"/>
        <v>44.18</v>
      </c>
      <c r="AA1511" s="17">
        <f t="shared" si="896"/>
        <v>-6011</v>
      </c>
      <c r="AB1511" s="17">
        <f>SUM(AB1512:AB1516)</f>
        <v>432799</v>
      </c>
      <c r="AC1511" s="17">
        <f>SUM(AC1512:AC1516)</f>
        <v>322638.51</v>
      </c>
      <c r="AD1511" s="17">
        <f t="shared" si="928"/>
        <v>74.546962908879181</v>
      </c>
      <c r="AE1511" s="17">
        <f t="shared" si="940"/>
        <v>0</v>
      </c>
      <c r="AF1511" s="17">
        <f>SUM(AF1512:AF1516)</f>
        <v>432799</v>
      </c>
      <c r="AG1511" s="17">
        <f>SUM(AG1512:AG1516)</f>
        <v>436570</v>
      </c>
      <c r="AH1511" s="17">
        <f>SUM(AH1512:AH1516)</f>
        <v>429600</v>
      </c>
      <c r="AI1511" s="17">
        <f>SUM(AI1512:AI1516)</f>
        <v>418600</v>
      </c>
      <c r="AJ1511" s="162" t="b">
        <f t="shared" si="916"/>
        <v>1</v>
      </c>
      <c r="AK1511" s="162" t="str">
        <f t="shared" si="917"/>
        <v>PRAZNO</v>
      </c>
      <c r="AM1511" s="164"/>
    </row>
    <row r="1512" spans="1:39" ht="15.75" x14ac:dyDescent="0.2">
      <c r="B1512" s="177"/>
      <c r="C1512" s="177"/>
      <c r="D1512" s="177"/>
      <c r="E1512" s="177">
        <v>3221</v>
      </c>
      <c r="F1512" s="176">
        <v>12</v>
      </c>
      <c r="G1512" s="176">
        <v>10</v>
      </c>
      <c r="H1512" s="16" t="s">
        <v>548</v>
      </c>
      <c r="I1512" s="18">
        <v>235000</v>
      </c>
      <c r="J1512" s="178">
        <f>50822.83+79083.45+55641.5</f>
        <v>185547.78</v>
      </c>
      <c r="K1512" s="178">
        <f t="shared" si="929"/>
        <v>78.959999999999994</v>
      </c>
      <c r="L1512" s="178">
        <f t="shared" si="930"/>
        <v>31039.200000000012</v>
      </c>
      <c r="M1512" s="178">
        <v>266039.2</v>
      </c>
      <c r="N1512" s="178">
        <v>249890</v>
      </c>
      <c r="O1512" s="178">
        <v>133884.81</v>
      </c>
      <c r="P1512" s="26">
        <f t="shared" si="934"/>
        <v>-134689</v>
      </c>
      <c r="Q1512" s="178">
        <v>249890</v>
      </c>
      <c r="R1512" s="178">
        <v>245770</v>
      </c>
      <c r="S1512" s="178">
        <v>255350</v>
      </c>
      <c r="T1512" s="266">
        <f>135201-20000</f>
        <v>115201</v>
      </c>
      <c r="U1512" s="266">
        <v>115201.08</v>
      </c>
      <c r="V1512" s="178">
        <v>206191</v>
      </c>
      <c r="W1512" s="178">
        <v>229897</v>
      </c>
      <c r="X1512" s="178">
        <v>242720</v>
      </c>
      <c r="Y1512" s="178">
        <f>20043.43+29633.63+21790.19</f>
        <v>71467.25</v>
      </c>
      <c r="Z1512" s="178">
        <f t="shared" si="937"/>
        <v>34.659999999999997</v>
      </c>
      <c r="AA1512" s="178">
        <f t="shared" si="896"/>
        <v>-38061</v>
      </c>
      <c r="AB1512" s="178">
        <v>168130</v>
      </c>
      <c r="AC1512" s="178">
        <f>30976.71+56049.53+37951.52</f>
        <v>124977.75999999998</v>
      </c>
      <c r="AD1512" s="178">
        <f t="shared" si="928"/>
        <v>74.334003449711517</v>
      </c>
      <c r="AE1512" s="178">
        <f t="shared" si="940"/>
        <v>0</v>
      </c>
      <c r="AF1512" s="178">
        <v>168130</v>
      </c>
      <c r="AG1512" s="178">
        <v>206100</v>
      </c>
      <c r="AH1512" s="178">
        <v>213600</v>
      </c>
      <c r="AI1512" s="178">
        <v>202400</v>
      </c>
      <c r="AJ1512" s="162" t="b">
        <f t="shared" si="916"/>
        <v>0</v>
      </c>
      <c r="AK1512" s="162" t="str">
        <f t="shared" si="917"/>
        <v>PUNO</v>
      </c>
      <c r="AM1512" s="164"/>
    </row>
    <row r="1513" spans="1:39" ht="15.75" x14ac:dyDescent="0.2">
      <c r="B1513" s="177"/>
      <c r="C1513" s="177"/>
      <c r="D1513" s="177"/>
      <c r="E1513" s="177">
        <v>3221</v>
      </c>
      <c r="F1513" s="176">
        <v>54</v>
      </c>
      <c r="G1513" s="176"/>
      <c r="H1513" s="16" t="s">
        <v>364</v>
      </c>
      <c r="I1513" s="18"/>
      <c r="J1513" s="178"/>
      <c r="K1513" s="178"/>
      <c r="L1513" s="178"/>
      <c r="M1513" s="178"/>
      <c r="N1513" s="178">
        <v>0</v>
      </c>
      <c r="O1513" s="178"/>
      <c r="P1513" s="26">
        <f>T1513-N1513</f>
        <v>111744</v>
      </c>
      <c r="Q1513" s="178"/>
      <c r="R1513" s="178"/>
      <c r="S1513" s="178"/>
      <c r="T1513" s="266">
        <f>91744+20000</f>
        <v>111744</v>
      </c>
      <c r="U1513" s="266">
        <v>134381.18</v>
      </c>
      <c r="V1513" s="178">
        <v>24689</v>
      </c>
      <c r="W1513" s="178">
        <v>0</v>
      </c>
      <c r="X1513" s="178">
        <v>0</v>
      </c>
      <c r="Y1513" s="178">
        <v>10905.84</v>
      </c>
      <c r="Z1513" s="178">
        <f t="shared" si="937"/>
        <v>44.17</v>
      </c>
      <c r="AA1513" s="178">
        <f t="shared" si="896"/>
        <v>0</v>
      </c>
      <c r="AB1513" s="178">
        <v>24689</v>
      </c>
      <c r="AC1513" s="178">
        <v>18380.09</v>
      </c>
      <c r="AD1513" s="178">
        <f t="shared" si="928"/>
        <v>74.446474138280209</v>
      </c>
      <c r="AE1513" s="178">
        <f t="shared" si="940"/>
        <v>0</v>
      </c>
      <c r="AF1513" s="178">
        <v>24689</v>
      </c>
      <c r="AG1513" s="178">
        <v>25000</v>
      </c>
      <c r="AH1513" s="178">
        <v>0</v>
      </c>
      <c r="AI1513" s="178">
        <v>0</v>
      </c>
      <c r="AJ1513" s="162" t="b">
        <f t="shared" si="916"/>
        <v>0</v>
      </c>
      <c r="AK1513" s="162" t="str">
        <f t="shared" si="917"/>
        <v>PUNO</v>
      </c>
      <c r="AM1513" s="164"/>
    </row>
    <row r="1514" spans="1:39" ht="15.75" x14ac:dyDescent="0.2">
      <c r="B1514" s="177"/>
      <c r="C1514" s="177"/>
      <c r="D1514" s="177"/>
      <c r="E1514" s="177">
        <v>3223</v>
      </c>
      <c r="F1514" s="176">
        <v>12</v>
      </c>
      <c r="G1514" s="176">
        <v>10</v>
      </c>
      <c r="H1514" s="16" t="s">
        <v>204</v>
      </c>
      <c r="I1514" s="18">
        <v>188600</v>
      </c>
      <c r="J1514" s="178">
        <f>32593.69+71763.21+30108.14</f>
        <v>134465.04</v>
      </c>
      <c r="K1514" s="178">
        <f t="shared" si="929"/>
        <v>71.3</v>
      </c>
      <c r="L1514" s="178">
        <f t="shared" si="930"/>
        <v>19209.049999999988</v>
      </c>
      <c r="M1514" s="178">
        <v>207809.05</v>
      </c>
      <c r="N1514" s="178">
        <v>192700</v>
      </c>
      <c r="O1514" s="178">
        <v>142759.85999999999</v>
      </c>
      <c r="P1514" s="26">
        <f t="shared" si="934"/>
        <v>44289</v>
      </c>
      <c r="Q1514" s="178">
        <v>192700</v>
      </c>
      <c r="R1514" s="178">
        <v>206200</v>
      </c>
      <c r="S1514" s="178">
        <v>215420</v>
      </c>
      <c r="T1514" s="266">
        <v>236989</v>
      </c>
      <c r="U1514" s="266">
        <v>233462.6</v>
      </c>
      <c r="V1514" s="178">
        <v>189750</v>
      </c>
      <c r="W1514" s="178">
        <v>187190</v>
      </c>
      <c r="X1514" s="178">
        <v>210363</v>
      </c>
      <c r="Y1514" s="178">
        <f>36486.81+49259.25+23602.96</f>
        <v>109349.01999999999</v>
      </c>
      <c r="Z1514" s="178">
        <f t="shared" si="937"/>
        <v>57.63</v>
      </c>
      <c r="AA1514" s="178">
        <f t="shared" si="896"/>
        <v>24156</v>
      </c>
      <c r="AB1514" s="178">
        <v>213906</v>
      </c>
      <c r="AC1514" s="178">
        <f>48417.81+78150.86+37694.38</f>
        <v>164263.04999999999</v>
      </c>
      <c r="AD1514" s="178">
        <f t="shared" si="928"/>
        <v>76.79216571765167</v>
      </c>
      <c r="AE1514" s="178">
        <f t="shared" si="940"/>
        <v>0</v>
      </c>
      <c r="AF1514" s="178">
        <v>213906</v>
      </c>
      <c r="AG1514" s="178">
        <v>187190</v>
      </c>
      <c r="AH1514" s="178">
        <v>200000</v>
      </c>
      <c r="AI1514" s="178">
        <v>200000</v>
      </c>
      <c r="AJ1514" s="162" t="b">
        <f t="shared" si="916"/>
        <v>0</v>
      </c>
      <c r="AK1514" s="162" t="str">
        <f t="shared" si="917"/>
        <v>PUNO</v>
      </c>
      <c r="AM1514" s="164"/>
    </row>
    <row r="1515" spans="1:39" ht="30.75" customHeight="1" x14ac:dyDescent="0.2">
      <c r="B1515" s="177"/>
      <c r="C1515" s="177"/>
      <c r="D1515" s="177"/>
      <c r="E1515" s="177">
        <v>3224</v>
      </c>
      <c r="F1515" s="176">
        <v>54</v>
      </c>
      <c r="G1515" s="176"/>
      <c r="H1515" s="29" t="s">
        <v>853</v>
      </c>
      <c r="I1515" s="18">
        <v>10000</v>
      </c>
      <c r="J1515" s="18">
        <v>3037.64</v>
      </c>
      <c r="K1515" s="18">
        <f t="shared" si="929"/>
        <v>30.38</v>
      </c>
      <c r="L1515" s="18">
        <f t="shared" si="930"/>
        <v>-4491.41</v>
      </c>
      <c r="M1515" s="18">
        <v>5508.59</v>
      </c>
      <c r="N1515" s="18">
        <v>4300</v>
      </c>
      <c r="O1515" s="18">
        <v>0</v>
      </c>
      <c r="P1515" s="26">
        <f t="shared" si="934"/>
        <v>-3100</v>
      </c>
      <c r="Q1515" s="18">
        <v>4300</v>
      </c>
      <c r="R1515" s="18">
        <v>8000</v>
      </c>
      <c r="S1515" s="18">
        <v>8000</v>
      </c>
      <c r="T1515" s="27">
        <v>1200</v>
      </c>
      <c r="U1515" s="27">
        <v>112.98</v>
      </c>
      <c r="V1515" s="18">
        <v>3900</v>
      </c>
      <c r="W1515" s="18">
        <v>3840</v>
      </c>
      <c r="X1515" s="18">
        <v>3940</v>
      </c>
      <c r="Y1515" s="18">
        <v>621.29</v>
      </c>
      <c r="Z1515" s="18">
        <f t="shared" si="937"/>
        <v>15.93</v>
      </c>
      <c r="AA1515" s="18">
        <f t="shared" si="896"/>
        <v>14286</v>
      </c>
      <c r="AB1515" s="18">
        <v>18186</v>
      </c>
      <c r="AC1515" s="18">
        <v>9568.4599999999991</v>
      </c>
      <c r="AD1515" s="18">
        <f t="shared" si="928"/>
        <v>52.614428681403268</v>
      </c>
      <c r="AE1515" s="18">
        <f t="shared" si="940"/>
        <v>0</v>
      </c>
      <c r="AF1515" s="18">
        <v>18186</v>
      </c>
      <c r="AG1515" s="18">
        <v>8000</v>
      </c>
      <c r="AH1515" s="18">
        <v>6000</v>
      </c>
      <c r="AI1515" s="18">
        <v>6000</v>
      </c>
      <c r="AJ1515" s="162" t="b">
        <f t="shared" si="916"/>
        <v>0</v>
      </c>
      <c r="AK1515" s="162" t="str">
        <f t="shared" si="917"/>
        <v>PUNO</v>
      </c>
      <c r="AM1515" s="164"/>
    </row>
    <row r="1516" spans="1:39" ht="15.75" x14ac:dyDescent="0.2">
      <c r="B1516" s="177"/>
      <c r="C1516" s="177"/>
      <c r="D1516" s="177"/>
      <c r="E1516" s="177">
        <v>3225</v>
      </c>
      <c r="F1516" s="176">
        <v>54</v>
      </c>
      <c r="G1516" s="176"/>
      <c r="H1516" s="29" t="s">
        <v>642</v>
      </c>
      <c r="I1516" s="18">
        <v>20000</v>
      </c>
      <c r="J1516" s="178">
        <v>4182.3599999999997</v>
      </c>
      <c r="K1516" s="178">
        <f t="shared" si="929"/>
        <v>20.91</v>
      </c>
      <c r="L1516" s="178">
        <f t="shared" si="930"/>
        <v>-15817.64</v>
      </c>
      <c r="M1516" s="178">
        <v>4182.3599999999997</v>
      </c>
      <c r="N1516" s="178">
        <v>8600</v>
      </c>
      <c r="O1516" s="178">
        <v>0</v>
      </c>
      <c r="P1516" s="26">
        <f t="shared" si="934"/>
        <v>-4450</v>
      </c>
      <c r="Q1516" s="178">
        <v>8600</v>
      </c>
      <c r="R1516" s="178">
        <v>8553</v>
      </c>
      <c r="S1516" s="178">
        <v>8420</v>
      </c>
      <c r="T1516" s="266">
        <v>4150</v>
      </c>
      <c r="U1516" s="266">
        <v>2432.37</v>
      </c>
      <c r="V1516" s="178">
        <v>14280</v>
      </c>
      <c r="W1516" s="178">
        <v>13970</v>
      </c>
      <c r="X1516" s="178">
        <v>14170</v>
      </c>
      <c r="Y1516" s="178">
        <v>1503.85</v>
      </c>
      <c r="Z1516" s="178">
        <f t="shared" si="937"/>
        <v>10.53</v>
      </c>
      <c r="AA1516" s="178">
        <f t="shared" si="896"/>
        <v>-6392</v>
      </c>
      <c r="AB1516" s="178">
        <v>7888</v>
      </c>
      <c r="AC1516" s="178">
        <f>2377.15+3072</f>
        <v>5449.15</v>
      </c>
      <c r="AD1516" s="178">
        <f t="shared" si="928"/>
        <v>69.081516227180529</v>
      </c>
      <c r="AE1516" s="178">
        <f t="shared" si="940"/>
        <v>0</v>
      </c>
      <c r="AF1516" s="178">
        <v>7888</v>
      </c>
      <c r="AG1516" s="178">
        <v>10280</v>
      </c>
      <c r="AH1516" s="178">
        <v>10000</v>
      </c>
      <c r="AI1516" s="178">
        <v>10200</v>
      </c>
      <c r="AJ1516" s="162" t="b">
        <f t="shared" si="916"/>
        <v>0</v>
      </c>
      <c r="AK1516" s="162" t="str">
        <f t="shared" si="917"/>
        <v>PUNO</v>
      </c>
      <c r="AM1516" s="164"/>
    </row>
    <row r="1517" spans="1:39" ht="15.75" x14ac:dyDescent="0.2">
      <c r="B1517" s="177"/>
      <c r="C1517" s="177"/>
      <c r="D1517" s="177">
        <v>323</v>
      </c>
      <c r="E1517" s="177"/>
      <c r="F1517" s="177"/>
      <c r="G1517" s="177"/>
      <c r="H1517" s="16" t="s">
        <v>526</v>
      </c>
      <c r="I1517" s="17">
        <f>SUM(I1518:I1526)</f>
        <v>977200</v>
      </c>
      <c r="J1517" s="17">
        <f>SUM(J1518:J1526)</f>
        <v>673236.04</v>
      </c>
      <c r="K1517" s="17">
        <f t="shared" si="929"/>
        <v>68.89</v>
      </c>
      <c r="L1517" s="17">
        <f t="shared" si="930"/>
        <v>-15417.640000000014</v>
      </c>
      <c r="M1517" s="17">
        <f>SUM(M1518:M1526)</f>
        <v>961782.36</v>
      </c>
      <c r="N1517" s="17">
        <f>SUM(N1518:N1526)</f>
        <v>956325</v>
      </c>
      <c r="O1517" s="17">
        <f>SUM(O1518:O1526)</f>
        <v>642375.30000000005</v>
      </c>
      <c r="P1517" s="26">
        <f t="shared" si="934"/>
        <v>55481</v>
      </c>
      <c r="Q1517" s="17">
        <f t="shared" ref="Q1517:X1517" si="942">SUM(Q1518:Q1526)</f>
        <v>957400</v>
      </c>
      <c r="R1517" s="17">
        <f t="shared" si="942"/>
        <v>923517</v>
      </c>
      <c r="S1517" s="17">
        <f t="shared" si="942"/>
        <v>947790</v>
      </c>
      <c r="T1517" s="26">
        <f t="shared" si="942"/>
        <v>1011806</v>
      </c>
      <c r="U1517" s="26">
        <f>SUM(U1518:U1526)</f>
        <v>1011938.45</v>
      </c>
      <c r="V1517" s="17">
        <f>SUM(V1518:V1527)</f>
        <v>844249</v>
      </c>
      <c r="W1517" s="17">
        <f t="shared" si="942"/>
        <v>805943</v>
      </c>
      <c r="X1517" s="17">
        <f t="shared" si="942"/>
        <v>822137</v>
      </c>
      <c r="Y1517" s="17">
        <f>SUM(Y1518:Y1526)</f>
        <v>314880.12</v>
      </c>
      <c r="Z1517" s="17">
        <f t="shared" si="937"/>
        <v>37.299999999999997</v>
      </c>
      <c r="AA1517" s="17">
        <f t="shared" si="896"/>
        <v>16692</v>
      </c>
      <c r="AB1517" s="17">
        <f>SUM(AB1518:AB1527)</f>
        <v>860941</v>
      </c>
      <c r="AC1517" s="17">
        <f>SUM(AC1518:AC1527)</f>
        <v>619769.93999999994</v>
      </c>
      <c r="AD1517" s="17">
        <f t="shared" si="928"/>
        <v>71.987504370218161</v>
      </c>
      <c r="AE1517" s="17">
        <f t="shared" si="940"/>
        <v>0</v>
      </c>
      <c r="AF1517" s="17">
        <f>SUM(AF1518:AF1527)</f>
        <v>860941</v>
      </c>
      <c r="AG1517" s="17">
        <f>SUM(AG1518:AG1527)</f>
        <v>819180</v>
      </c>
      <c r="AH1517" s="17">
        <f>SUM(AH1518:AH1527)</f>
        <v>822000</v>
      </c>
      <c r="AI1517" s="17">
        <f>SUM(AI1518:AI1527)</f>
        <v>827400</v>
      </c>
      <c r="AJ1517" s="162" t="b">
        <f t="shared" si="916"/>
        <v>1</v>
      </c>
      <c r="AK1517" s="162" t="str">
        <f t="shared" si="917"/>
        <v>PRAZNO</v>
      </c>
      <c r="AM1517" s="164"/>
    </row>
    <row r="1518" spans="1:39" ht="15.75" x14ac:dyDescent="0.2">
      <c r="B1518" s="177"/>
      <c r="C1518" s="177"/>
      <c r="D1518" s="177"/>
      <c r="E1518" s="177">
        <v>3231</v>
      </c>
      <c r="F1518" s="176">
        <v>12</v>
      </c>
      <c r="G1518" s="176">
        <v>10</v>
      </c>
      <c r="H1518" s="16" t="s">
        <v>206</v>
      </c>
      <c r="I1518" s="18">
        <v>305000</v>
      </c>
      <c r="J1518" s="178">
        <f>53930.2+104419.17+55921.28</f>
        <v>214270.65</v>
      </c>
      <c r="K1518" s="178">
        <f t="shared" si="929"/>
        <v>70.25</v>
      </c>
      <c r="L1518" s="178">
        <f t="shared" si="930"/>
        <v>4653.7299999999814</v>
      </c>
      <c r="M1518" s="178">
        <v>309653.73</v>
      </c>
      <c r="N1518" s="178">
        <v>306500</v>
      </c>
      <c r="O1518" s="178">
        <v>201215.86</v>
      </c>
      <c r="P1518" s="26">
        <f t="shared" si="934"/>
        <v>19710</v>
      </c>
      <c r="Q1518" s="178">
        <v>306500</v>
      </c>
      <c r="R1518" s="178">
        <v>318750</v>
      </c>
      <c r="S1518" s="178">
        <v>327100</v>
      </c>
      <c r="T1518" s="266">
        <v>326210</v>
      </c>
      <c r="U1518" s="266">
        <v>334296.07</v>
      </c>
      <c r="V1518" s="178">
        <v>291870</v>
      </c>
      <c r="W1518" s="178">
        <v>287700</v>
      </c>
      <c r="X1518" s="178">
        <v>291520</v>
      </c>
      <c r="Y1518" s="178">
        <f>22858.42+52519.98+32217.91</f>
        <v>107596.31</v>
      </c>
      <c r="Z1518" s="178">
        <f t="shared" si="937"/>
        <v>36.86</v>
      </c>
      <c r="AA1518" s="178">
        <f t="shared" si="896"/>
        <v>-7635</v>
      </c>
      <c r="AB1518" s="178">
        <v>284235</v>
      </c>
      <c r="AC1518" s="178">
        <f>41440.26+100150.19+59829.13</f>
        <v>201419.58000000002</v>
      </c>
      <c r="AD1518" s="178">
        <f t="shared" si="928"/>
        <v>70.863750065966542</v>
      </c>
      <c r="AE1518" s="178">
        <f t="shared" si="940"/>
        <v>0</v>
      </c>
      <c r="AF1518" s="178">
        <v>284235</v>
      </c>
      <c r="AG1518" s="178">
        <v>287700</v>
      </c>
      <c r="AH1518" s="178">
        <v>287000</v>
      </c>
      <c r="AI1518" s="178">
        <v>287000</v>
      </c>
      <c r="AJ1518" s="162" t="b">
        <f t="shared" si="916"/>
        <v>0</v>
      </c>
      <c r="AK1518" s="162" t="str">
        <f t="shared" si="917"/>
        <v>PUNO</v>
      </c>
      <c r="AM1518" s="164"/>
    </row>
    <row r="1519" spans="1:39" ht="15.75" x14ac:dyDescent="0.2">
      <c r="B1519" s="177"/>
      <c r="C1519" s="177"/>
      <c r="D1519" s="177"/>
      <c r="E1519" s="177">
        <v>3232</v>
      </c>
      <c r="F1519" s="265">
        <v>12</v>
      </c>
      <c r="G1519" s="176">
        <v>10</v>
      </c>
      <c r="H1519" s="16" t="s">
        <v>207</v>
      </c>
      <c r="I1519" s="18">
        <v>152000</v>
      </c>
      <c r="J1519" s="178">
        <f>19928.11+48190.3+40046.68</f>
        <v>108165.09</v>
      </c>
      <c r="K1519" s="178">
        <f t="shared" si="929"/>
        <v>71.16</v>
      </c>
      <c r="L1519" s="178">
        <f t="shared" si="930"/>
        <v>-6447.679999999993</v>
      </c>
      <c r="M1519" s="178">
        <v>145552.32000000001</v>
      </c>
      <c r="N1519" s="178">
        <v>167820</v>
      </c>
      <c r="O1519" s="178">
        <v>79051.89</v>
      </c>
      <c r="P1519" s="26">
        <f t="shared" si="934"/>
        <v>-16037</v>
      </c>
      <c r="Q1519" s="178">
        <v>167820</v>
      </c>
      <c r="R1519" s="178">
        <v>161500</v>
      </c>
      <c r="S1519" s="178">
        <v>171510</v>
      </c>
      <c r="T1519" s="266">
        <v>151783</v>
      </c>
      <c r="U1519" s="266">
        <v>141303.72</v>
      </c>
      <c r="V1519" s="178">
        <v>156409</v>
      </c>
      <c r="W1519" s="178">
        <v>154098</v>
      </c>
      <c r="X1519" s="178">
        <v>156077</v>
      </c>
      <c r="Y1519" s="178">
        <f>15292.98+24461.64+12446.5</f>
        <v>52201.119999999995</v>
      </c>
      <c r="Z1519" s="178">
        <f t="shared" si="937"/>
        <v>33.369999999999997</v>
      </c>
      <c r="AA1519" s="178">
        <f t="shared" si="896"/>
        <v>-19920</v>
      </c>
      <c r="AB1519" s="178">
        <v>136489</v>
      </c>
      <c r="AC1519" s="178">
        <f>23176.11+41793.29+29785.63</f>
        <v>94755.03</v>
      </c>
      <c r="AD1519" s="178">
        <f t="shared" si="928"/>
        <v>69.423198939108644</v>
      </c>
      <c r="AE1519" s="178">
        <f t="shared" si="940"/>
        <v>0</v>
      </c>
      <c r="AF1519" s="178">
        <v>136489</v>
      </c>
      <c r="AG1519" s="178">
        <v>154000</v>
      </c>
      <c r="AH1519" s="178">
        <v>137000</v>
      </c>
      <c r="AI1519" s="178">
        <v>139000</v>
      </c>
      <c r="AJ1519" s="162" t="b">
        <f t="shared" si="916"/>
        <v>0</v>
      </c>
      <c r="AK1519" s="162" t="str">
        <f t="shared" si="917"/>
        <v>PUNO</v>
      </c>
      <c r="AM1519" s="164"/>
    </row>
    <row r="1520" spans="1:39" ht="15.75" x14ac:dyDescent="0.2">
      <c r="B1520" s="177"/>
      <c r="C1520" s="177"/>
      <c r="D1520" s="177"/>
      <c r="E1520" s="177">
        <v>3233</v>
      </c>
      <c r="F1520" s="265">
        <v>54</v>
      </c>
      <c r="G1520" s="176"/>
      <c r="H1520" s="16" t="s">
        <v>528</v>
      </c>
      <c r="I1520" s="18">
        <v>31000</v>
      </c>
      <c r="J1520" s="178">
        <f>1089+10000+852.39</f>
        <v>11941.39</v>
      </c>
      <c r="K1520" s="178">
        <f t="shared" si="929"/>
        <v>38.520000000000003</v>
      </c>
      <c r="L1520" s="178">
        <f t="shared" si="930"/>
        <v>-15518.61</v>
      </c>
      <c r="M1520" s="178">
        <v>15481.39</v>
      </c>
      <c r="N1520" s="178">
        <v>6985</v>
      </c>
      <c r="O1520" s="178">
        <v>6985</v>
      </c>
      <c r="P1520" s="26">
        <f t="shared" si="934"/>
        <v>15650</v>
      </c>
      <c r="Q1520" s="178">
        <v>8060</v>
      </c>
      <c r="R1520" s="178">
        <v>27150</v>
      </c>
      <c r="S1520" s="178">
        <v>23880</v>
      </c>
      <c r="T1520" s="266">
        <v>22635</v>
      </c>
      <c r="U1520" s="266">
        <v>25154.639999999999</v>
      </c>
      <c r="V1520" s="178">
        <v>22800</v>
      </c>
      <c r="W1520" s="178">
        <v>4355</v>
      </c>
      <c r="X1520" s="178">
        <v>3070</v>
      </c>
      <c r="Y1520" s="178">
        <f>240+1695+520</f>
        <v>2455</v>
      </c>
      <c r="Z1520" s="178">
        <f t="shared" si="937"/>
        <v>10.77</v>
      </c>
      <c r="AA1520" s="178">
        <f t="shared" si="896"/>
        <v>-8860</v>
      </c>
      <c r="AB1520" s="178">
        <v>13940</v>
      </c>
      <c r="AC1520" s="178">
        <f>1423.77+2144.2+840</f>
        <v>4407.9699999999993</v>
      </c>
      <c r="AD1520" s="178">
        <f t="shared" si="928"/>
        <v>31.621018651362981</v>
      </c>
      <c r="AE1520" s="178">
        <f t="shared" si="940"/>
        <v>0</v>
      </c>
      <c r="AF1520" s="178">
        <v>13940</v>
      </c>
      <c r="AG1520" s="178">
        <v>4300</v>
      </c>
      <c r="AH1520" s="178">
        <v>4400</v>
      </c>
      <c r="AI1520" s="178">
        <v>4500</v>
      </c>
      <c r="AJ1520" s="162" t="b">
        <f t="shared" si="916"/>
        <v>0</v>
      </c>
      <c r="AK1520" s="162" t="str">
        <f t="shared" si="917"/>
        <v>PUNO</v>
      </c>
      <c r="AM1520" s="164"/>
    </row>
    <row r="1521" spans="1:39" ht="15.75" x14ac:dyDescent="0.2">
      <c r="B1521" s="177"/>
      <c r="C1521" s="177"/>
      <c r="D1521" s="177"/>
      <c r="E1521" s="177">
        <v>3233</v>
      </c>
      <c r="F1521" s="265">
        <v>12</v>
      </c>
      <c r="G1521" s="176"/>
      <c r="H1521" s="16" t="s">
        <v>528</v>
      </c>
      <c r="I1521" s="18"/>
      <c r="J1521" s="178"/>
      <c r="K1521" s="178"/>
      <c r="L1521" s="178"/>
      <c r="M1521" s="178"/>
      <c r="N1521" s="178"/>
      <c r="O1521" s="178"/>
      <c r="P1521" s="26"/>
      <c r="Q1521" s="178"/>
      <c r="R1521" s="178"/>
      <c r="S1521" s="178"/>
      <c r="T1521" s="266"/>
      <c r="U1521" s="266"/>
      <c r="V1521" s="178"/>
      <c r="W1521" s="178"/>
      <c r="X1521" s="178"/>
      <c r="Y1521" s="178"/>
      <c r="Z1521" s="178"/>
      <c r="AA1521" s="178"/>
      <c r="AB1521" s="178"/>
      <c r="AC1521" s="178"/>
      <c r="AD1521" s="178"/>
      <c r="AE1521" s="178">
        <f t="shared" si="940"/>
        <v>0</v>
      </c>
      <c r="AF1521" s="178"/>
      <c r="AG1521" s="178">
        <v>0</v>
      </c>
      <c r="AH1521" s="178">
        <v>18100</v>
      </c>
      <c r="AI1521" s="178">
        <v>19700</v>
      </c>
      <c r="AJ1521" s="162" t="b">
        <f t="shared" si="916"/>
        <v>0</v>
      </c>
      <c r="AK1521" s="162" t="str">
        <f t="shared" si="917"/>
        <v>PUNO</v>
      </c>
      <c r="AM1521" s="164"/>
    </row>
    <row r="1522" spans="1:39" ht="15.75" x14ac:dyDescent="0.2">
      <c r="B1522" s="177"/>
      <c r="C1522" s="177"/>
      <c r="D1522" s="177"/>
      <c r="E1522" s="177">
        <v>3234</v>
      </c>
      <c r="F1522" s="265">
        <v>12</v>
      </c>
      <c r="G1522" s="176"/>
      <c r="H1522" s="16" t="s">
        <v>238</v>
      </c>
      <c r="I1522" s="18">
        <v>325600</v>
      </c>
      <c r="J1522" s="178">
        <f>10261.65+24378.52+7385.69</f>
        <v>42025.86</v>
      </c>
      <c r="K1522" s="178">
        <f t="shared" si="929"/>
        <v>12.91</v>
      </c>
      <c r="L1522" s="178">
        <f t="shared" si="930"/>
        <v>-275275.37</v>
      </c>
      <c r="M1522" s="178">
        <v>50324.63</v>
      </c>
      <c r="N1522" s="178">
        <v>59750</v>
      </c>
      <c r="O1522" s="178">
        <v>31238.639999999999</v>
      </c>
      <c r="P1522" s="26">
        <f t="shared" si="934"/>
        <v>-7206</v>
      </c>
      <c r="Q1522" s="178">
        <v>59750</v>
      </c>
      <c r="R1522" s="178">
        <v>62060</v>
      </c>
      <c r="S1522" s="178">
        <v>67790</v>
      </c>
      <c r="T1522" s="266">
        <v>52544</v>
      </c>
      <c r="U1522" s="266">
        <v>62151.38</v>
      </c>
      <c r="V1522" s="178">
        <v>57300</v>
      </c>
      <c r="W1522" s="178">
        <v>56530</v>
      </c>
      <c r="X1522" s="178">
        <v>57280</v>
      </c>
      <c r="Y1522" s="178">
        <f>7089.45+8821.64+3451.99</f>
        <v>19363.080000000002</v>
      </c>
      <c r="Z1522" s="178">
        <f t="shared" si="937"/>
        <v>33.79</v>
      </c>
      <c r="AA1522" s="178">
        <f t="shared" si="896"/>
        <v>-5368</v>
      </c>
      <c r="AB1522" s="178">
        <v>51932</v>
      </c>
      <c r="AC1522" s="178">
        <f>12799.7+18020.66+7263.2</f>
        <v>38083.56</v>
      </c>
      <c r="AD1522" s="178">
        <f t="shared" si="928"/>
        <v>73.333513055534155</v>
      </c>
      <c r="AE1522" s="178">
        <f t="shared" si="940"/>
        <v>0</v>
      </c>
      <c r="AF1522" s="178">
        <v>51932</v>
      </c>
      <c r="AG1522" s="178">
        <v>57300</v>
      </c>
      <c r="AH1522" s="178">
        <v>60000</v>
      </c>
      <c r="AI1522" s="178">
        <v>61000</v>
      </c>
      <c r="AJ1522" s="162" t="b">
        <f t="shared" si="916"/>
        <v>0</v>
      </c>
      <c r="AK1522" s="162" t="str">
        <f t="shared" si="917"/>
        <v>PUNO</v>
      </c>
      <c r="AM1522" s="164"/>
    </row>
    <row r="1523" spans="1:39" ht="15.75" x14ac:dyDescent="0.2">
      <c r="B1523" s="177"/>
      <c r="C1523" s="177"/>
      <c r="D1523" s="177"/>
      <c r="E1523" s="177">
        <v>3236</v>
      </c>
      <c r="F1523" s="176">
        <v>54</v>
      </c>
      <c r="G1523" s="176"/>
      <c r="H1523" s="16" t="s">
        <v>843</v>
      </c>
      <c r="I1523" s="18">
        <v>4500</v>
      </c>
      <c r="J1523" s="178">
        <v>479.7</v>
      </c>
      <c r="K1523" s="178">
        <f t="shared" si="929"/>
        <v>10.66</v>
      </c>
      <c r="L1523" s="178">
        <f t="shared" si="930"/>
        <v>-2635.3</v>
      </c>
      <c r="M1523" s="178">
        <v>1864.7</v>
      </c>
      <c r="N1523" s="178">
        <v>1000</v>
      </c>
      <c r="O1523" s="178">
        <v>355</v>
      </c>
      <c r="P1523" s="26">
        <f t="shared" si="934"/>
        <v>7755</v>
      </c>
      <c r="Q1523" s="178">
        <v>1000</v>
      </c>
      <c r="R1523" s="178">
        <v>960</v>
      </c>
      <c r="S1523" s="178">
        <v>1000</v>
      </c>
      <c r="T1523" s="266">
        <v>8755</v>
      </c>
      <c r="U1523" s="266">
        <v>355</v>
      </c>
      <c r="V1523" s="178">
        <v>850</v>
      </c>
      <c r="W1523" s="178">
        <v>800</v>
      </c>
      <c r="X1523" s="178">
        <v>800</v>
      </c>
      <c r="Y1523" s="178">
        <v>935.61</v>
      </c>
      <c r="Z1523" s="178">
        <f t="shared" si="937"/>
        <v>110.07</v>
      </c>
      <c r="AA1523" s="178">
        <f t="shared" si="896"/>
        <v>1150</v>
      </c>
      <c r="AB1523" s="178">
        <v>2000</v>
      </c>
      <c r="AC1523" s="178">
        <v>1558.33</v>
      </c>
      <c r="AD1523" s="178">
        <f t="shared" si="928"/>
        <v>77.916499999999999</v>
      </c>
      <c r="AE1523" s="178">
        <f t="shared" si="940"/>
        <v>0</v>
      </c>
      <c r="AF1523" s="178">
        <v>2000</v>
      </c>
      <c r="AG1523" s="178">
        <v>1000</v>
      </c>
      <c r="AH1523" s="178">
        <v>2000</v>
      </c>
      <c r="AI1523" s="178">
        <v>2000</v>
      </c>
      <c r="AJ1523" s="162" t="b">
        <f t="shared" si="916"/>
        <v>0</v>
      </c>
      <c r="AK1523" s="162" t="str">
        <f t="shared" si="917"/>
        <v>PUNO</v>
      </c>
      <c r="AM1523" s="164"/>
    </row>
    <row r="1524" spans="1:39" ht="15.75" x14ac:dyDescent="0.2">
      <c r="B1524" s="177"/>
      <c r="C1524" s="177"/>
      <c r="D1524" s="177"/>
      <c r="E1524" s="177">
        <v>3237</v>
      </c>
      <c r="F1524" s="176">
        <v>54</v>
      </c>
      <c r="G1524" s="176"/>
      <c r="H1524" s="16" t="s">
        <v>566</v>
      </c>
      <c r="I1524" s="18">
        <v>128000</v>
      </c>
      <c r="J1524" s="178">
        <f>57762.71+31139.37+492</f>
        <v>89394.08</v>
      </c>
      <c r="K1524" s="178">
        <f t="shared" si="929"/>
        <v>69.84</v>
      </c>
      <c r="L1524" s="178">
        <f t="shared" si="930"/>
        <v>14028.940000000002</v>
      </c>
      <c r="M1524" s="178">
        <v>142028.94</v>
      </c>
      <c r="N1524" s="178">
        <v>135000</v>
      </c>
      <c r="O1524" s="178">
        <v>157262.1</v>
      </c>
      <c r="P1524" s="26">
        <f t="shared" si="934"/>
        <v>34912</v>
      </c>
      <c r="Q1524" s="178">
        <v>135000</v>
      </c>
      <c r="R1524" s="178">
        <v>73000</v>
      </c>
      <c r="S1524" s="178">
        <v>68300</v>
      </c>
      <c r="T1524" s="266">
        <v>169912</v>
      </c>
      <c r="U1524" s="266">
        <v>167008.35</v>
      </c>
      <c r="V1524" s="178">
        <v>48380</v>
      </c>
      <c r="W1524" s="178">
        <v>47580</v>
      </c>
      <c r="X1524" s="178">
        <v>48290</v>
      </c>
      <c r="Y1524" s="178">
        <f>35387.75+991.25</f>
        <v>36379</v>
      </c>
      <c r="Z1524" s="178">
        <f t="shared" si="937"/>
        <v>75.19</v>
      </c>
      <c r="AA1524" s="178">
        <f t="shared" si="896"/>
        <v>136</v>
      </c>
      <c r="AB1524" s="178">
        <v>48516</v>
      </c>
      <c r="AC1524" s="178">
        <f>960+50332.75+1116.25</f>
        <v>52409</v>
      </c>
      <c r="AD1524" s="178">
        <f t="shared" si="928"/>
        <v>108.0241569791409</v>
      </c>
      <c r="AE1524" s="178">
        <f t="shared" si="940"/>
        <v>0</v>
      </c>
      <c r="AF1524" s="178">
        <v>48516</v>
      </c>
      <c r="AG1524" s="178">
        <v>48300</v>
      </c>
      <c r="AH1524" s="178">
        <v>48500</v>
      </c>
      <c r="AI1524" s="178">
        <v>48700</v>
      </c>
      <c r="AJ1524" s="162" t="b">
        <f t="shared" si="916"/>
        <v>0</v>
      </c>
      <c r="AK1524" s="162" t="str">
        <f t="shared" si="917"/>
        <v>PUNO</v>
      </c>
      <c r="AM1524" s="164"/>
    </row>
    <row r="1525" spans="1:39" ht="15.75" x14ac:dyDescent="0.2">
      <c r="B1525" s="177"/>
      <c r="C1525" s="177"/>
      <c r="D1525" s="177"/>
      <c r="E1525" s="177">
        <v>3238</v>
      </c>
      <c r="F1525" s="176">
        <v>54</v>
      </c>
      <c r="G1525" s="176"/>
      <c r="H1525" s="16" t="s">
        <v>398</v>
      </c>
      <c r="I1525" s="18">
        <v>10900</v>
      </c>
      <c r="J1525" s="178">
        <v>17776.02</v>
      </c>
      <c r="K1525" s="178">
        <f t="shared" si="929"/>
        <v>163.08000000000001</v>
      </c>
      <c r="L1525" s="178">
        <f t="shared" si="930"/>
        <v>6876.02</v>
      </c>
      <c r="M1525" s="178">
        <v>17776.02</v>
      </c>
      <c r="N1525" s="178">
        <v>12670</v>
      </c>
      <c r="O1525" s="178">
        <v>8925</v>
      </c>
      <c r="P1525" s="26">
        <f t="shared" si="934"/>
        <v>-1220</v>
      </c>
      <c r="Q1525" s="178">
        <v>12670</v>
      </c>
      <c r="R1525" s="178">
        <v>11497</v>
      </c>
      <c r="S1525" s="178">
        <v>13130</v>
      </c>
      <c r="T1525" s="266">
        <v>11450</v>
      </c>
      <c r="U1525" s="266">
        <v>16350</v>
      </c>
      <c r="V1525" s="178">
        <v>11460</v>
      </c>
      <c r="W1525" s="178">
        <v>11250</v>
      </c>
      <c r="X1525" s="178">
        <v>11460</v>
      </c>
      <c r="Y1525" s="178">
        <v>2000</v>
      </c>
      <c r="Z1525" s="178">
        <f t="shared" si="937"/>
        <v>17.45</v>
      </c>
      <c r="AA1525" s="178">
        <f t="shared" si="896"/>
        <v>-7460</v>
      </c>
      <c r="AB1525" s="178">
        <v>4000</v>
      </c>
      <c r="AC1525" s="178">
        <v>2500</v>
      </c>
      <c r="AD1525" s="178">
        <f t="shared" si="928"/>
        <v>62.5</v>
      </c>
      <c r="AE1525" s="178">
        <f t="shared" si="940"/>
        <v>0</v>
      </c>
      <c r="AF1525" s="178">
        <v>4000</v>
      </c>
      <c r="AG1525" s="178">
        <v>11400</v>
      </c>
      <c r="AH1525" s="178">
        <v>10000</v>
      </c>
      <c r="AI1525" s="178">
        <v>10500</v>
      </c>
      <c r="AJ1525" s="162" t="b">
        <f t="shared" si="916"/>
        <v>0</v>
      </c>
      <c r="AK1525" s="162" t="str">
        <f t="shared" si="917"/>
        <v>PUNO</v>
      </c>
      <c r="AM1525" s="164"/>
    </row>
    <row r="1526" spans="1:39" ht="15.75" x14ac:dyDescent="0.2">
      <c r="B1526" s="177"/>
      <c r="C1526" s="177"/>
      <c r="D1526" s="177"/>
      <c r="E1526" s="177">
        <v>3239</v>
      </c>
      <c r="F1526" s="176">
        <v>54</v>
      </c>
      <c r="G1526" s="176"/>
      <c r="H1526" s="16" t="s">
        <v>529</v>
      </c>
      <c r="I1526" s="18">
        <v>20200</v>
      </c>
      <c r="J1526" s="178">
        <f>61661.74+68560.22+58961.29</f>
        <v>189183.25</v>
      </c>
      <c r="K1526" s="178">
        <f t="shared" si="929"/>
        <v>936.55</v>
      </c>
      <c r="L1526" s="178">
        <f t="shared" si="930"/>
        <v>258900.63</v>
      </c>
      <c r="M1526" s="178">
        <v>279100.63</v>
      </c>
      <c r="N1526" s="178">
        <v>266600</v>
      </c>
      <c r="O1526" s="178">
        <v>157341.81</v>
      </c>
      <c r="P1526" s="26">
        <f t="shared" si="934"/>
        <v>1917</v>
      </c>
      <c r="Q1526" s="178">
        <v>266600</v>
      </c>
      <c r="R1526" s="178">
        <v>268600</v>
      </c>
      <c r="S1526" s="178">
        <v>275080</v>
      </c>
      <c r="T1526" s="266">
        <v>268517</v>
      </c>
      <c r="U1526" s="266">
        <v>265319.28999999998</v>
      </c>
      <c r="V1526" s="178">
        <v>255180</v>
      </c>
      <c r="W1526" s="178">
        <v>243630</v>
      </c>
      <c r="X1526" s="178">
        <v>253640</v>
      </c>
      <c r="Y1526" s="178">
        <f>20160+42955.15+30834.85</f>
        <v>93950</v>
      </c>
      <c r="Z1526" s="178">
        <f t="shared" si="937"/>
        <v>36.82</v>
      </c>
      <c r="AA1526" s="178">
        <f t="shared" si="896"/>
        <v>10474</v>
      </c>
      <c r="AB1526" s="178">
        <v>265654</v>
      </c>
      <c r="AC1526" s="178">
        <f>92451.29+48204.05+60725.59</f>
        <v>201380.93</v>
      </c>
      <c r="AD1526" s="178">
        <f t="shared" si="928"/>
        <v>75.805720975404085</v>
      </c>
      <c r="AE1526" s="178">
        <f t="shared" si="940"/>
        <v>0</v>
      </c>
      <c r="AF1526" s="178">
        <v>265654</v>
      </c>
      <c r="AG1526" s="178">
        <v>255180</v>
      </c>
      <c r="AH1526" s="178">
        <v>255000</v>
      </c>
      <c r="AI1526" s="178">
        <v>255000</v>
      </c>
      <c r="AJ1526" s="162" t="b">
        <f t="shared" si="916"/>
        <v>0</v>
      </c>
      <c r="AK1526" s="162" t="str">
        <f t="shared" si="917"/>
        <v>PUNO</v>
      </c>
      <c r="AM1526" s="164"/>
    </row>
    <row r="1527" spans="1:39" ht="15.75" x14ac:dyDescent="0.2">
      <c r="B1527" s="177"/>
      <c r="C1527" s="177"/>
      <c r="D1527" s="177"/>
      <c r="E1527" s="177">
        <v>3239</v>
      </c>
      <c r="F1527" s="176">
        <v>12</v>
      </c>
      <c r="G1527" s="176"/>
      <c r="H1527" s="16" t="s">
        <v>529</v>
      </c>
      <c r="I1527" s="18"/>
      <c r="J1527" s="178"/>
      <c r="K1527" s="178"/>
      <c r="L1527" s="178"/>
      <c r="M1527" s="178"/>
      <c r="N1527" s="178"/>
      <c r="O1527" s="178"/>
      <c r="P1527" s="26"/>
      <c r="Q1527" s="178"/>
      <c r="R1527" s="178"/>
      <c r="S1527" s="178"/>
      <c r="T1527" s="266"/>
      <c r="U1527" s="266"/>
      <c r="V1527" s="178">
        <v>0</v>
      </c>
      <c r="W1527" s="178"/>
      <c r="X1527" s="178"/>
      <c r="Y1527" s="178">
        <v>0</v>
      </c>
      <c r="Z1527" s="178"/>
      <c r="AA1527" s="178">
        <f t="shared" si="896"/>
        <v>54175</v>
      </c>
      <c r="AB1527" s="178">
        <v>54175</v>
      </c>
      <c r="AC1527" s="178">
        <f>23255.54</f>
        <v>23255.54</v>
      </c>
      <c r="AD1527" s="178">
        <f t="shared" si="928"/>
        <v>42.926700507614214</v>
      </c>
      <c r="AE1527" s="178">
        <f t="shared" si="940"/>
        <v>0</v>
      </c>
      <c r="AF1527" s="178">
        <v>54175</v>
      </c>
      <c r="AG1527" s="178"/>
      <c r="AH1527" s="178"/>
      <c r="AI1527" s="178"/>
      <c r="AJ1527" s="162" t="b">
        <f t="shared" si="916"/>
        <v>0</v>
      </c>
      <c r="AK1527" s="162" t="str">
        <f t="shared" si="917"/>
        <v>PUNO</v>
      </c>
      <c r="AM1527" s="164"/>
    </row>
    <row r="1528" spans="1:39" ht="15.75" x14ac:dyDescent="0.2">
      <c r="B1528" s="177"/>
      <c r="C1528" s="177"/>
      <c r="D1528" s="177">
        <v>329</v>
      </c>
      <c r="E1528" s="177"/>
      <c r="F1528" s="177"/>
      <c r="G1528" s="177"/>
      <c r="H1528" s="16" t="s">
        <v>531</v>
      </c>
      <c r="I1528" s="17">
        <f>SUM(I1530:I1531)</f>
        <v>80300</v>
      </c>
      <c r="J1528" s="17">
        <f>SUM(J1530:J1531)</f>
        <v>56810.85</v>
      </c>
      <c r="K1528" s="17">
        <f t="shared" si="929"/>
        <v>70.75</v>
      </c>
      <c r="L1528" s="17">
        <f t="shared" si="930"/>
        <v>-6182.1900000000023</v>
      </c>
      <c r="M1528" s="17">
        <f>SUM(M1530:M1531)</f>
        <v>74117.81</v>
      </c>
      <c r="N1528" s="17">
        <f>SUM(N1530:N1531)</f>
        <v>74940</v>
      </c>
      <c r="O1528" s="17">
        <f>SUM(O1530:O1531)</f>
        <v>41226.33</v>
      </c>
      <c r="P1528" s="26">
        <f t="shared" si="934"/>
        <v>-8311</v>
      </c>
      <c r="Q1528" s="17">
        <f t="shared" ref="Q1528:Y1528" si="943">SUM(Q1530:Q1531)</f>
        <v>74940</v>
      </c>
      <c r="R1528" s="17">
        <f t="shared" si="943"/>
        <v>76110</v>
      </c>
      <c r="S1528" s="17">
        <f t="shared" si="943"/>
        <v>77700</v>
      </c>
      <c r="T1528" s="26">
        <f t="shared" si="943"/>
        <v>66629</v>
      </c>
      <c r="U1528" s="26">
        <f>SUM(U1530:U1531)</f>
        <v>71346.63</v>
      </c>
      <c r="V1528" s="17">
        <f t="shared" si="943"/>
        <v>70190</v>
      </c>
      <c r="W1528" s="17">
        <f t="shared" si="943"/>
        <v>69110</v>
      </c>
      <c r="X1528" s="17">
        <f t="shared" si="943"/>
        <v>70030</v>
      </c>
      <c r="Y1528" s="17">
        <f t="shared" si="943"/>
        <v>32790.92</v>
      </c>
      <c r="Z1528" s="17">
        <f t="shared" si="937"/>
        <v>46.72</v>
      </c>
      <c r="AA1528" s="17">
        <f t="shared" si="896"/>
        <v>-4084</v>
      </c>
      <c r="AB1528" s="17">
        <f>SUM(AB1530:AB1531)</f>
        <v>66106</v>
      </c>
      <c r="AC1528" s="17">
        <f>SUM(AC1530:AC1531)</f>
        <v>49294.17</v>
      </c>
      <c r="AD1528" s="17">
        <f t="shared" si="928"/>
        <v>74.568375034036237</v>
      </c>
      <c r="AE1528" s="17">
        <f t="shared" si="940"/>
        <v>0</v>
      </c>
      <c r="AF1528" s="17">
        <f>SUM(AF1530:AF1531)</f>
        <v>66106</v>
      </c>
      <c r="AG1528" s="17">
        <f>SUM(AG1529:AG1531)</f>
        <v>90190</v>
      </c>
      <c r="AH1528" s="17">
        <f>SUM(AH1529:AH1531)</f>
        <v>90000</v>
      </c>
      <c r="AI1528" s="17">
        <f>SUM(AI1529:AI1531)</f>
        <v>90500</v>
      </c>
      <c r="AJ1528" s="162" t="b">
        <f t="shared" si="916"/>
        <v>1</v>
      </c>
      <c r="AK1528" s="162" t="str">
        <f t="shared" si="917"/>
        <v>PRAZNO</v>
      </c>
      <c r="AM1528" s="164"/>
    </row>
    <row r="1529" spans="1:39" ht="30" x14ac:dyDescent="0.2">
      <c r="B1529" s="177"/>
      <c r="C1529" s="177"/>
      <c r="D1529" s="177"/>
      <c r="E1529" s="177">
        <v>3291</v>
      </c>
      <c r="F1529" s="177">
        <v>54</v>
      </c>
      <c r="G1529" s="177"/>
      <c r="H1529" s="16" t="s">
        <v>532</v>
      </c>
      <c r="I1529" s="17"/>
      <c r="J1529" s="17"/>
      <c r="K1529" s="17"/>
      <c r="L1529" s="17"/>
      <c r="M1529" s="17"/>
      <c r="N1529" s="17"/>
      <c r="O1529" s="17"/>
      <c r="P1529" s="26"/>
      <c r="Q1529" s="17"/>
      <c r="R1529" s="17"/>
      <c r="S1529" s="17"/>
      <c r="T1529" s="26"/>
      <c r="U1529" s="26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>
        <v>20000</v>
      </c>
      <c r="AH1529" s="17">
        <v>20000</v>
      </c>
      <c r="AI1529" s="17">
        <v>20000</v>
      </c>
      <c r="AJ1529" s="162" t="b">
        <f t="shared" si="916"/>
        <v>0</v>
      </c>
      <c r="AK1529" s="162" t="str">
        <f t="shared" si="917"/>
        <v>PUNO</v>
      </c>
      <c r="AM1529" s="164"/>
    </row>
    <row r="1530" spans="1:39" ht="15.75" x14ac:dyDescent="0.2">
      <c r="B1530" s="177"/>
      <c r="C1530" s="177"/>
      <c r="D1530" s="177"/>
      <c r="E1530" s="177">
        <v>3292</v>
      </c>
      <c r="F1530" s="176">
        <v>12</v>
      </c>
      <c r="G1530" s="176"/>
      <c r="H1530" s="16" t="s">
        <v>399</v>
      </c>
      <c r="I1530" s="18">
        <v>54800</v>
      </c>
      <c r="J1530" s="178">
        <f>4345.74+24002.76+21362.72</f>
        <v>49711.22</v>
      </c>
      <c r="K1530" s="178">
        <f t="shared" si="929"/>
        <v>90.71</v>
      </c>
      <c r="L1530" s="178">
        <f t="shared" si="930"/>
        <v>7654</v>
      </c>
      <c r="M1530" s="178">
        <v>62454</v>
      </c>
      <c r="N1530" s="178">
        <v>59940</v>
      </c>
      <c r="O1530" s="178">
        <v>37346.6</v>
      </c>
      <c r="P1530" s="26">
        <f t="shared" si="934"/>
        <v>-4667</v>
      </c>
      <c r="Q1530" s="178">
        <v>59940</v>
      </c>
      <c r="R1530" s="178">
        <v>59650</v>
      </c>
      <c r="S1530" s="178">
        <v>61100</v>
      </c>
      <c r="T1530" s="266">
        <v>55273</v>
      </c>
      <c r="U1530" s="266">
        <v>56867.1</v>
      </c>
      <c r="V1530" s="178">
        <v>56480</v>
      </c>
      <c r="W1530" s="178">
        <v>55530</v>
      </c>
      <c r="X1530" s="178">
        <v>56370</v>
      </c>
      <c r="Y1530" s="178">
        <f>8710+15865.62</f>
        <v>24575.620000000003</v>
      </c>
      <c r="Z1530" s="178">
        <f t="shared" si="937"/>
        <v>43.51</v>
      </c>
      <c r="AA1530" s="178">
        <f t="shared" ref="AA1530:AA1593" si="944">AB1530-V1530</f>
        <v>-7347</v>
      </c>
      <c r="AB1530" s="178">
        <v>49133</v>
      </c>
      <c r="AC1530" s="178">
        <f>4284.94+14486.07+19983.91</f>
        <v>38754.92</v>
      </c>
      <c r="AD1530" s="178">
        <f t="shared" si="928"/>
        <v>78.877577188447674</v>
      </c>
      <c r="AE1530" s="178">
        <f t="shared" si="940"/>
        <v>0</v>
      </c>
      <c r="AF1530" s="178">
        <v>49133</v>
      </c>
      <c r="AG1530" s="178">
        <v>56480</v>
      </c>
      <c r="AH1530" s="178">
        <v>56000</v>
      </c>
      <c r="AI1530" s="178">
        <v>56500</v>
      </c>
      <c r="AJ1530" s="162" t="b">
        <f t="shared" si="916"/>
        <v>0</v>
      </c>
      <c r="AK1530" s="162" t="str">
        <f t="shared" si="917"/>
        <v>PUNO</v>
      </c>
      <c r="AM1530" s="164"/>
    </row>
    <row r="1531" spans="1:39" ht="15.75" x14ac:dyDescent="0.2">
      <c r="B1531" s="177"/>
      <c r="C1531" s="177"/>
      <c r="D1531" s="177"/>
      <c r="E1531" s="177">
        <v>3293</v>
      </c>
      <c r="F1531" s="176">
        <v>54</v>
      </c>
      <c r="G1531" s="176"/>
      <c r="H1531" s="16" t="s">
        <v>533</v>
      </c>
      <c r="I1531" s="18">
        <v>25500</v>
      </c>
      <c r="J1531" s="178">
        <f>4902.57+2197.06</f>
        <v>7099.6299999999992</v>
      </c>
      <c r="K1531" s="178">
        <f t="shared" si="929"/>
        <v>27.84</v>
      </c>
      <c r="L1531" s="178">
        <f t="shared" si="930"/>
        <v>-13836.19</v>
      </c>
      <c r="M1531" s="178">
        <v>11663.81</v>
      </c>
      <c r="N1531" s="178">
        <v>15000</v>
      </c>
      <c r="O1531" s="178">
        <v>3879.73</v>
      </c>
      <c r="P1531" s="26">
        <f t="shared" si="934"/>
        <v>-3644</v>
      </c>
      <c r="Q1531" s="178">
        <v>15000</v>
      </c>
      <c r="R1531" s="178">
        <v>16460</v>
      </c>
      <c r="S1531" s="178">
        <v>16600</v>
      </c>
      <c r="T1531" s="266">
        <v>11356</v>
      </c>
      <c r="U1531" s="266">
        <v>14479.53</v>
      </c>
      <c r="V1531" s="178">
        <v>13710</v>
      </c>
      <c r="W1531" s="178">
        <v>13580</v>
      </c>
      <c r="X1531" s="178">
        <v>13660</v>
      </c>
      <c r="Y1531" s="178">
        <f>1337.33+6564.82+313.15</f>
        <v>8215.2999999999993</v>
      </c>
      <c r="Z1531" s="178">
        <f t="shared" si="937"/>
        <v>59.92</v>
      </c>
      <c r="AA1531" s="178">
        <f t="shared" si="944"/>
        <v>3263</v>
      </c>
      <c r="AB1531" s="178">
        <v>16973</v>
      </c>
      <c r="AC1531" s="178">
        <f>3021.4+7056.52+461.33</f>
        <v>10539.25</v>
      </c>
      <c r="AD1531" s="178">
        <f t="shared" si="928"/>
        <v>62.094208448712664</v>
      </c>
      <c r="AE1531" s="178">
        <f t="shared" si="940"/>
        <v>0</v>
      </c>
      <c r="AF1531" s="178">
        <v>16973</v>
      </c>
      <c r="AG1531" s="178">
        <v>13710</v>
      </c>
      <c r="AH1531" s="178">
        <v>14000</v>
      </c>
      <c r="AI1531" s="178">
        <v>14000</v>
      </c>
      <c r="AJ1531" s="162" t="b">
        <f t="shared" si="916"/>
        <v>0</v>
      </c>
      <c r="AK1531" s="162" t="str">
        <f t="shared" si="917"/>
        <v>PUNO</v>
      </c>
      <c r="AM1531" s="164"/>
    </row>
    <row r="1532" spans="1:39" ht="15.75" x14ac:dyDescent="0.2">
      <c r="B1532" s="175"/>
      <c r="C1532" s="175">
        <v>34</v>
      </c>
      <c r="D1532" s="175"/>
      <c r="E1532" s="175"/>
      <c r="F1532" s="175"/>
      <c r="G1532" s="175"/>
      <c r="H1532" s="15" t="s">
        <v>208</v>
      </c>
      <c r="I1532" s="22">
        <f>I1533</f>
        <v>9500</v>
      </c>
      <c r="J1532" s="22">
        <f>J1533</f>
        <v>9120.51</v>
      </c>
      <c r="K1532" s="22">
        <f t="shared" si="929"/>
        <v>96.01</v>
      </c>
      <c r="L1532" s="22">
        <f t="shared" si="930"/>
        <v>3424.8599999999988</v>
      </c>
      <c r="M1532" s="22">
        <f>M1533</f>
        <v>12924.859999999999</v>
      </c>
      <c r="N1532" s="22">
        <f>N1533</f>
        <v>3970</v>
      </c>
      <c r="O1532" s="22">
        <f>O1533</f>
        <v>1486.7</v>
      </c>
      <c r="P1532" s="26">
        <f t="shared" si="934"/>
        <v>-715</v>
      </c>
      <c r="Q1532" s="22">
        <f t="shared" ref="Q1532:AI1532" si="945">Q1533</f>
        <v>3970</v>
      </c>
      <c r="R1532" s="22">
        <f t="shared" si="945"/>
        <v>9030</v>
      </c>
      <c r="S1532" s="22">
        <f t="shared" si="945"/>
        <v>9050</v>
      </c>
      <c r="T1532" s="38">
        <f t="shared" si="945"/>
        <v>3255</v>
      </c>
      <c r="U1532" s="38">
        <f t="shared" si="945"/>
        <v>2075.9899999999998</v>
      </c>
      <c r="V1532" s="22">
        <f t="shared" si="945"/>
        <v>3480</v>
      </c>
      <c r="W1532" s="22">
        <f t="shared" si="945"/>
        <v>3440</v>
      </c>
      <c r="X1532" s="22">
        <f t="shared" si="945"/>
        <v>3500</v>
      </c>
      <c r="Y1532" s="22">
        <f t="shared" si="945"/>
        <v>105.29</v>
      </c>
      <c r="Z1532" s="22">
        <f t="shared" si="937"/>
        <v>3.03</v>
      </c>
      <c r="AA1532" s="22">
        <f t="shared" si="944"/>
        <v>-2242</v>
      </c>
      <c r="AB1532" s="22">
        <f t="shared" si="945"/>
        <v>1238</v>
      </c>
      <c r="AC1532" s="22">
        <f t="shared" si="945"/>
        <v>1022.2900000000001</v>
      </c>
      <c r="AD1532" s="22">
        <f t="shared" si="928"/>
        <v>82.575928917609048</v>
      </c>
      <c r="AE1532" s="22">
        <f t="shared" si="940"/>
        <v>0</v>
      </c>
      <c r="AF1532" s="22">
        <f t="shared" si="945"/>
        <v>1238</v>
      </c>
      <c r="AG1532" s="22">
        <f t="shared" si="945"/>
        <v>3500</v>
      </c>
      <c r="AH1532" s="22">
        <f t="shared" si="945"/>
        <v>4000</v>
      </c>
      <c r="AI1532" s="22">
        <f t="shared" si="945"/>
        <v>4200</v>
      </c>
      <c r="AJ1532" s="162" t="b">
        <f t="shared" si="916"/>
        <v>1</v>
      </c>
      <c r="AK1532" s="162" t="str">
        <f t="shared" si="917"/>
        <v>PRAZNO</v>
      </c>
      <c r="AM1532" s="164"/>
    </row>
    <row r="1533" spans="1:39" ht="15.75" x14ac:dyDescent="0.2">
      <c r="B1533" s="177"/>
      <c r="C1533" s="177"/>
      <c r="D1533" s="177">
        <v>343</v>
      </c>
      <c r="E1533" s="177"/>
      <c r="F1533" s="177"/>
      <c r="G1533" s="177"/>
      <c r="H1533" s="16" t="s">
        <v>209</v>
      </c>
      <c r="I1533" s="17">
        <f>SUM(I1534:I1535)</f>
        <v>9500</v>
      </c>
      <c r="J1533" s="17">
        <f>SUM(J1534:J1535)</f>
        <v>9120.51</v>
      </c>
      <c r="K1533" s="17">
        <f t="shared" si="929"/>
        <v>96.01</v>
      </c>
      <c r="L1533" s="17">
        <f t="shared" si="930"/>
        <v>3424.8599999999988</v>
      </c>
      <c r="M1533" s="17">
        <f>SUM(M1534:M1535)</f>
        <v>12924.859999999999</v>
      </c>
      <c r="N1533" s="17">
        <f>SUM(N1534:N1535)</f>
        <v>3970</v>
      </c>
      <c r="O1533" s="17">
        <f>SUM(O1534:O1535)</f>
        <v>1486.7</v>
      </c>
      <c r="P1533" s="26">
        <f t="shared" si="934"/>
        <v>-715</v>
      </c>
      <c r="Q1533" s="17">
        <f t="shared" ref="Q1533:X1533" si="946">SUM(Q1534:Q1535)</f>
        <v>3970</v>
      </c>
      <c r="R1533" s="17">
        <f t="shared" si="946"/>
        <v>9030</v>
      </c>
      <c r="S1533" s="17">
        <f t="shared" si="946"/>
        <v>9050</v>
      </c>
      <c r="T1533" s="26">
        <f t="shared" si="946"/>
        <v>3255</v>
      </c>
      <c r="U1533" s="26">
        <f>SUM(U1534:U1535)</f>
        <v>2075.9899999999998</v>
      </c>
      <c r="V1533" s="17">
        <f t="shared" si="946"/>
        <v>3480</v>
      </c>
      <c r="W1533" s="17">
        <f t="shared" si="946"/>
        <v>3440</v>
      </c>
      <c r="X1533" s="17">
        <f t="shared" si="946"/>
        <v>3500</v>
      </c>
      <c r="Y1533" s="17">
        <f>SUM(Y1534:Y1535)</f>
        <v>105.29</v>
      </c>
      <c r="Z1533" s="17">
        <f t="shared" si="937"/>
        <v>3.03</v>
      </c>
      <c r="AA1533" s="17">
        <f t="shared" si="944"/>
        <v>-2242</v>
      </c>
      <c r="AB1533" s="17">
        <f>SUM(AB1534:AB1535)</f>
        <v>1238</v>
      </c>
      <c r="AC1533" s="17">
        <f>SUM(AC1534:AC1535)</f>
        <v>1022.2900000000001</v>
      </c>
      <c r="AD1533" s="17">
        <f t="shared" si="928"/>
        <v>82.575928917609048</v>
      </c>
      <c r="AE1533" s="17">
        <f t="shared" si="940"/>
        <v>0</v>
      </c>
      <c r="AF1533" s="17">
        <f>SUM(AF1534:AF1535)</f>
        <v>1238</v>
      </c>
      <c r="AG1533" s="17">
        <f>SUM(AG1534:AG1535)</f>
        <v>3500</v>
      </c>
      <c r="AH1533" s="17">
        <f>SUM(AH1534:AH1535)</f>
        <v>4000</v>
      </c>
      <c r="AI1533" s="17">
        <f>SUM(AI1534:AI1535)</f>
        <v>4200</v>
      </c>
      <c r="AJ1533" s="162" t="b">
        <f t="shared" si="916"/>
        <v>1</v>
      </c>
      <c r="AK1533" s="162" t="str">
        <f t="shared" si="917"/>
        <v>PRAZNO</v>
      </c>
      <c r="AM1533" s="164"/>
    </row>
    <row r="1534" spans="1:39" ht="15.75" x14ac:dyDescent="0.2">
      <c r="B1534" s="177"/>
      <c r="C1534" s="177"/>
      <c r="D1534" s="177"/>
      <c r="E1534" s="177">
        <v>3431</v>
      </c>
      <c r="F1534" s="176">
        <v>54</v>
      </c>
      <c r="G1534" s="176"/>
      <c r="H1534" s="16" t="s">
        <v>211</v>
      </c>
      <c r="I1534" s="18">
        <v>7500</v>
      </c>
      <c r="J1534" s="178">
        <f>172.9+7253.64</f>
        <v>7426.54</v>
      </c>
      <c r="K1534" s="178">
        <f t="shared" si="929"/>
        <v>99.02</v>
      </c>
      <c r="L1534" s="178">
        <f t="shared" si="930"/>
        <v>3570.8899999999994</v>
      </c>
      <c r="M1534" s="178">
        <v>11070.89</v>
      </c>
      <c r="N1534" s="178">
        <v>1970</v>
      </c>
      <c r="O1534" s="178">
        <v>410.45</v>
      </c>
      <c r="P1534" s="26">
        <f t="shared" si="934"/>
        <v>-1197</v>
      </c>
      <c r="Q1534" s="178">
        <v>1970</v>
      </c>
      <c r="R1534" s="178">
        <v>7030</v>
      </c>
      <c r="S1534" s="178">
        <v>7050</v>
      </c>
      <c r="T1534" s="266">
        <v>773</v>
      </c>
      <c r="U1534" s="266">
        <v>599.74</v>
      </c>
      <c r="V1534" s="178">
        <v>1670</v>
      </c>
      <c r="W1534" s="178">
        <v>1660</v>
      </c>
      <c r="X1534" s="178">
        <v>1690</v>
      </c>
      <c r="Y1534" s="178">
        <f>4+15</f>
        <v>19</v>
      </c>
      <c r="Z1534" s="178">
        <f t="shared" si="937"/>
        <v>1.1399999999999999</v>
      </c>
      <c r="AA1534" s="178">
        <f t="shared" si="944"/>
        <v>-818</v>
      </c>
      <c r="AB1534" s="178">
        <v>852</v>
      </c>
      <c r="AC1534" s="178">
        <f>7.7+25.9</f>
        <v>33.6</v>
      </c>
      <c r="AD1534" s="178">
        <f t="shared" si="928"/>
        <v>3.943661971830986</v>
      </c>
      <c r="AE1534" s="178">
        <f t="shared" si="940"/>
        <v>0</v>
      </c>
      <c r="AF1534" s="178">
        <v>852</v>
      </c>
      <c r="AG1534" s="178">
        <v>1700</v>
      </c>
      <c r="AH1534" s="178">
        <v>2000</v>
      </c>
      <c r="AI1534" s="178">
        <v>2100</v>
      </c>
      <c r="AJ1534" s="162" t="b">
        <f t="shared" si="916"/>
        <v>0</v>
      </c>
      <c r="AK1534" s="162" t="str">
        <f t="shared" si="917"/>
        <v>PUNO</v>
      </c>
      <c r="AM1534" s="164"/>
    </row>
    <row r="1535" spans="1:39" ht="15.75" x14ac:dyDescent="0.2">
      <c r="B1535" s="177"/>
      <c r="C1535" s="177"/>
      <c r="D1535" s="177"/>
      <c r="E1535" s="177">
        <v>3434</v>
      </c>
      <c r="F1535" s="176">
        <v>54</v>
      </c>
      <c r="G1535" s="176"/>
      <c r="H1535" s="29" t="s">
        <v>403</v>
      </c>
      <c r="I1535" s="18">
        <v>2000</v>
      </c>
      <c r="J1535" s="178">
        <v>1693.97</v>
      </c>
      <c r="K1535" s="178">
        <f t="shared" si="929"/>
        <v>84.7</v>
      </c>
      <c r="L1535" s="178">
        <f t="shared" si="930"/>
        <v>-146.02999999999997</v>
      </c>
      <c r="M1535" s="178">
        <v>1853.97</v>
      </c>
      <c r="N1535" s="178">
        <v>2000</v>
      </c>
      <c r="O1535" s="178">
        <v>1076.25</v>
      </c>
      <c r="P1535" s="26">
        <f t="shared" si="934"/>
        <v>482</v>
      </c>
      <c r="Q1535" s="178">
        <v>2000</v>
      </c>
      <c r="R1535" s="178">
        <v>2000</v>
      </c>
      <c r="S1535" s="178">
        <v>2000</v>
      </c>
      <c r="T1535" s="266">
        <v>2482</v>
      </c>
      <c r="U1535" s="266">
        <v>1476.25</v>
      </c>
      <c r="V1535" s="178">
        <v>1810</v>
      </c>
      <c r="W1535" s="178">
        <v>1780</v>
      </c>
      <c r="X1535" s="178">
        <v>1810</v>
      </c>
      <c r="Y1535" s="178">
        <v>86.29</v>
      </c>
      <c r="Z1535" s="178">
        <f t="shared" si="937"/>
        <v>4.7699999999999996</v>
      </c>
      <c r="AA1535" s="178">
        <f t="shared" si="944"/>
        <v>-1424</v>
      </c>
      <c r="AB1535" s="178">
        <v>386</v>
      </c>
      <c r="AC1535" s="178">
        <v>988.69</v>
      </c>
      <c r="AD1535" s="178">
        <f>AC1535/AB1535*100</f>
        <v>256.13730569948189</v>
      </c>
      <c r="AE1535" s="178">
        <f t="shared" si="940"/>
        <v>0</v>
      </c>
      <c r="AF1535" s="178">
        <v>386</v>
      </c>
      <c r="AG1535" s="178">
        <v>1800</v>
      </c>
      <c r="AH1535" s="178">
        <v>2000</v>
      </c>
      <c r="AI1535" s="178">
        <v>2100</v>
      </c>
      <c r="AJ1535" s="162" t="b">
        <f t="shared" si="916"/>
        <v>0</v>
      </c>
      <c r="AK1535" s="162" t="str">
        <f t="shared" si="917"/>
        <v>PUNO</v>
      </c>
      <c r="AM1535" s="164"/>
    </row>
    <row r="1536" spans="1:39" s="171" customFormat="1" ht="15.75" x14ac:dyDescent="0.2">
      <c r="A1536" s="259"/>
      <c r="B1536" s="168"/>
      <c r="C1536" s="168"/>
      <c r="D1536" s="168"/>
      <c r="E1536" s="168"/>
      <c r="F1536" s="168"/>
      <c r="G1536" s="168"/>
      <c r="H1536" s="13" t="s">
        <v>595</v>
      </c>
      <c r="I1536" s="169">
        <f>I1538</f>
        <v>1623550</v>
      </c>
      <c r="J1536" s="169">
        <f>J1538</f>
        <v>323000</v>
      </c>
      <c r="K1536" s="169">
        <f t="shared" si="929"/>
        <v>19.89</v>
      </c>
      <c r="L1536" s="169">
        <f t="shared" si="930"/>
        <v>-26600</v>
      </c>
      <c r="M1536" s="19">
        <f>M1538</f>
        <v>1596950</v>
      </c>
      <c r="N1536" s="19">
        <f>N1538</f>
        <v>1561800</v>
      </c>
      <c r="O1536" s="19">
        <f>O1538</f>
        <v>28500</v>
      </c>
      <c r="P1536" s="303">
        <f t="shared" si="934"/>
        <v>0</v>
      </c>
      <c r="Q1536" s="19">
        <f t="shared" ref="Q1536:X1536" si="947">Q1538</f>
        <v>1561800</v>
      </c>
      <c r="R1536" s="19">
        <f t="shared" si="947"/>
        <v>1598000</v>
      </c>
      <c r="S1536" s="19">
        <f t="shared" si="947"/>
        <v>1607000</v>
      </c>
      <c r="T1536" s="53">
        <f t="shared" si="947"/>
        <v>1561800</v>
      </c>
      <c r="U1536" s="53">
        <f>U1538</f>
        <v>1561800</v>
      </c>
      <c r="V1536" s="19">
        <f t="shared" si="947"/>
        <v>1414550</v>
      </c>
      <c r="W1536" s="19">
        <f t="shared" si="947"/>
        <v>1387000</v>
      </c>
      <c r="X1536" s="19">
        <f t="shared" si="947"/>
        <v>1411700</v>
      </c>
      <c r="Y1536" s="19">
        <f>Y1538</f>
        <v>0</v>
      </c>
      <c r="Z1536" s="19">
        <f t="shared" si="937"/>
        <v>0</v>
      </c>
      <c r="AA1536" s="19">
        <f t="shared" si="944"/>
        <v>2850</v>
      </c>
      <c r="AB1536" s="19">
        <f>AB1538</f>
        <v>1417400</v>
      </c>
      <c r="AC1536" s="19">
        <f>AC1538</f>
        <v>347700</v>
      </c>
      <c r="AD1536" s="19">
        <f t="shared" si="928"/>
        <v>24.530831099195709</v>
      </c>
      <c r="AE1536" s="19">
        <f t="shared" si="940"/>
        <v>0</v>
      </c>
      <c r="AF1536" s="19">
        <f>AF1538</f>
        <v>1417400</v>
      </c>
      <c r="AG1536" s="19">
        <f>AG1538</f>
        <v>1417400</v>
      </c>
      <c r="AH1536" s="19">
        <f>AH1538</f>
        <v>1417400</v>
      </c>
      <c r="AI1536" s="19">
        <f>AI1538</f>
        <v>1417400</v>
      </c>
      <c r="AJ1536" s="162" t="b">
        <f t="shared" si="916"/>
        <v>1</v>
      </c>
      <c r="AK1536" s="162" t="str">
        <f t="shared" si="917"/>
        <v>PRAZNO</v>
      </c>
      <c r="AL1536" s="170"/>
      <c r="AM1536" s="164"/>
    </row>
    <row r="1537" spans="1:39" s="264" customFormat="1" ht="15.75" customHeight="1" x14ac:dyDescent="0.2">
      <c r="A1537" s="259"/>
      <c r="B1537" s="260"/>
      <c r="C1537" s="260"/>
      <c r="D1537" s="260"/>
      <c r="E1537" s="260"/>
      <c r="F1537" s="260"/>
      <c r="G1537" s="260"/>
      <c r="H1537" s="440" t="s">
        <v>830</v>
      </c>
      <c r="I1537" s="181"/>
      <c r="J1537" s="181"/>
      <c r="K1537" s="181"/>
      <c r="L1537" s="181"/>
      <c r="M1537" s="262"/>
      <c r="N1537" s="262"/>
      <c r="O1537" s="262"/>
      <c r="P1537" s="445"/>
      <c r="Q1537" s="262"/>
      <c r="R1537" s="262"/>
      <c r="S1537" s="262"/>
      <c r="T1537" s="342"/>
      <c r="U1537" s="342"/>
      <c r="V1537" s="262">
        <f>V1538</f>
        <v>1414550</v>
      </c>
      <c r="W1537" s="262">
        <f>W1538</f>
        <v>1387000</v>
      </c>
      <c r="X1537" s="262">
        <f>X1538</f>
        <v>1411700</v>
      </c>
      <c r="Y1537" s="262">
        <f>Y1538</f>
        <v>0</v>
      </c>
      <c r="Z1537" s="262">
        <f t="shared" si="937"/>
        <v>0</v>
      </c>
      <c r="AA1537" s="262">
        <f t="shared" si="944"/>
        <v>2850</v>
      </c>
      <c r="AB1537" s="262">
        <f>AB1538</f>
        <v>1417400</v>
      </c>
      <c r="AC1537" s="262">
        <f>AC1538</f>
        <v>347700</v>
      </c>
      <c r="AD1537" s="262">
        <f t="shared" si="928"/>
        <v>24.530831099195709</v>
      </c>
      <c r="AE1537" s="262">
        <f t="shared" si="940"/>
        <v>0</v>
      </c>
      <c r="AF1537" s="262">
        <f>AF1538</f>
        <v>1417400</v>
      </c>
      <c r="AG1537" s="262">
        <f>AG1538</f>
        <v>1417400</v>
      </c>
      <c r="AH1537" s="262">
        <f>AH1538</f>
        <v>1417400</v>
      </c>
      <c r="AI1537" s="262">
        <f>AI1538</f>
        <v>1417400</v>
      </c>
      <c r="AJ1537" s="162" t="b">
        <f t="shared" si="916"/>
        <v>1</v>
      </c>
      <c r="AK1537" s="162" t="str">
        <f t="shared" si="917"/>
        <v>PRAZNO</v>
      </c>
      <c r="AL1537" s="263"/>
    </row>
    <row r="1538" spans="1:39" s="174" customFormat="1" ht="15.75" x14ac:dyDescent="0.2">
      <c r="A1538" s="259"/>
      <c r="B1538" s="172">
        <v>3</v>
      </c>
      <c r="C1538" s="172"/>
      <c r="D1538" s="172"/>
      <c r="E1538" s="172"/>
      <c r="F1538" s="172"/>
      <c r="G1538" s="172"/>
      <c r="H1538" s="36" t="s">
        <v>524</v>
      </c>
      <c r="I1538" s="37">
        <f t="shared" ref="I1538:AI1540" si="948">I1539</f>
        <v>1623550</v>
      </c>
      <c r="J1538" s="37">
        <f t="shared" si="948"/>
        <v>323000</v>
      </c>
      <c r="K1538" s="37">
        <f t="shared" si="929"/>
        <v>19.89</v>
      </c>
      <c r="L1538" s="37">
        <f t="shared" si="930"/>
        <v>-26600</v>
      </c>
      <c r="M1538" s="37">
        <f t="shared" si="948"/>
        <v>1596950</v>
      </c>
      <c r="N1538" s="37">
        <f t="shared" si="948"/>
        <v>1561800</v>
      </c>
      <c r="O1538" s="37">
        <f t="shared" si="948"/>
        <v>28500</v>
      </c>
      <c r="P1538" s="55">
        <f t="shared" si="934"/>
        <v>0</v>
      </c>
      <c r="Q1538" s="37">
        <f t="shared" si="948"/>
        <v>1561800</v>
      </c>
      <c r="R1538" s="37">
        <f t="shared" si="948"/>
        <v>1598000</v>
      </c>
      <c r="S1538" s="37">
        <f t="shared" si="948"/>
        <v>1607000</v>
      </c>
      <c r="T1538" s="54">
        <f t="shared" si="948"/>
        <v>1561800</v>
      </c>
      <c r="U1538" s="54">
        <f t="shared" si="948"/>
        <v>1561800</v>
      </c>
      <c r="V1538" s="37">
        <f t="shared" si="948"/>
        <v>1414550</v>
      </c>
      <c r="W1538" s="37">
        <f t="shared" si="948"/>
        <v>1387000</v>
      </c>
      <c r="X1538" s="37">
        <f t="shared" si="948"/>
        <v>1411700</v>
      </c>
      <c r="Y1538" s="37">
        <f t="shared" si="948"/>
        <v>0</v>
      </c>
      <c r="Z1538" s="37">
        <f t="shared" si="937"/>
        <v>0</v>
      </c>
      <c r="AA1538" s="37">
        <f t="shared" si="944"/>
        <v>2850</v>
      </c>
      <c r="AB1538" s="37">
        <f t="shared" si="948"/>
        <v>1417400</v>
      </c>
      <c r="AC1538" s="37">
        <f t="shared" si="948"/>
        <v>347700</v>
      </c>
      <c r="AD1538" s="37">
        <f t="shared" si="928"/>
        <v>24.530831099195709</v>
      </c>
      <c r="AE1538" s="37">
        <f t="shared" si="940"/>
        <v>0</v>
      </c>
      <c r="AF1538" s="37">
        <f t="shared" si="948"/>
        <v>1417400</v>
      </c>
      <c r="AG1538" s="37">
        <f t="shared" si="948"/>
        <v>1417400</v>
      </c>
      <c r="AH1538" s="37">
        <f t="shared" si="948"/>
        <v>1417400</v>
      </c>
      <c r="AI1538" s="37">
        <f t="shared" si="948"/>
        <v>1417400</v>
      </c>
      <c r="AJ1538" s="162" t="b">
        <f t="shared" si="916"/>
        <v>1</v>
      </c>
      <c r="AK1538" s="162" t="str">
        <f t="shared" si="917"/>
        <v>PRAZNO</v>
      </c>
      <c r="AL1538" s="173"/>
      <c r="AM1538" s="164"/>
    </row>
    <row r="1539" spans="1:39" s="644" customFormat="1" ht="19.5" customHeight="1" x14ac:dyDescent="0.2">
      <c r="A1539" s="633"/>
      <c r="B1539" s="175"/>
      <c r="C1539" s="175">
        <v>36</v>
      </c>
      <c r="D1539" s="175"/>
      <c r="E1539" s="175"/>
      <c r="F1539" s="175"/>
      <c r="G1539" s="175"/>
      <c r="H1539" s="654" t="s">
        <v>751</v>
      </c>
      <c r="I1539" s="645">
        <f t="shared" si="948"/>
        <v>1623550</v>
      </c>
      <c r="J1539" s="645">
        <f t="shared" si="948"/>
        <v>323000</v>
      </c>
      <c r="K1539" s="645">
        <f t="shared" si="929"/>
        <v>19.89</v>
      </c>
      <c r="L1539" s="645">
        <f t="shared" si="930"/>
        <v>-26600</v>
      </c>
      <c r="M1539" s="645">
        <f t="shared" si="948"/>
        <v>1596950</v>
      </c>
      <c r="N1539" s="645">
        <f t="shared" si="948"/>
        <v>1561800</v>
      </c>
      <c r="O1539" s="645">
        <f t="shared" si="948"/>
        <v>28500</v>
      </c>
      <c r="P1539" s="38">
        <f t="shared" si="934"/>
        <v>0</v>
      </c>
      <c r="Q1539" s="645">
        <f t="shared" si="948"/>
        <v>1561800</v>
      </c>
      <c r="R1539" s="645">
        <f t="shared" si="948"/>
        <v>1598000</v>
      </c>
      <c r="S1539" s="645">
        <f t="shared" si="948"/>
        <v>1607000</v>
      </c>
      <c r="T1539" s="646">
        <f t="shared" si="948"/>
        <v>1561800</v>
      </c>
      <c r="U1539" s="646">
        <f t="shared" si="948"/>
        <v>1561800</v>
      </c>
      <c r="V1539" s="645">
        <f t="shared" si="948"/>
        <v>1414550</v>
      </c>
      <c r="W1539" s="645">
        <f t="shared" si="948"/>
        <v>1387000</v>
      </c>
      <c r="X1539" s="645">
        <f t="shared" si="948"/>
        <v>1411700</v>
      </c>
      <c r="Y1539" s="645">
        <f t="shared" si="948"/>
        <v>0</v>
      </c>
      <c r="Z1539" s="645">
        <f t="shared" si="937"/>
        <v>0</v>
      </c>
      <c r="AA1539" s="645">
        <f t="shared" si="944"/>
        <v>2850</v>
      </c>
      <c r="AB1539" s="645">
        <f t="shared" si="948"/>
        <v>1417400</v>
      </c>
      <c r="AC1539" s="645">
        <f t="shared" si="948"/>
        <v>347700</v>
      </c>
      <c r="AD1539" s="645">
        <f t="shared" si="928"/>
        <v>24.530831099195709</v>
      </c>
      <c r="AE1539" s="645">
        <f t="shared" si="940"/>
        <v>0</v>
      </c>
      <c r="AF1539" s="645">
        <f t="shared" si="948"/>
        <v>1417400</v>
      </c>
      <c r="AG1539" s="645">
        <f t="shared" si="948"/>
        <v>1417400</v>
      </c>
      <c r="AH1539" s="645">
        <f t="shared" si="948"/>
        <v>1417400</v>
      </c>
      <c r="AI1539" s="645">
        <f t="shared" si="948"/>
        <v>1417400</v>
      </c>
      <c r="AJ1539" s="162" t="b">
        <f t="shared" si="916"/>
        <v>1</v>
      </c>
      <c r="AK1539" s="162" t="str">
        <f t="shared" si="917"/>
        <v>PRAZNO</v>
      </c>
      <c r="AL1539" s="643"/>
      <c r="AM1539" s="638"/>
    </row>
    <row r="1540" spans="1:39" ht="15.75" x14ac:dyDescent="0.2">
      <c r="B1540" s="177"/>
      <c r="C1540" s="177"/>
      <c r="D1540" s="177">
        <v>363</v>
      </c>
      <c r="E1540" s="177"/>
      <c r="F1540" s="177"/>
      <c r="G1540" s="177"/>
      <c r="H1540" s="29" t="s">
        <v>536</v>
      </c>
      <c r="I1540" s="18">
        <f>I1541</f>
        <v>1623550</v>
      </c>
      <c r="J1540" s="18">
        <f>J1541</f>
        <v>323000</v>
      </c>
      <c r="K1540" s="18">
        <f t="shared" si="929"/>
        <v>19.89</v>
      </c>
      <c r="L1540" s="18">
        <f t="shared" si="930"/>
        <v>-26600</v>
      </c>
      <c r="M1540" s="18">
        <f>M1541</f>
        <v>1596950</v>
      </c>
      <c r="N1540" s="18">
        <f>N1541</f>
        <v>1561800</v>
      </c>
      <c r="O1540" s="18">
        <f>O1541</f>
        <v>28500</v>
      </c>
      <c r="P1540" s="26">
        <f t="shared" si="934"/>
        <v>0</v>
      </c>
      <c r="Q1540" s="18">
        <f t="shared" si="948"/>
        <v>1561800</v>
      </c>
      <c r="R1540" s="18">
        <f t="shared" si="948"/>
        <v>1598000</v>
      </c>
      <c r="S1540" s="18">
        <f t="shared" si="948"/>
        <v>1607000</v>
      </c>
      <c r="T1540" s="27">
        <f t="shared" si="948"/>
        <v>1561800</v>
      </c>
      <c r="U1540" s="27">
        <f t="shared" si="948"/>
        <v>1561800</v>
      </c>
      <c r="V1540" s="18">
        <f t="shared" si="948"/>
        <v>1414550</v>
      </c>
      <c r="W1540" s="18">
        <f t="shared" si="948"/>
        <v>1387000</v>
      </c>
      <c r="X1540" s="18">
        <f t="shared" si="948"/>
        <v>1411700</v>
      </c>
      <c r="Y1540" s="18">
        <f t="shared" si="948"/>
        <v>0</v>
      </c>
      <c r="Z1540" s="18">
        <f t="shared" si="937"/>
        <v>0</v>
      </c>
      <c r="AA1540" s="18">
        <f t="shared" si="944"/>
        <v>2850</v>
      </c>
      <c r="AB1540" s="18">
        <f t="shared" si="948"/>
        <v>1417400</v>
      </c>
      <c r="AC1540" s="18">
        <f t="shared" si="948"/>
        <v>347700</v>
      </c>
      <c r="AD1540" s="18">
        <f t="shared" si="928"/>
        <v>24.530831099195709</v>
      </c>
      <c r="AE1540" s="18">
        <f t="shared" si="940"/>
        <v>0</v>
      </c>
      <c r="AF1540" s="18">
        <f t="shared" si="948"/>
        <v>1417400</v>
      </c>
      <c r="AG1540" s="18">
        <f t="shared" si="948"/>
        <v>1417400</v>
      </c>
      <c r="AH1540" s="18">
        <f t="shared" si="948"/>
        <v>1417400</v>
      </c>
      <c r="AI1540" s="18">
        <f t="shared" si="948"/>
        <v>1417400</v>
      </c>
      <c r="AJ1540" s="162" t="b">
        <f t="shared" si="916"/>
        <v>1</v>
      </c>
      <c r="AK1540" s="162" t="str">
        <f t="shared" si="917"/>
        <v>PRAZNO</v>
      </c>
      <c r="AM1540" s="264"/>
    </row>
    <row r="1541" spans="1:39" ht="30" x14ac:dyDescent="0.2">
      <c r="B1541" s="177"/>
      <c r="C1541" s="177"/>
      <c r="D1541" s="177"/>
      <c r="E1541" s="177">
        <v>3631</v>
      </c>
      <c r="F1541" s="176">
        <v>54</v>
      </c>
      <c r="G1541" s="176"/>
      <c r="H1541" s="29" t="s">
        <v>361</v>
      </c>
      <c r="I1541" s="18">
        <v>1623550</v>
      </c>
      <c r="J1541" s="18">
        <v>323000</v>
      </c>
      <c r="K1541" s="18">
        <f t="shared" si="929"/>
        <v>19.89</v>
      </c>
      <c r="L1541" s="18">
        <f t="shared" si="930"/>
        <v>-26600</v>
      </c>
      <c r="M1541" s="18">
        <v>1596950</v>
      </c>
      <c r="N1541" s="18">
        <v>1561800</v>
      </c>
      <c r="O1541" s="18">
        <v>28500</v>
      </c>
      <c r="P1541" s="26">
        <f t="shared" si="934"/>
        <v>0</v>
      </c>
      <c r="Q1541" s="18">
        <v>1561800</v>
      </c>
      <c r="R1541" s="18">
        <v>1598000</v>
      </c>
      <c r="S1541" s="18">
        <v>1607000</v>
      </c>
      <c r="T1541" s="27">
        <v>1561800</v>
      </c>
      <c r="U1541" s="27">
        <v>1561800</v>
      </c>
      <c r="V1541" s="18">
        <v>1414550</v>
      </c>
      <c r="W1541" s="18">
        <v>1387000</v>
      </c>
      <c r="X1541" s="18">
        <v>1411700</v>
      </c>
      <c r="Y1541" s="18">
        <v>0</v>
      </c>
      <c r="Z1541" s="18">
        <f t="shared" si="937"/>
        <v>0</v>
      </c>
      <c r="AA1541" s="18">
        <f t="shared" si="944"/>
        <v>2850</v>
      </c>
      <c r="AB1541" s="18">
        <v>1417400</v>
      </c>
      <c r="AC1541" s="18">
        <v>347700</v>
      </c>
      <c r="AD1541" s="18">
        <f t="shared" si="928"/>
        <v>24.530831099195709</v>
      </c>
      <c r="AE1541" s="18">
        <f t="shared" si="940"/>
        <v>0</v>
      </c>
      <c r="AF1541" s="18">
        <v>1417400</v>
      </c>
      <c r="AG1541" s="18">
        <v>1417400</v>
      </c>
      <c r="AH1541" s="18">
        <v>1417400</v>
      </c>
      <c r="AI1541" s="18">
        <v>1417400</v>
      </c>
      <c r="AJ1541" s="162" t="b">
        <f t="shared" si="916"/>
        <v>0</v>
      </c>
      <c r="AK1541" s="162" t="str">
        <f t="shared" si="917"/>
        <v>PUNO</v>
      </c>
      <c r="AM1541" s="264"/>
    </row>
    <row r="1542" spans="1:39" s="264" customFormat="1" ht="31.5" x14ac:dyDescent="0.2">
      <c r="A1542" s="259"/>
      <c r="B1542" s="270"/>
      <c r="C1542" s="270"/>
      <c r="D1542" s="270"/>
      <c r="E1542" s="270"/>
      <c r="F1542" s="270"/>
      <c r="G1542" s="270"/>
      <c r="H1542" s="274" t="s">
        <v>724</v>
      </c>
      <c r="I1542" s="273" t="e">
        <f>I1543+I1604</f>
        <v>#REF!</v>
      </c>
      <c r="J1542" s="273" t="e">
        <f>J1543+J1604</f>
        <v>#REF!</v>
      </c>
      <c r="K1542" s="273" t="e">
        <f t="shared" si="929"/>
        <v>#REF!</v>
      </c>
      <c r="L1542" s="273" t="e">
        <f t="shared" si="930"/>
        <v>#REF!</v>
      </c>
      <c r="M1542" s="272" t="e">
        <f>M1543+M1604</f>
        <v>#REF!</v>
      </c>
      <c r="N1542" s="272" t="e">
        <f>N1543+N1604</f>
        <v>#REF!</v>
      </c>
      <c r="O1542" s="272" t="e">
        <f>O1543+O1604</f>
        <v>#REF!</v>
      </c>
      <c r="P1542" s="336" t="e">
        <f t="shared" si="934"/>
        <v>#REF!</v>
      </c>
      <c r="Q1542" s="272" t="e">
        <f>Q1543+Q1604</f>
        <v>#REF!</v>
      </c>
      <c r="R1542" s="272" t="e">
        <f>R1543+R1604</f>
        <v>#REF!</v>
      </c>
      <c r="S1542" s="272" t="e">
        <f>S1543+S1604</f>
        <v>#REF!</v>
      </c>
      <c r="T1542" s="272">
        <f>T1543+T1604</f>
        <v>6712000</v>
      </c>
      <c r="U1542" s="272">
        <f t="shared" ref="U1542:AA1542" si="949">U1543+U1604</f>
        <v>12806339.620000001</v>
      </c>
      <c r="V1542" s="272">
        <f t="shared" si="949"/>
        <v>12135000</v>
      </c>
      <c r="W1542" s="272" t="e">
        <f t="shared" si="949"/>
        <v>#REF!</v>
      </c>
      <c r="X1542" s="272" t="e">
        <f t="shared" si="949"/>
        <v>#REF!</v>
      </c>
      <c r="Y1542" s="272">
        <f t="shared" si="949"/>
        <v>4283177.09</v>
      </c>
      <c r="Z1542" s="272">
        <f t="shared" si="949"/>
        <v>249.46</v>
      </c>
      <c r="AA1542" s="272">
        <f t="shared" si="949"/>
        <v>0</v>
      </c>
      <c r="AB1542" s="272">
        <f>AB1543+AB1604</f>
        <v>12135000</v>
      </c>
      <c r="AC1542" s="272">
        <f>AC1543+AC1604</f>
        <v>8554038.3599999994</v>
      </c>
      <c r="AD1542" s="272">
        <f t="shared" si="928"/>
        <v>70.490633374536458</v>
      </c>
      <c r="AE1542" s="272">
        <f t="shared" si="940"/>
        <v>0</v>
      </c>
      <c r="AF1542" s="272">
        <f>AF1543+AF1604</f>
        <v>12135000</v>
      </c>
      <c r="AG1542" s="272">
        <f>AG1543+AG1604</f>
        <v>12135000</v>
      </c>
      <c r="AH1542" s="272">
        <f>AH1543+AH1604</f>
        <v>12135000</v>
      </c>
      <c r="AI1542" s="272">
        <f>AI1543+AI1604</f>
        <v>12135000</v>
      </c>
      <c r="AJ1542" s="162" t="b">
        <f t="shared" si="916"/>
        <v>1</v>
      </c>
      <c r="AK1542" s="162" t="str">
        <f t="shared" si="917"/>
        <v>PRAZNO</v>
      </c>
      <c r="AL1542" s="263"/>
    </row>
    <row r="1543" spans="1:39" s="264" customFormat="1" ht="15.75" x14ac:dyDescent="0.2">
      <c r="A1543" s="259"/>
      <c r="B1543" s="168"/>
      <c r="C1543" s="168"/>
      <c r="D1543" s="168"/>
      <c r="E1543" s="168"/>
      <c r="F1543" s="168"/>
      <c r="G1543" s="168"/>
      <c r="H1543" s="13" t="s">
        <v>1038</v>
      </c>
      <c r="I1543" s="169" t="e">
        <f>I1545</f>
        <v>#REF!</v>
      </c>
      <c r="J1543" s="169" t="e">
        <f>J1545</f>
        <v>#REF!</v>
      </c>
      <c r="K1543" s="169" t="e">
        <f t="shared" si="929"/>
        <v>#REF!</v>
      </c>
      <c r="L1543" s="169" t="e">
        <f t="shared" si="930"/>
        <v>#REF!</v>
      </c>
      <c r="M1543" s="19">
        <f>M1545</f>
        <v>6543211.46</v>
      </c>
      <c r="N1543" s="19">
        <f>N1545</f>
        <v>6549000</v>
      </c>
      <c r="O1543" s="19">
        <f>O1545</f>
        <v>3346983.6500000004</v>
      </c>
      <c r="P1543" s="303">
        <f t="shared" si="934"/>
        <v>0</v>
      </c>
      <c r="Q1543" s="19">
        <f>Q1545</f>
        <v>6549000</v>
      </c>
      <c r="R1543" s="19">
        <f>R1545</f>
        <v>6550000</v>
      </c>
      <c r="S1543" s="19">
        <f>S1545</f>
        <v>6550000</v>
      </c>
      <c r="T1543" s="53">
        <f>T1545</f>
        <v>6549000</v>
      </c>
      <c r="U1543" s="19">
        <f t="shared" ref="U1543:AA1543" si="950">U1545+U1589</f>
        <v>12623339.620000001</v>
      </c>
      <c r="V1543" s="19">
        <f t="shared" si="950"/>
        <v>11954000</v>
      </c>
      <c r="W1543" s="19">
        <f t="shared" si="950"/>
        <v>11868000</v>
      </c>
      <c r="X1543" s="19">
        <f t="shared" si="950"/>
        <v>12297000</v>
      </c>
      <c r="Y1543" s="19">
        <f t="shared" si="950"/>
        <v>4268951.0199999996</v>
      </c>
      <c r="Z1543" s="19">
        <f t="shared" si="950"/>
        <v>241.6</v>
      </c>
      <c r="AA1543" s="19">
        <f t="shared" si="950"/>
        <v>0</v>
      </c>
      <c r="AB1543" s="19">
        <f>AB1545+AB1589</f>
        <v>11954000</v>
      </c>
      <c r="AC1543" s="19">
        <f>AC1545+AC1589</f>
        <v>8500471.8399999999</v>
      </c>
      <c r="AD1543" s="19">
        <f t="shared" si="928"/>
        <v>71.109853103563665</v>
      </c>
      <c r="AE1543" s="19">
        <f t="shared" si="940"/>
        <v>0</v>
      </c>
      <c r="AF1543" s="19">
        <f>AF1545+AF1589</f>
        <v>11954000</v>
      </c>
      <c r="AG1543" s="19">
        <f>AG1545+AG1589</f>
        <v>11954000</v>
      </c>
      <c r="AH1543" s="19">
        <f>AH1545+AH1589</f>
        <v>11954000</v>
      </c>
      <c r="AI1543" s="19">
        <f>AI1545+AI1589</f>
        <v>11954000</v>
      </c>
      <c r="AJ1543" s="162" t="b">
        <f t="shared" si="916"/>
        <v>1</v>
      </c>
      <c r="AK1543" s="162" t="str">
        <f t="shared" si="917"/>
        <v>PRAZNO</v>
      </c>
      <c r="AL1543" s="263"/>
    </row>
    <row r="1544" spans="1:39" s="264" customFormat="1" ht="15.75" x14ac:dyDescent="0.2">
      <c r="A1544" s="259"/>
      <c r="B1544" s="260"/>
      <c r="C1544" s="260"/>
      <c r="D1544" s="260"/>
      <c r="E1544" s="260"/>
      <c r="F1544" s="260"/>
      <c r="G1544" s="260"/>
      <c r="H1544" s="440" t="s">
        <v>827</v>
      </c>
      <c r="I1544" s="181"/>
      <c r="J1544" s="181"/>
      <c r="K1544" s="181"/>
      <c r="L1544" s="181"/>
      <c r="M1544" s="262"/>
      <c r="N1544" s="262"/>
      <c r="O1544" s="262"/>
      <c r="P1544" s="445"/>
      <c r="Q1544" s="262"/>
      <c r="R1544" s="262"/>
      <c r="S1544" s="262"/>
      <c r="T1544" s="342"/>
      <c r="U1544" s="262">
        <f t="shared" ref="U1544:AA1544" si="951">U1545</f>
        <v>6477707.6299999999</v>
      </c>
      <c r="V1544" s="262">
        <f t="shared" si="951"/>
        <v>6550000</v>
      </c>
      <c r="W1544" s="262">
        <f t="shared" si="951"/>
        <v>6550000</v>
      </c>
      <c r="X1544" s="262">
        <f t="shared" si="951"/>
        <v>6550000</v>
      </c>
      <c r="Y1544" s="262">
        <f t="shared" si="951"/>
        <v>2164051.02</v>
      </c>
      <c r="Z1544" s="262">
        <f t="shared" si="951"/>
        <v>33.04</v>
      </c>
      <c r="AA1544" s="262">
        <f t="shared" si="951"/>
        <v>50000</v>
      </c>
      <c r="AB1544" s="262">
        <f>AB1545</f>
        <v>6600000</v>
      </c>
      <c r="AC1544" s="262">
        <f>AC1545</f>
        <v>4545747.2300000004</v>
      </c>
      <c r="AD1544" s="262">
        <f t="shared" si="928"/>
        <v>68.874958030303034</v>
      </c>
      <c r="AE1544" s="262">
        <f t="shared" si="940"/>
        <v>0</v>
      </c>
      <c r="AF1544" s="262">
        <f>AF1545</f>
        <v>6600000</v>
      </c>
      <c r="AG1544" s="262">
        <f>AG1545</f>
        <v>6600000</v>
      </c>
      <c r="AH1544" s="262">
        <f>AH1545</f>
        <v>6600000</v>
      </c>
      <c r="AI1544" s="262">
        <f>AI1545</f>
        <v>6600000</v>
      </c>
      <c r="AJ1544" s="162" t="b">
        <f t="shared" si="916"/>
        <v>1</v>
      </c>
      <c r="AK1544" s="162" t="str">
        <f t="shared" si="917"/>
        <v>PRAZNO</v>
      </c>
      <c r="AL1544" s="263"/>
    </row>
    <row r="1545" spans="1:39" s="264" customFormat="1" ht="15.75" x14ac:dyDescent="0.2">
      <c r="A1545" s="259"/>
      <c r="B1545" s="172">
        <v>3</v>
      </c>
      <c r="C1545" s="172"/>
      <c r="D1545" s="172"/>
      <c r="E1545" s="172"/>
      <c r="F1545" s="172"/>
      <c r="G1545" s="172"/>
      <c r="H1545" s="14" t="s">
        <v>524</v>
      </c>
      <c r="I1545" s="20" t="e">
        <f>I1546+I1555+I1585+#REF!</f>
        <v>#REF!</v>
      </c>
      <c r="J1545" s="20" t="e">
        <f>J1546+J1555+J1585+#REF!</f>
        <v>#REF!</v>
      </c>
      <c r="K1545" s="20" t="e">
        <f t="shared" si="929"/>
        <v>#REF!</v>
      </c>
      <c r="L1545" s="20" t="e">
        <f t="shared" si="930"/>
        <v>#REF!</v>
      </c>
      <c r="M1545" s="20">
        <f>M1546+M1555+M1585</f>
        <v>6543211.46</v>
      </c>
      <c r="N1545" s="20">
        <f>N1546+N1555+N1585</f>
        <v>6549000</v>
      </c>
      <c r="O1545" s="20">
        <f>O1546+O1555+O1585</f>
        <v>3346983.6500000004</v>
      </c>
      <c r="P1545" s="55">
        <f t="shared" si="934"/>
        <v>0</v>
      </c>
      <c r="Q1545" s="20">
        <f t="shared" ref="Q1545:Y1545" si="952">Q1546+Q1555+Q1585</f>
        <v>6549000</v>
      </c>
      <c r="R1545" s="20">
        <f t="shared" si="952"/>
        <v>6550000</v>
      </c>
      <c r="S1545" s="20">
        <f t="shared" si="952"/>
        <v>6550000</v>
      </c>
      <c r="T1545" s="55">
        <f t="shared" si="952"/>
        <v>6549000</v>
      </c>
      <c r="U1545" s="55">
        <f>U1546+U1555+U1585</f>
        <v>6477707.6299999999</v>
      </c>
      <c r="V1545" s="20">
        <f t="shared" si="952"/>
        <v>6550000</v>
      </c>
      <c r="W1545" s="20">
        <f t="shared" si="952"/>
        <v>6550000</v>
      </c>
      <c r="X1545" s="20">
        <f t="shared" si="952"/>
        <v>6550000</v>
      </c>
      <c r="Y1545" s="20">
        <f t="shared" si="952"/>
        <v>2164051.02</v>
      </c>
      <c r="Z1545" s="20">
        <f t="shared" si="937"/>
        <v>33.04</v>
      </c>
      <c r="AA1545" s="20">
        <f t="shared" si="944"/>
        <v>50000</v>
      </c>
      <c r="AB1545" s="20">
        <f>AB1546+AB1555+AB1585</f>
        <v>6600000</v>
      </c>
      <c r="AC1545" s="20">
        <f>AC1546+AC1555+AC1585</f>
        <v>4545747.2300000004</v>
      </c>
      <c r="AD1545" s="20">
        <f t="shared" si="928"/>
        <v>68.874958030303034</v>
      </c>
      <c r="AE1545" s="20">
        <f t="shared" si="940"/>
        <v>0</v>
      </c>
      <c r="AF1545" s="20">
        <f>AF1546+AF1555+AF1585</f>
        <v>6600000</v>
      </c>
      <c r="AG1545" s="20">
        <f>AG1546+AG1555+AG1585</f>
        <v>6600000</v>
      </c>
      <c r="AH1545" s="20">
        <f>AH1546+AH1555+AH1585</f>
        <v>6600000</v>
      </c>
      <c r="AI1545" s="20">
        <f>AI1546+AI1555+AI1585</f>
        <v>6600000</v>
      </c>
      <c r="AJ1545" s="162" t="b">
        <f t="shared" ref="AJ1545:AJ1608" si="953">ISBLANK(E1545)</f>
        <v>1</v>
      </c>
      <c r="AK1545" s="162" t="str">
        <f t="shared" ref="AK1545:AK1608" si="954">IF(AJ1545,"PRAZNO","PUNO")</f>
        <v>PRAZNO</v>
      </c>
      <c r="AL1545" s="263"/>
    </row>
    <row r="1546" spans="1:39" ht="15.75" x14ac:dyDescent="0.2">
      <c r="B1546" s="175"/>
      <c r="C1546" s="175">
        <v>31</v>
      </c>
      <c r="D1546" s="175"/>
      <c r="E1546" s="175"/>
      <c r="F1546" s="175"/>
      <c r="G1546" s="175"/>
      <c r="H1546" s="15" t="s">
        <v>197</v>
      </c>
      <c r="I1546" s="22">
        <f>I1547+I1552+I1550</f>
        <v>976000</v>
      </c>
      <c r="J1546" s="22">
        <f>J1547+J1552+J1550</f>
        <v>674149.85</v>
      </c>
      <c r="K1546" s="22">
        <f t="shared" si="929"/>
        <v>69.069999999999993</v>
      </c>
      <c r="L1546" s="22">
        <f t="shared" si="930"/>
        <v>22553.850000000093</v>
      </c>
      <c r="M1546" s="22">
        <f>M1547+M1552+M1550</f>
        <v>998553.85000000009</v>
      </c>
      <c r="N1546" s="22">
        <f>N1547+N1552+N1550</f>
        <v>849000</v>
      </c>
      <c r="O1546" s="22">
        <f>O1547+O1552+O1550</f>
        <v>642055.16</v>
      </c>
      <c r="P1546" s="26">
        <f t="shared" si="934"/>
        <v>460000</v>
      </c>
      <c r="Q1546" s="22">
        <f t="shared" ref="Q1546:Y1546" si="955">Q1547+Q1552+Q1550</f>
        <v>849000</v>
      </c>
      <c r="R1546" s="22">
        <f t="shared" si="955"/>
        <v>854000</v>
      </c>
      <c r="S1546" s="22">
        <f t="shared" si="955"/>
        <v>760000</v>
      </c>
      <c r="T1546" s="38">
        <f t="shared" si="955"/>
        <v>1309000</v>
      </c>
      <c r="U1546" s="38">
        <f>U1547+U1552+U1550</f>
        <v>1236658.06</v>
      </c>
      <c r="V1546" s="22">
        <f t="shared" si="955"/>
        <v>1531000</v>
      </c>
      <c r="W1546" s="22">
        <f t="shared" si="955"/>
        <v>1644000</v>
      </c>
      <c r="X1546" s="22">
        <f t="shared" si="955"/>
        <v>1928000</v>
      </c>
      <c r="Y1546" s="22">
        <f t="shared" si="955"/>
        <v>443227.93</v>
      </c>
      <c r="Z1546" s="22">
        <f t="shared" si="937"/>
        <v>28.95</v>
      </c>
      <c r="AA1546" s="22">
        <f t="shared" si="944"/>
        <v>50000</v>
      </c>
      <c r="AB1546" s="22">
        <f>AB1547+AB1552+AB1550</f>
        <v>1581000</v>
      </c>
      <c r="AC1546" s="22">
        <f>AC1547+AC1552+AC1550</f>
        <v>1083699.4700000002</v>
      </c>
      <c r="AD1546" s="22">
        <f t="shared" si="928"/>
        <v>68.545191018342834</v>
      </c>
      <c r="AE1546" s="22">
        <f t="shared" si="940"/>
        <v>-29000</v>
      </c>
      <c r="AF1546" s="22">
        <f>AF1547+AF1552+AF1550</f>
        <v>1552000</v>
      </c>
      <c r="AG1546" s="22">
        <f>AG1547+AG1552+AG1550</f>
        <v>1552000</v>
      </c>
      <c r="AH1546" s="22">
        <f>AH1547+AH1552+AH1550</f>
        <v>1552000</v>
      </c>
      <c r="AI1546" s="22">
        <f>AI1547+AI1552+AI1550</f>
        <v>1552000</v>
      </c>
      <c r="AJ1546" s="162" t="b">
        <f t="shared" si="953"/>
        <v>1</v>
      </c>
      <c r="AK1546" s="162" t="str">
        <f t="shared" si="954"/>
        <v>PRAZNO</v>
      </c>
      <c r="AM1546" s="264"/>
    </row>
    <row r="1547" spans="1:39" ht="15.75" x14ac:dyDescent="0.2">
      <c r="B1547" s="177"/>
      <c r="C1547" s="177"/>
      <c r="D1547" s="177">
        <v>311</v>
      </c>
      <c r="E1547" s="177"/>
      <c r="F1547" s="177"/>
      <c r="G1547" s="177"/>
      <c r="H1547" s="16" t="s">
        <v>915</v>
      </c>
      <c r="I1547" s="17">
        <f>SUM(I1548:I1549)</f>
        <v>530000</v>
      </c>
      <c r="J1547" s="17">
        <f>SUM(J1548:J1549)</f>
        <v>441221.97</v>
      </c>
      <c r="K1547" s="17">
        <f t="shared" si="929"/>
        <v>83.25</v>
      </c>
      <c r="L1547" s="17">
        <f t="shared" si="930"/>
        <v>32765.260000000009</v>
      </c>
      <c r="M1547" s="17">
        <f>SUM(M1548:M1549)</f>
        <v>562765.26</v>
      </c>
      <c r="N1547" s="17">
        <f>SUM(N1548:N1549)</f>
        <v>396000</v>
      </c>
      <c r="O1547" s="17">
        <f>SUM(O1548:O1549)</f>
        <v>382985.14</v>
      </c>
      <c r="P1547" s="26">
        <f t="shared" si="934"/>
        <v>392000</v>
      </c>
      <c r="Q1547" s="17">
        <f t="shared" ref="Q1547:Y1547" si="956">SUM(Q1548:Q1549)</f>
        <v>396000</v>
      </c>
      <c r="R1547" s="17">
        <f t="shared" si="956"/>
        <v>398000</v>
      </c>
      <c r="S1547" s="17">
        <f t="shared" si="956"/>
        <v>301000</v>
      </c>
      <c r="T1547" s="26">
        <f t="shared" si="956"/>
        <v>788000</v>
      </c>
      <c r="U1547" s="26">
        <f>SUM(U1548:U1549)</f>
        <v>823000</v>
      </c>
      <c r="V1547" s="17">
        <f t="shared" si="956"/>
        <v>1139000</v>
      </c>
      <c r="W1547" s="17">
        <f t="shared" si="956"/>
        <v>1139000</v>
      </c>
      <c r="X1547" s="17">
        <f t="shared" si="956"/>
        <v>1165000</v>
      </c>
      <c r="Y1547" s="17">
        <f t="shared" si="956"/>
        <v>343391.49</v>
      </c>
      <c r="Z1547" s="17">
        <f t="shared" si="937"/>
        <v>30.15</v>
      </c>
      <c r="AA1547" s="17">
        <f t="shared" si="944"/>
        <v>83400</v>
      </c>
      <c r="AB1547" s="17">
        <f>SUM(AB1548:AB1549)</f>
        <v>1222400</v>
      </c>
      <c r="AC1547" s="17">
        <f>SUM(AC1548:AC1549)</f>
        <v>870183.99</v>
      </c>
      <c r="AD1547" s="17">
        <f t="shared" si="928"/>
        <v>71.186517506544504</v>
      </c>
      <c r="AE1547" s="17">
        <f t="shared" si="940"/>
        <v>-8000</v>
      </c>
      <c r="AF1547" s="17">
        <f>SUM(AF1548:AF1549)</f>
        <v>1214400</v>
      </c>
      <c r="AG1547" s="17">
        <f>SUM(AG1548:AG1549)</f>
        <v>1214400</v>
      </c>
      <c r="AH1547" s="17">
        <f>SUM(AH1548:AH1549)</f>
        <v>1214400</v>
      </c>
      <c r="AI1547" s="17">
        <f>SUM(AI1548:AI1549)</f>
        <v>1214400</v>
      </c>
      <c r="AJ1547" s="162" t="b">
        <f t="shared" si="953"/>
        <v>1</v>
      </c>
      <c r="AK1547" s="162" t="str">
        <f t="shared" si="954"/>
        <v>PRAZNO</v>
      </c>
      <c r="AM1547" s="264"/>
    </row>
    <row r="1548" spans="1:39" s="264" customFormat="1" ht="15.75" x14ac:dyDescent="0.2">
      <c r="A1548" s="259"/>
      <c r="B1548" s="177"/>
      <c r="C1548" s="177"/>
      <c r="D1548" s="177"/>
      <c r="E1548" s="177">
        <v>3111</v>
      </c>
      <c r="F1548" s="265">
        <v>42</v>
      </c>
      <c r="G1548" s="265"/>
      <c r="H1548" s="16" t="s">
        <v>199</v>
      </c>
      <c r="I1548" s="178">
        <v>370000</v>
      </c>
      <c r="J1548" s="178">
        <v>271984.86</v>
      </c>
      <c r="K1548" s="178">
        <f t="shared" si="929"/>
        <v>73.510000000000005</v>
      </c>
      <c r="L1548" s="178">
        <f t="shared" si="930"/>
        <v>-26103.049999999988</v>
      </c>
      <c r="M1548" s="178">
        <v>343896.95</v>
      </c>
      <c r="N1548" s="178">
        <v>235000</v>
      </c>
      <c r="O1548" s="178">
        <v>199887.68</v>
      </c>
      <c r="P1548" s="307">
        <f t="shared" si="934"/>
        <v>222000</v>
      </c>
      <c r="Q1548" s="178">
        <v>235000</v>
      </c>
      <c r="R1548" s="178">
        <v>236000</v>
      </c>
      <c r="S1548" s="178">
        <v>138000</v>
      </c>
      <c r="T1548" s="266">
        <v>457000</v>
      </c>
      <c r="U1548" s="266">
        <v>492000</v>
      </c>
      <c r="V1548" s="178">
        <v>744000</v>
      </c>
      <c r="W1548" s="178">
        <v>744000</v>
      </c>
      <c r="X1548" s="178">
        <v>755000</v>
      </c>
      <c r="Y1548" s="178">
        <v>195782.54</v>
      </c>
      <c r="Z1548" s="178">
        <f t="shared" si="937"/>
        <v>26.31</v>
      </c>
      <c r="AA1548" s="178">
        <f t="shared" si="944"/>
        <v>50000</v>
      </c>
      <c r="AB1548" s="178">
        <v>794000</v>
      </c>
      <c r="AC1548" s="178">
        <v>542935.13</v>
      </c>
      <c r="AD1548" s="178">
        <f t="shared" si="928"/>
        <v>68.379739294710333</v>
      </c>
      <c r="AE1548" s="178">
        <f t="shared" si="940"/>
        <v>-8000</v>
      </c>
      <c r="AF1548" s="178">
        <v>786000</v>
      </c>
      <c r="AG1548" s="178">
        <v>786000</v>
      </c>
      <c r="AH1548" s="178">
        <v>786000</v>
      </c>
      <c r="AI1548" s="178">
        <v>786000</v>
      </c>
      <c r="AJ1548" s="162" t="b">
        <f t="shared" si="953"/>
        <v>0</v>
      </c>
      <c r="AK1548" s="162" t="str">
        <f t="shared" si="954"/>
        <v>PUNO</v>
      </c>
      <c r="AL1548" s="263"/>
    </row>
    <row r="1549" spans="1:39" ht="15.75" x14ac:dyDescent="0.2">
      <c r="B1549" s="177"/>
      <c r="C1549" s="177"/>
      <c r="D1549" s="177"/>
      <c r="E1549" s="177">
        <v>3114</v>
      </c>
      <c r="F1549" s="176">
        <v>42</v>
      </c>
      <c r="G1549" s="176"/>
      <c r="H1549" s="16" t="s">
        <v>643</v>
      </c>
      <c r="I1549" s="178">
        <v>160000</v>
      </c>
      <c r="J1549" s="178">
        <v>169237.11</v>
      </c>
      <c r="K1549" s="178">
        <f t="shared" si="929"/>
        <v>105.77</v>
      </c>
      <c r="L1549" s="178">
        <f t="shared" si="930"/>
        <v>58868.31</v>
      </c>
      <c r="M1549" s="178">
        <v>218868.31</v>
      </c>
      <c r="N1549" s="178">
        <v>161000</v>
      </c>
      <c r="O1549" s="178">
        <v>183097.46</v>
      </c>
      <c r="P1549" s="26">
        <f t="shared" si="934"/>
        <v>170000</v>
      </c>
      <c r="Q1549" s="178">
        <v>161000</v>
      </c>
      <c r="R1549" s="178">
        <v>162000</v>
      </c>
      <c r="S1549" s="178">
        <v>163000</v>
      </c>
      <c r="T1549" s="266">
        <v>331000</v>
      </c>
      <c r="U1549" s="266">
        <v>331000</v>
      </c>
      <c r="V1549" s="178">
        <v>395000</v>
      </c>
      <c r="W1549" s="178">
        <v>395000</v>
      </c>
      <c r="X1549" s="178">
        <v>410000</v>
      </c>
      <c r="Y1549" s="178">
        <v>147608.95000000001</v>
      </c>
      <c r="Z1549" s="178">
        <f t="shared" si="937"/>
        <v>37.369999999999997</v>
      </c>
      <c r="AA1549" s="178">
        <f t="shared" si="944"/>
        <v>33400</v>
      </c>
      <c r="AB1549" s="178">
        <v>428400</v>
      </c>
      <c r="AC1549" s="178">
        <v>327248.86</v>
      </c>
      <c r="AD1549" s="178">
        <f t="shared" si="928"/>
        <v>76.388622782446319</v>
      </c>
      <c r="AE1549" s="178">
        <f t="shared" si="940"/>
        <v>0</v>
      </c>
      <c r="AF1549" s="178">
        <v>428400</v>
      </c>
      <c r="AG1549" s="178">
        <v>428400</v>
      </c>
      <c r="AH1549" s="178">
        <v>428400</v>
      </c>
      <c r="AI1549" s="178">
        <v>428400</v>
      </c>
      <c r="AJ1549" s="162" t="b">
        <f t="shared" si="953"/>
        <v>0</v>
      </c>
      <c r="AK1549" s="162" t="str">
        <f t="shared" si="954"/>
        <v>PUNO</v>
      </c>
      <c r="AM1549" s="264"/>
    </row>
    <row r="1550" spans="1:39" ht="15.75" x14ac:dyDescent="0.2">
      <c r="B1550" s="177"/>
      <c r="C1550" s="177"/>
      <c r="D1550" s="177">
        <v>312</v>
      </c>
      <c r="E1550" s="177"/>
      <c r="F1550" s="176"/>
      <c r="G1550" s="176"/>
      <c r="H1550" s="16" t="s">
        <v>200</v>
      </c>
      <c r="I1550" s="17">
        <f>I1551</f>
        <v>376000</v>
      </c>
      <c r="J1550" s="17">
        <f>J1551</f>
        <v>157938.23000000001</v>
      </c>
      <c r="K1550" s="17">
        <f t="shared" si="929"/>
        <v>42</v>
      </c>
      <c r="L1550" s="17">
        <f t="shared" si="930"/>
        <v>-36809.06</v>
      </c>
      <c r="M1550" s="17">
        <f>M1551</f>
        <v>339190.94</v>
      </c>
      <c r="N1550" s="17">
        <f>N1551</f>
        <v>384000</v>
      </c>
      <c r="O1550" s="17">
        <f>O1551</f>
        <v>209465.27</v>
      </c>
      <c r="P1550" s="26">
        <f t="shared" si="934"/>
        <v>28000</v>
      </c>
      <c r="Q1550" s="17">
        <f t="shared" ref="Q1550:AI1550" si="957">Q1551</f>
        <v>384000</v>
      </c>
      <c r="R1550" s="17">
        <f t="shared" si="957"/>
        <v>386000</v>
      </c>
      <c r="S1550" s="17">
        <f t="shared" si="957"/>
        <v>388000</v>
      </c>
      <c r="T1550" s="26">
        <f>T1551</f>
        <v>412000</v>
      </c>
      <c r="U1550" s="26">
        <f>U1551</f>
        <v>300557.45</v>
      </c>
      <c r="V1550" s="17">
        <f t="shared" si="957"/>
        <v>137000</v>
      </c>
      <c r="W1550" s="17">
        <f t="shared" si="957"/>
        <v>150000</v>
      </c>
      <c r="X1550" s="17">
        <f t="shared" si="957"/>
        <v>400000</v>
      </c>
      <c r="Y1550" s="17">
        <f t="shared" si="957"/>
        <v>22240.94</v>
      </c>
      <c r="Z1550" s="17">
        <f t="shared" si="937"/>
        <v>16.23</v>
      </c>
      <c r="AA1550" s="17">
        <f t="shared" si="944"/>
        <v>-33400</v>
      </c>
      <c r="AB1550" s="17">
        <f t="shared" si="957"/>
        <v>103600</v>
      </c>
      <c r="AC1550" s="17">
        <f t="shared" si="957"/>
        <v>30399.87</v>
      </c>
      <c r="AD1550" s="17">
        <f t="shared" si="928"/>
        <v>29.34350386100386</v>
      </c>
      <c r="AE1550" s="17">
        <f t="shared" si="940"/>
        <v>-20000</v>
      </c>
      <c r="AF1550" s="17">
        <f t="shared" si="957"/>
        <v>83600</v>
      </c>
      <c r="AG1550" s="17">
        <f t="shared" si="957"/>
        <v>83600</v>
      </c>
      <c r="AH1550" s="17">
        <f t="shared" si="957"/>
        <v>83600</v>
      </c>
      <c r="AI1550" s="17">
        <f t="shared" si="957"/>
        <v>83600</v>
      </c>
      <c r="AJ1550" s="162" t="b">
        <f t="shared" si="953"/>
        <v>1</v>
      </c>
      <c r="AK1550" s="162" t="str">
        <f t="shared" si="954"/>
        <v>PRAZNO</v>
      </c>
      <c r="AM1550" s="264"/>
    </row>
    <row r="1551" spans="1:39" ht="15.75" x14ac:dyDescent="0.2">
      <c r="B1551" s="177"/>
      <c r="C1551" s="177"/>
      <c r="D1551" s="177"/>
      <c r="E1551" s="177">
        <v>3121</v>
      </c>
      <c r="F1551" s="176">
        <v>42</v>
      </c>
      <c r="G1551" s="176"/>
      <c r="H1551" s="16" t="s">
        <v>200</v>
      </c>
      <c r="I1551" s="18">
        <v>376000</v>
      </c>
      <c r="J1551" s="18">
        <v>157938.23000000001</v>
      </c>
      <c r="K1551" s="18">
        <f t="shared" si="929"/>
        <v>42</v>
      </c>
      <c r="L1551" s="18">
        <f t="shared" si="930"/>
        <v>-36809.06</v>
      </c>
      <c r="M1551" s="18">
        <v>339190.94</v>
      </c>
      <c r="N1551" s="18">
        <v>384000</v>
      </c>
      <c r="O1551" s="18">
        <v>209465.27</v>
      </c>
      <c r="P1551" s="26">
        <f t="shared" si="934"/>
        <v>28000</v>
      </c>
      <c r="Q1551" s="18">
        <v>384000</v>
      </c>
      <c r="R1551" s="18">
        <v>386000</v>
      </c>
      <c r="S1551" s="18">
        <v>388000</v>
      </c>
      <c r="T1551" s="27">
        <v>412000</v>
      </c>
      <c r="U1551" s="27">
        <v>300557.45</v>
      </c>
      <c r="V1551" s="18">
        <v>137000</v>
      </c>
      <c r="W1551" s="18">
        <v>150000</v>
      </c>
      <c r="X1551" s="18">
        <v>400000</v>
      </c>
      <c r="Y1551" s="18">
        <v>22240.94</v>
      </c>
      <c r="Z1551" s="18">
        <f t="shared" si="937"/>
        <v>16.23</v>
      </c>
      <c r="AA1551" s="18">
        <f t="shared" si="944"/>
        <v>-33400</v>
      </c>
      <c r="AB1551" s="18">
        <v>103600</v>
      </c>
      <c r="AC1551" s="18">
        <v>30399.87</v>
      </c>
      <c r="AD1551" s="18">
        <f t="shared" si="928"/>
        <v>29.34350386100386</v>
      </c>
      <c r="AE1551" s="18">
        <f t="shared" si="940"/>
        <v>-20000</v>
      </c>
      <c r="AF1551" s="18">
        <v>83600</v>
      </c>
      <c r="AG1551" s="18">
        <v>83600</v>
      </c>
      <c r="AH1551" s="18">
        <v>83600</v>
      </c>
      <c r="AI1551" s="18">
        <v>83600</v>
      </c>
      <c r="AJ1551" s="162" t="b">
        <f t="shared" si="953"/>
        <v>0</v>
      </c>
      <c r="AK1551" s="162" t="str">
        <f t="shared" si="954"/>
        <v>PUNO</v>
      </c>
      <c r="AM1551" s="264"/>
    </row>
    <row r="1552" spans="1:39" ht="15.75" x14ac:dyDescent="0.2">
      <c r="B1552" s="177"/>
      <c r="C1552" s="177"/>
      <c r="D1552" s="177">
        <v>313</v>
      </c>
      <c r="E1552" s="177"/>
      <c r="F1552" s="177"/>
      <c r="G1552" s="177"/>
      <c r="H1552" s="16" t="s">
        <v>201</v>
      </c>
      <c r="I1552" s="17">
        <f>SUM(I1553:I1554)</f>
        <v>70000</v>
      </c>
      <c r="J1552" s="17">
        <f>SUM(J1553:J1554)</f>
        <v>74989.649999999994</v>
      </c>
      <c r="K1552" s="17">
        <f t="shared" si="929"/>
        <v>107.13</v>
      </c>
      <c r="L1552" s="17">
        <f t="shared" si="930"/>
        <v>26597.650000000009</v>
      </c>
      <c r="M1552" s="17">
        <f>SUM(M1553:M1554)</f>
        <v>96597.650000000009</v>
      </c>
      <c r="N1552" s="17">
        <f>SUM(N1553:N1554)</f>
        <v>69000</v>
      </c>
      <c r="O1552" s="17">
        <f>SUM(O1553:O1554)</f>
        <v>49604.75</v>
      </c>
      <c r="P1552" s="26">
        <f t="shared" si="934"/>
        <v>40000</v>
      </c>
      <c r="Q1552" s="17">
        <f t="shared" ref="Q1552:Y1552" si="958">SUM(Q1553:Q1554)</f>
        <v>69000</v>
      </c>
      <c r="R1552" s="17">
        <f t="shared" si="958"/>
        <v>70000</v>
      </c>
      <c r="S1552" s="17">
        <f t="shared" si="958"/>
        <v>71000</v>
      </c>
      <c r="T1552" s="26">
        <f t="shared" si="958"/>
        <v>109000</v>
      </c>
      <c r="U1552" s="26">
        <f>SUM(U1553:U1554)</f>
        <v>113100.61</v>
      </c>
      <c r="V1552" s="17">
        <f t="shared" si="958"/>
        <v>255000</v>
      </c>
      <c r="W1552" s="17">
        <f t="shared" si="958"/>
        <v>355000</v>
      </c>
      <c r="X1552" s="17">
        <f t="shared" si="958"/>
        <v>363000</v>
      </c>
      <c r="Y1552" s="17">
        <f t="shared" si="958"/>
        <v>77595.5</v>
      </c>
      <c r="Z1552" s="17">
        <f t="shared" si="937"/>
        <v>30.43</v>
      </c>
      <c r="AA1552" s="17">
        <f t="shared" si="944"/>
        <v>0</v>
      </c>
      <c r="AB1552" s="17">
        <f>SUM(AB1553:AB1554)</f>
        <v>255000</v>
      </c>
      <c r="AC1552" s="17">
        <f>SUM(AC1553:AC1554)</f>
        <v>183115.61000000002</v>
      </c>
      <c r="AD1552" s="17">
        <f t="shared" si="928"/>
        <v>71.810043137254908</v>
      </c>
      <c r="AE1552" s="17">
        <f t="shared" si="940"/>
        <v>-1000</v>
      </c>
      <c r="AF1552" s="17">
        <f>SUM(AF1553:AF1554)</f>
        <v>254000</v>
      </c>
      <c r="AG1552" s="17">
        <f>SUM(AG1553:AG1554)</f>
        <v>254000</v>
      </c>
      <c r="AH1552" s="17">
        <f>SUM(AH1553:AH1554)</f>
        <v>254000</v>
      </c>
      <c r="AI1552" s="17">
        <f>SUM(AI1553:AI1554)</f>
        <v>254000</v>
      </c>
      <c r="AJ1552" s="162" t="b">
        <f t="shared" si="953"/>
        <v>1</v>
      </c>
      <c r="AK1552" s="162" t="str">
        <f t="shared" si="954"/>
        <v>PRAZNO</v>
      </c>
      <c r="AM1552" s="264"/>
    </row>
    <row r="1553" spans="2:39" ht="15.75" x14ac:dyDescent="0.2">
      <c r="B1553" s="177"/>
      <c r="C1553" s="177"/>
      <c r="D1553" s="177"/>
      <c r="E1553" s="177">
        <v>3132</v>
      </c>
      <c r="F1553" s="176">
        <v>42</v>
      </c>
      <c r="G1553" s="176"/>
      <c r="H1553" s="16" t="s">
        <v>202</v>
      </c>
      <c r="I1553" s="178">
        <v>62000</v>
      </c>
      <c r="J1553" s="178">
        <v>67147.11</v>
      </c>
      <c r="K1553" s="178">
        <f t="shared" si="929"/>
        <v>108.3</v>
      </c>
      <c r="L1553" s="178">
        <f t="shared" si="930"/>
        <v>25171.320000000007</v>
      </c>
      <c r="M1553" s="178">
        <v>87171.32</v>
      </c>
      <c r="N1553" s="178">
        <v>35000</v>
      </c>
      <c r="O1553" s="178">
        <v>38198.53</v>
      </c>
      <c r="P1553" s="26">
        <f t="shared" si="934"/>
        <v>40000</v>
      </c>
      <c r="Q1553" s="178">
        <v>35000</v>
      </c>
      <c r="R1553" s="178">
        <v>62000</v>
      </c>
      <c r="S1553" s="178">
        <v>63000</v>
      </c>
      <c r="T1553" s="266">
        <v>75000</v>
      </c>
      <c r="U1553" s="266">
        <v>78000</v>
      </c>
      <c r="V1553" s="178">
        <v>237000</v>
      </c>
      <c r="W1553" s="178">
        <v>337000</v>
      </c>
      <c r="X1553" s="178">
        <v>344000</v>
      </c>
      <c r="Y1553" s="178">
        <v>74054.86</v>
      </c>
      <c r="Z1553" s="178">
        <f t="shared" si="937"/>
        <v>31.25</v>
      </c>
      <c r="AA1553" s="178">
        <f t="shared" si="944"/>
        <v>0</v>
      </c>
      <c r="AB1553" s="178">
        <v>237000</v>
      </c>
      <c r="AC1553" s="178">
        <v>173263.79</v>
      </c>
      <c r="AD1553" s="178">
        <f t="shared" si="928"/>
        <v>73.107084388185655</v>
      </c>
      <c r="AE1553" s="178">
        <f t="shared" si="940"/>
        <v>0</v>
      </c>
      <c r="AF1553" s="178">
        <v>237000</v>
      </c>
      <c r="AG1553" s="178">
        <v>237000</v>
      </c>
      <c r="AH1553" s="178">
        <v>237000</v>
      </c>
      <c r="AI1553" s="178">
        <v>237000</v>
      </c>
      <c r="AJ1553" s="162" t="b">
        <f t="shared" si="953"/>
        <v>0</v>
      </c>
      <c r="AK1553" s="162" t="str">
        <f t="shared" si="954"/>
        <v>PUNO</v>
      </c>
      <c r="AM1553" s="264"/>
    </row>
    <row r="1554" spans="2:39" ht="30" x14ac:dyDescent="0.2">
      <c r="B1554" s="177"/>
      <c r="C1554" s="177"/>
      <c r="D1554" s="177"/>
      <c r="E1554" s="177">
        <v>3133</v>
      </c>
      <c r="F1554" s="176">
        <v>42</v>
      </c>
      <c r="G1554" s="176"/>
      <c r="H1554" s="16" t="s">
        <v>203</v>
      </c>
      <c r="I1554" s="178">
        <v>8000</v>
      </c>
      <c r="J1554" s="178">
        <v>7842.54</v>
      </c>
      <c r="K1554" s="178">
        <f t="shared" si="929"/>
        <v>98.03</v>
      </c>
      <c r="L1554" s="178">
        <f t="shared" si="930"/>
        <v>1426.33</v>
      </c>
      <c r="M1554" s="178">
        <v>9426.33</v>
      </c>
      <c r="N1554" s="178">
        <v>34000</v>
      </c>
      <c r="O1554" s="178">
        <v>11406.22</v>
      </c>
      <c r="P1554" s="26">
        <f t="shared" si="934"/>
        <v>0</v>
      </c>
      <c r="Q1554" s="178">
        <v>34000</v>
      </c>
      <c r="R1554" s="178">
        <v>8000</v>
      </c>
      <c r="S1554" s="178">
        <v>8000</v>
      </c>
      <c r="T1554" s="266">
        <v>34000</v>
      </c>
      <c r="U1554" s="266">
        <v>35100.61</v>
      </c>
      <c r="V1554" s="178">
        <v>18000</v>
      </c>
      <c r="W1554" s="178">
        <v>18000</v>
      </c>
      <c r="X1554" s="178">
        <v>19000</v>
      </c>
      <c r="Y1554" s="178">
        <v>3540.64</v>
      </c>
      <c r="Z1554" s="178">
        <f t="shared" si="937"/>
        <v>19.670000000000002</v>
      </c>
      <c r="AA1554" s="178">
        <f t="shared" si="944"/>
        <v>0</v>
      </c>
      <c r="AB1554" s="178">
        <v>18000</v>
      </c>
      <c r="AC1554" s="178">
        <v>9851.82</v>
      </c>
      <c r="AD1554" s="178">
        <f t="shared" si="928"/>
        <v>54.73233333333333</v>
      </c>
      <c r="AE1554" s="178">
        <f t="shared" si="940"/>
        <v>-1000</v>
      </c>
      <c r="AF1554" s="178">
        <v>17000</v>
      </c>
      <c r="AG1554" s="178">
        <v>17000</v>
      </c>
      <c r="AH1554" s="178">
        <v>17000</v>
      </c>
      <c r="AI1554" s="178">
        <v>17000</v>
      </c>
      <c r="AJ1554" s="162" t="b">
        <f t="shared" si="953"/>
        <v>0</v>
      </c>
      <c r="AK1554" s="162" t="str">
        <f t="shared" si="954"/>
        <v>PUNO</v>
      </c>
      <c r="AM1554" s="264"/>
    </row>
    <row r="1555" spans="2:39" ht="15.75" x14ac:dyDescent="0.2">
      <c r="B1555" s="175"/>
      <c r="C1555" s="175">
        <v>32</v>
      </c>
      <c r="D1555" s="175"/>
      <c r="E1555" s="175"/>
      <c r="F1555" s="175"/>
      <c r="G1555" s="175"/>
      <c r="H1555" s="23" t="s">
        <v>525</v>
      </c>
      <c r="I1555" s="203">
        <f>I1560+I1567+I1556+I1579+I1577</f>
        <v>5671000</v>
      </c>
      <c r="J1555" s="203">
        <f>J1560+J1567+J1556+J1579+J1577</f>
        <v>3664057.1199999996</v>
      </c>
      <c r="K1555" s="203">
        <f t="shared" si="929"/>
        <v>64.61</v>
      </c>
      <c r="L1555" s="203">
        <f t="shared" si="930"/>
        <v>-156432.84999999963</v>
      </c>
      <c r="M1555" s="203">
        <f>M1560+M1567+M1556+M1579+M1577</f>
        <v>5514567.1500000004</v>
      </c>
      <c r="N1555" s="203">
        <f>N1560+N1567+N1556+N1579+N1577</f>
        <v>5667000</v>
      </c>
      <c r="O1555" s="203">
        <f>O1560+O1567+O1556+O1579+O1577</f>
        <v>2688399.62</v>
      </c>
      <c r="P1555" s="26">
        <f t="shared" si="934"/>
        <v>-458000</v>
      </c>
      <c r="Q1555" s="203">
        <f t="shared" ref="Q1555:Y1555" si="959">Q1560+Q1567+Q1556+Q1579+Q1577</f>
        <v>5667000</v>
      </c>
      <c r="R1555" s="203">
        <f t="shared" si="959"/>
        <v>5663000</v>
      </c>
      <c r="S1555" s="203">
        <f t="shared" si="959"/>
        <v>5756000</v>
      </c>
      <c r="T1555" s="204">
        <f t="shared" si="959"/>
        <v>5209000</v>
      </c>
      <c r="U1555" s="204">
        <f>U1560+U1567+U1556+U1579+U1577</f>
        <v>5211805.87</v>
      </c>
      <c r="V1555" s="203">
        <f t="shared" si="959"/>
        <v>4986500</v>
      </c>
      <c r="W1555" s="203">
        <f t="shared" si="959"/>
        <v>4873500</v>
      </c>
      <c r="X1555" s="203">
        <f t="shared" si="959"/>
        <v>4589500</v>
      </c>
      <c r="Y1555" s="203">
        <f t="shared" si="959"/>
        <v>1713495.72</v>
      </c>
      <c r="Z1555" s="203">
        <f t="shared" si="937"/>
        <v>34.36</v>
      </c>
      <c r="AA1555" s="203">
        <f t="shared" si="944"/>
        <v>0</v>
      </c>
      <c r="AB1555" s="203">
        <f>AB1560+AB1567+AB1556+AB1579+AB1577</f>
        <v>4986500</v>
      </c>
      <c r="AC1555" s="203">
        <f>AC1560+AC1567+AC1556+AC1579+AC1577</f>
        <v>3446766.8400000008</v>
      </c>
      <c r="AD1555" s="203">
        <f t="shared" si="928"/>
        <v>69.121966108492956</v>
      </c>
      <c r="AE1555" s="203">
        <f t="shared" si="940"/>
        <v>37000</v>
      </c>
      <c r="AF1555" s="203">
        <f>AF1560+AF1567+AF1556+AF1579+AF1577</f>
        <v>5023500</v>
      </c>
      <c r="AG1555" s="203">
        <f>AG1560+AG1567+AG1556+AG1579+AG1577</f>
        <v>5023500</v>
      </c>
      <c r="AH1555" s="203">
        <f>AH1560+AH1567+AH1556+AH1579+AH1577</f>
        <v>5023500</v>
      </c>
      <c r="AI1555" s="203">
        <f>AI1560+AI1567+AI1556+AI1579+AI1577</f>
        <v>5023500</v>
      </c>
      <c r="AJ1555" s="162" t="b">
        <f t="shared" si="953"/>
        <v>1</v>
      </c>
      <c r="AK1555" s="162" t="str">
        <f t="shared" si="954"/>
        <v>PRAZNO</v>
      </c>
      <c r="AM1555" s="264"/>
    </row>
    <row r="1556" spans="2:39" ht="15.75" x14ac:dyDescent="0.2">
      <c r="B1556" s="175"/>
      <c r="C1556" s="175"/>
      <c r="D1556" s="175">
        <v>321</v>
      </c>
      <c r="E1556" s="175"/>
      <c r="F1556" s="175"/>
      <c r="G1556" s="175"/>
      <c r="H1556" s="23" t="s">
        <v>564</v>
      </c>
      <c r="I1556" s="203">
        <f>SUM(I1557:I1559)</f>
        <v>700000</v>
      </c>
      <c r="J1556" s="203">
        <f>SUM(J1557:J1559)</f>
        <v>478811.3</v>
      </c>
      <c r="K1556" s="203">
        <f t="shared" si="929"/>
        <v>68.400000000000006</v>
      </c>
      <c r="L1556" s="203">
        <f t="shared" si="930"/>
        <v>-31155.699999999953</v>
      </c>
      <c r="M1556" s="203">
        <f>SUM(M1557:M1559)</f>
        <v>668844.30000000005</v>
      </c>
      <c r="N1556" s="203">
        <f>SUM(N1557:N1559)</f>
        <v>699000</v>
      </c>
      <c r="O1556" s="203">
        <f>SUM(O1557:O1559)</f>
        <v>436032.3</v>
      </c>
      <c r="P1556" s="26">
        <f t="shared" si="934"/>
        <v>0</v>
      </c>
      <c r="Q1556" s="203">
        <f t="shared" ref="Q1556:X1556" si="960">SUM(Q1557:Q1559)</f>
        <v>699000</v>
      </c>
      <c r="R1556" s="203">
        <f t="shared" si="960"/>
        <v>692000</v>
      </c>
      <c r="S1556" s="203">
        <f t="shared" si="960"/>
        <v>714000</v>
      </c>
      <c r="T1556" s="204">
        <f t="shared" si="960"/>
        <v>699000</v>
      </c>
      <c r="U1556" s="204">
        <f>SUM(U1557:U1559)</f>
        <v>695945.95</v>
      </c>
      <c r="V1556" s="203">
        <f t="shared" si="960"/>
        <v>614000</v>
      </c>
      <c r="W1556" s="203">
        <f t="shared" si="960"/>
        <v>614000</v>
      </c>
      <c r="X1556" s="203">
        <f t="shared" si="960"/>
        <v>634000</v>
      </c>
      <c r="Y1556" s="203">
        <f>SUM(Y1557:Y1559)</f>
        <v>232839.2</v>
      </c>
      <c r="Z1556" s="203">
        <f t="shared" si="937"/>
        <v>37.92</v>
      </c>
      <c r="AA1556" s="203">
        <f t="shared" si="944"/>
        <v>40000</v>
      </c>
      <c r="AB1556" s="203">
        <f>SUM(AB1557:AB1559)</f>
        <v>654000</v>
      </c>
      <c r="AC1556" s="203">
        <f>SUM(AC1557:AC1559)</f>
        <v>535852</v>
      </c>
      <c r="AD1556" s="203">
        <f t="shared" si="928"/>
        <v>81.934556574923548</v>
      </c>
      <c r="AE1556" s="203">
        <f t="shared" si="940"/>
        <v>11000</v>
      </c>
      <c r="AF1556" s="203">
        <f>SUM(AF1557:AF1559)</f>
        <v>665000</v>
      </c>
      <c r="AG1556" s="203">
        <f>SUM(AG1557:AG1559)</f>
        <v>625000</v>
      </c>
      <c r="AH1556" s="203">
        <f>SUM(AH1557:AH1559)</f>
        <v>625000</v>
      </c>
      <c r="AI1556" s="203">
        <f>SUM(AI1557:AI1559)</f>
        <v>625000</v>
      </c>
      <c r="AJ1556" s="162" t="b">
        <f t="shared" si="953"/>
        <v>1</v>
      </c>
      <c r="AK1556" s="162" t="str">
        <f t="shared" si="954"/>
        <v>PRAZNO</v>
      </c>
      <c r="AM1556" s="264"/>
    </row>
    <row r="1557" spans="2:39" ht="15.75" x14ac:dyDescent="0.2">
      <c r="B1557" s="175"/>
      <c r="C1557" s="175"/>
      <c r="D1557" s="175"/>
      <c r="E1557" s="175">
        <v>3211</v>
      </c>
      <c r="F1557" s="176">
        <v>42</v>
      </c>
      <c r="G1557" s="175"/>
      <c r="H1557" s="23" t="s">
        <v>565</v>
      </c>
      <c r="I1557" s="22">
        <v>35500</v>
      </c>
      <c r="J1557" s="22">
        <v>18554.2</v>
      </c>
      <c r="K1557" s="22">
        <f t="shared" si="929"/>
        <v>52.27</v>
      </c>
      <c r="L1557" s="22">
        <f t="shared" si="930"/>
        <v>-2225.5999999999985</v>
      </c>
      <c r="M1557" s="22">
        <v>33274.400000000001</v>
      </c>
      <c r="N1557" s="22">
        <v>34000</v>
      </c>
      <c r="O1557" s="22">
        <v>18888.2</v>
      </c>
      <c r="P1557" s="26">
        <f t="shared" si="934"/>
        <v>0</v>
      </c>
      <c r="Q1557" s="22">
        <v>34000</v>
      </c>
      <c r="R1557" s="22">
        <v>34000</v>
      </c>
      <c r="S1557" s="22">
        <v>35000</v>
      </c>
      <c r="T1557" s="38">
        <v>34000</v>
      </c>
      <c r="U1557" s="38">
        <v>32266.2</v>
      </c>
      <c r="V1557" s="22">
        <v>14000</v>
      </c>
      <c r="W1557" s="22">
        <v>14000</v>
      </c>
      <c r="X1557" s="22">
        <v>14000</v>
      </c>
      <c r="Y1557" s="22">
        <v>5030</v>
      </c>
      <c r="Z1557" s="22">
        <f t="shared" si="937"/>
        <v>35.93</v>
      </c>
      <c r="AA1557" s="22">
        <f t="shared" si="944"/>
        <v>5000</v>
      </c>
      <c r="AB1557" s="22">
        <v>19000</v>
      </c>
      <c r="AC1557" s="22">
        <v>12889</v>
      </c>
      <c r="AD1557" s="22">
        <f t="shared" si="928"/>
        <v>67.836842105263159</v>
      </c>
      <c r="AE1557" s="22">
        <f t="shared" si="940"/>
        <v>0</v>
      </c>
      <c r="AF1557" s="22">
        <v>19000</v>
      </c>
      <c r="AG1557" s="22">
        <v>19000</v>
      </c>
      <c r="AH1557" s="22">
        <v>19000</v>
      </c>
      <c r="AI1557" s="22">
        <v>19000</v>
      </c>
      <c r="AJ1557" s="162" t="b">
        <f t="shared" si="953"/>
        <v>0</v>
      </c>
      <c r="AK1557" s="162" t="str">
        <f t="shared" si="954"/>
        <v>PUNO</v>
      </c>
      <c r="AM1557" s="264"/>
    </row>
    <row r="1558" spans="2:39" ht="15.75" x14ac:dyDescent="0.2">
      <c r="B1558" s="175"/>
      <c r="C1558" s="175"/>
      <c r="D1558" s="175"/>
      <c r="E1558" s="175">
        <v>3212</v>
      </c>
      <c r="F1558" s="176">
        <v>42</v>
      </c>
      <c r="G1558" s="175"/>
      <c r="H1558" s="16" t="s">
        <v>220</v>
      </c>
      <c r="I1558" s="22">
        <v>643000</v>
      </c>
      <c r="J1558" s="22">
        <v>452859.6</v>
      </c>
      <c r="K1558" s="22">
        <f t="shared" si="929"/>
        <v>70.430000000000007</v>
      </c>
      <c r="L1558" s="22">
        <f t="shared" si="930"/>
        <v>-21096.599999999977</v>
      </c>
      <c r="M1558" s="22">
        <v>621903.4</v>
      </c>
      <c r="N1558" s="22">
        <v>630000</v>
      </c>
      <c r="O1558" s="22">
        <v>397701.6</v>
      </c>
      <c r="P1558" s="26">
        <f t="shared" si="934"/>
        <v>0</v>
      </c>
      <c r="Q1558" s="22">
        <v>630000</v>
      </c>
      <c r="R1558" s="22">
        <v>637000</v>
      </c>
      <c r="S1558" s="22">
        <v>657000</v>
      </c>
      <c r="T1558" s="38">
        <v>630000</v>
      </c>
      <c r="U1558" s="38">
        <v>628221</v>
      </c>
      <c r="V1558" s="22">
        <v>595000</v>
      </c>
      <c r="W1558" s="22">
        <v>595000</v>
      </c>
      <c r="X1558" s="22">
        <v>605000</v>
      </c>
      <c r="Y1558" s="22">
        <v>226234.2</v>
      </c>
      <c r="Z1558" s="22">
        <f t="shared" si="937"/>
        <v>38.020000000000003</v>
      </c>
      <c r="AA1558" s="22">
        <f t="shared" si="944"/>
        <v>30000</v>
      </c>
      <c r="AB1558" s="22">
        <v>625000</v>
      </c>
      <c r="AC1558" s="22">
        <v>514508</v>
      </c>
      <c r="AD1558" s="22">
        <f t="shared" si="928"/>
        <v>82.321280000000002</v>
      </c>
      <c r="AE1558" s="22">
        <f t="shared" si="940"/>
        <v>10000</v>
      </c>
      <c r="AF1558" s="22">
        <v>635000</v>
      </c>
      <c r="AG1558" s="22">
        <v>600000</v>
      </c>
      <c r="AH1558" s="22">
        <v>600000</v>
      </c>
      <c r="AI1558" s="22">
        <v>600000</v>
      </c>
      <c r="AJ1558" s="162" t="b">
        <f t="shared" si="953"/>
        <v>0</v>
      </c>
      <c r="AK1558" s="162" t="str">
        <f t="shared" si="954"/>
        <v>PUNO</v>
      </c>
      <c r="AM1558" s="264"/>
    </row>
    <row r="1559" spans="2:39" ht="15.75" x14ac:dyDescent="0.2">
      <c r="B1559" s="175"/>
      <c r="C1559" s="175"/>
      <c r="D1559" s="175"/>
      <c r="E1559" s="175">
        <v>3213</v>
      </c>
      <c r="F1559" s="176">
        <v>42</v>
      </c>
      <c r="G1559" s="175"/>
      <c r="H1559" s="23" t="s">
        <v>221</v>
      </c>
      <c r="I1559" s="22">
        <v>21500</v>
      </c>
      <c r="J1559" s="22">
        <v>7397.5</v>
      </c>
      <c r="K1559" s="22">
        <f t="shared" si="929"/>
        <v>34.409999999999997</v>
      </c>
      <c r="L1559" s="22">
        <f t="shared" si="930"/>
        <v>-7833.5</v>
      </c>
      <c r="M1559" s="22">
        <v>13666.5</v>
      </c>
      <c r="N1559" s="22">
        <v>35000</v>
      </c>
      <c r="O1559" s="22">
        <v>19442.5</v>
      </c>
      <c r="P1559" s="26">
        <f t="shared" si="934"/>
        <v>0</v>
      </c>
      <c r="Q1559" s="22">
        <v>35000</v>
      </c>
      <c r="R1559" s="22">
        <v>21000</v>
      </c>
      <c r="S1559" s="22">
        <v>22000</v>
      </c>
      <c r="T1559" s="38">
        <v>35000</v>
      </c>
      <c r="U1559" s="38">
        <v>35458.75</v>
      </c>
      <c r="V1559" s="22">
        <v>5000</v>
      </c>
      <c r="W1559" s="22">
        <v>5000</v>
      </c>
      <c r="X1559" s="22">
        <v>15000</v>
      </c>
      <c r="Y1559" s="22">
        <v>1575</v>
      </c>
      <c r="Z1559" s="22">
        <f t="shared" si="937"/>
        <v>31.5</v>
      </c>
      <c r="AA1559" s="22">
        <f t="shared" si="944"/>
        <v>5000</v>
      </c>
      <c r="AB1559" s="22">
        <v>10000</v>
      </c>
      <c r="AC1559" s="22">
        <v>8455</v>
      </c>
      <c r="AD1559" s="22">
        <f t="shared" si="928"/>
        <v>84.55</v>
      </c>
      <c r="AE1559" s="22">
        <f t="shared" si="940"/>
        <v>1000</v>
      </c>
      <c r="AF1559" s="22">
        <v>11000</v>
      </c>
      <c r="AG1559" s="22">
        <v>6000</v>
      </c>
      <c r="AH1559" s="22">
        <v>6000</v>
      </c>
      <c r="AI1559" s="22">
        <v>6000</v>
      </c>
      <c r="AJ1559" s="162" t="b">
        <f t="shared" si="953"/>
        <v>0</v>
      </c>
      <c r="AK1559" s="162" t="str">
        <f t="shared" si="954"/>
        <v>PUNO</v>
      </c>
      <c r="AM1559" s="264"/>
    </row>
    <row r="1560" spans="2:39" ht="15.75" x14ac:dyDescent="0.2">
      <c r="B1560" s="177"/>
      <c r="C1560" s="177"/>
      <c r="D1560" s="177">
        <v>322</v>
      </c>
      <c r="E1560" s="177"/>
      <c r="F1560" s="177"/>
      <c r="G1560" s="177"/>
      <c r="H1560" s="23" t="s">
        <v>547</v>
      </c>
      <c r="I1560" s="17">
        <f>SUM(I1561:I1566)</f>
        <v>3006000</v>
      </c>
      <c r="J1560" s="17">
        <f>SUM(J1561:J1566)</f>
        <v>1736699.63</v>
      </c>
      <c r="K1560" s="17">
        <f t="shared" si="929"/>
        <v>57.77</v>
      </c>
      <c r="L1560" s="17">
        <f t="shared" si="930"/>
        <v>-184307.22999999952</v>
      </c>
      <c r="M1560" s="17">
        <f>SUM(M1561:M1566)</f>
        <v>2821692.7700000005</v>
      </c>
      <c r="N1560" s="17">
        <f>SUM(N1561:N1566)</f>
        <v>3196000</v>
      </c>
      <c r="O1560" s="17">
        <f>SUM(O1561:O1566)</f>
        <v>1536423.28</v>
      </c>
      <c r="P1560" s="26">
        <f t="shared" si="934"/>
        <v>-100500</v>
      </c>
      <c r="Q1560" s="17">
        <f t="shared" ref="Q1560:X1560" si="961">SUM(Q1561:Q1566)</f>
        <v>3196000</v>
      </c>
      <c r="R1560" s="17">
        <f t="shared" si="961"/>
        <v>3046000</v>
      </c>
      <c r="S1560" s="17">
        <f t="shared" si="961"/>
        <v>3058000</v>
      </c>
      <c r="T1560" s="26">
        <f t="shared" si="961"/>
        <v>3095500</v>
      </c>
      <c r="U1560" s="26">
        <f>SUM(U1561:U1566)</f>
        <v>3039789.9100000006</v>
      </c>
      <c r="V1560" s="17">
        <f t="shared" si="961"/>
        <v>3329000</v>
      </c>
      <c r="W1560" s="17">
        <f t="shared" si="961"/>
        <v>3275000</v>
      </c>
      <c r="X1560" s="17">
        <f t="shared" si="961"/>
        <v>2961000</v>
      </c>
      <c r="Y1560" s="17">
        <f>SUM(Y1561:Y1566)</f>
        <v>1137069.8899999999</v>
      </c>
      <c r="Z1560" s="17">
        <f t="shared" si="937"/>
        <v>34.159999999999997</v>
      </c>
      <c r="AA1560" s="17">
        <f t="shared" si="944"/>
        <v>-16000</v>
      </c>
      <c r="AB1560" s="17">
        <f>SUM(AB1561:AB1566)</f>
        <v>3313000</v>
      </c>
      <c r="AC1560" s="17">
        <f>SUM(AC1561:AC1566)</f>
        <v>2186317.5500000003</v>
      </c>
      <c r="AD1560" s="17">
        <f t="shared" ref="AD1560:AD1618" si="962">AC1560/AB1560*100</f>
        <v>65.992078176878962</v>
      </c>
      <c r="AE1560" s="17">
        <f t="shared" si="940"/>
        <v>-8500</v>
      </c>
      <c r="AF1560" s="17">
        <f>SUM(AF1561:AF1566)</f>
        <v>3304500</v>
      </c>
      <c r="AG1560" s="17">
        <f>SUM(AG1561:AG1566)</f>
        <v>3397500</v>
      </c>
      <c r="AH1560" s="17">
        <f>SUM(AH1561:AH1566)</f>
        <v>3397500</v>
      </c>
      <c r="AI1560" s="17">
        <f>SUM(AI1561:AI1566)</f>
        <v>3397500</v>
      </c>
      <c r="AJ1560" s="162" t="b">
        <f t="shared" si="953"/>
        <v>1</v>
      </c>
      <c r="AK1560" s="162" t="str">
        <f t="shared" si="954"/>
        <v>PRAZNO</v>
      </c>
      <c r="AM1560" s="264"/>
    </row>
    <row r="1561" spans="2:39" ht="15.75" x14ac:dyDescent="0.2">
      <c r="B1561" s="177"/>
      <c r="C1561" s="177"/>
      <c r="D1561" s="177"/>
      <c r="E1561" s="177">
        <v>3221</v>
      </c>
      <c r="F1561" s="176">
        <v>42</v>
      </c>
      <c r="G1561" s="177"/>
      <c r="H1561" s="23" t="s">
        <v>548</v>
      </c>
      <c r="I1561" s="17">
        <v>524000</v>
      </c>
      <c r="J1561" s="17">
        <v>255040.13</v>
      </c>
      <c r="K1561" s="17">
        <f t="shared" si="929"/>
        <v>48.67</v>
      </c>
      <c r="L1561" s="17">
        <f t="shared" si="930"/>
        <v>-117619.33000000002</v>
      </c>
      <c r="M1561" s="17">
        <v>406380.67</v>
      </c>
      <c r="N1561" s="17">
        <v>467000</v>
      </c>
      <c r="O1561" s="17">
        <v>186346.11</v>
      </c>
      <c r="P1561" s="26">
        <f t="shared" si="934"/>
        <v>-97000</v>
      </c>
      <c r="Q1561" s="17">
        <v>467000</v>
      </c>
      <c r="R1561" s="17">
        <v>412000</v>
      </c>
      <c r="S1561" s="17">
        <v>425000</v>
      </c>
      <c r="T1561" s="26">
        <v>370000</v>
      </c>
      <c r="U1561" s="26">
        <v>388558.97</v>
      </c>
      <c r="V1561" s="17">
        <v>280000</v>
      </c>
      <c r="W1561" s="17">
        <v>280000</v>
      </c>
      <c r="X1561" s="17">
        <v>280000</v>
      </c>
      <c r="Y1561" s="17">
        <v>72453.039999999994</v>
      </c>
      <c r="Z1561" s="17">
        <f t="shared" si="937"/>
        <v>25.88</v>
      </c>
      <c r="AA1561" s="17">
        <f t="shared" si="944"/>
        <v>-30000</v>
      </c>
      <c r="AB1561" s="17">
        <v>250000</v>
      </c>
      <c r="AC1561" s="17">
        <v>185329.59</v>
      </c>
      <c r="AD1561" s="17">
        <f t="shared" si="962"/>
        <v>74.131835999999993</v>
      </c>
      <c r="AE1561" s="17">
        <f t="shared" si="940"/>
        <v>45000</v>
      </c>
      <c r="AF1561" s="17">
        <v>295000</v>
      </c>
      <c r="AG1561" s="17">
        <v>245000</v>
      </c>
      <c r="AH1561" s="17">
        <v>245000</v>
      </c>
      <c r="AI1561" s="17">
        <v>245000</v>
      </c>
      <c r="AJ1561" s="162" t="b">
        <f t="shared" si="953"/>
        <v>0</v>
      </c>
      <c r="AK1561" s="162" t="str">
        <f t="shared" si="954"/>
        <v>PUNO</v>
      </c>
      <c r="AM1561" s="264"/>
    </row>
    <row r="1562" spans="2:39" ht="15.75" x14ac:dyDescent="0.2">
      <c r="B1562" s="177"/>
      <c r="C1562" s="177"/>
      <c r="D1562" s="177"/>
      <c r="E1562" s="177">
        <v>3222</v>
      </c>
      <c r="F1562" s="176">
        <v>42</v>
      </c>
      <c r="G1562" s="176"/>
      <c r="H1562" s="23" t="s">
        <v>474</v>
      </c>
      <c r="I1562" s="178">
        <v>1075000</v>
      </c>
      <c r="J1562" s="178">
        <v>613303.30000000005</v>
      </c>
      <c r="K1562" s="178">
        <f t="shared" si="929"/>
        <v>57.05</v>
      </c>
      <c r="L1562" s="178">
        <f t="shared" si="930"/>
        <v>-93990.319999999949</v>
      </c>
      <c r="M1562" s="178">
        <v>981009.68</v>
      </c>
      <c r="N1562" s="178">
        <v>1404000</v>
      </c>
      <c r="O1562" s="178">
        <v>659814.80000000005</v>
      </c>
      <c r="P1562" s="26">
        <f t="shared" si="934"/>
        <v>-93000</v>
      </c>
      <c r="Q1562" s="178">
        <v>1404000</v>
      </c>
      <c r="R1562" s="178">
        <v>1272000</v>
      </c>
      <c r="S1562" s="178">
        <v>1224000</v>
      </c>
      <c r="T1562" s="266">
        <v>1311000</v>
      </c>
      <c r="U1562" s="266">
        <v>1244363.05</v>
      </c>
      <c r="V1562" s="178">
        <v>1818000</v>
      </c>
      <c r="W1562" s="178">
        <v>1764000</v>
      </c>
      <c r="X1562" s="178">
        <v>1422000</v>
      </c>
      <c r="Y1562" s="178">
        <v>513073.95</v>
      </c>
      <c r="Z1562" s="178">
        <f t="shared" si="937"/>
        <v>28.22</v>
      </c>
      <c r="AA1562" s="178">
        <f t="shared" si="944"/>
        <v>-115000</v>
      </c>
      <c r="AB1562" s="178">
        <v>1703000</v>
      </c>
      <c r="AC1562" s="178">
        <v>1126042.29</v>
      </c>
      <c r="AD1562" s="178">
        <f t="shared" si="962"/>
        <v>66.121097475044039</v>
      </c>
      <c r="AE1562" s="178">
        <f t="shared" si="940"/>
        <v>-85000</v>
      </c>
      <c r="AF1562" s="178">
        <v>1618000</v>
      </c>
      <c r="AG1562" s="178">
        <v>1859000</v>
      </c>
      <c r="AH1562" s="178">
        <v>1859000</v>
      </c>
      <c r="AI1562" s="178">
        <v>1859000</v>
      </c>
      <c r="AJ1562" s="162" t="b">
        <f t="shared" si="953"/>
        <v>0</v>
      </c>
      <c r="AK1562" s="162" t="str">
        <f t="shared" si="954"/>
        <v>PUNO</v>
      </c>
      <c r="AM1562" s="264"/>
    </row>
    <row r="1563" spans="2:39" ht="15.75" x14ac:dyDescent="0.2">
      <c r="B1563" s="177"/>
      <c r="C1563" s="177"/>
      <c r="D1563" s="177"/>
      <c r="E1563" s="177">
        <v>3223</v>
      </c>
      <c r="F1563" s="176">
        <v>42</v>
      </c>
      <c r="G1563" s="176"/>
      <c r="H1563" s="16" t="s">
        <v>204</v>
      </c>
      <c r="I1563" s="178">
        <v>1093000</v>
      </c>
      <c r="J1563" s="18">
        <v>700383.41</v>
      </c>
      <c r="K1563" s="18">
        <f t="shared" ref="K1563:K1588" si="963">ROUND(J1563/I1563*100,2)</f>
        <v>64.08</v>
      </c>
      <c r="L1563" s="18">
        <f t="shared" ref="L1563:L1568" si="964">M1563-I1563</f>
        <v>117809.10000000009</v>
      </c>
      <c r="M1563" s="18">
        <v>1210809.1000000001</v>
      </c>
      <c r="N1563" s="18">
        <v>1048000</v>
      </c>
      <c r="O1563" s="18">
        <v>530673.32999999996</v>
      </c>
      <c r="P1563" s="26">
        <f t="shared" si="934"/>
        <v>40000</v>
      </c>
      <c r="Q1563" s="18">
        <v>1048000</v>
      </c>
      <c r="R1563" s="18">
        <v>1106000</v>
      </c>
      <c r="S1563" s="18">
        <v>1140000</v>
      </c>
      <c r="T1563" s="27">
        <v>1088000</v>
      </c>
      <c r="U1563" s="27">
        <v>1065800.56</v>
      </c>
      <c r="V1563" s="18">
        <v>1075000</v>
      </c>
      <c r="W1563" s="18">
        <v>1075000</v>
      </c>
      <c r="X1563" s="18">
        <v>1075000</v>
      </c>
      <c r="Y1563" s="18">
        <v>500632.76</v>
      </c>
      <c r="Z1563" s="18">
        <f t="shared" si="937"/>
        <v>46.57</v>
      </c>
      <c r="AA1563" s="18">
        <f t="shared" si="944"/>
        <v>90000</v>
      </c>
      <c r="AB1563" s="18">
        <v>1165000</v>
      </c>
      <c r="AC1563" s="18">
        <v>759993.81</v>
      </c>
      <c r="AD1563" s="18">
        <f t="shared" si="962"/>
        <v>65.235520171673826</v>
      </c>
      <c r="AE1563" s="18">
        <f t="shared" si="940"/>
        <v>34000</v>
      </c>
      <c r="AF1563" s="18">
        <v>1199000</v>
      </c>
      <c r="AG1563" s="18">
        <v>1101000</v>
      </c>
      <c r="AH1563" s="18">
        <v>1101000</v>
      </c>
      <c r="AI1563" s="18">
        <v>1101000</v>
      </c>
      <c r="AJ1563" s="162" t="b">
        <f t="shared" si="953"/>
        <v>0</v>
      </c>
      <c r="AK1563" s="162" t="str">
        <f t="shared" si="954"/>
        <v>PUNO</v>
      </c>
      <c r="AM1563" s="264"/>
    </row>
    <row r="1564" spans="2:39" ht="16.5" customHeight="1" x14ac:dyDescent="0.2">
      <c r="B1564" s="177"/>
      <c r="C1564" s="177"/>
      <c r="D1564" s="177"/>
      <c r="E1564" s="177">
        <v>3224</v>
      </c>
      <c r="F1564" s="176">
        <v>42</v>
      </c>
      <c r="G1564" s="176"/>
      <c r="H1564" s="29" t="s">
        <v>853</v>
      </c>
      <c r="I1564" s="18">
        <v>37000</v>
      </c>
      <c r="J1564" s="18">
        <v>18967.93</v>
      </c>
      <c r="K1564" s="18">
        <f t="shared" si="963"/>
        <v>51.26</v>
      </c>
      <c r="L1564" s="18">
        <f t="shared" si="964"/>
        <v>-12661.580000000002</v>
      </c>
      <c r="M1564" s="18">
        <v>24338.42</v>
      </c>
      <c r="N1564" s="18">
        <v>52000</v>
      </c>
      <c r="O1564" s="18">
        <v>15225.14</v>
      </c>
      <c r="P1564" s="26">
        <f t="shared" si="934"/>
        <v>1500</v>
      </c>
      <c r="Q1564" s="18">
        <v>52000</v>
      </c>
      <c r="R1564" s="18">
        <v>43000</v>
      </c>
      <c r="S1564" s="18">
        <v>44000</v>
      </c>
      <c r="T1564" s="27">
        <v>53500</v>
      </c>
      <c r="U1564" s="27">
        <v>53596.41</v>
      </c>
      <c r="V1564" s="18">
        <v>34000</v>
      </c>
      <c r="W1564" s="18">
        <v>34000</v>
      </c>
      <c r="X1564" s="18">
        <v>34000</v>
      </c>
      <c r="Y1564" s="18">
        <v>7334.77</v>
      </c>
      <c r="Z1564" s="18">
        <f t="shared" si="937"/>
        <v>21.57</v>
      </c>
      <c r="AA1564" s="18">
        <f t="shared" si="944"/>
        <v>17000</v>
      </c>
      <c r="AB1564" s="18">
        <v>51000</v>
      </c>
      <c r="AC1564" s="18">
        <v>35183.47</v>
      </c>
      <c r="AD1564" s="18">
        <f t="shared" si="962"/>
        <v>68.987196078431381</v>
      </c>
      <c r="AE1564" s="18">
        <f t="shared" si="940"/>
        <v>5500</v>
      </c>
      <c r="AF1564" s="18">
        <v>56500</v>
      </c>
      <c r="AG1564" s="18">
        <v>56500</v>
      </c>
      <c r="AH1564" s="18">
        <v>56500</v>
      </c>
      <c r="AI1564" s="18">
        <v>56500</v>
      </c>
      <c r="AJ1564" s="162" t="b">
        <f t="shared" si="953"/>
        <v>0</v>
      </c>
      <c r="AK1564" s="162" t="str">
        <f t="shared" si="954"/>
        <v>PUNO</v>
      </c>
      <c r="AM1564" s="264"/>
    </row>
    <row r="1565" spans="2:39" ht="15.75" x14ac:dyDescent="0.2">
      <c r="B1565" s="177"/>
      <c r="C1565" s="177"/>
      <c r="D1565" s="177"/>
      <c r="E1565" s="177">
        <v>3225</v>
      </c>
      <c r="F1565" s="176">
        <v>42</v>
      </c>
      <c r="G1565" s="176"/>
      <c r="H1565" s="29" t="s">
        <v>642</v>
      </c>
      <c r="I1565" s="27">
        <v>152000</v>
      </c>
      <c r="J1565" s="27">
        <v>53905.42</v>
      </c>
      <c r="K1565" s="27">
        <f t="shared" si="963"/>
        <v>35.46</v>
      </c>
      <c r="L1565" s="27">
        <f t="shared" si="964"/>
        <v>-90086.8</v>
      </c>
      <c r="M1565" s="27">
        <v>61913.2</v>
      </c>
      <c r="N1565" s="27">
        <v>80000</v>
      </c>
      <c r="O1565" s="27">
        <v>65374.29</v>
      </c>
      <c r="P1565" s="26">
        <f t="shared" si="934"/>
        <v>65000</v>
      </c>
      <c r="Q1565" s="27">
        <v>80000</v>
      </c>
      <c r="R1565" s="27">
        <v>71000</v>
      </c>
      <c r="S1565" s="27">
        <v>79000</v>
      </c>
      <c r="T1565" s="27">
        <v>145000</v>
      </c>
      <c r="U1565" s="27">
        <v>158016.45000000001</v>
      </c>
      <c r="V1565" s="27">
        <v>22000</v>
      </c>
      <c r="W1565" s="27">
        <v>22000</v>
      </c>
      <c r="X1565" s="27">
        <v>50000</v>
      </c>
      <c r="Y1565" s="27">
        <v>12965.67</v>
      </c>
      <c r="Z1565" s="27">
        <f t="shared" si="937"/>
        <v>58.93</v>
      </c>
      <c r="AA1565" s="27">
        <f t="shared" si="944"/>
        <v>22000</v>
      </c>
      <c r="AB1565" s="27">
        <v>44000</v>
      </c>
      <c r="AC1565" s="27">
        <v>16611.29</v>
      </c>
      <c r="AD1565" s="27">
        <f t="shared" si="962"/>
        <v>37.752931818181814</v>
      </c>
      <c r="AE1565" s="27">
        <f t="shared" si="940"/>
        <v>-8000</v>
      </c>
      <c r="AF1565" s="27">
        <v>36000</v>
      </c>
      <c r="AG1565" s="27">
        <v>36000</v>
      </c>
      <c r="AH1565" s="27">
        <v>36000</v>
      </c>
      <c r="AI1565" s="27">
        <v>36000</v>
      </c>
      <c r="AJ1565" s="162" t="b">
        <f t="shared" si="953"/>
        <v>0</v>
      </c>
      <c r="AK1565" s="162" t="str">
        <f t="shared" si="954"/>
        <v>PUNO</v>
      </c>
      <c r="AM1565" s="264"/>
    </row>
    <row r="1566" spans="2:39" ht="15.75" x14ac:dyDescent="0.2">
      <c r="B1566" s="177"/>
      <c r="C1566" s="177"/>
      <c r="D1566" s="177"/>
      <c r="E1566" s="177">
        <v>3227</v>
      </c>
      <c r="F1566" s="176">
        <v>42</v>
      </c>
      <c r="G1566" s="176"/>
      <c r="H1566" s="16" t="s">
        <v>845</v>
      </c>
      <c r="I1566" s="27">
        <v>125000</v>
      </c>
      <c r="J1566" s="27">
        <v>95099.44</v>
      </c>
      <c r="K1566" s="27">
        <f t="shared" si="963"/>
        <v>76.08</v>
      </c>
      <c r="L1566" s="27">
        <f t="shared" si="964"/>
        <v>12241.700000000012</v>
      </c>
      <c r="M1566" s="27">
        <v>137241.70000000001</v>
      </c>
      <c r="N1566" s="27">
        <v>145000</v>
      </c>
      <c r="O1566" s="27">
        <v>78989.61</v>
      </c>
      <c r="P1566" s="26">
        <f t="shared" si="934"/>
        <v>-17000</v>
      </c>
      <c r="Q1566" s="27">
        <v>145000</v>
      </c>
      <c r="R1566" s="27">
        <v>142000</v>
      </c>
      <c r="S1566" s="27">
        <v>146000</v>
      </c>
      <c r="T1566" s="27">
        <v>128000</v>
      </c>
      <c r="U1566" s="27">
        <v>129454.47</v>
      </c>
      <c r="V1566" s="27">
        <v>100000</v>
      </c>
      <c r="W1566" s="27">
        <v>100000</v>
      </c>
      <c r="X1566" s="27">
        <v>100000</v>
      </c>
      <c r="Y1566" s="27">
        <v>30609.7</v>
      </c>
      <c r="Z1566" s="27">
        <f t="shared" si="937"/>
        <v>30.61</v>
      </c>
      <c r="AA1566" s="27">
        <f t="shared" si="944"/>
        <v>0</v>
      </c>
      <c r="AB1566" s="27">
        <v>100000</v>
      </c>
      <c r="AC1566" s="27">
        <v>63157.1</v>
      </c>
      <c r="AD1566" s="27">
        <f t="shared" si="962"/>
        <v>63.1571</v>
      </c>
      <c r="AE1566" s="27">
        <f t="shared" si="940"/>
        <v>0</v>
      </c>
      <c r="AF1566" s="27">
        <v>100000</v>
      </c>
      <c r="AG1566" s="27">
        <v>100000</v>
      </c>
      <c r="AH1566" s="27">
        <v>100000</v>
      </c>
      <c r="AI1566" s="27">
        <v>100000</v>
      </c>
      <c r="AJ1566" s="162" t="b">
        <f t="shared" si="953"/>
        <v>0</v>
      </c>
      <c r="AK1566" s="162" t="str">
        <f t="shared" si="954"/>
        <v>PUNO</v>
      </c>
      <c r="AM1566" s="264"/>
    </row>
    <row r="1567" spans="2:39" ht="15.75" x14ac:dyDescent="0.2">
      <c r="B1567" s="177"/>
      <c r="C1567" s="177"/>
      <c r="D1567" s="177">
        <v>323</v>
      </c>
      <c r="E1567" s="177"/>
      <c r="F1567" s="177"/>
      <c r="G1567" s="177"/>
      <c r="H1567" s="16" t="s">
        <v>526</v>
      </c>
      <c r="I1567" s="17">
        <f>SUM(I1568:I1576)</f>
        <v>1709500</v>
      </c>
      <c r="J1567" s="17">
        <f>SUM(J1568:J1576)</f>
        <v>1264522.2599999998</v>
      </c>
      <c r="K1567" s="17">
        <f t="shared" si="963"/>
        <v>73.97</v>
      </c>
      <c r="L1567" s="17">
        <f t="shared" si="964"/>
        <v>48308.65000000014</v>
      </c>
      <c r="M1567" s="17">
        <f>SUM(M1568:M1576)</f>
        <v>1757808.6500000001</v>
      </c>
      <c r="N1567" s="17">
        <f>SUM(N1568:N1576)</f>
        <v>1516000</v>
      </c>
      <c r="O1567" s="17">
        <f>SUM(O1568:O1576)</f>
        <v>567297.83000000007</v>
      </c>
      <c r="P1567" s="26">
        <f t="shared" si="934"/>
        <v>-344500</v>
      </c>
      <c r="Q1567" s="17">
        <f t="shared" ref="Q1567:X1567" si="965">SUM(Q1568:Q1576)</f>
        <v>1516000</v>
      </c>
      <c r="R1567" s="17">
        <f t="shared" si="965"/>
        <v>1690000</v>
      </c>
      <c r="S1567" s="17">
        <f t="shared" si="965"/>
        <v>1740000</v>
      </c>
      <c r="T1567" s="26">
        <f t="shared" si="965"/>
        <v>1171500</v>
      </c>
      <c r="U1567" s="26">
        <f>SUM(U1568:U1576)</f>
        <v>1232817.0799999998</v>
      </c>
      <c r="V1567" s="17">
        <f t="shared" si="965"/>
        <v>852500</v>
      </c>
      <c r="W1567" s="17">
        <f t="shared" si="965"/>
        <v>793500</v>
      </c>
      <c r="X1567" s="17">
        <f t="shared" si="965"/>
        <v>793500</v>
      </c>
      <c r="Y1567" s="17">
        <f>SUM(Y1568:Y1576)</f>
        <v>274997.85000000003</v>
      </c>
      <c r="Z1567" s="17">
        <f t="shared" si="937"/>
        <v>32.26</v>
      </c>
      <c r="AA1567" s="17">
        <f t="shared" si="944"/>
        <v>-24000</v>
      </c>
      <c r="AB1567" s="17">
        <f>SUM(AB1568:AB1576)</f>
        <v>828500</v>
      </c>
      <c r="AC1567" s="17">
        <f>SUM(AC1568:AC1576)</f>
        <v>577396.05000000016</v>
      </c>
      <c r="AD1567" s="17">
        <f t="shared" si="962"/>
        <v>69.691738080869058</v>
      </c>
      <c r="AE1567" s="17">
        <f t="shared" si="940"/>
        <v>12300</v>
      </c>
      <c r="AF1567" s="17">
        <f>SUM(AF1568:AF1576)</f>
        <v>840800</v>
      </c>
      <c r="AG1567" s="17">
        <f>SUM(AG1568:AG1576)</f>
        <v>776800</v>
      </c>
      <c r="AH1567" s="17">
        <f>SUM(AH1568:AH1576)</f>
        <v>776800</v>
      </c>
      <c r="AI1567" s="17">
        <f>SUM(AI1568:AI1576)</f>
        <v>776800</v>
      </c>
      <c r="AJ1567" s="162" t="b">
        <f t="shared" si="953"/>
        <v>1</v>
      </c>
      <c r="AK1567" s="162" t="str">
        <f t="shared" si="954"/>
        <v>PRAZNO</v>
      </c>
      <c r="AM1567" s="264"/>
    </row>
    <row r="1568" spans="2:39" ht="15.75" x14ac:dyDescent="0.2">
      <c r="B1568" s="177"/>
      <c r="C1568" s="177"/>
      <c r="D1568" s="177"/>
      <c r="E1568" s="177">
        <v>3231</v>
      </c>
      <c r="F1568" s="176">
        <v>42</v>
      </c>
      <c r="G1568" s="176"/>
      <c r="H1568" s="16" t="s">
        <v>206</v>
      </c>
      <c r="I1568" s="18">
        <v>79000</v>
      </c>
      <c r="J1568" s="18">
        <v>55298.37</v>
      </c>
      <c r="K1568" s="18">
        <f t="shared" si="963"/>
        <v>70</v>
      </c>
      <c r="L1568" s="18">
        <f t="shared" si="964"/>
        <v>1115.179999999993</v>
      </c>
      <c r="M1568" s="18">
        <v>80115.179999999993</v>
      </c>
      <c r="N1568" s="18">
        <v>60000</v>
      </c>
      <c r="O1568" s="18">
        <v>33704.83</v>
      </c>
      <c r="P1568" s="26">
        <f t="shared" si="934"/>
        <v>7500</v>
      </c>
      <c r="Q1568" s="18">
        <v>60000</v>
      </c>
      <c r="R1568" s="18">
        <v>80000</v>
      </c>
      <c r="S1568" s="18">
        <v>82000</v>
      </c>
      <c r="T1568" s="27">
        <v>67500</v>
      </c>
      <c r="U1568" s="27">
        <v>65267.76</v>
      </c>
      <c r="V1568" s="18">
        <v>45000</v>
      </c>
      <c r="W1568" s="18">
        <v>45000</v>
      </c>
      <c r="X1568" s="18">
        <v>45000</v>
      </c>
      <c r="Y1568" s="18">
        <v>16644.310000000001</v>
      </c>
      <c r="Z1568" s="18">
        <f t="shared" si="937"/>
        <v>36.99</v>
      </c>
      <c r="AA1568" s="18">
        <f t="shared" si="944"/>
        <v>9000</v>
      </c>
      <c r="AB1568" s="18">
        <v>54000</v>
      </c>
      <c r="AC1568" s="18">
        <v>37768.32</v>
      </c>
      <c r="AD1568" s="18">
        <f t="shared" si="962"/>
        <v>69.941333333333333</v>
      </c>
      <c r="AE1568" s="18">
        <f t="shared" si="940"/>
        <v>2000</v>
      </c>
      <c r="AF1568" s="18">
        <v>56000</v>
      </c>
      <c r="AG1568" s="18">
        <v>56000</v>
      </c>
      <c r="AH1568" s="18">
        <v>56000</v>
      </c>
      <c r="AI1568" s="18">
        <v>56000</v>
      </c>
      <c r="AJ1568" s="162" t="b">
        <f t="shared" si="953"/>
        <v>0</v>
      </c>
      <c r="AK1568" s="162" t="str">
        <f t="shared" si="954"/>
        <v>PUNO</v>
      </c>
      <c r="AM1568" s="264"/>
    </row>
    <row r="1569" spans="2:39" ht="15.75" x14ac:dyDescent="0.2">
      <c r="B1569" s="177"/>
      <c r="C1569" s="177"/>
      <c r="D1569" s="177"/>
      <c r="E1569" s="177">
        <v>3232</v>
      </c>
      <c r="F1569" s="176">
        <v>42</v>
      </c>
      <c r="G1569" s="176"/>
      <c r="H1569" s="16" t="s">
        <v>207</v>
      </c>
      <c r="I1569" s="178">
        <v>288000</v>
      </c>
      <c r="J1569" s="178">
        <v>288454.5</v>
      </c>
      <c r="K1569" s="178">
        <f t="shared" si="963"/>
        <v>100.16</v>
      </c>
      <c r="L1569" s="178" t="e">
        <f>#REF!-I1569</f>
        <v>#REF!</v>
      </c>
      <c r="M1569" s="178">
        <v>355592.59</v>
      </c>
      <c r="N1569" s="178">
        <v>212000</v>
      </c>
      <c r="O1569" s="178">
        <v>157533.07999999999</v>
      </c>
      <c r="P1569" s="26">
        <f>T1569-N1569</f>
        <v>154000</v>
      </c>
      <c r="Q1569" s="178">
        <v>212000</v>
      </c>
      <c r="R1569" s="178">
        <v>320000</v>
      </c>
      <c r="S1569" s="178">
        <v>330000</v>
      </c>
      <c r="T1569" s="266">
        <v>366000</v>
      </c>
      <c r="U1569" s="266">
        <v>458030.63</v>
      </c>
      <c r="V1569" s="178">
        <v>135000</v>
      </c>
      <c r="W1569" s="178">
        <v>76000</v>
      </c>
      <c r="X1569" s="178">
        <v>76000</v>
      </c>
      <c r="Y1569" s="178">
        <v>88408.98</v>
      </c>
      <c r="Z1569" s="178">
        <f t="shared" si="937"/>
        <v>65.489999999999995</v>
      </c>
      <c r="AA1569" s="178">
        <f t="shared" si="944"/>
        <v>30000</v>
      </c>
      <c r="AB1569" s="178">
        <v>165000</v>
      </c>
      <c r="AC1569" s="178">
        <v>150713.18</v>
      </c>
      <c r="AD1569" s="178">
        <f t="shared" si="962"/>
        <v>91.341321212121201</v>
      </c>
      <c r="AE1569" s="178">
        <f t="shared" si="940"/>
        <v>28300</v>
      </c>
      <c r="AF1569" s="178">
        <v>193300</v>
      </c>
      <c r="AG1569" s="178">
        <v>139300</v>
      </c>
      <c r="AH1569" s="178">
        <v>139300</v>
      </c>
      <c r="AI1569" s="178">
        <v>139300</v>
      </c>
      <c r="AJ1569" s="162" t="b">
        <f t="shared" si="953"/>
        <v>0</v>
      </c>
      <c r="AK1569" s="162" t="str">
        <f t="shared" si="954"/>
        <v>PUNO</v>
      </c>
      <c r="AM1569" s="264"/>
    </row>
    <row r="1570" spans="2:39" ht="15.75" x14ac:dyDescent="0.2">
      <c r="B1570" s="177"/>
      <c r="C1570" s="177"/>
      <c r="D1570" s="177"/>
      <c r="E1570" s="177">
        <v>3233</v>
      </c>
      <c r="F1570" s="176">
        <v>42</v>
      </c>
      <c r="G1570" s="176"/>
      <c r="H1570" s="16" t="s">
        <v>528</v>
      </c>
      <c r="I1570" s="18">
        <v>45000</v>
      </c>
      <c r="J1570" s="18">
        <v>33725.82</v>
      </c>
      <c r="K1570" s="18">
        <f t="shared" si="963"/>
        <v>74.95</v>
      </c>
      <c r="L1570" s="18">
        <f>M1569-I1570</f>
        <v>310592.59000000003</v>
      </c>
      <c r="M1570" s="18">
        <v>47798.42</v>
      </c>
      <c r="N1570" s="18">
        <v>45000</v>
      </c>
      <c r="O1570" s="18">
        <v>21915.49</v>
      </c>
      <c r="P1570" s="26">
        <f>T1570-N1570</f>
        <v>-5000</v>
      </c>
      <c r="Q1570" s="18">
        <v>45000</v>
      </c>
      <c r="R1570" s="18">
        <v>46000</v>
      </c>
      <c r="S1570" s="18">
        <v>47000</v>
      </c>
      <c r="T1570" s="27">
        <v>40000</v>
      </c>
      <c r="U1570" s="27">
        <v>25715.49</v>
      </c>
      <c r="V1570" s="18">
        <v>20000</v>
      </c>
      <c r="W1570" s="18">
        <v>20000</v>
      </c>
      <c r="X1570" s="18">
        <v>20000</v>
      </c>
      <c r="Y1570" s="18">
        <v>5668.75</v>
      </c>
      <c r="Z1570" s="18">
        <f t="shared" ref="Z1570:Z1653" si="966">ROUND(Y1570/V1570*100,2)</f>
        <v>28.34</v>
      </c>
      <c r="AA1570" s="18">
        <f t="shared" si="944"/>
        <v>0</v>
      </c>
      <c r="AB1570" s="18">
        <v>20000</v>
      </c>
      <c r="AC1570" s="18">
        <v>11600.69</v>
      </c>
      <c r="AD1570" s="18">
        <f t="shared" si="962"/>
        <v>58.003450000000001</v>
      </c>
      <c r="AE1570" s="18">
        <f t="shared" si="940"/>
        <v>0</v>
      </c>
      <c r="AF1570" s="18">
        <v>20000</v>
      </c>
      <c r="AG1570" s="18">
        <v>20000</v>
      </c>
      <c r="AH1570" s="18">
        <v>20000</v>
      </c>
      <c r="AI1570" s="18">
        <v>20000</v>
      </c>
      <c r="AJ1570" s="162" t="b">
        <f t="shared" si="953"/>
        <v>0</v>
      </c>
      <c r="AK1570" s="162" t="str">
        <f t="shared" si="954"/>
        <v>PUNO</v>
      </c>
      <c r="AM1570" s="264"/>
    </row>
    <row r="1571" spans="2:39" ht="15.75" x14ac:dyDescent="0.2">
      <c r="B1571" s="177"/>
      <c r="C1571" s="177"/>
      <c r="D1571" s="177"/>
      <c r="E1571" s="177">
        <v>3234</v>
      </c>
      <c r="F1571" s="176">
        <v>42</v>
      </c>
      <c r="G1571" s="176"/>
      <c r="H1571" s="16" t="s">
        <v>238</v>
      </c>
      <c r="I1571" s="18">
        <v>1059500</v>
      </c>
      <c r="J1571" s="18">
        <v>766334.94</v>
      </c>
      <c r="K1571" s="18">
        <f t="shared" si="963"/>
        <v>72.33</v>
      </c>
      <c r="L1571" s="18">
        <f>M1571-I1571</f>
        <v>16760.540000000037</v>
      </c>
      <c r="M1571" s="18">
        <v>1076260.54</v>
      </c>
      <c r="N1571" s="18">
        <v>965000</v>
      </c>
      <c r="O1571" s="18">
        <v>235716.47</v>
      </c>
      <c r="P1571" s="26">
        <f>T1571-N1571</f>
        <v>-506000</v>
      </c>
      <c r="Q1571" s="18">
        <v>965000</v>
      </c>
      <c r="R1571" s="18">
        <v>1012000</v>
      </c>
      <c r="S1571" s="18">
        <v>1043000</v>
      </c>
      <c r="T1571" s="27">
        <v>459000</v>
      </c>
      <c r="U1571" s="27">
        <v>422545.73</v>
      </c>
      <c r="V1571" s="18">
        <v>502000</v>
      </c>
      <c r="W1571" s="18">
        <v>502000</v>
      </c>
      <c r="X1571" s="18">
        <v>502000</v>
      </c>
      <c r="Y1571" s="18">
        <v>118624.92</v>
      </c>
      <c r="Z1571" s="18">
        <f t="shared" si="966"/>
        <v>23.63</v>
      </c>
      <c r="AA1571" s="18">
        <f t="shared" si="944"/>
        <v>-95000</v>
      </c>
      <c r="AB1571" s="18">
        <v>407000</v>
      </c>
      <c r="AC1571" s="18">
        <v>263297.13</v>
      </c>
      <c r="AD1571" s="18">
        <f t="shared" si="962"/>
        <v>64.692169533169533</v>
      </c>
      <c r="AE1571" s="18">
        <f t="shared" si="940"/>
        <v>-21000</v>
      </c>
      <c r="AF1571" s="18">
        <v>386000</v>
      </c>
      <c r="AG1571" s="18">
        <v>386000</v>
      </c>
      <c r="AH1571" s="18">
        <v>386000</v>
      </c>
      <c r="AI1571" s="18">
        <v>386000</v>
      </c>
      <c r="AJ1571" s="162" t="b">
        <f t="shared" si="953"/>
        <v>0</v>
      </c>
      <c r="AK1571" s="162" t="str">
        <f t="shared" si="954"/>
        <v>PUNO</v>
      </c>
      <c r="AM1571" s="264"/>
    </row>
    <row r="1572" spans="2:39" ht="15.75" x14ac:dyDescent="0.2">
      <c r="B1572" s="177"/>
      <c r="C1572" s="177"/>
      <c r="D1572" s="177"/>
      <c r="E1572" s="177">
        <v>3235</v>
      </c>
      <c r="F1572" s="176">
        <v>42</v>
      </c>
      <c r="G1572" s="176"/>
      <c r="H1572" s="16" t="s">
        <v>640</v>
      </c>
      <c r="I1572" s="18"/>
      <c r="J1572" s="18"/>
      <c r="K1572" s="18"/>
      <c r="L1572" s="18"/>
      <c r="M1572" s="18"/>
      <c r="N1572" s="18"/>
      <c r="O1572" s="18"/>
      <c r="P1572" s="26"/>
      <c r="Q1572" s="18"/>
      <c r="R1572" s="18"/>
      <c r="S1572" s="18"/>
      <c r="T1572" s="27"/>
      <c r="U1572" s="27">
        <v>250</v>
      </c>
      <c r="V1572" s="18"/>
      <c r="W1572" s="18"/>
      <c r="X1572" s="18"/>
      <c r="Y1572" s="18"/>
      <c r="Z1572" s="18"/>
      <c r="AA1572" s="18"/>
      <c r="AB1572" s="18"/>
      <c r="AC1572" s="18"/>
      <c r="AD1572" s="18"/>
      <c r="AE1572" s="18"/>
      <c r="AF1572" s="18"/>
      <c r="AG1572" s="18"/>
      <c r="AH1572" s="18"/>
      <c r="AI1572" s="18"/>
      <c r="AJ1572" s="162" t="b">
        <f t="shared" si="953"/>
        <v>0</v>
      </c>
      <c r="AK1572" s="162" t="str">
        <f t="shared" si="954"/>
        <v>PUNO</v>
      </c>
      <c r="AM1572" s="264"/>
    </row>
    <row r="1573" spans="2:39" ht="15.75" x14ac:dyDescent="0.2">
      <c r="B1573" s="177"/>
      <c r="C1573" s="177"/>
      <c r="D1573" s="177"/>
      <c r="E1573" s="177">
        <v>3236</v>
      </c>
      <c r="F1573" s="176">
        <v>42</v>
      </c>
      <c r="G1573" s="176"/>
      <c r="H1573" s="16" t="s">
        <v>843</v>
      </c>
      <c r="I1573" s="18">
        <v>49000</v>
      </c>
      <c r="J1573" s="18">
        <v>24284.38</v>
      </c>
      <c r="K1573" s="18">
        <f t="shared" si="963"/>
        <v>49.56</v>
      </c>
      <c r="L1573" s="18">
        <f t="shared" ref="L1573:L1588" si="967">M1573-I1573</f>
        <v>-8718.3799999999974</v>
      </c>
      <c r="M1573" s="18">
        <v>40281.620000000003</v>
      </c>
      <c r="N1573" s="18">
        <v>50000</v>
      </c>
      <c r="O1573" s="18">
        <v>23658.38</v>
      </c>
      <c r="P1573" s="26">
        <f t="shared" ref="P1573:P1588" si="968">T1573-N1573</f>
        <v>2000</v>
      </c>
      <c r="Q1573" s="18">
        <v>50000</v>
      </c>
      <c r="R1573" s="18">
        <v>52000</v>
      </c>
      <c r="S1573" s="18">
        <v>53000</v>
      </c>
      <c r="T1573" s="27">
        <v>52000</v>
      </c>
      <c r="U1573" s="27">
        <v>47675.34</v>
      </c>
      <c r="V1573" s="18">
        <v>50000</v>
      </c>
      <c r="W1573" s="18">
        <v>50000</v>
      </c>
      <c r="X1573" s="18">
        <v>50000</v>
      </c>
      <c r="Y1573" s="18">
        <v>7821.01</v>
      </c>
      <c r="Z1573" s="18">
        <f t="shared" si="966"/>
        <v>15.64</v>
      </c>
      <c r="AA1573" s="18">
        <f t="shared" si="944"/>
        <v>4000</v>
      </c>
      <c r="AB1573" s="18">
        <v>54000</v>
      </c>
      <c r="AC1573" s="18">
        <v>30678.25</v>
      </c>
      <c r="AD1573" s="18">
        <f t="shared" si="962"/>
        <v>56.81157407407408</v>
      </c>
      <c r="AE1573" s="18">
        <f t="shared" ref="AE1573:AE1634" si="969">AF1573-AB1573</f>
        <v>-1000</v>
      </c>
      <c r="AF1573" s="18">
        <v>53000</v>
      </c>
      <c r="AG1573" s="18">
        <v>53000</v>
      </c>
      <c r="AH1573" s="18">
        <v>53000</v>
      </c>
      <c r="AI1573" s="18">
        <v>53000</v>
      </c>
      <c r="AJ1573" s="162" t="b">
        <f t="shared" si="953"/>
        <v>0</v>
      </c>
      <c r="AK1573" s="162" t="str">
        <f t="shared" si="954"/>
        <v>PUNO</v>
      </c>
      <c r="AM1573" s="264"/>
    </row>
    <row r="1574" spans="2:39" ht="15.75" x14ac:dyDescent="0.2">
      <c r="B1574" s="177"/>
      <c r="C1574" s="177"/>
      <c r="D1574" s="177"/>
      <c r="E1574" s="177">
        <v>3237</v>
      </c>
      <c r="F1574" s="176">
        <v>42</v>
      </c>
      <c r="G1574" s="176"/>
      <c r="H1574" s="16" t="s">
        <v>566</v>
      </c>
      <c r="I1574" s="18">
        <v>68000</v>
      </c>
      <c r="J1574" s="18">
        <v>31104.49</v>
      </c>
      <c r="K1574" s="18">
        <f t="shared" si="963"/>
        <v>45.74</v>
      </c>
      <c r="L1574" s="18">
        <f t="shared" si="967"/>
        <v>-17583.57</v>
      </c>
      <c r="M1574" s="18">
        <v>50416.43</v>
      </c>
      <c r="N1574" s="18">
        <v>88000</v>
      </c>
      <c r="O1574" s="18">
        <v>57138.75</v>
      </c>
      <c r="P1574" s="26">
        <f t="shared" si="968"/>
        <v>-3000</v>
      </c>
      <c r="Q1574" s="18">
        <v>88000</v>
      </c>
      <c r="R1574" s="18">
        <v>69000</v>
      </c>
      <c r="S1574" s="18">
        <v>71000</v>
      </c>
      <c r="T1574" s="27">
        <v>85000</v>
      </c>
      <c r="U1574" s="27">
        <v>118047.17</v>
      </c>
      <c r="V1574" s="18">
        <v>40500</v>
      </c>
      <c r="W1574" s="18">
        <v>40500</v>
      </c>
      <c r="X1574" s="18">
        <v>40500</v>
      </c>
      <c r="Y1574" s="18">
        <v>15551.75</v>
      </c>
      <c r="Z1574" s="18">
        <f t="shared" si="966"/>
        <v>38.4</v>
      </c>
      <c r="AA1574" s="18">
        <f t="shared" si="944"/>
        <v>20000</v>
      </c>
      <c r="AB1574" s="18">
        <v>60500</v>
      </c>
      <c r="AC1574" s="18">
        <v>37409.75</v>
      </c>
      <c r="AD1574" s="18">
        <f t="shared" si="962"/>
        <v>61.834297520661153</v>
      </c>
      <c r="AE1574" s="18">
        <f t="shared" si="969"/>
        <v>1500</v>
      </c>
      <c r="AF1574" s="18">
        <v>62000</v>
      </c>
      <c r="AG1574" s="18">
        <v>52000</v>
      </c>
      <c r="AH1574" s="18">
        <v>52000</v>
      </c>
      <c r="AI1574" s="18">
        <v>52000</v>
      </c>
      <c r="AJ1574" s="162" t="b">
        <f t="shared" si="953"/>
        <v>0</v>
      </c>
      <c r="AK1574" s="162" t="str">
        <f t="shared" si="954"/>
        <v>PUNO</v>
      </c>
      <c r="AM1574" s="264"/>
    </row>
    <row r="1575" spans="2:39" ht="15.75" x14ac:dyDescent="0.2">
      <c r="B1575" s="177"/>
      <c r="C1575" s="177"/>
      <c r="D1575" s="177"/>
      <c r="E1575" s="177">
        <v>3238</v>
      </c>
      <c r="F1575" s="176">
        <v>42</v>
      </c>
      <c r="G1575" s="176"/>
      <c r="H1575" s="16" t="s">
        <v>398</v>
      </c>
      <c r="I1575" s="18">
        <v>80000</v>
      </c>
      <c r="J1575" s="18">
        <v>28198.26</v>
      </c>
      <c r="K1575" s="18">
        <f t="shared" si="963"/>
        <v>35.25</v>
      </c>
      <c r="L1575" s="18">
        <f t="shared" si="967"/>
        <v>-33127.879999999997</v>
      </c>
      <c r="M1575" s="18">
        <v>46872.12</v>
      </c>
      <c r="N1575" s="18">
        <v>40000</v>
      </c>
      <c r="O1575" s="18">
        <v>21889.16</v>
      </c>
      <c r="P1575" s="26">
        <f t="shared" si="968"/>
        <v>5000</v>
      </c>
      <c r="Q1575" s="18">
        <v>40000</v>
      </c>
      <c r="R1575" s="18">
        <v>70000</v>
      </c>
      <c r="S1575" s="18">
        <v>72000</v>
      </c>
      <c r="T1575" s="27">
        <v>45000</v>
      </c>
      <c r="U1575" s="27">
        <v>61311.91</v>
      </c>
      <c r="V1575" s="18">
        <v>31000</v>
      </c>
      <c r="W1575" s="18">
        <v>31000</v>
      </c>
      <c r="X1575" s="18">
        <v>31000</v>
      </c>
      <c r="Y1575" s="18">
        <v>13557.68</v>
      </c>
      <c r="Z1575" s="18">
        <f t="shared" si="966"/>
        <v>43.73</v>
      </c>
      <c r="AA1575" s="18">
        <f t="shared" si="944"/>
        <v>8000</v>
      </c>
      <c r="AB1575" s="18">
        <v>39000</v>
      </c>
      <c r="AC1575" s="18">
        <v>28342.68</v>
      </c>
      <c r="AD1575" s="18">
        <f t="shared" si="962"/>
        <v>72.67353846153847</v>
      </c>
      <c r="AE1575" s="18">
        <f t="shared" si="969"/>
        <v>0</v>
      </c>
      <c r="AF1575" s="18">
        <v>39000</v>
      </c>
      <c r="AG1575" s="18">
        <v>39000</v>
      </c>
      <c r="AH1575" s="18">
        <v>39000</v>
      </c>
      <c r="AI1575" s="18">
        <v>39000</v>
      </c>
      <c r="AJ1575" s="162" t="b">
        <f t="shared" si="953"/>
        <v>0</v>
      </c>
      <c r="AK1575" s="162" t="str">
        <f t="shared" si="954"/>
        <v>PUNO</v>
      </c>
      <c r="AM1575" s="264"/>
    </row>
    <row r="1576" spans="2:39" ht="15.75" x14ac:dyDescent="0.2">
      <c r="B1576" s="177"/>
      <c r="C1576" s="177"/>
      <c r="D1576" s="177"/>
      <c r="E1576" s="177">
        <v>3239</v>
      </c>
      <c r="F1576" s="176">
        <v>42</v>
      </c>
      <c r="G1576" s="176"/>
      <c r="H1576" s="16" t="s">
        <v>529</v>
      </c>
      <c r="I1576" s="18">
        <v>41000</v>
      </c>
      <c r="J1576" s="18">
        <v>37121.5</v>
      </c>
      <c r="K1576" s="18">
        <f t="shared" si="963"/>
        <v>90.54</v>
      </c>
      <c r="L1576" s="18">
        <f t="shared" si="967"/>
        <v>19471.75</v>
      </c>
      <c r="M1576" s="18">
        <v>60471.75</v>
      </c>
      <c r="N1576" s="18">
        <v>56000</v>
      </c>
      <c r="O1576" s="18">
        <v>15741.67</v>
      </c>
      <c r="P1576" s="26">
        <f t="shared" si="968"/>
        <v>1000</v>
      </c>
      <c r="Q1576" s="18">
        <v>56000</v>
      </c>
      <c r="R1576" s="18">
        <v>41000</v>
      </c>
      <c r="S1576" s="18">
        <v>42000</v>
      </c>
      <c r="T1576" s="27">
        <v>57000</v>
      </c>
      <c r="U1576" s="27">
        <v>33973.050000000003</v>
      </c>
      <c r="V1576" s="18">
        <v>29000</v>
      </c>
      <c r="W1576" s="18">
        <v>29000</v>
      </c>
      <c r="X1576" s="18">
        <v>29000</v>
      </c>
      <c r="Y1576" s="18">
        <v>8720.4500000000007</v>
      </c>
      <c r="Z1576" s="18">
        <f t="shared" si="966"/>
        <v>30.07</v>
      </c>
      <c r="AA1576" s="18">
        <f t="shared" si="944"/>
        <v>0</v>
      </c>
      <c r="AB1576" s="18">
        <v>29000</v>
      </c>
      <c r="AC1576" s="18">
        <v>17586.05</v>
      </c>
      <c r="AD1576" s="18">
        <f t="shared" si="962"/>
        <v>60.641551724137933</v>
      </c>
      <c r="AE1576" s="18">
        <f t="shared" si="969"/>
        <v>2500</v>
      </c>
      <c r="AF1576" s="18">
        <v>31500</v>
      </c>
      <c r="AG1576" s="18">
        <v>31500</v>
      </c>
      <c r="AH1576" s="18">
        <v>31500</v>
      </c>
      <c r="AI1576" s="18">
        <v>31500</v>
      </c>
      <c r="AJ1576" s="162" t="b">
        <f t="shared" si="953"/>
        <v>0</v>
      </c>
      <c r="AK1576" s="162" t="str">
        <f t="shared" si="954"/>
        <v>PUNO</v>
      </c>
      <c r="AM1576" s="264"/>
    </row>
    <row r="1577" spans="2:39" ht="15.75" x14ac:dyDescent="0.2">
      <c r="B1577" s="177"/>
      <c r="C1577" s="177"/>
      <c r="D1577" s="177">
        <v>324</v>
      </c>
      <c r="E1577" s="177"/>
      <c r="F1577" s="176"/>
      <c r="G1577" s="176"/>
      <c r="H1577" s="16" t="s">
        <v>530</v>
      </c>
      <c r="I1577" s="18">
        <f>I1578</f>
        <v>1500</v>
      </c>
      <c r="J1577" s="18">
        <f>J1578</f>
        <v>510</v>
      </c>
      <c r="K1577" s="18">
        <f t="shared" si="963"/>
        <v>34</v>
      </c>
      <c r="L1577" s="18">
        <f t="shared" si="967"/>
        <v>-650</v>
      </c>
      <c r="M1577" s="18">
        <f>M1578</f>
        <v>850</v>
      </c>
      <c r="N1577" s="18">
        <f>N1578</f>
        <v>1000</v>
      </c>
      <c r="O1577" s="18">
        <f>O1578</f>
        <v>0</v>
      </c>
      <c r="P1577" s="26">
        <f t="shared" si="968"/>
        <v>-1000</v>
      </c>
      <c r="Q1577" s="18">
        <f t="shared" ref="Q1577:AI1577" si="970">Q1578</f>
        <v>1000</v>
      </c>
      <c r="R1577" s="18">
        <f t="shared" si="970"/>
        <v>1000</v>
      </c>
      <c r="S1577" s="18">
        <f t="shared" si="970"/>
        <v>1000</v>
      </c>
      <c r="T1577" s="27">
        <f t="shared" si="970"/>
        <v>0</v>
      </c>
      <c r="U1577" s="27">
        <f t="shared" si="970"/>
        <v>0</v>
      </c>
      <c r="V1577" s="18">
        <f t="shared" si="970"/>
        <v>0</v>
      </c>
      <c r="W1577" s="18">
        <f t="shared" si="970"/>
        <v>0</v>
      </c>
      <c r="X1577" s="18">
        <f t="shared" si="970"/>
        <v>0</v>
      </c>
      <c r="Y1577" s="18">
        <f t="shared" si="970"/>
        <v>0</v>
      </c>
      <c r="Z1577" s="18" t="e">
        <f t="shared" si="966"/>
        <v>#DIV/0!</v>
      </c>
      <c r="AA1577" s="18">
        <f t="shared" si="944"/>
        <v>0</v>
      </c>
      <c r="AB1577" s="18">
        <f t="shared" si="970"/>
        <v>0</v>
      </c>
      <c r="AC1577" s="18">
        <f t="shared" si="970"/>
        <v>0</v>
      </c>
      <c r="AD1577" s="18"/>
      <c r="AE1577" s="18">
        <f t="shared" si="969"/>
        <v>0</v>
      </c>
      <c r="AF1577" s="18">
        <f t="shared" si="970"/>
        <v>0</v>
      </c>
      <c r="AG1577" s="18">
        <f t="shared" si="970"/>
        <v>0</v>
      </c>
      <c r="AH1577" s="18">
        <f t="shared" si="970"/>
        <v>0</v>
      </c>
      <c r="AI1577" s="18">
        <f t="shared" si="970"/>
        <v>0</v>
      </c>
      <c r="AJ1577" s="162" t="b">
        <f t="shared" si="953"/>
        <v>1</v>
      </c>
      <c r="AK1577" s="162" t="str">
        <f t="shared" si="954"/>
        <v>PRAZNO</v>
      </c>
      <c r="AM1577" s="264"/>
    </row>
    <row r="1578" spans="2:39" ht="15.75" x14ac:dyDescent="0.2">
      <c r="B1578" s="177"/>
      <c r="C1578" s="177"/>
      <c r="D1578" s="177"/>
      <c r="E1578" s="177">
        <v>3241</v>
      </c>
      <c r="F1578" s="176">
        <v>42</v>
      </c>
      <c r="G1578" s="176"/>
      <c r="H1578" s="16" t="s">
        <v>530</v>
      </c>
      <c r="I1578" s="18">
        <v>1500</v>
      </c>
      <c r="J1578" s="18">
        <v>510</v>
      </c>
      <c r="K1578" s="18">
        <f t="shared" si="963"/>
        <v>34</v>
      </c>
      <c r="L1578" s="18">
        <f t="shared" si="967"/>
        <v>-650</v>
      </c>
      <c r="M1578" s="18">
        <v>850</v>
      </c>
      <c r="N1578" s="18">
        <v>1000</v>
      </c>
      <c r="O1578" s="18">
        <v>0</v>
      </c>
      <c r="P1578" s="26">
        <f t="shared" si="968"/>
        <v>-1000</v>
      </c>
      <c r="Q1578" s="18">
        <v>1000</v>
      </c>
      <c r="R1578" s="18">
        <v>1000</v>
      </c>
      <c r="S1578" s="18">
        <v>1000</v>
      </c>
      <c r="T1578" s="27">
        <v>0</v>
      </c>
      <c r="U1578" s="27">
        <v>0</v>
      </c>
      <c r="V1578" s="18">
        <v>0</v>
      </c>
      <c r="W1578" s="18">
        <v>0</v>
      </c>
      <c r="X1578" s="18">
        <v>0</v>
      </c>
      <c r="Y1578" s="18"/>
      <c r="Z1578" s="18" t="e">
        <f t="shared" si="966"/>
        <v>#DIV/0!</v>
      </c>
      <c r="AA1578" s="18">
        <f t="shared" si="944"/>
        <v>0</v>
      </c>
      <c r="AB1578" s="18">
        <v>0</v>
      </c>
      <c r="AC1578" s="18"/>
      <c r="AD1578" s="18"/>
      <c r="AE1578" s="18">
        <f t="shared" si="969"/>
        <v>0</v>
      </c>
      <c r="AF1578" s="18">
        <v>0</v>
      </c>
      <c r="AG1578" s="18">
        <v>0</v>
      </c>
      <c r="AH1578" s="18">
        <v>0</v>
      </c>
      <c r="AI1578" s="18">
        <v>0</v>
      </c>
      <c r="AJ1578" s="162" t="b">
        <f t="shared" si="953"/>
        <v>0</v>
      </c>
      <c r="AK1578" s="162" t="str">
        <f t="shared" si="954"/>
        <v>PUNO</v>
      </c>
      <c r="AM1578" s="264"/>
    </row>
    <row r="1579" spans="2:39" ht="15.75" x14ac:dyDescent="0.2">
      <c r="B1579" s="177"/>
      <c r="C1579" s="177"/>
      <c r="D1579" s="177">
        <v>329</v>
      </c>
      <c r="E1579" s="177"/>
      <c r="F1579" s="177"/>
      <c r="G1579" s="177"/>
      <c r="H1579" s="16" t="s">
        <v>531</v>
      </c>
      <c r="I1579" s="17">
        <f>SUM(I1580:I1584)</f>
        <v>254000</v>
      </c>
      <c r="J1579" s="17">
        <f>SUM(J1580:J1584)</f>
        <v>183513.93</v>
      </c>
      <c r="K1579" s="17">
        <f t="shared" si="963"/>
        <v>72.25</v>
      </c>
      <c r="L1579" s="17">
        <f t="shared" si="967"/>
        <v>11371.429999999993</v>
      </c>
      <c r="M1579" s="17">
        <f>SUM(M1580:M1584)</f>
        <v>265371.43</v>
      </c>
      <c r="N1579" s="17">
        <f>SUM(N1580:N1584)</f>
        <v>255000</v>
      </c>
      <c r="O1579" s="17">
        <f>SUM(O1580:O1584)</f>
        <v>148646.21</v>
      </c>
      <c r="P1579" s="26">
        <f t="shared" si="968"/>
        <v>-12000</v>
      </c>
      <c r="Q1579" s="17">
        <f t="shared" ref="Q1579:X1579" si="971">SUM(Q1580:Q1584)</f>
        <v>255000</v>
      </c>
      <c r="R1579" s="17">
        <f t="shared" si="971"/>
        <v>234000</v>
      </c>
      <c r="S1579" s="17">
        <f t="shared" si="971"/>
        <v>243000</v>
      </c>
      <c r="T1579" s="26">
        <f t="shared" si="971"/>
        <v>243000</v>
      </c>
      <c r="U1579" s="26">
        <f>SUM(U1580:U1584)</f>
        <v>243252.93</v>
      </c>
      <c r="V1579" s="17">
        <f t="shared" si="971"/>
        <v>191000</v>
      </c>
      <c r="W1579" s="17">
        <f t="shared" si="971"/>
        <v>191000</v>
      </c>
      <c r="X1579" s="17">
        <f t="shared" si="971"/>
        <v>201000</v>
      </c>
      <c r="Y1579" s="17">
        <f>SUM(Y1580:Y1584)</f>
        <v>68588.78</v>
      </c>
      <c r="Z1579" s="17">
        <f t="shared" si="966"/>
        <v>35.909999999999997</v>
      </c>
      <c r="AA1579" s="17">
        <f t="shared" si="944"/>
        <v>0</v>
      </c>
      <c r="AB1579" s="17">
        <f>SUM(AB1580:AB1584)</f>
        <v>191000</v>
      </c>
      <c r="AC1579" s="17">
        <f>SUM(AC1580:AC1584)</f>
        <v>147201.24</v>
      </c>
      <c r="AD1579" s="17">
        <f t="shared" si="962"/>
        <v>77.068712041884808</v>
      </c>
      <c r="AE1579" s="17">
        <f t="shared" si="969"/>
        <v>22200</v>
      </c>
      <c r="AF1579" s="17">
        <f>SUM(AF1580:AF1584)</f>
        <v>213200</v>
      </c>
      <c r="AG1579" s="17">
        <f>SUM(AG1580:AG1584)</f>
        <v>224200</v>
      </c>
      <c r="AH1579" s="17">
        <f>SUM(AH1580:AH1584)</f>
        <v>224200</v>
      </c>
      <c r="AI1579" s="17">
        <f>SUM(AI1580:AI1584)</f>
        <v>224200</v>
      </c>
      <c r="AJ1579" s="162" t="b">
        <f t="shared" si="953"/>
        <v>1</v>
      </c>
      <c r="AK1579" s="162" t="str">
        <f t="shared" si="954"/>
        <v>PRAZNO</v>
      </c>
      <c r="AM1579" s="264"/>
    </row>
    <row r="1580" spans="2:39" ht="30" x14ac:dyDescent="0.2">
      <c r="B1580" s="177"/>
      <c r="C1580" s="177"/>
      <c r="D1580" s="177"/>
      <c r="E1580" s="177">
        <v>3291</v>
      </c>
      <c r="F1580" s="176">
        <v>42</v>
      </c>
      <c r="G1580" s="177"/>
      <c r="H1580" s="16" t="s">
        <v>532</v>
      </c>
      <c r="I1580" s="17">
        <v>50000</v>
      </c>
      <c r="J1580" s="17">
        <v>32078.16</v>
      </c>
      <c r="K1580" s="17">
        <f t="shared" si="963"/>
        <v>64.16</v>
      </c>
      <c r="L1580" s="17">
        <f t="shared" si="967"/>
        <v>-11852.400000000001</v>
      </c>
      <c r="M1580" s="17">
        <v>38147.599999999999</v>
      </c>
      <c r="N1580" s="17">
        <v>30000</v>
      </c>
      <c r="O1580" s="17">
        <v>7821.03</v>
      </c>
      <c r="P1580" s="26">
        <f t="shared" si="968"/>
        <v>-12000</v>
      </c>
      <c r="Q1580" s="17">
        <v>30000</v>
      </c>
      <c r="R1580" s="17">
        <v>31000</v>
      </c>
      <c r="S1580" s="17">
        <v>32000</v>
      </c>
      <c r="T1580" s="26">
        <v>18000</v>
      </c>
      <c r="U1580" s="26">
        <v>17552.88</v>
      </c>
      <c r="V1580" s="17">
        <v>15000</v>
      </c>
      <c r="W1580" s="17">
        <v>15000</v>
      </c>
      <c r="X1580" s="17">
        <v>15000</v>
      </c>
      <c r="Y1580" s="17">
        <v>4699.33</v>
      </c>
      <c r="Z1580" s="17">
        <f t="shared" si="966"/>
        <v>31.33</v>
      </c>
      <c r="AA1580" s="17">
        <f t="shared" si="944"/>
        <v>0</v>
      </c>
      <c r="AB1580" s="17">
        <v>15000</v>
      </c>
      <c r="AC1580" s="17">
        <v>18106.05</v>
      </c>
      <c r="AD1580" s="17">
        <f t="shared" si="962"/>
        <v>120.70699999999999</v>
      </c>
      <c r="AE1580" s="17">
        <f t="shared" si="969"/>
        <v>15000</v>
      </c>
      <c r="AF1580" s="17">
        <v>30000</v>
      </c>
      <c r="AG1580" s="17">
        <v>45000</v>
      </c>
      <c r="AH1580" s="17">
        <v>45000</v>
      </c>
      <c r="AI1580" s="17">
        <v>45000</v>
      </c>
      <c r="AJ1580" s="162" t="b">
        <f t="shared" si="953"/>
        <v>0</v>
      </c>
      <c r="AK1580" s="162" t="str">
        <f t="shared" si="954"/>
        <v>PUNO</v>
      </c>
      <c r="AM1580" s="264"/>
    </row>
    <row r="1581" spans="2:39" ht="15.75" x14ac:dyDescent="0.2">
      <c r="B1581" s="177"/>
      <c r="C1581" s="177"/>
      <c r="D1581" s="177"/>
      <c r="E1581" s="177">
        <v>3292</v>
      </c>
      <c r="F1581" s="176">
        <v>42</v>
      </c>
      <c r="G1581" s="176"/>
      <c r="H1581" s="16" t="s">
        <v>399</v>
      </c>
      <c r="I1581" s="18">
        <v>139000</v>
      </c>
      <c r="J1581" s="18">
        <v>108081.4</v>
      </c>
      <c r="K1581" s="18">
        <f t="shared" si="963"/>
        <v>77.760000000000005</v>
      </c>
      <c r="L1581" s="18">
        <f t="shared" si="967"/>
        <v>-1375.7399999999907</v>
      </c>
      <c r="M1581" s="18">
        <v>137624.26</v>
      </c>
      <c r="N1581" s="18">
        <v>140000</v>
      </c>
      <c r="O1581" s="18">
        <v>99460.15</v>
      </c>
      <c r="P1581" s="26">
        <f t="shared" si="968"/>
        <v>0</v>
      </c>
      <c r="Q1581" s="18">
        <v>140000</v>
      </c>
      <c r="R1581" s="18">
        <v>141000</v>
      </c>
      <c r="S1581" s="18">
        <v>145000</v>
      </c>
      <c r="T1581" s="27">
        <v>140000</v>
      </c>
      <c r="U1581" s="27">
        <v>135169.34</v>
      </c>
      <c r="V1581" s="18">
        <v>140000</v>
      </c>
      <c r="W1581" s="18">
        <v>140000</v>
      </c>
      <c r="X1581" s="18">
        <v>140000</v>
      </c>
      <c r="Y1581" s="18">
        <v>54208.85</v>
      </c>
      <c r="Z1581" s="18">
        <f t="shared" si="966"/>
        <v>38.72</v>
      </c>
      <c r="AA1581" s="18">
        <f t="shared" si="944"/>
        <v>0</v>
      </c>
      <c r="AB1581" s="18">
        <v>140000</v>
      </c>
      <c r="AC1581" s="18">
        <v>104037.59</v>
      </c>
      <c r="AD1581" s="18">
        <f t="shared" si="962"/>
        <v>74.312564285714288</v>
      </c>
      <c r="AE1581" s="18">
        <f t="shared" si="969"/>
        <v>-5000</v>
      </c>
      <c r="AF1581" s="18">
        <v>135000</v>
      </c>
      <c r="AG1581" s="18">
        <v>135000</v>
      </c>
      <c r="AH1581" s="18">
        <v>135000</v>
      </c>
      <c r="AI1581" s="18">
        <v>135000</v>
      </c>
      <c r="AJ1581" s="162" t="b">
        <f t="shared" si="953"/>
        <v>0</v>
      </c>
      <c r="AK1581" s="162" t="str">
        <f t="shared" si="954"/>
        <v>PUNO</v>
      </c>
      <c r="AM1581" s="264"/>
    </row>
    <row r="1582" spans="2:39" ht="15.75" x14ac:dyDescent="0.2">
      <c r="B1582" s="177"/>
      <c r="C1582" s="177"/>
      <c r="D1582" s="177"/>
      <c r="E1582" s="177">
        <v>3293</v>
      </c>
      <c r="F1582" s="176">
        <v>42</v>
      </c>
      <c r="G1582" s="176"/>
      <c r="H1582" s="16" t="s">
        <v>533</v>
      </c>
      <c r="I1582" s="18">
        <v>45000</v>
      </c>
      <c r="J1582" s="18">
        <v>35204.22</v>
      </c>
      <c r="K1582" s="18">
        <f t="shared" si="963"/>
        <v>78.23</v>
      </c>
      <c r="L1582" s="18">
        <f t="shared" si="967"/>
        <v>12808.690000000002</v>
      </c>
      <c r="M1582" s="18">
        <v>57808.69</v>
      </c>
      <c r="N1582" s="18">
        <v>54000</v>
      </c>
      <c r="O1582" s="18">
        <v>31280.63</v>
      </c>
      <c r="P1582" s="26">
        <f t="shared" si="968"/>
        <v>0</v>
      </c>
      <c r="Q1582" s="18">
        <v>54000</v>
      </c>
      <c r="R1582" s="18">
        <v>41000</v>
      </c>
      <c r="S1582" s="18">
        <v>43000</v>
      </c>
      <c r="T1582" s="27">
        <v>54000</v>
      </c>
      <c r="U1582" s="27">
        <v>59357.58</v>
      </c>
      <c r="V1582" s="18">
        <v>20000</v>
      </c>
      <c r="W1582" s="18">
        <v>20000</v>
      </c>
      <c r="X1582" s="18">
        <v>30000</v>
      </c>
      <c r="Y1582" s="18">
        <v>4445.6000000000004</v>
      </c>
      <c r="Z1582" s="18">
        <f t="shared" si="966"/>
        <v>22.23</v>
      </c>
      <c r="AA1582" s="18">
        <f t="shared" si="944"/>
        <v>0</v>
      </c>
      <c r="AB1582" s="18">
        <v>20000</v>
      </c>
      <c r="AC1582" s="18">
        <v>12405.1</v>
      </c>
      <c r="AD1582" s="18">
        <f t="shared" si="962"/>
        <v>62.025500000000001</v>
      </c>
      <c r="AE1582" s="18">
        <f t="shared" si="969"/>
        <v>2000</v>
      </c>
      <c r="AF1582" s="18">
        <v>22000</v>
      </c>
      <c r="AG1582" s="18">
        <v>22000</v>
      </c>
      <c r="AH1582" s="18">
        <v>22000</v>
      </c>
      <c r="AI1582" s="18">
        <v>22000</v>
      </c>
      <c r="AJ1582" s="162" t="b">
        <f t="shared" si="953"/>
        <v>0</v>
      </c>
      <c r="AK1582" s="162" t="str">
        <f t="shared" si="954"/>
        <v>PUNO</v>
      </c>
      <c r="AM1582" s="264"/>
    </row>
    <row r="1583" spans="2:39" ht="15.75" x14ac:dyDescent="0.2">
      <c r="B1583" s="177"/>
      <c r="C1583" s="177"/>
      <c r="D1583" s="177"/>
      <c r="E1583" s="177">
        <v>3295</v>
      </c>
      <c r="F1583" s="176">
        <v>42</v>
      </c>
      <c r="G1583" s="176"/>
      <c r="H1583" s="16" t="s">
        <v>400</v>
      </c>
      <c r="I1583" s="18">
        <v>2000</v>
      </c>
      <c r="J1583" s="18">
        <v>40</v>
      </c>
      <c r="K1583" s="18">
        <f t="shared" si="963"/>
        <v>2</v>
      </c>
      <c r="L1583" s="18">
        <f t="shared" si="967"/>
        <v>-1910</v>
      </c>
      <c r="M1583" s="18">
        <v>90</v>
      </c>
      <c r="N1583" s="18">
        <v>1000</v>
      </c>
      <c r="O1583" s="18">
        <v>250</v>
      </c>
      <c r="P1583" s="26">
        <f t="shared" si="968"/>
        <v>0</v>
      </c>
      <c r="Q1583" s="18">
        <v>1000</v>
      </c>
      <c r="R1583" s="18">
        <v>1000</v>
      </c>
      <c r="S1583" s="18">
        <v>1000</v>
      </c>
      <c r="T1583" s="27">
        <v>1000</v>
      </c>
      <c r="U1583" s="27">
        <v>1206.25</v>
      </c>
      <c r="V1583" s="18">
        <v>1000</v>
      </c>
      <c r="W1583" s="18">
        <v>1000</v>
      </c>
      <c r="X1583" s="18">
        <v>1000</v>
      </c>
      <c r="Y1583" s="18">
        <v>107.5</v>
      </c>
      <c r="Z1583" s="18">
        <f t="shared" si="966"/>
        <v>10.75</v>
      </c>
      <c r="AA1583" s="18">
        <f t="shared" si="944"/>
        <v>0</v>
      </c>
      <c r="AB1583" s="18">
        <v>1000</v>
      </c>
      <c r="AC1583" s="18">
        <v>745</v>
      </c>
      <c r="AD1583" s="18">
        <f t="shared" si="962"/>
        <v>74.5</v>
      </c>
      <c r="AE1583" s="18">
        <f t="shared" si="969"/>
        <v>200</v>
      </c>
      <c r="AF1583" s="18">
        <v>1200</v>
      </c>
      <c r="AG1583" s="18">
        <v>1200</v>
      </c>
      <c r="AH1583" s="18">
        <v>1200</v>
      </c>
      <c r="AI1583" s="18">
        <v>1200</v>
      </c>
      <c r="AJ1583" s="162" t="b">
        <f t="shared" si="953"/>
        <v>0</v>
      </c>
      <c r="AK1583" s="162" t="str">
        <f t="shared" si="954"/>
        <v>PUNO</v>
      </c>
      <c r="AM1583" s="264"/>
    </row>
    <row r="1584" spans="2:39" ht="15.75" x14ac:dyDescent="0.2">
      <c r="B1584" s="177"/>
      <c r="C1584" s="177"/>
      <c r="D1584" s="177"/>
      <c r="E1584" s="177">
        <v>3299</v>
      </c>
      <c r="F1584" s="176">
        <v>42</v>
      </c>
      <c r="G1584" s="176"/>
      <c r="H1584" s="16" t="s">
        <v>531</v>
      </c>
      <c r="I1584" s="18">
        <v>18000</v>
      </c>
      <c r="J1584" s="18">
        <v>8110.15</v>
      </c>
      <c r="K1584" s="18">
        <f t="shared" si="963"/>
        <v>45.06</v>
      </c>
      <c r="L1584" s="18">
        <f t="shared" si="967"/>
        <v>13700.880000000001</v>
      </c>
      <c r="M1584" s="18">
        <v>31700.880000000001</v>
      </c>
      <c r="N1584" s="18">
        <v>30000</v>
      </c>
      <c r="O1584" s="18">
        <v>9834.4</v>
      </c>
      <c r="P1584" s="26">
        <f t="shared" si="968"/>
        <v>0</v>
      </c>
      <c r="Q1584" s="18">
        <v>30000</v>
      </c>
      <c r="R1584" s="18">
        <v>20000</v>
      </c>
      <c r="S1584" s="18">
        <v>22000</v>
      </c>
      <c r="T1584" s="27">
        <v>30000</v>
      </c>
      <c r="U1584" s="27">
        <v>29966.880000000001</v>
      </c>
      <c r="V1584" s="18">
        <v>15000</v>
      </c>
      <c r="W1584" s="18">
        <v>15000</v>
      </c>
      <c r="X1584" s="18">
        <v>15000</v>
      </c>
      <c r="Y1584" s="18">
        <v>5127.5</v>
      </c>
      <c r="Z1584" s="18">
        <f t="shared" si="966"/>
        <v>34.18</v>
      </c>
      <c r="AA1584" s="18">
        <f t="shared" si="944"/>
        <v>0</v>
      </c>
      <c r="AB1584" s="18">
        <v>15000</v>
      </c>
      <c r="AC1584" s="18">
        <v>11907.5</v>
      </c>
      <c r="AD1584" s="18">
        <f t="shared" si="962"/>
        <v>79.383333333333326</v>
      </c>
      <c r="AE1584" s="18">
        <f t="shared" si="969"/>
        <v>10000</v>
      </c>
      <c r="AF1584" s="18">
        <v>25000</v>
      </c>
      <c r="AG1584" s="18">
        <v>21000</v>
      </c>
      <c r="AH1584" s="18">
        <v>21000</v>
      </c>
      <c r="AI1584" s="18">
        <v>21000</v>
      </c>
      <c r="AJ1584" s="162" t="b">
        <f t="shared" si="953"/>
        <v>0</v>
      </c>
      <c r="AK1584" s="162" t="str">
        <f t="shared" si="954"/>
        <v>PUNO</v>
      </c>
      <c r="AM1584" s="264"/>
    </row>
    <row r="1585" spans="1:39" ht="15.75" x14ac:dyDescent="0.2">
      <c r="B1585" s="177"/>
      <c r="C1585" s="177">
        <v>34</v>
      </c>
      <c r="D1585" s="177"/>
      <c r="E1585" s="177"/>
      <c r="F1585" s="177"/>
      <c r="G1585" s="177"/>
      <c r="H1585" s="16" t="s">
        <v>208</v>
      </c>
      <c r="I1585" s="17">
        <f>I1586</f>
        <v>33000</v>
      </c>
      <c r="J1585" s="17">
        <f>J1586</f>
        <v>20038.969999999998</v>
      </c>
      <c r="K1585" s="17">
        <f t="shared" si="963"/>
        <v>60.72</v>
      </c>
      <c r="L1585" s="17">
        <f t="shared" si="967"/>
        <v>-2909.5400000000009</v>
      </c>
      <c r="M1585" s="17">
        <f>M1586</f>
        <v>30090.46</v>
      </c>
      <c r="N1585" s="17">
        <f>N1586</f>
        <v>33000</v>
      </c>
      <c r="O1585" s="17">
        <f>O1586</f>
        <v>16528.87</v>
      </c>
      <c r="P1585" s="26">
        <f t="shared" si="968"/>
        <v>-2000</v>
      </c>
      <c r="Q1585" s="17">
        <f t="shared" ref="Q1585:AI1585" si="972">Q1586</f>
        <v>33000</v>
      </c>
      <c r="R1585" s="17">
        <f t="shared" si="972"/>
        <v>33000</v>
      </c>
      <c r="S1585" s="17">
        <f t="shared" si="972"/>
        <v>34000</v>
      </c>
      <c r="T1585" s="26">
        <f t="shared" si="972"/>
        <v>31000</v>
      </c>
      <c r="U1585" s="26">
        <f t="shared" si="972"/>
        <v>29243.7</v>
      </c>
      <c r="V1585" s="17">
        <f t="shared" si="972"/>
        <v>32500</v>
      </c>
      <c r="W1585" s="17">
        <f t="shared" si="972"/>
        <v>32500</v>
      </c>
      <c r="X1585" s="17">
        <f t="shared" si="972"/>
        <v>32500</v>
      </c>
      <c r="Y1585" s="17">
        <f t="shared" si="972"/>
        <v>7327.37</v>
      </c>
      <c r="Z1585" s="17">
        <f t="shared" si="966"/>
        <v>22.55</v>
      </c>
      <c r="AA1585" s="17">
        <f t="shared" si="944"/>
        <v>0</v>
      </c>
      <c r="AB1585" s="17">
        <f t="shared" si="972"/>
        <v>32500</v>
      </c>
      <c r="AC1585" s="17">
        <f t="shared" si="972"/>
        <v>15280.92</v>
      </c>
      <c r="AD1585" s="17">
        <f t="shared" si="962"/>
        <v>47.018215384615388</v>
      </c>
      <c r="AE1585" s="17">
        <f t="shared" si="969"/>
        <v>-8000</v>
      </c>
      <c r="AF1585" s="17">
        <f t="shared" si="972"/>
        <v>24500</v>
      </c>
      <c r="AG1585" s="17">
        <f t="shared" si="972"/>
        <v>24500</v>
      </c>
      <c r="AH1585" s="17">
        <f t="shared" si="972"/>
        <v>24500</v>
      </c>
      <c r="AI1585" s="17">
        <f t="shared" si="972"/>
        <v>24500</v>
      </c>
      <c r="AJ1585" s="162" t="b">
        <f t="shared" si="953"/>
        <v>1</v>
      </c>
      <c r="AK1585" s="162" t="str">
        <f t="shared" si="954"/>
        <v>PRAZNO</v>
      </c>
      <c r="AM1585" s="264"/>
    </row>
    <row r="1586" spans="1:39" ht="15.75" x14ac:dyDescent="0.2">
      <c r="B1586" s="177"/>
      <c r="C1586" s="177"/>
      <c r="D1586" s="177">
        <v>343</v>
      </c>
      <c r="E1586" s="177"/>
      <c r="F1586" s="177"/>
      <c r="G1586" s="177"/>
      <c r="H1586" s="16" t="s">
        <v>209</v>
      </c>
      <c r="I1586" s="17">
        <f>SUM(I1587:I1588)</f>
        <v>33000</v>
      </c>
      <c r="J1586" s="17">
        <f>SUM(J1587:J1588)</f>
        <v>20038.969999999998</v>
      </c>
      <c r="K1586" s="17">
        <f t="shared" si="963"/>
        <v>60.72</v>
      </c>
      <c r="L1586" s="17">
        <f t="shared" si="967"/>
        <v>-2909.5400000000009</v>
      </c>
      <c r="M1586" s="17">
        <f>SUM(M1587:M1588)</f>
        <v>30090.46</v>
      </c>
      <c r="N1586" s="17">
        <f>SUM(N1587:N1588)</f>
        <v>33000</v>
      </c>
      <c r="O1586" s="17">
        <f>SUM(O1587:O1588)</f>
        <v>16528.87</v>
      </c>
      <c r="P1586" s="26">
        <f t="shared" si="968"/>
        <v>-2000</v>
      </c>
      <c r="Q1586" s="17">
        <f t="shared" ref="Q1586:X1586" si="973">SUM(Q1587:Q1588)</f>
        <v>33000</v>
      </c>
      <c r="R1586" s="17">
        <f t="shared" si="973"/>
        <v>33000</v>
      </c>
      <c r="S1586" s="17">
        <f t="shared" si="973"/>
        <v>34000</v>
      </c>
      <c r="T1586" s="26">
        <f t="shared" si="973"/>
        <v>31000</v>
      </c>
      <c r="U1586" s="26">
        <f>SUM(U1587:U1588)</f>
        <v>29243.7</v>
      </c>
      <c r="V1586" s="17">
        <f t="shared" si="973"/>
        <v>32500</v>
      </c>
      <c r="W1586" s="17">
        <f t="shared" si="973"/>
        <v>32500</v>
      </c>
      <c r="X1586" s="17">
        <f t="shared" si="973"/>
        <v>32500</v>
      </c>
      <c r="Y1586" s="17">
        <f>SUM(Y1587:Y1588)</f>
        <v>7327.37</v>
      </c>
      <c r="Z1586" s="17">
        <f t="shared" si="966"/>
        <v>22.55</v>
      </c>
      <c r="AA1586" s="17">
        <f t="shared" si="944"/>
        <v>0</v>
      </c>
      <c r="AB1586" s="17">
        <f>SUM(AB1587:AB1588)</f>
        <v>32500</v>
      </c>
      <c r="AC1586" s="17">
        <f>SUM(AC1587:AC1588)</f>
        <v>15280.92</v>
      </c>
      <c r="AD1586" s="17">
        <f t="shared" si="962"/>
        <v>47.018215384615388</v>
      </c>
      <c r="AE1586" s="17">
        <f t="shared" si="969"/>
        <v>-8000</v>
      </c>
      <c r="AF1586" s="17">
        <f>SUM(AF1587:AF1588)</f>
        <v>24500</v>
      </c>
      <c r="AG1586" s="17">
        <f>SUM(AG1587:AG1588)</f>
        <v>24500</v>
      </c>
      <c r="AH1586" s="17">
        <f>SUM(AH1587:AH1588)</f>
        <v>24500</v>
      </c>
      <c r="AI1586" s="17">
        <f>SUM(AI1587:AI1588)</f>
        <v>24500</v>
      </c>
      <c r="AJ1586" s="162" t="b">
        <f t="shared" si="953"/>
        <v>1</v>
      </c>
      <c r="AK1586" s="162" t="str">
        <f t="shared" si="954"/>
        <v>PRAZNO</v>
      </c>
      <c r="AM1586" s="264"/>
    </row>
    <row r="1587" spans="1:39" ht="15.75" x14ac:dyDescent="0.2">
      <c r="B1587" s="177"/>
      <c r="C1587" s="177"/>
      <c r="D1587" s="177"/>
      <c r="E1587" s="177">
        <v>3431</v>
      </c>
      <c r="F1587" s="176">
        <v>42</v>
      </c>
      <c r="G1587" s="176"/>
      <c r="H1587" s="16" t="s">
        <v>211</v>
      </c>
      <c r="I1587" s="18">
        <v>32000</v>
      </c>
      <c r="J1587" s="18">
        <v>19834.78</v>
      </c>
      <c r="K1587" s="18">
        <f t="shared" si="963"/>
        <v>61.98</v>
      </c>
      <c r="L1587" s="18">
        <f t="shared" si="967"/>
        <v>-2113.7299999999996</v>
      </c>
      <c r="M1587" s="18">
        <v>29886.27</v>
      </c>
      <c r="N1587" s="18">
        <v>32000</v>
      </c>
      <c r="O1587" s="18">
        <v>16507.41</v>
      </c>
      <c r="P1587" s="26">
        <f t="shared" si="968"/>
        <v>-2000</v>
      </c>
      <c r="Q1587" s="18">
        <v>32000</v>
      </c>
      <c r="R1587" s="18">
        <v>32000</v>
      </c>
      <c r="S1587" s="18">
        <v>33000</v>
      </c>
      <c r="T1587" s="27">
        <v>30000</v>
      </c>
      <c r="U1587" s="27">
        <v>29222.240000000002</v>
      </c>
      <c r="V1587" s="18">
        <v>32000</v>
      </c>
      <c r="W1587" s="18">
        <v>32000</v>
      </c>
      <c r="X1587" s="18">
        <v>32000</v>
      </c>
      <c r="Y1587" s="18">
        <v>7240.16</v>
      </c>
      <c r="Z1587" s="18">
        <f t="shared" si="966"/>
        <v>22.63</v>
      </c>
      <c r="AA1587" s="18">
        <f t="shared" si="944"/>
        <v>0</v>
      </c>
      <c r="AB1587" s="18">
        <v>32000</v>
      </c>
      <c r="AC1587" s="18">
        <v>15193.27</v>
      </c>
      <c r="AD1587" s="18">
        <f t="shared" si="962"/>
        <v>47.47896875</v>
      </c>
      <c r="AE1587" s="18">
        <f t="shared" si="969"/>
        <v>-8000</v>
      </c>
      <c r="AF1587" s="18">
        <v>24000</v>
      </c>
      <c r="AG1587" s="18">
        <v>24000</v>
      </c>
      <c r="AH1587" s="18">
        <v>24000</v>
      </c>
      <c r="AI1587" s="18">
        <v>24000</v>
      </c>
      <c r="AJ1587" s="162" t="b">
        <f t="shared" si="953"/>
        <v>0</v>
      </c>
      <c r="AK1587" s="162" t="str">
        <f t="shared" si="954"/>
        <v>PUNO</v>
      </c>
      <c r="AM1587" s="264"/>
    </row>
    <row r="1588" spans="1:39" ht="15.75" x14ac:dyDescent="0.2">
      <c r="B1588" s="177"/>
      <c r="C1588" s="177"/>
      <c r="D1588" s="177"/>
      <c r="E1588" s="177">
        <v>3433</v>
      </c>
      <c r="F1588" s="176">
        <v>42</v>
      </c>
      <c r="G1588" s="176"/>
      <c r="H1588" s="16" t="s">
        <v>402</v>
      </c>
      <c r="I1588" s="18">
        <v>1000</v>
      </c>
      <c r="J1588" s="18">
        <v>204.19</v>
      </c>
      <c r="K1588" s="18">
        <f t="shared" si="963"/>
        <v>20.420000000000002</v>
      </c>
      <c r="L1588" s="18">
        <f t="shared" si="967"/>
        <v>-795.81</v>
      </c>
      <c r="M1588" s="18">
        <v>204.19</v>
      </c>
      <c r="N1588" s="18">
        <v>1000</v>
      </c>
      <c r="O1588" s="18">
        <v>21.46</v>
      </c>
      <c r="P1588" s="26">
        <f t="shared" si="968"/>
        <v>0</v>
      </c>
      <c r="Q1588" s="18">
        <v>1000</v>
      </c>
      <c r="R1588" s="18">
        <v>1000</v>
      </c>
      <c r="S1588" s="18">
        <v>1000</v>
      </c>
      <c r="T1588" s="27">
        <v>1000</v>
      </c>
      <c r="U1588" s="27">
        <v>21.46</v>
      </c>
      <c r="V1588" s="18">
        <v>500</v>
      </c>
      <c r="W1588" s="18">
        <v>500</v>
      </c>
      <c r="X1588" s="18">
        <v>500</v>
      </c>
      <c r="Y1588" s="18">
        <v>87.21</v>
      </c>
      <c r="Z1588" s="18">
        <f t="shared" si="966"/>
        <v>17.440000000000001</v>
      </c>
      <c r="AA1588" s="18">
        <f t="shared" si="944"/>
        <v>0</v>
      </c>
      <c r="AB1588" s="18">
        <v>500</v>
      </c>
      <c r="AC1588" s="18">
        <v>87.65</v>
      </c>
      <c r="AD1588" s="18">
        <f t="shared" si="962"/>
        <v>17.53</v>
      </c>
      <c r="AE1588" s="18">
        <f t="shared" si="969"/>
        <v>0</v>
      </c>
      <c r="AF1588" s="18">
        <v>500</v>
      </c>
      <c r="AG1588" s="18">
        <v>500</v>
      </c>
      <c r="AH1588" s="18">
        <v>500</v>
      </c>
      <c r="AI1588" s="18">
        <v>500</v>
      </c>
      <c r="AJ1588" s="162" t="b">
        <f t="shared" si="953"/>
        <v>0</v>
      </c>
      <c r="AK1588" s="162" t="str">
        <f t="shared" si="954"/>
        <v>PUNO</v>
      </c>
      <c r="AM1588" s="264"/>
    </row>
    <row r="1589" spans="1:39" s="453" customFormat="1" ht="31.5" x14ac:dyDescent="0.25">
      <c r="A1589" s="378"/>
      <c r="B1589" s="260"/>
      <c r="C1589" s="260"/>
      <c r="D1589" s="260"/>
      <c r="E1589" s="260"/>
      <c r="F1589" s="448"/>
      <c r="G1589" s="448"/>
      <c r="H1589" s="440" t="s">
        <v>831</v>
      </c>
      <c r="I1589" s="449"/>
      <c r="J1589" s="449"/>
      <c r="K1589" s="449"/>
      <c r="L1589" s="449"/>
      <c r="M1589" s="449"/>
      <c r="N1589" s="449"/>
      <c r="O1589" s="449"/>
      <c r="P1589" s="202"/>
      <c r="Q1589" s="449"/>
      <c r="R1589" s="449"/>
      <c r="S1589" s="449"/>
      <c r="T1589" s="450"/>
      <c r="U1589" s="449">
        <f t="shared" ref="U1589:AA1589" si="974">U1590</f>
        <v>6145631.9900000002</v>
      </c>
      <c r="V1589" s="449">
        <f t="shared" si="974"/>
        <v>5404000</v>
      </c>
      <c r="W1589" s="449">
        <f t="shared" si="974"/>
        <v>5318000</v>
      </c>
      <c r="X1589" s="449">
        <f t="shared" si="974"/>
        <v>5747000</v>
      </c>
      <c r="Y1589" s="449">
        <f t="shared" si="974"/>
        <v>2104900</v>
      </c>
      <c r="Z1589" s="449">
        <f t="shared" si="974"/>
        <v>208.56</v>
      </c>
      <c r="AA1589" s="449">
        <f t="shared" si="974"/>
        <v>-50000</v>
      </c>
      <c r="AB1589" s="449">
        <f>AB1590</f>
        <v>5354000</v>
      </c>
      <c r="AC1589" s="449">
        <f>AC1590</f>
        <v>3954724.61</v>
      </c>
      <c r="AD1589" s="449">
        <f t="shared" si="962"/>
        <v>73.864860104594698</v>
      </c>
      <c r="AE1589" s="449">
        <f t="shared" si="969"/>
        <v>0</v>
      </c>
      <c r="AF1589" s="449">
        <f>AF1590</f>
        <v>5354000</v>
      </c>
      <c r="AG1589" s="449">
        <f>AG1590</f>
        <v>5354000</v>
      </c>
      <c r="AH1589" s="449">
        <f>AH1590</f>
        <v>5354000</v>
      </c>
      <c r="AI1589" s="449">
        <f>AI1590</f>
        <v>5354000</v>
      </c>
      <c r="AJ1589" s="162" t="b">
        <f t="shared" si="953"/>
        <v>1</v>
      </c>
      <c r="AK1589" s="162" t="str">
        <f t="shared" si="954"/>
        <v>PRAZNO</v>
      </c>
      <c r="AL1589" s="452"/>
      <c r="AM1589" s="447"/>
    </row>
    <row r="1590" spans="1:39" s="264" customFormat="1" ht="15.75" x14ac:dyDescent="0.2">
      <c r="A1590" s="259"/>
      <c r="B1590" s="172">
        <v>3</v>
      </c>
      <c r="C1590" s="172"/>
      <c r="D1590" s="172"/>
      <c r="E1590" s="172"/>
      <c r="F1590" s="220"/>
      <c r="G1590" s="220"/>
      <c r="H1590" s="14" t="s">
        <v>524</v>
      </c>
      <c r="I1590" s="184"/>
      <c r="J1590" s="184"/>
      <c r="K1590" s="184"/>
      <c r="L1590" s="184"/>
      <c r="M1590" s="184"/>
      <c r="N1590" s="184"/>
      <c r="O1590" s="184"/>
      <c r="P1590" s="55"/>
      <c r="Q1590" s="184"/>
      <c r="R1590" s="184"/>
      <c r="S1590" s="184"/>
      <c r="T1590" s="185"/>
      <c r="U1590" s="184">
        <f t="shared" ref="U1590:AA1590" si="975">U1591+U1599</f>
        <v>6145631.9900000002</v>
      </c>
      <c r="V1590" s="184">
        <f t="shared" si="975"/>
        <v>5404000</v>
      </c>
      <c r="W1590" s="184">
        <f t="shared" si="975"/>
        <v>5318000</v>
      </c>
      <c r="X1590" s="184">
        <f t="shared" si="975"/>
        <v>5747000</v>
      </c>
      <c r="Y1590" s="184">
        <f t="shared" si="975"/>
        <v>2104900</v>
      </c>
      <c r="Z1590" s="184">
        <f t="shared" si="975"/>
        <v>208.56</v>
      </c>
      <c r="AA1590" s="184">
        <f t="shared" si="975"/>
        <v>-50000</v>
      </c>
      <c r="AB1590" s="184">
        <f>AB1591+AB1599</f>
        <v>5354000</v>
      </c>
      <c r="AC1590" s="184">
        <f>AC1591+AC1599</f>
        <v>3954724.61</v>
      </c>
      <c r="AD1590" s="184">
        <f t="shared" si="962"/>
        <v>73.864860104594698</v>
      </c>
      <c r="AE1590" s="184">
        <f t="shared" si="969"/>
        <v>0</v>
      </c>
      <c r="AF1590" s="184">
        <f>AF1591+AF1599</f>
        <v>5354000</v>
      </c>
      <c r="AG1590" s="184">
        <f>AG1591+AG1599</f>
        <v>5354000</v>
      </c>
      <c r="AH1590" s="184">
        <f>AH1591+AH1599</f>
        <v>5354000</v>
      </c>
      <c r="AI1590" s="184">
        <f>AI1591+AI1599</f>
        <v>5354000</v>
      </c>
      <c r="AJ1590" s="162" t="b">
        <f t="shared" si="953"/>
        <v>1</v>
      </c>
      <c r="AK1590" s="162" t="str">
        <f t="shared" si="954"/>
        <v>PRAZNO</v>
      </c>
      <c r="AL1590" s="263"/>
    </row>
    <row r="1591" spans="1:39" ht="15.75" x14ac:dyDescent="0.2">
      <c r="B1591" s="177"/>
      <c r="C1591" s="177">
        <v>31</v>
      </c>
      <c r="D1591" s="177"/>
      <c r="E1591" s="177"/>
      <c r="F1591" s="176"/>
      <c r="G1591" s="176"/>
      <c r="H1591" s="16" t="s">
        <v>197</v>
      </c>
      <c r="I1591" s="18"/>
      <c r="J1591" s="18"/>
      <c r="K1591" s="18"/>
      <c r="L1591" s="18"/>
      <c r="M1591" s="18"/>
      <c r="N1591" s="18"/>
      <c r="O1591" s="18"/>
      <c r="P1591" s="26"/>
      <c r="Q1591" s="18"/>
      <c r="R1591" s="18"/>
      <c r="S1591" s="18"/>
      <c r="T1591" s="27"/>
      <c r="U1591" s="18">
        <f t="shared" ref="U1591:AA1591" si="976">U1592+U1596</f>
        <v>5476631.9900000002</v>
      </c>
      <c r="V1591" s="18">
        <f t="shared" si="976"/>
        <v>5054000</v>
      </c>
      <c r="W1591" s="18">
        <f t="shared" si="976"/>
        <v>4954000</v>
      </c>
      <c r="X1591" s="18">
        <f t="shared" si="976"/>
        <v>5007000</v>
      </c>
      <c r="Y1591" s="18">
        <f t="shared" si="976"/>
        <v>2104900</v>
      </c>
      <c r="Z1591" s="18">
        <f t="shared" si="976"/>
        <v>208.56</v>
      </c>
      <c r="AA1591" s="18">
        <f t="shared" si="976"/>
        <v>-50000</v>
      </c>
      <c r="AB1591" s="18">
        <f>AB1592+AB1596</f>
        <v>5004000</v>
      </c>
      <c r="AC1591" s="18">
        <f>AC1592+AC1596</f>
        <v>3753000</v>
      </c>
      <c r="AD1591" s="18">
        <f t="shared" si="962"/>
        <v>75</v>
      </c>
      <c r="AE1591" s="18">
        <f t="shared" si="969"/>
        <v>29000</v>
      </c>
      <c r="AF1591" s="18">
        <f>AF1592+AF1596</f>
        <v>5033000</v>
      </c>
      <c r="AG1591" s="18">
        <f>AG1592+AG1596</f>
        <v>5033000</v>
      </c>
      <c r="AH1591" s="18">
        <f>AH1592+AH1596</f>
        <v>5033000</v>
      </c>
      <c r="AI1591" s="18">
        <f>AI1592+AI1596</f>
        <v>5033000</v>
      </c>
      <c r="AJ1591" s="162" t="b">
        <f t="shared" si="953"/>
        <v>1</v>
      </c>
      <c r="AK1591" s="162" t="str">
        <f t="shared" si="954"/>
        <v>PRAZNO</v>
      </c>
      <c r="AM1591" s="264"/>
    </row>
    <row r="1592" spans="1:39" ht="15.75" x14ac:dyDescent="0.2">
      <c r="B1592" s="177"/>
      <c r="C1592" s="177"/>
      <c r="D1592" s="177">
        <v>311</v>
      </c>
      <c r="E1592" s="177"/>
      <c r="F1592" s="176"/>
      <c r="G1592" s="176"/>
      <c r="H1592" s="16" t="s">
        <v>915</v>
      </c>
      <c r="I1592" s="18"/>
      <c r="J1592" s="18"/>
      <c r="K1592" s="18"/>
      <c r="L1592" s="18"/>
      <c r="M1592" s="18"/>
      <c r="N1592" s="18"/>
      <c r="O1592" s="18"/>
      <c r="P1592" s="26"/>
      <c r="Q1592" s="18"/>
      <c r="R1592" s="18"/>
      <c r="S1592" s="18"/>
      <c r="T1592" s="27"/>
      <c r="U1592" s="18">
        <f t="shared" ref="U1592:AA1592" si="977">SUM(U1593:U1595)</f>
        <v>4698993.96</v>
      </c>
      <c r="V1592" s="18">
        <f t="shared" si="977"/>
        <v>4447000</v>
      </c>
      <c r="W1592" s="18">
        <f t="shared" si="977"/>
        <v>4447000</v>
      </c>
      <c r="X1592" s="18">
        <f t="shared" si="977"/>
        <v>4500000</v>
      </c>
      <c r="Y1592" s="18">
        <f t="shared" si="977"/>
        <v>1852750</v>
      </c>
      <c r="Z1592" s="18">
        <f t="shared" si="977"/>
        <v>124.99</v>
      </c>
      <c r="AA1592" s="18">
        <f t="shared" si="977"/>
        <v>-50000</v>
      </c>
      <c r="AB1592" s="18">
        <f>SUM(AB1593:AB1595)</f>
        <v>4397000</v>
      </c>
      <c r="AC1592" s="18">
        <f>SUM(AC1593:AC1595)</f>
        <v>3297750</v>
      </c>
      <c r="AD1592" s="18">
        <f t="shared" si="962"/>
        <v>75</v>
      </c>
      <c r="AE1592" s="18">
        <f t="shared" si="969"/>
        <v>20000</v>
      </c>
      <c r="AF1592" s="18">
        <f>SUM(AF1593:AF1595)</f>
        <v>4417000</v>
      </c>
      <c r="AG1592" s="18">
        <f>SUM(AG1593:AG1595)</f>
        <v>4417000</v>
      </c>
      <c r="AH1592" s="18">
        <f>SUM(AH1593:AH1595)</f>
        <v>4417000</v>
      </c>
      <c r="AI1592" s="18">
        <f>SUM(AI1593:AI1595)</f>
        <v>4417000</v>
      </c>
      <c r="AJ1592" s="162" t="b">
        <f t="shared" si="953"/>
        <v>1</v>
      </c>
      <c r="AK1592" s="162" t="str">
        <f t="shared" si="954"/>
        <v>PRAZNO</v>
      </c>
      <c r="AM1592" s="264"/>
    </row>
    <row r="1593" spans="1:39" s="264" customFormat="1" ht="15.75" x14ac:dyDescent="0.2">
      <c r="A1593" s="259"/>
      <c r="B1593" s="177"/>
      <c r="C1593" s="177"/>
      <c r="D1593" s="177"/>
      <c r="E1593" s="177">
        <v>3111</v>
      </c>
      <c r="F1593" s="265">
        <v>12</v>
      </c>
      <c r="G1593" s="265">
        <v>10</v>
      </c>
      <c r="H1593" s="16" t="s">
        <v>199</v>
      </c>
      <c r="I1593" s="178"/>
      <c r="J1593" s="178"/>
      <c r="K1593" s="178"/>
      <c r="L1593" s="178"/>
      <c r="M1593" s="178"/>
      <c r="N1593" s="178"/>
      <c r="O1593" s="178"/>
      <c r="P1593" s="307"/>
      <c r="Q1593" s="178"/>
      <c r="R1593" s="178"/>
      <c r="S1593" s="178"/>
      <c r="T1593" s="266"/>
      <c r="U1593" s="266">
        <v>3079585.9</v>
      </c>
      <c r="V1593" s="178">
        <v>3260000</v>
      </c>
      <c r="W1593" s="178">
        <v>3354000</v>
      </c>
      <c r="X1593" s="178">
        <v>3506000</v>
      </c>
      <c r="Y1593" s="178">
        <v>1358200</v>
      </c>
      <c r="Z1593" s="178">
        <f t="shared" si="966"/>
        <v>41.66</v>
      </c>
      <c r="AA1593" s="178">
        <f t="shared" si="944"/>
        <v>0</v>
      </c>
      <c r="AB1593" s="178">
        <v>3260000</v>
      </c>
      <c r="AC1593" s="178">
        <v>2444600</v>
      </c>
      <c r="AD1593" s="178">
        <f t="shared" si="962"/>
        <v>74.987730061349694</v>
      </c>
      <c r="AE1593" s="687">
        <f t="shared" si="969"/>
        <v>0</v>
      </c>
      <c r="AF1593" s="178">
        <v>3260000</v>
      </c>
      <c r="AG1593" s="178">
        <v>3260000</v>
      </c>
      <c r="AH1593" s="178">
        <v>3260000</v>
      </c>
      <c r="AI1593" s="178">
        <v>3260000</v>
      </c>
      <c r="AJ1593" s="162" t="b">
        <f t="shared" si="953"/>
        <v>0</v>
      </c>
      <c r="AK1593" s="162" t="str">
        <f t="shared" si="954"/>
        <v>PUNO</v>
      </c>
      <c r="AL1593" s="263"/>
    </row>
    <row r="1594" spans="1:39" s="264" customFormat="1" ht="15.75" x14ac:dyDescent="0.2">
      <c r="A1594" s="259"/>
      <c r="B1594" s="177"/>
      <c r="C1594" s="177"/>
      <c r="D1594" s="177"/>
      <c r="E1594" s="177">
        <v>3111</v>
      </c>
      <c r="F1594" s="265">
        <v>54</v>
      </c>
      <c r="G1594" s="265"/>
      <c r="H1594" s="16" t="s">
        <v>199</v>
      </c>
      <c r="I1594" s="178"/>
      <c r="J1594" s="178"/>
      <c r="K1594" s="178"/>
      <c r="L1594" s="178"/>
      <c r="M1594" s="178"/>
      <c r="N1594" s="178"/>
      <c r="O1594" s="178"/>
      <c r="P1594" s="307"/>
      <c r="Q1594" s="178"/>
      <c r="R1594" s="178"/>
      <c r="S1594" s="178"/>
      <c r="T1594" s="266"/>
      <c r="U1594" s="266">
        <v>921200</v>
      </c>
      <c r="V1594" s="178">
        <v>517000</v>
      </c>
      <c r="W1594" s="178">
        <v>423000</v>
      </c>
      <c r="X1594" s="178">
        <v>294000</v>
      </c>
      <c r="Y1594" s="178">
        <v>215550</v>
      </c>
      <c r="Z1594" s="178">
        <f t="shared" si="966"/>
        <v>41.69</v>
      </c>
      <c r="AA1594" s="178">
        <f>AB1594-V1594</f>
        <v>-50000</v>
      </c>
      <c r="AB1594" s="178">
        <v>467000</v>
      </c>
      <c r="AC1594" s="178">
        <v>350650</v>
      </c>
      <c r="AD1594" s="178">
        <f t="shared" si="962"/>
        <v>75.085653104925058</v>
      </c>
      <c r="AE1594" s="178">
        <f t="shared" si="969"/>
        <v>0</v>
      </c>
      <c r="AF1594" s="178">
        <v>467000</v>
      </c>
      <c r="AG1594" s="178">
        <v>467000</v>
      </c>
      <c r="AH1594" s="178">
        <v>467000</v>
      </c>
      <c r="AI1594" s="178">
        <v>467000</v>
      </c>
      <c r="AJ1594" s="162" t="b">
        <f t="shared" si="953"/>
        <v>0</v>
      </c>
      <c r="AK1594" s="162" t="str">
        <f t="shared" si="954"/>
        <v>PUNO</v>
      </c>
      <c r="AL1594" s="263"/>
    </row>
    <row r="1595" spans="1:39" s="264" customFormat="1" ht="15.75" x14ac:dyDescent="0.2">
      <c r="A1595" s="259"/>
      <c r="B1595" s="177"/>
      <c r="C1595" s="177"/>
      <c r="D1595" s="177"/>
      <c r="E1595" s="177">
        <v>3114</v>
      </c>
      <c r="F1595" s="265">
        <v>54</v>
      </c>
      <c r="G1595" s="265"/>
      <c r="H1595" s="16" t="s">
        <v>643</v>
      </c>
      <c r="I1595" s="178"/>
      <c r="J1595" s="178"/>
      <c r="K1595" s="178"/>
      <c r="L1595" s="178"/>
      <c r="M1595" s="178"/>
      <c r="N1595" s="178"/>
      <c r="O1595" s="178"/>
      <c r="P1595" s="307"/>
      <c r="Q1595" s="178"/>
      <c r="R1595" s="178"/>
      <c r="S1595" s="178"/>
      <c r="T1595" s="266"/>
      <c r="U1595" s="266">
        <v>698208.06</v>
      </c>
      <c r="V1595" s="178">
        <v>670000</v>
      </c>
      <c r="W1595" s="178">
        <v>670000</v>
      </c>
      <c r="X1595" s="178">
        <v>700000</v>
      </c>
      <c r="Y1595" s="178">
        <v>279000</v>
      </c>
      <c r="Z1595" s="178">
        <f t="shared" si="966"/>
        <v>41.64</v>
      </c>
      <c r="AA1595" s="178">
        <f>AB1595-V1595</f>
        <v>0</v>
      </c>
      <c r="AB1595" s="178">
        <v>670000</v>
      </c>
      <c r="AC1595" s="178">
        <v>502500</v>
      </c>
      <c r="AD1595" s="178">
        <f t="shared" si="962"/>
        <v>75</v>
      </c>
      <c r="AE1595" s="178">
        <f t="shared" si="969"/>
        <v>20000</v>
      </c>
      <c r="AF1595" s="178">
        <v>690000</v>
      </c>
      <c r="AG1595" s="178">
        <v>690000</v>
      </c>
      <c r="AH1595" s="178">
        <v>690000</v>
      </c>
      <c r="AI1595" s="178">
        <v>690000</v>
      </c>
      <c r="AJ1595" s="162" t="b">
        <f t="shared" si="953"/>
        <v>0</v>
      </c>
      <c r="AK1595" s="162" t="str">
        <f t="shared" si="954"/>
        <v>PUNO</v>
      </c>
      <c r="AL1595" s="263"/>
    </row>
    <row r="1596" spans="1:39" s="264" customFormat="1" ht="15.75" x14ac:dyDescent="0.2">
      <c r="A1596" s="259"/>
      <c r="B1596" s="177"/>
      <c r="C1596" s="177"/>
      <c r="D1596" s="177">
        <v>313</v>
      </c>
      <c r="E1596" s="177"/>
      <c r="F1596" s="265"/>
      <c r="G1596" s="265"/>
      <c r="H1596" s="16" t="s">
        <v>414</v>
      </c>
      <c r="I1596" s="178"/>
      <c r="J1596" s="178"/>
      <c r="K1596" s="178"/>
      <c r="L1596" s="178"/>
      <c r="M1596" s="178"/>
      <c r="N1596" s="178"/>
      <c r="O1596" s="178"/>
      <c r="P1596" s="307"/>
      <c r="Q1596" s="178"/>
      <c r="R1596" s="178"/>
      <c r="S1596" s="178"/>
      <c r="T1596" s="266"/>
      <c r="U1596" s="178">
        <f t="shared" ref="U1596:AA1596" si="978">U1597+U1598</f>
        <v>777638.03</v>
      </c>
      <c r="V1596" s="178">
        <f t="shared" si="978"/>
        <v>607000</v>
      </c>
      <c r="W1596" s="178">
        <f t="shared" si="978"/>
        <v>507000</v>
      </c>
      <c r="X1596" s="178">
        <f t="shared" si="978"/>
        <v>507000</v>
      </c>
      <c r="Y1596" s="178">
        <f t="shared" si="978"/>
        <v>252150</v>
      </c>
      <c r="Z1596" s="178">
        <f t="shared" si="978"/>
        <v>83.57</v>
      </c>
      <c r="AA1596" s="178">
        <f t="shared" si="978"/>
        <v>0</v>
      </c>
      <c r="AB1596" s="178">
        <f>AB1597+AB1598</f>
        <v>607000</v>
      </c>
      <c r="AC1596" s="178">
        <f>AC1597+AC1598</f>
        <v>455250</v>
      </c>
      <c r="AD1596" s="178">
        <f t="shared" si="962"/>
        <v>75</v>
      </c>
      <c r="AE1596" s="178">
        <f t="shared" si="969"/>
        <v>9000</v>
      </c>
      <c r="AF1596" s="178">
        <v>616000</v>
      </c>
      <c r="AG1596" s="178">
        <f>AG1597+AG1598</f>
        <v>616000</v>
      </c>
      <c r="AH1596" s="178">
        <f>AH1597+AH1598</f>
        <v>616000</v>
      </c>
      <c r="AI1596" s="178">
        <f>AI1597+AI1598</f>
        <v>616000</v>
      </c>
      <c r="AJ1596" s="162" t="b">
        <f t="shared" si="953"/>
        <v>1</v>
      </c>
      <c r="AK1596" s="162" t="str">
        <f t="shared" si="954"/>
        <v>PRAZNO</v>
      </c>
      <c r="AL1596" s="263"/>
    </row>
    <row r="1597" spans="1:39" s="264" customFormat="1" ht="15.75" x14ac:dyDescent="0.2">
      <c r="A1597" s="259"/>
      <c r="B1597" s="177"/>
      <c r="C1597" s="177"/>
      <c r="D1597" s="177"/>
      <c r="E1597" s="177">
        <v>3132</v>
      </c>
      <c r="F1597" s="265">
        <v>54</v>
      </c>
      <c r="G1597" s="265"/>
      <c r="H1597" s="16" t="s">
        <v>202</v>
      </c>
      <c r="I1597" s="178"/>
      <c r="J1597" s="178"/>
      <c r="K1597" s="178"/>
      <c r="L1597" s="178"/>
      <c r="M1597" s="178"/>
      <c r="N1597" s="178"/>
      <c r="O1597" s="178"/>
      <c r="P1597" s="307"/>
      <c r="Q1597" s="178"/>
      <c r="R1597" s="178"/>
      <c r="S1597" s="178"/>
      <c r="T1597" s="266"/>
      <c r="U1597" s="266">
        <v>713340.03</v>
      </c>
      <c r="V1597" s="178">
        <v>520000</v>
      </c>
      <c r="W1597" s="178">
        <v>420000</v>
      </c>
      <c r="X1597" s="178">
        <v>420000</v>
      </c>
      <c r="Y1597" s="178">
        <v>215500</v>
      </c>
      <c r="Z1597" s="178">
        <f t="shared" si="966"/>
        <v>41.44</v>
      </c>
      <c r="AA1597" s="178">
        <f>AB1597-V1597</f>
        <v>0</v>
      </c>
      <c r="AB1597" s="178">
        <v>520000</v>
      </c>
      <c r="AC1597" s="178">
        <v>390000</v>
      </c>
      <c r="AD1597" s="178">
        <f t="shared" si="962"/>
        <v>75</v>
      </c>
      <c r="AE1597" s="178">
        <f t="shared" si="969"/>
        <v>10000</v>
      </c>
      <c r="AF1597" s="178">
        <v>530000</v>
      </c>
      <c r="AG1597" s="178">
        <v>530000</v>
      </c>
      <c r="AH1597" s="178">
        <v>530000</v>
      </c>
      <c r="AI1597" s="178">
        <v>530000</v>
      </c>
      <c r="AJ1597" s="162" t="b">
        <f t="shared" si="953"/>
        <v>0</v>
      </c>
      <c r="AK1597" s="162" t="str">
        <f t="shared" si="954"/>
        <v>PUNO</v>
      </c>
      <c r="AL1597" s="263"/>
    </row>
    <row r="1598" spans="1:39" s="264" customFormat="1" ht="30" x14ac:dyDescent="0.2">
      <c r="A1598" s="259"/>
      <c r="B1598" s="177"/>
      <c r="C1598" s="177"/>
      <c r="D1598" s="177"/>
      <c r="E1598" s="177">
        <v>3133</v>
      </c>
      <c r="F1598" s="265">
        <v>54</v>
      </c>
      <c r="G1598" s="265"/>
      <c r="H1598" s="16" t="s">
        <v>203</v>
      </c>
      <c r="I1598" s="178"/>
      <c r="J1598" s="178"/>
      <c r="K1598" s="178"/>
      <c r="L1598" s="178"/>
      <c r="M1598" s="178"/>
      <c r="N1598" s="178"/>
      <c r="O1598" s="178"/>
      <c r="P1598" s="307"/>
      <c r="Q1598" s="178"/>
      <c r="R1598" s="178"/>
      <c r="S1598" s="178"/>
      <c r="T1598" s="266"/>
      <c r="U1598" s="266">
        <v>64298</v>
      </c>
      <c r="V1598" s="178">
        <v>87000</v>
      </c>
      <c r="W1598" s="178">
        <v>87000</v>
      </c>
      <c r="X1598" s="178">
        <v>87000</v>
      </c>
      <c r="Y1598" s="178">
        <v>36650</v>
      </c>
      <c r="Z1598" s="178">
        <f t="shared" si="966"/>
        <v>42.13</v>
      </c>
      <c r="AA1598" s="178">
        <f>AB1598-V1598</f>
        <v>0</v>
      </c>
      <c r="AB1598" s="178">
        <v>87000</v>
      </c>
      <c r="AC1598" s="178">
        <v>65250</v>
      </c>
      <c r="AD1598" s="178">
        <f t="shared" si="962"/>
        <v>75</v>
      </c>
      <c r="AE1598" s="178">
        <f t="shared" si="969"/>
        <v>-1000</v>
      </c>
      <c r="AF1598" s="178">
        <v>86000</v>
      </c>
      <c r="AG1598" s="178">
        <v>86000</v>
      </c>
      <c r="AH1598" s="178">
        <v>86000</v>
      </c>
      <c r="AI1598" s="178">
        <v>86000</v>
      </c>
      <c r="AJ1598" s="162" t="b">
        <f t="shared" si="953"/>
        <v>0</v>
      </c>
      <c r="AK1598" s="162" t="str">
        <f t="shared" si="954"/>
        <v>PUNO</v>
      </c>
      <c r="AL1598" s="263"/>
    </row>
    <row r="1599" spans="1:39" s="264" customFormat="1" ht="15.75" x14ac:dyDescent="0.2">
      <c r="A1599" s="259"/>
      <c r="B1599" s="177"/>
      <c r="C1599" s="177">
        <v>32</v>
      </c>
      <c r="D1599" s="177"/>
      <c r="E1599" s="177"/>
      <c r="F1599" s="265"/>
      <c r="G1599" s="265"/>
      <c r="H1599" s="16" t="s">
        <v>525</v>
      </c>
      <c r="I1599" s="178"/>
      <c r="J1599" s="178"/>
      <c r="K1599" s="178"/>
      <c r="L1599" s="178"/>
      <c r="M1599" s="178"/>
      <c r="N1599" s="178"/>
      <c r="O1599" s="178"/>
      <c r="P1599" s="307"/>
      <c r="Q1599" s="178"/>
      <c r="R1599" s="178"/>
      <c r="S1599" s="178"/>
      <c r="T1599" s="266"/>
      <c r="U1599" s="178">
        <f t="shared" ref="U1599:AA1599" si="979">U1600+U1602</f>
        <v>669000</v>
      </c>
      <c r="V1599" s="178">
        <f t="shared" si="979"/>
        <v>350000</v>
      </c>
      <c r="W1599" s="178">
        <f t="shared" si="979"/>
        <v>364000</v>
      </c>
      <c r="X1599" s="178">
        <f t="shared" si="979"/>
        <v>740000</v>
      </c>
      <c r="Y1599" s="178">
        <f t="shared" si="979"/>
        <v>0</v>
      </c>
      <c r="Z1599" s="178">
        <f t="shared" si="979"/>
        <v>0</v>
      </c>
      <c r="AA1599" s="178">
        <f t="shared" si="979"/>
        <v>0</v>
      </c>
      <c r="AB1599" s="178">
        <f>AB1600+AB1602</f>
        <v>350000</v>
      </c>
      <c r="AC1599" s="178">
        <f>AC1600+AC1602</f>
        <v>201724.61</v>
      </c>
      <c r="AD1599" s="178">
        <f t="shared" si="962"/>
        <v>57.635602857142857</v>
      </c>
      <c r="AE1599" s="178">
        <f t="shared" si="969"/>
        <v>-29000</v>
      </c>
      <c r="AF1599" s="178">
        <f>AF1600+AF1602</f>
        <v>321000</v>
      </c>
      <c r="AG1599" s="178">
        <f>AG1600+AG1602</f>
        <v>321000</v>
      </c>
      <c r="AH1599" s="178">
        <f>AH1600+AH1602</f>
        <v>321000</v>
      </c>
      <c r="AI1599" s="178">
        <f>AI1600+AI1602</f>
        <v>321000</v>
      </c>
      <c r="AJ1599" s="162" t="b">
        <f t="shared" si="953"/>
        <v>1</v>
      </c>
      <c r="AK1599" s="162" t="str">
        <f t="shared" si="954"/>
        <v>PRAZNO</v>
      </c>
      <c r="AL1599" s="263"/>
    </row>
    <row r="1600" spans="1:39" s="264" customFormat="1" ht="15.75" x14ac:dyDescent="0.2">
      <c r="A1600" s="259"/>
      <c r="B1600" s="177"/>
      <c r="C1600" s="177"/>
      <c r="D1600" s="177">
        <v>322</v>
      </c>
      <c r="E1600" s="177"/>
      <c r="F1600" s="265"/>
      <c r="G1600" s="265"/>
      <c r="H1600" s="16" t="s">
        <v>547</v>
      </c>
      <c r="I1600" s="178"/>
      <c r="J1600" s="178"/>
      <c r="K1600" s="178"/>
      <c r="L1600" s="178"/>
      <c r="M1600" s="178"/>
      <c r="N1600" s="178"/>
      <c r="O1600" s="178"/>
      <c r="P1600" s="307"/>
      <c r="Q1600" s="178"/>
      <c r="R1600" s="178"/>
      <c r="S1600" s="178"/>
      <c r="T1600" s="266"/>
      <c r="U1600" s="178">
        <f t="shared" ref="U1600:AA1600" si="980">U1601</f>
        <v>519000</v>
      </c>
      <c r="V1600" s="178">
        <f t="shared" si="980"/>
        <v>200000</v>
      </c>
      <c r="W1600" s="178">
        <f t="shared" si="980"/>
        <v>214000</v>
      </c>
      <c r="X1600" s="178">
        <f t="shared" si="980"/>
        <v>590000</v>
      </c>
      <c r="Y1600" s="178">
        <f t="shared" si="980"/>
        <v>0</v>
      </c>
      <c r="Z1600" s="178">
        <f t="shared" si="980"/>
        <v>0</v>
      </c>
      <c r="AA1600" s="178">
        <f t="shared" si="980"/>
        <v>0</v>
      </c>
      <c r="AB1600" s="178">
        <f>AB1601</f>
        <v>200000</v>
      </c>
      <c r="AC1600" s="178">
        <f>AC1601</f>
        <v>99999.12</v>
      </c>
      <c r="AD1600" s="178">
        <f t="shared" si="962"/>
        <v>49.999559999999995</v>
      </c>
      <c r="AE1600" s="178">
        <f t="shared" si="969"/>
        <v>-29000</v>
      </c>
      <c r="AF1600" s="178">
        <f>AF1601</f>
        <v>171000</v>
      </c>
      <c r="AG1600" s="178">
        <f>AG1601</f>
        <v>171000</v>
      </c>
      <c r="AH1600" s="178">
        <f>AH1601</f>
        <v>171000</v>
      </c>
      <c r="AI1600" s="178">
        <f>AI1601</f>
        <v>171000</v>
      </c>
      <c r="AJ1600" s="162" t="b">
        <f t="shared" si="953"/>
        <v>1</v>
      </c>
      <c r="AK1600" s="162" t="str">
        <f t="shared" si="954"/>
        <v>PRAZNO</v>
      </c>
      <c r="AL1600" s="263"/>
    </row>
    <row r="1601" spans="1:39" s="264" customFormat="1" ht="15.75" x14ac:dyDescent="0.2">
      <c r="A1601" s="259"/>
      <c r="B1601" s="177"/>
      <c r="C1601" s="177"/>
      <c r="D1601" s="177"/>
      <c r="E1601" s="177">
        <v>3222</v>
      </c>
      <c r="F1601" s="265">
        <v>54</v>
      </c>
      <c r="G1601" s="265"/>
      <c r="H1601" s="23" t="s">
        <v>474</v>
      </c>
      <c r="I1601" s="181"/>
      <c r="J1601" s="181"/>
      <c r="K1601" s="181"/>
      <c r="L1601" s="181"/>
      <c r="M1601" s="181"/>
      <c r="N1601" s="181"/>
      <c r="O1601" s="181"/>
      <c r="P1601" s="307"/>
      <c r="Q1601" s="181"/>
      <c r="R1601" s="181"/>
      <c r="S1601" s="181"/>
      <c r="T1601" s="307"/>
      <c r="U1601" s="307">
        <v>519000</v>
      </c>
      <c r="V1601" s="181">
        <v>200000</v>
      </c>
      <c r="W1601" s="181">
        <v>214000</v>
      </c>
      <c r="X1601" s="181">
        <v>590000</v>
      </c>
      <c r="Y1601" s="181">
        <v>0</v>
      </c>
      <c r="Z1601" s="181">
        <f t="shared" si="966"/>
        <v>0</v>
      </c>
      <c r="AA1601" s="181">
        <f>AB1601-V1601</f>
        <v>0</v>
      </c>
      <c r="AB1601" s="181">
        <v>200000</v>
      </c>
      <c r="AC1601" s="181">
        <v>99999.12</v>
      </c>
      <c r="AD1601" s="181">
        <f t="shared" si="962"/>
        <v>49.999559999999995</v>
      </c>
      <c r="AE1601" s="181">
        <f t="shared" si="969"/>
        <v>-29000</v>
      </c>
      <c r="AF1601" s="181">
        <v>171000</v>
      </c>
      <c r="AG1601" s="181">
        <v>171000</v>
      </c>
      <c r="AH1601" s="181">
        <v>171000</v>
      </c>
      <c r="AI1601" s="181">
        <v>171000</v>
      </c>
      <c r="AJ1601" s="162" t="b">
        <f t="shared" si="953"/>
        <v>0</v>
      </c>
      <c r="AK1601" s="162" t="str">
        <f t="shared" si="954"/>
        <v>PUNO</v>
      </c>
      <c r="AL1601" s="263"/>
    </row>
    <row r="1602" spans="1:39" s="264" customFormat="1" ht="15.75" x14ac:dyDescent="0.2">
      <c r="A1602" s="259"/>
      <c r="B1602" s="177"/>
      <c r="C1602" s="177"/>
      <c r="D1602" s="177">
        <v>323</v>
      </c>
      <c r="E1602" s="177"/>
      <c r="F1602" s="265"/>
      <c r="G1602" s="265"/>
      <c r="H1602" s="16" t="s">
        <v>526</v>
      </c>
      <c r="I1602" s="178"/>
      <c r="J1602" s="178"/>
      <c r="K1602" s="178"/>
      <c r="L1602" s="178"/>
      <c r="M1602" s="178"/>
      <c r="N1602" s="178"/>
      <c r="O1602" s="178"/>
      <c r="P1602" s="307"/>
      <c r="Q1602" s="178"/>
      <c r="R1602" s="178"/>
      <c r="S1602" s="178"/>
      <c r="T1602" s="266"/>
      <c r="U1602" s="178">
        <f t="shared" ref="U1602:AA1602" si="981">U1603</f>
        <v>150000</v>
      </c>
      <c r="V1602" s="178">
        <f t="shared" si="981"/>
        <v>150000</v>
      </c>
      <c r="W1602" s="178">
        <f t="shared" si="981"/>
        <v>150000</v>
      </c>
      <c r="X1602" s="178">
        <f t="shared" si="981"/>
        <v>150000</v>
      </c>
      <c r="Y1602" s="178">
        <f t="shared" si="981"/>
        <v>0</v>
      </c>
      <c r="Z1602" s="178">
        <f t="shared" si="981"/>
        <v>0</v>
      </c>
      <c r="AA1602" s="178">
        <f t="shared" si="981"/>
        <v>0</v>
      </c>
      <c r="AB1602" s="178">
        <f>AB1603</f>
        <v>150000</v>
      </c>
      <c r="AC1602" s="178">
        <f>AC1603</f>
        <v>101725.49</v>
      </c>
      <c r="AD1602" s="178">
        <f t="shared" si="962"/>
        <v>67.816993333333343</v>
      </c>
      <c r="AE1602" s="178">
        <f t="shared" si="969"/>
        <v>0</v>
      </c>
      <c r="AF1602" s="178">
        <f>AF1603</f>
        <v>150000</v>
      </c>
      <c r="AG1602" s="178">
        <f>AG1603</f>
        <v>150000</v>
      </c>
      <c r="AH1602" s="178">
        <f>AH1603</f>
        <v>150000</v>
      </c>
      <c r="AI1602" s="178">
        <f>AI1603</f>
        <v>150000</v>
      </c>
      <c r="AJ1602" s="162" t="b">
        <f t="shared" si="953"/>
        <v>1</v>
      </c>
      <c r="AK1602" s="162" t="str">
        <f t="shared" si="954"/>
        <v>PRAZNO</v>
      </c>
      <c r="AL1602" s="263"/>
    </row>
    <row r="1603" spans="1:39" s="264" customFormat="1" ht="15.75" x14ac:dyDescent="0.2">
      <c r="A1603" s="259"/>
      <c r="B1603" s="177"/>
      <c r="C1603" s="177"/>
      <c r="D1603" s="177"/>
      <c r="E1603" s="177">
        <v>3232</v>
      </c>
      <c r="F1603" s="265">
        <v>54</v>
      </c>
      <c r="G1603" s="265"/>
      <c r="H1603" s="16" t="s">
        <v>207</v>
      </c>
      <c r="I1603" s="178"/>
      <c r="J1603" s="178"/>
      <c r="K1603" s="178"/>
      <c r="L1603" s="178"/>
      <c r="M1603" s="178"/>
      <c r="N1603" s="178"/>
      <c r="O1603" s="178"/>
      <c r="P1603" s="307"/>
      <c r="Q1603" s="178"/>
      <c r="R1603" s="178"/>
      <c r="S1603" s="178"/>
      <c r="T1603" s="266"/>
      <c r="U1603" s="266">
        <v>150000</v>
      </c>
      <c r="V1603" s="178">
        <v>150000</v>
      </c>
      <c r="W1603" s="178">
        <v>150000</v>
      </c>
      <c r="X1603" s="178">
        <v>150000</v>
      </c>
      <c r="Y1603" s="178">
        <v>0</v>
      </c>
      <c r="Z1603" s="178">
        <f t="shared" si="966"/>
        <v>0</v>
      </c>
      <c r="AA1603" s="178">
        <f>AB1603-V1603</f>
        <v>0</v>
      </c>
      <c r="AB1603" s="178">
        <v>150000</v>
      </c>
      <c r="AC1603" s="178">
        <v>101725.49</v>
      </c>
      <c r="AD1603" s="178">
        <f t="shared" si="962"/>
        <v>67.816993333333343</v>
      </c>
      <c r="AE1603" s="178">
        <f t="shared" si="969"/>
        <v>0</v>
      </c>
      <c r="AF1603" s="178">
        <v>150000</v>
      </c>
      <c r="AG1603" s="178">
        <v>150000</v>
      </c>
      <c r="AH1603" s="178">
        <v>150000</v>
      </c>
      <c r="AI1603" s="178">
        <v>150000</v>
      </c>
      <c r="AJ1603" s="162" t="b">
        <f t="shared" si="953"/>
        <v>0</v>
      </c>
      <c r="AK1603" s="162" t="str">
        <f t="shared" si="954"/>
        <v>PUNO</v>
      </c>
      <c r="AL1603" s="263"/>
    </row>
    <row r="1604" spans="1:39" s="264" customFormat="1" ht="15.75" x14ac:dyDescent="0.2">
      <c r="A1604" s="259"/>
      <c r="B1604" s="168"/>
      <c r="C1604" s="168"/>
      <c r="D1604" s="168"/>
      <c r="E1604" s="168"/>
      <c r="F1604" s="168"/>
      <c r="G1604" s="168"/>
      <c r="H1604" s="13" t="s">
        <v>44</v>
      </c>
      <c r="I1604" s="169">
        <f>I1606</f>
        <v>190000</v>
      </c>
      <c r="J1604" s="169">
        <f>J1606</f>
        <v>120204.8</v>
      </c>
      <c r="K1604" s="169">
        <f>ROUND(J1604/I1604*100,2)</f>
        <v>63.27</v>
      </c>
      <c r="L1604" s="169" t="e">
        <f>M1604-I1604</f>
        <v>#REF!</v>
      </c>
      <c r="M1604" s="19" t="e">
        <f>M1606</f>
        <v>#REF!</v>
      </c>
      <c r="N1604" s="19" t="e">
        <f>N1606</f>
        <v>#REF!</v>
      </c>
      <c r="O1604" s="19" t="e">
        <f>O1606</f>
        <v>#REF!</v>
      </c>
      <c r="P1604" s="303" t="e">
        <f>T1604-N1604</f>
        <v>#REF!</v>
      </c>
      <c r="Q1604" s="19" t="e">
        <f t="shared" ref="Q1604:X1604" si="982">Q1606</f>
        <v>#REF!</v>
      </c>
      <c r="R1604" s="19" t="e">
        <f t="shared" si="982"/>
        <v>#REF!</v>
      </c>
      <c r="S1604" s="19" t="e">
        <f t="shared" si="982"/>
        <v>#REF!</v>
      </c>
      <c r="T1604" s="19">
        <f>T1606</f>
        <v>163000</v>
      </c>
      <c r="U1604" s="19">
        <f>U1606</f>
        <v>183000</v>
      </c>
      <c r="V1604" s="19">
        <f t="shared" si="982"/>
        <v>181000</v>
      </c>
      <c r="W1604" s="19" t="e">
        <f t="shared" si="982"/>
        <v>#REF!</v>
      </c>
      <c r="X1604" s="19" t="e">
        <f t="shared" si="982"/>
        <v>#REF!</v>
      </c>
      <c r="Y1604" s="19">
        <f>Y1606</f>
        <v>14226.07</v>
      </c>
      <c r="Z1604" s="19">
        <f t="shared" si="966"/>
        <v>7.86</v>
      </c>
      <c r="AA1604" s="19">
        <f>AB1604-V1604</f>
        <v>0</v>
      </c>
      <c r="AB1604" s="19">
        <f>AB1606</f>
        <v>181000</v>
      </c>
      <c r="AC1604" s="19">
        <f>AC1606</f>
        <v>53566.520000000004</v>
      </c>
      <c r="AD1604" s="19">
        <f t="shared" si="962"/>
        <v>29.59476243093923</v>
      </c>
      <c r="AE1604" s="19">
        <f t="shared" si="969"/>
        <v>0</v>
      </c>
      <c r="AF1604" s="19">
        <f>AF1606</f>
        <v>181000</v>
      </c>
      <c r="AG1604" s="19">
        <f>AG1606</f>
        <v>181000</v>
      </c>
      <c r="AH1604" s="19">
        <f>AH1606</f>
        <v>181000</v>
      </c>
      <c r="AI1604" s="19">
        <f>AI1606</f>
        <v>181000</v>
      </c>
      <c r="AJ1604" s="162" t="b">
        <f t="shared" si="953"/>
        <v>1</v>
      </c>
      <c r="AK1604" s="162" t="str">
        <f t="shared" si="954"/>
        <v>PRAZNO</v>
      </c>
      <c r="AL1604" s="263"/>
    </row>
    <row r="1605" spans="1:39" s="264" customFormat="1" ht="21.75" customHeight="1" x14ac:dyDescent="0.2">
      <c r="A1605" s="259"/>
      <c r="B1605" s="260"/>
      <c r="C1605" s="260"/>
      <c r="D1605" s="260"/>
      <c r="E1605" s="260"/>
      <c r="F1605" s="260"/>
      <c r="G1605" s="260"/>
      <c r="H1605" s="440" t="s">
        <v>830</v>
      </c>
      <c r="I1605" s="181"/>
      <c r="J1605" s="181"/>
      <c r="K1605" s="181"/>
      <c r="L1605" s="181"/>
      <c r="M1605" s="262"/>
      <c r="N1605" s="262"/>
      <c r="O1605" s="262"/>
      <c r="P1605" s="445"/>
      <c r="Q1605" s="262"/>
      <c r="R1605" s="262"/>
      <c r="S1605" s="262"/>
      <c r="T1605" s="342"/>
      <c r="U1605" s="262">
        <f t="shared" ref="U1605:AA1605" si="983">U1606</f>
        <v>183000</v>
      </c>
      <c r="V1605" s="262">
        <f t="shared" si="983"/>
        <v>181000</v>
      </c>
      <c r="W1605" s="262" t="e">
        <f t="shared" si="983"/>
        <v>#REF!</v>
      </c>
      <c r="X1605" s="262" t="e">
        <f t="shared" si="983"/>
        <v>#REF!</v>
      </c>
      <c r="Y1605" s="262">
        <f t="shared" si="983"/>
        <v>14226.07</v>
      </c>
      <c r="Z1605" s="262">
        <f t="shared" si="983"/>
        <v>7.86</v>
      </c>
      <c r="AA1605" s="262">
        <f t="shared" si="983"/>
        <v>0</v>
      </c>
      <c r="AB1605" s="262">
        <f>AB1606</f>
        <v>181000</v>
      </c>
      <c r="AC1605" s="262">
        <f>AC1606</f>
        <v>53566.520000000004</v>
      </c>
      <c r="AD1605" s="262">
        <f t="shared" si="962"/>
        <v>29.59476243093923</v>
      </c>
      <c r="AE1605" s="262">
        <f t="shared" si="969"/>
        <v>0</v>
      </c>
      <c r="AF1605" s="262">
        <f>AF1606</f>
        <v>181000</v>
      </c>
      <c r="AG1605" s="262">
        <f>AG1606</f>
        <v>181000</v>
      </c>
      <c r="AH1605" s="262">
        <f>AH1606</f>
        <v>181000</v>
      </c>
      <c r="AI1605" s="262">
        <f>AI1606</f>
        <v>181000</v>
      </c>
      <c r="AJ1605" s="162" t="b">
        <f t="shared" si="953"/>
        <v>1</v>
      </c>
      <c r="AK1605" s="162" t="str">
        <f t="shared" si="954"/>
        <v>PRAZNO</v>
      </c>
      <c r="AL1605" s="263"/>
    </row>
    <row r="1606" spans="1:39" s="264" customFormat="1" ht="15.75" x14ac:dyDescent="0.2">
      <c r="A1606" s="259"/>
      <c r="B1606" s="172">
        <v>4</v>
      </c>
      <c r="C1606" s="172"/>
      <c r="D1606" s="172"/>
      <c r="E1606" s="172"/>
      <c r="F1606" s="172"/>
      <c r="G1606" s="177"/>
      <c r="H1606" s="14" t="s">
        <v>552</v>
      </c>
      <c r="I1606" s="20">
        <f>I1610</f>
        <v>190000</v>
      </c>
      <c r="J1606" s="20">
        <f>J1610</f>
        <v>120204.8</v>
      </c>
      <c r="K1606" s="20">
        <f>ROUND(J1606/I1606*100,2)</f>
        <v>63.27</v>
      </c>
      <c r="L1606" s="20" t="e">
        <f>M1606-I1606</f>
        <v>#REF!</v>
      </c>
      <c r="M1606" s="20" t="e">
        <f>M1610+#REF!</f>
        <v>#REF!</v>
      </c>
      <c r="N1606" s="20" t="e">
        <f>N1610+#REF!</f>
        <v>#REF!</v>
      </c>
      <c r="O1606" s="20" t="e">
        <f>O1610+#REF!</f>
        <v>#REF!</v>
      </c>
      <c r="P1606" s="55" t="e">
        <f>T1606-N1606</f>
        <v>#REF!</v>
      </c>
      <c r="Q1606" s="20" t="e">
        <f>Q1610+#REF!</f>
        <v>#REF!</v>
      </c>
      <c r="R1606" s="20" t="e">
        <f>R1610+#REF!</f>
        <v>#REF!</v>
      </c>
      <c r="S1606" s="20" t="e">
        <f>S1610+#REF!</f>
        <v>#REF!</v>
      </c>
      <c r="T1606" s="20">
        <f>T1610</f>
        <v>163000</v>
      </c>
      <c r="U1606" s="20">
        <f>U1610+U1607</f>
        <v>183000</v>
      </c>
      <c r="V1606" s="20">
        <f>V1610</f>
        <v>181000</v>
      </c>
      <c r="W1606" s="20" t="e">
        <f>W1610+#REF!</f>
        <v>#REF!</v>
      </c>
      <c r="X1606" s="20" t="e">
        <f>X1610+#REF!</f>
        <v>#REF!</v>
      </c>
      <c r="Y1606" s="20">
        <f>Y1610</f>
        <v>14226.07</v>
      </c>
      <c r="Z1606" s="20">
        <f t="shared" si="966"/>
        <v>7.86</v>
      </c>
      <c r="AA1606" s="20">
        <f>AB1606-V1606</f>
        <v>0</v>
      </c>
      <c r="AB1606" s="20">
        <f>AB1610</f>
        <v>181000</v>
      </c>
      <c r="AC1606" s="20">
        <f>AC1610</f>
        <v>53566.520000000004</v>
      </c>
      <c r="AD1606" s="20">
        <f t="shared" si="962"/>
        <v>29.59476243093923</v>
      </c>
      <c r="AE1606" s="20">
        <f t="shared" si="969"/>
        <v>0</v>
      </c>
      <c r="AF1606" s="20">
        <f>AF1610</f>
        <v>181000</v>
      </c>
      <c r="AG1606" s="20">
        <f>AG1610</f>
        <v>181000</v>
      </c>
      <c r="AH1606" s="20">
        <f>AH1610</f>
        <v>181000</v>
      </c>
      <c r="AI1606" s="20">
        <f>AI1610</f>
        <v>181000</v>
      </c>
      <c r="AJ1606" s="162" t="b">
        <f t="shared" si="953"/>
        <v>1</v>
      </c>
      <c r="AK1606" s="162" t="str">
        <f t="shared" si="954"/>
        <v>PRAZNO</v>
      </c>
      <c r="AL1606" s="263"/>
    </row>
    <row r="1607" spans="1:39" ht="15.75" x14ac:dyDescent="0.2">
      <c r="B1607" s="177"/>
      <c r="C1607" s="177">
        <v>41</v>
      </c>
      <c r="D1607" s="177"/>
      <c r="E1607" s="177"/>
      <c r="F1607" s="177"/>
      <c r="G1607" s="177"/>
      <c r="H1607" s="16" t="s">
        <v>753</v>
      </c>
      <c r="I1607" s="18"/>
      <c r="J1607" s="18"/>
      <c r="K1607" s="18"/>
      <c r="L1607" s="18"/>
      <c r="M1607" s="18"/>
      <c r="N1607" s="18"/>
      <c r="O1607" s="18"/>
      <c r="P1607" s="26"/>
      <c r="Q1607" s="18"/>
      <c r="R1607" s="18"/>
      <c r="S1607" s="18"/>
      <c r="T1607" s="27"/>
      <c r="U1607" s="27">
        <f>U1608</f>
        <v>19545.79</v>
      </c>
      <c r="V1607" s="18"/>
      <c r="W1607" s="18"/>
      <c r="X1607" s="18"/>
      <c r="Y1607" s="18"/>
      <c r="Z1607" s="18"/>
      <c r="AA1607" s="18"/>
      <c r="AB1607" s="18"/>
      <c r="AC1607" s="18"/>
      <c r="AD1607" s="18"/>
      <c r="AE1607" s="18"/>
      <c r="AF1607" s="18"/>
      <c r="AG1607" s="18"/>
      <c r="AH1607" s="18"/>
      <c r="AI1607" s="18"/>
      <c r="AJ1607" s="162" t="b">
        <f t="shared" si="953"/>
        <v>1</v>
      </c>
      <c r="AK1607" s="162" t="str">
        <f t="shared" si="954"/>
        <v>PRAZNO</v>
      </c>
      <c r="AL1607" s="263"/>
      <c r="AM1607" s="264"/>
    </row>
    <row r="1608" spans="1:39" ht="15.75" x14ac:dyDescent="0.2">
      <c r="B1608" s="177"/>
      <c r="C1608" s="177"/>
      <c r="D1608" s="177">
        <v>412</v>
      </c>
      <c r="E1608" s="177"/>
      <c r="F1608" s="177"/>
      <c r="G1608" s="177"/>
      <c r="H1608" s="16" t="s">
        <v>553</v>
      </c>
      <c r="I1608" s="18"/>
      <c r="J1608" s="18"/>
      <c r="K1608" s="18"/>
      <c r="L1608" s="18"/>
      <c r="M1608" s="18"/>
      <c r="N1608" s="18"/>
      <c r="O1608" s="18"/>
      <c r="P1608" s="26"/>
      <c r="Q1608" s="18"/>
      <c r="R1608" s="18"/>
      <c r="S1608" s="18"/>
      <c r="T1608" s="27"/>
      <c r="U1608" s="27">
        <f>U1609</f>
        <v>19545.79</v>
      </c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162" t="b">
        <f t="shared" si="953"/>
        <v>1</v>
      </c>
      <c r="AK1608" s="162" t="str">
        <f t="shared" si="954"/>
        <v>PRAZNO</v>
      </c>
      <c r="AL1608" s="263"/>
      <c r="AM1608" s="264"/>
    </row>
    <row r="1609" spans="1:39" ht="15.75" x14ac:dyDescent="0.2">
      <c r="B1609" s="177"/>
      <c r="C1609" s="177"/>
      <c r="D1609" s="177"/>
      <c r="E1609" s="177">
        <v>4123</v>
      </c>
      <c r="F1609" s="176">
        <v>54</v>
      </c>
      <c r="G1609" s="176"/>
      <c r="H1609" s="16" t="s">
        <v>554</v>
      </c>
      <c r="I1609" s="18"/>
      <c r="J1609" s="18"/>
      <c r="K1609" s="18"/>
      <c r="L1609" s="18"/>
      <c r="M1609" s="18"/>
      <c r="N1609" s="18"/>
      <c r="O1609" s="18"/>
      <c r="P1609" s="26"/>
      <c r="Q1609" s="18"/>
      <c r="R1609" s="18"/>
      <c r="S1609" s="18"/>
      <c r="T1609" s="27"/>
      <c r="U1609" s="27">
        <v>19545.79</v>
      </c>
      <c r="V1609" s="18"/>
      <c r="W1609" s="18"/>
      <c r="X1609" s="18"/>
      <c r="Y1609" s="18"/>
      <c r="Z1609" s="18"/>
      <c r="AA1609" s="18"/>
      <c r="AB1609" s="18"/>
      <c r="AC1609" s="18"/>
      <c r="AD1609" s="18"/>
      <c r="AE1609" s="18"/>
      <c r="AF1609" s="18"/>
      <c r="AG1609" s="18"/>
      <c r="AH1609" s="18"/>
      <c r="AI1609" s="18"/>
      <c r="AJ1609" s="162" t="b">
        <f t="shared" ref="AJ1609:AJ1672" si="984">ISBLANK(E1609)</f>
        <v>0</v>
      </c>
      <c r="AK1609" s="162" t="str">
        <f t="shared" ref="AK1609:AK1672" si="985">IF(AJ1609,"PRAZNO","PUNO")</f>
        <v>PUNO</v>
      </c>
      <c r="AL1609" s="263"/>
      <c r="AM1609" s="264"/>
    </row>
    <row r="1610" spans="1:39" ht="15.75" x14ac:dyDescent="0.2">
      <c r="B1610" s="177"/>
      <c r="C1610" s="177">
        <v>42</v>
      </c>
      <c r="D1610" s="177"/>
      <c r="E1610" s="177"/>
      <c r="F1610" s="177"/>
      <c r="G1610" s="177"/>
      <c r="H1610" s="16" t="s">
        <v>212</v>
      </c>
      <c r="I1610" s="18">
        <f>I1611</f>
        <v>190000</v>
      </c>
      <c r="J1610" s="18">
        <f>J1611</f>
        <v>120204.8</v>
      </c>
      <c r="K1610" s="18">
        <f t="shared" ref="K1610:K1618" si="986">ROUND(J1610/I1610*100,2)</f>
        <v>63.27</v>
      </c>
      <c r="L1610" s="18">
        <f t="shared" ref="L1610:L1618" si="987">M1610-I1610</f>
        <v>0</v>
      </c>
      <c r="M1610" s="18">
        <f>M1611</f>
        <v>190000</v>
      </c>
      <c r="N1610" s="18">
        <f>N1611</f>
        <v>163000</v>
      </c>
      <c r="O1610" s="18">
        <f>O1611</f>
        <v>25914.799999999999</v>
      </c>
      <c r="P1610" s="26">
        <f t="shared" ref="P1610:P1618" si="988">T1610-N1610</f>
        <v>0</v>
      </c>
      <c r="Q1610" s="18">
        <f t="shared" ref="Q1610:AI1610" si="989">Q1611</f>
        <v>163000</v>
      </c>
      <c r="R1610" s="18">
        <f t="shared" si="989"/>
        <v>177000</v>
      </c>
      <c r="S1610" s="18">
        <f t="shared" si="989"/>
        <v>187000</v>
      </c>
      <c r="T1610" s="27">
        <f t="shared" si="989"/>
        <v>163000</v>
      </c>
      <c r="U1610" s="27">
        <f t="shared" si="989"/>
        <v>163454.21</v>
      </c>
      <c r="V1610" s="18">
        <f t="shared" si="989"/>
        <v>181000</v>
      </c>
      <c r="W1610" s="18">
        <f t="shared" si="989"/>
        <v>184000</v>
      </c>
      <c r="X1610" s="18">
        <f t="shared" si="989"/>
        <v>201000</v>
      </c>
      <c r="Y1610" s="18">
        <f t="shared" si="989"/>
        <v>14226.07</v>
      </c>
      <c r="Z1610" s="18">
        <f t="shared" si="966"/>
        <v>7.86</v>
      </c>
      <c r="AA1610" s="18">
        <f t="shared" ref="AA1610:AA1618" si="990">AB1610-V1610</f>
        <v>0</v>
      </c>
      <c r="AB1610" s="18">
        <f t="shared" si="989"/>
        <v>181000</v>
      </c>
      <c r="AC1610" s="18">
        <f t="shared" si="989"/>
        <v>53566.520000000004</v>
      </c>
      <c r="AD1610" s="18">
        <f t="shared" si="962"/>
        <v>29.59476243093923</v>
      </c>
      <c r="AE1610" s="18">
        <f t="shared" si="969"/>
        <v>0</v>
      </c>
      <c r="AF1610" s="18">
        <f t="shared" si="989"/>
        <v>181000</v>
      </c>
      <c r="AG1610" s="18">
        <f t="shared" si="989"/>
        <v>181000</v>
      </c>
      <c r="AH1610" s="18">
        <f t="shared" si="989"/>
        <v>181000</v>
      </c>
      <c r="AI1610" s="18">
        <f t="shared" si="989"/>
        <v>181000</v>
      </c>
      <c r="AJ1610" s="162" t="b">
        <f t="shared" si="984"/>
        <v>1</v>
      </c>
      <c r="AK1610" s="162" t="str">
        <f t="shared" si="985"/>
        <v>PRAZNO</v>
      </c>
      <c r="AL1610" s="263"/>
      <c r="AM1610" s="264"/>
    </row>
    <row r="1611" spans="1:39" ht="15.75" x14ac:dyDescent="0.2">
      <c r="B1611" s="177"/>
      <c r="C1611" s="177"/>
      <c r="D1611" s="177">
        <v>422</v>
      </c>
      <c r="E1611" s="177"/>
      <c r="F1611" s="177"/>
      <c r="G1611" s="177"/>
      <c r="H1611" s="16" t="s">
        <v>555</v>
      </c>
      <c r="I1611" s="18">
        <f>SUM(I1612:I1616)</f>
        <v>190000</v>
      </c>
      <c r="J1611" s="18">
        <f>SUM(J1612:J1616)</f>
        <v>120204.8</v>
      </c>
      <c r="K1611" s="18">
        <f t="shared" si="986"/>
        <v>63.27</v>
      </c>
      <c r="L1611" s="18">
        <f t="shared" si="987"/>
        <v>0</v>
      </c>
      <c r="M1611" s="18">
        <f>SUM(M1612:M1616)</f>
        <v>190000</v>
      </c>
      <c r="N1611" s="18">
        <f>SUM(N1612:N1616)</f>
        <v>163000</v>
      </c>
      <c r="O1611" s="18">
        <f>SUM(O1612:O1616)</f>
        <v>25914.799999999999</v>
      </c>
      <c r="P1611" s="26">
        <f t="shared" si="988"/>
        <v>0</v>
      </c>
      <c r="Q1611" s="18">
        <f t="shared" ref="Q1611:X1611" si="991">SUM(Q1612:Q1616)</f>
        <v>163000</v>
      </c>
      <c r="R1611" s="18">
        <f t="shared" si="991"/>
        <v>177000</v>
      </c>
      <c r="S1611" s="18">
        <f t="shared" si="991"/>
        <v>187000</v>
      </c>
      <c r="T1611" s="27">
        <f t="shared" si="991"/>
        <v>163000</v>
      </c>
      <c r="U1611" s="27">
        <f>SUM(U1612:U1616)</f>
        <v>163454.21</v>
      </c>
      <c r="V1611" s="27">
        <f t="shared" si="991"/>
        <v>181000</v>
      </c>
      <c r="W1611" s="27">
        <f t="shared" si="991"/>
        <v>184000</v>
      </c>
      <c r="X1611" s="27">
        <f t="shared" si="991"/>
        <v>201000</v>
      </c>
      <c r="Y1611" s="27">
        <f>SUM(Y1612:Y1616)</f>
        <v>14226.07</v>
      </c>
      <c r="Z1611" s="27">
        <f t="shared" si="966"/>
        <v>7.86</v>
      </c>
      <c r="AA1611" s="27">
        <f t="shared" si="990"/>
        <v>0</v>
      </c>
      <c r="AB1611" s="27">
        <f>SUM(AB1612:AB1616)</f>
        <v>181000</v>
      </c>
      <c r="AC1611" s="27">
        <f>SUM(AC1612:AC1616)</f>
        <v>53566.520000000004</v>
      </c>
      <c r="AD1611" s="27">
        <f t="shared" si="962"/>
        <v>29.59476243093923</v>
      </c>
      <c r="AE1611" s="27">
        <f t="shared" si="969"/>
        <v>0</v>
      </c>
      <c r="AF1611" s="27">
        <f>SUM(AF1612:AF1616)</f>
        <v>181000</v>
      </c>
      <c r="AG1611" s="27">
        <f>SUM(AG1612:AG1616)</f>
        <v>181000</v>
      </c>
      <c r="AH1611" s="27">
        <f>SUM(AH1612:AH1616)</f>
        <v>181000</v>
      </c>
      <c r="AI1611" s="27">
        <f>SUM(AI1612:AI1616)</f>
        <v>181000</v>
      </c>
      <c r="AJ1611" s="162" t="b">
        <f t="shared" si="984"/>
        <v>1</v>
      </c>
      <c r="AK1611" s="162" t="str">
        <f t="shared" si="985"/>
        <v>PRAZNO</v>
      </c>
      <c r="AL1611" s="263"/>
      <c r="AM1611" s="264"/>
    </row>
    <row r="1612" spans="1:39" ht="15.75" x14ac:dyDescent="0.2">
      <c r="B1612" s="177"/>
      <c r="C1612" s="177"/>
      <c r="D1612" s="177"/>
      <c r="E1612" s="177">
        <v>4221</v>
      </c>
      <c r="F1612" s="176">
        <v>54</v>
      </c>
      <c r="G1612" s="176"/>
      <c r="H1612" s="16" t="s">
        <v>558</v>
      </c>
      <c r="I1612" s="18">
        <v>20000</v>
      </c>
      <c r="J1612" s="18">
        <v>12412.44</v>
      </c>
      <c r="K1612" s="18">
        <f t="shared" si="986"/>
        <v>62.06</v>
      </c>
      <c r="L1612" s="18">
        <f t="shared" si="987"/>
        <v>-7587.5599999999995</v>
      </c>
      <c r="M1612" s="18">
        <v>12412.44</v>
      </c>
      <c r="N1612" s="18">
        <v>20000</v>
      </c>
      <c r="O1612" s="18">
        <v>14644.55</v>
      </c>
      <c r="P1612" s="26">
        <f t="shared" si="988"/>
        <v>0</v>
      </c>
      <c r="Q1612" s="18">
        <v>20000</v>
      </c>
      <c r="R1612" s="18">
        <v>20000</v>
      </c>
      <c r="S1612" s="18">
        <v>25000</v>
      </c>
      <c r="T1612" s="27">
        <v>20000</v>
      </c>
      <c r="U1612" s="27">
        <v>21795.07</v>
      </c>
      <c r="V1612" s="18">
        <v>25000</v>
      </c>
      <c r="W1612" s="18">
        <v>25000</v>
      </c>
      <c r="X1612" s="18">
        <v>25000</v>
      </c>
      <c r="Y1612" s="18">
        <v>14226.07</v>
      </c>
      <c r="Z1612" s="18">
        <f t="shared" si="966"/>
        <v>56.9</v>
      </c>
      <c r="AA1612" s="18">
        <f t="shared" si="990"/>
        <v>0</v>
      </c>
      <c r="AB1612" s="18">
        <v>25000</v>
      </c>
      <c r="AC1612" s="18">
        <v>18497.82</v>
      </c>
      <c r="AD1612" s="18">
        <f t="shared" si="962"/>
        <v>73.991280000000003</v>
      </c>
      <c r="AE1612" s="18">
        <f t="shared" si="969"/>
        <v>0</v>
      </c>
      <c r="AF1612" s="18">
        <v>25000</v>
      </c>
      <c r="AG1612" s="18">
        <v>35000</v>
      </c>
      <c r="AH1612" s="18">
        <v>35000</v>
      </c>
      <c r="AI1612" s="18">
        <v>25000</v>
      </c>
      <c r="AJ1612" s="162" t="b">
        <f t="shared" si="984"/>
        <v>0</v>
      </c>
      <c r="AK1612" s="162" t="str">
        <f t="shared" si="985"/>
        <v>PUNO</v>
      </c>
      <c r="AL1612" s="263"/>
      <c r="AM1612" s="264"/>
    </row>
    <row r="1613" spans="1:39" ht="15.75" x14ac:dyDescent="0.2">
      <c r="B1613" s="177"/>
      <c r="C1613" s="177"/>
      <c r="D1613" s="177"/>
      <c r="E1613" s="177">
        <v>4222</v>
      </c>
      <c r="F1613" s="176">
        <v>54</v>
      </c>
      <c r="G1613" s="176"/>
      <c r="H1613" s="16" t="s">
        <v>559</v>
      </c>
      <c r="I1613" s="18">
        <v>8000</v>
      </c>
      <c r="J1613" s="18">
        <v>8000</v>
      </c>
      <c r="K1613" s="18">
        <f t="shared" si="986"/>
        <v>100</v>
      </c>
      <c r="L1613" s="18">
        <f t="shared" si="987"/>
        <v>0</v>
      </c>
      <c r="M1613" s="18">
        <v>8000</v>
      </c>
      <c r="N1613" s="18">
        <v>0</v>
      </c>
      <c r="O1613" s="18">
        <v>0</v>
      </c>
      <c r="P1613" s="26">
        <f t="shared" si="988"/>
        <v>0</v>
      </c>
      <c r="Q1613" s="18">
        <v>0</v>
      </c>
      <c r="R1613" s="18">
        <v>30000</v>
      </c>
      <c r="S1613" s="18">
        <v>4000</v>
      </c>
      <c r="T1613" s="27">
        <v>0</v>
      </c>
      <c r="U1613" s="27">
        <v>0</v>
      </c>
      <c r="V1613" s="18">
        <v>15000</v>
      </c>
      <c r="W1613" s="18">
        <v>15000</v>
      </c>
      <c r="X1613" s="18">
        <v>10000</v>
      </c>
      <c r="Y1613" s="18">
        <v>0</v>
      </c>
      <c r="Z1613" s="18">
        <f t="shared" si="966"/>
        <v>0</v>
      </c>
      <c r="AA1613" s="18">
        <f t="shared" si="990"/>
        <v>-9300</v>
      </c>
      <c r="AB1613" s="18">
        <v>5700</v>
      </c>
      <c r="AC1613" s="18">
        <v>5690</v>
      </c>
      <c r="AD1613" s="18">
        <f t="shared" si="962"/>
        <v>99.824561403508767</v>
      </c>
      <c r="AE1613" s="18">
        <f t="shared" si="969"/>
        <v>0</v>
      </c>
      <c r="AF1613" s="18">
        <v>5700</v>
      </c>
      <c r="AG1613" s="18">
        <v>13000</v>
      </c>
      <c r="AH1613" s="18">
        <v>13000</v>
      </c>
      <c r="AI1613" s="18">
        <v>5700</v>
      </c>
      <c r="AJ1613" s="162" t="b">
        <f t="shared" si="984"/>
        <v>0</v>
      </c>
      <c r="AK1613" s="162" t="str">
        <f t="shared" si="985"/>
        <v>PUNO</v>
      </c>
      <c r="AL1613" s="263"/>
      <c r="AM1613" s="264"/>
    </row>
    <row r="1614" spans="1:39" ht="15.75" x14ac:dyDescent="0.2">
      <c r="B1614" s="177"/>
      <c r="C1614" s="177"/>
      <c r="D1614" s="177"/>
      <c r="E1614" s="177">
        <v>4223</v>
      </c>
      <c r="F1614" s="176">
        <v>54</v>
      </c>
      <c r="G1614" s="176"/>
      <c r="H1614" s="16" t="s">
        <v>628</v>
      </c>
      <c r="I1614" s="18">
        <v>7000</v>
      </c>
      <c r="J1614" s="18">
        <v>4243.5</v>
      </c>
      <c r="K1614" s="18">
        <f t="shared" si="986"/>
        <v>60.62</v>
      </c>
      <c r="L1614" s="18">
        <f t="shared" si="987"/>
        <v>9286.51</v>
      </c>
      <c r="M1614" s="18">
        <v>16286.51</v>
      </c>
      <c r="N1614" s="18">
        <v>20000</v>
      </c>
      <c r="O1614" s="18">
        <v>11270.25</v>
      </c>
      <c r="P1614" s="26">
        <f t="shared" si="988"/>
        <v>0</v>
      </c>
      <c r="Q1614" s="18">
        <v>20000</v>
      </c>
      <c r="R1614" s="18">
        <v>5000</v>
      </c>
      <c r="S1614" s="18">
        <v>5000</v>
      </c>
      <c r="T1614" s="27">
        <v>20000</v>
      </c>
      <c r="U1614" s="27">
        <v>19966.5</v>
      </c>
      <c r="V1614" s="18">
        <v>15000</v>
      </c>
      <c r="W1614" s="18">
        <v>15000</v>
      </c>
      <c r="X1614" s="18">
        <v>15000</v>
      </c>
      <c r="Y1614" s="18">
        <v>0</v>
      </c>
      <c r="Z1614" s="18">
        <f t="shared" si="966"/>
        <v>0</v>
      </c>
      <c r="AA1614" s="18">
        <f t="shared" si="990"/>
        <v>3800</v>
      </c>
      <c r="AB1614" s="18">
        <v>18800</v>
      </c>
      <c r="AC1614" s="18">
        <v>19378.7</v>
      </c>
      <c r="AD1614" s="18">
        <f t="shared" si="962"/>
        <v>103.0781914893617</v>
      </c>
      <c r="AE1614" s="18">
        <f t="shared" si="969"/>
        <v>600</v>
      </c>
      <c r="AF1614" s="18">
        <v>19400</v>
      </c>
      <c r="AG1614" s="18">
        <v>15000</v>
      </c>
      <c r="AH1614" s="18">
        <v>15000</v>
      </c>
      <c r="AI1614" s="18">
        <v>18800</v>
      </c>
      <c r="AJ1614" s="162" t="b">
        <f t="shared" si="984"/>
        <v>0</v>
      </c>
      <c r="AK1614" s="162" t="str">
        <f t="shared" si="985"/>
        <v>PUNO</v>
      </c>
      <c r="AL1614" s="263"/>
      <c r="AM1614" s="264"/>
    </row>
    <row r="1615" spans="1:39" ht="15.75" x14ac:dyDescent="0.2">
      <c r="B1615" s="177"/>
      <c r="C1615" s="177"/>
      <c r="D1615" s="177"/>
      <c r="E1615" s="177">
        <v>4224</v>
      </c>
      <c r="F1615" s="176">
        <v>54</v>
      </c>
      <c r="G1615" s="176"/>
      <c r="H1615" s="16" t="s">
        <v>638</v>
      </c>
      <c r="I1615" s="18">
        <v>12000</v>
      </c>
      <c r="J1615" s="18">
        <v>10934.7</v>
      </c>
      <c r="K1615" s="18">
        <f t="shared" si="986"/>
        <v>91.12</v>
      </c>
      <c r="L1615" s="18">
        <f t="shared" si="987"/>
        <v>-1065.2999999999993</v>
      </c>
      <c r="M1615" s="18">
        <v>10934.7</v>
      </c>
      <c r="N1615" s="18">
        <v>0</v>
      </c>
      <c r="O1615" s="18">
        <v>0</v>
      </c>
      <c r="P1615" s="26">
        <f t="shared" si="988"/>
        <v>0</v>
      </c>
      <c r="Q1615" s="18">
        <v>0</v>
      </c>
      <c r="R1615" s="18">
        <v>9000</v>
      </c>
      <c r="S1615" s="18">
        <v>9000</v>
      </c>
      <c r="T1615" s="27">
        <v>0</v>
      </c>
      <c r="U1615" s="27">
        <v>0</v>
      </c>
      <c r="V1615" s="18">
        <v>10000</v>
      </c>
      <c r="W1615" s="18">
        <v>10000</v>
      </c>
      <c r="X1615" s="18">
        <v>15000</v>
      </c>
      <c r="Y1615" s="18">
        <v>0</v>
      </c>
      <c r="Z1615" s="18">
        <f t="shared" si="966"/>
        <v>0</v>
      </c>
      <c r="AA1615" s="18">
        <f t="shared" si="990"/>
        <v>-9000</v>
      </c>
      <c r="AB1615" s="18">
        <v>1000</v>
      </c>
      <c r="AC1615" s="18">
        <v>0</v>
      </c>
      <c r="AD1615" s="18">
        <f t="shared" si="962"/>
        <v>0</v>
      </c>
      <c r="AE1615" s="18">
        <f t="shared" si="969"/>
        <v>-1000</v>
      </c>
      <c r="AF1615" s="18">
        <v>0</v>
      </c>
      <c r="AG1615" s="18">
        <v>10000</v>
      </c>
      <c r="AH1615" s="18">
        <v>10000</v>
      </c>
      <c r="AI1615" s="18">
        <v>1000</v>
      </c>
      <c r="AJ1615" s="162" t="b">
        <f t="shared" si="984"/>
        <v>0</v>
      </c>
      <c r="AK1615" s="162" t="str">
        <f t="shared" si="985"/>
        <v>PUNO</v>
      </c>
      <c r="AL1615" s="263"/>
      <c r="AM1615" s="264"/>
    </row>
    <row r="1616" spans="1:39" ht="15.75" x14ac:dyDescent="0.2">
      <c r="B1616" s="177"/>
      <c r="C1616" s="177"/>
      <c r="D1616" s="177"/>
      <c r="E1616" s="177">
        <v>4227</v>
      </c>
      <c r="F1616" s="176">
        <v>54</v>
      </c>
      <c r="G1616" s="176"/>
      <c r="H1616" s="16" t="s">
        <v>413</v>
      </c>
      <c r="I1616" s="18">
        <v>143000</v>
      </c>
      <c r="J1616" s="18">
        <v>84614.16</v>
      </c>
      <c r="K1616" s="18">
        <f t="shared" si="986"/>
        <v>59.17</v>
      </c>
      <c r="L1616" s="18">
        <f t="shared" si="987"/>
        <v>-633.64999999999418</v>
      </c>
      <c r="M1616" s="18">
        <v>142366.35</v>
      </c>
      <c r="N1616" s="18">
        <v>123000</v>
      </c>
      <c r="O1616" s="18">
        <v>0</v>
      </c>
      <c r="P1616" s="26">
        <f t="shared" si="988"/>
        <v>0</v>
      </c>
      <c r="Q1616" s="18">
        <v>123000</v>
      </c>
      <c r="R1616" s="18">
        <v>113000</v>
      </c>
      <c r="S1616" s="18">
        <v>144000</v>
      </c>
      <c r="T1616" s="27">
        <v>123000</v>
      </c>
      <c r="U1616" s="27">
        <v>121692.64</v>
      </c>
      <c r="V1616" s="18">
        <v>116000</v>
      </c>
      <c r="W1616" s="18">
        <v>119000</v>
      </c>
      <c r="X1616" s="18">
        <v>136000</v>
      </c>
      <c r="Y1616" s="18">
        <v>0</v>
      </c>
      <c r="Z1616" s="18">
        <f t="shared" si="966"/>
        <v>0</v>
      </c>
      <c r="AA1616" s="18">
        <f t="shared" si="990"/>
        <v>14500</v>
      </c>
      <c r="AB1616" s="18">
        <v>130500</v>
      </c>
      <c r="AC1616" s="18">
        <v>10000</v>
      </c>
      <c r="AD1616" s="18">
        <f t="shared" si="962"/>
        <v>7.6628352490421454</v>
      </c>
      <c r="AE1616" s="18">
        <f t="shared" si="969"/>
        <v>400</v>
      </c>
      <c r="AF1616" s="18">
        <v>130900</v>
      </c>
      <c r="AG1616" s="18">
        <v>108000</v>
      </c>
      <c r="AH1616" s="18">
        <v>108000</v>
      </c>
      <c r="AI1616" s="18">
        <v>130500</v>
      </c>
      <c r="AJ1616" s="162" t="b">
        <f t="shared" si="984"/>
        <v>0</v>
      </c>
      <c r="AK1616" s="162" t="str">
        <f t="shared" si="985"/>
        <v>PUNO</v>
      </c>
      <c r="AL1616" s="263"/>
      <c r="AM1616" s="264"/>
    </row>
    <row r="1617" spans="1:39" s="264" customFormat="1" ht="31.5" x14ac:dyDescent="0.2">
      <c r="A1617" s="259"/>
      <c r="B1617" s="270"/>
      <c r="C1617" s="270"/>
      <c r="D1617" s="270"/>
      <c r="E1617" s="270"/>
      <c r="F1617" s="270"/>
      <c r="G1617" s="270"/>
      <c r="H1617" s="274" t="s">
        <v>11</v>
      </c>
      <c r="I1617" s="273" t="e">
        <f>I1618+#REF!+I1653</f>
        <v>#REF!</v>
      </c>
      <c r="J1617" s="273" t="e">
        <f>J1618+#REF!+J1653</f>
        <v>#REF!</v>
      </c>
      <c r="K1617" s="273" t="e">
        <f t="shared" si="986"/>
        <v>#REF!</v>
      </c>
      <c r="L1617" s="273" t="e">
        <f t="shared" si="987"/>
        <v>#REF!</v>
      </c>
      <c r="M1617" s="275" t="e">
        <f>M1618+M1653</f>
        <v>#REF!</v>
      </c>
      <c r="N1617" s="275" t="e">
        <f>N1618+N1653</f>
        <v>#REF!</v>
      </c>
      <c r="O1617" s="275" t="e">
        <f>O1618+O1653</f>
        <v>#REF!</v>
      </c>
      <c r="P1617" s="336" t="e">
        <f t="shared" si="988"/>
        <v>#REF!</v>
      </c>
      <c r="Q1617" s="275" t="e">
        <f t="shared" ref="Q1617:Y1617" si="992">Q1618+Q1653</f>
        <v>#REF!</v>
      </c>
      <c r="R1617" s="275" t="e">
        <f t="shared" si="992"/>
        <v>#REF!</v>
      </c>
      <c r="S1617" s="275" t="e">
        <f t="shared" si="992"/>
        <v>#REF!</v>
      </c>
      <c r="T1617" s="275">
        <f t="shared" si="992"/>
        <v>141000</v>
      </c>
      <c r="U1617" s="275">
        <f t="shared" si="992"/>
        <v>211531.48</v>
      </c>
      <c r="V1617" s="275">
        <f t="shared" si="992"/>
        <v>160000</v>
      </c>
      <c r="W1617" s="275" t="e">
        <f t="shared" si="992"/>
        <v>#REF!</v>
      </c>
      <c r="X1617" s="275" t="e">
        <f t="shared" si="992"/>
        <v>#REF!</v>
      </c>
      <c r="Y1617" s="275">
        <f t="shared" si="992"/>
        <v>4934.5</v>
      </c>
      <c r="Z1617" s="275">
        <f t="shared" si="966"/>
        <v>3.08</v>
      </c>
      <c r="AA1617" s="275">
        <f t="shared" si="990"/>
        <v>30000</v>
      </c>
      <c r="AB1617" s="275">
        <f>AB1618+AB1653</f>
        <v>190000</v>
      </c>
      <c r="AC1617" s="275">
        <f>AC1618+AC1653</f>
        <v>141420.1</v>
      </c>
      <c r="AD1617" s="275">
        <f t="shared" si="962"/>
        <v>74.431631578947375</v>
      </c>
      <c r="AE1617" s="275">
        <f t="shared" si="969"/>
        <v>0</v>
      </c>
      <c r="AF1617" s="275">
        <f>AF1618+AF1653</f>
        <v>190000</v>
      </c>
      <c r="AG1617" s="275">
        <f>AG1618+AG1653</f>
        <v>490000</v>
      </c>
      <c r="AH1617" s="275">
        <f>AH1618+AH1653</f>
        <v>190000</v>
      </c>
      <c r="AI1617" s="275">
        <f>AI1618+AI1653</f>
        <v>190000</v>
      </c>
      <c r="AJ1617" s="162" t="b">
        <f t="shared" si="984"/>
        <v>1</v>
      </c>
      <c r="AK1617" s="162" t="str">
        <f t="shared" si="985"/>
        <v>PRAZNO</v>
      </c>
      <c r="AL1617" s="263"/>
    </row>
    <row r="1618" spans="1:39" s="264" customFormat="1" ht="15.75" x14ac:dyDescent="0.2">
      <c r="A1618" s="259"/>
      <c r="B1618" s="168"/>
      <c r="C1618" s="168"/>
      <c r="D1618" s="168"/>
      <c r="E1618" s="168"/>
      <c r="F1618" s="168"/>
      <c r="G1618" s="168"/>
      <c r="H1618" s="13" t="s">
        <v>596</v>
      </c>
      <c r="I1618" s="169" t="e">
        <f>I1645</f>
        <v>#REF!</v>
      </c>
      <c r="J1618" s="169" t="e">
        <f>J1645</f>
        <v>#REF!</v>
      </c>
      <c r="K1618" s="169" t="e">
        <f t="shared" si="986"/>
        <v>#REF!</v>
      </c>
      <c r="L1618" s="169" t="e">
        <f t="shared" si="987"/>
        <v>#REF!</v>
      </c>
      <c r="M1618" s="19" t="e">
        <f>M1645</f>
        <v>#REF!</v>
      </c>
      <c r="N1618" s="19" t="e">
        <f>N1645</f>
        <v>#REF!</v>
      </c>
      <c r="O1618" s="19" t="e">
        <f>O1645</f>
        <v>#REF!</v>
      </c>
      <c r="P1618" s="303" t="e">
        <f t="shared" si="988"/>
        <v>#REF!</v>
      </c>
      <c r="Q1618" s="19" t="e">
        <f t="shared" ref="Q1618:X1618" si="993">Q1645</f>
        <v>#REF!</v>
      </c>
      <c r="R1618" s="19" t="e">
        <f t="shared" si="993"/>
        <v>#REF!</v>
      </c>
      <c r="S1618" s="19" t="e">
        <f t="shared" si="993"/>
        <v>#REF!</v>
      </c>
      <c r="T1618" s="19">
        <f>T1645</f>
        <v>141000</v>
      </c>
      <c r="U1618" s="19">
        <f>U1645+U1635</f>
        <v>162531.48000000001</v>
      </c>
      <c r="V1618" s="19">
        <f t="shared" si="993"/>
        <v>160000</v>
      </c>
      <c r="W1618" s="19" t="e">
        <f t="shared" si="993"/>
        <v>#REF!</v>
      </c>
      <c r="X1618" s="19" t="e">
        <f t="shared" si="993"/>
        <v>#REF!</v>
      </c>
      <c r="Y1618" s="19">
        <f>Y1645</f>
        <v>4934.5</v>
      </c>
      <c r="Z1618" s="19">
        <f t="shared" si="966"/>
        <v>3.08</v>
      </c>
      <c r="AA1618" s="19">
        <f t="shared" si="990"/>
        <v>11000</v>
      </c>
      <c r="AB1618" s="19">
        <f>AB1645</f>
        <v>171000</v>
      </c>
      <c r="AC1618" s="19">
        <f>AC1645</f>
        <v>128078.35</v>
      </c>
      <c r="AD1618" s="19">
        <f t="shared" si="962"/>
        <v>74.899619883040941</v>
      </c>
      <c r="AE1618" s="19">
        <f t="shared" si="969"/>
        <v>2950</v>
      </c>
      <c r="AF1618" s="19">
        <f>AF1645</f>
        <v>173950</v>
      </c>
      <c r="AG1618" s="19">
        <f>AG1620+AG1645</f>
        <v>176000</v>
      </c>
      <c r="AH1618" s="19">
        <f>AH1620+AH1645</f>
        <v>176000</v>
      </c>
      <c r="AI1618" s="19">
        <f>AI1620+AI1645</f>
        <v>171000</v>
      </c>
      <c r="AJ1618" s="162" t="b">
        <f t="shared" si="984"/>
        <v>1</v>
      </c>
      <c r="AK1618" s="162" t="str">
        <f t="shared" si="985"/>
        <v>PRAZNO</v>
      </c>
      <c r="AL1618" s="263"/>
    </row>
    <row r="1619" spans="1:39" s="264" customFormat="1" ht="16.5" customHeight="1" x14ac:dyDescent="0.2">
      <c r="A1619" s="259"/>
      <c r="B1619" s="260"/>
      <c r="C1619" s="260"/>
      <c r="D1619" s="260"/>
      <c r="E1619" s="260"/>
      <c r="F1619" s="260"/>
      <c r="G1619" s="260"/>
      <c r="H1619" s="261" t="s">
        <v>824</v>
      </c>
      <c r="I1619" s="181"/>
      <c r="J1619" s="181"/>
      <c r="K1619" s="181"/>
      <c r="L1619" s="181"/>
      <c r="M1619" s="262"/>
      <c r="N1619" s="262"/>
      <c r="O1619" s="262"/>
      <c r="P1619" s="445"/>
      <c r="Q1619" s="262"/>
      <c r="R1619" s="262"/>
      <c r="S1619" s="262"/>
      <c r="T1619" s="342"/>
      <c r="U1619" s="342"/>
      <c r="V1619" s="262"/>
      <c r="W1619" s="262"/>
      <c r="X1619" s="262"/>
      <c r="Y1619" s="262"/>
      <c r="Z1619" s="262"/>
      <c r="AA1619" s="262"/>
      <c r="AB1619" s="262"/>
      <c r="AC1619" s="262"/>
      <c r="AD1619" s="262"/>
      <c r="AE1619" s="262">
        <f t="shared" si="969"/>
        <v>0</v>
      </c>
      <c r="AF1619" s="262"/>
      <c r="AG1619" s="262"/>
      <c r="AH1619" s="262"/>
      <c r="AI1619" s="262"/>
      <c r="AJ1619" s="162" t="b">
        <f t="shared" si="984"/>
        <v>1</v>
      </c>
      <c r="AK1619" s="162" t="str">
        <f t="shared" si="985"/>
        <v>PRAZNO</v>
      </c>
      <c r="AL1619" s="263"/>
    </row>
    <row r="1620" spans="1:39" s="264" customFormat="1" ht="15.75" x14ac:dyDescent="0.2">
      <c r="A1620" s="259"/>
      <c r="B1620" s="172">
        <v>3</v>
      </c>
      <c r="C1620" s="172"/>
      <c r="D1620" s="172"/>
      <c r="E1620" s="172"/>
      <c r="F1620" s="220"/>
      <c r="G1620" s="220"/>
      <c r="H1620" s="14" t="s">
        <v>524</v>
      </c>
      <c r="I1620" s="184"/>
      <c r="J1620" s="184"/>
      <c r="K1620" s="184"/>
      <c r="L1620" s="184"/>
      <c r="M1620" s="184"/>
      <c r="N1620" s="184"/>
      <c r="O1620" s="184"/>
      <c r="P1620" s="55"/>
      <c r="Q1620" s="184"/>
      <c r="R1620" s="184"/>
      <c r="S1620" s="184"/>
      <c r="T1620" s="185"/>
      <c r="U1620" s="185"/>
      <c r="V1620" s="184"/>
      <c r="W1620" s="184" t="e">
        <f>W1621+W1648</f>
        <v>#REF!</v>
      </c>
      <c r="X1620" s="184" t="e">
        <f>X1621+X1648</f>
        <v>#REF!</v>
      </c>
      <c r="Y1620" s="184">
        <f>Y1621+Y1648</f>
        <v>1645569</v>
      </c>
      <c r="Z1620" s="184" t="e">
        <f t="shared" ref="Z1620:Z1634" si="994">ROUND(Y1620/V1620*100,2)</f>
        <v>#DIV/0!</v>
      </c>
      <c r="AA1620" s="184">
        <f t="shared" ref="AA1620:AA1634" si="995">AB1620-V1620</f>
        <v>0</v>
      </c>
      <c r="AB1620" s="184">
        <f>AB1621+AB1630</f>
        <v>0</v>
      </c>
      <c r="AC1620" s="184">
        <f>AC1621+AC1630</f>
        <v>0</v>
      </c>
      <c r="AD1620" s="184"/>
      <c r="AE1620" s="184">
        <f t="shared" si="969"/>
        <v>0</v>
      </c>
      <c r="AF1620" s="184">
        <f>AF1621+AF1630</f>
        <v>0</v>
      </c>
      <c r="AG1620" s="184">
        <f>AG1621+AG1630</f>
        <v>0</v>
      </c>
      <c r="AH1620" s="184">
        <f>AH1621+AH1630</f>
        <v>0</v>
      </c>
      <c r="AI1620" s="184">
        <f>AI1621+AI1630</f>
        <v>0</v>
      </c>
      <c r="AJ1620" s="162" t="b">
        <f t="shared" si="984"/>
        <v>1</v>
      </c>
      <c r="AK1620" s="162" t="str">
        <f t="shared" si="985"/>
        <v>PRAZNO</v>
      </c>
      <c r="AL1620" s="263"/>
    </row>
    <row r="1621" spans="1:39" ht="15.75" x14ac:dyDescent="0.2">
      <c r="B1621" s="177"/>
      <c r="C1621" s="177">
        <v>31</v>
      </c>
      <c r="D1621" s="177"/>
      <c r="E1621" s="177"/>
      <c r="F1621" s="176"/>
      <c r="G1621" s="176"/>
      <c r="H1621" s="16" t="s">
        <v>197</v>
      </c>
      <c r="I1621" s="18"/>
      <c r="J1621" s="18"/>
      <c r="K1621" s="18"/>
      <c r="L1621" s="18"/>
      <c r="M1621" s="18"/>
      <c r="N1621" s="18"/>
      <c r="O1621" s="18"/>
      <c r="P1621" s="26"/>
      <c r="Q1621" s="18"/>
      <c r="R1621" s="18"/>
      <c r="S1621" s="18"/>
      <c r="T1621" s="27"/>
      <c r="U1621" s="27"/>
      <c r="V1621" s="18"/>
      <c r="W1621" s="18" t="e">
        <f>W1622+W1645</f>
        <v>#REF!</v>
      </c>
      <c r="X1621" s="18" t="e">
        <f>X1622+X1645</f>
        <v>#REF!</v>
      </c>
      <c r="Y1621" s="18">
        <f>Y1622+Y1645</f>
        <v>1642134.5</v>
      </c>
      <c r="Z1621" s="18" t="e">
        <f t="shared" si="994"/>
        <v>#DIV/0!</v>
      </c>
      <c r="AA1621" s="18">
        <f t="shared" si="995"/>
        <v>0</v>
      </c>
      <c r="AB1621" s="18">
        <f>AB1622+AB1630</f>
        <v>0</v>
      </c>
      <c r="AC1621" s="18">
        <f>AC1622+AC1630</f>
        <v>0</v>
      </c>
      <c r="AD1621" s="18"/>
      <c r="AE1621" s="18">
        <f t="shared" si="969"/>
        <v>0</v>
      </c>
      <c r="AF1621" s="18">
        <f>AF1622+AF1630</f>
        <v>0</v>
      </c>
      <c r="AG1621" s="18">
        <f>AG1622+AG1625+AG1627</f>
        <v>0</v>
      </c>
      <c r="AH1621" s="18">
        <f>AH1622+AH1625+AH1627</f>
        <v>0</v>
      </c>
      <c r="AI1621" s="18">
        <f>AI1622+AI1625+AI1627</f>
        <v>0</v>
      </c>
      <c r="AJ1621" s="162" t="b">
        <f t="shared" si="984"/>
        <v>1</v>
      </c>
      <c r="AK1621" s="162" t="str">
        <f t="shared" si="985"/>
        <v>PRAZNO</v>
      </c>
      <c r="AM1621" s="264"/>
    </row>
    <row r="1622" spans="1:39" ht="15.75" x14ac:dyDescent="0.2">
      <c r="B1622" s="177"/>
      <c r="C1622" s="177"/>
      <c r="D1622" s="177">
        <v>311</v>
      </c>
      <c r="E1622" s="177"/>
      <c r="F1622" s="176"/>
      <c r="G1622" s="176"/>
      <c r="H1622" s="16" t="s">
        <v>915</v>
      </c>
      <c r="I1622" s="18"/>
      <c r="J1622" s="18"/>
      <c r="K1622" s="18"/>
      <c r="L1622" s="18"/>
      <c r="M1622" s="18"/>
      <c r="N1622" s="18"/>
      <c r="O1622" s="18"/>
      <c r="P1622" s="26"/>
      <c r="Q1622" s="18"/>
      <c r="R1622" s="18"/>
      <c r="S1622" s="18"/>
      <c r="T1622" s="27"/>
      <c r="U1622" s="27"/>
      <c r="V1622" s="18">
        <f>SUM(V1623:V1624)</f>
        <v>0</v>
      </c>
      <c r="W1622" s="18">
        <f>SUM(W1623:W1624)</f>
        <v>4024000</v>
      </c>
      <c r="X1622" s="18">
        <f>SUM(X1623:X1624)</f>
        <v>4206000</v>
      </c>
      <c r="Y1622" s="18">
        <f>SUM(Y1623:Y1624)</f>
        <v>1637200</v>
      </c>
      <c r="Z1622" s="18" t="e">
        <f t="shared" si="994"/>
        <v>#DIV/0!</v>
      </c>
      <c r="AA1622" s="18">
        <f t="shared" si="995"/>
        <v>0</v>
      </c>
      <c r="AB1622" s="18">
        <f>SUM(AB1623:AB1624)</f>
        <v>0</v>
      </c>
      <c r="AC1622" s="18">
        <f>SUM(AC1623:AC1624)</f>
        <v>0</v>
      </c>
      <c r="AD1622" s="18"/>
      <c r="AE1622" s="18">
        <f t="shared" si="969"/>
        <v>0</v>
      </c>
      <c r="AF1622" s="18">
        <f>SUM(AF1623:AF1624)</f>
        <v>0</v>
      </c>
      <c r="AG1622" s="18">
        <f>SUM(AG1623:AG1624)</f>
        <v>0</v>
      </c>
      <c r="AH1622" s="18">
        <f>SUM(AH1623:AH1624)</f>
        <v>0</v>
      </c>
      <c r="AI1622" s="18">
        <f>SUM(AI1623:AI1624)</f>
        <v>0</v>
      </c>
      <c r="AJ1622" s="162" t="b">
        <f t="shared" si="984"/>
        <v>1</v>
      </c>
      <c r="AK1622" s="162" t="str">
        <f t="shared" si="985"/>
        <v>PRAZNO</v>
      </c>
      <c r="AM1622" s="264"/>
    </row>
    <row r="1623" spans="1:39" s="264" customFormat="1" ht="15.75" x14ac:dyDescent="0.2">
      <c r="A1623" s="259"/>
      <c r="B1623" s="177"/>
      <c r="C1623" s="177"/>
      <c r="D1623" s="177"/>
      <c r="E1623" s="177">
        <v>3111</v>
      </c>
      <c r="F1623" s="265">
        <v>11</v>
      </c>
      <c r="G1623" s="265">
        <v>10</v>
      </c>
      <c r="H1623" s="16" t="s">
        <v>199</v>
      </c>
      <c r="I1623" s="178"/>
      <c r="J1623" s="178"/>
      <c r="K1623" s="178"/>
      <c r="L1623" s="178"/>
      <c r="M1623" s="178"/>
      <c r="N1623" s="178"/>
      <c r="O1623" s="178"/>
      <c r="P1623" s="307"/>
      <c r="Q1623" s="178"/>
      <c r="R1623" s="178"/>
      <c r="S1623" s="178"/>
      <c r="T1623" s="266"/>
      <c r="U1623" s="266"/>
      <c r="V1623" s="178"/>
      <c r="W1623" s="178">
        <v>3354000</v>
      </c>
      <c r="X1623" s="178">
        <v>3506000</v>
      </c>
      <c r="Y1623" s="178">
        <v>1358200</v>
      </c>
      <c r="Z1623" s="178" t="e">
        <f t="shared" si="994"/>
        <v>#DIV/0!</v>
      </c>
      <c r="AA1623" s="178">
        <f t="shared" si="995"/>
        <v>0</v>
      </c>
      <c r="AB1623" s="178"/>
      <c r="AC1623" s="671"/>
      <c r="AD1623" s="671"/>
      <c r="AE1623" s="671">
        <f t="shared" si="969"/>
        <v>0</v>
      </c>
      <c r="AF1623" s="671"/>
      <c r="AG1623" s="178"/>
      <c r="AH1623" s="178"/>
      <c r="AI1623" s="178"/>
      <c r="AJ1623" s="162" t="b">
        <f t="shared" si="984"/>
        <v>0</v>
      </c>
      <c r="AK1623" s="162" t="str">
        <f t="shared" si="985"/>
        <v>PUNO</v>
      </c>
      <c r="AL1623" s="263"/>
    </row>
    <row r="1624" spans="1:39" s="264" customFormat="1" ht="15.75" x14ac:dyDescent="0.2">
      <c r="A1624" s="259"/>
      <c r="B1624" s="177"/>
      <c r="C1624" s="177"/>
      <c r="D1624" s="177"/>
      <c r="E1624" s="177">
        <v>3114</v>
      </c>
      <c r="F1624" s="265">
        <v>11</v>
      </c>
      <c r="G1624" s="265"/>
      <c r="H1624" s="16" t="s">
        <v>643</v>
      </c>
      <c r="I1624" s="178"/>
      <c r="J1624" s="178"/>
      <c r="K1624" s="178"/>
      <c r="L1624" s="178"/>
      <c r="M1624" s="178"/>
      <c r="N1624" s="178"/>
      <c r="O1624" s="178"/>
      <c r="P1624" s="307"/>
      <c r="Q1624" s="178"/>
      <c r="R1624" s="178"/>
      <c r="S1624" s="178"/>
      <c r="T1624" s="266"/>
      <c r="U1624" s="266"/>
      <c r="V1624" s="178"/>
      <c r="W1624" s="178">
        <v>670000</v>
      </c>
      <c r="X1624" s="178">
        <v>700000</v>
      </c>
      <c r="Y1624" s="178">
        <v>279000</v>
      </c>
      <c r="Z1624" s="178" t="e">
        <f t="shared" si="994"/>
        <v>#DIV/0!</v>
      </c>
      <c r="AA1624" s="178">
        <f t="shared" si="995"/>
        <v>0</v>
      </c>
      <c r="AB1624" s="178"/>
      <c r="AC1624" s="178"/>
      <c r="AD1624" s="178"/>
      <c r="AE1624" s="178">
        <f t="shared" si="969"/>
        <v>0</v>
      </c>
      <c r="AF1624" s="178"/>
      <c r="AG1624" s="178"/>
      <c r="AH1624" s="178"/>
      <c r="AI1624" s="178"/>
      <c r="AJ1624" s="162" t="b">
        <f t="shared" si="984"/>
        <v>0</v>
      </c>
      <c r="AK1624" s="162" t="str">
        <f t="shared" si="985"/>
        <v>PUNO</v>
      </c>
      <c r="AL1624" s="263"/>
    </row>
    <row r="1625" spans="1:39" ht="15.75" x14ac:dyDescent="0.2">
      <c r="B1625" s="177"/>
      <c r="C1625" s="177"/>
      <c r="D1625" s="177">
        <v>312</v>
      </c>
      <c r="E1625" s="177"/>
      <c r="F1625" s="176"/>
      <c r="G1625" s="176"/>
      <c r="H1625" s="16" t="s">
        <v>200</v>
      </c>
      <c r="I1625" s="17">
        <f>I1626</f>
        <v>376000</v>
      </c>
      <c r="J1625" s="17">
        <f>J1626</f>
        <v>157938.23000000001</v>
      </c>
      <c r="K1625" s="17">
        <f t="shared" ref="K1625:K1634" si="996">ROUND(J1625/I1625*100,2)</f>
        <v>42</v>
      </c>
      <c r="L1625" s="17">
        <f t="shared" ref="L1625:L1634" si="997">M1625-I1625</f>
        <v>-36809.06</v>
      </c>
      <c r="M1625" s="17">
        <f>M1626</f>
        <v>339190.94</v>
      </c>
      <c r="N1625" s="17">
        <f>N1626</f>
        <v>384000</v>
      </c>
      <c r="O1625" s="17">
        <f>O1626</f>
        <v>209465.27</v>
      </c>
      <c r="P1625" s="26">
        <f t="shared" ref="P1625:P1634" si="998">T1625-N1625</f>
        <v>28000</v>
      </c>
      <c r="Q1625" s="17">
        <f t="shared" ref="Q1625:AI1625" si="999">Q1626</f>
        <v>384000</v>
      </c>
      <c r="R1625" s="17">
        <f t="shared" si="999"/>
        <v>386000</v>
      </c>
      <c r="S1625" s="17">
        <f t="shared" si="999"/>
        <v>388000</v>
      </c>
      <c r="T1625" s="26">
        <f>T1626</f>
        <v>412000</v>
      </c>
      <c r="U1625" s="26">
        <f>U1626</f>
        <v>0</v>
      </c>
      <c r="V1625" s="17">
        <f t="shared" si="999"/>
        <v>0</v>
      </c>
      <c r="W1625" s="17">
        <f t="shared" si="999"/>
        <v>150000</v>
      </c>
      <c r="X1625" s="17">
        <f t="shared" si="999"/>
        <v>400000</v>
      </c>
      <c r="Y1625" s="17">
        <f t="shared" si="999"/>
        <v>22240.94</v>
      </c>
      <c r="Z1625" s="17" t="e">
        <f t="shared" si="994"/>
        <v>#DIV/0!</v>
      </c>
      <c r="AA1625" s="17">
        <f t="shared" si="995"/>
        <v>0</v>
      </c>
      <c r="AB1625" s="17">
        <f t="shared" si="999"/>
        <v>0</v>
      </c>
      <c r="AC1625" s="17">
        <f t="shared" si="999"/>
        <v>0</v>
      </c>
      <c r="AD1625" s="17"/>
      <c r="AE1625" s="17">
        <f t="shared" si="969"/>
        <v>0</v>
      </c>
      <c r="AF1625" s="17">
        <f t="shared" si="999"/>
        <v>0</v>
      </c>
      <c r="AG1625" s="17">
        <f t="shared" si="999"/>
        <v>0</v>
      </c>
      <c r="AH1625" s="17">
        <f t="shared" si="999"/>
        <v>0</v>
      </c>
      <c r="AI1625" s="17">
        <f t="shared" si="999"/>
        <v>0</v>
      </c>
      <c r="AJ1625" s="162" t="b">
        <f t="shared" si="984"/>
        <v>1</v>
      </c>
      <c r="AK1625" s="162" t="str">
        <f t="shared" si="985"/>
        <v>PRAZNO</v>
      </c>
      <c r="AM1625" s="264"/>
    </row>
    <row r="1626" spans="1:39" ht="15.75" x14ac:dyDescent="0.2">
      <c r="B1626" s="177"/>
      <c r="C1626" s="177"/>
      <c r="D1626" s="177"/>
      <c r="E1626" s="177">
        <v>3121</v>
      </c>
      <c r="F1626" s="176">
        <v>11</v>
      </c>
      <c r="G1626" s="176"/>
      <c r="H1626" s="16" t="s">
        <v>200</v>
      </c>
      <c r="I1626" s="18">
        <v>376000</v>
      </c>
      <c r="J1626" s="18">
        <v>157938.23000000001</v>
      </c>
      <c r="K1626" s="18">
        <f t="shared" si="996"/>
        <v>42</v>
      </c>
      <c r="L1626" s="18">
        <f t="shared" si="997"/>
        <v>-36809.06</v>
      </c>
      <c r="M1626" s="18">
        <v>339190.94</v>
      </c>
      <c r="N1626" s="18">
        <v>384000</v>
      </c>
      <c r="O1626" s="18">
        <v>209465.27</v>
      </c>
      <c r="P1626" s="26">
        <f t="shared" si="998"/>
        <v>28000</v>
      </c>
      <c r="Q1626" s="18">
        <v>384000</v>
      </c>
      <c r="R1626" s="18">
        <v>386000</v>
      </c>
      <c r="S1626" s="18">
        <v>388000</v>
      </c>
      <c r="T1626" s="27">
        <v>412000</v>
      </c>
      <c r="U1626" s="27"/>
      <c r="V1626" s="18"/>
      <c r="W1626" s="18">
        <v>150000</v>
      </c>
      <c r="X1626" s="18">
        <v>400000</v>
      </c>
      <c r="Y1626" s="18">
        <v>22240.94</v>
      </c>
      <c r="Z1626" s="18" t="e">
        <f t="shared" si="994"/>
        <v>#DIV/0!</v>
      </c>
      <c r="AA1626" s="18">
        <f t="shared" si="995"/>
        <v>0</v>
      </c>
      <c r="AB1626" s="18"/>
      <c r="AC1626" s="18"/>
      <c r="AD1626" s="18"/>
      <c r="AE1626" s="18">
        <f t="shared" si="969"/>
        <v>0</v>
      </c>
      <c r="AF1626" s="18"/>
      <c r="AG1626" s="18"/>
      <c r="AH1626" s="18"/>
      <c r="AI1626" s="18"/>
      <c r="AJ1626" s="162" t="b">
        <f t="shared" si="984"/>
        <v>0</v>
      </c>
      <c r="AK1626" s="162" t="str">
        <f t="shared" si="985"/>
        <v>PUNO</v>
      </c>
      <c r="AM1626" s="264"/>
    </row>
    <row r="1627" spans="1:39" ht="15.75" x14ac:dyDescent="0.2">
      <c r="B1627" s="177"/>
      <c r="C1627" s="177"/>
      <c r="D1627" s="177">
        <v>313</v>
      </c>
      <c r="E1627" s="177"/>
      <c r="F1627" s="177"/>
      <c r="G1627" s="177"/>
      <c r="H1627" s="16" t="s">
        <v>201</v>
      </c>
      <c r="I1627" s="17">
        <f>SUM(I1628:I1629)</f>
        <v>70000</v>
      </c>
      <c r="J1627" s="17">
        <f>SUM(J1628:J1629)</f>
        <v>74989.649999999994</v>
      </c>
      <c r="K1627" s="17">
        <f t="shared" si="996"/>
        <v>107.13</v>
      </c>
      <c r="L1627" s="17">
        <f t="shared" si="997"/>
        <v>26597.650000000009</v>
      </c>
      <c r="M1627" s="17">
        <f>SUM(M1628:M1629)</f>
        <v>96597.650000000009</v>
      </c>
      <c r="N1627" s="17">
        <f>SUM(N1628:N1629)</f>
        <v>69000</v>
      </c>
      <c r="O1627" s="17">
        <f>SUM(O1628:O1629)</f>
        <v>49604.75</v>
      </c>
      <c r="P1627" s="26">
        <f t="shared" si="998"/>
        <v>40000</v>
      </c>
      <c r="Q1627" s="17">
        <f t="shared" ref="Q1627:Y1627" si="1000">SUM(Q1628:Q1629)</f>
        <v>69000</v>
      </c>
      <c r="R1627" s="17">
        <f t="shared" si="1000"/>
        <v>70000</v>
      </c>
      <c r="S1627" s="17">
        <f t="shared" si="1000"/>
        <v>71000</v>
      </c>
      <c r="T1627" s="26">
        <f t="shared" si="1000"/>
        <v>109000</v>
      </c>
      <c r="U1627" s="26">
        <f>SUM(U1628:U1629)</f>
        <v>0</v>
      </c>
      <c r="V1627" s="17">
        <f t="shared" si="1000"/>
        <v>0</v>
      </c>
      <c r="W1627" s="17">
        <f t="shared" si="1000"/>
        <v>355000</v>
      </c>
      <c r="X1627" s="17">
        <f t="shared" si="1000"/>
        <v>363000</v>
      </c>
      <c r="Y1627" s="17">
        <f t="shared" si="1000"/>
        <v>77595.5</v>
      </c>
      <c r="Z1627" s="17" t="e">
        <f t="shared" si="994"/>
        <v>#DIV/0!</v>
      </c>
      <c r="AA1627" s="17">
        <f t="shared" si="995"/>
        <v>0</v>
      </c>
      <c r="AB1627" s="17">
        <f>SUM(AB1628:AB1629)</f>
        <v>0</v>
      </c>
      <c r="AC1627" s="17">
        <f>SUM(AC1628:AC1629)</f>
        <v>0</v>
      </c>
      <c r="AD1627" s="17"/>
      <c r="AE1627" s="17">
        <f t="shared" si="969"/>
        <v>0</v>
      </c>
      <c r="AF1627" s="17">
        <f>SUM(AF1628:AF1629)</f>
        <v>0</v>
      </c>
      <c r="AG1627" s="17">
        <f>SUM(AG1628:AG1629)</f>
        <v>0</v>
      </c>
      <c r="AH1627" s="17">
        <f>SUM(AH1628:AH1629)</f>
        <v>0</v>
      </c>
      <c r="AI1627" s="17">
        <f>SUM(AI1628:AI1629)</f>
        <v>0</v>
      </c>
      <c r="AJ1627" s="162" t="b">
        <f t="shared" si="984"/>
        <v>1</v>
      </c>
      <c r="AK1627" s="162" t="str">
        <f t="shared" si="985"/>
        <v>PRAZNO</v>
      </c>
      <c r="AM1627" s="264"/>
    </row>
    <row r="1628" spans="1:39" ht="15.75" x14ac:dyDescent="0.2">
      <c r="B1628" s="177"/>
      <c r="C1628" s="177"/>
      <c r="D1628" s="177"/>
      <c r="E1628" s="177">
        <v>3132</v>
      </c>
      <c r="F1628" s="176">
        <v>11</v>
      </c>
      <c r="G1628" s="176"/>
      <c r="H1628" s="16" t="s">
        <v>202</v>
      </c>
      <c r="I1628" s="178">
        <v>62000</v>
      </c>
      <c r="J1628" s="178">
        <v>67147.11</v>
      </c>
      <c r="K1628" s="178">
        <f t="shared" si="996"/>
        <v>108.3</v>
      </c>
      <c r="L1628" s="178">
        <f t="shared" si="997"/>
        <v>25171.320000000007</v>
      </c>
      <c r="M1628" s="178">
        <v>87171.32</v>
      </c>
      <c r="N1628" s="178">
        <v>35000</v>
      </c>
      <c r="O1628" s="178">
        <v>38198.53</v>
      </c>
      <c r="P1628" s="26">
        <f t="shared" si="998"/>
        <v>40000</v>
      </c>
      <c r="Q1628" s="178">
        <v>35000</v>
      </c>
      <c r="R1628" s="178">
        <v>62000</v>
      </c>
      <c r="S1628" s="178">
        <v>63000</v>
      </c>
      <c r="T1628" s="266">
        <v>75000</v>
      </c>
      <c r="U1628" s="266"/>
      <c r="V1628" s="178"/>
      <c r="W1628" s="178">
        <v>337000</v>
      </c>
      <c r="X1628" s="178">
        <v>344000</v>
      </c>
      <c r="Y1628" s="178">
        <v>74054.86</v>
      </c>
      <c r="Z1628" s="178" t="e">
        <f t="shared" si="994"/>
        <v>#DIV/0!</v>
      </c>
      <c r="AA1628" s="178">
        <f t="shared" si="995"/>
        <v>0</v>
      </c>
      <c r="AB1628" s="178"/>
      <c r="AC1628" s="178"/>
      <c r="AD1628" s="178"/>
      <c r="AE1628" s="178">
        <f t="shared" si="969"/>
        <v>0</v>
      </c>
      <c r="AF1628" s="178"/>
      <c r="AG1628" s="178"/>
      <c r="AH1628" s="178"/>
      <c r="AI1628" s="178"/>
      <c r="AJ1628" s="162" t="b">
        <f t="shared" si="984"/>
        <v>0</v>
      </c>
      <c r="AK1628" s="162" t="str">
        <f t="shared" si="985"/>
        <v>PUNO</v>
      </c>
      <c r="AM1628" s="264"/>
    </row>
    <row r="1629" spans="1:39" ht="30" x14ac:dyDescent="0.2">
      <c r="B1629" s="177"/>
      <c r="C1629" s="177"/>
      <c r="D1629" s="177"/>
      <c r="E1629" s="177">
        <v>3133</v>
      </c>
      <c r="F1629" s="176">
        <v>11</v>
      </c>
      <c r="G1629" s="176"/>
      <c r="H1629" s="16" t="s">
        <v>203</v>
      </c>
      <c r="I1629" s="178">
        <v>8000</v>
      </c>
      <c r="J1629" s="178">
        <v>7842.54</v>
      </c>
      <c r="K1629" s="178">
        <f t="shared" si="996"/>
        <v>98.03</v>
      </c>
      <c r="L1629" s="178">
        <f t="shared" si="997"/>
        <v>1426.33</v>
      </c>
      <c r="M1629" s="178">
        <v>9426.33</v>
      </c>
      <c r="N1629" s="178">
        <v>34000</v>
      </c>
      <c r="O1629" s="178">
        <v>11406.22</v>
      </c>
      <c r="P1629" s="26">
        <f t="shared" si="998"/>
        <v>0</v>
      </c>
      <c r="Q1629" s="178">
        <v>34000</v>
      </c>
      <c r="R1629" s="178">
        <v>8000</v>
      </c>
      <c r="S1629" s="178">
        <v>8000</v>
      </c>
      <c r="T1629" s="266">
        <v>34000</v>
      </c>
      <c r="U1629" s="266"/>
      <c r="V1629" s="178"/>
      <c r="W1629" s="178">
        <v>18000</v>
      </c>
      <c r="X1629" s="178">
        <v>19000</v>
      </c>
      <c r="Y1629" s="178">
        <v>3540.64</v>
      </c>
      <c r="Z1629" s="178" t="e">
        <f t="shared" si="994"/>
        <v>#DIV/0!</v>
      </c>
      <c r="AA1629" s="178">
        <f t="shared" si="995"/>
        <v>0</v>
      </c>
      <c r="AB1629" s="178"/>
      <c r="AC1629" s="178"/>
      <c r="AD1629" s="178"/>
      <c r="AE1629" s="178">
        <f t="shared" si="969"/>
        <v>0</v>
      </c>
      <c r="AF1629" s="178"/>
      <c r="AG1629" s="178"/>
      <c r="AH1629" s="178"/>
      <c r="AI1629" s="178"/>
      <c r="AJ1629" s="162" t="b">
        <f t="shared" si="984"/>
        <v>0</v>
      </c>
      <c r="AK1629" s="162" t="str">
        <f t="shared" si="985"/>
        <v>PUNO</v>
      </c>
      <c r="AM1629" s="264"/>
    </row>
    <row r="1630" spans="1:39" ht="15.75" x14ac:dyDescent="0.2">
      <c r="B1630" s="175"/>
      <c r="C1630" s="175">
        <v>32</v>
      </c>
      <c r="D1630" s="175"/>
      <c r="E1630" s="175"/>
      <c r="F1630" s="175"/>
      <c r="G1630" s="175"/>
      <c r="H1630" s="23" t="s">
        <v>525</v>
      </c>
      <c r="I1630" s="203" t="e">
        <f>I1645+I1652+I1631+I1672+I1670</f>
        <v>#REF!</v>
      </c>
      <c r="J1630" s="203" t="e">
        <f>J1645+J1652+J1631+J1672+J1670</f>
        <v>#REF!</v>
      </c>
      <c r="K1630" s="203" t="e">
        <f t="shared" si="996"/>
        <v>#REF!</v>
      </c>
      <c r="L1630" s="203" t="e">
        <f t="shared" si="997"/>
        <v>#REF!</v>
      </c>
      <c r="M1630" s="203" t="e">
        <f>M1645+M1652+M1631+M1672+M1670</f>
        <v>#REF!</v>
      </c>
      <c r="N1630" s="203" t="e">
        <f>N1645+N1652+N1631+N1672+N1670</f>
        <v>#REF!</v>
      </c>
      <c r="O1630" s="203" t="e">
        <f>O1645+O1652+O1631+O1672+O1670</f>
        <v>#REF!</v>
      </c>
      <c r="P1630" s="26" t="e">
        <f t="shared" si="998"/>
        <v>#REF!</v>
      </c>
      <c r="Q1630" s="203" t="e">
        <f>Q1645+Q1652+Q1631+Q1672+Q1670</f>
        <v>#REF!</v>
      </c>
      <c r="R1630" s="203" t="e">
        <f>R1645+R1652+R1631+R1672+R1670</f>
        <v>#REF!</v>
      </c>
      <c r="S1630" s="203" t="e">
        <f>S1645+S1652+S1631+S1672+S1670</f>
        <v>#REF!</v>
      </c>
      <c r="T1630" s="204">
        <f>T1645+T1652+T1631+T1672+T1670</f>
        <v>856000</v>
      </c>
      <c r="U1630" s="204">
        <f>U1645+U1652+U1631+U1672+U1670</f>
        <v>0</v>
      </c>
      <c r="V1630" s="203">
        <f>V1631</f>
        <v>0</v>
      </c>
      <c r="W1630" s="203" t="e">
        <f>W1645+W1652+W1631+W1672+W1670</f>
        <v>#REF!</v>
      </c>
      <c r="X1630" s="203" t="e">
        <f>X1645+X1652+X1631+X1672+X1670</f>
        <v>#REF!</v>
      </c>
      <c r="Y1630" s="203">
        <f>Y1631</f>
        <v>232839.2</v>
      </c>
      <c r="Z1630" s="203" t="e">
        <f t="shared" si="994"/>
        <v>#DIV/0!</v>
      </c>
      <c r="AA1630" s="203">
        <f>AA1631</f>
        <v>0</v>
      </c>
      <c r="AB1630" s="203">
        <f>AB1631</f>
        <v>0</v>
      </c>
      <c r="AC1630" s="203">
        <f>AC1631</f>
        <v>0</v>
      </c>
      <c r="AD1630" s="203"/>
      <c r="AE1630" s="203">
        <f t="shared" si="969"/>
        <v>0</v>
      </c>
      <c r="AF1630" s="203">
        <f>AF1631</f>
        <v>0</v>
      </c>
      <c r="AG1630" s="203">
        <f>AG1631</f>
        <v>0</v>
      </c>
      <c r="AH1630" s="203">
        <f>AH1631</f>
        <v>0</v>
      </c>
      <c r="AI1630" s="203">
        <f>AI1631</f>
        <v>0</v>
      </c>
      <c r="AJ1630" s="162" t="b">
        <f t="shared" si="984"/>
        <v>1</v>
      </c>
      <c r="AK1630" s="162" t="str">
        <f t="shared" si="985"/>
        <v>PRAZNO</v>
      </c>
      <c r="AM1630" s="264"/>
    </row>
    <row r="1631" spans="1:39" ht="15.75" x14ac:dyDescent="0.2">
      <c r="B1631" s="175"/>
      <c r="C1631" s="175"/>
      <c r="D1631" s="175">
        <v>321</v>
      </c>
      <c r="E1631" s="175"/>
      <c r="F1631" s="175"/>
      <c r="G1631" s="175"/>
      <c r="H1631" s="23" t="s">
        <v>564</v>
      </c>
      <c r="I1631" s="203">
        <f>SUM(I1632:I1634)</f>
        <v>700000</v>
      </c>
      <c r="J1631" s="203">
        <f>SUM(J1632:J1634)</f>
        <v>478811.3</v>
      </c>
      <c r="K1631" s="203">
        <f t="shared" si="996"/>
        <v>68.400000000000006</v>
      </c>
      <c r="L1631" s="203">
        <f t="shared" si="997"/>
        <v>-31155.699999999953</v>
      </c>
      <c r="M1631" s="203">
        <f>SUM(M1632:M1634)</f>
        <v>668844.30000000005</v>
      </c>
      <c r="N1631" s="203">
        <f>SUM(N1632:N1634)</f>
        <v>699000</v>
      </c>
      <c r="O1631" s="203">
        <f>SUM(O1632:O1634)</f>
        <v>436032.3</v>
      </c>
      <c r="P1631" s="26">
        <f t="shared" si="998"/>
        <v>0</v>
      </c>
      <c r="Q1631" s="203">
        <f t="shared" ref="Q1631:X1631" si="1001">SUM(Q1632:Q1634)</f>
        <v>699000</v>
      </c>
      <c r="R1631" s="203">
        <f t="shared" si="1001"/>
        <v>692000</v>
      </c>
      <c r="S1631" s="203">
        <f t="shared" si="1001"/>
        <v>714000</v>
      </c>
      <c r="T1631" s="204">
        <f t="shared" si="1001"/>
        <v>699000</v>
      </c>
      <c r="U1631" s="204">
        <f>SUM(U1632:U1634)</f>
        <v>0</v>
      </c>
      <c r="V1631" s="203">
        <f t="shared" si="1001"/>
        <v>0</v>
      </c>
      <c r="W1631" s="203">
        <f t="shared" si="1001"/>
        <v>614000</v>
      </c>
      <c r="X1631" s="203">
        <f t="shared" si="1001"/>
        <v>634000</v>
      </c>
      <c r="Y1631" s="203">
        <f>SUM(Y1632:Y1634)</f>
        <v>232839.2</v>
      </c>
      <c r="Z1631" s="203" t="e">
        <f t="shared" si="994"/>
        <v>#DIV/0!</v>
      </c>
      <c r="AA1631" s="203">
        <f t="shared" si="995"/>
        <v>0</v>
      </c>
      <c r="AB1631" s="203">
        <f>SUM(AB1632:AB1634)</f>
        <v>0</v>
      </c>
      <c r="AC1631" s="203">
        <f>SUM(AC1632:AC1634)</f>
        <v>0</v>
      </c>
      <c r="AD1631" s="203"/>
      <c r="AE1631" s="203">
        <f t="shared" si="969"/>
        <v>0</v>
      </c>
      <c r="AF1631" s="203">
        <f>SUM(AF1632:AF1634)</f>
        <v>0</v>
      </c>
      <c r="AG1631" s="203">
        <f>SUM(AG1632:AG1634)</f>
        <v>0</v>
      </c>
      <c r="AH1631" s="203">
        <f>SUM(AH1632:AH1634)</f>
        <v>0</v>
      </c>
      <c r="AI1631" s="203">
        <f>SUM(AI1632:AI1634)</f>
        <v>0</v>
      </c>
      <c r="AJ1631" s="162" t="b">
        <f t="shared" si="984"/>
        <v>1</v>
      </c>
      <c r="AK1631" s="162" t="str">
        <f t="shared" si="985"/>
        <v>PRAZNO</v>
      </c>
      <c r="AM1631" s="264"/>
    </row>
    <row r="1632" spans="1:39" ht="15.75" x14ac:dyDescent="0.2">
      <c r="B1632" s="175"/>
      <c r="C1632" s="175"/>
      <c r="D1632" s="175"/>
      <c r="E1632" s="175">
        <v>3211</v>
      </c>
      <c r="F1632" s="176">
        <v>11</v>
      </c>
      <c r="G1632" s="175"/>
      <c r="H1632" s="23" t="s">
        <v>565</v>
      </c>
      <c r="I1632" s="22">
        <v>35500</v>
      </c>
      <c r="J1632" s="22">
        <v>18554.2</v>
      </c>
      <c r="K1632" s="22">
        <f t="shared" si="996"/>
        <v>52.27</v>
      </c>
      <c r="L1632" s="22">
        <f t="shared" si="997"/>
        <v>-2225.5999999999985</v>
      </c>
      <c r="M1632" s="22">
        <v>33274.400000000001</v>
      </c>
      <c r="N1632" s="22">
        <v>34000</v>
      </c>
      <c r="O1632" s="22">
        <v>18888.2</v>
      </c>
      <c r="P1632" s="26">
        <f t="shared" si="998"/>
        <v>0</v>
      </c>
      <c r="Q1632" s="22">
        <v>34000</v>
      </c>
      <c r="R1632" s="22">
        <v>34000</v>
      </c>
      <c r="S1632" s="22">
        <v>35000</v>
      </c>
      <c r="T1632" s="38">
        <v>34000</v>
      </c>
      <c r="U1632" s="38"/>
      <c r="V1632" s="22"/>
      <c r="W1632" s="22">
        <v>14000</v>
      </c>
      <c r="X1632" s="22">
        <v>14000</v>
      </c>
      <c r="Y1632" s="22">
        <v>5030</v>
      </c>
      <c r="Z1632" s="22" t="e">
        <f t="shared" si="994"/>
        <v>#DIV/0!</v>
      </c>
      <c r="AA1632" s="22">
        <f t="shared" si="995"/>
        <v>0</v>
      </c>
      <c r="AB1632" s="22"/>
      <c r="AC1632" s="22"/>
      <c r="AD1632" s="22"/>
      <c r="AE1632" s="22">
        <f t="shared" si="969"/>
        <v>0</v>
      </c>
      <c r="AF1632" s="22"/>
      <c r="AG1632" s="22"/>
      <c r="AH1632" s="22"/>
      <c r="AI1632" s="22"/>
      <c r="AJ1632" s="162" t="b">
        <f t="shared" si="984"/>
        <v>0</v>
      </c>
      <c r="AK1632" s="162" t="str">
        <f t="shared" si="985"/>
        <v>PUNO</v>
      </c>
      <c r="AM1632" s="264"/>
    </row>
    <row r="1633" spans="1:39" ht="15.75" x14ac:dyDescent="0.2">
      <c r="B1633" s="175"/>
      <c r="C1633" s="175"/>
      <c r="D1633" s="175"/>
      <c r="E1633" s="175">
        <v>3212</v>
      </c>
      <c r="F1633" s="176">
        <v>11</v>
      </c>
      <c r="G1633" s="175"/>
      <c r="H1633" s="16" t="s">
        <v>220</v>
      </c>
      <c r="I1633" s="22">
        <v>643000</v>
      </c>
      <c r="J1633" s="22">
        <v>452859.6</v>
      </c>
      <c r="K1633" s="22">
        <f t="shared" si="996"/>
        <v>70.430000000000007</v>
      </c>
      <c r="L1633" s="22">
        <f t="shared" si="997"/>
        <v>-21096.599999999977</v>
      </c>
      <c r="M1633" s="22">
        <v>621903.4</v>
      </c>
      <c r="N1633" s="22">
        <v>630000</v>
      </c>
      <c r="O1633" s="22">
        <v>397701.6</v>
      </c>
      <c r="P1633" s="26">
        <f t="shared" si="998"/>
        <v>0</v>
      </c>
      <c r="Q1633" s="22">
        <v>630000</v>
      </c>
      <c r="R1633" s="22">
        <v>637000</v>
      </c>
      <c r="S1633" s="22">
        <v>657000</v>
      </c>
      <c r="T1633" s="38">
        <v>630000</v>
      </c>
      <c r="U1633" s="38"/>
      <c r="V1633" s="22"/>
      <c r="W1633" s="22">
        <v>595000</v>
      </c>
      <c r="X1633" s="22">
        <v>605000</v>
      </c>
      <c r="Y1633" s="22">
        <v>226234.2</v>
      </c>
      <c r="Z1633" s="22" t="e">
        <f t="shared" si="994"/>
        <v>#DIV/0!</v>
      </c>
      <c r="AA1633" s="22">
        <f t="shared" si="995"/>
        <v>0</v>
      </c>
      <c r="AB1633" s="22"/>
      <c r="AC1633" s="22"/>
      <c r="AD1633" s="22"/>
      <c r="AE1633" s="22">
        <f t="shared" si="969"/>
        <v>0</v>
      </c>
      <c r="AF1633" s="22"/>
      <c r="AG1633" s="22"/>
      <c r="AH1633" s="22"/>
      <c r="AI1633" s="22"/>
      <c r="AJ1633" s="162" t="b">
        <f t="shared" si="984"/>
        <v>0</v>
      </c>
      <c r="AK1633" s="162" t="str">
        <f t="shared" si="985"/>
        <v>PUNO</v>
      </c>
      <c r="AM1633" s="264"/>
    </row>
    <row r="1634" spans="1:39" ht="15.75" x14ac:dyDescent="0.2">
      <c r="B1634" s="175"/>
      <c r="C1634" s="175"/>
      <c r="D1634" s="175"/>
      <c r="E1634" s="175">
        <v>3213</v>
      </c>
      <c r="F1634" s="176">
        <v>11</v>
      </c>
      <c r="G1634" s="175"/>
      <c r="H1634" s="23" t="s">
        <v>221</v>
      </c>
      <c r="I1634" s="22">
        <v>21500</v>
      </c>
      <c r="J1634" s="22">
        <v>7397.5</v>
      </c>
      <c r="K1634" s="22">
        <f t="shared" si="996"/>
        <v>34.409999999999997</v>
      </c>
      <c r="L1634" s="22">
        <f t="shared" si="997"/>
        <v>-7833.5</v>
      </c>
      <c r="M1634" s="22">
        <v>13666.5</v>
      </c>
      <c r="N1634" s="22">
        <v>35000</v>
      </c>
      <c r="O1634" s="22">
        <v>19442.5</v>
      </c>
      <c r="P1634" s="26">
        <f t="shared" si="998"/>
        <v>0</v>
      </c>
      <c r="Q1634" s="22">
        <v>35000</v>
      </c>
      <c r="R1634" s="22">
        <v>21000</v>
      </c>
      <c r="S1634" s="22">
        <v>22000</v>
      </c>
      <c r="T1634" s="38">
        <v>35000</v>
      </c>
      <c r="U1634" s="38"/>
      <c r="V1634" s="22"/>
      <c r="W1634" s="22">
        <v>5000</v>
      </c>
      <c r="X1634" s="22">
        <v>15000</v>
      </c>
      <c r="Y1634" s="22">
        <v>1575</v>
      </c>
      <c r="Z1634" s="22" t="e">
        <f t="shared" si="994"/>
        <v>#DIV/0!</v>
      </c>
      <c r="AA1634" s="22">
        <f t="shared" si="995"/>
        <v>0</v>
      </c>
      <c r="AB1634" s="22"/>
      <c r="AC1634" s="22"/>
      <c r="AD1634" s="22"/>
      <c r="AE1634" s="22">
        <f t="shared" si="969"/>
        <v>0</v>
      </c>
      <c r="AF1634" s="22"/>
      <c r="AG1634" s="22"/>
      <c r="AH1634" s="22"/>
      <c r="AI1634" s="22"/>
      <c r="AJ1634" s="162" t="b">
        <f t="shared" si="984"/>
        <v>0</v>
      </c>
      <c r="AK1634" s="162" t="str">
        <f t="shared" si="985"/>
        <v>PUNO</v>
      </c>
      <c r="AM1634" s="264"/>
    </row>
    <row r="1635" spans="1:39" s="264" customFormat="1" ht="15.75" x14ac:dyDescent="0.2">
      <c r="A1635" s="259"/>
      <c r="B1635" s="260"/>
      <c r="C1635" s="260"/>
      <c r="D1635" s="260"/>
      <c r="E1635" s="260"/>
      <c r="F1635" s="260"/>
      <c r="G1635" s="260"/>
      <c r="H1635" s="440" t="s">
        <v>940</v>
      </c>
      <c r="I1635" s="181"/>
      <c r="J1635" s="181"/>
      <c r="K1635" s="181"/>
      <c r="L1635" s="181"/>
      <c r="M1635" s="262"/>
      <c r="N1635" s="262"/>
      <c r="O1635" s="262"/>
      <c r="P1635" s="445"/>
      <c r="Q1635" s="262"/>
      <c r="R1635" s="262"/>
      <c r="S1635" s="262"/>
      <c r="T1635" s="342"/>
      <c r="U1635" s="342">
        <f>U1636</f>
        <v>162531.48000000001</v>
      </c>
      <c r="V1635" s="262"/>
      <c r="W1635" s="262"/>
      <c r="X1635" s="262"/>
      <c r="Y1635" s="262"/>
      <c r="Z1635" s="22"/>
      <c r="AA1635" s="262"/>
      <c r="AB1635" s="262"/>
      <c r="AC1635" s="262"/>
      <c r="AD1635" s="262"/>
      <c r="AE1635" s="262"/>
      <c r="AF1635" s="262"/>
      <c r="AG1635" s="262"/>
      <c r="AH1635" s="262"/>
      <c r="AI1635" s="262"/>
      <c r="AJ1635" s="162" t="b">
        <f t="shared" si="984"/>
        <v>1</v>
      </c>
      <c r="AK1635" s="162" t="str">
        <f t="shared" si="985"/>
        <v>PRAZNO</v>
      </c>
      <c r="AL1635" s="263"/>
    </row>
    <row r="1636" spans="1:39" s="264" customFormat="1" ht="15.75" x14ac:dyDescent="0.2">
      <c r="A1636" s="259"/>
      <c r="B1636" s="172">
        <v>3</v>
      </c>
      <c r="C1636" s="172"/>
      <c r="D1636" s="172"/>
      <c r="E1636" s="172"/>
      <c r="F1636" s="172"/>
      <c r="G1636" s="177"/>
      <c r="H1636" s="14" t="s">
        <v>524</v>
      </c>
      <c r="I1636" s="20"/>
      <c r="J1636" s="20"/>
      <c r="K1636" s="20"/>
      <c r="L1636" s="20"/>
      <c r="M1636" s="20"/>
      <c r="N1636" s="20"/>
      <c r="O1636" s="20"/>
      <c r="P1636" s="55"/>
      <c r="Q1636" s="20"/>
      <c r="R1636" s="20"/>
      <c r="S1636" s="20"/>
      <c r="T1636" s="20"/>
      <c r="U1636" s="20">
        <f>U1637+U1640</f>
        <v>162531.48000000001</v>
      </c>
      <c r="V1636" s="20"/>
      <c r="W1636" s="20"/>
      <c r="X1636" s="20"/>
      <c r="Y1636" s="20"/>
      <c r="Z1636" s="20"/>
      <c r="AA1636" s="20"/>
      <c r="AB1636" s="20"/>
      <c r="AC1636" s="20"/>
      <c r="AD1636" s="20"/>
      <c r="AE1636" s="20"/>
      <c r="AF1636" s="20"/>
      <c r="AG1636" s="20"/>
      <c r="AH1636" s="20"/>
      <c r="AI1636" s="20"/>
      <c r="AJ1636" s="162" t="b">
        <f t="shared" si="984"/>
        <v>1</v>
      </c>
      <c r="AK1636" s="162" t="str">
        <f t="shared" si="985"/>
        <v>PRAZNO</v>
      </c>
      <c r="AL1636" s="263"/>
    </row>
    <row r="1637" spans="1:39" ht="15.75" x14ac:dyDescent="0.2">
      <c r="B1637" s="175"/>
      <c r="C1637" s="175">
        <v>32</v>
      </c>
      <c r="D1637" s="175"/>
      <c r="E1637" s="175"/>
      <c r="F1637" s="175"/>
      <c r="G1637" s="175"/>
      <c r="H1637" s="15" t="s">
        <v>525</v>
      </c>
      <c r="I1637" s="22"/>
      <c r="J1637" s="22"/>
      <c r="K1637" s="22"/>
      <c r="L1637" s="22"/>
      <c r="M1637" s="22"/>
      <c r="N1637" s="22"/>
      <c r="O1637" s="22"/>
      <c r="P1637" s="26"/>
      <c r="Q1637" s="22"/>
      <c r="R1637" s="22"/>
      <c r="S1637" s="22"/>
      <c r="T1637" s="38"/>
      <c r="U1637" s="38">
        <f>U1638</f>
        <v>131363.1</v>
      </c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162" t="b">
        <f t="shared" si="984"/>
        <v>1</v>
      </c>
      <c r="AK1637" s="162" t="str">
        <f t="shared" si="985"/>
        <v>PRAZNO</v>
      </c>
      <c r="AM1637" s="264"/>
    </row>
    <row r="1638" spans="1:39" ht="15.75" x14ac:dyDescent="0.2">
      <c r="B1638" s="177"/>
      <c r="C1638" s="177"/>
      <c r="D1638" s="177">
        <v>323</v>
      </c>
      <c r="E1638" s="177"/>
      <c r="F1638" s="177"/>
      <c r="G1638" s="177"/>
      <c r="H1638" s="16" t="s">
        <v>526</v>
      </c>
      <c r="I1638" s="22"/>
      <c r="J1638" s="22"/>
      <c r="K1638" s="22"/>
      <c r="L1638" s="22"/>
      <c r="M1638" s="22"/>
      <c r="N1638" s="22"/>
      <c r="O1638" s="22"/>
      <c r="P1638" s="26"/>
      <c r="Q1638" s="22"/>
      <c r="R1638" s="22"/>
      <c r="S1638" s="22"/>
      <c r="T1638" s="38"/>
      <c r="U1638" s="38">
        <f>U1639</f>
        <v>131363.1</v>
      </c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162" t="b">
        <f t="shared" si="984"/>
        <v>1</v>
      </c>
      <c r="AK1638" s="162" t="str">
        <f t="shared" si="985"/>
        <v>PRAZNO</v>
      </c>
      <c r="AM1638" s="264"/>
    </row>
    <row r="1639" spans="1:39" ht="15.75" x14ac:dyDescent="0.2">
      <c r="B1639" s="177"/>
      <c r="C1639" s="177"/>
      <c r="D1639" s="177"/>
      <c r="E1639" s="177">
        <v>3232</v>
      </c>
      <c r="F1639" s="176">
        <v>42</v>
      </c>
      <c r="G1639" s="176"/>
      <c r="H1639" s="16" t="s">
        <v>207</v>
      </c>
      <c r="I1639" s="22"/>
      <c r="J1639" s="22"/>
      <c r="K1639" s="22"/>
      <c r="L1639" s="22"/>
      <c r="M1639" s="22"/>
      <c r="N1639" s="22"/>
      <c r="O1639" s="22"/>
      <c r="P1639" s="26"/>
      <c r="Q1639" s="22"/>
      <c r="R1639" s="22"/>
      <c r="S1639" s="22"/>
      <c r="T1639" s="38"/>
      <c r="U1639" s="38">
        <v>131363.1</v>
      </c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162" t="b">
        <f t="shared" si="984"/>
        <v>0</v>
      </c>
      <c r="AK1639" s="162" t="str">
        <f t="shared" si="985"/>
        <v>PUNO</v>
      </c>
      <c r="AM1639" s="264"/>
    </row>
    <row r="1640" spans="1:39" ht="30" x14ac:dyDescent="0.2">
      <c r="B1640" s="175"/>
      <c r="C1640" s="175">
        <v>37</v>
      </c>
      <c r="D1640" s="175"/>
      <c r="E1640" s="175"/>
      <c r="F1640" s="175"/>
      <c r="G1640" s="175"/>
      <c r="H1640" s="15" t="s">
        <v>410</v>
      </c>
      <c r="I1640" s="22"/>
      <c r="J1640" s="22"/>
      <c r="K1640" s="22"/>
      <c r="L1640" s="22"/>
      <c r="M1640" s="22"/>
      <c r="N1640" s="22"/>
      <c r="O1640" s="22"/>
      <c r="P1640" s="26"/>
      <c r="Q1640" s="22"/>
      <c r="R1640" s="22"/>
      <c r="S1640" s="22"/>
      <c r="T1640" s="38"/>
      <c r="U1640" s="38">
        <f>U1641</f>
        <v>31168.379999999997</v>
      </c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162" t="b">
        <f t="shared" si="984"/>
        <v>1</v>
      </c>
      <c r="AK1640" s="162" t="str">
        <f t="shared" si="985"/>
        <v>PRAZNO</v>
      </c>
      <c r="AM1640" s="264"/>
    </row>
    <row r="1641" spans="1:39" ht="15.75" x14ac:dyDescent="0.2">
      <c r="B1641" s="177"/>
      <c r="C1641" s="177"/>
      <c r="D1641" s="177">
        <v>372</v>
      </c>
      <c r="E1641" s="177"/>
      <c r="F1641" s="177"/>
      <c r="G1641" s="177"/>
      <c r="H1641" s="16" t="s">
        <v>411</v>
      </c>
      <c r="I1641" s="22"/>
      <c r="J1641" s="22"/>
      <c r="K1641" s="22"/>
      <c r="L1641" s="22"/>
      <c r="M1641" s="22"/>
      <c r="N1641" s="22"/>
      <c r="O1641" s="22"/>
      <c r="P1641" s="26"/>
      <c r="Q1641" s="22"/>
      <c r="R1641" s="22"/>
      <c r="S1641" s="22"/>
      <c r="T1641" s="38"/>
      <c r="U1641" s="38">
        <f>U1642+U1643</f>
        <v>31168.379999999997</v>
      </c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162" t="b">
        <f t="shared" si="984"/>
        <v>1</v>
      </c>
      <c r="AK1641" s="162" t="str">
        <f t="shared" si="985"/>
        <v>PRAZNO</v>
      </c>
      <c r="AM1641" s="264"/>
    </row>
    <row r="1642" spans="1:39" ht="15.75" x14ac:dyDescent="0.2">
      <c r="B1642" s="177"/>
      <c r="C1642" s="177"/>
      <c r="D1642" s="177"/>
      <c r="E1642" s="177">
        <v>3721</v>
      </c>
      <c r="F1642" s="176">
        <v>42</v>
      </c>
      <c r="G1642" s="176"/>
      <c r="H1642" s="16" t="s">
        <v>412</v>
      </c>
      <c r="I1642" s="22"/>
      <c r="J1642" s="22"/>
      <c r="K1642" s="22"/>
      <c r="L1642" s="22"/>
      <c r="M1642" s="22"/>
      <c r="N1642" s="22"/>
      <c r="O1642" s="22"/>
      <c r="P1642" s="26"/>
      <c r="Q1642" s="22"/>
      <c r="R1642" s="22"/>
      <c r="S1642" s="22"/>
      <c r="T1642" s="38"/>
      <c r="U1642" s="38">
        <v>18540</v>
      </c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162" t="b">
        <f t="shared" si="984"/>
        <v>0</v>
      </c>
      <c r="AK1642" s="162" t="str">
        <f t="shared" si="985"/>
        <v>PUNO</v>
      </c>
      <c r="AM1642" s="264"/>
    </row>
    <row r="1643" spans="1:39" ht="15.75" x14ac:dyDescent="0.2">
      <c r="B1643" s="177"/>
      <c r="C1643" s="177"/>
      <c r="D1643" s="177"/>
      <c r="E1643" s="177">
        <v>3722</v>
      </c>
      <c r="F1643" s="176">
        <v>42</v>
      </c>
      <c r="G1643" s="176"/>
      <c r="H1643" s="16" t="s">
        <v>647</v>
      </c>
      <c r="I1643" s="22"/>
      <c r="J1643" s="22"/>
      <c r="K1643" s="22"/>
      <c r="L1643" s="22"/>
      <c r="M1643" s="22"/>
      <c r="N1643" s="22"/>
      <c r="O1643" s="22"/>
      <c r="P1643" s="26"/>
      <c r="Q1643" s="22"/>
      <c r="R1643" s="22"/>
      <c r="S1643" s="22"/>
      <c r="T1643" s="38"/>
      <c r="U1643" s="38">
        <v>12628.38</v>
      </c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162" t="b">
        <f t="shared" si="984"/>
        <v>0</v>
      </c>
      <c r="AK1643" s="162" t="str">
        <f t="shared" si="985"/>
        <v>PUNO</v>
      </c>
      <c r="AM1643" s="264"/>
    </row>
    <row r="1644" spans="1:39" s="264" customFormat="1" ht="15.75" x14ac:dyDescent="0.2">
      <c r="A1644" s="259"/>
      <c r="B1644" s="260"/>
      <c r="C1644" s="260"/>
      <c r="D1644" s="260"/>
      <c r="E1644" s="260"/>
      <c r="F1644" s="260"/>
      <c r="G1644" s="260"/>
      <c r="H1644" s="440" t="s">
        <v>15</v>
      </c>
      <c r="I1644" s="181"/>
      <c r="J1644" s="181"/>
      <c r="K1644" s="181"/>
      <c r="L1644" s="181"/>
      <c r="M1644" s="262"/>
      <c r="N1644" s="262"/>
      <c r="O1644" s="262"/>
      <c r="P1644" s="445"/>
      <c r="Q1644" s="262"/>
      <c r="R1644" s="262"/>
      <c r="S1644" s="262"/>
      <c r="T1644" s="342"/>
      <c r="U1644" s="262">
        <f t="shared" ref="U1644:AA1644" si="1002">U1645</f>
        <v>0</v>
      </c>
      <c r="V1644" s="262">
        <f t="shared" si="1002"/>
        <v>160000</v>
      </c>
      <c r="W1644" s="262" t="e">
        <f t="shared" si="1002"/>
        <v>#REF!</v>
      </c>
      <c r="X1644" s="262" t="e">
        <f t="shared" si="1002"/>
        <v>#REF!</v>
      </c>
      <c r="Y1644" s="262">
        <f t="shared" si="1002"/>
        <v>4934.5</v>
      </c>
      <c r="Z1644" s="262">
        <f t="shared" si="1002"/>
        <v>3.08</v>
      </c>
      <c r="AA1644" s="262">
        <f t="shared" si="1002"/>
        <v>11000</v>
      </c>
      <c r="AB1644" s="262">
        <f>AB1645</f>
        <v>171000</v>
      </c>
      <c r="AC1644" s="262">
        <f>AC1645</f>
        <v>128078.35</v>
      </c>
      <c r="AD1644" s="262">
        <f t="shared" ref="AD1644:AD1708" si="1003">AC1644/AB1644*100</f>
        <v>74.899619883040941</v>
      </c>
      <c r="AE1644" s="262">
        <f t="shared" ref="AE1644:AE1725" si="1004">AF1644-AB1644</f>
        <v>2950</v>
      </c>
      <c r="AF1644" s="262">
        <f>AF1645</f>
        <v>173950</v>
      </c>
      <c r="AG1644" s="262">
        <f>AG1645</f>
        <v>176000</v>
      </c>
      <c r="AH1644" s="262">
        <f>AH1645</f>
        <v>176000</v>
      </c>
      <c r="AI1644" s="262">
        <f>AI1645</f>
        <v>171000</v>
      </c>
      <c r="AJ1644" s="162" t="b">
        <f t="shared" si="984"/>
        <v>1</v>
      </c>
      <c r="AK1644" s="162" t="str">
        <f t="shared" si="985"/>
        <v>PRAZNO</v>
      </c>
      <c r="AL1644" s="263"/>
    </row>
    <row r="1645" spans="1:39" s="264" customFormat="1" ht="15.75" x14ac:dyDescent="0.2">
      <c r="A1645" s="259"/>
      <c r="B1645" s="172">
        <v>3</v>
      </c>
      <c r="C1645" s="172"/>
      <c r="D1645" s="172"/>
      <c r="E1645" s="172"/>
      <c r="F1645" s="172"/>
      <c r="G1645" s="177"/>
      <c r="H1645" s="14" t="s">
        <v>524</v>
      </c>
      <c r="I1645" s="20" t="e">
        <f>I1646+I1649+#REF!</f>
        <v>#REF!</v>
      </c>
      <c r="J1645" s="20" t="e">
        <f>J1646+J1649+#REF!</f>
        <v>#REF!</v>
      </c>
      <c r="K1645" s="20" t="e">
        <f t="shared" ref="K1645:K1653" si="1005">ROUND(J1645/I1645*100,2)</f>
        <v>#REF!</v>
      </c>
      <c r="L1645" s="20" t="e">
        <f t="shared" ref="L1645:L1653" si="1006">M1645-I1645</f>
        <v>#REF!</v>
      </c>
      <c r="M1645" s="20" t="e">
        <f>M1646+M1649+#REF!</f>
        <v>#REF!</v>
      </c>
      <c r="N1645" s="20" t="e">
        <f>N1646+N1649+#REF!</f>
        <v>#REF!</v>
      </c>
      <c r="O1645" s="20" t="e">
        <f>O1646+O1649+#REF!</f>
        <v>#REF!</v>
      </c>
      <c r="P1645" s="55" t="e">
        <f t="shared" ref="P1645:P1653" si="1007">T1645-N1645</f>
        <v>#REF!</v>
      </c>
      <c r="Q1645" s="20" t="e">
        <f>Q1646+Q1649+#REF!</f>
        <v>#REF!</v>
      </c>
      <c r="R1645" s="20" t="e">
        <f>R1646+R1649+#REF!</f>
        <v>#REF!</v>
      </c>
      <c r="S1645" s="20" t="e">
        <f>S1646+S1649+#REF!</f>
        <v>#REF!</v>
      </c>
      <c r="T1645" s="20">
        <f>T1646+T1649</f>
        <v>141000</v>
      </c>
      <c r="U1645" s="20">
        <f>U1646+U1649</f>
        <v>0</v>
      </c>
      <c r="V1645" s="20">
        <f>V1646+V1649</f>
        <v>160000</v>
      </c>
      <c r="W1645" s="20" t="e">
        <f>W1646+W1649+#REF!</f>
        <v>#REF!</v>
      </c>
      <c r="X1645" s="20" t="e">
        <f>X1646+X1649+#REF!</f>
        <v>#REF!</v>
      </c>
      <c r="Y1645" s="20">
        <f>Y1646+Y1649</f>
        <v>4934.5</v>
      </c>
      <c r="Z1645" s="20">
        <f t="shared" si="966"/>
        <v>3.08</v>
      </c>
      <c r="AA1645" s="20">
        <f t="shared" ref="AA1645:AA1658" si="1008">AB1645-V1645</f>
        <v>11000</v>
      </c>
      <c r="AB1645" s="20">
        <f>AB1646+AB1649</f>
        <v>171000</v>
      </c>
      <c r="AC1645" s="20">
        <f>AC1646+AC1649</f>
        <v>128078.35</v>
      </c>
      <c r="AD1645" s="20">
        <f t="shared" si="1003"/>
        <v>74.899619883040941</v>
      </c>
      <c r="AE1645" s="20">
        <f t="shared" si="1004"/>
        <v>2950</v>
      </c>
      <c r="AF1645" s="20">
        <f>AF1646+AF1649</f>
        <v>173950</v>
      </c>
      <c r="AG1645" s="20">
        <f>AG1646+AG1649</f>
        <v>176000</v>
      </c>
      <c r="AH1645" s="20">
        <f>AH1646+AH1649</f>
        <v>176000</v>
      </c>
      <c r="AI1645" s="20">
        <f>AI1646+AI1649</f>
        <v>171000</v>
      </c>
      <c r="AJ1645" s="162" t="b">
        <f t="shared" si="984"/>
        <v>1</v>
      </c>
      <c r="AK1645" s="162" t="str">
        <f t="shared" si="985"/>
        <v>PRAZNO</v>
      </c>
      <c r="AL1645" s="263"/>
    </row>
    <row r="1646" spans="1:39" ht="15.75" x14ac:dyDescent="0.2">
      <c r="B1646" s="175"/>
      <c r="C1646" s="175">
        <v>32</v>
      </c>
      <c r="D1646" s="175"/>
      <c r="E1646" s="175"/>
      <c r="F1646" s="175"/>
      <c r="G1646" s="175"/>
      <c r="H1646" s="15" t="s">
        <v>525</v>
      </c>
      <c r="I1646" s="22">
        <f>I1647</f>
        <v>90000</v>
      </c>
      <c r="J1646" s="22">
        <f>J1647</f>
        <v>89005.52</v>
      </c>
      <c r="K1646" s="22">
        <f t="shared" si="1005"/>
        <v>98.9</v>
      </c>
      <c r="L1646" s="22">
        <f t="shared" si="1006"/>
        <v>56878.709999999992</v>
      </c>
      <c r="M1646" s="22">
        <f>M1647</f>
        <v>146878.71</v>
      </c>
      <c r="N1646" s="22">
        <f>N1647</f>
        <v>110000</v>
      </c>
      <c r="O1646" s="22">
        <f>O1647</f>
        <v>95087.5</v>
      </c>
      <c r="P1646" s="26">
        <f t="shared" si="1007"/>
        <v>0</v>
      </c>
      <c r="Q1646" s="22">
        <f t="shared" ref="Q1646:AI1646" si="1009">Q1647</f>
        <v>110000</v>
      </c>
      <c r="R1646" s="22">
        <f t="shared" si="1009"/>
        <v>119000</v>
      </c>
      <c r="S1646" s="22">
        <f t="shared" si="1009"/>
        <v>119000</v>
      </c>
      <c r="T1646" s="38">
        <f t="shared" si="1009"/>
        <v>110000</v>
      </c>
      <c r="U1646" s="38">
        <f t="shared" si="1009"/>
        <v>0</v>
      </c>
      <c r="V1646" s="22">
        <f t="shared" si="1009"/>
        <v>133000</v>
      </c>
      <c r="W1646" s="22">
        <f t="shared" si="1009"/>
        <v>133000</v>
      </c>
      <c r="X1646" s="22">
        <f t="shared" si="1009"/>
        <v>133000</v>
      </c>
      <c r="Y1646" s="22">
        <f t="shared" si="1009"/>
        <v>3434.5</v>
      </c>
      <c r="Z1646" s="22">
        <f t="shared" si="966"/>
        <v>2.58</v>
      </c>
      <c r="AA1646" s="22">
        <f t="shared" si="1008"/>
        <v>10000</v>
      </c>
      <c r="AB1646" s="22">
        <f t="shared" si="1009"/>
        <v>143000</v>
      </c>
      <c r="AC1646" s="22">
        <f t="shared" si="1009"/>
        <v>107128.35</v>
      </c>
      <c r="AD1646" s="22">
        <f t="shared" si="1003"/>
        <v>74.91493006993008</v>
      </c>
      <c r="AE1646" s="22">
        <f t="shared" si="1004"/>
        <v>8850</v>
      </c>
      <c r="AF1646" s="22">
        <f t="shared" si="1009"/>
        <v>151850</v>
      </c>
      <c r="AG1646" s="22">
        <f t="shared" si="1009"/>
        <v>153900</v>
      </c>
      <c r="AH1646" s="22">
        <f t="shared" si="1009"/>
        <v>153900</v>
      </c>
      <c r="AI1646" s="22">
        <f t="shared" si="1009"/>
        <v>143000</v>
      </c>
      <c r="AJ1646" s="162" t="b">
        <f t="shared" si="984"/>
        <v>1</v>
      </c>
      <c r="AK1646" s="162" t="str">
        <f t="shared" si="985"/>
        <v>PRAZNO</v>
      </c>
      <c r="AM1646" s="264"/>
    </row>
    <row r="1647" spans="1:39" ht="15.75" x14ac:dyDescent="0.2">
      <c r="B1647" s="177"/>
      <c r="C1647" s="177"/>
      <c r="D1647" s="177">
        <v>323</v>
      </c>
      <c r="E1647" s="177"/>
      <c r="F1647" s="177"/>
      <c r="G1647" s="177"/>
      <c r="H1647" s="16" t="s">
        <v>526</v>
      </c>
      <c r="I1647" s="17">
        <f>SUM(I1648:I1648)</f>
        <v>90000</v>
      </c>
      <c r="J1647" s="17">
        <f>SUM(J1648:J1648)</f>
        <v>89005.52</v>
      </c>
      <c r="K1647" s="17">
        <f t="shared" si="1005"/>
        <v>98.9</v>
      </c>
      <c r="L1647" s="17">
        <f t="shared" si="1006"/>
        <v>56878.709999999992</v>
      </c>
      <c r="M1647" s="17">
        <f>SUM(M1648:M1648)</f>
        <v>146878.71</v>
      </c>
      <c r="N1647" s="17">
        <f>SUM(N1648:N1648)</f>
        <v>110000</v>
      </c>
      <c r="O1647" s="17">
        <f>SUM(O1648:O1648)</f>
        <v>95087.5</v>
      </c>
      <c r="P1647" s="26">
        <f t="shared" si="1007"/>
        <v>0</v>
      </c>
      <c r="Q1647" s="17">
        <f t="shared" ref="Q1647:Y1647" si="1010">SUM(Q1648:Q1648)</f>
        <v>110000</v>
      </c>
      <c r="R1647" s="17">
        <f t="shared" si="1010"/>
        <v>119000</v>
      </c>
      <c r="S1647" s="17">
        <f t="shared" si="1010"/>
        <v>119000</v>
      </c>
      <c r="T1647" s="26">
        <f t="shared" si="1010"/>
        <v>110000</v>
      </c>
      <c r="U1647" s="26">
        <f t="shared" si="1010"/>
        <v>0</v>
      </c>
      <c r="V1647" s="17">
        <f t="shared" si="1010"/>
        <v>133000</v>
      </c>
      <c r="W1647" s="17">
        <f t="shared" si="1010"/>
        <v>133000</v>
      </c>
      <c r="X1647" s="17">
        <f t="shared" si="1010"/>
        <v>133000</v>
      </c>
      <c r="Y1647" s="17">
        <f t="shared" si="1010"/>
        <v>3434.5</v>
      </c>
      <c r="Z1647" s="17">
        <f t="shared" si="966"/>
        <v>2.58</v>
      </c>
      <c r="AA1647" s="17">
        <f t="shared" si="1008"/>
        <v>10000</v>
      </c>
      <c r="AB1647" s="17">
        <f>SUM(AB1648:AB1648)</f>
        <v>143000</v>
      </c>
      <c r="AC1647" s="17">
        <f>SUM(AC1648:AC1648)</f>
        <v>107128.35</v>
      </c>
      <c r="AD1647" s="17">
        <f t="shared" si="1003"/>
        <v>74.91493006993008</v>
      </c>
      <c r="AE1647" s="17">
        <f t="shared" si="1004"/>
        <v>8850</v>
      </c>
      <c r="AF1647" s="17">
        <f>SUM(AF1648:AF1648)</f>
        <v>151850</v>
      </c>
      <c r="AG1647" s="17">
        <f>SUM(AG1648:AG1648)</f>
        <v>153900</v>
      </c>
      <c r="AH1647" s="17">
        <f>SUM(AH1648:AH1648)</f>
        <v>153900</v>
      </c>
      <c r="AI1647" s="17">
        <f>SUM(AI1648:AI1648)</f>
        <v>143000</v>
      </c>
      <c r="AJ1647" s="162" t="b">
        <f t="shared" si="984"/>
        <v>1</v>
      </c>
      <c r="AK1647" s="162" t="str">
        <f t="shared" si="985"/>
        <v>PRAZNO</v>
      </c>
      <c r="AM1647" s="264"/>
    </row>
    <row r="1648" spans="1:39" ht="15.75" x14ac:dyDescent="0.2">
      <c r="B1648" s="177"/>
      <c r="C1648" s="177"/>
      <c r="D1648" s="177"/>
      <c r="E1648" s="177">
        <v>3232</v>
      </c>
      <c r="F1648" s="176">
        <v>31</v>
      </c>
      <c r="G1648" s="176"/>
      <c r="H1648" s="16" t="s">
        <v>207</v>
      </c>
      <c r="I1648" s="18">
        <v>90000</v>
      </c>
      <c r="J1648" s="18">
        <v>89005.52</v>
      </c>
      <c r="K1648" s="18">
        <f t="shared" si="1005"/>
        <v>98.9</v>
      </c>
      <c r="L1648" s="18">
        <f t="shared" si="1006"/>
        <v>56878.709999999992</v>
      </c>
      <c r="M1648" s="18">
        <v>146878.71</v>
      </c>
      <c r="N1648" s="18">
        <v>110000</v>
      </c>
      <c r="O1648" s="18">
        <v>95087.5</v>
      </c>
      <c r="P1648" s="26">
        <f t="shared" si="1007"/>
        <v>0</v>
      </c>
      <c r="Q1648" s="18">
        <v>110000</v>
      </c>
      <c r="R1648" s="18">
        <v>119000</v>
      </c>
      <c r="S1648" s="18">
        <v>119000</v>
      </c>
      <c r="T1648" s="27">
        <v>110000</v>
      </c>
      <c r="U1648" s="27"/>
      <c r="V1648" s="18">
        <v>133000</v>
      </c>
      <c r="W1648" s="18">
        <v>133000</v>
      </c>
      <c r="X1648" s="18">
        <v>133000</v>
      </c>
      <c r="Y1648" s="18">
        <v>3434.5</v>
      </c>
      <c r="Z1648" s="18">
        <f t="shared" si="966"/>
        <v>2.58</v>
      </c>
      <c r="AA1648" s="18">
        <f t="shared" si="1008"/>
        <v>10000</v>
      </c>
      <c r="AB1648" s="18">
        <v>143000</v>
      </c>
      <c r="AC1648" s="18">
        <v>107128.35</v>
      </c>
      <c r="AD1648" s="18">
        <f t="shared" si="1003"/>
        <v>74.91493006993008</v>
      </c>
      <c r="AE1648" s="18">
        <f t="shared" si="1004"/>
        <v>8850</v>
      </c>
      <c r="AF1648" s="18">
        <v>151850</v>
      </c>
      <c r="AG1648" s="18">
        <v>153900</v>
      </c>
      <c r="AH1648" s="18">
        <v>153900</v>
      </c>
      <c r="AI1648" s="18">
        <v>143000</v>
      </c>
      <c r="AJ1648" s="162" t="b">
        <f t="shared" si="984"/>
        <v>0</v>
      </c>
      <c r="AK1648" s="162" t="str">
        <f t="shared" si="985"/>
        <v>PUNO</v>
      </c>
      <c r="AM1648" s="264"/>
    </row>
    <row r="1649" spans="1:39" s="644" customFormat="1" ht="30" x14ac:dyDescent="0.2">
      <c r="A1649" s="633"/>
      <c r="B1649" s="175"/>
      <c r="C1649" s="175">
        <v>37</v>
      </c>
      <c r="D1649" s="175"/>
      <c r="E1649" s="175"/>
      <c r="F1649" s="175"/>
      <c r="G1649" s="175"/>
      <c r="H1649" s="15" t="s">
        <v>410</v>
      </c>
      <c r="I1649" s="22">
        <f>I1650</f>
        <v>40000</v>
      </c>
      <c r="J1649" s="22">
        <f>J1650</f>
        <v>5598</v>
      </c>
      <c r="K1649" s="22">
        <f t="shared" si="1005"/>
        <v>14</v>
      </c>
      <c r="L1649" s="22">
        <f t="shared" si="1006"/>
        <v>-5170</v>
      </c>
      <c r="M1649" s="22">
        <f>M1650</f>
        <v>34830</v>
      </c>
      <c r="N1649" s="22">
        <f>N1650</f>
        <v>31000</v>
      </c>
      <c r="O1649" s="22">
        <f>O1650</f>
        <v>7978.38</v>
      </c>
      <c r="P1649" s="38">
        <f t="shared" si="1007"/>
        <v>0</v>
      </c>
      <c r="Q1649" s="22">
        <f t="shared" ref="Q1649:AI1649" si="1011">Q1650</f>
        <v>31000</v>
      </c>
      <c r="R1649" s="22">
        <f t="shared" si="1011"/>
        <v>41000</v>
      </c>
      <c r="S1649" s="22">
        <f t="shared" si="1011"/>
        <v>41000</v>
      </c>
      <c r="T1649" s="38">
        <f t="shared" si="1011"/>
        <v>31000</v>
      </c>
      <c r="U1649" s="38">
        <f t="shared" si="1011"/>
        <v>0</v>
      </c>
      <c r="V1649" s="315">
        <f t="shared" si="1011"/>
        <v>27000</v>
      </c>
      <c r="W1649" s="315">
        <f t="shared" si="1011"/>
        <v>27000</v>
      </c>
      <c r="X1649" s="315">
        <f t="shared" si="1011"/>
        <v>27000</v>
      </c>
      <c r="Y1649" s="315">
        <f t="shared" si="1011"/>
        <v>1500</v>
      </c>
      <c r="Z1649" s="315">
        <f t="shared" si="966"/>
        <v>5.56</v>
      </c>
      <c r="AA1649" s="315">
        <f t="shared" si="1008"/>
        <v>1000</v>
      </c>
      <c r="AB1649" s="315">
        <f t="shared" si="1011"/>
        <v>28000</v>
      </c>
      <c r="AC1649" s="315">
        <f t="shared" si="1011"/>
        <v>20950</v>
      </c>
      <c r="AD1649" s="315">
        <f t="shared" si="1003"/>
        <v>74.821428571428569</v>
      </c>
      <c r="AE1649" s="315">
        <f t="shared" si="1004"/>
        <v>-5900</v>
      </c>
      <c r="AF1649" s="315">
        <f t="shared" si="1011"/>
        <v>22100</v>
      </c>
      <c r="AG1649" s="315">
        <f t="shared" si="1011"/>
        <v>22100</v>
      </c>
      <c r="AH1649" s="315">
        <f t="shared" si="1011"/>
        <v>22100</v>
      </c>
      <c r="AI1649" s="315">
        <f t="shared" si="1011"/>
        <v>28000</v>
      </c>
      <c r="AJ1649" s="162" t="b">
        <f t="shared" si="984"/>
        <v>1</v>
      </c>
      <c r="AK1649" s="162" t="str">
        <f t="shared" si="985"/>
        <v>PRAZNO</v>
      </c>
      <c r="AL1649" s="643"/>
      <c r="AM1649" s="638"/>
    </row>
    <row r="1650" spans="1:39" ht="30" customHeight="1" x14ac:dyDescent="0.2">
      <c r="B1650" s="177"/>
      <c r="C1650" s="177"/>
      <c r="D1650" s="177">
        <v>372</v>
      </c>
      <c r="E1650" s="177"/>
      <c r="F1650" s="177"/>
      <c r="G1650" s="177"/>
      <c r="H1650" s="16" t="s">
        <v>411</v>
      </c>
      <c r="I1650" s="27">
        <f>SUM(I1651:I1652)</f>
        <v>40000</v>
      </c>
      <c r="J1650" s="18">
        <f>SUM(J1651:J1652)</f>
        <v>5598</v>
      </c>
      <c r="K1650" s="18">
        <f t="shared" si="1005"/>
        <v>14</v>
      </c>
      <c r="L1650" s="18">
        <f t="shared" si="1006"/>
        <v>-5170</v>
      </c>
      <c r="M1650" s="18">
        <f>SUM(M1651:M1652)</f>
        <v>34830</v>
      </c>
      <c r="N1650" s="18">
        <f>SUM(N1651:N1652)</f>
        <v>31000</v>
      </c>
      <c r="O1650" s="18">
        <f>SUM(O1651:O1652)</f>
        <v>7978.38</v>
      </c>
      <c r="P1650" s="26">
        <f t="shared" si="1007"/>
        <v>0</v>
      </c>
      <c r="Q1650" s="18">
        <f t="shared" ref="Q1650:X1650" si="1012">SUM(Q1651:Q1652)</f>
        <v>31000</v>
      </c>
      <c r="R1650" s="18">
        <f t="shared" si="1012"/>
        <v>41000</v>
      </c>
      <c r="S1650" s="18">
        <f t="shared" si="1012"/>
        <v>41000</v>
      </c>
      <c r="T1650" s="27">
        <f>T1651+T1652</f>
        <v>31000</v>
      </c>
      <c r="U1650" s="27">
        <f>U1651+U1652</f>
        <v>0</v>
      </c>
      <c r="V1650" s="18">
        <f t="shared" si="1012"/>
        <v>27000</v>
      </c>
      <c r="W1650" s="18">
        <f t="shared" si="1012"/>
        <v>27000</v>
      </c>
      <c r="X1650" s="18">
        <f t="shared" si="1012"/>
        <v>27000</v>
      </c>
      <c r="Y1650" s="18">
        <f>SUM(Y1651:Y1652)</f>
        <v>1500</v>
      </c>
      <c r="Z1650" s="18">
        <f t="shared" si="966"/>
        <v>5.56</v>
      </c>
      <c r="AA1650" s="18">
        <f t="shared" si="1008"/>
        <v>1000</v>
      </c>
      <c r="AB1650" s="18">
        <f>SUM(AB1651:AB1652)</f>
        <v>28000</v>
      </c>
      <c r="AC1650" s="18">
        <f>SUM(AC1651:AC1652)</f>
        <v>20950</v>
      </c>
      <c r="AD1650" s="18">
        <f t="shared" si="1003"/>
        <v>74.821428571428569</v>
      </c>
      <c r="AE1650" s="18">
        <f t="shared" si="1004"/>
        <v>-5900</v>
      </c>
      <c r="AF1650" s="18">
        <f>SUM(AF1651:AF1652)</f>
        <v>22100</v>
      </c>
      <c r="AG1650" s="18">
        <f>SUM(AG1651:AG1652)</f>
        <v>22100</v>
      </c>
      <c r="AH1650" s="18">
        <f>SUM(AH1651:AH1652)</f>
        <v>22100</v>
      </c>
      <c r="AI1650" s="18">
        <f>SUM(AI1651:AI1652)</f>
        <v>28000</v>
      </c>
      <c r="AJ1650" s="162" t="b">
        <f t="shared" si="984"/>
        <v>1</v>
      </c>
      <c r="AK1650" s="162" t="str">
        <f t="shared" si="985"/>
        <v>PRAZNO</v>
      </c>
      <c r="AM1650" s="264"/>
    </row>
    <row r="1651" spans="1:39" ht="15.75" x14ac:dyDescent="0.2">
      <c r="B1651" s="177"/>
      <c r="C1651" s="177"/>
      <c r="D1651" s="177"/>
      <c r="E1651" s="177">
        <v>3721</v>
      </c>
      <c r="F1651" s="176">
        <v>31</v>
      </c>
      <c r="G1651" s="176"/>
      <c r="H1651" s="16" t="s">
        <v>412</v>
      </c>
      <c r="I1651" s="18">
        <v>24000</v>
      </c>
      <c r="J1651" s="18">
        <v>2400</v>
      </c>
      <c r="K1651" s="18">
        <f t="shared" si="1005"/>
        <v>10</v>
      </c>
      <c r="L1651" s="18">
        <f t="shared" si="1006"/>
        <v>-110</v>
      </c>
      <c r="M1651" s="18">
        <v>23890</v>
      </c>
      <c r="N1651" s="18">
        <v>15000</v>
      </c>
      <c r="O1651" s="18">
        <v>2100</v>
      </c>
      <c r="P1651" s="26">
        <f t="shared" si="1007"/>
        <v>0</v>
      </c>
      <c r="Q1651" s="18">
        <v>15000</v>
      </c>
      <c r="R1651" s="18">
        <v>24000</v>
      </c>
      <c r="S1651" s="18">
        <v>24000</v>
      </c>
      <c r="T1651" s="27">
        <v>15000</v>
      </c>
      <c r="U1651" s="27"/>
      <c r="V1651" s="18">
        <v>15000</v>
      </c>
      <c r="W1651" s="18">
        <v>15000</v>
      </c>
      <c r="X1651" s="18">
        <v>15000</v>
      </c>
      <c r="Y1651" s="18">
        <v>1500</v>
      </c>
      <c r="Z1651" s="18">
        <f t="shared" si="966"/>
        <v>10</v>
      </c>
      <c r="AA1651" s="18">
        <f t="shared" si="1008"/>
        <v>1000</v>
      </c>
      <c r="AB1651" s="18">
        <v>16000</v>
      </c>
      <c r="AC1651" s="18">
        <v>8780</v>
      </c>
      <c r="AD1651" s="18">
        <f t="shared" si="1003"/>
        <v>54.874999999999993</v>
      </c>
      <c r="AE1651" s="18">
        <f t="shared" si="1004"/>
        <v>-6100</v>
      </c>
      <c r="AF1651" s="18">
        <v>9900</v>
      </c>
      <c r="AG1651" s="18">
        <v>9900</v>
      </c>
      <c r="AH1651" s="18">
        <v>9900</v>
      </c>
      <c r="AI1651" s="18">
        <v>16000</v>
      </c>
      <c r="AJ1651" s="162" t="b">
        <f t="shared" si="984"/>
        <v>0</v>
      </c>
      <c r="AK1651" s="162" t="str">
        <f t="shared" si="985"/>
        <v>PUNO</v>
      </c>
      <c r="AM1651" s="264"/>
    </row>
    <row r="1652" spans="1:39" ht="15.75" x14ac:dyDescent="0.2">
      <c r="B1652" s="177"/>
      <c r="C1652" s="177"/>
      <c r="D1652" s="177"/>
      <c r="E1652" s="177">
        <v>3722</v>
      </c>
      <c r="F1652" s="176">
        <v>31</v>
      </c>
      <c r="G1652" s="176"/>
      <c r="H1652" s="16" t="s">
        <v>647</v>
      </c>
      <c r="I1652" s="18">
        <v>16000</v>
      </c>
      <c r="J1652" s="18">
        <v>3198</v>
      </c>
      <c r="K1652" s="18">
        <f t="shared" si="1005"/>
        <v>19.989999999999998</v>
      </c>
      <c r="L1652" s="18">
        <f t="shared" si="1006"/>
        <v>-5060</v>
      </c>
      <c r="M1652" s="18">
        <v>10940</v>
      </c>
      <c r="N1652" s="18">
        <v>16000</v>
      </c>
      <c r="O1652" s="18">
        <v>5878.38</v>
      </c>
      <c r="P1652" s="26">
        <f t="shared" si="1007"/>
        <v>0</v>
      </c>
      <c r="Q1652" s="18">
        <v>16000</v>
      </c>
      <c r="R1652" s="18">
        <v>17000</v>
      </c>
      <c r="S1652" s="18">
        <v>17000</v>
      </c>
      <c r="T1652" s="27">
        <v>16000</v>
      </c>
      <c r="U1652" s="27"/>
      <c r="V1652" s="18">
        <v>12000</v>
      </c>
      <c r="W1652" s="18">
        <v>12000</v>
      </c>
      <c r="X1652" s="18">
        <v>12000</v>
      </c>
      <c r="Y1652" s="18">
        <v>0</v>
      </c>
      <c r="Z1652" s="18">
        <f t="shared" si="966"/>
        <v>0</v>
      </c>
      <c r="AA1652" s="18">
        <f t="shared" si="1008"/>
        <v>0</v>
      </c>
      <c r="AB1652" s="18">
        <v>12000</v>
      </c>
      <c r="AC1652" s="18">
        <v>12170</v>
      </c>
      <c r="AD1652" s="18">
        <f t="shared" si="1003"/>
        <v>101.41666666666667</v>
      </c>
      <c r="AE1652" s="18">
        <f t="shared" si="1004"/>
        <v>200</v>
      </c>
      <c r="AF1652" s="18">
        <v>12200</v>
      </c>
      <c r="AG1652" s="18">
        <v>12200</v>
      </c>
      <c r="AH1652" s="18">
        <v>12200</v>
      </c>
      <c r="AI1652" s="18">
        <v>12000</v>
      </c>
      <c r="AJ1652" s="162" t="b">
        <f t="shared" si="984"/>
        <v>0</v>
      </c>
      <c r="AK1652" s="162" t="str">
        <f t="shared" si="985"/>
        <v>PUNO</v>
      </c>
      <c r="AM1652" s="264"/>
    </row>
    <row r="1653" spans="1:39" s="171" customFormat="1" ht="15.75" x14ac:dyDescent="0.2">
      <c r="A1653" s="259"/>
      <c r="B1653" s="168"/>
      <c r="C1653" s="168"/>
      <c r="D1653" s="168"/>
      <c r="E1653" s="168"/>
      <c r="F1653" s="168"/>
      <c r="G1653" s="168"/>
      <c r="H1653" s="13" t="s">
        <v>165</v>
      </c>
      <c r="I1653" s="169" t="e">
        <f t="shared" ref="I1653:X1653" si="1013">I1655</f>
        <v>#REF!</v>
      </c>
      <c r="J1653" s="169" t="e">
        <f t="shared" si="1013"/>
        <v>#REF!</v>
      </c>
      <c r="K1653" s="169" t="e">
        <f t="shared" si="1005"/>
        <v>#REF!</v>
      </c>
      <c r="L1653" s="169" t="e">
        <f t="shared" si="1006"/>
        <v>#REF!</v>
      </c>
      <c r="M1653" s="19" t="e">
        <f t="shared" si="1013"/>
        <v>#REF!</v>
      </c>
      <c r="N1653" s="19" t="e">
        <f t="shared" si="1013"/>
        <v>#REF!</v>
      </c>
      <c r="O1653" s="19" t="e">
        <f t="shared" si="1013"/>
        <v>#REF!</v>
      </c>
      <c r="P1653" s="303" t="e">
        <f t="shared" si="1007"/>
        <v>#REF!</v>
      </c>
      <c r="Q1653" s="19" t="e">
        <f t="shared" si="1013"/>
        <v>#REF!</v>
      </c>
      <c r="R1653" s="19" t="e">
        <f t="shared" si="1013"/>
        <v>#REF!</v>
      </c>
      <c r="S1653" s="19" t="e">
        <f t="shared" si="1013"/>
        <v>#REF!</v>
      </c>
      <c r="T1653" s="19">
        <f>T1655+T1669</f>
        <v>0</v>
      </c>
      <c r="U1653" s="19">
        <f>U1655+U1669+U1660</f>
        <v>49000</v>
      </c>
      <c r="V1653" s="19">
        <f>V1655+V1669</f>
        <v>0</v>
      </c>
      <c r="W1653" s="19" t="e">
        <f t="shared" si="1013"/>
        <v>#REF!</v>
      </c>
      <c r="X1653" s="19" t="e">
        <f t="shared" si="1013"/>
        <v>#REF!</v>
      </c>
      <c r="Y1653" s="19">
        <f>Y1655+Y1669</f>
        <v>0</v>
      </c>
      <c r="Z1653" s="19" t="e">
        <f t="shared" si="966"/>
        <v>#DIV/0!</v>
      </c>
      <c r="AA1653" s="19">
        <f t="shared" si="1008"/>
        <v>19000</v>
      </c>
      <c r="AB1653" s="19">
        <f>AB1655+AB1669</f>
        <v>19000</v>
      </c>
      <c r="AC1653" s="19">
        <f>AC1655+AC1669</f>
        <v>13341.75</v>
      </c>
      <c r="AD1653" s="19">
        <f t="shared" si="1003"/>
        <v>70.219736842105263</v>
      </c>
      <c r="AE1653" s="19">
        <f t="shared" si="1004"/>
        <v>-2950</v>
      </c>
      <c r="AF1653" s="19">
        <f>AF1655+AF1669</f>
        <v>16050</v>
      </c>
      <c r="AG1653" s="19">
        <f>AG1655+AG1669</f>
        <v>314000</v>
      </c>
      <c r="AH1653" s="19">
        <f>AH1655+AH1669</f>
        <v>14000</v>
      </c>
      <c r="AI1653" s="19">
        <f>AI1655+AI1669</f>
        <v>19000</v>
      </c>
      <c r="AJ1653" s="162" t="b">
        <f t="shared" si="984"/>
        <v>1</v>
      </c>
      <c r="AK1653" s="162" t="str">
        <f t="shared" si="985"/>
        <v>PRAZNO</v>
      </c>
      <c r="AL1653" s="170"/>
      <c r="AM1653" s="264"/>
    </row>
    <row r="1654" spans="1:39" s="264" customFormat="1" ht="15.75" x14ac:dyDescent="0.2">
      <c r="A1654" s="259"/>
      <c r="B1654" s="260"/>
      <c r="C1654" s="260"/>
      <c r="D1654" s="260"/>
      <c r="E1654" s="260"/>
      <c r="F1654" s="260"/>
      <c r="G1654" s="260"/>
      <c r="H1654" s="440" t="s">
        <v>15</v>
      </c>
      <c r="I1654" s="181"/>
      <c r="J1654" s="181"/>
      <c r="K1654" s="181"/>
      <c r="L1654" s="181"/>
      <c r="M1654" s="262"/>
      <c r="N1654" s="262"/>
      <c r="O1654" s="262"/>
      <c r="P1654" s="445"/>
      <c r="Q1654" s="262"/>
      <c r="R1654" s="262"/>
      <c r="S1654" s="262"/>
      <c r="T1654" s="342"/>
      <c r="U1654" s="342"/>
      <c r="V1654" s="262">
        <f>V1655</f>
        <v>0</v>
      </c>
      <c r="W1654" s="262"/>
      <c r="X1654" s="262"/>
      <c r="Y1654" s="262">
        <f>Y1655</f>
        <v>0</v>
      </c>
      <c r="Z1654" s="262"/>
      <c r="AA1654" s="262">
        <f t="shared" si="1008"/>
        <v>19000</v>
      </c>
      <c r="AB1654" s="262">
        <f t="shared" ref="AB1654:AC1656" si="1014">AB1655</f>
        <v>19000</v>
      </c>
      <c r="AC1654" s="262">
        <f t="shared" si="1014"/>
        <v>13341.75</v>
      </c>
      <c r="AD1654" s="262">
        <f t="shared" si="1003"/>
        <v>70.219736842105263</v>
      </c>
      <c r="AE1654" s="262">
        <f t="shared" si="1004"/>
        <v>-2950</v>
      </c>
      <c r="AF1654" s="262">
        <f t="shared" ref="AF1654:AI1656" si="1015">AF1655</f>
        <v>16050</v>
      </c>
      <c r="AG1654" s="262">
        <f t="shared" si="1015"/>
        <v>14000</v>
      </c>
      <c r="AH1654" s="262">
        <f t="shared" si="1015"/>
        <v>14000</v>
      </c>
      <c r="AI1654" s="262">
        <f t="shared" si="1015"/>
        <v>19000</v>
      </c>
      <c r="AJ1654" s="162" t="b">
        <f t="shared" si="984"/>
        <v>1</v>
      </c>
      <c r="AK1654" s="162" t="str">
        <f t="shared" si="985"/>
        <v>PRAZNO</v>
      </c>
      <c r="AL1654" s="263"/>
    </row>
    <row r="1655" spans="1:39" s="174" customFormat="1" ht="15.75" x14ac:dyDescent="0.2">
      <c r="A1655" s="259"/>
      <c r="B1655" s="172">
        <v>4</v>
      </c>
      <c r="C1655" s="172"/>
      <c r="D1655" s="172"/>
      <c r="E1655" s="172"/>
      <c r="F1655" s="172"/>
      <c r="G1655" s="172"/>
      <c r="H1655" s="14" t="s">
        <v>552</v>
      </c>
      <c r="I1655" s="20" t="e">
        <f>I1656+#REF!</f>
        <v>#REF!</v>
      </c>
      <c r="J1655" s="20" t="e">
        <f>J1656+#REF!</f>
        <v>#REF!</v>
      </c>
      <c r="K1655" s="20" t="e">
        <f>ROUND(J1655/I1655*100,2)</f>
        <v>#REF!</v>
      </c>
      <c r="L1655" s="20" t="e">
        <f>M1655-I1655</f>
        <v>#REF!</v>
      </c>
      <c r="M1655" s="20" t="e">
        <f>M1656+#REF!</f>
        <v>#REF!</v>
      </c>
      <c r="N1655" s="20" t="e">
        <f>N1656+#REF!</f>
        <v>#REF!</v>
      </c>
      <c r="O1655" s="20" t="e">
        <f>O1656+#REF!</f>
        <v>#REF!</v>
      </c>
      <c r="P1655" s="55" t="e">
        <f>T1655-N1655</f>
        <v>#REF!</v>
      </c>
      <c r="Q1655" s="20" t="e">
        <f>Q1656+#REF!</f>
        <v>#REF!</v>
      </c>
      <c r="R1655" s="20" t="e">
        <f>R1656+#REF!</f>
        <v>#REF!</v>
      </c>
      <c r="S1655" s="20" t="e">
        <f>S1656+#REF!</f>
        <v>#REF!</v>
      </c>
      <c r="T1655" s="20">
        <f>T1656</f>
        <v>0</v>
      </c>
      <c r="U1655" s="20">
        <f>U1656</f>
        <v>0</v>
      </c>
      <c r="V1655" s="20">
        <f>V1656</f>
        <v>0</v>
      </c>
      <c r="W1655" s="20" t="e">
        <f>W1656+#REF!</f>
        <v>#REF!</v>
      </c>
      <c r="X1655" s="20" t="e">
        <f>X1656+#REF!</f>
        <v>#REF!</v>
      </c>
      <c r="Y1655" s="20">
        <f>Y1656</f>
        <v>0</v>
      </c>
      <c r="Z1655" s="20" t="e">
        <f t="shared" ref="Z1655:Z1722" si="1016">ROUND(Y1655/V1655*100,2)</f>
        <v>#DIV/0!</v>
      </c>
      <c r="AA1655" s="20">
        <f t="shared" si="1008"/>
        <v>19000</v>
      </c>
      <c r="AB1655" s="20">
        <f t="shared" si="1014"/>
        <v>19000</v>
      </c>
      <c r="AC1655" s="20">
        <f t="shared" si="1014"/>
        <v>13341.75</v>
      </c>
      <c r="AD1655" s="20">
        <f t="shared" si="1003"/>
        <v>70.219736842105263</v>
      </c>
      <c r="AE1655" s="20">
        <f t="shared" si="1004"/>
        <v>-2950</v>
      </c>
      <c r="AF1655" s="20">
        <f t="shared" si="1015"/>
        <v>16050</v>
      </c>
      <c r="AG1655" s="20">
        <f t="shared" si="1015"/>
        <v>14000</v>
      </c>
      <c r="AH1655" s="20">
        <f t="shared" si="1015"/>
        <v>14000</v>
      </c>
      <c r="AI1655" s="20">
        <f t="shared" si="1015"/>
        <v>19000</v>
      </c>
      <c r="AJ1655" s="162" t="b">
        <f t="shared" si="984"/>
        <v>1</v>
      </c>
      <c r="AK1655" s="162" t="str">
        <f t="shared" si="985"/>
        <v>PRAZNO</v>
      </c>
      <c r="AL1655" s="173"/>
      <c r="AM1655" s="264"/>
    </row>
    <row r="1656" spans="1:39" ht="15.75" x14ac:dyDescent="0.2">
      <c r="B1656" s="177"/>
      <c r="C1656" s="177">
        <v>42</v>
      </c>
      <c r="D1656" s="177"/>
      <c r="E1656" s="177"/>
      <c r="F1656" s="177"/>
      <c r="G1656" s="177"/>
      <c r="H1656" s="29" t="s">
        <v>212</v>
      </c>
      <c r="I1656" s="18" t="e">
        <f>I1657+#REF!</f>
        <v>#REF!</v>
      </c>
      <c r="J1656" s="18" t="e">
        <f>J1657+#REF!</f>
        <v>#REF!</v>
      </c>
      <c r="K1656" s="18" t="e">
        <f>ROUND(J1656/I1656*100,2)</f>
        <v>#REF!</v>
      </c>
      <c r="L1656" s="18" t="e">
        <f>M1656-I1656</f>
        <v>#REF!</v>
      </c>
      <c r="M1656" s="18" t="e">
        <f>M1657+#REF!</f>
        <v>#REF!</v>
      </c>
      <c r="N1656" s="18" t="e">
        <f>N1657+#REF!</f>
        <v>#REF!</v>
      </c>
      <c r="O1656" s="18" t="e">
        <f>O1657+#REF!</f>
        <v>#REF!</v>
      </c>
      <c r="P1656" s="26" t="e">
        <f>T1656-N1656</f>
        <v>#REF!</v>
      </c>
      <c r="Q1656" s="18" t="e">
        <f>Q1657+#REF!</f>
        <v>#REF!</v>
      </c>
      <c r="R1656" s="18" t="e">
        <f>R1657+#REF!</f>
        <v>#REF!</v>
      </c>
      <c r="S1656" s="18" t="e">
        <f>S1657+#REF!</f>
        <v>#REF!</v>
      </c>
      <c r="T1656" s="18">
        <f>T1657</f>
        <v>0</v>
      </c>
      <c r="U1656" s="18">
        <f>U1657</f>
        <v>0</v>
      </c>
      <c r="V1656" s="18">
        <f>V1657</f>
        <v>0</v>
      </c>
      <c r="W1656" s="18" t="e">
        <f>W1657+#REF!</f>
        <v>#REF!</v>
      </c>
      <c r="X1656" s="18" t="e">
        <f>X1657+#REF!</f>
        <v>#REF!</v>
      </c>
      <c r="Y1656" s="18">
        <f>Y1657</f>
        <v>0</v>
      </c>
      <c r="Z1656" s="18" t="e">
        <f t="shared" si="1016"/>
        <v>#DIV/0!</v>
      </c>
      <c r="AA1656" s="18">
        <f t="shared" si="1008"/>
        <v>19000</v>
      </c>
      <c r="AB1656" s="18">
        <f t="shared" si="1014"/>
        <v>19000</v>
      </c>
      <c r="AC1656" s="18">
        <f t="shared" si="1014"/>
        <v>13341.75</v>
      </c>
      <c r="AD1656" s="18">
        <f t="shared" si="1003"/>
        <v>70.219736842105263</v>
      </c>
      <c r="AE1656" s="18">
        <f t="shared" si="1004"/>
        <v>-2950</v>
      </c>
      <c r="AF1656" s="18">
        <f t="shared" si="1015"/>
        <v>16050</v>
      </c>
      <c r="AG1656" s="18">
        <f t="shared" si="1015"/>
        <v>14000</v>
      </c>
      <c r="AH1656" s="18">
        <f t="shared" si="1015"/>
        <v>14000</v>
      </c>
      <c r="AI1656" s="18">
        <f t="shared" si="1015"/>
        <v>19000</v>
      </c>
      <c r="AJ1656" s="162" t="b">
        <f t="shared" si="984"/>
        <v>1</v>
      </c>
      <c r="AK1656" s="162" t="str">
        <f t="shared" si="985"/>
        <v>PRAZNO</v>
      </c>
      <c r="AM1656" s="264"/>
    </row>
    <row r="1657" spans="1:39" ht="15.75" x14ac:dyDescent="0.2">
      <c r="B1657" s="177"/>
      <c r="C1657" s="177"/>
      <c r="D1657" s="177">
        <v>422</v>
      </c>
      <c r="E1657" s="177"/>
      <c r="F1657" s="177"/>
      <c r="G1657" s="177"/>
      <c r="H1657" s="29" t="s">
        <v>555</v>
      </c>
      <c r="I1657" s="18" t="e">
        <f>#REF!+#REF!</f>
        <v>#REF!</v>
      </c>
      <c r="J1657" s="18" t="e">
        <f>#REF!+#REF!</f>
        <v>#REF!</v>
      </c>
      <c r="K1657" s="18" t="e">
        <f>ROUND(J1657/I1657*100,2)</f>
        <v>#REF!</v>
      </c>
      <c r="L1657" s="18" t="e">
        <f>M1657-I1657</f>
        <v>#REF!</v>
      </c>
      <c r="M1657" s="18" t="e">
        <f>#REF!+#REF!</f>
        <v>#REF!</v>
      </c>
      <c r="N1657" s="18">
        <f>SUM(N1658:N1658)</f>
        <v>0</v>
      </c>
      <c r="O1657" s="18">
        <f>SUM(O1658:O1658)</f>
        <v>0</v>
      </c>
      <c r="P1657" s="26">
        <f>T1657-N1657</f>
        <v>0</v>
      </c>
      <c r="Q1657" s="18">
        <f t="shared" ref="Q1657:X1657" si="1017">SUM(Q1658:Q1658)</f>
        <v>0</v>
      </c>
      <c r="R1657" s="18">
        <f t="shared" si="1017"/>
        <v>0</v>
      </c>
      <c r="S1657" s="18">
        <f t="shared" si="1017"/>
        <v>0</v>
      </c>
      <c r="T1657" s="27">
        <f t="shared" si="1017"/>
        <v>0</v>
      </c>
      <c r="U1657" s="27">
        <f t="shared" si="1017"/>
        <v>0</v>
      </c>
      <c r="V1657" s="18">
        <f>SUM(V1658:V1658)</f>
        <v>0</v>
      </c>
      <c r="W1657" s="18">
        <f t="shared" si="1017"/>
        <v>0</v>
      </c>
      <c r="X1657" s="18">
        <f t="shared" si="1017"/>
        <v>0</v>
      </c>
      <c r="Y1657" s="18">
        <f>SUM(Y1658:Y1658)</f>
        <v>0</v>
      </c>
      <c r="Z1657" s="18" t="e">
        <f t="shared" si="1016"/>
        <v>#DIV/0!</v>
      </c>
      <c r="AA1657" s="18">
        <f t="shared" si="1008"/>
        <v>19000</v>
      </c>
      <c r="AB1657" s="18">
        <f>SUM(AB1658:AB1658)</f>
        <v>19000</v>
      </c>
      <c r="AC1657" s="18">
        <f>SUM(AC1658:AC1658)</f>
        <v>13341.75</v>
      </c>
      <c r="AD1657" s="18">
        <f t="shared" si="1003"/>
        <v>70.219736842105263</v>
      </c>
      <c r="AE1657" s="18">
        <f t="shared" si="1004"/>
        <v>-2950</v>
      </c>
      <c r="AF1657" s="18">
        <f>SUM(AF1658:AF1658)</f>
        <v>16050</v>
      </c>
      <c r="AG1657" s="18">
        <f>SUM(AG1658:AG1658)</f>
        <v>14000</v>
      </c>
      <c r="AH1657" s="18">
        <f>SUM(AH1658:AH1658)</f>
        <v>14000</v>
      </c>
      <c r="AI1657" s="18">
        <f>SUM(AI1658:AI1658)</f>
        <v>19000</v>
      </c>
      <c r="AJ1657" s="162" t="b">
        <f t="shared" si="984"/>
        <v>1</v>
      </c>
      <c r="AK1657" s="162" t="str">
        <f t="shared" si="985"/>
        <v>PRAZNO</v>
      </c>
      <c r="AM1657" s="264"/>
    </row>
    <row r="1658" spans="1:39" ht="15.75" x14ac:dyDescent="0.2">
      <c r="B1658" s="177"/>
      <c r="C1658" s="177"/>
      <c r="D1658" s="177"/>
      <c r="E1658" s="177">
        <v>4221</v>
      </c>
      <c r="F1658" s="176">
        <v>31</v>
      </c>
      <c r="G1658" s="177"/>
      <c r="H1658" s="29" t="s">
        <v>558</v>
      </c>
      <c r="I1658" s="18"/>
      <c r="J1658" s="18"/>
      <c r="K1658" s="18"/>
      <c r="L1658" s="18"/>
      <c r="M1658" s="18"/>
      <c r="N1658" s="18"/>
      <c r="O1658" s="18"/>
      <c r="P1658" s="26"/>
      <c r="Q1658" s="18"/>
      <c r="R1658" s="18"/>
      <c r="S1658" s="18"/>
      <c r="T1658" s="27"/>
      <c r="U1658" s="27"/>
      <c r="V1658" s="18">
        <v>0</v>
      </c>
      <c r="W1658" s="18"/>
      <c r="X1658" s="18"/>
      <c r="Y1658" s="18">
        <v>0</v>
      </c>
      <c r="Z1658" s="18"/>
      <c r="AA1658" s="18">
        <f t="shared" si="1008"/>
        <v>19000</v>
      </c>
      <c r="AB1658" s="18">
        <v>19000</v>
      </c>
      <c r="AC1658" s="18">
        <v>13341.75</v>
      </c>
      <c r="AD1658" s="18">
        <f t="shared" si="1003"/>
        <v>70.219736842105263</v>
      </c>
      <c r="AE1658" s="18">
        <f t="shared" si="1004"/>
        <v>-2950</v>
      </c>
      <c r="AF1658" s="18">
        <v>16050</v>
      </c>
      <c r="AG1658" s="18">
        <v>14000</v>
      </c>
      <c r="AH1658" s="18">
        <v>14000</v>
      </c>
      <c r="AI1658" s="18">
        <v>19000</v>
      </c>
      <c r="AJ1658" s="162" t="b">
        <f t="shared" si="984"/>
        <v>0</v>
      </c>
      <c r="AK1658" s="162" t="str">
        <f t="shared" si="985"/>
        <v>PUNO</v>
      </c>
      <c r="AM1658" s="264"/>
    </row>
    <row r="1659" spans="1:39" ht="15.75" x14ac:dyDescent="0.2">
      <c r="B1659" s="177"/>
      <c r="C1659" s="177"/>
      <c r="D1659" s="177"/>
      <c r="E1659" s="177"/>
      <c r="F1659" s="176"/>
      <c r="G1659" s="177"/>
      <c r="H1659" s="440" t="s">
        <v>940</v>
      </c>
      <c r="I1659" s="18"/>
      <c r="J1659" s="18"/>
      <c r="K1659" s="18"/>
      <c r="L1659" s="18"/>
      <c r="M1659" s="18"/>
      <c r="N1659" s="18"/>
      <c r="O1659" s="18"/>
      <c r="P1659" s="26"/>
      <c r="Q1659" s="18"/>
      <c r="R1659" s="18"/>
      <c r="S1659" s="18"/>
      <c r="T1659" s="27"/>
      <c r="U1659" s="27">
        <f>U1660</f>
        <v>49000</v>
      </c>
      <c r="V1659" s="18"/>
      <c r="W1659" s="18"/>
      <c r="X1659" s="18"/>
      <c r="Y1659" s="18"/>
      <c r="Z1659" s="18"/>
      <c r="AA1659" s="18"/>
      <c r="AB1659" s="18"/>
      <c r="AC1659" s="18"/>
      <c r="AD1659" s="18"/>
      <c r="AE1659" s="18"/>
      <c r="AF1659" s="18"/>
      <c r="AG1659" s="18"/>
      <c r="AH1659" s="18"/>
      <c r="AI1659" s="18"/>
      <c r="AJ1659" s="162" t="b">
        <f t="shared" si="984"/>
        <v>1</v>
      </c>
      <c r="AK1659" s="162" t="str">
        <f t="shared" si="985"/>
        <v>PRAZNO</v>
      </c>
      <c r="AM1659" s="264"/>
    </row>
    <row r="1660" spans="1:39" s="174" customFormat="1" ht="15.75" x14ac:dyDescent="0.2">
      <c r="A1660" s="259"/>
      <c r="B1660" s="172">
        <v>4</v>
      </c>
      <c r="C1660" s="172"/>
      <c r="D1660" s="172"/>
      <c r="E1660" s="172"/>
      <c r="F1660" s="172"/>
      <c r="G1660" s="172"/>
      <c r="H1660" s="14" t="s">
        <v>552</v>
      </c>
      <c r="I1660" s="20"/>
      <c r="J1660" s="20"/>
      <c r="K1660" s="20"/>
      <c r="L1660" s="20"/>
      <c r="M1660" s="20"/>
      <c r="N1660" s="20"/>
      <c r="O1660" s="20"/>
      <c r="P1660" s="55"/>
      <c r="Q1660" s="20"/>
      <c r="R1660" s="20"/>
      <c r="S1660" s="20"/>
      <c r="T1660" s="20"/>
      <c r="U1660" s="20">
        <f>U1661+U1664</f>
        <v>49000</v>
      </c>
      <c r="V1660" s="20"/>
      <c r="W1660" s="20"/>
      <c r="X1660" s="20"/>
      <c r="Y1660" s="20"/>
      <c r="Z1660" s="20"/>
      <c r="AA1660" s="20"/>
      <c r="AB1660" s="20"/>
      <c r="AC1660" s="20"/>
      <c r="AD1660" s="20"/>
      <c r="AE1660" s="20"/>
      <c r="AF1660" s="20"/>
      <c r="AG1660" s="20"/>
      <c r="AH1660" s="20"/>
      <c r="AI1660" s="20"/>
      <c r="AJ1660" s="162" t="b">
        <f t="shared" si="984"/>
        <v>1</v>
      </c>
      <c r="AK1660" s="162" t="str">
        <f t="shared" si="985"/>
        <v>PRAZNO</v>
      </c>
      <c r="AL1660" s="173"/>
      <c r="AM1660" s="264"/>
    </row>
    <row r="1661" spans="1:39" ht="15.75" x14ac:dyDescent="0.2">
      <c r="B1661" s="177"/>
      <c r="C1661" s="177">
        <v>41</v>
      </c>
      <c r="D1661" s="177"/>
      <c r="E1661" s="177"/>
      <c r="F1661" s="176"/>
      <c r="G1661" s="177"/>
      <c r="H1661" s="29" t="s">
        <v>753</v>
      </c>
      <c r="I1661" s="18"/>
      <c r="J1661" s="18"/>
      <c r="K1661" s="18"/>
      <c r="L1661" s="18"/>
      <c r="M1661" s="18"/>
      <c r="N1661" s="18"/>
      <c r="O1661" s="18"/>
      <c r="P1661" s="26"/>
      <c r="Q1661" s="18"/>
      <c r="R1661" s="18"/>
      <c r="S1661" s="18"/>
      <c r="T1661" s="27"/>
      <c r="U1661" s="27">
        <f>U1662</f>
        <v>9478.75</v>
      </c>
      <c r="V1661" s="18"/>
      <c r="W1661" s="18"/>
      <c r="X1661" s="18"/>
      <c r="Y1661" s="18"/>
      <c r="Z1661" s="18"/>
      <c r="AA1661" s="18"/>
      <c r="AB1661" s="18"/>
      <c r="AC1661" s="18"/>
      <c r="AD1661" s="18"/>
      <c r="AE1661" s="18"/>
      <c r="AF1661" s="18"/>
      <c r="AG1661" s="18"/>
      <c r="AH1661" s="18"/>
      <c r="AI1661" s="18"/>
      <c r="AJ1661" s="162" t="b">
        <f t="shared" si="984"/>
        <v>1</v>
      </c>
      <c r="AK1661" s="162" t="str">
        <f t="shared" si="985"/>
        <v>PRAZNO</v>
      </c>
      <c r="AM1661" s="264"/>
    </row>
    <row r="1662" spans="1:39" ht="15.75" x14ac:dyDescent="0.2">
      <c r="B1662" s="177"/>
      <c r="C1662" s="177"/>
      <c r="D1662" s="177">
        <v>412</v>
      </c>
      <c r="E1662" s="177"/>
      <c r="F1662" s="176"/>
      <c r="G1662" s="177"/>
      <c r="H1662" s="29" t="s">
        <v>553</v>
      </c>
      <c r="I1662" s="18"/>
      <c r="J1662" s="18"/>
      <c r="K1662" s="18"/>
      <c r="L1662" s="18"/>
      <c r="M1662" s="18"/>
      <c r="N1662" s="18"/>
      <c r="O1662" s="18"/>
      <c r="P1662" s="26"/>
      <c r="Q1662" s="18"/>
      <c r="R1662" s="18"/>
      <c r="S1662" s="18"/>
      <c r="T1662" s="27"/>
      <c r="U1662" s="27">
        <f>U1663</f>
        <v>9478.75</v>
      </c>
      <c r="V1662" s="18"/>
      <c r="W1662" s="18"/>
      <c r="X1662" s="18"/>
      <c r="Y1662" s="18"/>
      <c r="Z1662" s="18"/>
      <c r="AA1662" s="18"/>
      <c r="AB1662" s="18"/>
      <c r="AC1662" s="18"/>
      <c r="AD1662" s="18"/>
      <c r="AE1662" s="18"/>
      <c r="AF1662" s="18"/>
      <c r="AG1662" s="18"/>
      <c r="AH1662" s="18"/>
      <c r="AI1662" s="18"/>
      <c r="AJ1662" s="162" t="b">
        <f t="shared" si="984"/>
        <v>1</v>
      </c>
      <c r="AK1662" s="162" t="str">
        <f t="shared" si="985"/>
        <v>PRAZNO</v>
      </c>
      <c r="AM1662" s="264"/>
    </row>
    <row r="1663" spans="1:39" ht="15.75" x14ac:dyDescent="0.2">
      <c r="B1663" s="177"/>
      <c r="C1663" s="177"/>
      <c r="D1663" s="177"/>
      <c r="E1663" s="177">
        <v>4123</v>
      </c>
      <c r="F1663" s="176">
        <v>42</v>
      </c>
      <c r="G1663" s="177"/>
      <c r="H1663" s="29" t="s">
        <v>554</v>
      </c>
      <c r="I1663" s="18"/>
      <c r="J1663" s="18"/>
      <c r="K1663" s="18"/>
      <c r="L1663" s="18"/>
      <c r="M1663" s="18"/>
      <c r="N1663" s="18"/>
      <c r="O1663" s="18"/>
      <c r="P1663" s="26"/>
      <c r="Q1663" s="18"/>
      <c r="R1663" s="18"/>
      <c r="S1663" s="18"/>
      <c r="T1663" s="27"/>
      <c r="U1663" s="27">
        <v>9478.75</v>
      </c>
      <c r="V1663" s="18"/>
      <c r="W1663" s="18"/>
      <c r="X1663" s="18"/>
      <c r="Y1663" s="18"/>
      <c r="Z1663" s="18"/>
      <c r="AA1663" s="18"/>
      <c r="AB1663" s="18"/>
      <c r="AC1663" s="18"/>
      <c r="AD1663" s="18"/>
      <c r="AE1663" s="18"/>
      <c r="AF1663" s="18"/>
      <c r="AG1663" s="18"/>
      <c r="AH1663" s="18"/>
      <c r="AI1663" s="18"/>
      <c r="AJ1663" s="162" t="b">
        <f t="shared" si="984"/>
        <v>0</v>
      </c>
      <c r="AK1663" s="162" t="str">
        <f t="shared" si="985"/>
        <v>PUNO</v>
      </c>
      <c r="AM1663" s="264"/>
    </row>
    <row r="1664" spans="1:39" ht="15.75" x14ac:dyDescent="0.2">
      <c r="B1664" s="177"/>
      <c r="C1664" s="177"/>
      <c r="D1664" s="177">
        <v>422</v>
      </c>
      <c r="E1664" s="177"/>
      <c r="F1664" s="176"/>
      <c r="G1664" s="177"/>
      <c r="H1664" s="29" t="s">
        <v>555</v>
      </c>
      <c r="I1664" s="18"/>
      <c r="J1664" s="18"/>
      <c r="K1664" s="18"/>
      <c r="L1664" s="18"/>
      <c r="M1664" s="18"/>
      <c r="N1664" s="18"/>
      <c r="O1664" s="18"/>
      <c r="P1664" s="26"/>
      <c r="Q1664" s="18"/>
      <c r="R1664" s="18"/>
      <c r="S1664" s="18"/>
      <c r="T1664" s="27"/>
      <c r="U1664" s="27">
        <f>SUM(U1665:U1667)</f>
        <v>39521.25</v>
      </c>
      <c r="V1664" s="18"/>
      <c r="W1664" s="18"/>
      <c r="X1664" s="18"/>
      <c r="Y1664" s="18"/>
      <c r="Z1664" s="18"/>
      <c r="AA1664" s="18"/>
      <c r="AB1664" s="18"/>
      <c r="AC1664" s="18"/>
      <c r="AD1664" s="18"/>
      <c r="AE1664" s="18"/>
      <c r="AF1664" s="18"/>
      <c r="AG1664" s="18"/>
      <c r="AH1664" s="18"/>
      <c r="AI1664" s="18"/>
      <c r="AJ1664" s="162" t="b">
        <f t="shared" si="984"/>
        <v>1</v>
      </c>
      <c r="AK1664" s="162" t="str">
        <f t="shared" si="985"/>
        <v>PRAZNO</v>
      </c>
      <c r="AM1664" s="264"/>
    </row>
    <row r="1665" spans="1:39" ht="15.75" x14ac:dyDescent="0.2">
      <c r="B1665" s="177"/>
      <c r="C1665" s="177"/>
      <c r="D1665" s="177"/>
      <c r="E1665" s="177">
        <v>4221</v>
      </c>
      <c r="F1665" s="176">
        <v>42</v>
      </c>
      <c r="G1665" s="177"/>
      <c r="H1665" s="29" t="s">
        <v>558</v>
      </c>
      <c r="I1665" s="18"/>
      <c r="J1665" s="18"/>
      <c r="K1665" s="18"/>
      <c r="L1665" s="18"/>
      <c r="M1665" s="18"/>
      <c r="N1665" s="18"/>
      <c r="O1665" s="18"/>
      <c r="P1665" s="26"/>
      <c r="Q1665" s="18"/>
      <c r="R1665" s="18"/>
      <c r="S1665" s="18"/>
      <c r="T1665" s="27"/>
      <c r="U1665" s="27">
        <v>23522.5</v>
      </c>
      <c r="V1665" s="18"/>
      <c r="W1665" s="18"/>
      <c r="X1665" s="18"/>
      <c r="Y1665" s="18"/>
      <c r="Z1665" s="18"/>
      <c r="AA1665" s="18"/>
      <c r="AB1665" s="18"/>
      <c r="AC1665" s="18"/>
      <c r="AD1665" s="18"/>
      <c r="AE1665" s="18"/>
      <c r="AF1665" s="18"/>
      <c r="AG1665" s="18"/>
      <c r="AH1665" s="18"/>
      <c r="AI1665" s="18"/>
      <c r="AJ1665" s="162" t="b">
        <f t="shared" si="984"/>
        <v>0</v>
      </c>
      <c r="AK1665" s="162" t="str">
        <f t="shared" si="985"/>
        <v>PUNO</v>
      </c>
      <c r="AM1665" s="264"/>
    </row>
    <row r="1666" spans="1:39" ht="15.75" x14ac:dyDescent="0.2">
      <c r="B1666" s="177"/>
      <c r="C1666" s="177"/>
      <c r="D1666" s="177"/>
      <c r="E1666" s="177">
        <v>4222</v>
      </c>
      <c r="F1666" s="176">
        <v>42</v>
      </c>
      <c r="G1666" s="177"/>
      <c r="H1666" s="29" t="s">
        <v>559</v>
      </c>
      <c r="I1666" s="18"/>
      <c r="J1666" s="18"/>
      <c r="K1666" s="18"/>
      <c r="L1666" s="18"/>
      <c r="M1666" s="18"/>
      <c r="N1666" s="18"/>
      <c r="O1666" s="18"/>
      <c r="P1666" s="26"/>
      <c r="Q1666" s="18"/>
      <c r="R1666" s="18"/>
      <c r="S1666" s="18"/>
      <c r="T1666" s="27"/>
      <c r="U1666" s="27">
        <v>1998.75</v>
      </c>
      <c r="V1666" s="18"/>
      <c r="W1666" s="18"/>
      <c r="X1666" s="18"/>
      <c r="Y1666" s="18"/>
      <c r="Z1666" s="18"/>
      <c r="AA1666" s="18"/>
      <c r="AB1666" s="18"/>
      <c r="AC1666" s="18"/>
      <c r="AD1666" s="18"/>
      <c r="AE1666" s="18"/>
      <c r="AF1666" s="18"/>
      <c r="AG1666" s="18"/>
      <c r="AH1666" s="18"/>
      <c r="AI1666" s="18"/>
      <c r="AJ1666" s="162" t="b">
        <f t="shared" si="984"/>
        <v>0</v>
      </c>
      <c r="AK1666" s="162" t="str">
        <f t="shared" si="985"/>
        <v>PUNO</v>
      </c>
      <c r="AM1666" s="264"/>
    </row>
    <row r="1667" spans="1:39" ht="15.75" x14ac:dyDescent="0.2">
      <c r="B1667" s="177"/>
      <c r="C1667" s="177"/>
      <c r="D1667" s="177"/>
      <c r="E1667" s="177">
        <v>4223</v>
      </c>
      <c r="F1667" s="176">
        <v>42</v>
      </c>
      <c r="G1667" s="177"/>
      <c r="H1667" s="29" t="s">
        <v>941</v>
      </c>
      <c r="I1667" s="18"/>
      <c r="J1667" s="18"/>
      <c r="K1667" s="18"/>
      <c r="L1667" s="18"/>
      <c r="M1667" s="18"/>
      <c r="N1667" s="18"/>
      <c r="O1667" s="18"/>
      <c r="P1667" s="26"/>
      <c r="Q1667" s="18"/>
      <c r="R1667" s="18"/>
      <c r="S1667" s="18"/>
      <c r="T1667" s="27"/>
      <c r="U1667" s="27">
        <v>14000</v>
      </c>
      <c r="V1667" s="18"/>
      <c r="W1667" s="18"/>
      <c r="X1667" s="18"/>
      <c r="Y1667" s="18"/>
      <c r="Z1667" s="18"/>
      <c r="AA1667" s="18"/>
      <c r="AB1667" s="18"/>
      <c r="AC1667" s="18"/>
      <c r="AD1667" s="18"/>
      <c r="AE1667" s="18"/>
      <c r="AF1667" s="18"/>
      <c r="AG1667" s="18"/>
      <c r="AH1667" s="18"/>
      <c r="AI1667" s="18"/>
      <c r="AJ1667" s="162" t="b">
        <f t="shared" si="984"/>
        <v>0</v>
      </c>
      <c r="AK1667" s="162" t="str">
        <f t="shared" si="985"/>
        <v>PUNO</v>
      </c>
      <c r="AM1667" s="264"/>
    </row>
    <row r="1668" spans="1:39" ht="15.75" x14ac:dyDescent="0.2">
      <c r="B1668" s="177"/>
      <c r="C1668" s="177"/>
      <c r="D1668" s="177"/>
      <c r="E1668" s="177"/>
      <c r="F1668" s="176"/>
      <c r="G1668" s="176"/>
      <c r="H1668" s="261" t="s">
        <v>824</v>
      </c>
      <c r="I1668" s="18"/>
      <c r="J1668" s="18"/>
      <c r="K1668" s="18"/>
      <c r="L1668" s="18"/>
      <c r="M1668" s="18"/>
      <c r="N1668" s="18"/>
      <c r="O1668" s="18"/>
      <c r="P1668" s="26"/>
      <c r="Q1668" s="18"/>
      <c r="R1668" s="18"/>
      <c r="S1668" s="18"/>
      <c r="T1668" s="27"/>
      <c r="U1668" s="27"/>
      <c r="V1668" s="18"/>
      <c r="W1668" s="18"/>
      <c r="X1668" s="18"/>
      <c r="Y1668" s="18"/>
      <c r="Z1668" s="18"/>
      <c r="AA1668" s="18"/>
      <c r="AB1668" s="18"/>
      <c r="AC1668" s="18"/>
      <c r="AD1668" s="18"/>
      <c r="AE1668" s="18">
        <f t="shared" si="1004"/>
        <v>0</v>
      </c>
      <c r="AF1668" s="18"/>
      <c r="AG1668" s="18"/>
      <c r="AH1668" s="18"/>
      <c r="AI1668" s="18"/>
      <c r="AJ1668" s="162" t="b">
        <f t="shared" si="984"/>
        <v>1</v>
      </c>
      <c r="AK1668" s="162" t="str">
        <f t="shared" si="985"/>
        <v>PRAZNO</v>
      </c>
      <c r="AM1668" s="264"/>
    </row>
    <row r="1669" spans="1:39" s="174" customFormat="1" ht="15.75" x14ac:dyDescent="0.2">
      <c r="A1669" s="259"/>
      <c r="B1669" s="172">
        <v>4</v>
      </c>
      <c r="C1669" s="172"/>
      <c r="D1669" s="172"/>
      <c r="E1669" s="172"/>
      <c r="F1669" s="172"/>
      <c r="G1669" s="172"/>
      <c r="H1669" s="14" t="s">
        <v>552</v>
      </c>
      <c r="I1669" s="20" t="e">
        <f>I1670+#REF!</f>
        <v>#REF!</v>
      </c>
      <c r="J1669" s="20" t="e">
        <f>J1670+#REF!</f>
        <v>#REF!</v>
      </c>
      <c r="K1669" s="20" t="e">
        <f>ROUND(J1669/I1669*100,2)</f>
        <v>#REF!</v>
      </c>
      <c r="L1669" s="20" t="e">
        <f>M1669-I1669</f>
        <v>#REF!</v>
      </c>
      <c r="M1669" s="20" t="e">
        <f>M1670+#REF!</f>
        <v>#REF!</v>
      </c>
      <c r="N1669" s="20" t="e">
        <f>N1670+#REF!</f>
        <v>#REF!</v>
      </c>
      <c r="O1669" s="20" t="e">
        <f>O1670+#REF!</f>
        <v>#REF!</v>
      </c>
      <c r="P1669" s="55" t="e">
        <f>T1669-N1669</f>
        <v>#REF!</v>
      </c>
      <c r="Q1669" s="20" t="e">
        <f>Q1670+#REF!</f>
        <v>#REF!</v>
      </c>
      <c r="R1669" s="20" t="e">
        <f>R1670+#REF!</f>
        <v>#REF!</v>
      </c>
      <c r="S1669" s="20" t="e">
        <f>S1670+#REF!</f>
        <v>#REF!</v>
      </c>
      <c r="T1669" s="20">
        <f>T1670</f>
        <v>0</v>
      </c>
      <c r="U1669" s="20">
        <f>U1670</f>
        <v>0</v>
      </c>
      <c r="V1669" s="20">
        <f>V1670</f>
        <v>0</v>
      </c>
      <c r="W1669" s="20" t="e">
        <f>W1670+#REF!</f>
        <v>#REF!</v>
      </c>
      <c r="X1669" s="20" t="e">
        <f>X1670+#REF!</f>
        <v>#REF!</v>
      </c>
      <c r="Y1669" s="20">
        <f>Y1670</f>
        <v>0</v>
      </c>
      <c r="Z1669" s="18" t="e">
        <f>ROUND(Y1669/V1669*100,2)</f>
        <v>#DIV/0!</v>
      </c>
      <c r="AA1669" s="20">
        <f>AA1670</f>
        <v>0</v>
      </c>
      <c r="AB1669" s="20">
        <f>AB1670</f>
        <v>0</v>
      </c>
      <c r="AC1669" s="20">
        <f>AC1670</f>
        <v>0</v>
      </c>
      <c r="AD1669" s="20"/>
      <c r="AE1669" s="20">
        <f>AE1670</f>
        <v>0</v>
      </c>
      <c r="AF1669" s="20">
        <f>AF1670</f>
        <v>0</v>
      </c>
      <c r="AG1669" s="20">
        <f>AG1670</f>
        <v>300000</v>
      </c>
      <c r="AH1669" s="20">
        <f>AH1670</f>
        <v>0</v>
      </c>
      <c r="AI1669" s="20">
        <f>AI1670</f>
        <v>0</v>
      </c>
      <c r="AJ1669" s="162" t="b">
        <f t="shared" si="984"/>
        <v>1</v>
      </c>
      <c r="AK1669" s="162" t="str">
        <f t="shared" si="985"/>
        <v>PRAZNO</v>
      </c>
      <c r="AL1669" s="173"/>
      <c r="AM1669" s="264"/>
    </row>
    <row r="1670" spans="1:39" ht="15.75" x14ac:dyDescent="0.2">
      <c r="B1670" s="177"/>
      <c r="C1670" s="177">
        <v>42</v>
      </c>
      <c r="D1670" s="177"/>
      <c r="E1670" s="177"/>
      <c r="F1670" s="177"/>
      <c r="G1670" s="177"/>
      <c r="H1670" s="29" t="s">
        <v>212</v>
      </c>
      <c r="I1670" s="18" t="e">
        <f>I1671+I1674</f>
        <v>#REF!</v>
      </c>
      <c r="J1670" s="18" t="e">
        <f>J1671+J1674</f>
        <v>#REF!</v>
      </c>
      <c r="K1670" s="18" t="e">
        <f>ROUND(J1670/I1670*100,2)</f>
        <v>#REF!</v>
      </c>
      <c r="L1670" s="18" t="e">
        <f>M1670-I1670</f>
        <v>#REF!</v>
      </c>
      <c r="M1670" s="18" t="e">
        <f>M1671+M1674</f>
        <v>#REF!</v>
      </c>
      <c r="N1670" s="18">
        <f>N1671+N1674</f>
        <v>0</v>
      </c>
      <c r="O1670" s="18">
        <f>O1671+O1674</f>
        <v>0</v>
      </c>
      <c r="P1670" s="26">
        <f>T1670-N1670</f>
        <v>0</v>
      </c>
      <c r="Q1670" s="18">
        <f t="shared" ref="Q1670:X1670" si="1018">Q1671+Q1674</f>
        <v>0</v>
      </c>
      <c r="R1670" s="18">
        <f t="shared" si="1018"/>
        <v>0</v>
      </c>
      <c r="S1670" s="18">
        <f t="shared" si="1018"/>
        <v>0</v>
      </c>
      <c r="T1670" s="27">
        <f t="shared" si="1018"/>
        <v>0</v>
      </c>
      <c r="U1670" s="27">
        <f>U1671+U1674</f>
        <v>0</v>
      </c>
      <c r="V1670" s="18">
        <f>V1671</f>
        <v>0</v>
      </c>
      <c r="W1670" s="18">
        <f t="shared" si="1018"/>
        <v>200000</v>
      </c>
      <c r="X1670" s="18">
        <f t="shared" si="1018"/>
        <v>200000</v>
      </c>
      <c r="Y1670" s="18">
        <f>Y1671</f>
        <v>0</v>
      </c>
      <c r="Z1670" s="18" t="e">
        <f>ROUND(Y1670/V1670*100,2)</f>
        <v>#DIV/0!</v>
      </c>
      <c r="AA1670" s="18">
        <f>AB1670-V1670</f>
        <v>0</v>
      </c>
      <c r="AB1670" s="18">
        <f>AB1671+AB1674</f>
        <v>0</v>
      </c>
      <c r="AC1670" s="18">
        <f>AC1671+AC1674</f>
        <v>0</v>
      </c>
      <c r="AD1670" s="18"/>
      <c r="AE1670" s="18">
        <f t="shared" ref="AE1670:AI1671" si="1019">AE1671</f>
        <v>0</v>
      </c>
      <c r="AF1670" s="18">
        <f t="shared" si="1019"/>
        <v>0</v>
      </c>
      <c r="AG1670" s="18">
        <f t="shared" si="1019"/>
        <v>300000</v>
      </c>
      <c r="AH1670" s="18">
        <f t="shared" si="1019"/>
        <v>0</v>
      </c>
      <c r="AI1670" s="18">
        <f t="shared" si="1019"/>
        <v>0</v>
      </c>
      <c r="AJ1670" s="162" t="b">
        <f t="shared" si="984"/>
        <v>1</v>
      </c>
      <c r="AK1670" s="162" t="str">
        <f t="shared" si="985"/>
        <v>PRAZNO</v>
      </c>
      <c r="AM1670" s="264"/>
    </row>
    <row r="1671" spans="1:39" ht="15.75" x14ac:dyDescent="0.2">
      <c r="B1671" s="177"/>
      <c r="C1671" s="177"/>
      <c r="D1671" s="177">
        <v>422</v>
      </c>
      <c r="E1671" s="177"/>
      <c r="F1671" s="177"/>
      <c r="G1671" s="177"/>
      <c r="H1671" s="29" t="s">
        <v>555</v>
      </c>
      <c r="I1671" s="18" t="e">
        <f>#REF!+#REF!</f>
        <v>#REF!</v>
      </c>
      <c r="J1671" s="18" t="e">
        <f>#REF!+#REF!</f>
        <v>#REF!</v>
      </c>
      <c r="K1671" s="18" t="e">
        <f>ROUND(J1671/I1671*100,2)</f>
        <v>#REF!</v>
      </c>
      <c r="L1671" s="18" t="e">
        <f>M1671-I1671</f>
        <v>#REF!</v>
      </c>
      <c r="M1671" s="18" t="e">
        <f>#REF!+#REF!</f>
        <v>#REF!</v>
      </c>
      <c r="N1671" s="18">
        <f>SUM(N1672:N1673)</f>
        <v>0</v>
      </c>
      <c r="O1671" s="18">
        <f>SUM(O1672:O1673)</f>
        <v>0</v>
      </c>
      <c r="P1671" s="26">
        <f>T1671-N1671</f>
        <v>0</v>
      </c>
      <c r="Q1671" s="18">
        <f t="shared" ref="Q1671:Y1671" si="1020">SUM(Q1672:Q1673)</f>
        <v>0</v>
      </c>
      <c r="R1671" s="18">
        <f t="shared" si="1020"/>
        <v>0</v>
      </c>
      <c r="S1671" s="18">
        <f t="shared" si="1020"/>
        <v>0</v>
      </c>
      <c r="T1671" s="27">
        <f t="shared" si="1020"/>
        <v>0</v>
      </c>
      <c r="U1671" s="27">
        <f>U1672</f>
        <v>0</v>
      </c>
      <c r="V1671" s="27">
        <f>V1672</f>
        <v>0</v>
      </c>
      <c r="W1671" s="18">
        <f t="shared" si="1020"/>
        <v>100000</v>
      </c>
      <c r="X1671" s="18">
        <f t="shared" si="1020"/>
        <v>100000</v>
      </c>
      <c r="Y1671" s="18">
        <f t="shared" si="1020"/>
        <v>0</v>
      </c>
      <c r="Z1671" s="18" t="e">
        <f>ROUND(Y1671/V1671*100,2)</f>
        <v>#DIV/0!</v>
      </c>
      <c r="AA1671" s="18">
        <f>AB1671-V1671</f>
        <v>0</v>
      </c>
      <c r="AB1671" s="18">
        <f>SUM(AB1672:AB1673)</f>
        <v>0</v>
      </c>
      <c r="AC1671" s="18">
        <f>SUM(AC1672:AC1673)</f>
        <v>0</v>
      </c>
      <c r="AD1671" s="18"/>
      <c r="AE1671" s="18">
        <f t="shared" si="1004"/>
        <v>0</v>
      </c>
      <c r="AF1671" s="18">
        <v>0</v>
      </c>
      <c r="AG1671" s="18">
        <f t="shared" si="1019"/>
        <v>300000</v>
      </c>
      <c r="AH1671" s="18">
        <f t="shared" si="1019"/>
        <v>0</v>
      </c>
      <c r="AI1671" s="18">
        <f t="shared" si="1019"/>
        <v>0</v>
      </c>
      <c r="AJ1671" s="162" t="b">
        <f t="shared" si="984"/>
        <v>1</v>
      </c>
      <c r="AK1671" s="162" t="str">
        <f t="shared" si="985"/>
        <v>PRAZNO</v>
      </c>
      <c r="AM1671" s="264"/>
    </row>
    <row r="1672" spans="1:39" ht="15.75" x14ac:dyDescent="0.2">
      <c r="B1672" s="177"/>
      <c r="C1672" s="177"/>
      <c r="D1672" s="177"/>
      <c r="E1672" s="177">
        <v>4224</v>
      </c>
      <c r="F1672" s="176">
        <v>11</v>
      </c>
      <c r="G1672" s="177"/>
      <c r="H1672" s="29" t="s">
        <v>638</v>
      </c>
      <c r="I1672" s="18"/>
      <c r="J1672" s="18"/>
      <c r="K1672" s="18"/>
      <c r="L1672" s="18"/>
      <c r="M1672" s="18"/>
      <c r="N1672" s="18"/>
      <c r="O1672" s="18"/>
      <c r="P1672" s="26"/>
      <c r="Q1672" s="18"/>
      <c r="R1672" s="18"/>
      <c r="S1672" s="18"/>
      <c r="T1672" s="27"/>
      <c r="U1672" s="27"/>
      <c r="V1672" s="18">
        <v>0</v>
      </c>
      <c r="W1672" s="18"/>
      <c r="X1672" s="18"/>
      <c r="Y1672" s="18">
        <v>0</v>
      </c>
      <c r="Z1672" s="18"/>
      <c r="AA1672" s="18">
        <f>AB1672-V1672</f>
        <v>0</v>
      </c>
      <c r="AB1672" s="18"/>
      <c r="AC1672" s="18"/>
      <c r="AD1672" s="18"/>
      <c r="AE1672" s="18">
        <f t="shared" si="1004"/>
        <v>0</v>
      </c>
      <c r="AF1672" s="18"/>
      <c r="AG1672" s="18">
        <v>300000</v>
      </c>
      <c r="AH1672" s="18">
        <v>0</v>
      </c>
      <c r="AI1672" s="18">
        <v>0</v>
      </c>
      <c r="AJ1672" s="162" t="b">
        <f t="shared" si="984"/>
        <v>0</v>
      </c>
      <c r="AK1672" s="162" t="str">
        <f t="shared" si="985"/>
        <v>PUNO</v>
      </c>
      <c r="AM1672" s="264"/>
    </row>
    <row r="1673" spans="1:39" s="264" customFormat="1" ht="33.75" customHeight="1" x14ac:dyDescent="0.2">
      <c r="A1673" s="259"/>
      <c r="B1673" s="270"/>
      <c r="C1673" s="270"/>
      <c r="D1673" s="270"/>
      <c r="E1673" s="270"/>
      <c r="F1673" s="270"/>
      <c r="G1673" s="270"/>
      <c r="H1673" s="274" t="s">
        <v>248</v>
      </c>
      <c r="I1673" s="273"/>
      <c r="J1673" s="273"/>
      <c r="K1673" s="273"/>
      <c r="L1673" s="273"/>
      <c r="M1673" s="275"/>
      <c r="N1673" s="275"/>
      <c r="O1673" s="275"/>
      <c r="P1673" s="336"/>
      <c r="Q1673" s="275"/>
      <c r="R1673" s="275"/>
      <c r="S1673" s="275"/>
      <c r="T1673" s="275"/>
      <c r="U1673" s="275">
        <f t="shared" ref="U1673:AI1678" si="1021">U1674</f>
        <v>0</v>
      </c>
      <c r="V1673" s="275">
        <f t="shared" si="1021"/>
        <v>0</v>
      </c>
      <c r="W1673" s="275">
        <f t="shared" si="1021"/>
        <v>100000</v>
      </c>
      <c r="X1673" s="275">
        <f t="shared" si="1021"/>
        <v>100000</v>
      </c>
      <c r="Y1673" s="275">
        <f t="shared" si="1021"/>
        <v>0</v>
      </c>
      <c r="Z1673" s="275" t="e">
        <f t="shared" si="1021"/>
        <v>#DIV/0!</v>
      </c>
      <c r="AA1673" s="275">
        <f t="shared" si="1021"/>
        <v>0</v>
      </c>
      <c r="AB1673" s="275">
        <f t="shared" si="1021"/>
        <v>0</v>
      </c>
      <c r="AC1673" s="275">
        <f t="shared" si="1021"/>
        <v>0</v>
      </c>
      <c r="AD1673" s="275"/>
      <c r="AE1673" s="275">
        <f t="shared" si="1004"/>
        <v>10000</v>
      </c>
      <c r="AF1673" s="275">
        <f t="shared" si="1021"/>
        <v>10000</v>
      </c>
      <c r="AG1673" s="275">
        <f t="shared" si="1021"/>
        <v>100000</v>
      </c>
      <c r="AH1673" s="275">
        <f t="shared" si="1021"/>
        <v>110000</v>
      </c>
      <c r="AI1673" s="275">
        <f t="shared" si="1021"/>
        <v>120000</v>
      </c>
      <c r="AJ1673" s="162" t="b">
        <f t="shared" ref="AJ1673:AJ1736" si="1022">ISBLANK(E1673)</f>
        <v>1</v>
      </c>
      <c r="AK1673" s="162" t="str">
        <f t="shared" ref="AK1673:AK1736" si="1023">IF(AJ1673,"PRAZNO","PUNO")</f>
        <v>PRAZNO</v>
      </c>
      <c r="AL1673" s="263"/>
    </row>
    <row r="1674" spans="1:39" s="264" customFormat="1" ht="31.5" x14ac:dyDescent="0.2">
      <c r="A1674" s="259"/>
      <c r="B1674" s="168"/>
      <c r="C1674" s="168"/>
      <c r="D1674" s="168"/>
      <c r="E1674" s="168"/>
      <c r="F1674" s="168"/>
      <c r="G1674" s="168"/>
      <c r="H1674" s="13" t="s">
        <v>320</v>
      </c>
      <c r="I1674" s="169"/>
      <c r="J1674" s="169"/>
      <c r="K1674" s="169"/>
      <c r="L1674" s="169"/>
      <c r="M1674" s="19"/>
      <c r="N1674" s="19"/>
      <c r="O1674" s="19"/>
      <c r="P1674" s="303"/>
      <c r="Q1674" s="19"/>
      <c r="R1674" s="19"/>
      <c r="S1674" s="19"/>
      <c r="T1674" s="19"/>
      <c r="U1674" s="19">
        <f t="shared" si="1021"/>
        <v>0</v>
      </c>
      <c r="V1674" s="19">
        <f t="shared" si="1021"/>
        <v>0</v>
      </c>
      <c r="W1674" s="19">
        <f t="shared" si="1021"/>
        <v>100000</v>
      </c>
      <c r="X1674" s="19">
        <f t="shared" si="1021"/>
        <v>100000</v>
      </c>
      <c r="Y1674" s="19">
        <f t="shared" si="1021"/>
        <v>0</v>
      </c>
      <c r="Z1674" s="19" t="e">
        <f t="shared" si="1021"/>
        <v>#DIV/0!</v>
      </c>
      <c r="AA1674" s="19">
        <f t="shared" si="1021"/>
        <v>0</v>
      </c>
      <c r="AB1674" s="19">
        <f t="shared" si="1021"/>
        <v>0</v>
      </c>
      <c r="AC1674" s="19">
        <f t="shared" si="1021"/>
        <v>0</v>
      </c>
      <c r="AD1674" s="19"/>
      <c r="AE1674" s="19">
        <f t="shared" si="1004"/>
        <v>10000</v>
      </c>
      <c r="AF1674" s="19">
        <f t="shared" si="1021"/>
        <v>10000</v>
      </c>
      <c r="AG1674" s="19">
        <f t="shared" si="1021"/>
        <v>100000</v>
      </c>
      <c r="AH1674" s="19">
        <f t="shared" si="1021"/>
        <v>110000</v>
      </c>
      <c r="AI1674" s="19">
        <f t="shared" si="1021"/>
        <v>120000</v>
      </c>
      <c r="AJ1674" s="162" t="b">
        <f t="shared" si="1022"/>
        <v>1</v>
      </c>
      <c r="AK1674" s="162" t="str">
        <f t="shared" si="1023"/>
        <v>PRAZNO</v>
      </c>
      <c r="AL1674" s="263"/>
    </row>
    <row r="1675" spans="1:39" s="447" customFormat="1" ht="15.75" x14ac:dyDescent="0.25">
      <c r="A1675" s="378"/>
      <c r="B1675" s="260"/>
      <c r="C1675" s="260"/>
      <c r="D1675" s="260"/>
      <c r="E1675" s="260"/>
      <c r="F1675" s="442"/>
      <c r="G1675" s="442"/>
      <c r="H1675" s="261" t="s">
        <v>824</v>
      </c>
      <c r="I1675" s="500"/>
      <c r="J1675" s="500"/>
      <c r="K1675" s="500"/>
      <c r="L1675" s="500"/>
      <c r="M1675" s="500"/>
      <c r="N1675" s="500"/>
      <c r="O1675" s="500"/>
      <c r="P1675" s="342"/>
      <c r="Q1675" s="500"/>
      <c r="R1675" s="500"/>
      <c r="S1675" s="500"/>
      <c r="T1675" s="501"/>
      <c r="U1675" s="501">
        <f t="shared" si="1021"/>
        <v>0</v>
      </c>
      <c r="V1675" s="501">
        <f t="shared" si="1021"/>
        <v>0</v>
      </c>
      <c r="W1675" s="501">
        <f t="shared" si="1021"/>
        <v>100000</v>
      </c>
      <c r="X1675" s="501">
        <f t="shared" si="1021"/>
        <v>100000</v>
      </c>
      <c r="Y1675" s="501">
        <f t="shared" si="1021"/>
        <v>0</v>
      </c>
      <c r="Z1675" s="501" t="e">
        <f t="shared" si="1021"/>
        <v>#DIV/0!</v>
      </c>
      <c r="AA1675" s="501">
        <f t="shared" si="1021"/>
        <v>0</v>
      </c>
      <c r="AB1675" s="501">
        <f t="shared" si="1021"/>
        <v>0</v>
      </c>
      <c r="AC1675" s="501">
        <f t="shared" si="1021"/>
        <v>0</v>
      </c>
      <c r="AD1675" s="501"/>
      <c r="AE1675" s="501">
        <f t="shared" si="1004"/>
        <v>10000</v>
      </c>
      <c r="AF1675" s="501">
        <f t="shared" si="1021"/>
        <v>10000</v>
      </c>
      <c r="AG1675" s="501">
        <f t="shared" si="1021"/>
        <v>100000</v>
      </c>
      <c r="AH1675" s="501">
        <f t="shared" si="1021"/>
        <v>110000</v>
      </c>
      <c r="AI1675" s="501">
        <f t="shared" si="1021"/>
        <v>120000</v>
      </c>
      <c r="AJ1675" s="162" t="b">
        <f t="shared" si="1022"/>
        <v>1</v>
      </c>
      <c r="AK1675" s="162" t="str">
        <f t="shared" si="1023"/>
        <v>PRAZNO</v>
      </c>
      <c r="AL1675" s="446"/>
    </row>
    <row r="1676" spans="1:39" s="174" customFormat="1" ht="15.75" x14ac:dyDescent="0.2">
      <c r="A1676" s="259"/>
      <c r="B1676" s="172">
        <v>3</v>
      </c>
      <c r="C1676" s="172"/>
      <c r="D1676" s="172"/>
      <c r="E1676" s="172"/>
      <c r="F1676" s="220"/>
      <c r="G1676" s="220"/>
      <c r="H1676" s="524" t="s">
        <v>524</v>
      </c>
      <c r="I1676" s="332"/>
      <c r="J1676" s="332"/>
      <c r="K1676" s="332"/>
      <c r="L1676" s="332"/>
      <c r="M1676" s="332"/>
      <c r="N1676" s="332"/>
      <c r="O1676" s="332"/>
      <c r="P1676" s="55"/>
      <c r="Q1676" s="332"/>
      <c r="R1676" s="332"/>
      <c r="S1676" s="332"/>
      <c r="T1676" s="333"/>
      <c r="U1676" s="333">
        <f t="shared" si="1021"/>
        <v>0</v>
      </c>
      <c r="V1676" s="333">
        <f t="shared" si="1021"/>
        <v>0</v>
      </c>
      <c r="W1676" s="333">
        <f t="shared" si="1021"/>
        <v>100000</v>
      </c>
      <c r="X1676" s="333">
        <f t="shared" si="1021"/>
        <v>100000</v>
      </c>
      <c r="Y1676" s="333">
        <f t="shared" si="1021"/>
        <v>0</v>
      </c>
      <c r="Z1676" s="333" t="e">
        <f t="shared" si="1021"/>
        <v>#DIV/0!</v>
      </c>
      <c r="AA1676" s="333">
        <f t="shared" si="1021"/>
        <v>0</v>
      </c>
      <c r="AB1676" s="333">
        <f t="shared" si="1021"/>
        <v>0</v>
      </c>
      <c r="AC1676" s="333">
        <f t="shared" si="1021"/>
        <v>0</v>
      </c>
      <c r="AD1676" s="333"/>
      <c r="AE1676" s="333">
        <f t="shared" si="1004"/>
        <v>10000</v>
      </c>
      <c r="AF1676" s="333">
        <f t="shared" si="1021"/>
        <v>10000</v>
      </c>
      <c r="AG1676" s="333">
        <f t="shared" si="1021"/>
        <v>100000</v>
      </c>
      <c r="AH1676" s="333">
        <f t="shared" si="1021"/>
        <v>110000</v>
      </c>
      <c r="AI1676" s="333">
        <f t="shared" si="1021"/>
        <v>120000</v>
      </c>
      <c r="AJ1676" s="162" t="b">
        <f t="shared" si="1022"/>
        <v>1</v>
      </c>
      <c r="AK1676" s="162" t="str">
        <f t="shared" si="1023"/>
        <v>PRAZNO</v>
      </c>
      <c r="AL1676" s="173"/>
    </row>
    <row r="1677" spans="1:39" s="638" customFormat="1" ht="30" x14ac:dyDescent="0.2">
      <c r="A1677" s="633"/>
      <c r="B1677" s="175"/>
      <c r="C1677" s="175">
        <v>37</v>
      </c>
      <c r="D1677" s="175"/>
      <c r="E1677" s="175"/>
      <c r="F1677" s="650"/>
      <c r="G1677" s="650"/>
      <c r="H1677" s="651" t="s">
        <v>410</v>
      </c>
      <c r="I1677" s="652"/>
      <c r="J1677" s="652"/>
      <c r="K1677" s="652"/>
      <c r="L1677" s="652"/>
      <c r="M1677" s="652"/>
      <c r="N1677" s="652"/>
      <c r="O1677" s="652"/>
      <c r="P1677" s="340"/>
      <c r="Q1677" s="652"/>
      <c r="R1677" s="652"/>
      <c r="S1677" s="652"/>
      <c r="T1677" s="653"/>
      <c r="U1677" s="653">
        <f t="shared" si="1021"/>
        <v>0</v>
      </c>
      <c r="V1677" s="653">
        <f t="shared" si="1021"/>
        <v>0</v>
      </c>
      <c r="W1677" s="653">
        <f t="shared" si="1021"/>
        <v>100000</v>
      </c>
      <c r="X1677" s="653">
        <f t="shared" si="1021"/>
        <v>100000</v>
      </c>
      <c r="Y1677" s="653">
        <f t="shared" si="1021"/>
        <v>0</v>
      </c>
      <c r="Z1677" s="653" t="e">
        <f t="shared" si="1021"/>
        <v>#DIV/0!</v>
      </c>
      <c r="AA1677" s="653">
        <f t="shared" si="1021"/>
        <v>0</v>
      </c>
      <c r="AB1677" s="653">
        <f t="shared" si="1021"/>
        <v>0</v>
      </c>
      <c r="AC1677" s="653">
        <f t="shared" si="1021"/>
        <v>0</v>
      </c>
      <c r="AD1677" s="653"/>
      <c r="AE1677" s="653">
        <f t="shared" si="1004"/>
        <v>10000</v>
      </c>
      <c r="AF1677" s="653">
        <f t="shared" si="1021"/>
        <v>10000</v>
      </c>
      <c r="AG1677" s="653">
        <f t="shared" si="1021"/>
        <v>100000</v>
      </c>
      <c r="AH1677" s="653">
        <f t="shared" si="1021"/>
        <v>110000</v>
      </c>
      <c r="AI1677" s="653">
        <f t="shared" si="1021"/>
        <v>120000</v>
      </c>
      <c r="AJ1677" s="162" t="b">
        <f t="shared" si="1022"/>
        <v>1</v>
      </c>
      <c r="AK1677" s="162" t="str">
        <f t="shared" si="1023"/>
        <v>PRAZNO</v>
      </c>
      <c r="AL1677" s="637"/>
    </row>
    <row r="1678" spans="1:39" s="264" customFormat="1" ht="36.75" customHeight="1" x14ac:dyDescent="0.2">
      <c r="A1678" s="259"/>
      <c r="B1678" s="177"/>
      <c r="C1678" s="177"/>
      <c r="D1678" s="177">
        <v>372</v>
      </c>
      <c r="E1678" s="177"/>
      <c r="F1678" s="265"/>
      <c r="G1678" s="265"/>
      <c r="H1678" s="502" t="s">
        <v>411</v>
      </c>
      <c r="I1678" s="503"/>
      <c r="J1678" s="503"/>
      <c r="K1678" s="503"/>
      <c r="L1678" s="503"/>
      <c r="M1678" s="503"/>
      <c r="N1678" s="503"/>
      <c r="O1678" s="503"/>
      <c r="P1678" s="307"/>
      <c r="Q1678" s="503"/>
      <c r="R1678" s="503"/>
      <c r="S1678" s="503"/>
      <c r="T1678" s="504"/>
      <c r="U1678" s="504">
        <f t="shared" si="1021"/>
        <v>0</v>
      </c>
      <c r="V1678" s="504">
        <f t="shared" si="1021"/>
        <v>0</v>
      </c>
      <c r="W1678" s="504">
        <f t="shared" si="1021"/>
        <v>100000</v>
      </c>
      <c r="X1678" s="504">
        <f t="shared" si="1021"/>
        <v>100000</v>
      </c>
      <c r="Y1678" s="504">
        <f t="shared" si="1021"/>
        <v>0</v>
      </c>
      <c r="Z1678" s="504" t="e">
        <f t="shared" si="1021"/>
        <v>#DIV/0!</v>
      </c>
      <c r="AA1678" s="504">
        <f t="shared" si="1021"/>
        <v>0</v>
      </c>
      <c r="AB1678" s="504">
        <f t="shared" si="1021"/>
        <v>0</v>
      </c>
      <c r="AC1678" s="504">
        <f t="shared" si="1021"/>
        <v>0</v>
      </c>
      <c r="AD1678" s="504"/>
      <c r="AE1678" s="504">
        <f t="shared" si="1004"/>
        <v>10000</v>
      </c>
      <c r="AF1678" s="504">
        <f t="shared" si="1021"/>
        <v>10000</v>
      </c>
      <c r="AG1678" s="504">
        <f t="shared" si="1021"/>
        <v>100000</v>
      </c>
      <c r="AH1678" s="504">
        <f t="shared" si="1021"/>
        <v>110000</v>
      </c>
      <c r="AI1678" s="504">
        <f t="shared" si="1021"/>
        <v>120000</v>
      </c>
      <c r="AJ1678" s="162" t="b">
        <f t="shared" si="1022"/>
        <v>1</v>
      </c>
      <c r="AK1678" s="162" t="str">
        <f t="shared" si="1023"/>
        <v>PRAZNO</v>
      </c>
      <c r="AL1678" s="263"/>
    </row>
    <row r="1679" spans="1:39" ht="15.75" x14ac:dyDescent="0.2">
      <c r="B1679" s="177"/>
      <c r="C1679" s="177"/>
      <c r="D1679" s="177"/>
      <c r="E1679" s="177">
        <v>3722</v>
      </c>
      <c r="F1679" s="176">
        <v>11</v>
      </c>
      <c r="G1679" s="176"/>
      <c r="H1679" s="29" t="s">
        <v>647</v>
      </c>
      <c r="I1679" s="210"/>
      <c r="J1679" s="210"/>
      <c r="K1679" s="210"/>
      <c r="L1679" s="210"/>
      <c r="M1679" s="210"/>
      <c r="N1679" s="210"/>
      <c r="O1679" s="210"/>
      <c r="P1679" s="26"/>
      <c r="Q1679" s="210"/>
      <c r="R1679" s="210"/>
      <c r="S1679" s="210"/>
      <c r="T1679" s="211"/>
      <c r="U1679" s="211"/>
      <c r="V1679" s="211"/>
      <c r="W1679" s="211">
        <v>100000</v>
      </c>
      <c r="X1679" s="211">
        <v>100000</v>
      </c>
      <c r="Y1679" s="211">
        <v>0</v>
      </c>
      <c r="Z1679" s="211" t="e">
        <f t="shared" si="1016"/>
        <v>#DIV/0!</v>
      </c>
      <c r="AA1679" s="211">
        <f t="shared" ref="AA1679:AA1748" si="1024">AB1679-V1679</f>
        <v>0</v>
      </c>
      <c r="AB1679" s="211">
        <v>0</v>
      </c>
      <c r="AC1679" s="211">
        <v>0</v>
      </c>
      <c r="AD1679" s="211"/>
      <c r="AE1679" s="211">
        <f t="shared" si="1004"/>
        <v>10000</v>
      </c>
      <c r="AF1679" s="211">
        <v>10000</v>
      </c>
      <c r="AG1679" s="211">
        <v>100000</v>
      </c>
      <c r="AH1679" s="211">
        <v>110000</v>
      </c>
      <c r="AI1679" s="211">
        <v>120000</v>
      </c>
      <c r="AJ1679" s="162" t="b">
        <f t="shared" si="1022"/>
        <v>0</v>
      </c>
      <c r="AK1679" s="162" t="str">
        <f t="shared" si="1023"/>
        <v>PUNO</v>
      </c>
      <c r="AM1679" s="164"/>
    </row>
    <row r="1680" spans="1:39" s="264" customFormat="1" ht="15.75" x14ac:dyDescent="0.2">
      <c r="A1680" s="259"/>
      <c r="B1680" s="194"/>
      <c r="C1680" s="194"/>
      <c r="D1680" s="194"/>
      <c r="E1680" s="194"/>
      <c r="F1680" s="159"/>
      <c r="G1680" s="159"/>
      <c r="H1680" s="24" t="s">
        <v>650</v>
      </c>
      <c r="I1680" s="196" t="e">
        <f>I1682</f>
        <v>#REF!</v>
      </c>
      <c r="J1680" s="196" t="e">
        <f>J1682</f>
        <v>#REF!</v>
      </c>
      <c r="K1680" s="196" t="e">
        <f>ROUND(J1680/I1680*100,2)</f>
        <v>#REF!</v>
      </c>
      <c r="L1680" s="196" t="e">
        <f>M1680-I1680</f>
        <v>#REF!</v>
      </c>
      <c r="M1680" s="195">
        <f>M1682</f>
        <v>1062519.8799999999</v>
      </c>
      <c r="N1680" s="195">
        <f>N1682</f>
        <v>1110000</v>
      </c>
      <c r="O1680" s="195">
        <f>O1682</f>
        <v>562989.18000000005</v>
      </c>
      <c r="P1680" s="351">
        <f t="shared" ref="P1680:P1746" si="1025">T1680-N1680</f>
        <v>0</v>
      </c>
      <c r="Q1680" s="195">
        <f t="shared" ref="Q1680:X1680" si="1026">Q1682</f>
        <v>1110000</v>
      </c>
      <c r="R1680" s="195">
        <f t="shared" si="1026"/>
        <v>1122900</v>
      </c>
      <c r="S1680" s="195">
        <f t="shared" si="1026"/>
        <v>1154100</v>
      </c>
      <c r="T1680" s="197">
        <f t="shared" si="1026"/>
        <v>1110000</v>
      </c>
      <c r="U1680" s="197">
        <f>U1682</f>
        <v>1895500</v>
      </c>
      <c r="V1680" s="195">
        <f t="shared" si="1026"/>
        <v>1940000</v>
      </c>
      <c r="W1680" s="195">
        <f t="shared" si="1026"/>
        <v>1940000</v>
      </c>
      <c r="X1680" s="195">
        <f t="shared" si="1026"/>
        <v>1990000</v>
      </c>
      <c r="Y1680" s="195">
        <f>Y1682</f>
        <v>611908.94999999995</v>
      </c>
      <c r="Z1680" s="195">
        <f t="shared" si="1016"/>
        <v>31.54</v>
      </c>
      <c r="AA1680" s="195">
        <f t="shared" si="1024"/>
        <v>18215</v>
      </c>
      <c r="AB1680" s="195">
        <f>AB1682</f>
        <v>1958215</v>
      </c>
      <c r="AC1680" s="195">
        <f>AC1682</f>
        <v>1247487.3999999999</v>
      </c>
      <c r="AD1680" s="195">
        <f t="shared" si="1003"/>
        <v>63.705333683992812</v>
      </c>
      <c r="AE1680" s="195">
        <f t="shared" si="1004"/>
        <v>0</v>
      </c>
      <c r="AF1680" s="195">
        <f>AF1682</f>
        <v>1958215</v>
      </c>
      <c r="AG1680" s="195">
        <f>AG1682</f>
        <v>2051000</v>
      </c>
      <c r="AH1680" s="195">
        <f>AH1682</f>
        <v>2070000</v>
      </c>
      <c r="AI1680" s="195">
        <f>AI1682</f>
        <v>2162000</v>
      </c>
      <c r="AJ1680" s="162" t="b">
        <f t="shared" si="1022"/>
        <v>1</v>
      </c>
      <c r="AK1680" s="162" t="str">
        <f t="shared" si="1023"/>
        <v>PRAZNO</v>
      </c>
      <c r="AL1680" s="263"/>
    </row>
    <row r="1681" spans="1:39" s="264" customFormat="1" ht="15.75" x14ac:dyDescent="0.2">
      <c r="A1681" s="259"/>
      <c r="B1681" s="194"/>
      <c r="C1681" s="194"/>
      <c r="D1681" s="194"/>
      <c r="E1681" s="194"/>
      <c r="F1681" s="159"/>
      <c r="G1681" s="159"/>
      <c r="H1681" s="11" t="s">
        <v>814</v>
      </c>
      <c r="I1681" s="196"/>
      <c r="J1681" s="196"/>
      <c r="K1681" s="196" t="e">
        <f>ROUND(J1681/I1681*100,2)</f>
        <v>#DIV/0!</v>
      </c>
      <c r="L1681" s="196"/>
      <c r="M1681" s="195"/>
      <c r="N1681" s="195"/>
      <c r="O1681" s="195"/>
      <c r="P1681" s="351"/>
      <c r="Q1681" s="195"/>
      <c r="R1681" s="195"/>
      <c r="S1681" s="195"/>
      <c r="T1681" s="197"/>
      <c r="U1681" s="197"/>
      <c r="V1681" s="195"/>
      <c r="W1681" s="195"/>
      <c r="X1681" s="195"/>
      <c r="Y1681" s="195"/>
      <c r="Z1681" s="195"/>
      <c r="AA1681" s="195"/>
      <c r="AB1681" s="195"/>
      <c r="AC1681" s="195"/>
      <c r="AD1681" s="195"/>
      <c r="AE1681" s="195">
        <f t="shared" si="1004"/>
        <v>0</v>
      </c>
      <c r="AF1681" s="195"/>
      <c r="AG1681" s="195"/>
      <c r="AH1681" s="195"/>
      <c r="AI1681" s="195"/>
      <c r="AJ1681" s="162" t="b">
        <f t="shared" si="1022"/>
        <v>1</v>
      </c>
      <c r="AK1681" s="162" t="str">
        <f t="shared" si="1023"/>
        <v>PRAZNO</v>
      </c>
      <c r="AL1681" s="263"/>
    </row>
    <row r="1682" spans="1:39" s="264" customFormat="1" ht="15.75" x14ac:dyDescent="0.2">
      <c r="A1682" s="259"/>
      <c r="B1682" s="280"/>
      <c r="C1682" s="280"/>
      <c r="D1682" s="280"/>
      <c r="E1682" s="280"/>
      <c r="F1682" s="280"/>
      <c r="G1682" s="280"/>
      <c r="H1682" s="271" t="s">
        <v>741</v>
      </c>
      <c r="I1682" s="273" t="e">
        <f>I1683+I1690+I1703</f>
        <v>#REF!</v>
      </c>
      <c r="J1682" s="273" t="e">
        <f>J1683+J1690+J1703</f>
        <v>#REF!</v>
      </c>
      <c r="K1682" s="273" t="e">
        <f>ROUND(J1682/I1682*100,2)</f>
        <v>#REF!</v>
      </c>
      <c r="L1682" s="273" t="e">
        <f>M1682-I1682</f>
        <v>#REF!</v>
      </c>
      <c r="M1682" s="273">
        <f>M1683+M1690+M1703</f>
        <v>1062519.8799999999</v>
      </c>
      <c r="N1682" s="304">
        <f>N1683+N1690+N1703</f>
        <v>1110000</v>
      </c>
      <c r="O1682" s="304">
        <f>O1683+O1690+O1703</f>
        <v>562989.18000000005</v>
      </c>
      <c r="P1682" s="336">
        <f t="shared" si="1025"/>
        <v>0</v>
      </c>
      <c r="Q1682" s="273">
        <f t="shared" ref="Q1682:X1682" si="1027">Q1683+Q1690+Q1703</f>
        <v>1110000</v>
      </c>
      <c r="R1682" s="273">
        <f t="shared" si="1027"/>
        <v>1122900</v>
      </c>
      <c r="S1682" s="273">
        <f t="shared" si="1027"/>
        <v>1154100</v>
      </c>
      <c r="T1682" s="336">
        <f t="shared" si="1027"/>
        <v>1110000</v>
      </c>
      <c r="U1682" s="336">
        <f>U1683+U1690+U1703</f>
        <v>1895500</v>
      </c>
      <c r="V1682" s="304">
        <f t="shared" si="1027"/>
        <v>1940000</v>
      </c>
      <c r="W1682" s="304">
        <f t="shared" si="1027"/>
        <v>1940000</v>
      </c>
      <c r="X1682" s="304">
        <f t="shared" si="1027"/>
        <v>1990000</v>
      </c>
      <c r="Y1682" s="304">
        <f>Y1683+Y1690+Y1703</f>
        <v>611908.94999999995</v>
      </c>
      <c r="Z1682" s="304">
        <f t="shared" si="1016"/>
        <v>31.54</v>
      </c>
      <c r="AA1682" s="304">
        <f t="shared" si="1024"/>
        <v>18215</v>
      </c>
      <c r="AB1682" s="304">
        <f>AB1683+AB1690+AB1703</f>
        <v>1958215</v>
      </c>
      <c r="AC1682" s="304">
        <f>AC1683+AC1690+AC1703</f>
        <v>1247487.3999999999</v>
      </c>
      <c r="AD1682" s="304">
        <f t="shared" si="1003"/>
        <v>63.705333683992812</v>
      </c>
      <c r="AE1682" s="304">
        <f t="shared" si="1004"/>
        <v>0</v>
      </c>
      <c r="AF1682" s="304">
        <f>AF1683+AF1690+AF1703</f>
        <v>1958215</v>
      </c>
      <c r="AG1682" s="304">
        <f>AG1683+AG1690+AG1703</f>
        <v>2051000</v>
      </c>
      <c r="AH1682" s="304">
        <f>AH1683+AH1690+AH1703</f>
        <v>2070000</v>
      </c>
      <c r="AI1682" s="304">
        <f>AI1683+AI1690+AI1703</f>
        <v>2162000</v>
      </c>
      <c r="AJ1682" s="162" t="b">
        <f t="shared" si="1022"/>
        <v>1</v>
      </c>
      <c r="AK1682" s="162" t="str">
        <f t="shared" si="1023"/>
        <v>PRAZNO</v>
      </c>
      <c r="AL1682" s="263"/>
    </row>
    <row r="1683" spans="1:39" s="264" customFormat="1" ht="25.5" customHeight="1" x14ac:dyDescent="0.2">
      <c r="A1683" s="259"/>
      <c r="B1683" s="209"/>
      <c r="C1683" s="209"/>
      <c r="D1683" s="209"/>
      <c r="E1683" s="209"/>
      <c r="F1683" s="209"/>
      <c r="G1683" s="209"/>
      <c r="H1683" s="12" t="s">
        <v>597</v>
      </c>
      <c r="I1683" s="169">
        <f xml:space="preserve"> I1685</f>
        <v>225500</v>
      </c>
      <c r="J1683" s="169">
        <f xml:space="preserve"> J1685</f>
        <v>22666.66</v>
      </c>
      <c r="K1683" s="169">
        <f>ROUND(J1683/I1683*100,2)</f>
        <v>10.050000000000001</v>
      </c>
      <c r="L1683" s="169">
        <f>M1683-I1683</f>
        <v>-28219.830000000016</v>
      </c>
      <c r="M1683" s="169">
        <f xml:space="preserve"> M1685</f>
        <v>197280.16999999998</v>
      </c>
      <c r="N1683" s="302">
        <f xml:space="preserve"> N1685</f>
        <v>225500</v>
      </c>
      <c r="O1683" s="302">
        <f xml:space="preserve"> O1685</f>
        <v>56439.020000000004</v>
      </c>
      <c r="P1683" s="303">
        <f t="shared" si="1025"/>
        <v>0</v>
      </c>
      <c r="Q1683" s="169">
        <f t="shared" ref="Q1683:X1683" si="1028" xml:space="preserve"> Q1685</f>
        <v>225500</v>
      </c>
      <c r="R1683" s="169">
        <f t="shared" si="1028"/>
        <v>228000</v>
      </c>
      <c r="S1683" s="169">
        <f t="shared" si="1028"/>
        <v>231000</v>
      </c>
      <c r="T1683" s="303">
        <f t="shared" si="1028"/>
        <v>225500</v>
      </c>
      <c r="U1683" s="303">
        <f xml:space="preserve"> U1685</f>
        <v>225500</v>
      </c>
      <c r="V1683" s="302">
        <f t="shared" si="1028"/>
        <v>250000</v>
      </c>
      <c r="W1683" s="302">
        <f t="shared" si="1028"/>
        <v>250000</v>
      </c>
      <c r="X1683" s="302">
        <f t="shared" si="1028"/>
        <v>250000</v>
      </c>
      <c r="Y1683" s="302">
        <f xml:space="preserve"> Y1685</f>
        <v>55242.19</v>
      </c>
      <c r="Z1683" s="302">
        <f t="shared" si="1016"/>
        <v>22.1</v>
      </c>
      <c r="AA1683" s="302">
        <f t="shared" si="1024"/>
        <v>0</v>
      </c>
      <c r="AB1683" s="302">
        <f xml:space="preserve"> AB1685</f>
        <v>250000</v>
      </c>
      <c r="AC1683" s="302">
        <f xml:space="preserve"> AC1685</f>
        <v>104007.19</v>
      </c>
      <c r="AD1683" s="302">
        <f t="shared" si="1003"/>
        <v>41.602876000000002</v>
      </c>
      <c r="AE1683" s="302">
        <f t="shared" si="1004"/>
        <v>0</v>
      </c>
      <c r="AF1683" s="302">
        <f xml:space="preserve"> AF1685</f>
        <v>250000</v>
      </c>
      <c r="AG1683" s="302">
        <f xml:space="preserve"> AG1685</f>
        <v>215000</v>
      </c>
      <c r="AH1683" s="302">
        <f xml:space="preserve"> AH1685</f>
        <v>209000</v>
      </c>
      <c r="AI1683" s="302">
        <f xml:space="preserve"> AI1685</f>
        <v>201000</v>
      </c>
      <c r="AJ1683" s="162" t="b">
        <f t="shared" si="1022"/>
        <v>1</v>
      </c>
      <c r="AK1683" s="162" t="str">
        <f t="shared" si="1023"/>
        <v>PRAZNO</v>
      </c>
      <c r="AL1683" s="263"/>
    </row>
    <row r="1684" spans="1:39" s="264" customFormat="1" ht="15.75" x14ac:dyDescent="0.2">
      <c r="A1684" s="259"/>
      <c r="B1684" s="177"/>
      <c r="C1684" s="177"/>
      <c r="D1684" s="177"/>
      <c r="E1684" s="177"/>
      <c r="F1684" s="177"/>
      <c r="G1684" s="177"/>
      <c r="H1684" s="441" t="s">
        <v>824</v>
      </c>
      <c r="I1684" s="181"/>
      <c r="J1684" s="181"/>
      <c r="K1684" s="181"/>
      <c r="L1684" s="181"/>
      <c r="M1684" s="181"/>
      <c r="N1684" s="406"/>
      <c r="O1684" s="406"/>
      <c r="P1684" s="445"/>
      <c r="Q1684" s="181"/>
      <c r="R1684" s="181"/>
      <c r="S1684" s="181"/>
      <c r="T1684" s="445"/>
      <c r="U1684" s="445"/>
      <c r="V1684" s="406">
        <f>V1685</f>
        <v>250000</v>
      </c>
      <c r="W1684" s="406">
        <f>W1685</f>
        <v>250000</v>
      </c>
      <c r="X1684" s="406">
        <f>X1685</f>
        <v>250000</v>
      </c>
      <c r="Y1684" s="406">
        <f>Y1685</f>
        <v>55242.19</v>
      </c>
      <c r="Z1684" s="406">
        <f t="shared" si="1016"/>
        <v>22.1</v>
      </c>
      <c r="AA1684" s="406">
        <f t="shared" si="1024"/>
        <v>0</v>
      </c>
      <c r="AB1684" s="406">
        <f>AB1685</f>
        <v>250000</v>
      </c>
      <c r="AC1684" s="406">
        <f>AC1685</f>
        <v>104007.19</v>
      </c>
      <c r="AD1684" s="406">
        <f t="shared" si="1003"/>
        <v>41.602876000000002</v>
      </c>
      <c r="AE1684" s="406">
        <f t="shared" si="1004"/>
        <v>0</v>
      </c>
      <c r="AF1684" s="406">
        <f>AF1685</f>
        <v>250000</v>
      </c>
      <c r="AG1684" s="406">
        <f>AG1685</f>
        <v>215000</v>
      </c>
      <c r="AH1684" s="406">
        <f>AH1685</f>
        <v>209000</v>
      </c>
      <c r="AI1684" s="406">
        <f>AI1685</f>
        <v>201000</v>
      </c>
      <c r="AJ1684" s="162" t="b">
        <f t="shared" si="1022"/>
        <v>1</v>
      </c>
      <c r="AK1684" s="162" t="str">
        <f t="shared" si="1023"/>
        <v>PRAZNO</v>
      </c>
      <c r="AL1684" s="263"/>
    </row>
    <row r="1685" spans="1:39" s="264" customFormat="1" ht="15.75" x14ac:dyDescent="0.2">
      <c r="A1685" s="259"/>
      <c r="B1685" s="172">
        <v>3</v>
      </c>
      <c r="C1685" s="172"/>
      <c r="D1685" s="172"/>
      <c r="E1685" s="172"/>
      <c r="F1685" s="172"/>
      <c r="G1685" s="172"/>
      <c r="H1685" s="14" t="s">
        <v>524</v>
      </c>
      <c r="I1685" s="20">
        <f t="shared" ref="I1685:AI1686" si="1029">I1686</f>
        <v>225500</v>
      </c>
      <c r="J1685" s="20">
        <f t="shared" si="1029"/>
        <v>22666.66</v>
      </c>
      <c r="K1685" s="20">
        <f t="shared" ref="K1685:K1690" si="1030">ROUND(J1685/I1685*100,2)</f>
        <v>10.050000000000001</v>
      </c>
      <c r="L1685" s="20">
        <f t="shared" ref="L1685:L1690" si="1031">M1685-I1685</f>
        <v>-28219.830000000016</v>
      </c>
      <c r="M1685" s="20">
        <f t="shared" si="1029"/>
        <v>197280.16999999998</v>
      </c>
      <c r="N1685" s="20">
        <f t="shared" si="1029"/>
        <v>225500</v>
      </c>
      <c r="O1685" s="20">
        <f t="shared" si="1029"/>
        <v>56439.020000000004</v>
      </c>
      <c r="P1685" s="55">
        <f t="shared" si="1025"/>
        <v>0</v>
      </c>
      <c r="Q1685" s="20">
        <f t="shared" si="1029"/>
        <v>225500</v>
      </c>
      <c r="R1685" s="20">
        <f t="shared" si="1029"/>
        <v>228000</v>
      </c>
      <c r="S1685" s="20">
        <f t="shared" si="1029"/>
        <v>231000</v>
      </c>
      <c r="T1685" s="55">
        <f t="shared" si="1029"/>
        <v>225500</v>
      </c>
      <c r="U1685" s="55">
        <f t="shared" si="1029"/>
        <v>225500</v>
      </c>
      <c r="V1685" s="20">
        <f t="shared" si="1029"/>
        <v>250000</v>
      </c>
      <c r="W1685" s="20">
        <f t="shared" si="1029"/>
        <v>250000</v>
      </c>
      <c r="X1685" s="20">
        <f t="shared" si="1029"/>
        <v>250000</v>
      </c>
      <c r="Y1685" s="20">
        <f t="shared" si="1029"/>
        <v>55242.19</v>
      </c>
      <c r="Z1685" s="20">
        <f t="shared" si="1016"/>
        <v>22.1</v>
      </c>
      <c r="AA1685" s="20">
        <f t="shared" si="1024"/>
        <v>0</v>
      </c>
      <c r="AB1685" s="20">
        <f t="shared" si="1029"/>
        <v>250000</v>
      </c>
      <c r="AC1685" s="20">
        <f t="shared" si="1029"/>
        <v>104007.19</v>
      </c>
      <c r="AD1685" s="20">
        <f t="shared" si="1003"/>
        <v>41.602876000000002</v>
      </c>
      <c r="AE1685" s="20">
        <f t="shared" si="1004"/>
        <v>0</v>
      </c>
      <c r="AF1685" s="20">
        <f t="shared" si="1029"/>
        <v>250000</v>
      </c>
      <c r="AG1685" s="20">
        <f t="shared" si="1029"/>
        <v>215000</v>
      </c>
      <c r="AH1685" s="20">
        <f t="shared" si="1029"/>
        <v>209000</v>
      </c>
      <c r="AI1685" s="20">
        <f t="shared" si="1029"/>
        <v>201000</v>
      </c>
      <c r="AJ1685" s="162" t="b">
        <f t="shared" si="1022"/>
        <v>1</v>
      </c>
      <c r="AK1685" s="162" t="str">
        <f t="shared" si="1023"/>
        <v>PRAZNO</v>
      </c>
      <c r="AL1685" s="263"/>
    </row>
    <row r="1686" spans="1:39" ht="15.75" x14ac:dyDescent="0.2">
      <c r="B1686" s="175"/>
      <c r="C1686" s="212">
        <v>38</v>
      </c>
      <c r="D1686" s="212"/>
      <c r="E1686" s="212"/>
      <c r="F1686" s="212"/>
      <c r="G1686" s="212"/>
      <c r="H1686" s="23" t="s">
        <v>539</v>
      </c>
      <c r="I1686" s="203">
        <f t="shared" si="1029"/>
        <v>225500</v>
      </c>
      <c r="J1686" s="203">
        <f t="shared" si="1029"/>
        <v>22666.66</v>
      </c>
      <c r="K1686" s="203">
        <f t="shared" si="1030"/>
        <v>10.050000000000001</v>
      </c>
      <c r="L1686" s="203">
        <f t="shared" si="1031"/>
        <v>-28219.830000000016</v>
      </c>
      <c r="M1686" s="203">
        <f t="shared" si="1029"/>
        <v>197280.16999999998</v>
      </c>
      <c r="N1686" s="203">
        <f t="shared" si="1029"/>
        <v>225500</v>
      </c>
      <c r="O1686" s="203">
        <f t="shared" si="1029"/>
        <v>56439.020000000004</v>
      </c>
      <c r="P1686" s="204">
        <f t="shared" si="1025"/>
        <v>0</v>
      </c>
      <c r="Q1686" s="203">
        <f t="shared" si="1029"/>
        <v>225500</v>
      </c>
      <c r="R1686" s="203">
        <f t="shared" si="1029"/>
        <v>228000</v>
      </c>
      <c r="S1686" s="203">
        <f t="shared" si="1029"/>
        <v>231000</v>
      </c>
      <c r="T1686" s="204">
        <f t="shared" si="1029"/>
        <v>225500</v>
      </c>
      <c r="U1686" s="204">
        <f t="shared" si="1029"/>
        <v>225500</v>
      </c>
      <c r="V1686" s="203">
        <f t="shared" si="1029"/>
        <v>250000</v>
      </c>
      <c r="W1686" s="203">
        <f t="shared" si="1029"/>
        <v>250000</v>
      </c>
      <c r="X1686" s="203">
        <f t="shared" si="1029"/>
        <v>250000</v>
      </c>
      <c r="Y1686" s="203">
        <f t="shared" si="1029"/>
        <v>55242.19</v>
      </c>
      <c r="Z1686" s="203">
        <f t="shared" si="1016"/>
        <v>22.1</v>
      </c>
      <c r="AA1686" s="203">
        <f t="shared" si="1024"/>
        <v>0</v>
      </c>
      <c r="AB1686" s="203">
        <f t="shared" si="1029"/>
        <v>250000</v>
      </c>
      <c r="AC1686" s="203">
        <f t="shared" si="1029"/>
        <v>104007.19</v>
      </c>
      <c r="AD1686" s="203">
        <f t="shared" si="1003"/>
        <v>41.602876000000002</v>
      </c>
      <c r="AE1686" s="203">
        <f t="shared" si="1004"/>
        <v>0</v>
      </c>
      <c r="AF1686" s="203">
        <f t="shared" si="1029"/>
        <v>250000</v>
      </c>
      <c r="AG1686" s="203">
        <f t="shared" si="1029"/>
        <v>215000</v>
      </c>
      <c r="AH1686" s="203">
        <f t="shared" si="1029"/>
        <v>209000</v>
      </c>
      <c r="AI1686" s="203">
        <f t="shared" si="1029"/>
        <v>201000</v>
      </c>
      <c r="AJ1686" s="162" t="b">
        <f t="shared" si="1022"/>
        <v>1</v>
      </c>
      <c r="AK1686" s="162" t="str">
        <f t="shared" si="1023"/>
        <v>PRAZNO</v>
      </c>
      <c r="AM1686" s="264"/>
    </row>
    <row r="1687" spans="1:39" ht="15.75" x14ac:dyDescent="0.2">
      <c r="B1687" s="177"/>
      <c r="C1687" s="177"/>
      <c r="D1687" s="177">
        <v>381</v>
      </c>
      <c r="E1687" s="177"/>
      <c r="F1687" s="177"/>
      <c r="G1687" s="177"/>
      <c r="H1687" s="16" t="s">
        <v>540</v>
      </c>
      <c r="I1687" s="17">
        <f>SUM(I1688:I1689)</f>
        <v>225500</v>
      </c>
      <c r="J1687" s="17">
        <f>SUM(J1688:J1689)</f>
        <v>22666.66</v>
      </c>
      <c r="K1687" s="17">
        <f t="shared" si="1030"/>
        <v>10.050000000000001</v>
      </c>
      <c r="L1687" s="17">
        <f t="shared" si="1031"/>
        <v>-28219.830000000016</v>
      </c>
      <c r="M1687" s="17">
        <f>SUM(M1688:M1689)</f>
        <v>197280.16999999998</v>
      </c>
      <c r="N1687" s="17">
        <f>SUM(N1688:N1689)</f>
        <v>225500</v>
      </c>
      <c r="O1687" s="17">
        <f>SUM(O1688:O1689)</f>
        <v>56439.020000000004</v>
      </c>
      <c r="P1687" s="26">
        <f t="shared" si="1025"/>
        <v>0</v>
      </c>
      <c r="Q1687" s="17">
        <f t="shared" ref="Q1687:X1687" si="1032">SUM(Q1688:Q1689)</f>
        <v>225500</v>
      </c>
      <c r="R1687" s="17">
        <f t="shared" si="1032"/>
        <v>228000</v>
      </c>
      <c r="S1687" s="17">
        <f t="shared" si="1032"/>
        <v>231000</v>
      </c>
      <c r="T1687" s="26">
        <f t="shared" si="1032"/>
        <v>225500</v>
      </c>
      <c r="U1687" s="26">
        <f>SUM(U1688:U1689)</f>
        <v>225500</v>
      </c>
      <c r="V1687" s="17">
        <f t="shared" si="1032"/>
        <v>250000</v>
      </c>
      <c r="W1687" s="17">
        <f t="shared" si="1032"/>
        <v>250000</v>
      </c>
      <c r="X1687" s="17">
        <f t="shared" si="1032"/>
        <v>250000</v>
      </c>
      <c r="Y1687" s="17">
        <f>SUM(Y1688:Y1689)</f>
        <v>55242.19</v>
      </c>
      <c r="Z1687" s="17">
        <f t="shared" si="1016"/>
        <v>22.1</v>
      </c>
      <c r="AA1687" s="17">
        <f t="shared" si="1024"/>
        <v>0</v>
      </c>
      <c r="AB1687" s="17">
        <f>SUM(AB1688:AB1689)</f>
        <v>250000</v>
      </c>
      <c r="AC1687" s="17">
        <f>SUM(AC1688:AC1689)</f>
        <v>104007.19</v>
      </c>
      <c r="AD1687" s="17">
        <f t="shared" si="1003"/>
        <v>41.602876000000002</v>
      </c>
      <c r="AE1687" s="17">
        <f t="shared" si="1004"/>
        <v>0</v>
      </c>
      <c r="AF1687" s="17">
        <f>SUM(AF1688:AF1689)</f>
        <v>250000</v>
      </c>
      <c r="AG1687" s="17">
        <f>SUM(AG1688:AG1689)</f>
        <v>215000</v>
      </c>
      <c r="AH1687" s="17">
        <f>SUM(AH1688:AH1689)</f>
        <v>209000</v>
      </c>
      <c r="AI1687" s="17">
        <f>SUM(AI1688:AI1689)</f>
        <v>201000</v>
      </c>
      <c r="AJ1687" s="162" t="b">
        <f t="shared" si="1022"/>
        <v>1</v>
      </c>
      <c r="AK1687" s="162" t="str">
        <f t="shared" si="1023"/>
        <v>PRAZNO</v>
      </c>
      <c r="AM1687" s="264"/>
    </row>
    <row r="1688" spans="1:39" ht="30" x14ac:dyDescent="0.2">
      <c r="B1688" s="177"/>
      <c r="C1688" s="177"/>
      <c r="D1688" s="177"/>
      <c r="E1688" s="177">
        <v>3811</v>
      </c>
      <c r="F1688" s="176">
        <v>11</v>
      </c>
      <c r="G1688" s="176">
        <v>10</v>
      </c>
      <c r="H1688" s="16" t="s">
        <v>275</v>
      </c>
      <c r="I1688" s="18">
        <v>136000</v>
      </c>
      <c r="J1688" s="18">
        <v>22666.66</v>
      </c>
      <c r="K1688" s="18">
        <f t="shared" si="1030"/>
        <v>16.670000000000002</v>
      </c>
      <c r="L1688" s="18">
        <f t="shared" si="1031"/>
        <v>0</v>
      </c>
      <c r="M1688" s="18">
        <v>136000</v>
      </c>
      <c r="N1688" s="18">
        <v>136000</v>
      </c>
      <c r="O1688" s="18">
        <v>45333.32</v>
      </c>
      <c r="P1688" s="26">
        <f t="shared" si="1025"/>
        <v>0</v>
      </c>
      <c r="Q1688" s="18">
        <v>136000</v>
      </c>
      <c r="R1688" s="18">
        <v>138000</v>
      </c>
      <c r="S1688" s="18">
        <v>140000</v>
      </c>
      <c r="T1688" s="27">
        <v>136000</v>
      </c>
      <c r="U1688" s="27">
        <v>136000</v>
      </c>
      <c r="V1688" s="27">
        <v>160000</v>
      </c>
      <c r="W1688" s="27">
        <v>195000</v>
      </c>
      <c r="X1688" s="18">
        <v>201000</v>
      </c>
      <c r="Y1688" s="27">
        <v>49122.19</v>
      </c>
      <c r="Z1688" s="27">
        <f t="shared" si="1016"/>
        <v>30.7</v>
      </c>
      <c r="AA1688" s="27">
        <f t="shared" si="1024"/>
        <v>0</v>
      </c>
      <c r="AB1688" s="27">
        <v>160000</v>
      </c>
      <c r="AC1688" s="27">
        <v>87067.19</v>
      </c>
      <c r="AD1688" s="27">
        <f t="shared" si="1003"/>
        <v>54.416993749999996</v>
      </c>
      <c r="AE1688" s="27">
        <f t="shared" si="1004"/>
        <v>0</v>
      </c>
      <c r="AF1688" s="27">
        <v>160000</v>
      </c>
      <c r="AG1688" s="27">
        <v>160000</v>
      </c>
      <c r="AH1688" s="27">
        <v>160000</v>
      </c>
      <c r="AI1688" s="27">
        <v>160000</v>
      </c>
      <c r="AJ1688" s="162" t="b">
        <f t="shared" si="1022"/>
        <v>0</v>
      </c>
      <c r="AK1688" s="162" t="str">
        <f t="shared" si="1023"/>
        <v>PUNO</v>
      </c>
      <c r="AM1688" s="264"/>
    </row>
    <row r="1689" spans="1:39" ht="30" x14ac:dyDescent="0.2">
      <c r="B1689" s="177"/>
      <c r="C1689" s="177"/>
      <c r="D1689" s="177"/>
      <c r="E1689" s="177">
        <v>3811</v>
      </c>
      <c r="F1689" s="176">
        <v>11</v>
      </c>
      <c r="G1689" s="176"/>
      <c r="H1689" s="16" t="s">
        <v>279</v>
      </c>
      <c r="I1689" s="18">
        <v>89500</v>
      </c>
      <c r="J1689" s="18">
        <v>0</v>
      </c>
      <c r="K1689" s="18">
        <f t="shared" si="1030"/>
        <v>0</v>
      </c>
      <c r="L1689" s="18">
        <f t="shared" si="1031"/>
        <v>-28219.83</v>
      </c>
      <c r="M1689" s="18">
        <v>61280.17</v>
      </c>
      <c r="N1689" s="18">
        <v>89500</v>
      </c>
      <c r="O1689" s="18">
        <v>11105.7</v>
      </c>
      <c r="P1689" s="26">
        <f t="shared" si="1025"/>
        <v>0</v>
      </c>
      <c r="Q1689" s="18">
        <v>89500</v>
      </c>
      <c r="R1689" s="18">
        <v>90000</v>
      </c>
      <c r="S1689" s="18">
        <v>91000</v>
      </c>
      <c r="T1689" s="27">
        <v>89500</v>
      </c>
      <c r="U1689" s="27">
        <v>89500</v>
      </c>
      <c r="V1689" s="27">
        <v>90000</v>
      </c>
      <c r="W1689" s="27">
        <v>55000</v>
      </c>
      <c r="X1689" s="27">
        <v>49000</v>
      </c>
      <c r="Y1689" s="27">
        <v>6120</v>
      </c>
      <c r="Z1689" s="27">
        <f t="shared" si="1016"/>
        <v>6.8</v>
      </c>
      <c r="AA1689" s="27">
        <f t="shared" si="1024"/>
        <v>0</v>
      </c>
      <c r="AB1689" s="27">
        <v>90000</v>
      </c>
      <c r="AC1689" s="27">
        <v>16940</v>
      </c>
      <c r="AD1689" s="27">
        <f t="shared" si="1003"/>
        <v>18.822222222222223</v>
      </c>
      <c r="AE1689" s="27">
        <f t="shared" si="1004"/>
        <v>0</v>
      </c>
      <c r="AF1689" s="27">
        <v>90000</v>
      </c>
      <c r="AG1689" s="27">
        <v>55000</v>
      </c>
      <c r="AH1689" s="27">
        <v>49000</v>
      </c>
      <c r="AI1689" s="27">
        <v>41000</v>
      </c>
      <c r="AJ1689" s="162" t="b">
        <f t="shared" si="1022"/>
        <v>0</v>
      </c>
      <c r="AK1689" s="162" t="str">
        <f t="shared" si="1023"/>
        <v>PUNO</v>
      </c>
      <c r="AM1689" s="264"/>
    </row>
    <row r="1690" spans="1:39" s="264" customFormat="1" ht="31.5" x14ac:dyDescent="0.2">
      <c r="A1690" s="259"/>
      <c r="B1690" s="209"/>
      <c r="C1690" s="209"/>
      <c r="D1690" s="209"/>
      <c r="E1690" s="209"/>
      <c r="F1690" s="209"/>
      <c r="G1690" s="209"/>
      <c r="H1690" s="12" t="s">
        <v>598</v>
      </c>
      <c r="I1690" s="169" t="e">
        <f>I1692</f>
        <v>#REF!</v>
      </c>
      <c r="J1690" s="169" t="e">
        <f>J1692</f>
        <v>#REF!</v>
      </c>
      <c r="K1690" s="169" t="e">
        <f t="shared" si="1030"/>
        <v>#REF!</v>
      </c>
      <c r="L1690" s="169" t="e">
        <f t="shared" si="1031"/>
        <v>#REF!</v>
      </c>
      <c r="M1690" s="169">
        <f>M1692</f>
        <v>862000</v>
      </c>
      <c r="N1690" s="302">
        <f>N1692</f>
        <v>864500</v>
      </c>
      <c r="O1690" s="302">
        <f>O1692</f>
        <v>506550.16000000003</v>
      </c>
      <c r="P1690" s="303">
        <f t="shared" si="1025"/>
        <v>0</v>
      </c>
      <c r="Q1690" s="169">
        <f>Q1692</f>
        <v>864500</v>
      </c>
      <c r="R1690" s="169">
        <f>R1692</f>
        <v>874900</v>
      </c>
      <c r="S1690" s="169">
        <f>S1692</f>
        <v>902100</v>
      </c>
      <c r="T1690" s="303">
        <f>T1692</f>
        <v>864500</v>
      </c>
      <c r="U1690" s="302">
        <f t="shared" ref="U1690:AA1690" si="1033">U1692+U1698</f>
        <v>1670000</v>
      </c>
      <c r="V1690" s="302">
        <f t="shared" si="1033"/>
        <v>1670000</v>
      </c>
      <c r="W1690" s="302">
        <f t="shared" si="1033"/>
        <v>1670000</v>
      </c>
      <c r="X1690" s="302">
        <f t="shared" si="1033"/>
        <v>1720000</v>
      </c>
      <c r="Y1690" s="302">
        <f t="shared" si="1033"/>
        <v>556666.76</v>
      </c>
      <c r="Z1690" s="302">
        <f t="shared" si="1033"/>
        <v>99.53</v>
      </c>
      <c r="AA1690" s="302">
        <f t="shared" si="1033"/>
        <v>18215</v>
      </c>
      <c r="AB1690" s="302">
        <f>AB1692+AB1698</f>
        <v>1688215</v>
      </c>
      <c r="AC1690" s="302">
        <f>AC1692+AC1698</f>
        <v>1143480.21</v>
      </c>
      <c r="AD1690" s="302">
        <f t="shared" si="1003"/>
        <v>67.733091460507097</v>
      </c>
      <c r="AE1690" s="302">
        <f t="shared" si="1004"/>
        <v>0</v>
      </c>
      <c r="AF1690" s="302">
        <f>AF1692+AF1698</f>
        <v>1688215</v>
      </c>
      <c r="AG1690" s="302">
        <f>AG1692+AG1698</f>
        <v>1816000</v>
      </c>
      <c r="AH1690" s="302">
        <f>AH1692+AH1698</f>
        <v>1841000</v>
      </c>
      <c r="AI1690" s="302">
        <f>AI1692+AI1698</f>
        <v>1941000</v>
      </c>
      <c r="AJ1690" s="162" t="b">
        <f t="shared" si="1022"/>
        <v>1</v>
      </c>
      <c r="AK1690" s="162" t="str">
        <f t="shared" si="1023"/>
        <v>PRAZNO</v>
      </c>
      <c r="AL1690" s="263"/>
    </row>
    <row r="1691" spans="1:39" s="264" customFormat="1" ht="15.75" x14ac:dyDescent="0.2">
      <c r="A1691" s="259"/>
      <c r="B1691" s="177"/>
      <c r="C1691" s="177"/>
      <c r="D1691" s="177"/>
      <c r="E1691" s="177"/>
      <c r="F1691" s="177"/>
      <c r="G1691" s="177"/>
      <c r="H1691" s="441" t="s">
        <v>824</v>
      </c>
      <c r="I1691" s="181"/>
      <c r="J1691" s="181"/>
      <c r="K1691" s="181"/>
      <c r="L1691" s="181"/>
      <c r="M1691" s="181"/>
      <c r="N1691" s="406"/>
      <c r="O1691" s="406"/>
      <c r="P1691" s="445"/>
      <c r="Q1691" s="181"/>
      <c r="R1691" s="181"/>
      <c r="S1691" s="181"/>
      <c r="T1691" s="445"/>
      <c r="U1691" s="406">
        <f t="shared" ref="U1691:AA1691" si="1034">U1692</f>
        <v>864500</v>
      </c>
      <c r="V1691" s="406">
        <f t="shared" si="1034"/>
        <v>864500</v>
      </c>
      <c r="W1691" s="406">
        <f t="shared" si="1034"/>
        <v>864500</v>
      </c>
      <c r="X1691" s="406">
        <f t="shared" si="1034"/>
        <v>914500</v>
      </c>
      <c r="Y1691" s="406">
        <f t="shared" si="1034"/>
        <v>297200.08</v>
      </c>
      <c r="Z1691" s="406">
        <f t="shared" si="1034"/>
        <v>34.380000000000003</v>
      </c>
      <c r="AA1691" s="406">
        <f t="shared" si="1034"/>
        <v>50465</v>
      </c>
      <c r="AB1691" s="406">
        <f>AB1692</f>
        <v>914965</v>
      </c>
      <c r="AC1691" s="406">
        <f>AC1692</f>
        <v>599220.21</v>
      </c>
      <c r="AD1691" s="406">
        <f t="shared" si="1003"/>
        <v>65.491052663216621</v>
      </c>
      <c r="AE1691" s="406">
        <f t="shared" si="1004"/>
        <v>0</v>
      </c>
      <c r="AF1691" s="406">
        <f>AF1692</f>
        <v>914965</v>
      </c>
      <c r="AG1691" s="406">
        <f>AG1692</f>
        <v>1075000</v>
      </c>
      <c r="AH1691" s="406">
        <f>AH1692</f>
        <v>1100000</v>
      </c>
      <c r="AI1691" s="406">
        <f>AI1692</f>
        <v>1200000</v>
      </c>
      <c r="AJ1691" s="162" t="b">
        <f t="shared" si="1022"/>
        <v>1</v>
      </c>
      <c r="AK1691" s="162" t="str">
        <f t="shared" si="1023"/>
        <v>PRAZNO</v>
      </c>
      <c r="AL1691" s="263"/>
    </row>
    <row r="1692" spans="1:39" s="264" customFormat="1" ht="15.75" x14ac:dyDescent="0.2">
      <c r="A1692" s="259"/>
      <c r="B1692" s="172">
        <v>3</v>
      </c>
      <c r="C1692" s="172"/>
      <c r="D1692" s="172"/>
      <c r="E1692" s="172"/>
      <c r="F1692" s="172"/>
      <c r="G1692" s="172"/>
      <c r="H1692" s="14" t="s">
        <v>524</v>
      </c>
      <c r="I1692" s="20" t="e">
        <f t="shared" ref="I1692:AI1693" si="1035">I1693</f>
        <v>#REF!</v>
      </c>
      <c r="J1692" s="20" t="e">
        <f t="shared" si="1035"/>
        <v>#REF!</v>
      </c>
      <c r="K1692" s="20" t="e">
        <f>ROUND(J1692/I1692*100,2)</f>
        <v>#REF!</v>
      </c>
      <c r="L1692" s="20" t="e">
        <f>M1692-I1692</f>
        <v>#REF!</v>
      </c>
      <c r="M1692" s="20">
        <f t="shared" si="1035"/>
        <v>862000</v>
      </c>
      <c r="N1692" s="20">
        <f t="shared" si="1035"/>
        <v>864500</v>
      </c>
      <c r="O1692" s="20">
        <f t="shared" si="1035"/>
        <v>506550.16000000003</v>
      </c>
      <c r="P1692" s="55">
        <f t="shared" si="1025"/>
        <v>0</v>
      </c>
      <c r="Q1692" s="20">
        <f t="shared" si="1035"/>
        <v>864500</v>
      </c>
      <c r="R1692" s="20">
        <f t="shared" si="1035"/>
        <v>874900</v>
      </c>
      <c r="S1692" s="20">
        <f t="shared" si="1035"/>
        <v>902100</v>
      </c>
      <c r="T1692" s="55">
        <f t="shared" si="1035"/>
        <v>864500</v>
      </c>
      <c r="U1692" s="55">
        <f t="shared" si="1035"/>
        <v>864500</v>
      </c>
      <c r="V1692" s="20">
        <f t="shared" si="1035"/>
        <v>864500</v>
      </c>
      <c r="W1692" s="20">
        <f t="shared" si="1035"/>
        <v>864500</v>
      </c>
      <c r="X1692" s="20">
        <f t="shared" si="1035"/>
        <v>914500</v>
      </c>
      <c r="Y1692" s="20">
        <f t="shared" si="1035"/>
        <v>297200.08</v>
      </c>
      <c r="Z1692" s="20">
        <f t="shared" si="1016"/>
        <v>34.380000000000003</v>
      </c>
      <c r="AA1692" s="20">
        <f t="shared" si="1024"/>
        <v>50465</v>
      </c>
      <c r="AB1692" s="20">
        <f t="shared" si="1035"/>
        <v>914965</v>
      </c>
      <c r="AC1692" s="20">
        <f t="shared" si="1035"/>
        <v>599220.21</v>
      </c>
      <c r="AD1692" s="20">
        <f t="shared" si="1003"/>
        <v>65.491052663216621</v>
      </c>
      <c r="AE1692" s="20">
        <f t="shared" si="1004"/>
        <v>0</v>
      </c>
      <c r="AF1692" s="20">
        <f t="shared" si="1035"/>
        <v>914965</v>
      </c>
      <c r="AG1692" s="20">
        <f t="shared" si="1035"/>
        <v>1075000</v>
      </c>
      <c r="AH1692" s="20">
        <f t="shared" si="1035"/>
        <v>1100000</v>
      </c>
      <c r="AI1692" s="20">
        <f t="shared" si="1035"/>
        <v>1200000</v>
      </c>
      <c r="AJ1692" s="162" t="b">
        <f t="shared" si="1022"/>
        <v>1</v>
      </c>
      <c r="AK1692" s="162" t="str">
        <f t="shared" si="1023"/>
        <v>PRAZNO</v>
      </c>
      <c r="AL1692" s="263"/>
    </row>
    <row r="1693" spans="1:39" ht="15.75" x14ac:dyDescent="0.2">
      <c r="B1693" s="212"/>
      <c r="C1693" s="212">
        <v>38</v>
      </c>
      <c r="D1693" s="212"/>
      <c r="E1693" s="212"/>
      <c r="F1693" s="212"/>
      <c r="G1693" s="212"/>
      <c r="H1693" s="23" t="s">
        <v>539</v>
      </c>
      <c r="I1693" s="203" t="e">
        <f t="shared" si="1035"/>
        <v>#REF!</v>
      </c>
      <c r="J1693" s="203" t="e">
        <f t="shared" si="1035"/>
        <v>#REF!</v>
      </c>
      <c r="K1693" s="203" t="e">
        <f>ROUND(J1693/I1693*100,2)</f>
        <v>#REF!</v>
      </c>
      <c r="L1693" s="203" t="e">
        <f>M1693-I1693</f>
        <v>#REF!</v>
      </c>
      <c r="M1693" s="203">
        <f t="shared" si="1035"/>
        <v>862000</v>
      </c>
      <c r="N1693" s="203">
        <f t="shared" si="1035"/>
        <v>864500</v>
      </c>
      <c r="O1693" s="203">
        <f t="shared" si="1035"/>
        <v>506550.16000000003</v>
      </c>
      <c r="P1693" s="26">
        <f t="shared" si="1025"/>
        <v>0</v>
      </c>
      <c r="Q1693" s="203">
        <f t="shared" si="1035"/>
        <v>864500</v>
      </c>
      <c r="R1693" s="203">
        <f t="shared" si="1035"/>
        <v>874900</v>
      </c>
      <c r="S1693" s="203">
        <f t="shared" si="1035"/>
        <v>902100</v>
      </c>
      <c r="T1693" s="204">
        <f t="shared" si="1035"/>
        <v>864500</v>
      </c>
      <c r="U1693" s="204">
        <f t="shared" si="1035"/>
        <v>864500</v>
      </c>
      <c r="V1693" s="203">
        <f t="shared" si="1035"/>
        <v>864500</v>
      </c>
      <c r="W1693" s="203">
        <f t="shared" si="1035"/>
        <v>864500</v>
      </c>
      <c r="X1693" s="203">
        <f t="shared" si="1035"/>
        <v>914500</v>
      </c>
      <c r="Y1693" s="203">
        <f t="shared" si="1035"/>
        <v>297200.08</v>
      </c>
      <c r="Z1693" s="203">
        <f t="shared" si="1016"/>
        <v>34.380000000000003</v>
      </c>
      <c r="AA1693" s="203">
        <f t="shared" si="1024"/>
        <v>50465</v>
      </c>
      <c r="AB1693" s="203">
        <f t="shared" si="1035"/>
        <v>914965</v>
      </c>
      <c r="AC1693" s="203">
        <f t="shared" si="1035"/>
        <v>599220.21</v>
      </c>
      <c r="AD1693" s="203">
        <f t="shared" si="1003"/>
        <v>65.491052663216621</v>
      </c>
      <c r="AE1693" s="203">
        <f t="shared" si="1004"/>
        <v>0</v>
      </c>
      <c r="AF1693" s="203">
        <f t="shared" si="1035"/>
        <v>914965</v>
      </c>
      <c r="AG1693" s="203">
        <f t="shared" si="1035"/>
        <v>1075000</v>
      </c>
      <c r="AH1693" s="203">
        <f t="shared" si="1035"/>
        <v>1100000</v>
      </c>
      <c r="AI1693" s="203">
        <f t="shared" si="1035"/>
        <v>1200000</v>
      </c>
      <c r="AJ1693" s="162" t="b">
        <f t="shared" si="1022"/>
        <v>1</v>
      </c>
      <c r="AK1693" s="162" t="str">
        <f t="shared" si="1023"/>
        <v>PRAZNO</v>
      </c>
      <c r="AM1693" s="264"/>
    </row>
    <row r="1694" spans="1:39" ht="15.75" x14ac:dyDescent="0.2">
      <c r="B1694" s="212"/>
      <c r="C1694" s="212"/>
      <c r="D1694" s="212">
        <v>381</v>
      </c>
      <c r="E1694" s="212"/>
      <c r="F1694" s="212"/>
      <c r="G1694" s="212"/>
      <c r="H1694" s="23" t="s">
        <v>540</v>
      </c>
      <c r="I1694" s="203" t="e">
        <f>#REF!+I1695</f>
        <v>#REF!</v>
      </c>
      <c r="J1694" s="203" t="e">
        <f>#REF!+J1695</f>
        <v>#REF!</v>
      </c>
      <c r="K1694" s="203" t="e">
        <f>ROUND(J1694/I1694*100,2)</f>
        <v>#REF!</v>
      </c>
      <c r="L1694" s="203" t="e">
        <f>M1694-I1694</f>
        <v>#REF!</v>
      </c>
      <c r="M1694" s="203">
        <f>SUM(M1695:M1696)</f>
        <v>862000</v>
      </c>
      <c r="N1694" s="203">
        <f>SUM(N1695:N1696)</f>
        <v>864500</v>
      </c>
      <c r="O1694" s="203">
        <f>SUM(O1695:O1696)</f>
        <v>506550.16000000003</v>
      </c>
      <c r="P1694" s="26">
        <f t="shared" si="1025"/>
        <v>0</v>
      </c>
      <c r="Q1694" s="203">
        <f t="shared" ref="Q1694:X1694" si="1036">SUM(Q1695:Q1696)</f>
        <v>864500</v>
      </c>
      <c r="R1694" s="203">
        <f t="shared" si="1036"/>
        <v>874900</v>
      </c>
      <c r="S1694" s="203">
        <f t="shared" si="1036"/>
        <v>902100</v>
      </c>
      <c r="T1694" s="204">
        <f t="shared" si="1036"/>
        <v>864500</v>
      </c>
      <c r="U1694" s="204">
        <f>SUM(U1695:U1696)</f>
        <v>864500</v>
      </c>
      <c r="V1694" s="203">
        <f t="shared" si="1036"/>
        <v>864500</v>
      </c>
      <c r="W1694" s="203">
        <f t="shared" si="1036"/>
        <v>864500</v>
      </c>
      <c r="X1694" s="203">
        <f t="shared" si="1036"/>
        <v>914500</v>
      </c>
      <c r="Y1694" s="203">
        <f>SUM(Y1695:Y1696)</f>
        <v>297200.08</v>
      </c>
      <c r="Z1694" s="203">
        <f t="shared" si="1016"/>
        <v>34.380000000000003</v>
      </c>
      <c r="AA1694" s="203">
        <f t="shared" si="1024"/>
        <v>50465</v>
      </c>
      <c r="AB1694" s="203">
        <f>SUM(AB1695:AB1696)</f>
        <v>914965</v>
      </c>
      <c r="AC1694" s="203">
        <f>SUM(AC1695:AC1696)</f>
        <v>599220.21</v>
      </c>
      <c r="AD1694" s="203">
        <f t="shared" si="1003"/>
        <v>65.491052663216621</v>
      </c>
      <c r="AE1694" s="203">
        <f t="shared" si="1004"/>
        <v>0</v>
      </c>
      <c r="AF1694" s="203">
        <f>SUM(AF1695:AF1696)</f>
        <v>914965</v>
      </c>
      <c r="AG1694" s="203">
        <f>SUM(AG1695:AG1696)</f>
        <v>1075000</v>
      </c>
      <c r="AH1694" s="203">
        <f>SUM(AH1695:AH1696)</f>
        <v>1100000</v>
      </c>
      <c r="AI1694" s="203">
        <f>SUM(AI1695:AI1696)</f>
        <v>1200000</v>
      </c>
      <c r="AJ1694" s="162" t="b">
        <f t="shared" si="1022"/>
        <v>1</v>
      </c>
      <c r="AK1694" s="162" t="str">
        <f t="shared" si="1023"/>
        <v>PRAZNO</v>
      </c>
      <c r="AM1694" s="264"/>
    </row>
    <row r="1695" spans="1:39" ht="30" customHeight="1" x14ac:dyDescent="0.2">
      <c r="B1695" s="212"/>
      <c r="C1695" s="212"/>
      <c r="D1695" s="212"/>
      <c r="E1695" s="212">
        <v>3811</v>
      </c>
      <c r="F1695" s="176">
        <v>11</v>
      </c>
      <c r="G1695" s="176">
        <v>10</v>
      </c>
      <c r="H1695" s="23" t="s">
        <v>276</v>
      </c>
      <c r="I1695" s="203">
        <v>952200</v>
      </c>
      <c r="J1695" s="213">
        <v>574666.66</v>
      </c>
      <c r="K1695" s="213">
        <f>ROUND(J1695/I1695*100,2)</f>
        <v>60.35</v>
      </c>
      <c r="L1695" s="213">
        <f>M1695-I1695</f>
        <v>-90200</v>
      </c>
      <c r="M1695" s="213">
        <v>862000</v>
      </c>
      <c r="N1695" s="213">
        <v>664896</v>
      </c>
      <c r="O1695" s="213">
        <v>390114.33</v>
      </c>
      <c r="P1695" s="26">
        <f t="shared" si="1025"/>
        <v>0</v>
      </c>
      <c r="Q1695" s="213">
        <v>664896</v>
      </c>
      <c r="R1695" s="213">
        <v>672900</v>
      </c>
      <c r="S1695" s="213">
        <v>693800</v>
      </c>
      <c r="T1695" s="343">
        <v>664896</v>
      </c>
      <c r="U1695" s="343">
        <v>664896</v>
      </c>
      <c r="V1695" s="343">
        <v>664896</v>
      </c>
      <c r="W1695" s="343">
        <v>664896</v>
      </c>
      <c r="X1695" s="343">
        <v>694896</v>
      </c>
      <c r="Y1695" s="343">
        <v>230665.32</v>
      </c>
      <c r="Z1695" s="343">
        <f t="shared" si="1016"/>
        <v>34.69</v>
      </c>
      <c r="AA1695" s="343">
        <f t="shared" si="1024"/>
        <v>38054</v>
      </c>
      <c r="AB1695" s="343">
        <f>676105+26845</f>
        <v>702950</v>
      </c>
      <c r="AC1695" s="343">
        <v>443264</v>
      </c>
      <c r="AD1695" s="343">
        <f t="shared" si="1003"/>
        <v>63.057685468383241</v>
      </c>
      <c r="AE1695" s="343">
        <f t="shared" si="1004"/>
        <v>0</v>
      </c>
      <c r="AF1695" s="343">
        <f>676105+26845</f>
        <v>702950</v>
      </c>
      <c r="AG1695" s="343">
        <v>780000</v>
      </c>
      <c r="AH1695" s="343">
        <v>800000</v>
      </c>
      <c r="AI1695" s="343">
        <v>850000</v>
      </c>
      <c r="AJ1695" s="162" t="b">
        <f t="shared" si="1022"/>
        <v>0</v>
      </c>
      <c r="AK1695" s="162" t="str">
        <f t="shared" si="1023"/>
        <v>PUNO</v>
      </c>
      <c r="AM1695" s="264"/>
    </row>
    <row r="1696" spans="1:39" ht="31.5" customHeight="1" x14ac:dyDescent="0.2">
      <c r="B1696" s="175"/>
      <c r="C1696" s="175"/>
      <c r="D1696" s="175"/>
      <c r="E1696" s="175">
        <v>3811</v>
      </c>
      <c r="F1696" s="176">
        <v>11</v>
      </c>
      <c r="G1696" s="176"/>
      <c r="H1696" s="23" t="s">
        <v>280</v>
      </c>
      <c r="I1696" s="203"/>
      <c r="J1696" s="213"/>
      <c r="K1696" s="213"/>
      <c r="L1696" s="213"/>
      <c r="M1696" s="213"/>
      <c r="N1696" s="213">
        <v>199604</v>
      </c>
      <c r="O1696" s="213">
        <v>116435.83</v>
      </c>
      <c r="P1696" s="26">
        <f t="shared" si="1025"/>
        <v>0</v>
      </c>
      <c r="Q1696" s="213">
        <v>199604</v>
      </c>
      <c r="R1696" s="213">
        <v>202000</v>
      </c>
      <c r="S1696" s="213">
        <v>208300</v>
      </c>
      <c r="T1696" s="343">
        <v>199604</v>
      </c>
      <c r="U1696" s="343">
        <v>199604</v>
      </c>
      <c r="V1696" s="343">
        <v>199604</v>
      </c>
      <c r="W1696" s="343">
        <v>199604</v>
      </c>
      <c r="X1696" s="343">
        <v>219604</v>
      </c>
      <c r="Y1696" s="343">
        <v>66534.759999999995</v>
      </c>
      <c r="Z1696" s="343">
        <f t="shared" si="1016"/>
        <v>33.33</v>
      </c>
      <c r="AA1696" s="343">
        <f t="shared" si="1024"/>
        <v>12411</v>
      </c>
      <c r="AB1696" s="343">
        <f>206610+5405</f>
        <v>212015</v>
      </c>
      <c r="AC1696" s="343">
        <v>155956.21</v>
      </c>
      <c r="AD1696" s="343">
        <f t="shared" si="1003"/>
        <v>73.559045350564816</v>
      </c>
      <c r="AE1696" s="343">
        <f t="shared" si="1004"/>
        <v>0</v>
      </c>
      <c r="AF1696" s="343">
        <f>206610+5405</f>
        <v>212015</v>
      </c>
      <c r="AG1696" s="343">
        <v>295000</v>
      </c>
      <c r="AH1696" s="343">
        <v>300000</v>
      </c>
      <c r="AI1696" s="343">
        <v>350000</v>
      </c>
      <c r="AJ1696" s="162" t="b">
        <f t="shared" si="1022"/>
        <v>0</v>
      </c>
      <c r="AK1696" s="162" t="str">
        <f t="shared" si="1023"/>
        <v>PUNO</v>
      </c>
      <c r="AM1696" s="264"/>
    </row>
    <row r="1697" spans="1:39" s="453" customFormat="1" ht="19.5" customHeight="1" x14ac:dyDescent="0.25">
      <c r="A1697" s="378"/>
      <c r="B1697" s="475"/>
      <c r="C1697" s="475"/>
      <c r="D1697" s="475"/>
      <c r="E1697" s="475"/>
      <c r="F1697" s="448"/>
      <c r="G1697" s="448"/>
      <c r="H1697" s="441" t="s">
        <v>825</v>
      </c>
      <c r="I1697" s="476"/>
      <c r="J1697" s="406"/>
      <c r="K1697" s="406"/>
      <c r="L1697" s="406"/>
      <c r="M1697" s="406"/>
      <c r="N1697" s="406"/>
      <c r="O1697" s="406"/>
      <c r="P1697" s="202"/>
      <c r="Q1697" s="406"/>
      <c r="R1697" s="406"/>
      <c r="S1697" s="406"/>
      <c r="T1697" s="445"/>
      <c r="U1697" s="445">
        <f t="shared" ref="U1697:AI1699" si="1037">U1698</f>
        <v>805500</v>
      </c>
      <c r="V1697" s="445">
        <f t="shared" si="1037"/>
        <v>805500</v>
      </c>
      <c r="W1697" s="445">
        <f t="shared" si="1037"/>
        <v>805500</v>
      </c>
      <c r="X1697" s="445">
        <f t="shared" si="1037"/>
        <v>805500</v>
      </c>
      <c r="Y1697" s="445">
        <f t="shared" si="1037"/>
        <v>259466.68</v>
      </c>
      <c r="Z1697" s="445">
        <f t="shared" si="1037"/>
        <v>65.150000000000006</v>
      </c>
      <c r="AA1697" s="445">
        <f t="shared" si="1037"/>
        <v>-32250</v>
      </c>
      <c r="AB1697" s="445">
        <f t="shared" si="1037"/>
        <v>773250</v>
      </c>
      <c r="AC1697" s="445">
        <f t="shared" si="1037"/>
        <v>544260</v>
      </c>
      <c r="AD1697" s="445">
        <f t="shared" si="1003"/>
        <v>70.386032977691556</v>
      </c>
      <c r="AE1697" s="445">
        <f t="shared" si="1004"/>
        <v>0</v>
      </c>
      <c r="AF1697" s="445">
        <f t="shared" si="1037"/>
        <v>773250</v>
      </c>
      <c r="AG1697" s="445">
        <f t="shared" si="1037"/>
        <v>741000</v>
      </c>
      <c r="AH1697" s="445">
        <f t="shared" si="1037"/>
        <v>741000</v>
      </c>
      <c r="AI1697" s="445">
        <f t="shared" si="1037"/>
        <v>741000</v>
      </c>
      <c r="AJ1697" s="162" t="b">
        <f t="shared" si="1022"/>
        <v>1</v>
      </c>
      <c r="AK1697" s="162" t="str">
        <f t="shared" si="1023"/>
        <v>PRAZNO</v>
      </c>
      <c r="AL1697" s="452"/>
      <c r="AM1697" s="447"/>
    </row>
    <row r="1698" spans="1:39" s="264" customFormat="1" ht="17.25" customHeight="1" x14ac:dyDescent="0.2">
      <c r="A1698" s="259"/>
      <c r="B1698" s="474">
        <v>3</v>
      </c>
      <c r="C1698" s="474"/>
      <c r="D1698" s="474"/>
      <c r="E1698" s="474"/>
      <c r="F1698" s="220"/>
      <c r="G1698" s="220"/>
      <c r="H1698" s="36" t="s">
        <v>524</v>
      </c>
      <c r="I1698" s="37"/>
      <c r="J1698" s="37"/>
      <c r="K1698" s="37"/>
      <c r="L1698" s="37"/>
      <c r="M1698" s="37"/>
      <c r="N1698" s="37"/>
      <c r="O1698" s="37"/>
      <c r="P1698" s="55"/>
      <c r="Q1698" s="37"/>
      <c r="R1698" s="37"/>
      <c r="S1698" s="37"/>
      <c r="T1698" s="54"/>
      <c r="U1698" s="54">
        <f t="shared" si="1037"/>
        <v>805500</v>
      </c>
      <c r="V1698" s="54">
        <f t="shared" si="1037"/>
        <v>805500</v>
      </c>
      <c r="W1698" s="54">
        <f t="shared" si="1037"/>
        <v>805500</v>
      </c>
      <c r="X1698" s="54">
        <f t="shared" si="1037"/>
        <v>805500</v>
      </c>
      <c r="Y1698" s="54">
        <f t="shared" si="1037"/>
        <v>259466.68</v>
      </c>
      <c r="Z1698" s="54">
        <f t="shared" si="1037"/>
        <v>65.150000000000006</v>
      </c>
      <c r="AA1698" s="54">
        <f t="shared" si="1037"/>
        <v>-32250</v>
      </c>
      <c r="AB1698" s="54">
        <f t="shared" si="1037"/>
        <v>773250</v>
      </c>
      <c r="AC1698" s="54">
        <f t="shared" si="1037"/>
        <v>544260</v>
      </c>
      <c r="AD1698" s="54">
        <f t="shared" si="1003"/>
        <v>70.386032977691556</v>
      </c>
      <c r="AE1698" s="54">
        <f t="shared" si="1004"/>
        <v>0</v>
      </c>
      <c r="AF1698" s="54">
        <f t="shared" si="1037"/>
        <v>773250</v>
      </c>
      <c r="AG1698" s="54">
        <f t="shared" si="1037"/>
        <v>741000</v>
      </c>
      <c r="AH1698" s="54">
        <f t="shared" si="1037"/>
        <v>741000</v>
      </c>
      <c r="AI1698" s="54">
        <f t="shared" si="1037"/>
        <v>741000</v>
      </c>
      <c r="AJ1698" s="162" t="b">
        <f t="shared" si="1022"/>
        <v>1</v>
      </c>
      <c r="AK1698" s="162" t="str">
        <f t="shared" si="1023"/>
        <v>PRAZNO</v>
      </c>
      <c r="AL1698" s="263"/>
    </row>
    <row r="1699" spans="1:39" ht="19.5" customHeight="1" x14ac:dyDescent="0.2">
      <c r="B1699" s="175"/>
      <c r="C1699" s="175">
        <v>38</v>
      </c>
      <c r="D1699" s="175"/>
      <c r="E1699" s="175"/>
      <c r="F1699" s="176"/>
      <c r="G1699" s="176"/>
      <c r="H1699" s="23" t="s">
        <v>539</v>
      </c>
      <c r="I1699" s="203"/>
      <c r="J1699" s="213"/>
      <c r="K1699" s="213"/>
      <c r="L1699" s="213"/>
      <c r="M1699" s="213"/>
      <c r="N1699" s="213"/>
      <c r="O1699" s="213"/>
      <c r="P1699" s="26"/>
      <c r="Q1699" s="213"/>
      <c r="R1699" s="213"/>
      <c r="S1699" s="213"/>
      <c r="T1699" s="343"/>
      <c r="U1699" s="343">
        <f t="shared" si="1037"/>
        <v>805500</v>
      </c>
      <c r="V1699" s="343">
        <f t="shared" si="1037"/>
        <v>805500</v>
      </c>
      <c r="W1699" s="343">
        <f t="shared" si="1037"/>
        <v>805500</v>
      </c>
      <c r="X1699" s="343">
        <f t="shared" si="1037"/>
        <v>805500</v>
      </c>
      <c r="Y1699" s="343">
        <f t="shared" si="1037"/>
        <v>259466.68</v>
      </c>
      <c r="Z1699" s="343">
        <f t="shared" si="1037"/>
        <v>65.150000000000006</v>
      </c>
      <c r="AA1699" s="343">
        <f t="shared" si="1037"/>
        <v>-32250</v>
      </c>
      <c r="AB1699" s="343">
        <f t="shared" si="1037"/>
        <v>773250</v>
      </c>
      <c r="AC1699" s="343">
        <f t="shared" si="1037"/>
        <v>544260</v>
      </c>
      <c r="AD1699" s="343">
        <f t="shared" si="1003"/>
        <v>70.386032977691556</v>
      </c>
      <c r="AE1699" s="343">
        <f t="shared" si="1004"/>
        <v>0</v>
      </c>
      <c r="AF1699" s="343">
        <f t="shared" si="1037"/>
        <v>773250</v>
      </c>
      <c r="AG1699" s="343">
        <f t="shared" si="1037"/>
        <v>741000</v>
      </c>
      <c r="AH1699" s="343">
        <f t="shared" si="1037"/>
        <v>741000</v>
      </c>
      <c r="AI1699" s="343">
        <f t="shared" si="1037"/>
        <v>741000</v>
      </c>
      <c r="AJ1699" s="162" t="b">
        <f t="shared" si="1022"/>
        <v>1</v>
      </c>
      <c r="AK1699" s="162" t="str">
        <f t="shared" si="1023"/>
        <v>PRAZNO</v>
      </c>
      <c r="AM1699" s="264"/>
    </row>
    <row r="1700" spans="1:39" ht="21.75" customHeight="1" x14ac:dyDescent="0.2">
      <c r="B1700" s="175"/>
      <c r="C1700" s="175"/>
      <c r="D1700" s="175">
        <v>381</v>
      </c>
      <c r="E1700" s="175"/>
      <c r="F1700" s="176"/>
      <c r="G1700" s="176"/>
      <c r="H1700" s="23" t="s">
        <v>540</v>
      </c>
      <c r="I1700" s="203"/>
      <c r="J1700" s="213"/>
      <c r="K1700" s="213"/>
      <c r="L1700" s="213"/>
      <c r="M1700" s="213"/>
      <c r="N1700" s="213"/>
      <c r="O1700" s="213"/>
      <c r="P1700" s="26"/>
      <c r="Q1700" s="213"/>
      <c r="R1700" s="213"/>
      <c r="S1700" s="213"/>
      <c r="T1700" s="343"/>
      <c r="U1700" s="343">
        <f t="shared" ref="U1700:AA1700" si="1038">SUM(U1701:U1702)</f>
        <v>805500</v>
      </c>
      <c r="V1700" s="343">
        <f t="shared" si="1038"/>
        <v>805500</v>
      </c>
      <c r="W1700" s="343">
        <f t="shared" si="1038"/>
        <v>805500</v>
      </c>
      <c r="X1700" s="343">
        <f t="shared" si="1038"/>
        <v>805500</v>
      </c>
      <c r="Y1700" s="343">
        <f t="shared" si="1038"/>
        <v>259466.68</v>
      </c>
      <c r="Z1700" s="343">
        <f t="shared" si="1038"/>
        <v>65.150000000000006</v>
      </c>
      <c r="AA1700" s="343">
        <f t="shared" si="1038"/>
        <v>-32250</v>
      </c>
      <c r="AB1700" s="343">
        <f>SUM(AB1701:AB1702)</f>
        <v>773250</v>
      </c>
      <c r="AC1700" s="343">
        <f>SUM(AC1701:AC1702)</f>
        <v>544260</v>
      </c>
      <c r="AD1700" s="343">
        <f t="shared" si="1003"/>
        <v>70.386032977691556</v>
      </c>
      <c r="AE1700" s="343">
        <f t="shared" si="1004"/>
        <v>0</v>
      </c>
      <c r="AF1700" s="343">
        <f>SUM(AF1701:AF1702)</f>
        <v>773250</v>
      </c>
      <c r="AG1700" s="343">
        <f>SUM(AG1701:AG1702)</f>
        <v>741000</v>
      </c>
      <c r="AH1700" s="343">
        <f>SUM(AH1701:AH1702)</f>
        <v>741000</v>
      </c>
      <c r="AI1700" s="343">
        <f>SUM(AI1701:AI1702)</f>
        <v>741000</v>
      </c>
      <c r="AJ1700" s="162" t="b">
        <f t="shared" si="1022"/>
        <v>1</v>
      </c>
      <c r="AK1700" s="162" t="str">
        <f t="shared" si="1023"/>
        <v>PRAZNO</v>
      </c>
      <c r="AM1700" s="264"/>
    </row>
    <row r="1701" spans="1:39" ht="31.5" customHeight="1" x14ac:dyDescent="0.2">
      <c r="B1701" s="175"/>
      <c r="C1701" s="175"/>
      <c r="D1701" s="175"/>
      <c r="E1701" s="175">
        <v>3811</v>
      </c>
      <c r="F1701" s="176">
        <v>52</v>
      </c>
      <c r="G1701" s="176">
        <v>10</v>
      </c>
      <c r="H1701" s="23" t="s">
        <v>276</v>
      </c>
      <c r="I1701" s="203"/>
      <c r="J1701" s="213"/>
      <c r="K1701" s="213"/>
      <c r="L1701" s="213"/>
      <c r="M1701" s="213"/>
      <c r="N1701" s="213"/>
      <c r="O1701" s="213"/>
      <c r="P1701" s="26"/>
      <c r="Q1701" s="213"/>
      <c r="R1701" s="213"/>
      <c r="S1701" s="213"/>
      <c r="T1701" s="343"/>
      <c r="U1701" s="343">
        <v>598500</v>
      </c>
      <c r="V1701" s="343">
        <v>598500</v>
      </c>
      <c r="W1701" s="343">
        <v>598500</v>
      </c>
      <c r="X1701" s="343">
        <v>598500</v>
      </c>
      <c r="Y1701" s="343">
        <v>190466.68</v>
      </c>
      <c r="Z1701" s="343">
        <f t="shared" si="1016"/>
        <v>31.82</v>
      </c>
      <c r="AA1701" s="343">
        <f t="shared" si="1024"/>
        <v>-26845</v>
      </c>
      <c r="AB1701" s="343">
        <f>598500-26845</f>
        <v>571655</v>
      </c>
      <c r="AC1701" s="343">
        <v>391260</v>
      </c>
      <c r="AD1701" s="343">
        <f t="shared" si="1003"/>
        <v>68.443379310948032</v>
      </c>
      <c r="AE1701" s="343">
        <f t="shared" si="1004"/>
        <v>0</v>
      </c>
      <c r="AF1701" s="343">
        <f>598500-26845</f>
        <v>571655</v>
      </c>
      <c r="AG1701" s="343">
        <v>544810</v>
      </c>
      <c r="AH1701" s="343">
        <v>544810</v>
      </c>
      <c r="AI1701" s="343">
        <v>544810</v>
      </c>
      <c r="AJ1701" s="162" t="b">
        <f t="shared" si="1022"/>
        <v>0</v>
      </c>
      <c r="AK1701" s="162" t="str">
        <f t="shared" si="1023"/>
        <v>PUNO</v>
      </c>
      <c r="AM1701" s="264"/>
    </row>
    <row r="1702" spans="1:39" ht="31.5" customHeight="1" x14ac:dyDescent="0.2">
      <c r="B1702" s="175"/>
      <c r="C1702" s="175"/>
      <c r="D1702" s="175"/>
      <c r="E1702" s="175">
        <v>3811</v>
      </c>
      <c r="F1702" s="176">
        <v>52</v>
      </c>
      <c r="G1702" s="176"/>
      <c r="H1702" s="23" t="s">
        <v>280</v>
      </c>
      <c r="I1702" s="203"/>
      <c r="J1702" s="213"/>
      <c r="K1702" s="213"/>
      <c r="L1702" s="213"/>
      <c r="M1702" s="213"/>
      <c r="N1702" s="213"/>
      <c r="O1702" s="213"/>
      <c r="P1702" s="26"/>
      <c r="Q1702" s="213"/>
      <c r="R1702" s="213"/>
      <c r="S1702" s="213"/>
      <c r="T1702" s="343"/>
      <c r="U1702" s="343">
        <v>207000</v>
      </c>
      <c r="V1702" s="343">
        <v>207000</v>
      </c>
      <c r="W1702" s="343">
        <v>207000</v>
      </c>
      <c r="X1702" s="343">
        <v>207000</v>
      </c>
      <c r="Y1702" s="343">
        <v>69000</v>
      </c>
      <c r="Z1702" s="343">
        <f t="shared" si="1016"/>
        <v>33.33</v>
      </c>
      <c r="AA1702" s="343">
        <f t="shared" si="1024"/>
        <v>-5405</v>
      </c>
      <c r="AB1702" s="343">
        <f>207000-5405</f>
        <v>201595</v>
      </c>
      <c r="AC1702" s="343">
        <v>153000</v>
      </c>
      <c r="AD1702" s="343">
        <f t="shared" si="1003"/>
        <v>75.894739452863419</v>
      </c>
      <c r="AE1702" s="343">
        <f t="shared" si="1004"/>
        <v>0</v>
      </c>
      <c r="AF1702" s="343">
        <f>207000-5405</f>
        <v>201595</v>
      </c>
      <c r="AG1702" s="343">
        <v>196190</v>
      </c>
      <c r="AH1702" s="343">
        <v>196190</v>
      </c>
      <c r="AI1702" s="343">
        <v>196190</v>
      </c>
      <c r="AJ1702" s="162" t="b">
        <f t="shared" si="1022"/>
        <v>0</v>
      </c>
      <c r="AK1702" s="162" t="str">
        <f t="shared" si="1023"/>
        <v>PUNO</v>
      </c>
      <c r="AM1702" s="264"/>
    </row>
    <row r="1703" spans="1:39" s="264" customFormat="1" ht="15.75" x14ac:dyDescent="0.2">
      <c r="A1703" s="259"/>
      <c r="B1703" s="209"/>
      <c r="C1703" s="209"/>
      <c r="D1703" s="209"/>
      <c r="E1703" s="209"/>
      <c r="F1703" s="209"/>
      <c r="G1703" s="209"/>
      <c r="H1703" s="12" t="s">
        <v>854</v>
      </c>
      <c r="I1703" s="181">
        <f>I1709+I1705</f>
        <v>40000</v>
      </c>
      <c r="J1703" s="181">
        <f>J1709+J1705</f>
        <v>0</v>
      </c>
      <c r="K1703" s="181">
        <f>ROUND(J1703/I1703*100,2)</f>
        <v>0</v>
      </c>
      <c r="L1703" s="181">
        <f>M1703-I1703</f>
        <v>-36760.29</v>
      </c>
      <c r="M1703" s="181">
        <f>M1709+M1705</f>
        <v>3239.71</v>
      </c>
      <c r="N1703" s="406">
        <f>N1709+N1705</f>
        <v>20000</v>
      </c>
      <c r="O1703" s="406">
        <f>O1709+O1705</f>
        <v>0</v>
      </c>
      <c r="P1703" s="445">
        <f t="shared" si="1025"/>
        <v>0</v>
      </c>
      <c r="Q1703" s="181">
        <f t="shared" ref="Q1703:X1703" si="1039">Q1709+Q1705</f>
        <v>20000</v>
      </c>
      <c r="R1703" s="181">
        <f t="shared" si="1039"/>
        <v>20000</v>
      </c>
      <c r="S1703" s="181">
        <f t="shared" si="1039"/>
        <v>21000</v>
      </c>
      <c r="T1703" s="445">
        <f t="shared" si="1039"/>
        <v>20000</v>
      </c>
      <c r="U1703" s="302">
        <f>U1709+U1705</f>
        <v>0</v>
      </c>
      <c r="V1703" s="302">
        <f t="shared" si="1039"/>
        <v>20000</v>
      </c>
      <c r="W1703" s="302">
        <f t="shared" si="1039"/>
        <v>20000</v>
      </c>
      <c r="X1703" s="302">
        <f t="shared" si="1039"/>
        <v>20000</v>
      </c>
      <c r="Y1703" s="302">
        <f>Y1709+Y1705</f>
        <v>0</v>
      </c>
      <c r="Z1703" s="302">
        <f t="shared" si="1016"/>
        <v>0</v>
      </c>
      <c r="AA1703" s="302">
        <f t="shared" si="1024"/>
        <v>0</v>
      </c>
      <c r="AB1703" s="302">
        <f>AB1709+AB1705</f>
        <v>20000</v>
      </c>
      <c r="AC1703" s="302">
        <f>AC1709+AC1705</f>
        <v>0</v>
      </c>
      <c r="AD1703" s="302">
        <f t="shared" si="1003"/>
        <v>0</v>
      </c>
      <c r="AE1703" s="302">
        <f t="shared" si="1004"/>
        <v>0</v>
      </c>
      <c r="AF1703" s="302">
        <f>AF1709+AF1705</f>
        <v>20000</v>
      </c>
      <c r="AG1703" s="302">
        <f>AG1709+AG1705</f>
        <v>20000</v>
      </c>
      <c r="AH1703" s="302">
        <f>AH1709+AH1705</f>
        <v>20000</v>
      </c>
      <c r="AI1703" s="302">
        <f>AI1709+AI1705</f>
        <v>20000</v>
      </c>
      <c r="AJ1703" s="162" t="b">
        <f t="shared" si="1022"/>
        <v>1</v>
      </c>
      <c r="AK1703" s="162" t="str">
        <f t="shared" si="1023"/>
        <v>PRAZNO</v>
      </c>
      <c r="AL1703" s="263"/>
    </row>
    <row r="1704" spans="1:39" s="264" customFormat="1" ht="15.75" x14ac:dyDescent="0.2">
      <c r="A1704" s="259"/>
      <c r="B1704" s="177"/>
      <c r="C1704" s="177"/>
      <c r="D1704" s="177"/>
      <c r="E1704" s="177"/>
      <c r="F1704" s="177"/>
      <c r="G1704" s="177"/>
      <c r="H1704" s="441" t="s">
        <v>824</v>
      </c>
      <c r="I1704" s="181"/>
      <c r="J1704" s="181"/>
      <c r="K1704" s="181"/>
      <c r="L1704" s="181"/>
      <c r="M1704" s="181"/>
      <c r="N1704" s="406"/>
      <c r="O1704" s="406"/>
      <c r="P1704" s="445"/>
      <c r="Q1704" s="181"/>
      <c r="R1704" s="181"/>
      <c r="S1704" s="181"/>
      <c r="T1704" s="445"/>
      <c r="U1704" s="406"/>
      <c r="V1704" s="406">
        <f>V1705</f>
        <v>20000</v>
      </c>
      <c r="W1704" s="406">
        <f>W1705</f>
        <v>20000</v>
      </c>
      <c r="X1704" s="406">
        <f>X1705</f>
        <v>20000</v>
      </c>
      <c r="Y1704" s="406">
        <f>Y1705</f>
        <v>0</v>
      </c>
      <c r="Z1704" s="406">
        <f t="shared" si="1016"/>
        <v>0</v>
      </c>
      <c r="AA1704" s="406">
        <f t="shared" si="1024"/>
        <v>0</v>
      </c>
      <c r="AB1704" s="406">
        <f>AB1705</f>
        <v>20000</v>
      </c>
      <c r="AC1704" s="406">
        <f>AC1705</f>
        <v>0</v>
      </c>
      <c r="AD1704" s="406">
        <f t="shared" si="1003"/>
        <v>0</v>
      </c>
      <c r="AE1704" s="406">
        <f t="shared" si="1004"/>
        <v>0</v>
      </c>
      <c r="AF1704" s="406">
        <f>AF1705</f>
        <v>20000</v>
      </c>
      <c r="AG1704" s="406">
        <f>AG1705</f>
        <v>20000</v>
      </c>
      <c r="AH1704" s="406">
        <f>AH1705</f>
        <v>20000</v>
      </c>
      <c r="AI1704" s="406">
        <f>AI1705</f>
        <v>20000</v>
      </c>
      <c r="AJ1704" s="162" t="b">
        <f t="shared" si="1022"/>
        <v>1</v>
      </c>
      <c r="AK1704" s="162" t="str">
        <f t="shared" si="1023"/>
        <v>PRAZNO</v>
      </c>
      <c r="AL1704" s="263"/>
    </row>
    <row r="1705" spans="1:39" s="264" customFormat="1" ht="15.75" x14ac:dyDescent="0.2">
      <c r="A1705" s="259"/>
      <c r="B1705" s="172">
        <v>3</v>
      </c>
      <c r="C1705" s="172"/>
      <c r="D1705" s="172"/>
      <c r="E1705" s="172"/>
      <c r="F1705" s="172"/>
      <c r="G1705" s="172"/>
      <c r="H1705" s="14" t="s">
        <v>524</v>
      </c>
      <c r="I1705" s="181">
        <f t="shared" ref="I1705:AI1707" si="1040">I1706</f>
        <v>20000</v>
      </c>
      <c r="J1705" s="181">
        <f t="shared" si="1040"/>
        <v>0</v>
      </c>
      <c r="K1705" s="181">
        <f t="shared" ref="K1705:K1717" si="1041">ROUND(J1705/I1705*100,2)</f>
        <v>0</v>
      </c>
      <c r="L1705" s="181">
        <f t="shared" ref="L1705:L1714" si="1042">M1705-I1705</f>
        <v>-16760.29</v>
      </c>
      <c r="M1705" s="181">
        <f t="shared" si="1040"/>
        <v>3239.71</v>
      </c>
      <c r="N1705" s="181">
        <f t="shared" si="1040"/>
        <v>20000</v>
      </c>
      <c r="O1705" s="181">
        <f t="shared" si="1040"/>
        <v>0</v>
      </c>
      <c r="P1705" s="307">
        <f t="shared" si="1025"/>
        <v>0</v>
      </c>
      <c r="Q1705" s="181">
        <f t="shared" si="1040"/>
        <v>20000</v>
      </c>
      <c r="R1705" s="181">
        <f t="shared" si="1040"/>
        <v>20000</v>
      </c>
      <c r="S1705" s="181">
        <f t="shared" si="1040"/>
        <v>21000</v>
      </c>
      <c r="T1705" s="307">
        <f t="shared" si="1040"/>
        <v>20000</v>
      </c>
      <c r="U1705" s="20">
        <f t="shared" si="1040"/>
        <v>0</v>
      </c>
      <c r="V1705" s="20">
        <f t="shared" si="1040"/>
        <v>20000</v>
      </c>
      <c r="W1705" s="20">
        <f t="shared" si="1040"/>
        <v>20000</v>
      </c>
      <c r="X1705" s="20">
        <f t="shared" si="1040"/>
        <v>20000</v>
      </c>
      <c r="Y1705" s="20">
        <f t="shared" si="1040"/>
        <v>0</v>
      </c>
      <c r="Z1705" s="20">
        <f t="shared" si="1016"/>
        <v>0</v>
      </c>
      <c r="AA1705" s="20">
        <f t="shared" si="1024"/>
        <v>0</v>
      </c>
      <c r="AB1705" s="20">
        <f t="shared" si="1040"/>
        <v>20000</v>
      </c>
      <c r="AC1705" s="20">
        <f t="shared" si="1040"/>
        <v>0</v>
      </c>
      <c r="AD1705" s="20">
        <f t="shared" si="1003"/>
        <v>0</v>
      </c>
      <c r="AE1705" s="20">
        <f t="shared" si="1004"/>
        <v>0</v>
      </c>
      <c r="AF1705" s="20">
        <f t="shared" si="1040"/>
        <v>20000</v>
      </c>
      <c r="AG1705" s="20">
        <f t="shared" si="1040"/>
        <v>20000</v>
      </c>
      <c r="AH1705" s="20">
        <f t="shared" si="1040"/>
        <v>20000</v>
      </c>
      <c r="AI1705" s="20">
        <f t="shared" si="1040"/>
        <v>20000</v>
      </c>
      <c r="AJ1705" s="162" t="b">
        <f t="shared" si="1022"/>
        <v>1</v>
      </c>
      <c r="AK1705" s="162" t="str">
        <f t="shared" si="1023"/>
        <v>PRAZNO</v>
      </c>
      <c r="AL1705" s="263"/>
    </row>
    <row r="1706" spans="1:39" ht="15.75" x14ac:dyDescent="0.2">
      <c r="B1706" s="212"/>
      <c r="C1706" s="212">
        <v>32</v>
      </c>
      <c r="D1706" s="212"/>
      <c r="E1706" s="212"/>
      <c r="F1706" s="212"/>
      <c r="G1706" s="212"/>
      <c r="H1706" s="23" t="s">
        <v>525</v>
      </c>
      <c r="I1706" s="203">
        <f t="shared" si="1040"/>
        <v>20000</v>
      </c>
      <c r="J1706" s="203">
        <f t="shared" si="1040"/>
        <v>0</v>
      </c>
      <c r="K1706" s="203">
        <f t="shared" si="1041"/>
        <v>0</v>
      </c>
      <c r="L1706" s="203">
        <f t="shared" si="1042"/>
        <v>-16760.29</v>
      </c>
      <c r="M1706" s="203">
        <f t="shared" si="1040"/>
        <v>3239.71</v>
      </c>
      <c r="N1706" s="203">
        <f t="shared" si="1040"/>
        <v>20000</v>
      </c>
      <c r="O1706" s="203">
        <f t="shared" si="1040"/>
        <v>0</v>
      </c>
      <c r="P1706" s="26">
        <f t="shared" si="1025"/>
        <v>0</v>
      </c>
      <c r="Q1706" s="203">
        <f t="shared" si="1040"/>
        <v>20000</v>
      </c>
      <c r="R1706" s="203">
        <f t="shared" si="1040"/>
        <v>20000</v>
      </c>
      <c r="S1706" s="203">
        <f t="shared" si="1040"/>
        <v>21000</v>
      </c>
      <c r="T1706" s="204">
        <f t="shared" si="1040"/>
        <v>20000</v>
      </c>
      <c r="U1706" s="204">
        <f t="shared" si="1040"/>
        <v>0</v>
      </c>
      <c r="V1706" s="203">
        <f t="shared" si="1040"/>
        <v>20000</v>
      </c>
      <c r="W1706" s="203">
        <f t="shared" si="1040"/>
        <v>20000</v>
      </c>
      <c r="X1706" s="203">
        <f t="shared" si="1040"/>
        <v>20000</v>
      </c>
      <c r="Y1706" s="203">
        <f t="shared" si="1040"/>
        <v>0</v>
      </c>
      <c r="Z1706" s="203">
        <f t="shared" si="1016"/>
        <v>0</v>
      </c>
      <c r="AA1706" s="203">
        <f t="shared" si="1024"/>
        <v>0</v>
      </c>
      <c r="AB1706" s="203">
        <f t="shared" si="1040"/>
        <v>20000</v>
      </c>
      <c r="AC1706" s="203">
        <f t="shared" si="1040"/>
        <v>0</v>
      </c>
      <c r="AD1706" s="203">
        <f t="shared" si="1003"/>
        <v>0</v>
      </c>
      <c r="AE1706" s="203">
        <f t="shared" si="1004"/>
        <v>0</v>
      </c>
      <c r="AF1706" s="203">
        <f t="shared" si="1040"/>
        <v>20000</v>
      </c>
      <c r="AG1706" s="203">
        <f t="shared" si="1040"/>
        <v>20000</v>
      </c>
      <c r="AH1706" s="203">
        <f t="shared" si="1040"/>
        <v>20000</v>
      </c>
      <c r="AI1706" s="203">
        <f t="shared" si="1040"/>
        <v>20000</v>
      </c>
      <c r="AJ1706" s="162" t="b">
        <f t="shared" si="1022"/>
        <v>1</v>
      </c>
      <c r="AK1706" s="162" t="str">
        <f t="shared" si="1023"/>
        <v>PRAZNO</v>
      </c>
      <c r="AM1706" s="264"/>
    </row>
    <row r="1707" spans="1:39" ht="15.75" x14ac:dyDescent="0.2">
      <c r="B1707" s="212"/>
      <c r="C1707" s="212"/>
      <c r="D1707" s="212">
        <v>323</v>
      </c>
      <c r="E1707" s="212"/>
      <c r="F1707" s="212"/>
      <c r="G1707" s="212"/>
      <c r="H1707" s="23" t="s">
        <v>526</v>
      </c>
      <c r="I1707" s="203">
        <f t="shared" si="1040"/>
        <v>20000</v>
      </c>
      <c r="J1707" s="203">
        <f t="shared" si="1040"/>
        <v>0</v>
      </c>
      <c r="K1707" s="203">
        <f t="shared" si="1041"/>
        <v>0</v>
      </c>
      <c r="L1707" s="203">
        <f t="shared" si="1042"/>
        <v>-16760.29</v>
      </c>
      <c r="M1707" s="203">
        <f t="shared" si="1040"/>
        <v>3239.71</v>
      </c>
      <c r="N1707" s="203">
        <f t="shared" si="1040"/>
        <v>20000</v>
      </c>
      <c r="O1707" s="203">
        <f t="shared" si="1040"/>
        <v>0</v>
      </c>
      <c r="P1707" s="26">
        <f t="shared" si="1025"/>
        <v>0</v>
      </c>
      <c r="Q1707" s="203">
        <f t="shared" si="1040"/>
        <v>20000</v>
      </c>
      <c r="R1707" s="203">
        <f t="shared" si="1040"/>
        <v>20000</v>
      </c>
      <c r="S1707" s="203">
        <f t="shared" si="1040"/>
        <v>21000</v>
      </c>
      <c r="T1707" s="204">
        <f t="shared" si="1040"/>
        <v>20000</v>
      </c>
      <c r="U1707" s="204">
        <f t="shared" si="1040"/>
        <v>0</v>
      </c>
      <c r="V1707" s="203">
        <f t="shared" si="1040"/>
        <v>20000</v>
      </c>
      <c r="W1707" s="203">
        <f t="shared" si="1040"/>
        <v>20000</v>
      </c>
      <c r="X1707" s="203">
        <f t="shared" si="1040"/>
        <v>20000</v>
      </c>
      <c r="Y1707" s="203">
        <f t="shared" si="1040"/>
        <v>0</v>
      </c>
      <c r="Z1707" s="203">
        <f t="shared" si="1016"/>
        <v>0</v>
      </c>
      <c r="AA1707" s="203">
        <f t="shared" si="1024"/>
        <v>0</v>
      </c>
      <c r="AB1707" s="203">
        <f t="shared" si="1040"/>
        <v>20000</v>
      </c>
      <c r="AC1707" s="203">
        <f t="shared" si="1040"/>
        <v>0</v>
      </c>
      <c r="AD1707" s="203">
        <f t="shared" si="1003"/>
        <v>0</v>
      </c>
      <c r="AE1707" s="203">
        <f t="shared" si="1004"/>
        <v>0</v>
      </c>
      <c r="AF1707" s="203">
        <f t="shared" si="1040"/>
        <v>20000</v>
      </c>
      <c r="AG1707" s="203">
        <f t="shared" si="1040"/>
        <v>20000</v>
      </c>
      <c r="AH1707" s="203">
        <f t="shared" si="1040"/>
        <v>20000</v>
      </c>
      <c r="AI1707" s="203">
        <f t="shared" si="1040"/>
        <v>20000</v>
      </c>
      <c r="AJ1707" s="162" t="b">
        <f t="shared" si="1022"/>
        <v>1</v>
      </c>
      <c r="AK1707" s="162" t="str">
        <f t="shared" si="1023"/>
        <v>PRAZNO</v>
      </c>
      <c r="AM1707" s="264"/>
    </row>
    <row r="1708" spans="1:39" ht="19.5" customHeight="1" x14ac:dyDescent="0.2">
      <c r="B1708" s="212"/>
      <c r="C1708" s="212"/>
      <c r="D1708" s="212"/>
      <c r="E1708" s="212">
        <v>3237</v>
      </c>
      <c r="F1708" s="176">
        <v>11</v>
      </c>
      <c r="G1708" s="176"/>
      <c r="H1708" s="23" t="s">
        <v>566</v>
      </c>
      <c r="I1708" s="203">
        <v>20000</v>
      </c>
      <c r="J1708" s="203">
        <v>0</v>
      </c>
      <c r="K1708" s="203">
        <f t="shared" si="1041"/>
        <v>0</v>
      </c>
      <c r="L1708" s="203">
        <f t="shared" si="1042"/>
        <v>-16760.29</v>
      </c>
      <c r="M1708" s="203">
        <v>3239.71</v>
      </c>
      <c r="N1708" s="203">
        <v>20000</v>
      </c>
      <c r="O1708" s="203">
        <v>0</v>
      </c>
      <c r="P1708" s="26">
        <f t="shared" si="1025"/>
        <v>0</v>
      </c>
      <c r="Q1708" s="203">
        <v>20000</v>
      </c>
      <c r="R1708" s="203">
        <v>20000</v>
      </c>
      <c r="S1708" s="203">
        <v>21000</v>
      </c>
      <c r="T1708" s="204">
        <v>20000</v>
      </c>
      <c r="U1708" s="204">
        <v>0</v>
      </c>
      <c r="V1708" s="204">
        <v>20000</v>
      </c>
      <c r="W1708" s="204">
        <v>20000</v>
      </c>
      <c r="X1708" s="204">
        <v>20000</v>
      </c>
      <c r="Y1708" s="204">
        <v>0</v>
      </c>
      <c r="Z1708" s="204">
        <f t="shared" si="1016"/>
        <v>0</v>
      </c>
      <c r="AA1708" s="204">
        <f t="shared" si="1024"/>
        <v>0</v>
      </c>
      <c r="AB1708" s="204">
        <v>20000</v>
      </c>
      <c r="AC1708" s="204">
        <v>0</v>
      </c>
      <c r="AD1708" s="204">
        <f t="shared" si="1003"/>
        <v>0</v>
      </c>
      <c r="AE1708" s="204">
        <f t="shared" si="1004"/>
        <v>0</v>
      </c>
      <c r="AF1708" s="204">
        <v>20000</v>
      </c>
      <c r="AG1708" s="204">
        <v>20000</v>
      </c>
      <c r="AH1708" s="204">
        <v>20000</v>
      </c>
      <c r="AI1708" s="204">
        <v>20000</v>
      </c>
      <c r="AJ1708" s="162" t="b">
        <f t="shared" si="1022"/>
        <v>0</v>
      </c>
      <c r="AK1708" s="162" t="str">
        <f t="shared" si="1023"/>
        <v>PUNO</v>
      </c>
      <c r="AM1708" s="264"/>
    </row>
    <row r="1709" spans="1:39" s="174" customFormat="1" ht="15.75" x14ac:dyDescent="0.2">
      <c r="A1709" s="259"/>
      <c r="B1709" s="172">
        <v>4</v>
      </c>
      <c r="C1709" s="172"/>
      <c r="D1709" s="172"/>
      <c r="E1709" s="172"/>
      <c r="F1709" s="172"/>
      <c r="G1709" s="172"/>
      <c r="H1709" s="14" t="s">
        <v>552</v>
      </c>
      <c r="I1709" s="20">
        <f t="shared" ref="I1709:AI1711" si="1043">I1710</f>
        <v>20000</v>
      </c>
      <c r="J1709" s="20">
        <f t="shared" si="1043"/>
        <v>0</v>
      </c>
      <c r="K1709" s="20">
        <f t="shared" si="1041"/>
        <v>0</v>
      </c>
      <c r="L1709" s="20">
        <f t="shared" si="1042"/>
        <v>-20000</v>
      </c>
      <c r="M1709" s="20">
        <f t="shared" si="1043"/>
        <v>0</v>
      </c>
      <c r="N1709" s="20">
        <f t="shared" si="1043"/>
        <v>0</v>
      </c>
      <c r="O1709" s="20">
        <f t="shared" si="1043"/>
        <v>0</v>
      </c>
      <c r="P1709" s="55">
        <f t="shared" si="1025"/>
        <v>0</v>
      </c>
      <c r="Q1709" s="20">
        <f t="shared" si="1043"/>
        <v>0</v>
      </c>
      <c r="R1709" s="20">
        <f t="shared" si="1043"/>
        <v>0</v>
      </c>
      <c r="S1709" s="20">
        <f t="shared" si="1043"/>
        <v>0</v>
      </c>
      <c r="T1709" s="55">
        <f t="shared" si="1043"/>
        <v>0</v>
      </c>
      <c r="U1709" s="55">
        <f t="shared" si="1043"/>
        <v>0</v>
      </c>
      <c r="V1709" s="20">
        <f t="shared" si="1043"/>
        <v>0</v>
      </c>
      <c r="W1709" s="20">
        <f t="shared" si="1043"/>
        <v>0</v>
      </c>
      <c r="X1709" s="20">
        <f t="shared" si="1043"/>
        <v>0</v>
      </c>
      <c r="Y1709" s="20">
        <f t="shared" si="1043"/>
        <v>0</v>
      </c>
      <c r="Z1709" s="20" t="e">
        <f t="shared" si="1016"/>
        <v>#DIV/0!</v>
      </c>
      <c r="AA1709" s="20">
        <f t="shared" si="1024"/>
        <v>0</v>
      </c>
      <c r="AB1709" s="20">
        <f t="shared" si="1043"/>
        <v>0</v>
      </c>
      <c r="AC1709" s="20">
        <f t="shared" si="1043"/>
        <v>0</v>
      </c>
      <c r="AD1709" s="20"/>
      <c r="AE1709" s="20">
        <f t="shared" si="1004"/>
        <v>0</v>
      </c>
      <c r="AF1709" s="20">
        <f t="shared" si="1043"/>
        <v>0</v>
      </c>
      <c r="AG1709" s="20">
        <f t="shared" si="1043"/>
        <v>0</v>
      </c>
      <c r="AH1709" s="20">
        <f t="shared" si="1043"/>
        <v>0</v>
      </c>
      <c r="AI1709" s="20">
        <f t="shared" si="1043"/>
        <v>0</v>
      </c>
      <c r="AJ1709" s="162" t="b">
        <f t="shared" si="1022"/>
        <v>1</v>
      </c>
      <c r="AK1709" s="162" t="str">
        <f t="shared" si="1023"/>
        <v>PRAZNO</v>
      </c>
      <c r="AL1709" s="173"/>
      <c r="AM1709" s="264"/>
    </row>
    <row r="1710" spans="1:39" ht="27" customHeight="1" x14ac:dyDescent="0.2">
      <c r="B1710" s="212"/>
      <c r="C1710" s="212">
        <v>45</v>
      </c>
      <c r="D1710" s="212"/>
      <c r="E1710" s="212"/>
      <c r="F1710" s="212"/>
      <c r="G1710" s="212"/>
      <c r="H1710" s="23" t="s">
        <v>808</v>
      </c>
      <c r="I1710" s="203">
        <f t="shared" si="1043"/>
        <v>20000</v>
      </c>
      <c r="J1710" s="203">
        <f t="shared" si="1043"/>
        <v>0</v>
      </c>
      <c r="K1710" s="203">
        <f t="shared" si="1041"/>
        <v>0</v>
      </c>
      <c r="L1710" s="203">
        <f t="shared" si="1042"/>
        <v>-20000</v>
      </c>
      <c r="M1710" s="203">
        <f t="shared" si="1043"/>
        <v>0</v>
      </c>
      <c r="N1710" s="203">
        <f t="shared" si="1043"/>
        <v>0</v>
      </c>
      <c r="O1710" s="203">
        <f t="shared" si="1043"/>
        <v>0</v>
      </c>
      <c r="P1710" s="26">
        <f t="shared" si="1025"/>
        <v>0</v>
      </c>
      <c r="Q1710" s="203">
        <f t="shared" si="1043"/>
        <v>0</v>
      </c>
      <c r="R1710" s="203">
        <f t="shared" si="1043"/>
        <v>0</v>
      </c>
      <c r="S1710" s="203">
        <f t="shared" si="1043"/>
        <v>0</v>
      </c>
      <c r="T1710" s="204">
        <f t="shared" si="1043"/>
        <v>0</v>
      </c>
      <c r="U1710" s="204">
        <f t="shared" si="1043"/>
        <v>0</v>
      </c>
      <c r="V1710" s="203">
        <f t="shared" si="1043"/>
        <v>0</v>
      </c>
      <c r="W1710" s="203">
        <f t="shared" si="1043"/>
        <v>0</v>
      </c>
      <c r="X1710" s="203">
        <f t="shared" si="1043"/>
        <v>0</v>
      </c>
      <c r="Y1710" s="203">
        <f t="shared" si="1043"/>
        <v>0</v>
      </c>
      <c r="Z1710" s="203" t="e">
        <f t="shared" si="1016"/>
        <v>#DIV/0!</v>
      </c>
      <c r="AA1710" s="203">
        <f t="shared" si="1024"/>
        <v>0</v>
      </c>
      <c r="AB1710" s="203">
        <f t="shared" si="1043"/>
        <v>0</v>
      </c>
      <c r="AC1710" s="203">
        <f t="shared" si="1043"/>
        <v>0</v>
      </c>
      <c r="AD1710" s="203"/>
      <c r="AE1710" s="203">
        <f t="shared" si="1004"/>
        <v>0</v>
      </c>
      <c r="AF1710" s="203">
        <f t="shared" si="1043"/>
        <v>0</v>
      </c>
      <c r="AG1710" s="203">
        <f t="shared" si="1043"/>
        <v>0</v>
      </c>
      <c r="AH1710" s="203">
        <f t="shared" si="1043"/>
        <v>0</v>
      </c>
      <c r="AI1710" s="203">
        <f t="shared" si="1043"/>
        <v>0</v>
      </c>
      <c r="AJ1710" s="162" t="b">
        <f t="shared" si="1022"/>
        <v>1</v>
      </c>
      <c r="AK1710" s="162" t="str">
        <f t="shared" si="1023"/>
        <v>PRAZNO</v>
      </c>
      <c r="AM1710" s="264"/>
    </row>
    <row r="1711" spans="1:39" ht="15.75" x14ac:dyDescent="0.2">
      <c r="B1711" s="212"/>
      <c r="C1711" s="212"/>
      <c r="D1711" s="212">
        <v>451</v>
      </c>
      <c r="E1711" s="212"/>
      <c r="F1711" s="212"/>
      <c r="G1711" s="212"/>
      <c r="H1711" s="23" t="s">
        <v>809</v>
      </c>
      <c r="I1711" s="203">
        <f t="shared" si="1043"/>
        <v>20000</v>
      </c>
      <c r="J1711" s="203">
        <f t="shared" si="1043"/>
        <v>0</v>
      </c>
      <c r="K1711" s="203">
        <f t="shared" si="1041"/>
        <v>0</v>
      </c>
      <c r="L1711" s="203">
        <f t="shared" si="1042"/>
        <v>-20000</v>
      </c>
      <c r="M1711" s="203">
        <f t="shared" si="1043"/>
        <v>0</v>
      </c>
      <c r="N1711" s="203">
        <f t="shared" si="1043"/>
        <v>0</v>
      </c>
      <c r="O1711" s="203">
        <f t="shared" si="1043"/>
        <v>0</v>
      </c>
      <c r="P1711" s="26">
        <f t="shared" si="1025"/>
        <v>0</v>
      </c>
      <c r="Q1711" s="203">
        <f t="shared" si="1043"/>
        <v>0</v>
      </c>
      <c r="R1711" s="203">
        <f t="shared" si="1043"/>
        <v>0</v>
      </c>
      <c r="S1711" s="203">
        <f t="shared" si="1043"/>
        <v>0</v>
      </c>
      <c r="T1711" s="204">
        <f t="shared" si="1043"/>
        <v>0</v>
      </c>
      <c r="U1711" s="204">
        <f t="shared" si="1043"/>
        <v>0</v>
      </c>
      <c r="V1711" s="203">
        <f t="shared" si="1043"/>
        <v>0</v>
      </c>
      <c r="W1711" s="203">
        <f t="shared" si="1043"/>
        <v>0</v>
      </c>
      <c r="X1711" s="203">
        <f t="shared" si="1043"/>
        <v>0</v>
      </c>
      <c r="Y1711" s="203">
        <f t="shared" si="1043"/>
        <v>0</v>
      </c>
      <c r="Z1711" s="203" t="e">
        <f t="shared" si="1016"/>
        <v>#DIV/0!</v>
      </c>
      <c r="AA1711" s="203">
        <f t="shared" si="1024"/>
        <v>0</v>
      </c>
      <c r="AB1711" s="203">
        <f t="shared" si="1043"/>
        <v>0</v>
      </c>
      <c r="AC1711" s="203">
        <f t="shared" si="1043"/>
        <v>0</v>
      </c>
      <c r="AD1711" s="203"/>
      <c r="AE1711" s="203">
        <f t="shared" si="1004"/>
        <v>0</v>
      </c>
      <c r="AF1711" s="203">
        <f t="shared" si="1043"/>
        <v>0</v>
      </c>
      <c r="AG1711" s="203">
        <f t="shared" si="1043"/>
        <v>0</v>
      </c>
      <c r="AH1711" s="203">
        <f t="shared" si="1043"/>
        <v>0</v>
      </c>
      <c r="AI1711" s="203">
        <f t="shared" si="1043"/>
        <v>0</v>
      </c>
      <c r="AJ1711" s="162" t="b">
        <f t="shared" si="1022"/>
        <v>1</v>
      </c>
      <c r="AK1711" s="162" t="str">
        <f t="shared" si="1023"/>
        <v>PRAZNO</v>
      </c>
      <c r="AM1711" s="264"/>
    </row>
    <row r="1712" spans="1:39" ht="22.5" customHeight="1" x14ac:dyDescent="0.2">
      <c r="B1712" s="212"/>
      <c r="C1712" s="212"/>
      <c r="D1712" s="212"/>
      <c r="E1712" s="212">
        <v>4511</v>
      </c>
      <c r="F1712" s="176">
        <v>11</v>
      </c>
      <c r="G1712" s="176"/>
      <c r="H1712" s="23" t="s">
        <v>809</v>
      </c>
      <c r="I1712" s="203">
        <v>20000</v>
      </c>
      <c r="J1712" s="203">
        <v>0</v>
      </c>
      <c r="K1712" s="203">
        <f t="shared" si="1041"/>
        <v>0</v>
      </c>
      <c r="L1712" s="203">
        <f t="shared" si="1042"/>
        <v>-20000</v>
      </c>
      <c r="M1712" s="203"/>
      <c r="N1712" s="203">
        <v>0</v>
      </c>
      <c r="O1712" s="203"/>
      <c r="P1712" s="26">
        <f t="shared" si="1025"/>
        <v>0</v>
      </c>
      <c r="Q1712" s="203">
        <v>0</v>
      </c>
      <c r="R1712" s="203">
        <v>0</v>
      </c>
      <c r="S1712" s="203">
        <v>0</v>
      </c>
      <c r="T1712" s="204"/>
      <c r="U1712" s="204"/>
      <c r="V1712" s="203"/>
      <c r="W1712" s="203"/>
      <c r="X1712" s="203"/>
      <c r="Y1712" s="203"/>
      <c r="Z1712" s="203" t="e">
        <f t="shared" si="1016"/>
        <v>#DIV/0!</v>
      </c>
      <c r="AA1712" s="203">
        <f t="shared" si="1024"/>
        <v>0</v>
      </c>
      <c r="AB1712" s="203"/>
      <c r="AC1712" s="203"/>
      <c r="AD1712" s="203"/>
      <c r="AE1712" s="203">
        <f t="shared" si="1004"/>
        <v>0</v>
      </c>
      <c r="AF1712" s="203"/>
      <c r="AG1712" s="203"/>
      <c r="AH1712" s="203"/>
      <c r="AI1712" s="203"/>
      <c r="AJ1712" s="162" t="b">
        <f t="shared" si="1022"/>
        <v>0</v>
      </c>
      <c r="AK1712" s="162" t="str">
        <f t="shared" si="1023"/>
        <v>PUNO</v>
      </c>
      <c r="AM1712" s="264"/>
    </row>
    <row r="1713" spans="1:39" s="264" customFormat="1" ht="31.5" x14ac:dyDescent="0.2">
      <c r="A1713" s="259"/>
      <c r="B1713" s="194"/>
      <c r="C1713" s="194"/>
      <c r="D1713" s="194"/>
      <c r="E1713" s="194"/>
      <c r="F1713" s="159"/>
      <c r="G1713" s="159"/>
      <c r="H1713" s="24" t="s">
        <v>652</v>
      </c>
      <c r="I1713" s="196" t="e">
        <f>I1714+I1746+I2150+I2474+I2510+I2548+I2577</f>
        <v>#REF!</v>
      </c>
      <c r="J1713" s="196" t="e">
        <f>J1714+J1746+J2150+J2474+J2510+J2548+J2577</f>
        <v>#REF!</v>
      </c>
      <c r="K1713" s="196" t="e">
        <f t="shared" si="1041"/>
        <v>#REF!</v>
      </c>
      <c r="L1713" s="196" t="e">
        <f t="shared" si="1042"/>
        <v>#REF!</v>
      </c>
      <c r="M1713" s="195" t="e">
        <f>M1714+M1746+M2150+M2474+M2510+M2548+M2577</f>
        <v>#REF!</v>
      </c>
      <c r="N1713" s="195" t="e">
        <f>N1714+N1746+N2150+N2474+N2510+N2548+N2577</f>
        <v>#REF!</v>
      </c>
      <c r="O1713" s="195" t="e">
        <f>O1714+O1746+O2150+O2474+O2510+O2548+O2577</f>
        <v>#REF!</v>
      </c>
      <c r="P1713" s="351" t="e">
        <f t="shared" si="1025"/>
        <v>#REF!</v>
      </c>
      <c r="Q1713" s="195" t="e">
        <f t="shared" ref="Q1713:Y1713" si="1044">Q1714+Q1746+Q2150+Q2474+Q2510+Q2548+Q2577</f>
        <v>#REF!</v>
      </c>
      <c r="R1713" s="195" t="e">
        <f t="shared" si="1044"/>
        <v>#REF!</v>
      </c>
      <c r="S1713" s="195" t="e">
        <f t="shared" si="1044"/>
        <v>#REF!</v>
      </c>
      <c r="T1713" s="197">
        <f t="shared" si="1044"/>
        <v>58573799</v>
      </c>
      <c r="U1713" s="197">
        <f t="shared" si="1044"/>
        <v>58949625.609999999</v>
      </c>
      <c r="V1713" s="195">
        <f t="shared" si="1044"/>
        <v>82853675</v>
      </c>
      <c r="W1713" s="195" t="e">
        <f t="shared" si="1044"/>
        <v>#REF!</v>
      </c>
      <c r="X1713" s="195" t="e">
        <f t="shared" si="1044"/>
        <v>#REF!</v>
      </c>
      <c r="Y1713" s="195">
        <f t="shared" si="1044"/>
        <v>29702021.359999996</v>
      </c>
      <c r="Z1713" s="195">
        <f t="shared" si="1016"/>
        <v>35.85</v>
      </c>
      <c r="AA1713" s="195">
        <f t="shared" si="1024"/>
        <v>220469</v>
      </c>
      <c r="AB1713" s="195">
        <f>AB1714+AB1746+AB2150+AB2474+AB2510+AB2548+AB2577</f>
        <v>83074144</v>
      </c>
      <c r="AC1713" s="195">
        <f>AC1714+AC1746+AC2150+AC2474+AC2510+AC2548+AC2577</f>
        <v>51123443.429999992</v>
      </c>
      <c r="AD1713" s="195">
        <f t="shared" ref="AD1713:AD1777" si="1045">AC1713/AB1713*100</f>
        <v>61.539536814246311</v>
      </c>
      <c r="AE1713" s="195">
        <f t="shared" si="1004"/>
        <v>1467827.6400000006</v>
      </c>
      <c r="AF1713" s="195">
        <f>AF1714+AF1746+AF2150+AF2474+AF2510+AF2548+AF2577</f>
        <v>84541971.640000001</v>
      </c>
      <c r="AG1713" s="195">
        <f>AG1714+AG1746+AG2150+AG2474+AG2510+AG2548+AG2577</f>
        <v>80344136.359999999</v>
      </c>
      <c r="AH1713" s="195">
        <f>AH1714+AH1746+AH2150+AH2474+AH2510+AH2548+AH2577</f>
        <v>68332272</v>
      </c>
      <c r="AI1713" s="195">
        <f>AI1714+AI1746+AI2150+AI2474+AI2510+AI2548+AI2577</f>
        <v>68593648</v>
      </c>
      <c r="AJ1713" s="162" t="b">
        <f t="shared" si="1022"/>
        <v>1</v>
      </c>
      <c r="AK1713" s="162" t="str">
        <f t="shared" si="1023"/>
        <v>PRAZNO</v>
      </c>
      <c r="AL1713" s="486"/>
    </row>
    <row r="1714" spans="1:39" s="264" customFormat="1" ht="31.5" x14ac:dyDescent="0.2">
      <c r="A1714" s="259"/>
      <c r="B1714" s="194"/>
      <c r="C1714" s="194"/>
      <c r="D1714" s="194"/>
      <c r="E1714" s="194"/>
      <c r="F1714" s="159"/>
      <c r="G1714" s="159"/>
      <c r="H1714" s="24" t="s">
        <v>653</v>
      </c>
      <c r="I1714" s="181">
        <f>I1716</f>
        <v>1017500</v>
      </c>
      <c r="J1714" s="181">
        <f>J1716</f>
        <v>693566.49000000011</v>
      </c>
      <c r="K1714" s="181">
        <f t="shared" si="1041"/>
        <v>68.16</v>
      </c>
      <c r="L1714" s="181">
        <f t="shared" si="1042"/>
        <v>-222809.24999999988</v>
      </c>
      <c r="M1714" s="262">
        <f>M1716</f>
        <v>794690.75000000012</v>
      </c>
      <c r="N1714" s="262">
        <f>N1716</f>
        <v>921200</v>
      </c>
      <c r="O1714" s="262">
        <f>O1716</f>
        <v>521105.91</v>
      </c>
      <c r="P1714" s="445">
        <f t="shared" si="1025"/>
        <v>-2000</v>
      </c>
      <c r="Q1714" s="262">
        <f t="shared" ref="Q1714:X1714" si="1046">Q1716</f>
        <v>921200</v>
      </c>
      <c r="R1714" s="262">
        <f t="shared" si="1046"/>
        <v>942300</v>
      </c>
      <c r="S1714" s="262">
        <f t="shared" si="1046"/>
        <v>992300</v>
      </c>
      <c r="T1714" s="342">
        <f t="shared" si="1046"/>
        <v>919200</v>
      </c>
      <c r="U1714" s="195">
        <f>U1716</f>
        <v>798202.25999999989</v>
      </c>
      <c r="V1714" s="195">
        <f t="shared" si="1046"/>
        <v>918900</v>
      </c>
      <c r="W1714" s="195">
        <f t="shared" si="1046"/>
        <v>917900</v>
      </c>
      <c r="X1714" s="195">
        <f t="shared" si="1046"/>
        <v>933600</v>
      </c>
      <c r="Y1714" s="195">
        <f>Y1716</f>
        <v>315621.78999999998</v>
      </c>
      <c r="Z1714" s="195">
        <f t="shared" si="1016"/>
        <v>34.35</v>
      </c>
      <c r="AA1714" s="195">
        <f t="shared" si="1024"/>
        <v>-75600</v>
      </c>
      <c r="AB1714" s="195">
        <f>AB1716</f>
        <v>843300</v>
      </c>
      <c r="AC1714" s="195">
        <f>AC1716</f>
        <v>592898.49</v>
      </c>
      <c r="AD1714" s="195">
        <f t="shared" si="1045"/>
        <v>70.306947705442894</v>
      </c>
      <c r="AE1714" s="195">
        <f t="shared" si="1004"/>
        <v>0</v>
      </c>
      <c r="AF1714" s="195">
        <f>AF1716</f>
        <v>843300</v>
      </c>
      <c r="AG1714" s="195">
        <f>AG1716</f>
        <v>1012703</v>
      </c>
      <c r="AH1714" s="195">
        <f>AH1716</f>
        <v>994103</v>
      </c>
      <c r="AI1714" s="195">
        <f>AI1716</f>
        <v>997403</v>
      </c>
      <c r="AJ1714" s="162" t="b">
        <f t="shared" si="1022"/>
        <v>1</v>
      </c>
      <c r="AK1714" s="162" t="str">
        <f t="shared" si="1023"/>
        <v>PRAZNO</v>
      </c>
      <c r="AL1714" s="263"/>
    </row>
    <row r="1715" spans="1:39" s="264" customFormat="1" ht="15.75" x14ac:dyDescent="0.2">
      <c r="A1715" s="259"/>
      <c r="B1715" s="194"/>
      <c r="C1715" s="194"/>
      <c r="D1715" s="194"/>
      <c r="E1715" s="194"/>
      <c r="F1715" s="159"/>
      <c r="G1715" s="159"/>
      <c r="H1715" s="24" t="s">
        <v>654</v>
      </c>
      <c r="I1715" s="181"/>
      <c r="J1715" s="181"/>
      <c r="K1715" s="181" t="e">
        <f t="shared" si="1041"/>
        <v>#DIV/0!</v>
      </c>
      <c r="L1715" s="181"/>
      <c r="M1715" s="262"/>
      <c r="N1715" s="262"/>
      <c r="O1715" s="262"/>
      <c r="P1715" s="445"/>
      <c r="Q1715" s="262"/>
      <c r="R1715" s="262"/>
      <c r="S1715" s="262"/>
      <c r="T1715" s="342"/>
      <c r="U1715" s="195"/>
      <c r="V1715" s="195"/>
      <c r="W1715" s="195"/>
      <c r="X1715" s="195"/>
      <c r="Y1715" s="195"/>
      <c r="Z1715" s="195"/>
      <c r="AA1715" s="195"/>
      <c r="AB1715" s="195"/>
      <c r="AC1715" s="195"/>
      <c r="AD1715" s="195"/>
      <c r="AE1715" s="195">
        <f t="shared" si="1004"/>
        <v>0</v>
      </c>
      <c r="AF1715" s="195"/>
      <c r="AG1715" s="195"/>
      <c r="AH1715" s="195"/>
      <c r="AI1715" s="195"/>
      <c r="AJ1715" s="162" t="b">
        <f t="shared" si="1022"/>
        <v>1</v>
      </c>
      <c r="AK1715" s="162" t="str">
        <f t="shared" si="1023"/>
        <v>PRAZNO</v>
      </c>
      <c r="AL1715" s="263"/>
    </row>
    <row r="1716" spans="1:39" s="264" customFormat="1" ht="15.75" x14ac:dyDescent="0.2">
      <c r="A1716" s="259"/>
      <c r="B1716" s="270"/>
      <c r="C1716" s="270"/>
      <c r="D1716" s="270"/>
      <c r="E1716" s="270"/>
      <c r="F1716" s="270"/>
      <c r="G1716" s="270"/>
      <c r="H1716" s="274" t="s">
        <v>742</v>
      </c>
      <c r="I1716" s="273">
        <f>I1717+I1739</f>
        <v>1017500</v>
      </c>
      <c r="J1716" s="273">
        <f>J1717+J1739</f>
        <v>693566.49000000011</v>
      </c>
      <c r="K1716" s="273">
        <f t="shared" si="1041"/>
        <v>68.16</v>
      </c>
      <c r="L1716" s="273">
        <f>M1716-I1716</f>
        <v>-222809.24999999988</v>
      </c>
      <c r="M1716" s="272">
        <f>M1717+M1739</f>
        <v>794690.75000000012</v>
      </c>
      <c r="N1716" s="272">
        <f>N1717+N1739</f>
        <v>921200</v>
      </c>
      <c r="O1716" s="272">
        <f>O1717+O1739</f>
        <v>521105.91</v>
      </c>
      <c r="P1716" s="336">
        <f t="shared" si="1025"/>
        <v>-2000</v>
      </c>
      <c r="Q1716" s="272">
        <f t="shared" ref="Q1716:X1716" si="1047">Q1717+Q1739</f>
        <v>921200</v>
      </c>
      <c r="R1716" s="272">
        <f t="shared" si="1047"/>
        <v>942300</v>
      </c>
      <c r="S1716" s="272">
        <f t="shared" si="1047"/>
        <v>992300</v>
      </c>
      <c r="T1716" s="275">
        <f t="shared" si="1047"/>
        <v>919200</v>
      </c>
      <c r="U1716" s="275">
        <f>U1717+U1739</f>
        <v>798202.25999999989</v>
      </c>
      <c r="V1716" s="272">
        <f t="shared" si="1047"/>
        <v>918900</v>
      </c>
      <c r="W1716" s="272">
        <f t="shared" si="1047"/>
        <v>917900</v>
      </c>
      <c r="X1716" s="272">
        <f t="shared" si="1047"/>
        <v>933600</v>
      </c>
      <c r="Y1716" s="272">
        <f>Y1717+Y1739</f>
        <v>315621.78999999998</v>
      </c>
      <c r="Z1716" s="272">
        <f t="shared" si="1016"/>
        <v>34.35</v>
      </c>
      <c r="AA1716" s="272">
        <f t="shared" si="1024"/>
        <v>-75600</v>
      </c>
      <c r="AB1716" s="272">
        <f>AB1717+AB1739</f>
        <v>843300</v>
      </c>
      <c r="AC1716" s="272">
        <f>AC1717+AC1739</f>
        <v>592898.49</v>
      </c>
      <c r="AD1716" s="272">
        <f t="shared" si="1045"/>
        <v>70.306947705442894</v>
      </c>
      <c r="AE1716" s="272">
        <f t="shared" si="1004"/>
        <v>0</v>
      </c>
      <c r="AF1716" s="272">
        <f>AF1717+AF1739</f>
        <v>843300</v>
      </c>
      <c r="AG1716" s="272">
        <f>AG1717+AG1739</f>
        <v>1012703</v>
      </c>
      <c r="AH1716" s="272">
        <f>AH1717+AH1739</f>
        <v>994103</v>
      </c>
      <c r="AI1716" s="272">
        <f>AI1717+AI1739</f>
        <v>997403</v>
      </c>
      <c r="AJ1716" s="162" t="b">
        <f t="shared" si="1022"/>
        <v>1</v>
      </c>
      <c r="AK1716" s="162" t="str">
        <f t="shared" si="1023"/>
        <v>PRAZNO</v>
      </c>
      <c r="AL1716" s="263"/>
    </row>
    <row r="1717" spans="1:39" s="264" customFormat="1" ht="15.75" x14ac:dyDescent="0.2">
      <c r="A1717" s="259"/>
      <c r="B1717" s="168"/>
      <c r="C1717" s="168"/>
      <c r="D1717" s="168"/>
      <c r="E1717" s="168"/>
      <c r="F1717" s="168"/>
      <c r="G1717" s="168"/>
      <c r="H1717" s="13" t="s">
        <v>856</v>
      </c>
      <c r="I1717" s="181">
        <f>I1719</f>
        <v>1013500</v>
      </c>
      <c r="J1717" s="181">
        <f>J1719</f>
        <v>690352.95000000007</v>
      </c>
      <c r="K1717" s="181">
        <f t="shared" si="1041"/>
        <v>68.12</v>
      </c>
      <c r="L1717" s="181">
        <f>M1717-I1717</f>
        <v>-222380.78999999992</v>
      </c>
      <c r="M1717" s="262">
        <f>M1719</f>
        <v>791119.21000000008</v>
      </c>
      <c r="N1717" s="262">
        <f>N1719</f>
        <v>908900</v>
      </c>
      <c r="O1717" s="262">
        <f>O1719</f>
        <v>514192.73</v>
      </c>
      <c r="P1717" s="445">
        <f t="shared" si="1025"/>
        <v>-2000</v>
      </c>
      <c r="Q1717" s="262">
        <f t="shared" ref="Q1717:X1717" si="1048">Q1719</f>
        <v>908900</v>
      </c>
      <c r="R1717" s="262">
        <f t="shared" si="1048"/>
        <v>936300</v>
      </c>
      <c r="S1717" s="262">
        <f t="shared" si="1048"/>
        <v>986300</v>
      </c>
      <c r="T1717" s="342">
        <f t="shared" si="1048"/>
        <v>906900</v>
      </c>
      <c r="U1717" s="19">
        <f>U1719</f>
        <v>791289.07999999984</v>
      </c>
      <c r="V1717" s="19">
        <f t="shared" si="1048"/>
        <v>913900</v>
      </c>
      <c r="W1717" s="19">
        <f t="shared" si="1048"/>
        <v>912900</v>
      </c>
      <c r="X1717" s="19">
        <f t="shared" si="1048"/>
        <v>927600</v>
      </c>
      <c r="Y1717" s="19">
        <f>Y1719</f>
        <v>315621.78999999998</v>
      </c>
      <c r="Z1717" s="19">
        <f t="shared" si="1016"/>
        <v>34.54</v>
      </c>
      <c r="AA1717" s="19">
        <f t="shared" si="1024"/>
        <v>-85600</v>
      </c>
      <c r="AB1717" s="19">
        <f>AB1719</f>
        <v>828300</v>
      </c>
      <c r="AC1717" s="19">
        <f>AC1719</f>
        <v>581477.92999999993</v>
      </c>
      <c r="AD1717" s="19">
        <f t="shared" si="1045"/>
        <v>70.201367861885771</v>
      </c>
      <c r="AE1717" s="19">
        <f t="shared" si="1004"/>
        <v>0</v>
      </c>
      <c r="AF1717" s="19">
        <f>AF1719</f>
        <v>828300</v>
      </c>
      <c r="AG1717" s="19">
        <f>AG1719</f>
        <v>1006703</v>
      </c>
      <c r="AH1717" s="19">
        <f>AH1719</f>
        <v>990103</v>
      </c>
      <c r="AI1717" s="19">
        <f>AI1719</f>
        <v>993403</v>
      </c>
      <c r="AJ1717" s="162" t="b">
        <f t="shared" si="1022"/>
        <v>1</v>
      </c>
      <c r="AK1717" s="162" t="str">
        <f t="shared" si="1023"/>
        <v>PRAZNO</v>
      </c>
      <c r="AL1717" s="263"/>
    </row>
    <row r="1718" spans="1:39" s="264" customFormat="1" ht="15.75" x14ac:dyDescent="0.2">
      <c r="A1718" s="259"/>
      <c r="B1718" s="260"/>
      <c r="C1718" s="260"/>
      <c r="D1718" s="260"/>
      <c r="E1718" s="260"/>
      <c r="F1718" s="260"/>
      <c r="G1718" s="260"/>
      <c r="H1718" s="440" t="s">
        <v>824</v>
      </c>
      <c r="I1718" s="181"/>
      <c r="J1718" s="181"/>
      <c r="K1718" s="181"/>
      <c r="L1718" s="181"/>
      <c r="M1718" s="262"/>
      <c r="N1718" s="262"/>
      <c r="O1718" s="262"/>
      <c r="P1718" s="445"/>
      <c r="Q1718" s="262"/>
      <c r="R1718" s="262"/>
      <c r="S1718" s="262"/>
      <c r="T1718" s="342"/>
      <c r="U1718" s="262">
        <f t="shared" ref="U1718:AA1718" si="1049">U1719</f>
        <v>791289.07999999984</v>
      </c>
      <c r="V1718" s="262">
        <f t="shared" si="1049"/>
        <v>913900</v>
      </c>
      <c r="W1718" s="262">
        <f t="shared" si="1049"/>
        <v>912900</v>
      </c>
      <c r="X1718" s="262">
        <f t="shared" si="1049"/>
        <v>927600</v>
      </c>
      <c r="Y1718" s="262">
        <f t="shared" si="1049"/>
        <v>315621.78999999998</v>
      </c>
      <c r="Z1718" s="262">
        <f t="shared" si="1049"/>
        <v>34.54</v>
      </c>
      <c r="AA1718" s="262">
        <f t="shared" si="1049"/>
        <v>-85600</v>
      </c>
      <c r="AB1718" s="262">
        <f>AB1719</f>
        <v>828300</v>
      </c>
      <c r="AC1718" s="262">
        <f>AC1719</f>
        <v>581477.92999999993</v>
      </c>
      <c r="AD1718" s="262">
        <f t="shared" si="1045"/>
        <v>70.201367861885771</v>
      </c>
      <c r="AE1718" s="262">
        <f t="shared" si="1004"/>
        <v>0</v>
      </c>
      <c r="AF1718" s="262">
        <f>AF1719</f>
        <v>828300</v>
      </c>
      <c r="AG1718" s="262">
        <f>AG1719</f>
        <v>1006703</v>
      </c>
      <c r="AH1718" s="262">
        <f>AH1719</f>
        <v>990103</v>
      </c>
      <c r="AI1718" s="262">
        <f>AI1719</f>
        <v>993403</v>
      </c>
      <c r="AJ1718" s="162" t="b">
        <f t="shared" si="1022"/>
        <v>1</v>
      </c>
      <c r="AK1718" s="162" t="str">
        <f t="shared" si="1023"/>
        <v>PRAZNO</v>
      </c>
      <c r="AL1718" s="263"/>
    </row>
    <row r="1719" spans="1:39" s="264" customFormat="1" ht="15.75" x14ac:dyDescent="0.2">
      <c r="A1719" s="259"/>
      <c r="B1719" s="172">
        <v>3</v>
      </c>
      <c r="C1719" s="172"/>
      <c r="D1719" s="172"/>
      <c r="E1719" s="172"/>
      <c r="F1719" s="172"/>
      <c r="G1719" s="172"/>
      <c r="H1719" s="14" t="s">
        <v>524</v>
      </c>
      <c r="I1719" s="181">
        <f>I1720+I1728</f>
        <v>1013500</v>
      </c>
      <c r="J1719" s="181">
        <f>J1720+J1728</f>
        <v>690352.95000000007</v>
      </c>
      <c r="K1719" s="181">
        <f t="shared" ref="K1719:K1782" si="1050">ROUND(J1719/I1719*100,2)</f>
        <v>68.12</v>
      </c>
      <c r="L1719" s="181">
        <f t="shared" ref="L1719:L1739" si="1051">M1719-I1719</f>
        <v>-222380.78999999992</v>
      </c>
      <c r="M1719" s="181">
        <f>M1720+M1728</f>
        <v>791119.21000000008</v>
      </c>
      <c r="N1719" s="181">
        <f>N1720+N1728</f>
        <v>908900</v>
      </c>
      <c r="O1719" s="181">
        <f>O1720+O1728</f>
        <v>514192.73</v>
      </c>
      <c r="P1719" s="307">
        <f t="shared" si="1025"/>
        <v>-2000</v>
      </c>
      <c r="Q1719" s="181">
        <f t="shared" ref="Q1719:X1719" si="1052">Q1720+Q1728</f>
        <v>908900</v>
      </c>
      <c r="R1719" s="181">
        <f t="shared" si="1052"/>
        <v>936300</v>
      </c>
      <c r="S1719" s="181">
        <f t="shared" si="1052"/>
        <v>986300</v>
      </c>
      <c r="T1719" s="307">
        <f t="shared" si="1052"/>
        <v>906900</v>
      </c>
      <c r="U1719" s="20">
        <f>U1720+U1728</f>
        <v>791289.07999999984</v>
      </c>
      <c r="V1719" s="20">
        <f t="shared" si="1052"/>
        <v>913900</v>
      </c>
      <c r="W1719" s="20">
        <f t="shared" si="1052"/>
        <v>912900</v>
      </c>
      <c r="X1719" s="20">
        <f t="shared" si="1052"/>
        <v>927600</v>
      </c>
      <c r="Y1719" s="20">
        <f>Y1720+Y1728</f>
        <v>315621.78999999998</v>
      </c>
      <c r="Z1719" s="20">
        <f t="shared" si="1016"/>
        <v>34.54</v>
      </c>
      <c r="AA1719" s="20">
        <f t="shared" si="1024"/>
        <v>-85600</v>
      </c>
      <c r="AB1719" s="20">
        <f>AB1720+AB1728</f>
        <v>828300</v>
      </c>
      <c r="AC1719" s="20">
        <f>AC1720+AC1728</f>
        <v>581477.92999999993</v>
      </c>
      <c r="AD1719" s="20">
        <f t="shared" si="1045"/>
        <v>70.201367861885771</v>
      </c>
      <c r="AE1719" s="20">
        <f t="shared" si="1004"/>
        <v>0</v>
      </c>
      <c r="AF1719" s="20">
        <f>AF1720+AF1728</f>
        <v>828300</v>
      </c>
      <c r="AG1719" s="20">
        <f>AG1720+AG1728</f>
        <v>1006703</v>
      </c>
      <c r="AH1719" s="20">
        <f>AH1720+AH1728</f>
        <v>990103</v>
      </c>
      <c r="AI1719" s="20">
        <f>AI1720+AI1728</f>
        <v>993403</v>
      </c>
      <c r="AJ1719" s="162" t="b">
        <f t="shared" si="1022"/>
        <v>1</v>
      </c>
      <c r="AK1719" s="162" t="str">
        <f t="shared" si="1023"/>
        <v>PRAZNO</v>
      </c>
      <c r="AL1719" s="263"/>
    </row>
    <row r="1720" spans="1:39" ht="15.75" x14ac:dyDescent="0.2">
      <c r="B1720" s="175"/>
      <c r="C1720" s="175">
        <v>31</v>
      </c>
      <c r="D1720" s="175"/>
      <c r="E1720" s="175"/>
      <c r="F1720" s="175"/>
      <c r="G1720" s="175"/>
      <c r="H1720" s="39" t="s">
        <v>197</v>
      </c>
      <c r="I1720" s="22">
        <f>I1721+I1723+I1725</f>
        <v>928000</v>
      </c>
      <c r="J1720" s="22">
        <f>J1721+J1723+J1725</f>
        <v>635323.46000000008</v>
      </c>
      <c r="K1720" s="22">
        <f t="shared" si="1050"/>
        <v>68.459999999999994</v>
      </c>
      <c r="L1720" s="22">
        <f t="shared" si="1051"/>
        <v>-207998.73999999987</v>
      </c>
      <c r="M1720" s="22">
        <f>M1721+M1723+M1725</f>
        <v>720001.26000000013</v>
      </c>
      <c r="N1720" s="22">
        <f>N1721+N1723+N1725</f>
        <v>817700</v>
      </c>
      <c r="O1720" s="22">
        <f>O1721+O1723+O1725</f>
        <v>468922.7</v>
      </c>
      <c r="P1720" s="26">
        <f t="shared" si="1025"/>
        <v>-5000</v>
      </c>
      <c r="Q1720" s="22">
        <f t="shared" ref="Q1720:X1720" si="1053">Q1721+Q1723+Q1725</f>
        <v>817700</v>
      </c>
      <c r="R1720" s="22">
        <f t="shared" si="1053"/>
        <v>843000</v>
      </c>
      <c r="S1720" s="22">
        <f t="shared" si="1053"/>
        <v>849000</v>
      </c>
      <c r="T1720" s="38">
        <f t="shared" si="1053"/>
        <v>812700</v>
      </c>
      <c r="U1720" s="38">
        <f>U1721+U1723+U1725</f>
        <v>712725.35999999987</v>
      </c>
      <c r="V1720" s="22">
        <f t="shared" si="1053"/>
        <v>819700</v>
      </c>
      <c r="W1720" s="22">
        <f t="shared" si="1053"/>
        <v>818700</v>
      </c>
      <c r="X1720" s="22">
        <f t="shared" si="1053"/>
        <v>830400</v>
      </c>
      <c r="Y1720" s="22">
        <f>Y1721+Y1723+Y1725</f>
        <v>287198.07</v>
      </c>
      <c r="Z1720" s="22">
        <f t="shared" si="1016"/>
        <v>35.04</v>
      </c>
      <c r="AA1720" s="22">
        <f t="shared" si="1024"/>
        <v>-83300</v>
      </c>
      <c r="AB1720" s="22">
        <f>AB1721+AB1723+AB1725</f>
        <v>736400</v>
      </c>
      <c r="AC1720" s="22">
        <f>AC1721+AC1723+AC1725</f>
        <v>533442.25</v>
      </c>
      <c r="AD1720" s="22">
        <f t="shared" si="1045"/>
        <v>72.439197447039646</v>
      </c>
      <c r="AE1720" s="22">
        <f t="shared" si="1004"/>
        <v>0</v>
      </c>
      <c r="AF1720" s="22">
        <f>AF1721+AF1723+AF1725</f>
        <v>736400</v>
      </c>
      <c r="AG1720" s="22">
        <f>AG1721+AG1723+AG1725</f>
        <v>903500</v>
      </c>
      <c r="AH1720" s="22">
        <f>AH1721+AH1723+AH1725</f>
        <v>886900</v>
      </c>
      <c r="AI1720" s="22">
        <f>AI1721+AI1723+AI1725</f>
        <v>890200</v>
      </c>
      <c r="AJ1720" s="162" t="b">
        <f t="shared" si="1022"/>
        <v>1</v>
      </c>
      <c r="AK1720" s="162" t="str">
        <f t="shared" si="1023"/>
        <v>PRAZNO</v>
      </c>
      <c r="AM1720" s="164"/>
    </row>
    <row r="1721" spans="1:39" ht="15.75" x14ac:dyDescent="0.2">
      <c r="B1721" s="177"/>
      <c r="C1721" s="177"/>
      <c r="D1721" s="177">
        <v>311</v>
      </c>
      <c r="E1721" s="177"/>
      <c r="F1721" s="177"/>
      <c r="G1721" s="177"/>
      <c r="H1721" s="16" t="s">
        <v>915</v>
      </c>
      <c r="I1721" s="17">
        <f>SUM(I1722:I1722)</f>
        <v>754000</v>
      </c>
      <c r="J1721" s="17">
        <f>SUM(J1722:J1722)</f>
        <v>523854.25</v>
      </c>
      <c r="K1721" s="17">
        <f t="shared" si="1050"/>
        <v>69.48</v>
      </c>
      <c r="L1721" s="17">
        <f t="shared" si="1051"/>
        <v>-167933.81999999995</v>
      </c>
      <c r="M1721" s="17">
        <f>SUM(M1722:M1722)</f>
        <v>586066.18000000005</v>
      </c>
      <c r="N1721" s="17">
        <f>SUM(N1722:N1722)</f>
        <v>666000</v>
      </c>
      <c r="O1721" s="17">
        <f>SUM(O1722:O1722)</f>
        <v>391579.74</v>
      </c>
      <c r="P1721" s="26">
        <f t="shared" si="1025"/>
        <v>0</v>
      </c>
      <c r="Q1721" s="17">
        <f t="shared" ref="Q1721:AI1721" si="1054">SUM(Q1722:Q1722)</f>
        <v>666000</v>
      </c>
      <c r="R1721" s="17">
        <f t="shared" si="1054"/>
        <v>680000</v>
      </c>
      <c r="S1721" s="17">
        <f t="shared" si="1054"/>
        <v>692000</v>
      </c>
      <c r="T1721" s="26">
        <f t="shared" si="1054"/>
        <v>666000</v>
      </c>
      <c r="U1721" s="26">
        <f t="shared" si="1054"/>
        <v>592983.32999999996</v>
      </c>
      <c r="V1721" s="17">
        <f t="shared" si="1054"/>
        <v>666000</v>
      </c>
      <c r="W1721" s="17">
        <f t="shared" si="1054"/>
        <v>666000</v>
      </c>
      <c r="X1721" s="17">
        <f t="shared" si="1054"/>
        <v>670000</v>
      </c>
      <c r="Y1721" s="17">
        <f t="shared" si="1054"/>
        <v>247353.09</v>
      </c>
      <c r="Z1721" s="17">
        <f t="shared" si="1016"/>
        <v>37.14</v>
      </c>
      <c r="AA1721" s="17">
        <f t="shared" si="1024"/>
        <v>-65000</v>
      </c>
      <c r="AB1721" s="17">
        <f t="shared" si="1054"/>
        <v>601000</v>
      </c>
      <c r="AC1721" s="17">
        <f t="shared" si="1054"/>
        <v>447059.42</v>
      </c>
      <c r="AD1721" s="17">
        <f t="shared" si="1045"/>
        <v>74.385926788685524</v>
      </c>
      <c r="AE1721" s="17">
        <f t="shared" si="1004"/>
        <v>0</v>
      </c>
      <c r="AF1721" s="17">
        <f t="shared" si="1054"/>
        <v>601000</v>
      </c>
      <c r="AG1721" s="17">
        <f t="shared" si="1054"/>
        <v>737000</v>
      </c>
      <c r="AH1721" s="17">
        <f t="shared" si="1054"/>
        <v>739000</v>
      </c>
      <c r="AI1721" s="17">
        <f t="shared" si="1054"/>
        <v>741000</v>
      </c>
      <c r="AJ1721" s="162" t="b">
        <f t="shared" si="1022"/>
        <v>1</v>
      </c>
      <c r="AK1721" s="162" t="str">
        <f t="shared" si="1023"/>
        <v>PRAZNO</v>
      </c>
      <c r="AM1721" s="164"/>
    </row>
    <row r="1722" spans="1:39" ht="15.75" x14ac:dyDescent="0.2">
      <c r="B1722" s="177"/>
      <c r="C1722" s="177"/>
      <c r="D1722" s="177"/>
      <c r="E1722" s="177">
        <v>3111</v>
      </c>
      <c r="F1722" s="176">
        <v>11</v>
      </c>
      <c r="G1722" s="176"/>
      <c r="H1722" s="16" t="s">
        <v>1039</v>
      </c>
      <c r="I1722" s="18">
        <v>754000</v>
      </c>
      <c r="J1722" s="18">
        <v>523854.25</v>
      </c>
      <c r="K1722" s="18">
        <f t="shared" si="1050"/>
        <v>69.48</v>
      </c>
      <c r="L1722" s="18">
        <f t="shared" si="1051"/>
        <v>-167933.81999999995</v>
      </c>
      <c r="M1722" s="18">
        <v>586066.18000000005</v>
      </c>
      <c r="N1722" s="18">
        <f>670000-4000</f>
        <v>666000</v>
      </c>
      <c r="O1722" s="18">
        <v>391579.74</v>
      </c>
      <c r="P1722" s="26">
        <f t="shared" si="1025"/>
        <v>0</v>
      </c>
      <c r="Q1722" s="18">
        <f>670000-4000</f>
        <v>666000</v>
      </c>
      <c r="R1722" s="18">
        <f>675000+5000</f>
        <v>680000</v>
      </c>
      <c r="S1722" s="18">
        <f>687000+5000</f>
        <v>692000</v>
      </c>
      <c r="T1722" s="27">
        <v>666000</v>
      </c>
      <c r="U1722" s="27">
        <v>592983.32999999996</v>
      </c>
      <c r="V1722" s="27">
        <v>666000</v>
      </c>
      <c r="W1722" s="27">
        <v>666000</v>
      </c>
      <c r="X1722" s="18">
        <v>670000</v>
      </c>
      <c r="Y1722" s="27">
        <v>247353.09</v>
      </c>
      <c r="Z1722" s="27">
        <f t="shared" si="1016"/>
        <v>37.14</v>
      </c>
      <c r="AA1722" s="27">
        <f t="shared" si="1024"/>
        <v>-65000</v>
      </c>
      <c r="AB1722" s="27">
        <v>601000</v>
      </c>
      <c r="AC1722" s="27">
        <v>447059.42</v>
      </c>
      <c r="AD1722" s="27">
        <f t="shared" si="1045"/>
        <v>74.385926788685524</v>
      </c>
      <c r="AE1722" s="27">
        <f t="shared" si="1004"/>
        <v>0</v>
      </c>
      <c r="AF1722" s="27">
        <v>601000</v>
      </c>
      <c r="AG1722" s="18">
        <v>737000</v>
      </c>
      <c r="AH1722" s="18">
        <v>739000</v>
      </c>
      <c r="AI1722" s="18">
        <v>741000</v>
      </c>
      <c r="AJ1722" s="162" t="b">
        <f t="shared" si="1022"/>
        <v>0</v>
      </c>
      <c r="AK1722" s="162" t="str">
        <f t="shared" si="1023"/>
        <v>PUNO</v>
      </c>
      <c r="AM1722" s="164"/>
    </row>
    <row r="1723" spans="1:39" ht="15.75" x14ac:dyDescent="0.2">
      <c r="B1723" s="177"/>
      <c r="C1723" s="177"/>
      <c r="D1723" s="177">
        <v>312</v>
      </c>
      <c r="E1723" s="177"/>
      <c r="F1723" s="177"/>
      <c r="G1723" s="177"/>
      <c r="H1723" s="29" t="s">
        <v>200</v>
      </c>
      <c r="I1723" s="17">
        <f>I1724</f>
        <v>43000</v>
      </c>
      <c r="J1723" s="17">
        <f>J1724</f>
        <v>20842.41</v>
      </c>
      <c r="K1723" s="17">
        <f t="shared" si="1050"/>
        <v>48.47</v>
      </c>
      <c r="L1723" s="17">
        <f t="shared" si="1051"/>
        <v>-10454.34</v>
      </c>
      <c r="M1723" s="17">
        <f>M1724</f>
        <v>32545.66</v>
      </c>
      <c r="N1723" s="17">
        <f>N1724</f>
        <v>36000</v>
      </c>
      <c r="O1723" s="17">
        <f>O1724</f>
        <v>12600</v>
      </c>
      <c r="P1723" s="26">
        <f t="shared" si="1025"/>
        <v>-5000</v>
      </c>
      <c r="Q1723" s="17">
        <f t="shared" ref="Q1723:AI1723" si="1055">Q1724</f>
        <v>36000</v>
      </c>
      <c r="R1723" s="17">
        <f t="shared" si="1055"/>
        <v>43000</v>
      </c>
      <c r="S1723" s="17">
        <f t="shared" si="1055"/>
        <v>35000</v>
      </c>
      <c r="T1723" s="26">
        <f t="shared" si="1055"/>
        <v>31000</v>
      </c>
      <c r="U1723" s="26">
        <f t="shared" si="1055"/>
        <v>24184.34</v>
      </c>
      <c r="V1723" s="17">
        <f t="shared" si="1055"/>
        <v>38000</v>
      </c>
      <c r="W1723" s="17">
        <f t="shared" si="1055"/>
        <v>37000</v>
      </c>
      <c r="X1723" s="17">
        <f t="shared" si="1055"/>
        <v>41000</v>
      </c>
      <c r="Y1723" s="17">
        <f t="shared" si="1055"/>
        <v>2000</v>
      </c>
      <c r="Z1723" s="17">
        <f t="shared" ref="Z1723:Z1788" si="1056">ROUND(Y1723/V1723*100,2)</f>
        <v>5.26</v>
      </c>
      <c r="AA1723" s="17">
        <f t="shared" si="1024"/>
        <v>0</v>
      </c>
      <c r="AB1723" s="17">
        <f t="shared" si="1055"/>
        <v>38000</v>
      </c>
      <c r="AC1723" s="17">
        <f t="shared" si="1055"/>
        <v>17982.86</v>
      </c>
      <c r="AD1723" s="17">
        <f t="shared" si="1045"/>
        <v>47.323315789473682</v>
      </c>
      <c r="AE1723" s="17">
        <f t="shared" si="1004"/>
        <v>0</v>
      </c>
      <c r="AF1723" s="17">
        <f t="shared" si="1055"/>
        <v>38000</v>
      </c>
      <c r="AG1723" s="17">
        <f t="shared" si="1055"/>
        <v>54000</v>
      </c>
      <c r="AH1723" s="17">
        <f t="shared" si="1055"/>
        <v>34000</v>
      </c>
      <c r="AI1723" s="17">
        <f t="shared" si="1055"/>
        <v>34000</v>
      </c>
      <c r="AJ1723" s="162" t="b">
        <f t="shared" si="1022"/>
        <v>1</v>
      </c>
      <c r="AK1723" s="162" t="str">
        <f t="shared" si="1023"/>
        <v>PRAZNO</v>
      </c>
      <c r="AM1723" s="164"/>
    </row>
    <row r="1724" spans="1:39" ht="15.75" x14ac:dyDescent="0.2">
      <c r="B1724" s="177"/>
      <c r="C1724" s="177"/>
      <c r="D1724" s="177"/>
      <c r="E1724" s="177">
        <v>3121</v>
      </c>
      <c r="F1724" s="176">
        <v>11</v>
      </c>
      <c r="G1724" s="176" t="s">
        <v>1040</v>
      </c>
      <c r="H1724" s="29" t="s">
        <v>200</v>
      </c>
      <c r="I1724" s="17">
        <v>43000</v>
      </c>
      <c r="J1724" s="17">
        <v>20842.41</v>
      </c>
      <c r="K1724" s="17">
        <f t="shared" si="1050"/>
        <v>48.47</v>
      </c>
      <c r="L1724" s="17">
        <f t="shared" si="1051"/>
        <v>-10454.34</v>
      </c>
      <c r="M1724" s="17">
        <v>32545.66</v>
      </c>
      <c r="N1724" s="17">
        <v>36000</v>
      </c>
      <c r="O1724" s="17">
        <v>12600</v>
      </c>
      <c r="P1724" s="26">
        <f t="shared" si="1025"/>
        <v>-5000</v>
      </c>
      <c r="Q1724" s="17">
        <v>36000</v>
      </c>
      <c r="R1724" s="17">
        <v>43000</v>
      </c>
      <c r="S1724" s="17">
        <v>35000</v>
      </c>
      <c r="T1724" s="26">
        <v>31000</v>
      </c>
      <c r="U1724" s="26">
        <v>24184.34</v>
      </c>
      <c r="V1724" s="17">
        <v>38000</v>
      </c>
      <c r="W1724" s="17">
        <v>37000</v>
      </c>
      <c r="X1724" s="17">
        <v>41000</v>
      </c>
      <c r="Y1724" s="17">
        <v>2000</v>
      </c>
      <c r="Z1724" s="17">
        <f t="shared" si="1056"/>
        <v>5.26</v>
      </c>
      <c r="AA1724" s="17">
        <f t="shared" si="1024"/>
        <v>0</v>
      </c>
      <c r="AB1724" s="17">
        <v>38000</v>
      </c>
      <c r="AC1724" s="17">
        <v>17982.86</v>
      </c>
      <c r="AD1724" s="17">
        <f t="shared" si="1045"/>
        <v>47.323315789473682</v>
      </c>
      <c r="AE1724" s="17">
        <f t="shared" si="1004"/>
        <v>0</v>
      </c>
      <c r="AF1724" s="17">
        <v>38000</v>
      </c>
      <c r="AG1724" s="17">
        <v>54000</v>
      </c>
      <c r="AH1724" s="17">
        <v>34000</v>
      </c>
      <c r="AI1724" s="17">
        <v>34000</v>
      </c>
      <c r="AJ1724" s="162" t="b">
        <f t="shared" si="1022"/>
        <v>0</v>
      </c>
      <c r="AK1724" s="162" t="str">
        <f t="shared" si="1023"/>
        <v>PUNO</v>
      </c>
      <c r="AM1724" s="164"/>
    </row>
    <row r="1725" spans="1:39" ht="15.75" x14ac:dyDescent="0.2">
      <c r="B1725" s="177"/>
      <c r="C1725" s="177"/>
      <c r="D1725" s="177">
        <v>313</v>
      </c>
      <c r="E1725" s="177"/>
      <c r="F1725" s="177"/>
      <c r="G1725" s="177"/>
      <c r="H1725" s="29" t="s">
        <v>201</v>
      </c>
      <c r="I1725" s="17">
        <f>SUM(I1726:I1727)</f>
        <v>131000</v>
      </c>
      <c r="J1725" s="17">
        <f>SUM(J1726:J1727)</f>
        <v>90626.8</v>
      </c>
      <c r="K1725" s="17">
        <f t="shared" si="1050"/>
        <v>69.180000000000007</v>
      </c>
      <c r="L1725" s="17">
        <f t="shared" si="1051"/>
        <v>-29610.58</v>
      </c>
      <c r="M1725" s="17">
        <f>SUM(M1726:M1727)</f>
        <v>101389.42</v>
      </c>
      <c r="N1725" s="17">
        <f>SUM(N1726:N1727)</f>
        <v>115700</v>
      </c>
      <c r="O1725" s="17">
        <f>SUM(O1726:O1727)</f>
        <v>64742.96</v>
      </c>
      <c r="P1725" s="26">
        <f t="shared" si="1025"/>
        <v>0</v>
      </c>
      <c r="Q1725" s="17">
        <f t="shared" ref="Q1725:X1725" si="1057">SUM(Q1726:Q1727)</f>
        <v>115700</v>
      </c>
      <c r="R1725" s="17">
        <f t="shared" si="1057"/>
        <v>120000</v>
      </c>
      <c r="S1725" s="17">
        <f t="shared" si="1057"/>
        <v>122000</v>
      </c>
      <c r="T1725" s="26">
        <f t="shared" si="1057"/>
        <v>115700</v>
      </c>
      <c r="U1725" s="26">
        <f>SUM(U1726:U1727)</f>
        <v>95557.69</v>
      </c>
      <c r="V1725" s="17">
        <f t="shared" si="1057"/>
        <v>115700</v>
      </c>
      <c r="W1725" s="17">
        <f t="shared" si="1057"/>
        <v>115700</v>
      </c>
      <c r="X1725" s="17">
        <f t="shared" si="1057"/>
        <v>119400</v>
      </c>
      <c r="Y1725" s="17">
        <f>SUM(Y1726:Y1727)</f>
        <v>37844.980000000003</v>
      </c>
      <c r="Z1725" s="17">
        <f t="shared" si="1056"/>
        <v>32.71</v>
      </c>
      <c r="AA1725" s="17">
        <f t="shared" si="1024"/>
        <v>-18300</v>
      </c>
      <c r="AB1725" s="17">
        <f>SUM(AB1726:AB1727)</f>
        <v>97400</v>
      </c>
      <c r="AC1725" s="17">
        <f>SUM(AC1726:AC1727)</f>
        <v>68399.97</v>
      </c>
      <c r="AD1725" s="17">
        <f t="shared" si="1045"/>
        <v>70.225841889117049</v>
      </c>
      <c r="AE1725" s="17">
        <f t="shared" si="1004"/>
        <v>0</v>
      </c>
      <c r="AF1725" s="17">
        <f>SUM(AF1726:AF1727)</f>
        <v>97400</v>
      </c>
      <c r="AG1725" s="17">
        <f>SUM(AG1726:AG1727)</f>
        <v>112500</v>
      </c>
      <c r="AH1725" s="17">
        <f>SUM(AH1726:AH1727)</f>
        <v>113900</v>
      </c>
      <c r="AI1725" s="17">
        <f>SUM(AI1726:AI1727)</f>
        <v>115200</v>
      </c>
      <c r="AJ1725" s="162" t="b">
        <f t="shared" si="1022"/>
        <v>1</v>
      </c>
      <c r="AK1725" s="162" t="str">
        <f t="shared" si="1023"/>
        <v>PRAZNO</v>
      </c>
      <c r="AM1725" s="164"/>
    </row>
    <row r="1726" spans="1:39" ht="15.75" x14ac:dyDescent="0.2">
      <c r="B1726" s="177"/>
      <c r="C1726" s="177"/>
      <c r="D1726" s="177"/>
      <c r="E1726" s="177">
        <v>3132</v>
      </c>
      <c r="F1726" s="176">
        <v>11</v>
      </c>
      <c r="G1726" s="176" t="s">
        <v>1040</v>
      </c>
      <c r="H1726" s="16" t="s">
        <v>202</v>
      </c>
      <c r="I1726" s="17">
        <v>117000</v>
      </c>
      <c r="J1726" s="17">
        <v>81197.41</v>
      </c>
      <c r="K1726" s="17">
        <f t="shared" si="1050"/>
        <v>69.400000000000006</v>
      </c>
      <c r="L1726" s="17">
        <f t="shared" si="1051"/>
        <v>-26159.800000000003</v>
      </c>
      <c r="M1726" s="17">
        <v>90840.2</v>
      </c>
      <c r="N1726" s="17">
        <f>106600-3300</f>
        <v>103300</v>
      </c>
      <c r="O1726" s="17">
        <v>57694.5</v>
      </c>
      <c r="P1726" s="26">
        <f t="shared" si="1025"/>
        <v>0</v>
      </c>
      <c r="Q1726" s="17">
        <f>106600-3300</f>
        <v>103300</v>
      </c>
      <c r="R1726" s="17">
        <v>107000</v>
      </c>
      <c r="S1726" s="17">
        <v>109000</v>
      </c>
      <c r="T1726" s="26">
        <v>103300</v>
      </c>
      <c r="U1726" s="26">
        <v>84883.94</v>
      </c>
      <c r="V1726" s="26">
        <v>103300</v>
      </c>
      <c r="W1726" s="26">
        <v>103300</v>
      </c>
      <c r="X1726" s="17">
        <v>107000</v>
      </c>
      <c r="Y1726" s="26">
        <v>33392.61</v>
      </c>
      <c r="Z1726" s="26">
        <f t="shared" si="1056"/>
        <v>32.33</v>
      </c>
      <c r="AA1726" s="26">
        <f t="shared" si="1024"/>
        <v>-18300</v>
      </c>
      <c r="AB1726" s="26">
        <v>85000</v>
      </c>
      <c r="AC1726" s="26">
        <v>60352.9</v>
      </c>
      <c r="AD1726" s="26">
        <f t="shared" si="1045"/>
        <v>71.003411764705888</v>
      </c>
      <c r="AE1726" s="26">
        <f t="shared" ref="AE1726:AE1791" si="1058">AF1726-AB1726</f>
        <v>0</v>
      </c>
      <c r="AF1726" s="26">
        <v>85000</v>
      </c>
      <c r="AG1726" s="17">
        <v>99000</v>
      </c>
      <c r="AH1726" s="17">
        <v>100000</v>
      </c>
      <c r="AI1726" s="17">
        <v>101000</v>
      </c>
      <c r="AJ1726" s="162" t="b">
        <f t="shared" si="1022"/>
        <v>0</v>
      </c>
      <c r="AK1726" s="162" t="str">
        <f t="shared" si="1023"/>
        <v>PUNO</v>
      </c>
      <c r="AM1726" s="164"/>
    </row>
    <row r="1727" spans="1:39" ht="30" x14ac:dyDescent="0.2">
      <c r="B1727" s="177"/>
      <c r="C1727" s="177"/>
      <c r="D1727" s="177"/>
      <c r="E1727" s="177">
        <v>3133</v>
      </c>
      <c r="F1727" s="176">
        <v>11</v>
      </c>
      <c r="G1727" s="176" t="s">
        <v>1040</v>
      </c>
      <c r="H1727" s="16" t="s">
        <v>203</v>
      </c>
      <c r="I1727" s="17">
        <v>14000</v>
      </c>
      <c r="J1727" s="17">
        <v>9429.39</v>
      </c>
      <c r="K1727" s="17">
        <f t="shared" si="1050"/>
        <v>67.349999999999994</v>
      </c>
      <c r="L1727" s="17">
        <f t="shared" si="1051"/>
        <v>-3450.7800000000007</v>
      </c>
      <c r="M1727" s="17">
        <v>10549.22</v>
      </c>
      <c r="N1727" s="17">
        <v>12400</v>
      </c>
      <c r="O1727" s="17">
        <v>7048.46</v>
      </c>
      <c r="P1727" s="26">
        <f t="shared" si="1025"/>
        <v>0</v>
      </c>
      <c r="Q1727" s="17">
        <v>12400</v>
      </c>
      <c r="R1727" s="17">
        <v>13000</v>
      </c>
      <c r="S1727" s="17">
        <v>13000</v>
      </c>
      <c r="T1727" s="26">
        <v>12400</v>
      </c>
      <c r="U1727" s="26">
        <v>10673.75</v>
      </c>
      <c r="V1727" s="26">
        <v>12400</v>
      </c>
      <c r="W1727" s="26">
        <v>12400</v>
      </c>
      <c r="X1727" s="26">
        <v>12400</v>
      </c>
      <c r="Y1727" s="26">
        <v>4452.37</v>
      </c>
      <c r="Z1727" s="26">
        <f t="shared" si="1056"/>
        <v>35.909999999999997</v>
      </c>
      <c r="AA1727" s="26">
        <f t="shared" si="1024"/>
        <v>0</v>
      </c>
      <c r="AB1727" s="26">
        <v>12400</v>
      </c>
      <c r="AC1727" s="26">
        <v>8047.07</v>
      </c>
      <c r="AD1727" s="26">
        <f t="shared" si="1045"/>
        <v>64.895725806451608</v>
      </c>
      <c r="AE1727" s="26">
        <f t="shared" si="1058"/>
        <v>0</v>
      </c>
      <c r="AF1727" s="26">
        <v>12400</v>
      </c>
      <c r="AG1727" s="17">
        <v>13500</v>
      </c>
      <c r="AH1727" s="17">
        <v>13900</v>
      </c>
      <c r="AI1727" s="17">
        <v>14200</v>
      </c>
      <c r="AJ1727" s="162" t="b">
        <f t="shared" si="1022"/>
        <v>0</v>
      </c>
      <c r="AK1727" s="162" t="str">
        <f t="shared" si="1023"/>
        <v>PUNO</v>
      </c>
      <c r="AM1727" s="164"/>
    </row>
    <row r="1728" spans="1:39" ht="15.75" x14ac:dyDescent="0.2">
      <c r="B1728" s="177"/>
      <c r="C1728" s="177">
        <v>32</v>
      </c>
      <c r="D1728" s="177"/>
      <c r="E1728" s="177"/>
      <c r="F1728" s="177"/>
      <c r="G1728" s="177"/>
      <c r="H1728" s="29" t="s">
        <v>525</v>
      </c>
      <c r="I1728" s="17">
        <f>I1729+I1733+I1735+I1737</f>
        <v>85500</v>
      </c>
      <c r="J1728" s="17">
        <f>J1729+J1733+J1735+J1737</f>
        <v>55029.49</v>
      </c>
      <c r="K1728" s="17">
        <f t="shared" si="1050"/>
        <v>64.36</v>
      </c>
      <c r="L1728" s="17">
        <f t="shared" si="1051"/>
        <v>-14382.050000000003</v>
      </c>
      <c r="M1728" s="17">
        <f>M1729+M1733+M1735+M1737</f>
        <v>71117.95</v>
      </c>
      <c r="N1728" s="17">
        <f>N1729+N1733+N1735+N1737</f>
        <v>91200</v>
      </c>
      <c r="O1728" s="17">
        <f>O1729+O1733+O1735+O1737</f>
        <v>45270.03</v>
      </c>
      <c r="P1728" s="26">
        <f t="shared" si="1025"/>
        <v>3000</v>
      </c>
      <c r="Q1728" s="17">
        <f t="shared" ref="Q1728:X1728" si="1059">Q1729+Q1733+Q1735+Q1737</f>
        <v>91200</v>
      </c>
      <c r="R1728" s="17">
        <f t="shared" si="1059"/>
        <v>93300</v>
      </c>
      <c r="S1728" s="17">
        <f t="shared" si="1059"/>
        <v>137300</v>
      </c>
      <c r="T1728" s="26">
        <f t="shared" si="1059"/>
        <v>94200</v>
      </c>
      <c r="U1728" s="26">
        <f>U1729+U1733+U1735+U1737</f>
        <v>78563.72</v>
      </c>
      <c r="V1728" s="17">
        <f t="shared" si="1059"/>
        <v>94200</v>
      </c>
      <c r="W1728" s="17">
        <f t="shared" si="1059"/>
        <v>94200</v>
      </c>
      <c r="X1728" s="17">
        <f t="shared" si="1059"/>
        <v>97200</v>
      </c>
      <c r="Y1728" s="17">
        <f>Y1729+Y1733+Y1735+Y1737</f>
        <v>28423.719999999998</v>
      </c>
      <c r="Z1728" s="17">
        <f t="shared" si="1056"/>
        <v>30.17</v>
      </c>
      <c r="AA1728" s="17">
        <f t="shared" si="1024"/>
        <v>-2300</v>
      </c>
      <c r="AB1728" s="17">
        <f>AB1729+AB1733+AB1735+AB1737</f>
        <v>91900</v>
      </c>
      <c r="AC1728" s="17">
        <f>AC1729+AC1733+AC1735+AC1737</f>
        <v>48035.679999999993</v>
      </c>
      <c r="AD1728" s="17">
        <f t="shared" si="1045"/>
        <v>52.269510337323169</v>
      </c>
      <c r="AE1728" s="17">
        <f t="shared" si="1058"/>
        <v>0</v>
      </c>
      <c r="AF1728" s="17">
        <f>AF1729+AF1733+AF1735+AF1737</f>
        <v>91900</v>
      </c>
      <c r="AG1728" s="17">
        <f>AG1729+AG1733+AG1735+AG1737</f>
        <v>103203</v>
      </c>
      <c r="AH1728" s="17">
        <f>AH1729+AH1733+AH1735+AH1737</f>
        <v>103203</v>
      </c>
      <c r="AI1728" s="17">
        <f>AI1729+AI1733+AI1735+AI1737</f>
        <v>103203</v>
      </c>
      <c r="AJ1728" s="162" t="b">
        <f t="shared" si="1022"/>
        <v>1</v>
      </c>
      <c r="AK1728" s="162" t="str">
        <f t="shared" si="1023"/>
        <v>PRAZNO</v>
      </c>
      <c r="AM1728" s="164"/>
    </row>
    <row r="1729" spans="1:47" ht="15.75" x14ac:dyDescent="0.2">
      <c r="B1729" s="177"/>
      <c r="C1729" s="177"/>
      <c r="D1729" s="177">
        <v>321</v>
      </c>
      <c r="E1729" s="177"/>
      <c r="F1729" s="177"/>
      <c r="G1729" s="177"/>
      <c r="H1729" s="29" t="s">
        <v>564</v>
      </c>
      <c r="I1729" s="17">
        <f>SUM(I1730:I1732)</f>
        <v>50500</v>
      </c>
      <c r="J1729" s="17">
        <f>SUM(J1730:J1732)</f>
        <v>37982.400000000001</v>
      </c>
      <c r="K1729" s="17">
        <f t="shared" si="1050"/>
        <v>75.209999999999994</v>
      </c>
      <c r="L1729" s="17">
        <f t="shared" si="1051"/>
        <v>-4797.8000000000029</v>
      </c>
      <c r="M1729" s="17">
        <f>SUM(M1730:M1732)</f>
        <v>45702.2</v>
      </c>
      <c r="N1729" s="17">
        <f>SUM(N1730:N1732)</f>
        <v>56000</v>
      </c>
      <c r="O1729" s="17">
        <f>SUM(O1730:O1732)</f>
        <v>31871</v>
      </c>
      <c r="P1729" s="26">
        <f t="shared" si="1025"/>
        <v>3000</v>
      </c>
      <c r="Q1729" s="17">
        <f t="shared" ref="Q1729:X1729" si="1060">SUM(Q1730:Q1732)</f>
        <v>56000</v>
      </c>
      <c r="R1729" s="17">
        <f t="shared" si="1060"/>
        <v>56800</v>
      </c>
      <c r="S1729" s="17">
        <f t="shared" si="1060"/>
        <v>99300</v>
      </c>
      <c r="T1729" s="26">
        <f t="shared" si="1060"/>
        <v>59000</v>
      </c>
      <c r="U1729" s="26">
        <f>SUM(U1730:U1732)</f>
        <v>49281.8</v>
      </c>
      <c r="V1729" s="17">
        <f t="shared" si="1060"/>
        <v>59000</v>
      </c>
      <c r="W1729" s="17">
        <f t="shared" si="1060"/>
        <v>59000</v>
      </c>
      <c r="X1729" s="17">
        <f t="shared" si="1060"/>
        <v>61000</v>
      </c>
      <c r="Y1729" s="17">
        <f>SUM(Y1730:Y1732)</f>
        <v>22086</v>
      </c>
      <c r="Z1729" s="17">
        <f t="shared" si="1056"/>
        <v>37.43</v>
      </c>
      <c r="AA1729" s="17">
        <f t="shared" si="1024"/>
        <v>-2300</v>
      </c>
      <c r="AB1729" s="17">
        <f>SUM(AB1730:AB1732)</f>
        <v>56700</v>
      </c>
      <c r="AC1729" s="17">
        <f>SUM(AC1730:AC1732)</f>
        <v>36529.839999999997</v>
      </c>
      <c r="AD1729" s="17">
        <f t="shared" si="1045"/>
        <v>64.426525573192222</v>
      </c>
      <c r="AE1729" s="17">
        <f t="shared" si="1058"/>
        <v>0</v>
      </c>
      <c r="AF1729" s="17">
        <f>SUM(AF1730:AF1732)</f>
        <v>56700</v>
      </c>
      <c r="AG1729" s="17">
        <f>SUM(AG1730:AG1732)</f>
        <v>68000</v>
      </c>
      <c r="AH1729" s="17">
        <f>SUM(AH1730:AH1732)</f>
        <v>68000</v>
      </c>
      <c r="AI1729" s="17">
        <f>SUM(AI1730:AI1732)</f>
        <v>68000</v>
      </c>
      <c r="AJ1729" s="162" t="b">
        <f t="shared" si="1022"/>
        <v>1</v>
      </c>
      <c r="AK1729" s="162" t="str">
        <f t="shared" si="1023"/>
        <v>PRAZNO</v>
      </c>
      <c r="AM1729" s="164"/>
    </row>
    <row r="1730" spans="1:47" ht="15.75" x14ac:dyDescent="0.2">
      <c r="B1730" s="177"/>
      <c r="C1730" s="177"/>
      <c r="D1730" s="177"/>
      <c r="E1730" s="177">
        <v>3211</v>
      </c>
      <c r="F1730" s="176">
        <v>11</v>
      </c>
      <c r="G1730" s="176" t="s">
        <v>1040</v>
      </c>
      <c r="H1730" s="29" t="s">
        <v>565</v>
      </c>
      <c r="I1730" s="17">
        <v>3500</v>
      </c>
      <c r="J1730" s="17">
        <v>1082.4000000000001</v>
      </c>
      <c r="K1730" s="17">
        <f t="shared" si="1050"/>
        <v>30.93</v>
      </c>
      <c r="L1730" s="17">
        <f t="shared" si="1051"/>
        <v>-1899.8</v>
      </c>
      <c r="M1730" s="17">
        <v>1600.2</v>
      </c>
      <c r="N1730" s="17">
        <v>4000</v>
      </c>
      <c r="O1730" s="17">
        <v>85</v>
      </c>
      <c r="P1730" s="26">
        <f t="shared" si="1025"/>
        <v>0</v>
      </c>
      <c r="Q1730" s="17">
        <v>4000</v>
      </c>
      <c r="R1730" s="17">
        <v>4000</v>
      </c>
      <c r="S1730" s="17">
        <v>45000</v>
      </c>
      <c r="T1730" s="26">
        <v>4000</v>
      </c>
      <c r="U1730" s="26">
        <v>791.8</v>
      </c>
      <c r="V1730" s="26">
        <v>4000</v>
      </c>
      <c r="W1730" s="26">
        <v>4000</v>
      </c>
      <c r="X1730" s="17">
        <v>5000</v>
      </c>
      <c r="Y1730" s="26">
        <v>0</v>
      </c>
      <c r="Z1730" s="26">
        <f t="shared" si="1056"/>
        <v>0</v>
      </c>
      <c r="AA1730" s="26">
        <f t="shared" si="1024"/>
        <v>0</v>
      </c>
      <c r="AB1730" s="26">
        <v>4000</v>
      </c>
      <c r="AC1730" s="26">
        <v>77.84</v>
      </c>
      <c r="AD1730" s="26">
        <f t="shared" si="1045"/>
        <v>1.9460000000000002</v>
      </c>
      <c r="AE1730" s="26">
        <f t="shared" si="1058"/>
        <v>0</v>
      </c>
      <c r="AF1730" s="26">
        <v>4000</v>
      </c>
      <c r="AG1730" s="26">
        <v>4000</v>
      </c>
      <c r="AH1730" s="26">
        <v>4000</v>
      </c>
      <c r="AI1730" s="26">
        <v>4000</v>
      </c>
      <c r="AJ1730" s="162" t="b">
        <f t="shared" si="1022"/>
        <v>0</v>
      </c>
      <c r="AK1730" s="162" t="str">
        <f t="shared" si="1023"/>
        <v>PUNO</v>
      </c>
      <c r="AM1730" s="164"/>
    </row>
    <row r="1731" spans="1:47" ht="15.75" x14ac:dyDescent="0.2">
      <c r="B1731" s="177"/>
      <c r="C1731" s="177"/>
      <c r="D1731" s="177"/>
      <c r="E1731" s="177">
        <v>3212</v>
      </c>
      <c r="F1731" s="176">
        <v>11</v>
      </c>
      <c r="G1731" s="176" t="s">
        <v>1040</v>
      </c>
      <c r="H1731" s="16" t="s">
        <v>220</v>
      </c>
      <c r="I1731" s="17">
        <v>41000</v>
      </c>
      <c r="J1731" s="17">
        <v>34800</v>
      </c>
      <c r="K1731" s="17">
        <f t="shared" si="1050"/>
        <v>84.88</v>
      </c>
      <c r="L1731" s="17">
        <f t="shared" si="1051"/>
        <v>802</v>
      </c>
      <c r="M1731" s="17">
        <v>41802</v>
      </c>
      <c r="N1731" s="17">
        <v>48000</v>
      </c>
      <c r="O1731" s="17">
        <v>31786</v>
      </c>
      <c r="P1731" s="26">
        <f t="shared" si="1025"/>
        <v>3000</v>
      </c>
      <c r="Q1731" s="17">
        <v>48000</v>
      </c>
      <c r="R1731" s="17">
        <v>48800</v>
      </c>
      <c r="S1731" s="17">
        <v>49800</v>
      </c>
      <c r="T1731" s="26">
        <v>51000</v>
      </c>
      <c r="U1731" s="26">
        <v>47990</v>
      </c>
      <c r="V1731" s="26">
        <v>51000</v>
      </c>
      <c r="W1731" s="26">
        <v>51000</v>
      </c>
      <c r="X1731" s="17">
        <v>52000</v>
      </c>
      <c r="Y1731" s="26">
        <v>21586</v>
      </c>
      <c r="Z1731" s="26">
        <f t="shared" si="1056"/>
        <v>42.33</v>
      </c>
      <c r="AA1731" s="26">
        <f t="shared" si="1024"/>
        <v>-2300</v>
      </c>
      <c r="AB1731" s="26">
        <v>48700</v>
      </c>
      <c r="AC1731" s="26">
        <v>35302</v>
      </c>
      <c r="AD1731" s="26">
        <f t="shared" si="1045"/>
        <v>72.488706365503077</v>
      </c>
      <c r="AE1731" s="26">
        <f t="shared" si="1058"/>
        <v>0</v>
      </c>
      <c r="AF1731" s="26">
        <v>48700</v>
      </c>
      <c r="AG1731" s="26">
        <v>60000</v>
      </c>
      <c r="AH1731" s="26">
        <v>60000</v>
      </c>
      <c r="AI1731" s="26">
        <v>60000</v>
      </c>
      <c r="AJ1731" s="162" t="b">
        <f t="shared" si="1022"/>
        <v>0</v>
      </c>
      <c r="AK1731" s="162" t="str">
        <f t="shared" si="1023"/>
        <v>PUNO</v>
      </c>
      <c r="AM1731" s="164"/>
    </row>
    <row r="1732" spans="1:47" ht="15.75" x14ac:dyDescent="0.2">
      <c r="B1732" s="177"/>
      <c r="C1732" s="177"/>
      <c r="D1732" s="177"/>
      <c r="E1732" s="177">
        <v>3213</v>
      </c>
      <c r="F1732" s="176">
        <v>11</v>
      </c>
      <c r="G1732" s="176" t="s">
        <v>1040</v>
      </c>
      <c r="H1732" s="29" t="s">
        <v>221</v>
      </c>
      <c r="I1732" s="17">
        <v>6000</v>
      </c>
      <c r="J1732" s="17">
        <v>2100</v>
      </c>
      <c r="K1732" s="17">
        <f t="shared" si="1050"/>
        <v>35</v>
      </c>
      <c r="L1732" s="17">
        <f t="shared" si="1051"/>
        <v>-3700</v>
      </c>
      <c r="M1732" s="17">
        <v>2300</v>
      </c>
      <c r="N1732" s="17">
        <v>4000</v>
      </c>
      <c r="O1732" s="17">
        <v>0</v>
      </c>
      <c r="P1732" s="26">
        <f t="shared" si="1025"/>
        <v>0</v>
      </c>
      <c r="Q1732" s="17">
        <v>4000</v>
      </c>
      <c r="R1732" s="17">
        <v>4000</v>
      </c>
      <c r="S1732" s="17">
        <v>4500</v>
      </c>
      <c r="T1732" s="26">
        <v>4000</v>
      </c>
      <c r="U1732" s="26">
        <v>500</v>
      </c>
      <c r="V1732" s="26">
        <v>4000</v>
      </c>
      <c r="W1732" s="26">
        <v>4000</v>
      </c>
      <c r="X1732" s="26">
        <v>4000</v>
      </c>
      <c r="Y1732" s="26">
        <v>500</v>
      </c>
      <c r="Z1732" s="26">
        <f t="shared" si="1056"/>
        <v>12.5</v>
      </c>
      <c r="AA1732" s="26">
        <f t="shared" si="1024"/>
        <v>0</v>
      </c>
      <c r="AB1732" s="26">
        <v>4000</v>
      </c>
      <c r="AC1732" s="26">
        <v>1150</v>
      </c>
      <c r="AD1732" s="26">
        <f t="shared" si="1045"/>
        <v>28.749999999999996</v>
      </c>
      <c r="AE1732" s="26">
        <f t="shared" si="1058"/>
        <v>0</v>
      </c>
      <c r="AF1732" s="26">
        <v>4000</v>
      </c>
      <c r="AG1732" s="26">
        <v>4000</v>
      </c>
      <c r="AH1732" s="26">
        <v>4000</v>
      </c>
      <c r="AI1732" s="26">
        <v>4000</v>
      </c>
      <c r="AJ1732" s="162" t="b">
        <f t="shared" si="1022"/>
        <v>0</v>
      </c>
      <c r="AK1732" s="162" t="str">
        <f t="shared" si="1023"/>
        <v>PUNO</v>
      </c>
      <c r="AM1732" s="164"/>
    </row>
    <row r="1733" spans="1:47" ht="15.75" x14ac:dyDescent="0.2">
      <c r="B1733" s="177"/>
      <c r="C1733" s="177"/>
      <c r="D1733" s="177">
        <v>322</v>
      </c>
      <c r="E1733" s="177"/>
      <c r="F1733" s="177"/>
      <c r="G1733" s="177"/>
      <c r="H1733" s="29" t="s">
        <v>547</v>
      </c>
      <c r="I1733" s="17">
        <f>I1734</f>
        <v>8000</v>
      </c>
      <c r="J1733" s="17">
        <f>J1734</f>
        <v>3207.38</v>
      </c>
      <c r="K1733" s="17">
        <f t="shared" si="1050"/>
        <v>40.090000000000003</v>
      </c>
      <c r="L1733" s="17">
        <f t="shared" si="1051"/>
        <v>-3091.2</v>
      </c>
      <c r="M1733" s="17">
        <f>M1734</f>
        <v>4908.8</v>
      </c>
      <c r="N1733" s="17">
        <f>N1734</f>
        <v>8200</v>
      </c>
      <c r="O1733" s="17">
        <f>O1734</f>
        <v>4118.8</v>
      </c>
      <c r="P1733" s="26">
        <f t="shared" si="1025"/>
        <v>0</v>
      </c>
      <c r="Q1733" s="17">
        <f t="shared" ref="Q1733:AI1733" si="1061">Q1734</f>
        <v>8200</v>
      </c>
      <c r="R1733" s="17">
        <f t="shared" si="1061"/>
        <v>8500</v>
      </c>
      <c r="S1733" s="17">
        <f t="shared" si="1061"/>
        <v>9000</v>
      </c>
      <c r="T1733" s="26">
        <f t="shared" si="1061"/>
        <v>8200</v>
      </c>
      <c r="U1733" s="26">
        <f t="shared" si="1061"/>
        <v>7382.16</v>
      </c>
      <c r="V1733" s="17">
        <f t="shared" si="1061"/>
        <v>8200</v>
      </c>
      <c r="W1733" s="17">
        <f t="shared" si="1061"/>
        <v>8200</v>
      </c>
      <c r="X1733" s="17">
        <f t="shared" si="1061"/>
        <v>8200</v>
      </c>
      <c r="Y1733" s="17">
        <f t="shared" si="1061"/>
        <v>1099.3499999999999</v>
      </c>
      <c r="Z1733" s="17">
        <f t="shared" si="1056"/>
        <v>13.41</v>
      </c>
      <c r="AA1733" s="17">
        <f t="shared" si="1024"/>
        <v>0</v>
      </c>
      <c r="AB1733" s="17">
        <f t="shared" si="1061"/>
        <v>8200</v>
      </c>
      <c r="AC1733" s="17">
        <f t="shared" si="1061"/>
        <v>1563.35</v>
      </c>
      <c r="AD1733" s="17">
        <f t="shared" si="1045"/>
        <v>19.065243902439022</v>
      </c>
      <c r="AE1733" s="17">
        <f t="shared" si="1058"/>
        <v>0</v>
      </c>
      <c r="AF1733" s="17">
        <f t="shared" si="1061"/>
        <v>8200</v>
      </c>
      <c r="AG1733" s="17">
        <f t="shared" si="1061"/>
        <v>8201</v>
      </c>
      <c r="AH1733" s="17">
        <f t="shared" si="1061"/>
        <v>8201</v>
      </c>
      <c r="AI1733" s="17">
        <f t="shared" si="1061"/>
        <v>8201</v>
      </c>
      <c r="AJ1733" s="162" t="b">
        <f t="shared" si="1022"/>
        <v>1</v>
      </c>
      <c r="AK1733" s="162" t="str">
        <f t="shared" si="1023"/>
        <v>PRAZNO</v>
      </c>
      <c r="AM1733" s="164"/>
    </row>
    <row r="1734" spans="1:47" ht="15.75" x14ac:dyDescent="0.2">
      <c r="B1734" s="177"/>
      <c r="C1734" s="177"/>
      <c r="D1734" s="177"/>
      <c r="E1734" s="177">
        <v>3221</v>
      </c>
      <c r="F1734" s="176">
        <v>11</v>
      </c>
      <c r="G1734" s="176" t="s">
        <v>1040</v>
      </c>
      <c r="H1734" s="29" t="s">
        <v>548</v>
      </c>
      <c r="I1734" s="17">
        <v>8000</v>
      </c>
      <c r="J1734" s="17">
        <v>3207.38</v>
      </c>
      <c r="K1734" s="17">
        <f t="shared" si="1050"/>
        <v>40.090000000000003</v>
      </c>
      <c r="L1734" s="17">
        <f t="shared" si="1051"/>
        <v>-3091.2</v>
      </c>
      <c r="M1734" s="17">
        <v>4908.8</v>
      </c>
      <c r="N1734" s="17">
        <v>8200</v>
      </c>
      <c r="O1734" s="17">
        <v>4118.8</v>
      </c>
      <c r="P1734" s="26">
        <f t="shared" si="1025"/>
        <v>0</v>
      </c>
      <c r="Q1734" s="17">
        <v>8200</v>
      </c>
      <c r="R1734" s="17">
        <v>8500</v>
      </c>
      <c r="S1734" s="17">
        <v>9000</v>
      </c>
      <c r="T1734" s="26">
        <v>8200</v>
      </c>
      <c r="U1734" s="26">
        <v>7382.16</v>
      </c>
      <c r="V1734" s="26">
        <v>8200</v>
      </c>
      <c r="W1734" s="26">
        <v>8200</v>
      </c>
      <c r="X1734" s="26">
        <v>8200</v>
      </c>
      <c r="Y1734" s="26">
        <v>1099.3499999999999</v>
      </c>
      <c r="Z1734" s="26">
        <f t="shared" si="1056"/>
        <v>13.41</v>
      </c>
      <c r="AA1734" s="26">
        <f t="shared" si="1024"/>
        <v>0</v>
      </c>
      <c r="AB1734" s="26">
        <v>8200</v>
      </c>
      <c r="AC1734" s="26">
        <v>1563.35</v>
      </c>
      <c r="AD1734" s="26">
        <f t="shared" si="1045"/>
        <v>19.065243902439022</v>
      </c>
      <c r="AE1734" s="26">
        <f t="shared" si="1058"/>
        <v>0</v>
      </c>
      <c r="AF1734" s="26">
        <v>8200</v>
      </c>
      <c r="AG1734" s="26">
        <v>8201</v>
      </c>
      <c r="AH1734" s="26">
        <v>8201</v>
      </c>
      <c r="AI1734" s="26">
        <v>8201</v>
      </c>
      <c r="AJ1734" s="162" t="b">
        <f t="shared" si="1022"/>
        <v>0</v>
      </c>
      <c r="AK1734" s="162" t="str">
        <f t="shared" si="1023"/>
        <v>PUNO</v>
      </c>
      <c r="AM1734" s="164"/>
    </row>
    <row r="1735" spans="1:47" ht="15.75" x14ac:dyDescent="0.2">
      <c r="B1735" s="177"/>
      <c r="C1735" s="177"/>
      <c r="D1735" s="177">
        <v>323</v>
      </c>
      <c r="E1735" s="177"/>
      <c r="F1735" s="177"/>
      <c r="G1735" s="177"/>
      <c r="H1735" s="29" t="s">
        <v>526</v>
      </c>
      <c r="I1735" s="17">
        <f>I1736</f>
        <v>19000</v>
      </c>
      <c r="J1735" s="17">
        <f>J1736</f>
        <v>12389.71</v>
      </c>
      <c r="K1735" s="17">
        <f t="shared" si="1050"/>
        <v>65.209999999999994</v>
      </c>
      <c r="L1735" s="17">
        <f t="shared" si="1051"/>
        <v>56.950000000000728</v>
      </c>
      <c r="M1735" s="17">
        <f>M1736</f>
        <v>19056.95</v>
      </c>
      <c r="N1735" s="17">
        <f>N1736</f>
        <v>19000</v>
      </c>
      <c r="O1735" s="17">
        <f>O1736</f>
        <v>9263.24</v>
      </c>
      <c r="P1735" s="26">
        <f t="shared" si="1025"/>
        <v>0</v>
      </c>
      <c r="Q1735" s="17">
        <f t="shared" ref="Q1735:AI1735" si="1062">Q1736</f>
        <v>19000</v>
      </c>
      <c r="R1735" s="17">
        <f t="shared" si="1062"/>
        <v>20000</v>
      </c>
      <c r="S1735" s="17">
        <f t="shared" si="1062"/>
        <v>21000</v>
      </c>
      <c r="T1735" s="26">
        <f t="shared" si="1062"/>
        <v>19000</v>
      </c>
      <c r="U1735" s="26">
        <f t="shared" si="1062"/>
        <v>17395.169999999998</v>
      </c>
      <c r="V1735" s="17">
        <f t="shared" si="1062"/>
        <v>19000</v>
      </c>
      <c r="W1735" s="17">
        <f t="shared" si="1062"/>
        <v>19000</v>
      </c>
      <c r="X1735" s="17">
        <f t="shared" si="1062"/>
        <v>20000</v>
      </c>
      <c r="Y1735" s="17">
        <f t="shared" si="1062"/>
        <v>4838.37</v>
      </c>
      <c r="Z1735" s="17">
        <f t="shared" si="1056"/>
        <v>25.47</v>
      </c>
      <c r="AA1735" s="17">
        <f t="shared" si="1024"/>
        <v>0</v>
      </c>
      <c r="AB1735" s="17">
        <f t="shared" si="1062"/>
        <v>19000</v>
      </c>
      <c r="AC1735" s="17">
        <f t="shared" si="1062"/>
        <v>9542.49</v>
      </c>
      <c r="AD1735" s="17">
        <f t="shared" si="1045"/>
        <v>50.223631578947369</v>
      </c>
      <c r="AE1735" s="17">
        <f t="shared" si="1058"/>
        <v>0</v>
      </c>
      <c r="AF1735" s="17">
        <f t="shared" si="1062"/>
        <v>19000</v>
      </c>
      <c r="AG1735" s="17">
        <f t="shared" si="1062"/>
        <v>19001</v>
      </c>
      <c r="AH1735" s="17">
        <f t="shared" si="1062"/>
        <v>19001</v>
      </c>
      <c r="AI1735" s="17">
        <f t="shared" si="1062"/>
        <v>19001</v>
      </c>
      <c r="AJ1735" s="162" t="b">
        <f t="shared" si="1022"/>
        <v>1</v>
      </c>
      <c r="AK1735" s="162" t="str">
        <f t="shared" si="1023"/>
        <v>PRAZNO</v>
      </c>
      <c r="AM1735" s="164"/>
    </row>
    <row r="1736" spans="1:47" ht="15.75" x14ac:dyDescent="0.2">
      <c r="B1736" s="177"/>
      <c r="C1736" s="177"/>
      <c r="D1736" s="177"/>
      <c r="E1736" s="177">
        <v>3231</v>
      </c>
      <c r="F1736" s="176">
        <v>11</v>
      </c>
      <c r="G1736" s="176" t="s">
        <v>1040</v>
      </c>
      <c r="H1736" s="16" t="s">
        <v>206</v>
      </c>
      <c r="I1736" s="17">
        <v>19000</v>
      </c>
      <c r="J1736" s="17">
        <v>12389.71</v>
      </c>
      <c r="K1736" s="17">
        <f t="shared" si="1050"/>
        <v>65.209999999999994</v>
      </c>
      <c r="L1736" s="17">
        <f t="shared" si="1051"/>
        <v>56.950000000000728</v>
      </c>
      <c r="M1736" s="17">
        <v>19056.95</v>
      </c>
      <c r="N1736" s="17">
        <v>19000</v>
      </c>
      <c r="O1736" s="17">
        <v>9263.24</v>
      </c>
      <c r="P1736" s="26">
        <f t="shared" si="1025"/>
        <v>0</v>
      </c>
      <c r="Q1736" s="17">
        <v>19000</v>
      </c>
      <c r="R1736" s="17">
        <v>20000</v>
      </c>
      <c r="S1736" s="17">
        <v>21000</v>
      </c>
      <c r="T1736" s="26">
        <v>19000</v>
      </c>
      <c r="U1736" s="26">
        <v>17395.169999999998</v>
      </c>
      <c r="V1736" s="26">
        <v>19000</v>
      </c>
      <c r="W1736" s="26">
        <v>19000</v>
      </c>
      <c r="X1736" s="17">
        <v>20000</v>
      </c>
      <c r="Y1736" s="26">
        <v>4838.37</v>
      </c>
      <c r="Z1736" s="26">
        <f t="shared" si="1056"/>
        <v>25.47</v>
      </c>
      <c r="AA1736" s="26">
        <f t="shared" si="1024"/>
        <v>0</v>
      </c>
      <c r="AB1736" s="26">
        <v>19000</v>
      </c>
      <c r="AC1736" s="26">
        <v>9542.49</v>
      </c>
      <c r="AD1736" s="26">
        <f t="shared" si="1045"/>
        <v>50.223631578947369</v>
      </c>
      <c r="AE1736" s="26">
        <f t="shared" si="1058"/>
        <v>0</v>
      </c>
      <c r="AF1736" s="26">
        <v>19000</v>
      </c>
      <c r="AG1736" s="26">
        <v>19001</v>
      </c>
      <c r="AH1736" s="26">
        <v>19001</v>
      </c>
      <c r="AI1736" s="26">
        <v>19001</v>
      </c>
      <c r="AJ1736" s="162" t="b">
        <f t="shared" si="1022"/>
        <v>0</v>
      </c>
      <c r="AK1736" s="162" t="str">
        <f t="shared" si="1023"/>
        <v>PUNO</v>
      </c>
      <c r="AM1736" s="164"/>
    </row>
    <row r="1737" spans="1:47" ht="15.75" x14ac:dyDescent="0.2">
      <c r="B1737" s="177"/>
      <c r="C1737" s="177"/>
      <c r="D1737" s="177">
        <v>329</v>
      </c>
      <c r="E1737" s="177"/>
      <c r="F1737" s="177"/>
      <c r="G1737" s="177"/>
      <c r="H1737" s="29" t="s">
        <v>531</v>
      </c>
      <c r="I1737" s="17">
        <f>I1738</f>
        <v>8000</v>
      </c>
      <c r="J1737" s="17">
        <f>J1738</f>
        <v>1450</v>
      </c>
      <c r="K1737" s="17">
        <f t="shared" si="1050"/>
        <v>18.13</v>
      </c>
      <c r="L1737" s="17">
        <f t="shared" si="1051"/>
        <v>-6550</v>
      </c>
      <c r="M1737" s="17">
        <f>M1738</f>
        <v>1450</v>
      </c>
      <c r="N1737" s="17">
        <f>N1738</f>
        <v>8000</v>
      </c>
      <c r="O1737" s="17">
        <f>O1738</f>
        <v>16.989999999999998</v>
      </c>
      <c r="P1737" s="26">
        <f t="shared" si="1025"/>
        <v>0</v>
      </c>
      <c r="Q1737" s="17">
        <f t="shared" ref="Q1737:AI1737" si="1063">Q1738</f>
        <v>8000</v>
      </c>
      <c r="R1737" s="17">
        <f t="shared" si="1063"/>
        <v>8000</v>
      </c>
      <c r="S1737" s="17">
        <f t="shared" si="1063"/>
        <v>8000</v>
      </c>
      <c r="T1737" s="26">
        <f t="shared" si="1063"/>
        <v>8000</v>
      </c>
      <c r="U1737" s="26">
        <f t="shared" si="1063"/>
        <v>4504.59</v>
      </c>
      <c r="V1737" s="17">
        <f t="shared" si="1063"/>
        <v>8000</v>
      </c>
      <c r="W1737" s="17">
        <f t="shared" si="1063"/>
        <v>8000</v>
      </c>
      <c r="X1737" s="17">
        <f t="shared" si="1063"/>
        <v>8000</v>
      </c>
      <c r="Y1737" s="17">
        <f t="shared" si="1063"/>
        <v>400</v>
      </c>
      <c r="Z1737" s="17">
        <f t="shared" si="1056"/>
        <v>5</v>
      </c>
      <c r="AA1737" s="17">
        <f t="shared" si="1024"/>
        <v>0</v>
      </c>
      <c r="AB1737" s="17">
        <f t="shared" si="1063"/>
        <v>8000</v>
      </c>
      <c r="AC1737" s="17">
        <f t="shared" si="1063"/>
        <v>400</v>
      </c>
      <c r="AD1737" s="17">
        <f t="shared" si="1045"/>
        <v>5</v>
      </c>
      <c r="AE1737" s="17">
        <f t="shared" si="1058"/>
        <v>0</v>
      </c>
      <c r="AF1737" s="17">
        <f t="shared" si="1063"/>
        <v>8000</v>
      </c>
      <c r="AG1737" s="17">
        <f t="shared" si="1063"/>
        <v>8001</v>
      </c>
      <c r="AH1737" s="17">
        <f t="shared" si="1063"/>
        <v>8001</v>
      </c>
      <c r="AI1737" s="17">
        <f t="shared" si="1063"/>
        <v>8001</v>
      </c>
      <c r="AJ1737" s="162" t="b">
        <f t="shared" ref="AJ1737:AJ1800" si="1064">ISBLANK(E1737)</f>
        <v>1</v>
      </c>
      <c r="AK1737" s="162" t="str">
        <f t="shared" ref="AK1737:AK1800" si="1065">IF(AJ1737,"PRAZNO","PUNO")</f>
        <v>PRAZNO</v>
      </c>
      <c r="AM1737" s="164"/>
    </row>
    <row r="1738" spans="1:47" ht="15.75" x14ac:dyDescent="0.2">
      <c r="B1738" s="177"/>
      <c r="C1738" s="177"/>
      <c r="D1738" s="177"/>
      <c r="E1738" s="177">
        <v>3299</v>
      </c>
      <c r="F1738" s="176">
        <v>11</v>
      </c>
      <c r="G1738" s="176" t="s">
        <v>1040</v>
      </c>
      <c r="H1738" s="29" t="s">
        <v>531</v>
      </c>
      <c r="I1738" s="17">
        <v>8000</v>
      </c>
      <c r="J1738" s="17">
        <v>1450</v>
      </c>
      <c r="K1738" s="17">
        <f t="shared" si="1050"/>
        <v>18.13</v>
      </c>
      <c r="L1738" s="17">
        <f t="shared" si="1051"/>
        <v>-6550</v>
      </c>
      <c r="M1738" s="17">
        <v>1450</v>
      </c>
      <c r="N1738" s="17">
        <v>8000</v>
      </c>
      <c r="O1738" s="17">
        <v>16.989999999999998</v>
      </c>
      <c r="P1738" s="26">
        <f t="shared" si="1025"/>
        <v>0</v>
      </c>
      <c r="Q1738" s="17">
        <v>8000</v>
      </c>
      <c r="R1738" s="17">
        <v>8000</v>
      </c>
      <c r="S1738" s="17">
        <v>8000</v>
      </c>
      <c r="T1738" s="26">
        <v>8000</v>
      </c>
      <c r="U1738" s="26">
        <v>4504.59</v>
      </c>
      <c r="V1738" s="26">
        <v>8000</v>
      </c>
      <c r="W1738" s="26">
        <v>8000</v>
      </c>
      <c r="X1738" s="26">
        <v>8000</v>
      </c>
      <c r="Y1738" s="26">
        <v>400</v>
      </c>
      <c r="Z1738" s="26">
        <f t="shared" si="1056"/>
        <v>5</v>
      </c>
      <c r="AA1738" s="26">
        <f t="shared" si="1024"/>
        <v>0</v>
      </c>
      <c r="AB1738" s="26">
        <v>8000</v>
      </c>
      <c r="AC1738" s="26">
        <v>400</v>
      </c>
      <c r="AD1738" s="26">
        <f t="shared" si="1045"/>
        <v>5</v>
      </c>
      <c r="AE1738" s="26">
        <f t="shared" si="1058"/>
        <v>0</v>
      </c>
      <c r="AF1738" s="26">
        <v>8000</v>
      </c>
      <c r="AG1738" s="26">
        <v>8001</v>
      </c>
      <c r="AH1738" s="26">
        <v>8001</v>
      </c>
      <c r="AI1738" s="26">
        <v>8001</v>
      </c>
      <c r="AJ1738" s="162" t="b">
        <f t="shared" si="1064"/>
        <v>0</v>
      </c>
      <c r="AK1738" s="162" t="str">
        <f t="shared" si="1065"/>
        <v>PUNO</v>
      </c>
      <c r="AM1738" s="164"/>
    </row>
    <row r="1739" spans="1:47" s="171" customFormat="1" ht="31.5" x14ac:dyDescent="0.2">
      <c r="A1739" s="259"/>
      <c r="B1739" s="168"/>
      <c r="C1739" s="168"/>
      <c r="D1739" s="168"/>
      <c r="E1739" s="168"/>
      <c r="F1739" s="168"/>
      <c r="G1739" s="168"/>
      <c r="H1739" s="12" t="s">
        <v>876</v>
      </c>
      <c r="I1739" s="169">
        <f>I1741</f>
        <v>4000</v>
      </c>
      <c r="J1739" s="169">
        <f>J1741</f>
        <v>3213.54</v>
      </c>
      <c r="K1739" s="169">
        <f t="shared" si="1050"/>
        <v>80.34</v>
      </c>
      <c r="L1739" s="169">
        <f t="shared" si="1051"/>
        <v>-428.46000000000004</v>
      </c>
      <c r="M1739" s="19">
        <f>M1741</f>
        <v>3571.54</v>
      </c>
      <c r="N1739" s="19">
        <f>N1741</f>
        <v>12300</v>
      </c>
      <c r="O1739" s="19">
        <f>O1741</f>
        <v>6913.18</v>
      </c>
      <c r="P1739" s="303">
        <f t="shared" si="1025"/>
        <v>0</v>
      </c>
      <c r="Q1739" s="19">
        <f t="shared" ref="Q1739:X1739" si="1066">Q1741</f>
        <v>12300</v>
      </c>
      <c r="R1739" s="19">
        <f t="shared" si="1066"/>
        <v>6000</v>
      </c>
      <c r="S1739" s="19">
        <f t="shared" si="1066"/>
        <v>6000</v>
      </c>
      <c r="T1739" s="53">
        <f t="shared" si="1066"/>
        <v>12300</v>
      </c>
      <c r="U1739" s="53">
        <f>U1741</f>
        <v>6913.18</v>
      </c>
      <c r="V1739" s="19">
        <f t="shared" si="1066"/>
        <v>5000</v>
      </c>
      <c r="W1739" s="19">
        <f t="shared" si="1066"/>
        <v>5000</v>
      </c>
      <c r="X1739" s="19">
        <f t="shared" si="1066"/>
        <v>6000</v>
      </c>
      <c r="Y1739" s="19">
        <f>Y1741</f>
        <v>0</v>
      </c>
      <c r="Z1739" s="19">
        <f t="shared" si="1056"/>
        <v>0</v>
      </c>
      <c r="AA1739" s="19">
        <f t="shared" si="1024"/>
        <v>10000</v>
      </c>
      <c r="AB1739" s="19">
        <f>AB1741</f>
        <v>15000</v>
      </c>
      <c r="AC1739" s="19">
        <f>AC1741</f>
        <v>11420.56</v>
      </c>
      <c r="AD1739" s="19">
        <f t="shared" si="1045"/>
        <v>76.137066666666669</v>
      </c>
      <c r="AE1739" s="19">
        <f t="shared" si="1058"/>
        <v>0</v>
      </c>
      <c r="AF1739" s="19">
        <f>AF1741</f>
        <v>15000</v>
      </c>
      <c r="AG1739" s="19">
        <f>AG1741</f>
        <v>6000</v>
      </c>
      <c r="AH1739" s="19">
        <f>AH1741</f>
        <v>4000</v>
      </c>
      <c r="AI1739" s="19">
        <f>AI1741</f>
        <v>4000</v>
      </c>
      <c r="AJ1739" s="162" t="b">
        <f t="shared" si="1064"/>
        <v>1</v>
      </c>
      <c r="AK1739" s="162" t="str">
        <f t="shared" si="1065"/>
        <v>PRAZNO</v>
      </c>
      <c r="AL1739" s="170"/>
      <c r="AM1739" s="164"/>
    </row>
    <row r="1740" spans="1:47" s="264" customFormat="1" ht="15.75" x14ac:dyDescent="0.2">
      <c r="A1740" s="259"/>
      <c r="B1740" s="260"/>
      <c r="C1740" s="260"/>
      <c r="D1740" s="260"/>
      <c r="E1740" s="260"/>
      <c r="F1740" s="260"/>
      <c r="G1740" s="260"/>
      <c r="H1740" s="441" t="s">
        <v>824</v>
      </c>
      <c r="I1740" s="181"/>
      <c r="J1740" s="181"/>
      <c r="K1740" s="181"/>
      <c r="L1740" s="181"/>
      <c r="M1740" s="262"/>
      <c r="N1740" s="262"/>
      <c r="O1740" s="262"/>
      <c r="P1740" s="445"/>
      <c r="Q1740" s="262"/>
      <c r="R1740" s="262"/>
      <c r="S1740" s="262"/>
      <c r="T1740" s="342"/>
      <c r="U1740" s="342"/>
      <c r="V1740" s="262">
        <f>V1741</f>
        <v>5000</v>
      </c>
      <c r="W1740" s="262">
        <f>W1741</f>
        <v>5000</v>
      </c>
      <c r="X1740" s="262">
        <f>X1741</f>
        <v>6000</v>
      </c>
      <c r="Y1740" s="262">
        <f>Y1741</f>
        <v>0</v>
      </c>
      <c r="Z1740" s="262">
        <f t="shared" si="1056"/>
        <v>0</v>
      </c>
      <c r="AA1740" s="262">
        <f t="shared" si="1024"/>
        <v>10000</v>
      </c>
      <c r="AB1740" s="262">
        <f>AB1741</f>
        <v>15000</v>
      </c>
      <c r="AC1740" s="262">
        <f>AC1741</f>
        <v>11420.56</v>
      </c>
      <c r="AD1740" s="262">
        <f t="shared" si="1045"/>
        <v>76.137066666666669</v>
      </c>
      <c r="AE1740" s="262">
        <f t="shared" si="1058"/>
        <v>0</v>
      </c>
      <c r="AF1740" s="262">
        <f>AF1741</f>
        <v>15000</v>
      </c>
      <c r="AG1740" s="262">
        <f>AG1741</f>
        <v>6000</v>
      </c>
      <c r="AH1740" s="262">
        <f>AH1741</f>
        <v>4000</v>
      </c>
      <c r="AI1740" s="262">
        <f>AI1741</f>
        <v>4000</v>
      </c>
      <c r="AJ1740" s="162" t="b">
        <f t="shared" si="1064"/>
        <v>1</v>
      </c>
      <c r="AK1740" s="162" t="str">
        <f t="shared" si="1065"/>
        <v>PRAZNO</v>
      </c>
      <c r="AL1740" s="263"/>
    </row>
    <row r="1741" spans="1:47" s="174" customFormat="1" ht="15.75" x14ac:dyDescent="0.2">
      <c r="A1741" s="259"/>
      <c r="B1741" s="172">
        <v>4</v>
      </c>
      <c r="C1741" s="172"/>
      <c r="D1741" s="172"/>
      <c r="E1741" s="172"/>
      <c r="F1741" s="172"/>
      <c r="G1741" s="172"/>
      <c r="H1741" s="14" t="s">
        <v>552</v>
      </c>
      <c r="I1741" s="20">
        <f>I1742</f>
        <v>4000</v>
      </c>
      <c r="J1741" s="20">
        <f>J1742</f>
        <v>3213.54</v>
      </c>
      <c r="K1741" s="20">
        <f t="shared" si="1050"/>
        <v>80.34</v>
      </c>
      <c r="L1741" s="20">
        <f t="shared" ref="L1741:L1807" si="1067">M1741-I1741</f>
        <v>-428.46000000000004</v>
      </c>
      <c r="M1741" s="20">
        <f>M1742</f>
        <v>3571.54</v>
      </c>
      <c r="N1741" s="20">
        <f t="shared" ref="N1741:AI1741" si="1068">N1742</f>
        <v>12300</v>
      </c>
      <c r="O1741" s="20">
        <f t="shared" si="1068"/>
        <v>6913.18</v>
      </c>
      <c r="P1741" s="55">
        <f t="shared" si="1025"/>
        <v>0</v>
      </c>
      <c r="Q1741" s="20">
        <f t="shared" si="1068"/>
        <v>12300</v>
      </c>
      <c r="R1741" s="20">
        <f t="shared" si="1068"/>
        <v>6000</v>
      </c>
      <c r="S1741" s="20">
        <f t="shared" si="1068"/>
        <v>6000</v>
      </c>
      <c r="T1741" s="55">
        <f t="shared" si="1068"/>
        <v>12300</v>
      </c>
      <c r="U1741" s="55">
        <f t="shared" si="1068"/>
        <v>6913.18</v>
      </c>
      <c r="V1741" s="20">
        <f t="shared" si="1068"/>
        <v>5000</v>
      </c>
      <c r="W1741" s="20">
        <f t="shared" si="1068"/>
        <v>5000</v>
      </c>
      <c r="X1741" s="20">
        <f t="shared" si="1068"/>
        <v>6000</v>
      </c>
      <c r="Y1741" s="20">
        <f t="shared" si="1068"/>
        <v>0</v>
      </c>
      <c r="Z1741" s="20">
        <f t="shared" si="1056"/>
        <v>0</v>
      </c>
      <c r="AA1741" s="20">
        <f t="shared" si="1024"/>
        <v>10000</v>
      </c>
      <c r="AB1741" s="20">
        <f t="shared" si="1068"/>
        <v>15000</v>
      </c>
      <c r="AC1741" s="20">
        <f t="shared" si="1068"/>
        <v>11420.56</v>
      </c>
      <c r="AD1741" s="20">
        <f t="shared" si="1045"/>
        <v>76.137066666666669</v>
      </c>
      <c r="AE1741" s="20">
        <f t="shared" si="1058"/>
        <v>0</v>
      </c>
      <c r="AF1741" s="20">
        <f t="shared" si="1068"/>
        <v>15000</v>
      </c>
      <c r="AG1741" s="20">
        <f t="shared" si="1068"/>
        <v>6000</v>
      </c>
      <c r="AH1741" s="20">
        <f t="shared" si="1068"/>
        <v>4000</v>
      </c>
      <c r="AI1741" s="20">
        <f t="shared" si="1068"/>
        <v>4000</v>
      </c>
      <c r="AJ1741" s="162" t="b">
        <f t="shared" si="1064"/>
        <v>1</v>
      </c>
      <c r="AK1741" s="162" t="str">
        <f t="shared" si="1065"/>
        <v>PRAZNO</v>
      </c>
      <c r="AL1741" s="173"/>
      <c r="AM1741" s="164"/>
    </row>
    <row r="1742" spans="1:47" ht="15.75" x14ac:dyDescent="0.2">
      <c r="B1742" s="177"/>
      <c r="C1742" s="177">
        <v>42</v>
      </c>
      <c r="D1742" s="177"/>
      <c r="E1742" s="177"/>
      <c r="F1742" s="177"/>
      <c r="G1742" s="177"/>
      <c r="H1742" s="29" t="s">
        <v>212</v>
      </c>
      <c r="I1742" s="17">
        <f t="shared" ref="I1742:AI1743" si="1069">I1743</f>
        <v>4000</v>
      </c>
      <c r="J1742" s="17">
        <f t="shared" si="1069"/>
        <v>3213.54</v>
      </c>
      <c r="K1742" s="17">
        <f t="shared" si="1050"/>
        <v>80.34</v>
      </c>
      <c r="L1742" s="17">
        <f t="shared" si="1067"/>
        <v>-428.46000000000004</v>
      </c>
      <c r="M1742" s="17">
        <f>M1743</f>
        <v>3571.54</v>
      </c>
      <c r="N1742" s="17">
        <f t="shared" si="1069"/>
        <v>12300</v>
      </c>
      <c r="O1742" s="17">
        <f t="shared" si="1069"/>
        <v>6913.18</v>
      </c>
      <c r="P1742" s="26">
        <f t="shared" si="1025"/>
        <v>0</v>
      </c>
      <c r="Q1742" s="17">
        <f t="shared" si="1069"/>
        <v>12300</v>
      </c>
      <c r="R1742" s="17">
        <f t="shared" si="1069"/>
        <v>6000</v>
      </c>
      <c r="S1742" s="17">
        <f t="shared" si="1069"/>
        <v>6000</v>
      </c>
      <c r="T1742" s="26">
        <f t="shared" si="1069"/>
        <v>12300</v>
      </c>
      <c r="U1742" s="26">
        <f t="shared" si="1069"/>
        <v>6913.18</v>
      </c>
      <c r="V1742" s="17">
        <f t="shared" si="1069"/>
        <v>5000</v>
      </c>
      <c r="W1742" s="17">
        <f t="shared" si="1069"/>
        <v>5000</v>
      </c>
      <c r="X1742" s="17">
        <f t="shared" si="1069"/>
        <v>6000</v>
      </c>
      <c r="Y1742" s="17">
        <f t="shared" si="1069"/>
        <v>0</v>
      </c>
      <c r="Z1742" s="17">
        <f t="shared" si="1056"/>
        <v>0</v>
      </c>
      <c r="AA1742" s="17">
        <f t="shared" si="1024"/>
        <v>10000</v>
      </c>
      <c r="AB1742" s="17">
        <f t="shared" si="1069"/>
        <v>15000</v>
      </c>
      <c r="AC1742" s="17">
        <f t="shared" si="1069"/>
        <v>11420.56</v>
      </c>
      <c r="AD1742" s="17">
        <f t="shared" si="1045"/>
        <v>76.137066666666669</v>
      </c>
      <c r="AE1742" s="17">
        <f t="shared" si="1058"/>
        <v>0</v>
      </c>
      <c r="AF1742" s="17">
        <f t="shared" si="1069"/>
        <v>15000</v>
      </c>
      <c r="AG1742" s="17">
        <f t="shared" si="1069"/>
        <v>6000</v>
      </c>
      <c r="AH1742" s="17">
        <f t="shared" si="1069"/>
        <v>4000</v>
      </c>
      <c r="AI1742" s="17">
        <f t="shared" si="1069"/>
        <v>4000</v>
      </c>
      <c r="AJ1742" s="162" t="b">
        <f t="shared" si="1064"/>
        <v>1</v>
      </c>
      <c r="AK1742" s="162" t="str">
        <f t="shared" si="1065"/>
        <v>PRAZNO</v>
      </c>
      <c r="AM1742" s="164"/>
    </row>
    <row r="1743" spans="1:47" ht="15.75" x14ac:dyDescent="0.2">
      <c r="B1743" s="177"/>
      <c r="C1743" s="177"/>
      <c r="D1743" s="177">
        <v>422</v>
      </c>
      <c r="E1743" s="177"/>
      <c r="F1743" s="177"/>
      <c r="G1743" s="177"/>
      <c r="H1743" s="29" t="s">
        <v>555</v>
      </c>
      <c r="I1743" s="17">
        <f t="shared" si="1069"/>
        <v>4000</v>
      </c>
      <c r="J1743" s="17">
        <f t="shared" si="1069"/>
        <v>3213.54</v>
      </c>
      <c r="K1743" s="17">
        <f t="shared" si="1050"/>
        <v>80.34</v>
      </c>
      <c r="L1743" s="17">
        <f t="shared" si="1067"/>
        <v>-428.46000000000004</v>
      </c>
      <c r="M1743" s="17">
        <f>M1744</f>
        <v>3571.54</v>
      </c>
      <c r="N1743" s="17">
        <f t="shared" si="1069"/>
        <v>12300</v>
      </c>
      <c r="O1743" s="17">
        <f t="shared" si="1069"/>
        <v>6913.18</v>
      </c>
      <c r="P1743" s="26">
        <f t="shared" si="1025"/>
        <v>0</v>
      </c>
      <c r="Q1743" s="17">
        <f t="shared" si="1069"/>
        <v>12300</v>
      </c>
      <c r="R1743" s="17">
        <f t="shared" si="1069"/>
        <v>6000</v>
      </c>
      <c r="S1743" s="17">
        <f t="shared" si="1069"/>
        <v>6000</v>
      </c>
      <c r="T1743" s="26">
        <f t="shared" si="1069"/>
        <v>12300</v>
      </c>
      <c r="U1743" s="26">
        <f t="shared" si="1069"/>
        <v>6913.18</v>
      </c>
      <c r="V1743" s="17">
        <f t="shared" si="1069"/>
        <v>5000</v>
      </c>
      <c r="W1743" s="17">
        <f t="shared" si="1069"/>
        <v>5000</v>
      </c>
      <c r="X1743" s="17">
        <f t="shared" si="1069"/>
        <v>6000</v>
      </c>
      <c r="Y1743" s="17">
        <f t="shared" si="1069"/>
        <v>0</v>
      </c>
      <c r="Z1743" s="17">
        <f t="shared" si="1056"/>
        <v>0</v>
      </c>
      <c r="AA1743" s="17">
        <f t="shared" si="1024"/>
        <v>10000</v>
      </c>
      <c r="AB1743" s="17">
        <f t="shared" ref="AB1743:AH1743" si="1070">AB1744+AB1745</f>
        <v>15000</v>
      </c>
      <c r="AC1743" s="17">
        <f t="shared" si="1070"/>
        <v>11420.56</v>
      </c>
      <c r="AD1743" s="17">
        <f t="shared" si="1045"/>
        <v>76.137066666666669</v>
      </c>
      <c r="AE1743" s="17">
        <f t="shared" si="1070"/>
        <v>0</v>
      </c>
      <c r="AF1743" s="17">
        <f t="shared" si="1070"/>
        <v>15000</v>
      </c>
      <c r="AG1743" s="17">
        <f t="shared" si="1070"/>
        <v>6000</v>
      </c>
      <c r="AH1743" s="17">
        <f t="shared" si="1070"/>
        <v>4000</v>
      </c>
      <c r="AI1743" s="17">
        <f>AI1744+AI1745</f>
        <v>4000</v>
      </c>
      <c r="AJ1743" s="162" t="b">
        <f t="shared" si="1064"/>
        <v>1</v>
      </c>
      <c r="AK1743" s="162" t="str">
        <f t="shared" si="1065"/>
        <v>PRAZNO</v>
      </c>
      <c r="AM1743" s="164"/>
    </row>
    <row r="1744" spans="1:47" ht="15.75" x14ac:dyDescent="0.2">
      <c r="B1744" s="177"/>
      <c r="C1744" s="177"/>
      <c r="D1744" s="177"/>
      <c r="E1744" s="177">
        <v>4221</v>
      </c>
      <c r="F1744" s="176">
        <v>11</v>
      </c>
      <c r="G1744" s="176" t="s">
        <v>1040</v>
      </c>
      <c r="H1744" s="29" t="s">
        <v>558</v>
      </c>
      <c r="I1744" s="17">
        <v>4000</v>
      </c>
      <c r="J1744" s="17">
        <v>3213.54</v>
      </c>
      <c r="K1744" s="17">
        <f t="shared" si="1050"/>
        <v>80.34</v>
      </c>
      <c r="L1744" s="17">
        <f t="shared" si="1067"/>
        <v>-428.46000000000004</v>
      </c>
      <c r="M1744" s="17">
        <v>3571.54</v>
      </c>
      <c r="N1744" s="17">
        <f>6000+2300+4000</f>
        <v>12300</v>
      </c>
      <c r="O1744" s="17">
        <v>6913.18</v>
      </c>
      <c r="P1744" s="26">
        <f t="shared" si="1025"/>
        <v>0</v>
      </c>
      <c r="Q1744" s="17">
        <f>6000+2300+4000</f>
        <v>12300</v>
      </c>
      <c r="R1744" s="17">
        <v>6000</v>
      </c>
      <c r="S1744" s="17">
        <v>6000</v>
      </c>
      <c r="T1744" s="26">
        <v>12300</v>
      </c>
      <c r="U1744" s="26">
        <v>6913.18</v>
      </c>
      <c r="V1744" s="26">
        <v>5000</v>
      </c>
      <c r="W1744" s="26">
        <v>5000</v>
      </c>
      <c r="X1744" s="26">
        <v>6000</v>
      </c>
      <c r="Y1744" s="26">
        <v>0</v>
      </c>
      <c r="Z1744" s="26">
        <f t="shared" si="1056"/>
        <v>0</v>
      </c>
      <c r="AA1744" s="26">
        <f t="shared" si="1024"/>
        <v>10000</v>
      </c>
      <c r="AB1744" s="26">
        <v>15000</v>
      </c>
      <c r="AC1744" s="26">
        <v>11420.56</v>
      </c>
      <c r="AD1744" s="26">
        <f t="shared" si="1045"/>
        <v>76.137066666666669</v>
      </c>
      <c r="AE1744" s="26">
        <f t="shared" si="1058"/>
        <v>0</v>
      </c>
      <c r="AF1744" s="26">
        <v>15000</v>
      </c>
      <c r="AG1744" s="26">
        <v>4000</v>
      </c>
      <c r="AH1744" s="26">
        <v>4000</v>
      </c>
      <c r="AI1744" s="26">
        <v>4000</v>
      </c>
      <c r="AJ1744" s="162" t="b">
        <f t="shared" si="1064"/>
        <v>0</v>
      </c>
      <c r="AK1744" s="162" t="str">
        <f t="shared" si="1065"/>
        <v>PUNO</v>
      </c>
      <c r="AL1744" s="208"/>
      <c r="AM1744" s="164"/>
      <c r="AN1744" s="208"/>
      <c r="AO1744" s="208"/>
      <c r="AP1744" s="208"/>
      <c r="AQ1744" s="208"/>
      <c r="AR1744" s="208"/>
      <c r="AS1744" s="208"/>
      <c r="AT1744" s="208"/>
      <c r="AU1744" s="208"/>
    </row>
    <row r="1745" spans="1:47" ht="15.75" x14ac:dyDescent="0.2">
      <c r="B1745" s="177"/>
      <c r="C1745" s="177"/>
      <c r="D1745" s="177"/>
      <c r="E1745" s="177">
        <v>4222</v>
      </c>
      <c r="F1745" s="176">
        <v>11</v>
      </c>
      <c r="G1745" s="176"/>
      <c r="H1745" s="29" t="s">
        <v>559</v>
      </c>
      <c r="I1745" s="17"/>
      <c r="J1745" s="17"/>
      <c r="K1745" s="17"/>
      <c r="L1745" s="17"/>
      <c r="M1745" s="17"/>
      <c r="N1745" s="17"/>
      <c r="O1745" s="17"/>
      <c r="P1745" s="26"/>
      <c r="Q1745" s="17"/>
      <c r="R1745" s="17"/>
      <c r="S1745" s="17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>
        <v>2000</v>
      </c>
      <c r="AH1745" s="26">
        <v>0</v>
      </c>
      <c r="AI1745" s="26">
        <v>0</v>
      </c>
      <c r="AJ1745" s="162" t="b">
        <f t="shared" si="1064"/>
        <v>0</v>
      </c>
      <c r="AK1745" s="162" t="str">
        <f t="shared" si="1065"/>
        <v>PUNO</v>
      </c>
      <c r="AL1745" s="208"/>
      <c r="AM1745" s="164"/>
      <c r="AN1745" s="208"/>
      <c r="AO1745" s="208"/>
      <c r="AP1745" s="208"/>
      <c r="AQ1745" s="208"/>
      <c r="AR1745" s="208"/>
      <c r="AS1745" s="208"/>
      <c r="AT1745" s="208"/>
      <c r="AU1745" s="208"/>
    </row>
    <row r="1746" spans="1:47" s="164" customFormat="1" ht="15.75" x14ac:dyDescent="0.2">
      <c r="A1746" s="259"/>
      <c r="B1746" s="194"/>
      <c r="C1746" s="194"/>
      <c r="D1746" s="194"/>
      <c r="E1746" s="194"/>
      <c r="F1746" s="159"/>
      <c r="G1746" s="159"/>
      <c r="H1746" s="24" t="s">
        <v>1041</v>
      </c>
      <c r="I1746" s="196" t="e">
        <f>I1748</f>
        <v>#REF!</v>
      </c>
      <c r="J1746" s="196" t="e">
        <f>J1748</f>
        <v>#REF!</v>
      </c>
      <c r="K1746" s="196" t="e">
        <f t="shared" si="1050"/>
        <v>#REF!</v>
      </c>
      <c r="L1746" s="196" t="e">
        <f t="shared" si="1067"/>
        <v>#REF!</v>
      </c>
      <c r="M1746" s="195" t="e">
        <f>M1748</f>
        <v>#REF!</v>
      </c>
      <c r="N1746" s="195" t="e">
        <f>N1748</f>
        <v>#REF!</v>
      </c>
      <c r="O1746" s="195" t="e">
        <f>O1748</f>
        <v>#REF!</v>
      </c>
      <c r="P1746" s="351" t="e">
        <f t="shared" si="1025"/>
        <v>#REF!</v>
      </c>
      <c r="Q1746" s="195" t="e">
        <f t="shared" ref="Q1746:X1746" si="1071">Q1748</f>
        <v>#REF!</v>
      </c>
      <c r="R1746" s="195" t="e">
        <f t="shared" si="1071"/>
        <v>#REF!</v>
      </c>
      <c r="S1746" s="195" t="e">
        <f t="shared" si="1071"/>
        <v>#REF!</v>
      </c>
      <c r="T1746" s="195">
        <f>T1748</f>
        <v>23593199</v>
      </c>
      <c r="U1746" s="195">
        <f>U1748</f>
        <v>22419704.399999999</v>
      </c>
      <c r="V1746" s="195">
        <f t="shared" si="1071"/>
        <v>33972400</v>
      </c>
      <c r="W1746" s="195" t="e">
        <f t="shared" si="1071"/>
        <v>#REF!</v>
      </c>
      <c r="X1746" s="195" t="e">
        <f t="shared" si="1071"/>
        <v>#REF!</v>
      </c>
      <c r="Y1746" s="195">
        <f>Y1748</f>
        <v>9796224.2599999998</v>
      </c>
      <c r="Z1746" s="195">
        <f t="shared" si="1056"/>
        <v>28.84</v>
      </c>
      <c r="AA1746" s="195">
        <f t="shared" si="1024"/>
        <v>-887100</v>
      </c>
      <c r="AB1746" s="195">
        <f>AB1748</f>
        <v>33085300</v>
      </c>
      <c r="AC1746" s="195">
        <f>AC1748</f>
        <v>20021038.389999997</v>
      </c>
      <c r="AD1746" s="195">
        <f t="shared" si="1045"/>
        <v>60.513395344760355</v>
      </c>
      <c r="AE1746" s="195">
        <f t="shared" si="1058"/>
        <v>805764.6400000006</v>
      </c>
      <c r="AF1746" s="195">
        <f>AF1748</f>
        <v>33891064.640000001</v>
      </c>
      <c r="AG1746" s="195">
        <f>AG1748</f>
        <v>33326225.359999999</v>
      </c>
      <c r="AH1746" s="195">
        <f>AH1748</f>
        <v>25739600</v>
      </c>
      <c r="AI1746" s="195">
        <f>AI1748</f>
        <v>25241776</v>
      </c>
      <c r="AJ1746" s="162" t="b">
        <f t="shared" si="1064"/>
        <v>1</v>
      </c>
      <c r="AK1746" s="162" t="str">
        <f t="shared" si="1065"/>
        <v>PRAZNO</v>
      </c>
      <c r="AL1746" s="165"/>
    </row>
    <row r="1747" spans="1:47" s="164" customFormat="1" ht="15.75" x14ac:dyDescent="0.2">
      <c r="A1747" s="259"/>
      <c r="B1747" s="194"/>
      <c r="C1747" s="194"/>
      <c r="D1747" s="194"/>
      <c r="E1747" s="194"/>
      <c r="F1747" s="159"/>
      <c r="G1747" s="159"/>
      <c r="H1747" s="11" t="s">
        <v>654</v>
      </c>
      <c r="I1747" s="196"/>
      <c r="J1747" s="196"/>
      <c r="K1747" s="196" t="e">
        <f t="shared" si="1050"/>
        <v>#DIV/0!</v>
      </c>
      <c r="L1747" s="196"/>
      <c r="M1747" s="195"/>
      <c r="N1747" s="195"/>
      <c r="O1747" s="195"/>
      <c r="P1747" s="351"/>
      <c r="Q1747" s="195"/>
      <c r="R1747" s="195"/>
      <c r="S1747" s="195"/>
      <c r="T1747" s="195"/>
      <c r="U1747" s="195"/>
      <c r="V1747" s="195"/>
      <c r="W1747" s="195"/>
      <c r="X1747" s="195"/>
      <c r="Y1747" s="195"/>
      <c r="Z1747" s="195"/>
      <c r="AA1747" s="195"/>
      <c r="AB1747" s="195"/>
      <c r="AC1747" s="195"/>
      <c r="AD1747" s="195"/>
      <c r="AE1747" s="195">
        <f t="shared" si="1058"/>
        <v>0</v>
      </c>
      <c r="AF1747" s="195"/>
      <c r="AG1747" s="195"/>
      <c r="AH1747" s="195"/>
      <c r="AI1747" s="195"/>
      <c r="AJ1747" s="162" t="b">
        <f t="shared" si="1064"/>
        <v>1</v>
      </c>
      <c r="AK1747" s="162" t="str">
        <f t="shared" si="1065"/>
        <v>PRAZNO</v>
      </c>
      <c r="AL1747" s="165"/>
    </row>
    <row r="1748" spans="1:47" s="171" customFormat="1" ht="15.75" x14ac:dyDescent="0.2">
      <c r="A1748" s="259"/>
      <c r="B1748" s="168"/>
      <c r="C1748" s="168"/>
      <c r="D1748" s="168"/>
      <c r="E1748" s="168"/>
      <c r="F1748" s="168"/>
      <c r="G1748" s="168"/>
      <c r="H1748" s="13" t="s">
        <v>1042</v>
      </c>
      <c r="I1748" s="169" t="e">
        <f>I1750+I1863</f>
        <v>#REF!</v>
      </c>
      <c r="J1748" s="169" t="e">
        <f>J1750+J1863</f>
        <v>#REF!</v>
      </c>
      <c r="K1748" s="169" t="e">
        <f t="shared" si="1050"/>
        <v>#REF!</v>
      </c>
      <c r="L1748" s="169" t="e">
        <f t="shared" si="1067"/>
        <v>#REF!</v>
      </c>
      <c r="M1748" s="19" t="e">
        <f>M1750+M1863</f>
        <v>#REF!</v>
      </c>
      <c r="N1748" s="19" t="e">
        <f>N1750+N1863</f>
        <v>#REF!</v>
      </c>
      <c r="O1748" s="19" t="e">
        <f>O1750+O1863</f>
        <v>#REF!</v>
      </c>
      <c r="P1748" s="303" t="e">
        <f t="shared" ref="P1748:P1793" si="1072">T1748-N1748</f>
        <v>#REF!</v>
      </c>
      <c r="Q1748" s="19" t="e">
        <f t="shared" ref="Q1748:Y1748" si="1073">Q1750+Q1863</f>
        <v>#REF!</v>
      </c>
      <c r="R1748" s="19" t="e">
        <f t="shared" si="1073"/>
        <v>#REF!</v>
      </c>
      <c r="S1748" s="19" t="e">
        <f t="shared" si="1073"/>
        <v>#REF!</v>
      </c>
      <c r="T1748" s="19">
        <f t="shared" si="1073"/>
        <v>23593199</v>
      </c>
      <c r="U1748" s="19">
        <f t="shared" si="1073"/>
        <v>22419704.399999999</v>
      </c>
      <c r="V1748" s="19">
        <f t="shared" si="1073"/>
        <v>33972400</v>
      </c>
      <c r="W1748" s="19" t="e">
        <f t="shared" si="1073"/>
        <v>#REF!</v>
      </c>
      <c r="X1748" s="19" t="e">
        <f t="shared" si="1073"/>
        <v>#REF!</v>
      </c>
      <c r="Y1748" s="19">
        <f t="shared" si="1073"/>
        <v>9796224.2599999998</v>
      </c>
      <c r="Z1748" s="19">
        <f t="shared" si="1056"/>
        <v>28.84</v>
      </c>
      <c r="AA1748" s="19">
        <f t="shared" si="1024"/>
        <v>-887100</v>
      </c>
      <c r="AB1748" s="19">
        <f>AB1750+AB1863</f>
        <v>33085300</v>
      </c>
      <c r="AC1748" s="19">
        <f>AC1750+AC1863</f>
        <v>20021038.389999997</v>
      </c>
      <c r="AD1748" s="19">
        <f t="shared" si="1045"/>
        <v>60.513395344760355</v>
      </c>
      <c r="AE1748" s="19">
        <f t="shared" si="1058"/>
        <v>805764.6400000006</v>
      </c>
      <c r="AF1748" s="19">
        <f>AF1750+AF1863</f>
        <v>33891064.640000001</v>
      </c>
      <c r="AG1748" s="19">
        <f>AG1750+AG1863</f>
        <v>33326225.359999999</v>
      </c>
      <c r="AH1748" s="19">
        <f>AH1750+AH1863</f>
        <v>25739600</v>
      </c>
      <c r="AI1748" s="19">
        <f>AI1750+AI1863</f>
        <v>25241776</v>
      </c>
      <c r="AJ1748" s="162" t="b">
        <f t="shared" si="1064"/>
        <v>1</v>
      </c>
      <c r="AK1748" s="162" t="str">
        <f t="shared" si="1065"/>
        <v>PRAZNO</v>
      </c>
      <c r="AL1748" s="170"/>
      <c r="AM1748" s="164"/>
    </row>
    <row r="1749" spans="1:47" s="171" customFormat="1" ht="31.5" x14ac:dyDescent="0.2">
      <c r="A1749" s="259"/>
      <c r="B1749" s="168"/>
      <c r="C1749" s="168"/>
      <c r="D1749" s="168"/>
      <c r="E1749" s="168"/>
      <c r="F1749" s="168"/>
      <c r="G1749" s="168"/>
      <c r="H1749" s="13" t="s">
        <v>306</v>
      </c>
      <c r="I1749" s="169"/>
      <c r="J1749" s="169"/>
      <c r="K1749" s="169"/>
      <c r="L1749" s="169"/>
      <c r="M1749" s="19"/>
      <c r="N1749" s="19"/>
      <c r="O1749" s="19"/>
      <c r="P1749" s="303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19">
        <f t="shared" si="1058"/>
        <v>0</v>
      </c>
      <c r="AF1749" s="19"/>
      <c r="AG1749" s="19"/>
      <c r="AH1749" s="19"/>
      <c r="AI1749" s="19"/>
      <c r="AJ1749" s="162" t="b">
        <f t="shared" si="1064"/>
        <v>1</v>
      </c>
      <c r="AK1749" s="162" t="str">
        <f t="shared" si="1065"/>
        <v>PRAZNO</v>
      </c>
      <c r="AL1749" s="170"/>
      <c r="AM1749" s="164"/>
    </row>
    <row r="1750" spans="1:47" s="171" customFormat="1" ht="15.75" x14ac:dyDescent="0.2">
      <c r="A1750" s="259"/>
      <c r="B1750" s="270"/>
      <c r="C1750" s="270"/>
      <c r="D1750" s="270"/>
      <c r="E1750" s="270"/>
      <c r="F1750" s="270"/>
      <c r="G1750" s="270"/>
      <c r="H1750" s="271" t="s">
        <v>104</v>
      </c>
      <c r="I1750" s="273" t="e">
        <f>I1751+#REF!+#REF!+#REF!+#REF!+I1794+I1802+#REF!+#REF!+#REF!</f>
        <v>#REF!</v>
      </c>
      <c r="J1750" s="273" t="e">
        <f>J1751+#REF!+#REF!+#REF!+#REF!+J1794+J1802+#REF!+#REF!+#REF!</f>
        <v>#REF!</v>
      </c>
      <c r="K1750" s="273" t="e">
        <f>K1751+#REF!+#REF!+#REF!+#REF!+K1794+K1802+#REF!+#REF!+#REF!</f>
        <v>#REF!</v>
      </c>
      <c r="L1750" s="273" t="e">
        <f>L1751+#REF!+#REF!+#REF!+#REF!+L1794+L1802+#REF!+#REF!+#REF!</f>
        <v>#REF!</v>
      </c>
      <c r="M1750" s="304" t="e">
        <f>M1751+#REF!+#REF!+#REF!+#REF!+M1794+M1802+#REF!+#REF!+#REF!</f>
        <v>#REF!</v>
      </c>
      <c r="N1750" s="272" t="e">
        <f>N1751+#REF!+#REF!+#REF!+N1794+N1802+N1819</f>
        <v>#REF!</v>
      </c>
      <c r="O1750" s="275" t="e">
        <f>O1751+#REF!+#REF!+#REF!+O1794+O1802+O1819</f>
        <v>#REF!</v>
      </c>
      <c r="P1750" s="336" t="e">
        <f t="shared" si="1072"/>
        <v>#REF!</v>
      </c>
      <c r="Q1750" s="275" t="e">
        <f>Q1751+#REF!+#REF!+#REF!+Q1794+Q1802+Q1819</f>
        <v>#REF!</v>
      </c>
      <c r="R1750" s="275" t="e">
        <f>R1751+#REF!+#REF!+#REF!+R1794+R1802+R1819</f>
        <v>#REF!</v>
      </c>
      <c r="S1750" s="275" t="e">
        <f>S1751+#REF!+#REF!+#REF!+S1794+S1802+S1819</f>
        <v>#REF!</v>
      </c>
      <c r="T1750" s="275">
        <f>T1751+T1794+T1802+T1819+T1827+T1845+T1851</f>
        <v>16612909</v>
      </c>
      <c r="U1750" s="275">
        <f>U1751+U1794+U1802+U1819+U1827+U1845+U1851+U1833+U1839</f>
        <v>18609666.359999999</v>
      </c>
      <c r="V1750" s="275">
        <f>V1751+V1794+V1802+V1819+V1827+V1845+V1851</f>
        <v>16084700</v>
      </c>
      <c r="W1750" s="275" t="e">
        <f>W1751+#REF!+#REF!+#REF!+W1794+W1802+W1819</f>
        <v>#REF!</v>
      </c>
      <c r="X1750" s="275" t="e">
        <f>X1751+#REF!+#REF!+#REF!+X1794+X1802+X1819</f>
        <v>#REF!</v>
      </c>
      <c r="Y1750" s="275">
        <f>Y1751+Y1794+Y1802+Y1819+Y1827+Y1845+Y1851</f>
        <v>6814949.4299999997</v>
      </c>
      <c r="Z1750" s="275">
        <f t="shared" si="1056"/>
        <v>42.37</v>
      </c>
      <c r="AA1750" s="275">
        <f>AA1751+AA1794+AA1802+AA1819+AA1827+AA1845+AA1851</f>
        <v>-41100</v>
      </c>
      <c r="AB1750" s="275">
        <f>AB1751+AB1794+AB1802+AB1819+AB1827+AB1845+AB1851</f>
        <v>16043600</v>
      </c>
      <c r="AC1750" s="275">
        <f>AC1751+AC1794+AC1802+AC1819+AC1827+AC1845+AC1851</f>
        <v>12368860.519999998</v>
      </c>
      <c r="AD1750" s="275">
        <f t="shared" si="1045"/>
        <v>77.095293575008085</v>
      </c>
      <c r="AE1750" s="275">
        <f t="shared" si="1058"/>
        <v>0</v>
      </c>
      <c r="AF1750" s="275">
        <f>AF1751+AF1794+AF1802+AF1819+AF1827+AF1845+AF1851</f>
        <v>16043600</v>
      </c>
      <c r="AG1750" s="275">
        <f>AG1751+AG1794+AG1802+AG1819+AG1827+AG1845+AG1851+AG1857</f>
        <v>16043600</v>
      </c>
      <c r="AH1750" s="275">
        <f>AH1751+AH1794+AH1802+AH1819+AH1827+AH1845+AH1851+AH1857</f>
        <v>16043600</v>
      </c>
      <c r="AI1750" s="275">
        <f>AI1751+AI1794+AI1802+AI1819+AI1827+AI1845+AI1851+AI1857</f>
        <v>15843600</v>
      </c>
      <c r="AJ1750" s="162" t="b">
        <f t="shared" si="1064"/>
        <v>1</v>
      </c>
      <c r="AK1750" s="162" t="str">
        <f t="shared" si="1065"/>
        <v>PRAZNO</v>
      </c>
      <c r="AL1750" s="170"/>
      <c r="AM1750" s="164"/>
    </row>
    <row r="1751" spans="1:47" s="171" customFormat="1" ht="31.5" x14ac:dyDescent="0.2">
      <c r="A1751" s="259"/>
      <c r="B1751" s="168"/>
      <c r="C1751" s="168"/>
      <c r="D1751" s="168"/>
      <c r="E1751" s="168"/>
      <c r="F1751" s="168"/>
      <c r="G1751" s="168"/>
      <c r="H1751" s="13" t="s">
        <v>857</v>
      </c>
      <c r="I1751" s="169" t="e">
        <f>I1753</f>
        <v>#REF!</v>
      </c>
      <c r="J1751" s="169" t="e">
        <f>J1753</f>
        <v>#REF!</v>
      </c>
      <c r="K1751" s="169" t="e">
        <f t="shared" si="1050"/>
        <v>#REF!</v>
      </c>
      <c r="L1751" s="169" t="e">
        <f t="shared" si="1067"/>
        <v>#REF!</v>
      </c>
      <c r="M1751" s="19">
        <f>M1753</f>
        <v>14614211.470000001</v>
      </c>
      <c r="N1751" s="19">
        <f>N1753</f>
        <v>13990810</v>
      </c>
      <c r="O1751" s="19">
        <f>O1753</f>
        <v>9258769.8499999996</v>
      </c>
      <c r="P1751" s="303">
        <f t="shared" si="1072"/>
        <v>-4001</v>
      </c>
      <c r="Q1751" s="19">
        <f t="shared" ref="Q1751:X1751" si="1074">Q1753</f>
        <v>14286700</v>
      </c>
      <c r="R1751" s="19">
        <f t="shared" si="1074"/>
        <v>14281800</v>
      </c>
      <c r="S1751" s="19">
        <f t="shared" si="1074"/>
        <v>14353200</v>
      </c>
      <c r="T1751" s="53">
        <f t="shared" si="1074"/>
        <v>13986809</v>
      </c>
      <c r="U1751" s="53">
        <f>U1753</f>
        <v>15319586.930000002</v>
      </c>
      <c r="V1751" s="19">
        <f t="shared" si="1074"/>
        <v>12672000</v>
      </c>
      <c r="W1751" s="19">
        <f t="shared" si="1074"/>
        <v>12432000</v>
      </c>
      <c r="X1751" s="19">
        <f t="shared" si="1074"/>
        <v>12533060</v>
      </c>
      <c r="Y1751" s="19">
        <f>Y1753</f>
        <v>6722745.7799999993</v>
      </c>
      <c r="Z1751" s="19">
        <f t="shared" si="1056"/>
        <v>53.05</v>
      </c>
      <c r="AA1751" s="19">
        <f t="shared" ref="AA1751:AA1816" si="1075">AB1751-V1751</f>
        <v>600</v>
      </c>
      <c r="AB1751" s="19">
        <f>AB1753</f>
        <v>12672600</v>
      </c>
      <c r="AC1751" s="19">
        <f>AC1753</f>
        <v>10005015.469999999</v>
      </c>
      <c r="AD1751" s="19">
        <f t="shared" si="1045"/>
        <v>78.949982402979643</v>
      </c>
      <c r="AE1751" s="19">
        <f t="shared" si="1058"/>
        <v>0</v>
      </c>
      <c r="AF1751" s="19">
        <f>AF1753</f>
        <v>12672600</v>
      </c>
      <c r="AG1751" s="19">
        <f>AG1753</f>
        <v>12672600</v>
      </c>
      <c r="AH1751" s="19">
        <f>AH1753</f>
        <v>12672600</v>
      </c>
      <c r="AI1751" s="19">
        <f>AI1753</f>
        <v>12672600</v>
      </c>
      <c r="AJ1751" s="162" t="b">
        <f t="shared" si="1064"/>
        <v>1</v>
      </c>
      <c r="AK1751" s="162" t="str">
        <f t="shared" si="1065"/>
        <v>PRAZNO</v>
      </c>
      <c r="AL1751" s="170"/>
      <c r="AM1751" s="164"/>
    </row>
    <row r="1752" spans="1:47" s="264" customFormat="1" ht="31.5" x14ac:dyDescent="0.2">
      <c r="A1752" s="259"/>
      <c r="B1752" s="260"/>
      <c r="C1752" s="260"/>
      <c r="D1752" s="260"/>
      <c r="E1752" s="260"/>
      <c r="F1752" s="260"/>
      <c r="G1752" s="260"/>
      <c r="H1752" s="440" t="s">
        <v>831</v>
      </c>
      <c r="I1752" s="181"/>
      <c r="J1752" s="181"/>
      <c r="K1752" s="181"/>
      <c r="L1752" s="181"/>
      <c r="M1752" s="262"/>
      <c r="N1752" s="262"/>
      <c r="O1752" s="262"/>
      <c r="P1752" s="445"/>
      <c r="Q1752" s="262"/>
      <c r="R1752" s="262"/>
      <c r="S1752" s="262"/>
      <c r="T1752" s="342"/>
      <c r="U1752" s="342"/>
      <c r="V1752" s="262">
        <f>V1753</f>
        <v>12672000</v>
      </c>
      <c r="W1752" s="262">
        <f>W1753</f>
        <v>12432000</v>
      </c>
      <c r="X1752" s="262">
        <f>X1753</f>
        <v>12533060</v>
      </c>
      <c r="Y1752" s="262">
        <f>Y1753</f>
        <v>6722745.7799999993</v>
      </c>
      <c r="Z1752" s="262">
        <f t="shared" si="1056"/>
        <v>53.05</v>
      </c>
      <c r="AA1752" s="262">
        <f t="shared" si="1075"/>
        <v>600</v>
      </c>
      <c r="AB1752" s="262">
        <f>AB1753</f>
        <v>12672600</v>
      </c>
      <c r="AC1752" s="262">
        <f>AC1753</f>
        <v>10005015.469999999</v>
      </c>
      <c r="AD1752" s="262">
        <f t="shared" si="1045"/>
        <v>78.949982402979643</v>
      </c>
      <c r="AE1752" s="262">
        <f t="shared" si="1058"/>
        <v>0</v>
      </c>
      <c r="AF1752" s="262">
        <f>AF1753</f>
        <v>12672600</v>
      </c>
      <c r="AG1752" s="262">
        <f>AG1753</f>
        <v>12672600</v>
      </c>
      <c r="AH1752" s="262">
        <f>AH1753</f>
        <v>12672600</v>
      </c>
      <c r="AI1752" s="262">
        <f>AI1753</f>
        <v>12672600</v>
      </c>
      <c r="AJ1752" s="162" t="b">
        <f t="shared" si="1064"/>
        <v>1</v>
      </c>
      <c r="AK1752" s="162" t="str">
        <f t="shared" si="1065"/>
        <v>PRAZNO</v>
      </c>
      <c r="AL1752" s="263"/>
    </row>
    <row r="1753" spans="1:47" s="174" customFormat="1" ht="15.75" x14ac:dyDescent="0.2">
      <c r="A1753" s="259"/>
      <c r="B1753" s="172">
        <v>3</v>
      </c>
      <c r="C1753" s="172"/>
      <c r="D1753" s="172"/>
      <c r="E1753" s="172"/>
      <c r="F1753" s="172"/>
      <c r="G1753" s="172"/>
      <c r="H1753" s="14" t="s">
        <v>524</v>
      </c>
      <c r="I1753" s="20" t="e">
        <f>I1754+I1789</f>
        <v>#REF!</v>
      </c>
      <c r="J1753" s="20" t="e">
        <f>J1754+J1789</f>
        <v>#REF!</v>
      </c>
      <c r="K1753" s="20" t="e">
        <f t="shared" si="1050"/>
        <v>#REF!</v>
      </c>
      <c r="L1753" s="20" t="e">
        <f t="shared" si="1067"/>
        <v>#REF!</v>
      </c>
      <c r="M1753" s="20">
        <f>M1754+M1789</f>
        <v>14614211.470000001</v>
      </c>
      <c r="N1753" s="20">
        <f>N1754+N1789</f>
        <v>13990810</v>
      </c>
      <c r="O1753" s="20">
        <f>O1754+O1789</f>
        <v>9258769.8499999996</v>
      </c>
      <c r="P1753" s="55">
        <f t="shared" si="1072"/>
        <v>-4001</v>
      </c>
      <c r="Q1753" s="20">
        <f t="shared" ref="Q1753:Y1753" si="1076">Q1754+Q1789</f>
        <v>14286700</v>
      </c>
      <c r="R1753" s="20">
        <f t="shared" si="1076"/>
        <v>14281800</v>
      </c>
      <c r="S1753" s="20">
        <f t="shared" si="1076"/>
        <v>14353200</v>
      </c>
      <c r="T1753" s="55">
        <f t="shared" si="1076"/>
        <v>13986809</v>
      </c>
      <c r="U1753" s="55">
        <f>U1754+U1789</f>
        <v>15319586.930000002</v>
      </c>
      <c r="V1753" s="20">
        <f t="shared" si="1076"/>
        <v>12672000</v>
      </c>
      <c r="W1753" s="20">
        <f t="shared" si="1076"/>
        <v>12432000</v>
      </c>
      <c r="X1753" s="20">
        <f t="shared" si="1076"/>
        <v>12533060</v>
      </c>
      <c r="Y1753" s="20">
        <f t="shared" si="1076"/>
        <v>6722745.7799999993</v>
      </c>
      <c r="Z1753" s="20">
        <f t="shared" si="1056"/>
        <v>53.05</v>
      </c>
      <c r="AA1753" s="20">
        <f t="shared" si="1075"/>
        <v>600</v>
      </c>
      <c r="AB1753" s="20">
        <f>AB1754+AB1789</f>
        <v>12672600</v>
      </c>
      <c r="AC1753" s="20">
        <f>AC1754+AC1789</f>
        <v>10005015.469999999</v>
      </c>
      <c r="AD1753" s="20">
        <f t="shared" si="1045"/>
        <v>78.949982402979643</v>
      </c>
      <c r="AE1753" s="20">
        <f t="shared" si="1058"/>
        <v>0</v>
      </c>
      <c r="AF1753" s="20">
        <f>AF1754+AF1789</f>
        <v>12672600</v>
      </c>
      <c r="AG1753" s="20">
        <f>AG1754+AG1789</f>
        <v>12672600</v>
      </c>
      <c r="AH1753" s="20">
        <f>AH1754+AH1789</f>
        <v>12672600</v>
      </c>
      <c r="AI1753" s="20">
        <f>AI1754+AI1789</f>
        <v>12672600</v>
      </c>
      <c r="AJ1753" s="162" t="b">
        <f t="shared" si="1064"/>
        <v>1</v>
      </c>
      <c r="AK1753" s="162" t="str">
        <f t="shared" si="1065"/>
        <v>PRAZNO</v>
      </c>
      <c r="AL1753" s="173"/>
      <c r="AM1753" s="164"/>
    </row>
    <row r="1754" spans="1:47" ht="15.75" x14ac:dyDescent="0.2">
      <c r="B1754" s="175"/>
      <c r="C1754" s="175">
        <v>32</v>
      </c>
      <c r="D1754" s="175"/>
      <c r="E1754" s="175"/>
      <c r="F1754" s="175"/>
      <c r="G1754" s="175"/>
      <c r="H1754" s="39" t="s">
        <v>525</v>
      </c>
      <c r="I1754" s="22" t="e">
        <f>I1755+#REF!+I1767+I1783</f>
        <v>#REF!</v>
      </c>
      <c r="J1754" s="22" t="e">
        <f>J1755+#REF!+J1767+J1783</f>
        <v>#REF!</v>
      </c>
      <c r="K1754" s="22" t="e">
        <f t="shared" si="1050"/>
        <v>#REF!</v>
      </c>
      <c r="L1754" s="22" t="e">
        <f t="shared" si="1067"/>
        <v>#REF!</v>
      </c>
      <c r="M1754" s="22">
        <f>M1755+M1759+M1767+M1783</f>
        <v>14526375.59</v>
      </c>
      <c r="N1754" s="22">
        <f>N1755+N1759+N1767+N1783</f>
        <v>13886810</v>
      </c>
      <c r="O1754" s="22">
        <f>O1755+O1759+O1767+O1783</f>
        <v>9199087.7300000004</v>
      </c>
      <c r="P1754" s="26">
        <f t="shared" si="1072"/>
        <v>3599</v>
      </c>
      <c r="Q1754" s="22">
        <f t="shared" ref="Q1754:Y1754" si="1077">Q1755+Q1759+Q1767+Q1783</f>
        <v>14182700</v>
      </c>
      <c r="R1754" s="22">
        <f t="shared" si="1077"/>
        <v>14177300</v>
      </c>
      <c r="S1754" s="22">
        <f t="shared" si="1077"/>
        <v>14248000</v>
      </c>
      <c r="T1754" s="38">
        <f t="shared" si="1077"/>
        <v>13890409</v>
      </c>
      <c r="U1754" s="38">
        <f>U1755+U1759+U1767+U1783</f>
        <v>15234427.770000001</v>
      </c>
      <c r="V1754" s="22">
        <f t="shared" si="1077"/>
        <v>12591700</v>
      </c>
      <c r="W1754" s="22">
        <f t="shared" si="1077"/>
        <v>12338000</v>
      </c>
      <c r="X1754" s="22">
        <f t="shared" si="1077"/>
        <v>12438160</v>
      </c>
      <c r="Y1754" s="22">
        <f t="shared" si="1077"/>
        <v>6687910.6999999993</v>
      </c>
      <c r="Z1754" s="22">
        <f t="shared" si="1056"/>
        <v>53.11</v>
      </c>
      <c r="AA1754" s="22">
        <f t="shared" si="1075"/>
        <v>-7100</v>
      </c>
      <c r="AB1754" s="22">
        <f>AB1755+AB1759+AB1767+AB1783</f>
        <v>12584600</v>
      </c>
      <c r="AC1754" s="22">
        <f>AC1755+AC1759+AC1767+AC1783</f>
        <v>9942740.0399999991</v>
      </c>
      <c r="AD1754" s="22">
        <f t="shared" si="1045"/>
        <v>79.00719959315353</v>
      </c>
      <c r="AE1754" s="22">
        <f t="shared" si="1058"/>
        <v>-4800</v>
      </c>
      <c r="AF1754" s="22">
        <f>AF1755+AF1759+AF1767+AF1783</f>
        <v>12579800</v>
      </c>
      <c r="AG1754" s="22">
        <f>AG1755+AG1759+AG1767+AG1783</f>
        <v>12588700</v>
      </c>
      <c r="AH1754" s="22">
        <f>AH1755+AH1759+AH1767+AH1783</f>
        <v>12588700</v>
      </c>
      <c r="AI1754" s="22">
        <f>AI1755+AI1759+AI1767+AI1783</f>
        <v>12588700</v>
      </c>
      <c r="AJ1754" s="162" t="b">
        <f t="shared" si="1064"/>
        <v>1</v>
      </c>
      <c r="AK1754" s="162" t="str">
        <f t="shared" si="1065"/>
        <v>PRAZNO</v>
      </c>
      <c r="AM1754" s="164"/>
    </row>
    <row r="1755" spans="1:47" ht="15.75" x14ac:dyDescent="0.2">
      <c r="B1755" s="177"/>
      <c r="C1755" s="177"/>
      <c r="D1755" s="177">
        <v>321</v>
      </c>
      <c r="E1755" s="177"/>
      <c r="F1755" s="177"/>
      <c r="G1755" s="177"/>
      <c r="H1755" s="29" t="s">
        <v>564</v>
      </c>
      <c r="I1755" s="17">
        <f>SUM(I1756:I1757)</f>
        <v>300000</v>
      </c>
      <c r="J1755" s="17">
        <f>SUM(J1756:J1757)</f>
        <v>176448.15</v>
      </c>
      <c r="K1755" s="17">
        <f t="shared" si="1050"/>
        <v>58.82</v>
      </c>
      <c r="L1755" s="17">
        <f t="shared" si="1067"/>
        <v>-64593.070000000007</v>
      </c>
      <c r="M1755" s="17">
        <f>SUM(M1756:M1758)</f>
        <v>235406.93</v>
      </c>
      <c r="N1755" s="17">
        <f>SUM(N1756:N1758)</f>
        <v>187300</v>
      </c>
      <c r="O1755" s="17">
        <f>SUM(O1756:O1758)</f>
        <v>138405.89000000001</v>
      </c>
      <c r="P1755" s="26">
        <f t="shared" si="1072"/>
        <v>28000</v>
      </c>
      <c r="Q1755" s="17">
        <f t="shared" ref="Q1755:X1755" si="1078">SUM(Q1756:Q1758)</f>
        <v>187300</v>
      </c>
      <c r="R1755" s="17">
        <f t="shared" si="1078"/>
        <v>218300</v>
      </c>
      <c r="S1755" s="17">
        <f t="shared" si="1078"/>
        <v>220600</v>
      </c>
      <c r="T1755" s="26">
        <f t="shared" si="1078"/>
        <v>215300</v>
      </c>
      <c r="U1755" s="26">
        <f>SUM(U1756:U1758)</f>
        <v>198476.97</v>
      </c>
      <c r="V1755" s="17">
        <f t="shared" si="1078"/>
        <v>157300</v>
      </c>
      <c r="W1755" s="17">
        <f t="shared" si="1078"/>
        <v>187300</v>
      </c>
      <c r="X1755" s="17">
        <f t="shared" si="1078"/>
        <v>192600</v>
      </c>
      <c r="Y1755" s="17">
        <f>SUM(Y1756:Y1758)</f>
        <v>86968.87999999999</v>
      </c>
      <c r="Z1755" s="17">
        <f t="shared" si="1056"/>
        <v>55.29</v>
      </c>
      <c r="AA1755" s="17">
        <f t="shared" si="1075"/>
        <v>14800</v>
      </c>
      <c r="AB1755" s="17">
        <f>SUM(AB1756:AB1758)</f>
        <v>172100</v>
      </c>
      <c r="AC1755" s="17">
        <f>SUM(AC1756:AC1758)</f>
        <v>123506.04</v>
      </c>
      <c r="AD1755" s="17">
        <f t="shared" si="1045"/>
        <v>71.764113887274846</v>
      </c>
      <c r="AE1755" s="17">
        <f t="shared" si="1058"/>
        <v>11900</v>
      </c>
      <c r="AF1755" s="17">
        <f>SUM(AF1756:AF1758)</f>
        <v>184000</v>
      </c>
      <c r="AG1755" s="17">
        <f>SUM(AG1756:AG1758)</f>
        <v>165800</v>
      </c>
      <c r="AH1755" s="17">
        <f>SUM(AH1756:AH1758)</f>
        <v>165800</v>
      </c>
      <c r="AI1755" s="17">
        <f>SUM(AI1756:AI1758)</f>
        <v>165800</v>
      </c>
      <c r="AJ1755" s="162" t="b">
        <f t="shared" si="1064"/>
        <v>1</v>
      </c>
      <c r="AK1755" s="162" t="str">
        <f t="shared" si="1065"/>
        <v>PRAZNO</v>
      </c>
      <c r="AM1755" s="164"/>
    </row>
    <row r="1756" spans="1:47" ht="15.75" x14ac:dyDescent="0.2">
      <c r="B1756" s="177"/>
      <c r="C1756" s="177"/>
      <c r="D1756" s="177"/>
      <c r="E1756" s="177">
        <v>3211</v>
      </c>
      <c r="F1756" s="176">
        <v>54</v>
      </c>
      <c r="G1756" s="176" t="s">
        <v>1040</v>
      </c>
      <c r="H1756" s="29" t="s">
        <v>565</v>
      </c>
      <c r="I1756" s="18">
        <v>250000</v>
      </c>
      <c r="J1756" s="178">
        <v>160897.07999999999</v>
      </c>
      <c r="K1756" s="178">
        <f t="shared" si="1050"/>
        <v>64.36</v>
      </c>
      <c r="L1756" s="178">
        <f t="shared" si="1067"/>
        <v>-36631.239999999991</v>
      </c>
      <c r="M1756" s="178">
        <v>213368.76</v>
      </c>
      <c r="N1756" s="178">
        <v>157400</v>
      </c>
      <c r="O1756" s="178">
        <v>129800.8</v>
      </c>
      <c r="P1756" s="26">
        <f t="shared" si="1072"/>
        <v>29800</v>
      </c>
      <c r="Q1756" s="178">
        <v>157400</v>
      </c>
      <c r="R1756" s="178">
        <v>187500</v>
      </c>
      <c r="S1756" s="178">
        <v>188000</v>
      </c>
      <c r="T1756" s="266">
        <v>187200</v>
      </c>
      <c r="U1756" s="266">
        <v>178620.68</v>
      </c>
      <c r="V1756" s="266">
        <v>127400</v>
      </c>
      <c r="W1756" s="266">
        <v>157400</v>
      </c>
      <c r="X1756" s="178">
        <v>162000</v>
      </c>
      <c r="Y1756" s="266">
        <v>79656.679999999993</v>
      </c>
      <c r="Z1756" s="266">
        <f t="shared" si="1056"/>
        <v>62.52</v>
      </c>
      <c r="AA1756" s="266">
        <f t="shared" si="1075"/>
        <v>17500</v>
      </c>
      <c r="AB1756" s="266">
        <v>144900</v>
      </c>
      <c r="AC1756" s="266">
        <v>109673.84</v>
      </c>
      <c r="AD1756" s="266">
        <f t="shared" si="1045"/>
        <v>75.689330572808828</v>
      </c>
      <c r="AE1756" s="266">
        <f t="shared" si="1058"/>
        <v>4700</v>
      </c>
      <c r="AF1756" s="266">
        <v>149600</v>
      </c>
      <c r="AG1756" s="266">
        <v>144900</v>
      </c>
      <c r="AH1756" s="266">
        <v>144900</v>
      </c>
      <c r="AI1756" s="266">
        <v>144900</v>
      </c>
      <c r="AJ1756" s="162" t="b">
        <f t="shared" si="1064"/>
        <v>0</v>
      </c>
      <c r="AK1756" s="162" t="str">
        <f t="shared" si="1065"/>
        <v>PUNO</v>
      </c>
      <c r="AM1756" s="164"/>
    </row>
    <row r="1757" spans="1:47" ht="15.75" x14ac:dyDescent="0.2">
      <c r="B1757" s="177"/>
      <c r="C1757" s="177"/>
      <c r="D1757" s="177"/>
      <c r="E1757" s="177">
        <v>3213</v>
      </c>
      <c r="F1757" s="176">
        <v>54</v>
      </c>
      <c r="G1757" s="176" t="s">
        <v>1040</v>
      </c>
      <c r="H1757" s="29" t="s">
        <v>221</v>
      </c>
      <c r="I1757" s="18">
        <v>50000</v>
      </c>
      <c r="J1757" s="178">
        <v>15551.07</v>
      </c>
      <c r="K1757" s="178">
        <f t="shared" si="1050"/>
        <v>31.1</v>
      </c>
      <c r="L1757" s="178">
        <f t="shared" si="1067"/>
        <v>-27961.83</v>
      </c>
      <c r="M1757" s="178">
        <v>22038.17</v>
      </c>
      <c r="N1757" s="178">
        <v>22500</v>
      </c>
      <c r="O1757" s="178">
        <v>7455.09</v>
      </c>
      <c r="P1757" s="26">
        <f t="shared" si="1072"/>
        <v>300</v>
      </c>
      <c r="Q1757" s="178">
        <v>22500</v>
      </c>
      <c r="R1757" s="178">
        <v>23400</v>
      </c>
      <c r="S1757" s="178">
        <v>25200</v>
      </c>
      <c r="T1757" s="266">
        <v>22800</v>
      </c>
      <c r="U1757" s="266">
        <v>16640.29</v>
      </c>
      <c r="V1757" s="266">
        <v>22500</v>
      </c>
      <c r="W1757" s="266">
        <v>22500</v>
      </c>
      <c r="X1757" s="178">
        <v>23000</v>
      </c>
      <c r="Y1757" s="266">
        <v>5435</v>
      </c>
      <c r="Z1757" s="266">
        <f t="shared" si="1056"/>
        <v>24.16</v>
      </c>
      <c r="AA1757" s="266">
        <f t="shared" si="1075"/>
        <v>-1200</v>
      </c>
      <c r="AB1757" s="266">
        <v>21300</v>
      </c>
      <c r="AC1757" s="266">
        <v>10135</v>
      </c>
      <c r="AD1757" s="266">
        <f t="shared" si="1045"/>
        <v>47.582159624413144</v>
      </c>
      <c r="AE1757" s="266">
        <f t="shared" si="1058"/>
        <v>8100</v>
      </c>
      <c r="AF1757" s="266">
        <v>29400</v>
      </c>
      <c r="AG1757" s="266">
        <v>15000</v>
      </c>
      <c r="AH1757" s="266">
        <v>15000</v>
      </c>
      <c r="AI1757" s="266">
        <v>15000</v>
      </c>
      <c r="AJ1757" s="162" t="b">
        <f t="shared" si="1064"/>
        <v>0</v>
      </c>
      <c r="AK1757" s="162" t="str">
        <f t="shared" si="1065"/>
        <v>PUNO</v>
      </c>
      <c r="AM1757" s="164"/>
    </row>
    <row r="1758" spans="1:47" ht="15.75" x14ac:dyDescent="0.2">
      <c r="B1758" s="177"/>
      <c r="C1758" s="177"/>
      <c r="D1758" s="177"/>
      <c r="E1758" s="177">
        <v>3214</v>
      </c>
      <c r="F1758" s="176">
        <v>54</v>
      </c>
      <c r="G1758" s="176"/>
      <c r="H1758" s="29" t="s">
        <v>852</v>
      </c>
      <c r="I1758" s="18"/>
      <c r="J1758" s="178"/>
      <c r="K1758" s="178"/>
      <c r="L1758" s="178"/>
      <c r="M1758" s="178"/>
      <c r="N1758" s="178">
        <v>7400</v>
      </c>
      <c r="O1758" s="178">
        <v>1150</v>
      </c>
      <c r="P1758" s="26">
        <f t="shared" si="1072"/>
        <v>-2100</v>
      </c>
      <c r="Q1758" s="178">
        <v>7400</v>
      </c>
      <c r="R1758" s="178">
        <v>7400</v>
      </c>
      <c r="S1758" s="178">
        <v>7400</v>
      </c>
      <c r="T1758" s="266">
        <v>5300</v>
      </c>
      <c r="U1758" s="266">
        <v>3216</v>
      </c>
      <c r="V1758" s="266">
        <v>7400</v>
      </c>
      <c r="W1758" s="266">
        <v>7400</v>
      </c>
      <c r="X1758" s="178">
        <v>7600</v>
      </c>
      <c r="Y1758" s="266">
        <v>1877.2</v>
      </c>
      <c r="Z1758" s="266">
        <f t="shared" si="1056"/>
        <v>25.37</v>
      </c>
      <c r="AA1758" s="266">
        <f t="shared" si="1075"/>
        <v>-1500</v>
      </c>
      <c r="AB1758" s="266">
        <v>5900</v>
      </c>
      <c r="AC1758" s="266">
        <v>3697.2</v>
      </c>
      <c r="AD1758" s="266">
        <f t="shared" si="1045"/>
        <v>62.664406779661022</v>
      </c>
      <c r="AE1758" s="266">
        <f t="shared" si="1058"/>
        <v>-900</v>
      </c>
      <c r="AF1758" s="266">
        <v>5000</v>
      </c>
      <c r="AG1758" s="266">
        <v>5900</v>
      </c>
      <c r="AH1758" s="266">
        <v>5900</v>
      </c>
      <c r="AI1758" s="266">
        <v>5900</v>
      </c>
      <c r="AJ1758" s="162" t="b">
        <f t="shared" si="1064"/>
        <v>0</v>
      </c>
      <c r="AK1758" s="162" t="str">
        <f t="shared" si="1065"/>
        <v>PUNO</v>
      </c>
      <c r="AM1758" s="164"/>
    </row>
    <row r="1759" spans="1:47" ht="15.75" x14ac:dyDescent="0.2">
      <c r="B1759" s="177"/>
      <c r="C1759" s="177"/>
      <c r="D1759" s="177">
        <v>322</v>
      </c>
      <c r="E1759" s="177"/>
      <c r="F1759" s="176"/>
      <c r="G1759" s="176"/>
      <c r="H1759" s="29" t="s">
        <v>547</v>
      </c>
      <c r="I1759" s="18"/>
      <c r="J1759" s="178"/>
      <c r="K1759" s="178"/>
      <c r="L1759" s="178"/>
      <c r="M1759" s="178">
        <f>SUM(M1760:M1766)</f>
        <v>4942877.3900000006</v>
      </c>
      <c r="N1759" s="178">
        <f>SUM(N1760:N1766)</f>
        <v>4362300</v>
      </c>
      <c r="O1759" s="178">
        <f>SUM(O1760:O1766)</f>
        <v>3568905.5800000005</v>
      </c>
      <c r="P1759" s="26">
        <f t="shared" si="1072"/>
        <v>70209</v>
      </c>
      <c r="Q1759" s="178">
        <f t="shared" ref="Q1759:X1759" si="1079">SUM(Q1760:Q1766)</f>
        <v>4362300</v>
      </c>
      <c r="R1759" s="178">
        <f t="shared" si="1079"/>
        <v>4477300</v>
      </c>
      <c r="S1759" s="178">
        <f t="shared" si="1079"/>
        <v>4523100</v>
      </c>
      <c r="T1759" s="266">
        <f t="shared" si="1079"/>
        <v>4432509</v>
      </c>
      <c r="U1759" s="266">
        <f>SUM(U1760:U1766)</f>
        <v>5628397.0200000005</v>
      </c>
      <c r="V1759" s="178">
        <f t="shared" si="1079"/>
        <v>3908900</v>
      </c>
      <c r="W1759" s="178">
        <f t="shared" si="1079"/>
        <v>4013490</v>
      </c>
      <c r="X1759" s="178">
        <f t="shared" si="1079"/>
        <v>4086300</v>
      </c>
      <c r="Y1759" s="178">
        <f>SUM(Y1760:Y1766)</f>
        <v>2835306.62</v>
      </c>
      <c r="Z1759" s="178">
        <f t="shared" si="1056"/>
        <v>72.53</v>
      </c>
      <c r="AA1759" s="178">
        <f t="shared" si="1075"/>
        <v>96000</v>
      </c>
      <c r="AB1759" s="178">
        <f>SUM(AB1760:AB1766)</f>
        <v>4004900</v>
      </c>
      <c r="AC1759" s="178">
        <f>SUM(AC1760:AC1766)</f>
        <v>3383940.3200000003</v>
      </c>
      <c r="AD1759" s="178">
        <f t="shared" si="1045"/>
        <v>84.495001623011817</v>
      </c>
      <c r="AE1759" s="178">
        <f t="shared" si="1058"/>
        <v>41800</v>
      </c>
      <c r="AF1759" s="178">
        <f>SUM(AF1760:AF1766)</f>
        <v>4046700</v>
      </c>
      <c r="AG1759" s="178">
        <f>SUM(AG1760:AG1766)</f>
        <v>3860460</v>
      </c>
      <c r="AH1759" s="178">
        <f>SUM(AH1760:AH1766)</f>
        <v>3860460</v>
      </c>
      <c r="AI1759" s="178">
        <f>SUM(AI1760:AI1766)</f>
        <v>3860460</v>
      </c>
      <c r="AJ1759" s="162" t="b">
        <f t="shared" si="1064"/>
        <v>1</v>
      </c>
      <c r="AK1759" s="162" t="str">
        <f t="shared" si="1065"/>
        <v>PRAZNO</v>
      </c>
      <c r="AM1759" s="164"/>
    </row>
    <row r="1760" spans="1:47" ht="15.75" x14ac:dyDescent="0.2">
      <c r="B1760" s="177"/>
      <c r="C1760" s="177"/>
      <c r="D1760" s="177"/>
      <c r="E1760" s="177">
        <v>3221</v>
      </c>
      <c r="F1760" s="176">
        <v>54</v>
      </c>
      <c r="G1760" s="176" t="s">
        <v>1040</v>
      </c>
      <c r="H1760" s="29" t="s">
        <v>548</v>
      </c>
      <c r="I1760" s="18">
        <v>855000</v>
      </c>
      <c r="J1760" s="178">
        <v>682409.48</v>
      </c>
      <c r="K1760" s="178">
        <f t="shared" si="1050"/>
        <v>79.81</v>
      </c>
      <c r="L1760" s="178">
        <f t="shared" si="1067"/>
        <v>11080.719999999972</v>
      </c>
      <c r="M1760" s="178">
        <v>866080.72</v>
      </c>
      <c r="N1760" s="178">
        <v>608000</v>
      </c>
      <c r="O1760" s="178">
        <v>425878.04</v>
      </c>
      <c r="P1760" s="26">
        <f t="shared" si="1072"/>
        <v>50600</v>
      </c>
      <c r="Q1760" s="178">
        <v>608000</v>
      </c>
      <c r="R1760" s="178">
        <v>709800</v>
      </c>
      <c r="S1760" s="178">
        <v>712300</v>
      </c>
      <c r="T1760" s="266">
        <v>658600</v>
      </c>
      <c r="U1760" s="266">
        <v>686185.67</v>
      </c>
      <c r="V1760" s="266">
        <v>452000</v>
      </c>
      <c r="W1760" s="266">
        <f>608000-34810</f>
        <v>573190</v>
      </c>
      <c r="X1760" s="178">
        <v>626200</v>
      </c>
      <c r="Y1760" s="266">
        <v>252624.1</v>
      </c>
      <c r="Z1760" s="266">
        <f t="shared" si="1056"/>
        <v>55.89</v>
      </c>
      <c r="AA1760" s="266">
        <f t="shared" si="1075"/>
        <v>42400</v>
      </c>
      <c r="AB1760" s="266">
        <v>494400</v>
      </c>
      <c r="AC1760" s="266">
        <v>418848.97</v>
      </c>
      <c r="AD1760" s="266">
        <f t="shared" si="1045"/>
        <v>84.71864279935275</v>
      </c>
      <c r="AE1760" s="266">
        <f t="shared" si="1058"/>
        <v>46800</v>
      </c>
      <c r="AF1760" s="266">
        <v>541200</v>
      </c>
      <c r="AG1760" s="266">
        <v>494400</v>
      </c>
      <c r="AH1760" s="266">
        <v>494400</v>
      </c>
      <c r="AI1760" s="266">
        <v>494400</v>
      </c>
      <c r="AJ1760" s="162" t="b">
        <f t="shared" si="1064"/>
        <v>0</v>
      </c>
      <c r="AK1760" s="162" t="str">
        <f t="shared" si="1065"/>
        <v>PUNO</v>
      </c>
      <c r="AM1760" s="164"/>
    </row>
    <row r="1761" spans="1:39" ht="15.75" x14ac:dyDescent="0.2">
      <c r="B1761" s="177"/>
      <c r="C1761" s="177"/>
      <c r="D1761" s="177"/>
      <c r="E1761" s="177">
        <v>3223</v>
      </c>
      <c r="F1761" s="176">
        <v>54</v>
      </c>
      <c r="G1761" s="176" t="s">
        <v>1040</v>
      </c>
      <c r="H1761" s="29" t="s">
        <v>204</v>
      </c>
      <c r="I1761" s="18">
        <v>3400000</v>
      </c>
      <c r="J1761" s="178">
        <v>2396969.79</v>
      </c>
      <c r="K1761" s="178">
        <f t="shared" si="1050"/>
        <v>70.5</v>
      </c>
      <c r="L1761" s="178">
        <f t="shared" si="1067"/>
        <v>489612.81000000006</v>
      </c>
      <c r="M1761" s="178">
        <v>3889612.81</v>
      </c>
      <c r="N1761" s="178">
        <v>3557900</v>
      </c>
      <c r="O1761" s="178">
        <v>3045667.79</v>
      </c>
      <c r="P1761" s="26">
        <f t="shared" si="1072"/>
        <v>22909</v>
      </c>
      <c r="Q1761" s="178">
        <v>3557900</v>
      </c>
      <c r="R1761" s="178">
        <v>3570200</v>
      </c>
      <c r="S1761" s="178">
        <v>3612000</v>
      </c>
      <c r="T1761" s="266">
        <f>3580700+309-200</f>
        <v>3580809</v>
      </c>
      <c r="U1761" s="266">
        <v>3651901.43</v>
      </c>
      <c r="V1761" s="266">
        <v>3279800</v>
      </c>
      <c r="W1761" s="266">
        <f>3557900-100000-200000-4000</f>
        <v>3253900</v>
      </c>
      <c r="X1761" s="266">
        <f>3557900-100000-200000</f>
        <v>3257900</v>
      </c>
      <c r="Y1761" s="266">
        <v>2521682.73</v>
      </c>
      <c r="Z1761" s="266">
        <f t="shared" si="1056"/>
        <v>76.89</v>
      </c>
      <c r="AA1761" s="266">
        <f t="shared" si="1075"/>
        <v>75000</v>
      </c>
      <c r="AB1761" s="266">
        <v>3354800</v>
      </c>
      <c r="AC1761" s="266">
        <v>2861778.37</v>
      </c>
      <c r="AD1761" s="266">
        <f t="shared" si="1045"/>
        <v>85.303993382615957</v>
      </c>
      <c r="AE1761" s="266">
        <f t="shared" si="1058"/>
        <v>-2100</v>
      </c>
      <c r="AF1761" s="266">
        <v>3352700</v>
      </c>
      <c r="AG1761" s="266">
        <v>3173760</v>
      </c>
      <c r="AH1761" s="266">
        <v>3173760</v>
      </c>
      <c r="AI1761" s="266">
        <v>3173760</v>
      </c>
      <c r="AJ1761" s="162" t="b">
        <f t="shared" si="1064"/>
        <v>0</v>
      </c>
      <c r="AK1761" s="162" t="str">
        <f t="shared" si="1065"/>
        <v>PUNO</v>
      </c>
      <c r="AM1761" s="164"/>
    </row>
    <row r="1762" spans="1:39" ht="15.75" x14ac:dyDescent="0.2">
      <c r="B1762" s="177"/>
      <c r="C1762" s="177"/>
      <c r="D1762" s="177"/>
      <c r="E1762" s="177">
        <v>3223</v>
      </c>
      <c r="F1762" s="176">
        <v>11</v>
      </c>
      <c r="G1762" s="176"/>
      <c r="H1762" s="29" t="s">
        <v>204</v>
      </c>
      <c r="I1762" s="18"/>
      <c r="J1762" s="178"/>
      <c r="K1762" s="178"/>
      <c r="L1762" s="178"/>
      <c r="M1762" s="178"/>
      <c r="N1762" s="178"/>
      <c r="O1762" s="178"/>
      <c r="P1762" s="26"/>
      <c r="Q1762" s="178"/>
      <c r="R1762" s="178"/>
      <c r="S1762" s="178"/>
      <c r="T1762" s="266"/>
      <c r="U1762" s="266">
        <v>1067682.93</v>
      </c>
      <c r="V1762" s="266"/>
      <c r="W1762" s="266"/>
      <c r="X1762" s="266"/>
      <c r="Y1762" s="266"/>
      <c r="Z1762" s="266"/>
      <c r="AA1762" s="266"/>
      <c r="AB1762" s="266"/>
      <c r="AC1762" s="266"/>
      <c r="AD1762" s="266"/>
      <c r="AE1762" s="266"/>
      <c r="AF1762" s="266"/>
      <c r="AG1762" s="266"/>
      <c r="AH1762" s="266"/>
      <c r="AI1762" s="266"/>
      <c r="AJ1762" s="162" t="b">
        <f t="shared" si="1064"/>
        <v>0</v>
      </c>
      <c r="AK1762" s="162" t="str">
        <f t="shared" si="1065"/>
        <v>PUNO</v>
      </c>
      <c r="AM1762" s="164"/>
    </row>
    <row r="1763" spans="1:39" ht="17.25" customHeight="1" x14ac:dyDescent="0.2">
      <c r="B1763" s="177"/>
      <c r="C1763" s="177"/>
      <c r="D1763" s="177"/>
      <c r="E1763" s="177">
        <v>3224</v>
      </c>
      <c r="F1763" s="176">
        <v>54</v>
      </c>
      <c r="G1763" s="176" t="s">
        <v>1040</v>
      </c>
      <c r="H1763" s="16" t="s">
        <v>853</v>
      </c>
      <c r="I1763" s="18">
        <v>135000</v>
      </c>
      <c r="J1763" s="178">
        <v>83704.08</v>
      </c>
      <c r="K1763" s="178">
        <f t="shared" si="1050"/>
        <v>62</v>
      </c>
      <c r="L1763" s="178">
        <f t="shared" si="1067"/>
        <v>-22401.960000000006</v>
      </c>
      <c r="M1763" s="178">
        <v>112598.04</v>
      </c>
      <c r="N1763" s="178">
        <v>132400</v>
      </c>
      <c r="O1763" s="178">
        <v>65445.06</v>
      </c>
      <c r="P1763" s="26">
        <f t="shared" si="1072"/>
        <v>-4700</v>
      </c>
      <c r="Q1763" s="178">
        <v>132400</v>
      </c>
      <c r="R1763" s="178">
        <v>132900</v>
      </c>
      <c r="S1763" s="178">
        <v>133000</v>
      </c>
      <c r="T1763" s="266">
        <v>127700</v>
      </c>
      <c r="U1763" s="266">
        <v>117189.16</v>
      </c>
      <c r="V1763" s="266">
        <v>127700</v>
      </c>
      <c r="W1763" s="266">
        <v>122400</v>
      </c>
      <c r="X1763" s="266">
        <v>136400</v>
      </c>
      <c r="Y1763" s="266">
        <v>45068.77</v>
      </c>
      <c r="Z1763" s="266">
        <f t="shared" si="1056"/>
        <v>35.29</v>
      </c>
      <c r="AA1763" s="266">
        <f t="shared" si="1075"/>
        <v>-15700</v>
      </c>
      <c r="AB1763" s="266">
        <v>112000</v>
      </c>
      <c r="AC1763" s="266">
        <v>76012.929999999993</v>
      </c>
      <c r="AD1763" s="266">
        <f t="shared" si="1045"/>
        <v>67.868687499999993</v>
      </c>
      <c r="AE1763" s="266">
        <f t="shared" si="1058"/>
        <v>-2200</v>
      </c>
      <c r="AF1763" s="266">
        <v>109800</v>
      </c>
      <c r="AG1763" s="266">
        <v>150000</v>
      </c>
      <c r="AH1763" s="266">
        <v>150000</v>
      </c>
      <c r="AI1763" s="266">
        <v>150000</v>
      </c>
      <c r="AJ1763" s="162" t="b">
        <f t="shared" si="1064"/>
        <v>0</v>
      </c>
      <c r="AK1763" s="162" t="str">
        <f t="shared" si="1065"/>
        <v>PUNO</v>
      </c>
      <c r="AM1763" s="164"/>
    </row>
    <row r="1764" spans="1:39" ht="15.75" x14ac:dyDescent="0.2">
      <c r="B1764" s="177"/>
      <c r="C1764" s="177"/>
      <c r="D1764" s="177"/>
      <c r="E1764" s="177">
        <v>3225</v>
      </c>
      <c r="F1764" s="176">
        <v>54</v>
      </c>
      <c r="G1764" s="176" t="s">
        <v>1040</v>
      </c>
      <c r="H1764" s="16" t="s">
        <v>642</v>
      </c>
      <c r="I1764" s="18">
        <v>85000</v>
      </c>
      <c r="J1764" s="178">
        <v>54702.34</v>
      </c>
      <c r="K1764" s="178">
        <f t="shared" si="1050"/>
        <v>64.36</v>
      </c>
      <c r="L1764" s="178">
        <f t="shared" si="1067"/>
        <v>-12633.179999999993</v>
      </c>
      <c r="M1764" s="178">
        <v>72366.820000000007</v>
      </c>
      <c r="N1764" s="178">
        <v>42800</v>
      </c>
      <c r="O1764" s="178">
        <v>24460.2</v>
      </c>
      <c r="P1764" s="26">
        <f t="shared" si="1072"/>
        <v>2800</v>
      </c>
      <c r="Q1764" s="178">
        <v>42800</v>
      </c>
      <c r="R1764" s="178">
        <v>43100</v>
      </c>
      <c r="S1764" s="178">
        <v>44000</v>
      </c>
      <c r="T1764" s="266">
        <v>45600</v>
      </c>
      <c r="U1764" s="266">
        <v>52814.34</v>
      </c>
      <c r="V1764" s="266">
        <v>32800</v>
      </c>
      <c r="W1764" s="266">
        <v>42800</v>
      </c>
      <c r="X1764" s="178">
        <v>44000</v>
      </c>
      <c r="Y1764" s="266">
        <v>14514.96</v>
      </c>
      <c r="Z1764" s="266">
        <f t="shared" si="1056"/>
        <v>44.25</v>
      </c>
      <c r="AA1764" s="266">
        <f t="shared" si="1075"/>
        <v>-2500</v>
      </c>
      <c r="AB1764" s="266">
        <v>30300</v>
      </c>
      <c r="AC1764" s="266">
        <v>22839.18</v>
      </c>
      <c r="AD1764" s="266">
        <f t="shared" si="1045"/>
        <v>75.376831683168319</v>
      </c>
      <c r="AE1764" s="266">
        <f t="shared" si="1058"/>
        <v>2300</v>
      </c>
      <c r="AF1764" s="266">
        <v>32600</v>
      </c>
      <c r="AG1764" s="266">
        <v>30300</v>
      </c>
      <c r="AH1764" s="266">
        <v>30300</v>
      </c>
      <c r="AI1764" s="266">
        <v>30300</v>
      </c>
      <c r="AJ1764" s="162" t="b">
        <f t="shared" si="1064"/>
        <v>0</v>
      </c>
      <c r="AK1764" s="162" t="str">
        <f t="shared" si="1065"/>
        <v>PUNO</v>
      </c>
      <c r="AM1764" s="164"/>
    </row>
    <row r="1765" spans="1:39" ht="15.75" x14ac:dyDescent="0.2">
      <c r="B1765" s="177"/>
      <c r="C1765" s="177"/>
      <c r="D1765" s="177"/>
      <c r="E1765" s="177">
        <v>3225</v>
      </c>
      <c r="F1765" s="176">
        <v>11</v>
      </c>
      <c r="G1765" s="176"/>
      <c r="H1765" s="16" t="s">
        <v>642</v>
      </c>
      <c r="I1765" s="18"/>
      <c r="J1765" s="178"/>
      <c r="K1765" s="178"/>
      <c r="L1765" s="178"/>
      <c r="M1765" s="178"/>
      <c r="N1765" s="178"/>
      <c r="O1765" s="178"/>
      <c r="P1765" s="26"/>
      <c r="Q1765" s="178"/>
      <c r="R1765" s="178"/>
      <c r="S1765" s="178"/>
      <c r="T1765" s="266"/>
      <c r="U1765" s="266">
        <v>38557.089999999997</v>
      </c>
      <c r="V1765" s="266"/>
      <c r="W1765" s="266"/>
      <c r="X1765" s="178"/>
      <c r="Y1765" s="266"/>
      <c r="Z1765" s="266"/>
      <c r="AA1765" s="266"/>
      <c r="AB1765" s="266"/>
      <c r="AC1765" s="266"/>
      <c r="AD1765" s="266"/>
      <c r="AE1765" s="266"/>
      <c r="AF1765" s="266"/>
      <c r="AG1765" s="266"/>
      <c r="AH1765" s="266"/>
      <c r="AI1765" s="266"/>
      <c r="AJ1765" s="162" t="b">
        <f t="shared" si="1064"/>
        <v>0</v>
      </c>
      <c r="AK1765" s="162" t="str">
        <f t="shared" si="1065"/>
        <v>PUNO</v>
      </c>
      <c r="AM1765" s="164"/>
    </row>
    <row r="1766" spans="1:39" ht="15.75" x14ac:dyDescent="0.2">
      <c r="B1766" s="177"/>
      <c r="C1766" s="177"/>
      <c r="D1766" s="177"/>
      <c r="E1766" s="177">
        <v>3227</v>
      </c>
      <c r="F1766" s="176">
        <v>54</v>
      </c>
      <c r="G1766" s="176"/>
      <c r="H1766" s="16" t="s">
        <v>845</v>
      </c>
      <c r="I1766" s="18">
        <v>0</v>
      </c>
      <c r="J1766" s="178">
        <v>0</v>
      </c>
      <c r="K1766" s="178" t="e">
        <f t="shared" si="1050"/>
        <v>#DIV/0!</v>
      </c>
      <c r="L1766" s="178">
        <f t="shared" si="1067"/>
        <v>2219</v>
      </c>
      <c r="M1766" s="178">
        <v>2219</v>
      </c>
      <c r="N1766" s="178">
        <v>21200</v>
      </c>
      <c r="O1766" s="178">
        <v>7454.49</v>
      </c>
      <c r="P1766" s="26">
        <f t="shared" si="1072"/>
        <v>-1400</v>
      </c>
      <c r="Q1766" s="178">
        <v>21200</v>
      </c>
      <c r="R1766" s="178">
        <v>21300</v>
      </c>
      <c r="S1766" s="178">
        <v>21800</v>
      </c>
      <c r="T1766" s="266">
        <v>19800</v>
      </c>
      <c r="U1766" s="266">
        <v>14066.4</v>
      </c>
      <c r="V1766" s="266">
        <v>16600</v>
      </c>
      <c r="W1766" s="266">
        <v>21200</v>
      </c>
      <c r="X1766" s="178">
        <v>21800</v>
      </c>
      <c r="Y1766" s="266">
        <v>1416.06</v>
      </c>
      <c r="Z1766" s="266">
        <f t="shared" si="1056"/>
        <v>8.5299999999999994</v>
      </c>
      <c r="AA1766" s="266">
        <f t="shared" si="1075"/>
        <v>-3200</v>
      </c>
      <c r="AB1766" s="266">
        <v>13400</v>
      </c>
      <c r="AC1766" s="266">
        <v>4460.87</v>
      </c>
      <c r="AD1766" s="266">
        <f t="shared" si="1045"/>
        <v>33.290074626865675</v>
      </c>
      <c r="AE1766" s="266">
        <f t="shared" si="1058"/>
        <v>-3000</v>
      </c>
      <c r="AF1766" s="266">
        <v>10400</v>
      </c>
      <c r="AG1766" s="266">
        <v>12000</v>
      </c>
      <c r="AH1766" s="266">
        <v>12000</v>
      </c>
      <c r="AI1766" s="266">
        <v>12000</v>
      </c>
      <c r="AJ1766" s="162" t="b">
        <f t="shared" si="1064"/>
        <v>0</v>
      </c>
      <c r="AK1766" s="162" t="str">
        <f t="shared" si="1065"/>
        <v>PUNO</v>
      </c>
      <c r="AM1766" s="164"/>
    </row>
    <row r="1767" spans="1:39" ht="15.75" x14ac:dyDescent="0.2">
      <c r="B1767" s="177"/>
      <c r="C1767" s="177"/>
      <c r="D1767" s="177">
        <v>323</v>
      </c>
      <c r="E1767" s="177"/>
      <c r="F1767" s="177"/>
      <c r="G1767" s="177"/>
      <c r="H1767" s="16" t="s">
        <v>526</v>
      </c>
      <c r="I1767" s="17">
        <f>SUM(I1768:I1782)</f>
        <v>9397800</v>
      </c>
      <c r="J1767" s="17">
        <f>SUM(J1768:J1782)</f>
        <v>6413390.1500000013</v>
      </c>
      <c r="K1767" s="17">
        <f t="shared" si="1050"/>
        <v>68.239999999999995</v>
      </c>
      <c r="L1767" s="17">
        <f t="shared" si="1067"/>
        <v>-205522.41000000015</v>
      </c>
      <c r="M1767" s="17">
        <f>SUM(M1768:M1782)</f>
        <v>9192277.5899999999</v>
      </c>
      <c r="N1767" s="17">
        <f>SUM(N1768:N1782)</f>
        <v>9185910</v>
      </c>
      <c r="O1767" s="17">
        <f>SUM(O1768:O1782)</f>
        <v>5391636.5099999988</v>
      </c>
      <c r="P1767" s="26">
        <f t="shared" si="1072"/>
        <v>-95210</v>
      </c>
      <c r="Q1767" s="17">
        <f t="shared" ref="Q1767:X1767" si="1080">SUM(Q1768:Q1782)</f>
        <v>9481800</v>
      </c>
      <c r="R1767" s="17">
        <f t="shared" si="1080"/>
        <v>9320700</v>
      </c>
      <c r="S1767" s="17">
        <f t="shared" si="1080"/>
        <v>9342300</v>
      </c>
      <c r="T1767" s="26">
        <f t="shared" si="1080"/>
        <v>9090700</v>
      </c>
      <c r="U1767" s="26">
        <f>SUM(U1768:U1782)</f>
        <v>9273119.2000000011</v>
      </c>
      <c r="V1767" s="181">
        <f t="shared" si="1080"/>
        <v>8397900</v>
      </c>
      <c r="W1767" s="181">
        <f t="shared" si="1080"/>
        <v>7985910</v>
      </c>
      <c r="X1767" s="181">
        <f t="shared" si="1080"/>
        <v>8003560</v>
      </c>
      <c r="Y1767" s="181">
        <f>SUM(Y1768:Y1782)</f>
        <v>3694022.11</v>
      </c>
      <c r="Z1767" s="181">
        <f t="shared" si="1056"/>
        <v>43.99</v>
      </c>
      <c r="AA1767" s="181">
        <f t="shared" si="1075"/>
        <v>-114700</v>
      </c>
      <c r="AB1767" s="181">
        <f>SUM(AB1768:AB1782)</f>
        <v>8283200</v>
      </c>
      <c r="AC1767" s="181">
        <f>SUM(AC1768:AC1782)</f>
        <v>6332102.169999999</v>
      </c>
      <c r="AD1767" s="181">
        <f t="shared" si="1045"/>
        <v>76.445119881205315</v>
      </c>
      <c r="AE1767" s="181">
        <f t="shared" si="1058"/>
        <v>-55400</v>
      </c>
      <c r="AF1767" s="181">
        <f>SUM(AF1768:AF1782)</f>
        <v>8227800</v>
      </c>
      <c r="AG1767" s="181">
        <f>SUM(AG1768:AG1782)</f>
        <v>8440840</v>
      </c>
      <c r="AH1767" s="181">
        <f>SUM(AH1768:AH1782)</f>
        <v>8440840</v>
      </c>
      <c r="AI1767" s="181">
        <f>SUM(AI1768:AI1782)</f>
        <v>8440840</v>
      </c>
      <c r="AJ1767" s="162" t="b">
        <f t="shared" si="1064"/>
        <v>1</v>
      </c>
      <c r="AK1767" s="162" t="str">
        <f t="shared" si="1065"/>
        <v>PRAZNO</v>
      </c>
      <c r="AM1767" s="164"/>
    </row>
    <row r="1768" spans="1:39" ht="15.75" x14ac:dyDescent="0.2">
      <c r="B1768" s="177"/>
      <c r="C1768" s="177"/>
      <c r="D1768" s="177"/>
      <c r="E1768" s="177">
        <v>3231</v>
      </c>
      <c r="F1768" s="176">
        <v>54</v>
      </c>
      <c r="G1768" s="176" t="s">
        <v>1040</v>
      </c>
      <c r="H1768" s="16" t="s">
        <v>1043</v>
      </c>
      <c r="I1768" s="17">
        <v>6604200</v>
      </c>
      <c r="J1768" s="181">
        <v>4571590.2</v>
      </c>
      <c r="K1768" s="181">
        <f t="shared" si="1050"/>
        <v>69.22</v>
      </c>
      <c r="L1768" s="181">
        <f t="shared" si="1067"/>
        <v>12954</v>
      </c>
      <c r="M1768" s="181">
        <v>6617154</v>
      </c>
      <c r="N1768" s="181">
        <v>6657110</v>
      </c>
      <c r="O1768" s="181">
        <f>360802.8+348350.4+157526.1+157526.1+543144+162648.9+62754.3+126789.3+119105.1+120479+217257.6+588406+78885.2+185701.5+271508.4+126789.3+49947.3+62754.3</f>
        <v>3740375.5999999996</v>
      </c>
      <c r="P1768" s="26">
        <f t="shared" si="1072"/>
        <v>-4110</v>
      </c>
      <c r="Q1768" s="181">
        <v>6657110</v>
      </c>
      <c r="R1768" s="181">
        <v>6674000</v>
      </c>
      <c r="S1768" s="181">
        <v>6685300</v>
      </c>
      <c r="T1768" s="307">
        <v>6653000</v>
      </c>
      <c r="U1768" s="307">
        <v>6628186.2000000002</v>
      </c>
      <c r="V1768" s="307">
        <v>6147700</v>
      </c>
      <c r="W1768" s="307">
        <v>5497910</v>
      </c>
      <c r="X1768" s="307">
        <v>5424310</v>
      </c>
      <c r="Y1768" s="307">
        <v>2881026.25</v>
      </c>
      <c r="Z1768" s="307">
        <f t="shared" si="1056"/>
        <v>46.86</v>
      </c>
      <c r="AA1768" s="307">
        <f t="shared" si="1075"/>
        <v>-189900</v>
      </c>
      <c r="AB1768" s="307">
        <v>5957800</v>
      </c>
      <c r="AC1768" s="307">
        <v>4694133.75</v>
      </c>
      <c r="AD1768" s="307">
        <f t="shared" si="1045"/>
        <v>78.789716841787239</v>
      </c>
      <c r="AE1768" s="307">
        <f t="shared" si="1058"/>
        <v>-61900</v>
      </c>
      <c r="AF1768" s="307">
        <f>5957800-61900</f>
        <v>5895900</v>
      </c>
      <c r="AG1768" s="307">
        <v>5957800</v>
      </c>
      <c r="AH1768" s="307">
        <v>5957800</v>
      </c>
      <c r="AI1768" s="307">
        <v>5957800</v>
      </c>
      <c r="AJ1768" s="162" t="b">
        <f t="shared" si="1064"/>
        <v>0</v>
      </c>
      <c r="AK1768" s="162" t="str">
        <f t="shared" si="1065"/>
        <v>PUNO</v>
      </c>
      <c r="AM1768" s="164"/>
    </row>
    <row r="1769" spans="1:39" ht="15.75" x14ac:dyDescent="0.2">
      <c r="B1769" s="177"/>
      <c r="C1769" s="177"/>
      <c r="D1769" s="177"/>
      <c r="E1769" s="177">
        <v>3231</v>
      </c>
      <c r="F1769" s="176">
        <v>11</v>
      </c>
      <c r="G1769" s="176"/>
      <c r="H1769" s="16" t="s">
        <v>1043</v>
      </c>
      <c r="I1769" s="17"/>
      <c r="J1769" s="181"/>
      <c r="K1769" s="181"/>
      <c r="L1769" s="181"/>
      <c r="M1769" s="181"/>
      <c r="N1769" s="181"/>
      <c r="O1769" s="181"/>
      <c r="P1769" s="26"/>
      <c r="Q1769" s="181"/>
      <c r="R1769" s="181"/>
      <c r="S1769" s="181"/>
      <c r="T1769" s="307"/>
      <c r="U1769" s="307">
        <v>186361.9</v>
      </c>
      <c r="V1769" s="307"/>
      <c r="W1769" s="307"/>
      <c r="X1769" s="307"/>
      <c r="Y1769" s="307"/>
      <c r="Z1769" s="307"/>
      <c r="AA1769" s="307"/>
      <c r="AB1769" s="307"/>
      <c r="AC1769" s="307"/>
      <c r="AD1769" s="307"/>
      <c r="AE1769" s="307"/>
      <c r="AF1769" s="307"/>
      <c r="AG1769" s="307"/>
      <c r="AH1769" s="307"/>
      <c r="AI1769" s="307"/>
      <c r="AJ1769" s="162" t="b">
        <f t="shared" si="1064"/>
        <v>0</v>
      </c>
      <c r="AK1769" s="162" t="str">
        <f t="shared" si="1065"/>
        <v>PUNO</v>
      </c>
      <c r="AM1769" s="164"/>
    </row>
    <row r="1770" spans="1:39" s="264" customFormat="1" ht="15.75" x14ac:dyDescent="0.2">
      <c r="A1770" s="259"/>
      <c r="B1770" s="177"/>
      <c r="C1770" s="177"/>
      <c r="D1770" s="177"/>
      <c r="E1770" s="177">
        <v>3231</v>
      </c>
      <c r="F1770" s="265">
        <v>12</v>
      </c>
      <c r="G1770" s="265"/>
      <c r="H1770" s="16" t="s">
        <v>1043</v>
      </c>
      <c r="I1770" s="181"/>
      <c r="J1770" s="181"/>
      <c r="K1770" s="181"/>
      <c r="L1770" s="181"/>
      <c r="M1770" s="181"/>
      <c r="N1770" s="181">
        <v>0</v>
      </c>
      <c r="O1770" s="181"/>
      <c r="P1770" s="307">
        <f t="shared" si="1072"/>
        <v>0</v>
      </c>
      <c r="Q1770" s="181">
        <v>295890</v>
      </c>
      <c r="R1770" s="181"/>
      <c r="S1770" s="181"/>
      <c r="T1770" s="307">
        <v>0</v>
      </c>
      <c r="U1770" s="307">
        <v>0</v>
      </c>
      <c r="V1770" s="307">
        <v>132300</v>
      </c>
      <c r="W1770" s="307">
        <v>259200</v>
      </c>
      <c r="X1770" s="307">
        <v>332800</v>
      </c>
      <c r="Y1770" s="307">
        <v>0</v>
      </c>
      <c r="Z1770" s="307">
        <f t="shared" si="1056"/>
        <v>0</v>
      </c>
      <c r="AA1770" s="307">
        <f t="shared" si="1075"/>
        <v>189900</v>
      </c>
      <c r="AB1770" s="307">
        <v>322200</v>
      </c>
      <c r="AC1770" s="27">
        <v>322200</v>
      </c>
      <c r="AD1770" s="27">
        <f t="shared" si="1045"/>
        <v>100</v>
      </c>
      <c r="AE1770" s="27">
        <f t="shared" si="1058"/>
        <v>61900</v>
      </c>
      <c r="AF1770" s="307">
        <f>322200+61900</f>
        <v>384100</v>
      </c>
      <c r="AG1770" s="307">
        <v>322200</v>
      </c>
      <c r="AH1770" s="307">
        <v>322200</v>
      </c>
      <c r="AI1770" s="307">
        <v>322200</v>
      </c>
      <c r="AJ1770" s="162" t="b">
        <f t="shared" si="1064"/>
        <v>0</v>
      </c>
      <c r="AK1770" s="162" t="str">
        <f t="shared" si="1065"/>
        <v>PUNO</v>
      </c>
      <c r="AL1770" s="263"/>
    </row>
    <row r="1771" spans="1:39" ht="15.75" x14ac:dyDescent="0.2">
      <c r="B1771" s="177"/>
      <c r="C1771" s="177"/>
      <c r="D1771" s="177"/>
      <c r="E1771" s="177">
        <v>3231</v>
      </c>
      <c r="F1771" s="176">
        <v>54</v>
      </c>
      <c r="G1771" s="176" t="s">
        <v>1040</v>
      </c>
      <c r="H1771" s="16" t="s">
        <v>1044</v>
      </c>
      <c r="I1771" s="18">
        <v>447900</v>
      </c>
      <c r="J1771" s="178">
        <v>294867.24</v>
      </c>
      <c r="K1771" s="178">
        <f t="shared" si="1050"/>
        <v>65.83</v>
      </c>
      <c r="L1771" s="178">
        <f t="shared" si="1067"/>
        <v>-10047.570000000007</v>
      </c>
      <c r="M1771" s="178">
        <v>437852.43</v>
      </c>
      <c r="N1771" s="178">
        <v>358500</v>
      </c>
      <c r="O1771" s="178">
        <v>271197.8</v>
      </c>
      <c r="P1771" s="26">
        <f t="shared" si="1072"/>
        <v>28300</v>
      </c>
      <c r="Q1771" s="178">
        <v>358500</v>
      </c>
      <c r="R1771" s="178">
        <v>398800</v>
      </c>
      <c r="S1771" s="178">
        <v>399500</v>
      </c>
      <c r="T1771" s="266">
        <v>386800</v>
      </c>
      <c r="U1771" s="266">
        <v>419575.82</v>
      </c>
      <c r="V1771" s="266">
        <v>318500</v>
      </c>
      <c r="W1771" s="266">
        <v>358500</v>
      </c>
      <c r="X1771" s="178">
        <v>370000</v>
      </c>
      <c r="Y1771" s="266">
        <f>3035698.84-Y1768</f>
        <v>154672.58999999985</v>
      </c>
      <c r="Z1771" s="266">
        <f t="shared" si="1056"/>
        <v>48.56</v>
      </c>
      <c r="AA1771" s="266">
        <f t="shared" si="1075"/>
        <v>22900</v>
      </c>
      <c r="AB1771" s="266">
        <v>341400</v>
      </c>
      <c r="AC1771" s="481">
        <v>274227.59999999998</v>
      </c>
      <c r="AD1771" s="481">
        <f t="shared" si="1045"/>
        <v>80.324428822495591</v>
      </c>
      <c r="AE1771" s="481">
        <f t="shared" si="1058"/>
        <v>30800</v>
      </c>
      <c r="AF1771" s="266">
        <v>372200</v>
      </c>
      <c r="AG1771" s="266">
        <v>341400</v>
      </c>
      <c r="AH1771" s="266">
        <v>341400</v>
      </c>
      <c r="AI1771" s="266">
        <v>341400</v>
      </c>
      <c r="AJ1771" s="162" t="b">
        <f t="shared" si="1064"/>
        <v>0</v>
      </c>
      <c r="AK1771" s="162" t="str">
        <f t="shared" si="1065"/>
        <v>PUNO</v>
      </c>
      <c r="AM1771" s="164"/>
    </row>
    <row r="1772" spans="1:39" ht="15.75" x14ac:dyDescent="0.2">
      <c r="B1772" s="177"/>
      <c r="C1772" s="177"/>
      <c r="D1772" s="177"/>
      <c r="E1772" s="177">
        <v>3232</v>
      </c>
      <c r="F1772" s="176">
        <v>12</v>
      </c>
      <c r="G1772" s="176" t="s">
        <v>1040</v>
      </c>
      <c r="H1772" s="16" t="s">
        <v>207</v>
      </c>
      <c r="I1772" s="18">
        <v>1115000</v>
      </c>
      <c r="J1772" s="178">
        <v>627517.56999999995</v>
      </c>
      <c r="K1772" s="178">
        <f t="shared" si="1050"/>
        <v>56.28</v>
      </c>
      <c r="L1772" s="178">
        <f t="shared" si="1067"/>
        <v>-221130.82999999996</v>
      </c>
      <c r="M1772" s="178">
        <v>893869.17</v>
      </c>
      <c r="N1772" s="178">
        <v>1069600</v>
      </c>
      <c r="O1772" s="178">
        <v>648885.49</v>
      </c>
      <c r="P1772" s="26">
        <f t="shared" si="1072"/>
        <v>-129100</v>
      </c>
      <c r="Q1772" s="178">
        <v>1069600</v>
      </c>
      <c r="R1772" s="178">
        <v>1094500</v>
      </c>
      <c r="S1772" s="178">
        <v>1098600</v>
      </c>
      <c r="T1772" s="266">
        <v>940500</v>
      </c>
      <c r="U1772" s="266">
        <v>927699.92</v>
      </c>
      <c r="V1772" s="266">
        <v>961200</v>
      </c>
      <c r="W1772" s="266">
        <f>1069600-200000</f>
        <v>869600</v>
      </c>
      <c r="X1772" s="266">
        <f>1069600-200000</f>
        <v>869600</v>
      </c>
      <c r="Y1772" s="266">
        <v>227938.85</v>
      </c>
      <c r="Z1772" s="266">
        <f t="shared" si="1056"/>
        <v>23.71</v>
      </c>
      <c r="AA1772" s="266">
        <f t="shared" si="1075"/>
        <v>-209600</v>
      </c>
      <c r="AB1772" s="266">
        <v>751600</v>
      </c>
      <c r="AC1772" s="266">
        <v>363585.48</v>
      </c>
      <c r="AD1772" s="266">
        <f t="shared" si="1045"/>
        <v>48.374864289515699</v>
      </c>
      <c r="AE1772" s="266">
        <f t="shared" si="1058"/>
        <v>-122300</v>
      </c>
      <c r="AF1772" s="266">
        <v>629300</v>
      </c>
      <c r="AG1772" s="266">
        <v>939640</v>
      </c>
      <c r="AH1772" s="266">
        <v>939640</v>
      </c>
      <c r="AI1772" s="266">
        <v>939640</v>
      </c>
      <c r="AJ1772" s="162" t="b">
        <f t="shared" si="1064"/>
        <v>0</v>
      </c>
      <c r="AK1772" s="162" t="str">
        <f t="shared" si="1065"/>
        <v>PUNO</v>
      </c>
      <c r="AM1772" s="164"/>
    </row>
    <row r="1773" spans="1:39" ht="15.75" x14ac:dyDescent="0.2">
      <c r="B1773" s="177"/>
      <c r="C1773" s="177"/>
      <c r="D1773" s="177"/>
      <c r="E1773" s="177">
        <v>3232</v>
      </c>
      <c r="F1773" s="176">
        <v>54</v>
      </c>
      <c r="G1773" s="176"/>
      <c r="H1773" s="16" t="s">
        <v>207</v>
      </c>
      <c r="I1773" s="18"/>
      <c r="J1773" s="178"/>
      <c r="K1773" s="178"/>
      <c r="L1773" s="178"/>
      <c r="M1773" s="178"/>
      <c r="N1773" s="178"/>
      <c r="O1773" s="178"/>
      <c r="P1773" s="26">
        <f>T1773-N1773</f>
        <v>0</v>
      </c>
      <c r="Q1773" s="178"/>
      <c r="R1773" s="178"/>
      <c r="S1773" s="178"/>
      <c r="T1773" s="266">
        <v>0</v>
      </c>
      <c r="U1773" s="266">
        <v>0</v>
      </c>
      <c r="V1773" s="266"/>
      <c r="W1773" s="266"/>
      <c r="X1773" s="178"/>
      <c r="Y1773" s="266"/>
      <c r="Z1773" s="266" t="e">
        <f t="shared" si="1056"/>
        <v>#DIV/0!</v>
      </c>
      <c r="AA1773" s="266">
        <f t="shared" si="1075"/>
        <v>0</v>
      </c>
      <c r="AB1773" s="266"/>
      <c r="AC1773" s="266"/>
      <c r="AD1773" s="266" t="e">
        <f t="shared" si="1045"/>
        <v>#DIV/0!</v>
      </c>
      <c r="AE1773" s="266">
        <f t="shared" si="1058"/>
        <v>0</v>
      </c>
      <c r="AF1773" s="266"/>
      <c r="AG1773" s="266"/>
      <c r="AH1773" s="266"/>
      <c r="AI1773" s="266"/>
      <c r="AJ1773" s="162" t="b">
        <f t="shared" si="1064"/>
        <v>0</v>
      </c>
      <c r="AK1773" s="162" t="str">
        <f t="shared" si="1065"/>
        <v>PUNO</v>
      </c>
      <c r="AM1773" s="164"/>
    </row>
    <row r="1774" spans="1:39" ht="15.75" x14ac:dyDescent="0.2">
      <c r="B1774" s="177"/>
      <c r="C1774" s="177"/>
      <c r="D1774" s="177"/>
      <c r="E1774" s="177">
        <v>3233</v>
      </c>
      <c r="F1774" s="176">
        <v>54</v>
      </c>
      <c r="G1774" s="176" t="s">
        <v>1040</v>
      </c>
      <c r="H1774" s="16" t="s">
        <v>528</v>
      </c>
      <c r="I1774" s="18">
        <v>100000</v>
      </c>
      <c r="J1774" s="178">
        <v>35697.910000000003</v>
      </c>
      <c r="K1774" s="178">
        <f t="shared" si="1050"/>
        <v>35.700000000000003</v>
      </c>
      <c r="L1774" s="178">
        <f t="shared" si="1067"/>
        <v>-57313.760000000002</v>
      </c>
      <c r="M1774" s="178">
        <v>42686.239999999998</v>
      </c>
      <c r="N1774" s="178">
        <v>21700</v>
      </c>
      <c r="O1774" s="178">
        <v>6780</v>
      </c>
      <c r="P1774" s="26">
        <f t="shared" si="1072"/>
        <v>-6500</v>
      </c>
      <c r="Q1774" s="178">
        <v>21700</v>
      </c>
      <c r="R1774" s="178">
        <v>21900</v>
      </c>
      <c r="S1774" s="178">
        <v>22100</v>
      </c>
      <c r="T1774" s="266">
        <v>15200</v>
      </c>
      <c r="U1774" s="266">
        <v>12320</v>
      </c>
      <c r="V1774" s="266">
        <v>14700</v>
      </c>
      <c r="W1774" s="266">
        <v>21700</v>
      </c>
      <c r="X1774" s="178">
        <v>22350</v>
      </c>
      <c r="Y1774" s="266">
        <v>2560</v>
      </c>
      <c r="Z1774" s="266">
        <f t="shared" si="1056"/>
        <v>17.41</v>
      </c>
      <c r="AA1774" s="266">
        <f t="shared" si="1075"/>
        <v>-5400</v>
      </c>
      <c r="AB1774" s="266">
        <v>9300</v>
      </c>
      <c r="AC1774" s="266">
        <v>4482.55</v>
      </c>
      <c r="AD1774" s="266">
        <f t="shared" si="1045"/>
        <v>48.199462365591401</v>
      </c>
      <c r="AE1774" s="266">
        <f t="shared" si="1058"/>
        <v>-1000</v>
      </c>
      <c r="AF1774" s="266">
        <v>8300</v>
      </c>
      <c r="AG1774" s="266">
        <v>9300</v>
      </c>
      <c r="AH1774" s="266">
        <v>9300</v>
      </c>
      <c r="AI1774" s="266">
        <v>9300</v>
      </c>
      <c r="AJ1774" s="162" t="b">
        <f t="shared" si="1064"/>
        <v>0</v>
      </c>
      <c r="AK1774" s="162" t="str">
        <f t="shared" si="1065"/>
        <v>PUNO</v>
      </c>
      <c r="AM1774" s="164"/>
    </row>
    <row r="1775" spans="1:39" ht="15.75" x14ac:dyDescent="0.2">
      <c r="B1775" s="177"/>
      <c r="C1775" s="177"/>
      <c r="D1775" s="177"/>
      <c r="E1775" s="177">
        <v>3233</v>
      </c>
      <c r="F1775" s="176">
        <v>11</v>
      </c>
      <c r="G1775" s="176"/>
      <c r="H1775" s="16" t="s">
        <v>238</v>
      </c>
      <c r="I1775" s="18"/>
      <c r="J1775" s="178"/>
      <c r="K1775" s="178"/>
      <c r="L1775" s="178"/>
      <c r="M1775" s="178"/>
      <c r="N1775" s="178"/>
      <c r="O1775" s="178"/>
      <c r="P1775" s="26"/>
      <c r="Q1775" s="178"/>
      <c r="R1775" s="178"/>
      <c r="S1775" s="178"/>
      <c r="T1775" s="266"/>
      <c r="U1775" s="266">
        <v>40215.919999999998</v>
      </c>
      <c r="V1775" s="266"/>
      <c r="W1775" s="266"/>
      <c r="X1775" s="178"/>
      <c r="Y1775" s="266"/>
      <c r="Z1775" s="266"/>
      <c r="AA1775" s="266"/>
      <c r="AB1775" s="266"/>
      <c r="AC1775" s="266"/>
      <c r="AD1775" s="266"/>
      <c r="AE1775" s="266"/>
      <c r="AF1775" s="266"/>
      <c r="AG1775" s="266"/>
      <c r="AH1775" s="266"/>
      <c r="AI1775" s="266"/>
      <c r="AJ1775" s="162" t="b">
        <f t="shared" si="1064"/>
        <v>0</v>
      </c>
      <c r="AK1775" s="162" t="str">
        <f t="shared" si="1065"/>
        <v>PUNO</v>
      </c>
      <c r="AM1775" s="164"/>
    </row>
    <row r="1776" spans="1:39" ht="15.75" x14ac:dyDescent="0.2">
      <c r="B1776" s="177"/>
      <c r="C1776" s="177"/>
      <c r="D1776" s="177"/>
      <c r="E1776" s="177">
        <v>3234</v>
      </c>
      <c r="F1776" s="176">
        <v>12</v>
      </c>
      <c r="G1776" s="176" t="s">
        <v>1040</v>
      </c>
      <c r="H1776" s="16" t="s">
        <v>238</v>
      </c>
      <c r="I1776" s="18">
        <v>504800</v>
      </c>
      <c r="J1776" s="178">
        <v>400827.11</v>
      </c>
      <c r="K1776" s="178">
        <f t="shared" si="1050"/>
        <v>79.400000000000006</v>
      </c>
      <c r="L1776" s="178">
        <f t="shared" si="1067"/>
        <v>60866.859999999986</v>
      </c>
      <c r="M1776" s="178">
        <v>565666.86</v>
      </c>
      <c r="N1776" s="178">
        <v>503700</v>
      </c>
      <c r="O1776" s="178">
        <v>382299.98</v>
      </c>
      <c r="P1776" s="26">
        <f t="shared" si="1072"/>
        <v>40600</v>
      </c>
      <c r="Q1776" s="178">
        <v>503700</v>
      </c>
      <c r="R1776" s="178">
        <v>553000</v>
      </c>
      <c r="S1776" s="178">
        <v>555300</v>
      </c>
      <c r="T1776" s="266">
        <v>544300</v>
      </c>
      <c r="U1776" s="266">
        <v>550047.18999999994</v>
      </c>
      <c r="V1776" s="266">
        <v>503700</v>
      </c>
      <c r="W1776" s="266">
        <f>503700-50000</f>
        <v>453700</v>
      </c>
      <c r="X1776" s="266">
        <f>503700-50000</f>
        <v>453700</v>
      </c>
      <c r="Y1776" s="266">
        <v>243367.8</v>
      </c>
      <c r="Z1776" s="266">
        <f t="shared" si="1056"/>
        <v>48.32</v>
      </c>
      <c r="AA1776" s="266">
        <f t="shared" si="1075"/>
        <v>-22900</v>
      </c>
      <c r="AB1776" s="266">
        <v>480800</v>
      </c>
      <c r="AC1776" s="266">
        <v>368332.46</v>
      </c>
      <c r="AD1776" s="266">
        <f t="shared" si="1045"/>
        <v>76.608248752079859</v>
      </c>
      <c r="AE1776" s="266">
        <f t="shared" si="1058"/>
        <v>-16100</v>
      </c>
      <c r="AF1776" s="266">
        <v>464700</v>
      </c>
      <c r="AG1776" s="266">
        <v>480800</v>
      </c>
      <c r="AH1776" s="266">
        <v>480800</v>
      </c>
      <c r="AI1776" s="266">
        <v>480800</v>
      </c>
      <c r="AJ1776" s="162" t="b">
        <f t="shared" si="1064"/>
        <v>0</v>
      </c>
      <c r="AK1776" s="162" t="str">
        <f t="shared" si="1065"/>
        <v>PUNO</v>
      </c>
      <c r="AM1776" s="164"/>
    </row>
    <row r="1777" spans="2:39" ht="15.75" x14ac:dyDescent="0.2">
      <c r="B1777" s="177"/>
      <c r="C1777" s="177"/>
      <c r="D1777" s="177"/>
      <c r="E1777" s="177">
        <v>3235</v>
      </c>
      <c r="F1777" s="176">
        <v>54</v>
      </c>
      <c r="G1777" s="176" t="s">
        <v>1040</v>
      </c>
      <c r="H1777" s="16" t="s">
        <v>640</v>
      </c>
      <c r="I1777" s="18">
        <v>5900</v>
      </c>
      <c r="J1777" s="18">
        <v>5441.99</v>
      </c>
      <c r="K1777" s="18">
        <f t="shared" si="1050"/>
        <v>92.24</v>
      </c>
      <c r="L1777" s="18">
        <f t="shared" si="1067"/>
        <v>363.97999999999956</v>
      </c>
      <c r="M1777" s="18">
        <v>6263.98</v>
      </c>
      <c r="N1777" s="18">
        <v>6300</v>
      </c>
      <c r="O1777" s="18">
        <v>6263.98</v>
      </c>
      <c r="P1777" s="26">
        <f t="shared" si="1072"/>
        <v>0</v>
      </c>
      <c r="Q1777" s="18">
        <v>6300</v>
      </c>
      <c r="R1777" s="18">
        <v>6300</v>
      </c>
      <c r="S1777" s="18">
        <v>6300</v>
      </c>
      <c r="T1777" s="27">
        <v>6300</v>
      </c>
      <c r="U1777" s="27">
        <v>6263.98</v>
      </c>
      <c r="V1777" s="266">
        <v>3900</v>
      </c>
      <c r="W1777" s="266">
        <v>6300</v>
      </c>
      <c r="X1777" s="178">
        <v>6500</v>
      </c>
      <c r="Y1777" s="266">
        <v>5017</v>
      </c>
      <c r="Z1777" s="266">
        <f t="shared" si="1056"/>
        <v>128.63999999999999</v>
      </c>
      <c r="AA1777" s="266">
        <f t="shared" si="1075"/>
        <v>1300</v>
      </c>
      <c r="AB1777" s="266">
        <v>5200</v>
      </c>
      <c r="AC1777" s="266">
        <v>5232</v>
      </c>
      <c r="AD1777" s="266">
        <f t="shared" si="1045"/>
        <v>100.61538461538461</v>
      </c>
      <c r="AE1777" s="266">
        <f t="shared" si="1058"/>
        <v>0</v>
      </c>
      <c r="AF1777" s="266">
        <v>5200</v>
      </c>
      <c r="AG1777" s="266">
        <v>6000</v>
      </c>
      <c r="AH1777" s="266">
        <v>6000</v>
      </c>
      <c r="AI1777" s="266">
        <v>6000</v>
      </c>
      <c r="AJ1777" s="162" t="b">
        <f t="shared" si="1064"/>
        <v>0</v>
      </c>
      <c r="AK1777" s="162" t="str">
        <f t="shared" si="1065"/>
        <v>PUNO</v>
      </c>
      <c r="AM1777" s="164"/>
    </row>
    <row r="1778" spans="2:39" ht="15.75" x14ac:dyDescent="0.2">
      <c r="B1778" s="177"/>
      <c r="C1778" s="177"/>
      <c r="D1778" s="177"/>
      <c r="E1778" s="177">
        <v>3236</v>
      </c>
      <c r="F1778" s="176">
        <v>54</v>
      </c>
      <c r="G1778" s="176" t="s">
        <v>1040</v>
      </c>
      <c r="H1778" s="16" t="s">
        <v>843</v>
      </c>
      <c r="I1778" s="18">
        <v>300000</v>
      </c>
      <c r="J1778" s="178">
        <v>246479.64</v>
      </c>
      <c r="K1778" s="178">
        <f t="shared" si="1050"/>
        <v>82.16</v>
      </c>
      <c r="L1778" s="178">
        <f t="shared" si="1067"/>
        <v>6504.7299999999814</v>
      </c>
      <c r="M1778" s="178">
        <v>306504.73</v>
      </c>
      <c r="N1778" s="178">
        <v>312700</v>
      </c>
      <c r="O1778" s="178">
        <v>188137.63</v>
      </c>
      <c r="P1778" s="26">
        <f t="shared" si="1072"/>
        <v>-19400</v>
      </c>
      <c r="Q1778" s="178">
        <v>312700</v>
      </c>
      <c r="R1778" s="178">
        <v>314800</v>
      </c>
      <c r="S1778" s="178">
        <v>315600</v>
      </c>
      <c r="T1778" s="266">
        <v>293300</v>
      </c>
      <c r="U1778" s="266">
        <v>284129.26</v>
      </c>
      <c r="V1778" s="266">
        <v>213300</v>
      </c>
      <c r="W1778" s="266">
        <f>312700-40000</f>
        <v>272700</v>
      </c>
      <c r="X1778" s="266">
        <f>312700-40000</f>
        <v>272700</v>
      </c>
      <c r="Y1778" s="266">
        <v>122889.73</v>
      </c>
      <c r="Z1778" s="266">
        <f t="shared" si="1056"/>
        <v>57.61</v>
      </c>
      <c r="AA1778" s="266">
        <f t="shared" si="1075"/>
        <v>17000</v>
      </c>
      <c r="AB1778" s="266">
        <v>230300</v>
      </c>
      <c r="AC1778" s="266">
        <v>175845.09</v>
      </c>
      <c r="AD1778" s="266">
        <f t="shared" ref="AD1778:AD1826" si="1081">AC1778/AB1778*100</f>
        <v>76.354793747286138</v>
      </c>
      <c r="AE1778" s="266">
        <f t="shared" si="1058"/>
        <v>9700</v>
      </c>
      <c r="AF1778" s="266">
        <v>240000</v>
      </c>
      <c r="AG1778" s="266">
        <v>230300</v>
      </c>
      <c r="AH1778" s="266">
        <v>230300</v>
      </c>
      <c r="AI1778" s="266">
        <v>230300</v>
      </c>
      <c r="AJ1778" s="162" t="b">
        <f t="shared" si="1064"/>
        <v>0</v>
      </c>
      <c r="AK1778" s="162" t="str">
        <f t="shared" si="1065"/>
        <v>PUNO</v>
      </c>
      <c r="AM1778" s="164"/>
    </row>
    <row r="1779" spans="2:39" ht="15.75" x14ac:dyDescent="0.2">
      <c r="B1779" s="177"/>
      <c r="C1779" s="177"/>
      <c r="D1779" s="177"/>
      <c r="E1779" s="177">
        <v>3237</v>
      </c>
      <c r="F1779" s="176">
        <v>54</v>
      </c>
      <c r="G1779" s="176" t="s">
        <v>1040</v>
      </c>
      <c r="H1779" s="16" t="s">
        <v>566</v>
      </c>
      <c r="I1779" s="18">
        <v>120000</v>
      </c>
      <c r="J1779" s="178">
        <v>75008.84</v>
      </c>
      <c r="K1779" s="178">
        <f t="shared" si="1050"/>
        <v>62.51</v>
      </c>
      <c r="L1779" s="178">
        <f t="shared" si="1067"/>
        <v>-23658.759999999995</v>
      </c>
      <c r="M1779" s="178">
        <v>96341.24</v>
      </c>
      <c r="N1779" s="178">
        <v>88200</v>
      </c>
      <c r="O1779" s="178">
        <v>44751.31</v>
      </c>
      <c r="P1779" s="26">
        <f t="shared" si="1072"/>
        <v>-14400</v>
      </c>
      <c r="Q1779" s="178">
        <v>88200</v>
      </c>
      <c r="R1779" s="178">
        <v>88600</v>
      </c>
      <c r="S1779" s="178">
        <v>89500</v>
      </c>
      <c r="T1779" s="266">
        <v>73800</v>
      </c>
      <c r="U1779" s="266">
        <v>58938.92</v>
      </c>
      <c r="V1779" s="266">
        <v>40200</v>
      </c>
      <c r="W1779" s="266">
        <f>88200-10000</f>
        <v>78200</v>
      </c>
      <c r="X1779" s="266">
        <f>88200-10000</f>
        <v>78200</v>
      </c>
      <c r="Y1779" s="266">
        <v>19735.099999999999</v>
      </c>
      <c r="Z1779" s="266">
        <f t="shared" si="1056"/>
        <v>49.09</v>
      </c>
      <c r="AA1779" s="266">
        <f t="shared" si="1075"/>
        <v>54400</v>
      </c>
      <c r="AB1779" s="266">
        <v>94600</v>
      </c>
      <c r="AC1779" s="266">
        <v>57324.25</v>
      </c>
      <c r="AD1779" s="266">
        <f t="shared" si="1081"/>
        <v>60.596458773784356</v>
      </c>
      <c r="AE1779" s="266">
        <f t="shared" si="1058"/>
        <v>19700</v>
      </c>
      <c r="AF1779" s="266">
        <v>114300</v>
      </c>
      <c r="AG1779" s="266">
        <v>65600</v>
      </c>
      <c r="AH1779" s="266">
        <v>65600</v>
      </c>
      <c r="AI1779" s="266">
        <v>65600</v>
      </c>
      <c r="AJ1779" s="162" t="b">
        <f t="shared" si="1064"/>
        <v>0</v>
      </c>
      <c r="AK1779" s="162" t="str">
        <f t="shared" si="1065"/>
        <v>PUNO</v>
      </c>
      <c r="AM1779" s="164"/>
    </row>
    <row r="1780" spans="2:39" ht="15.75" x14ac:dyDescent="0.2">
      <c r="B1780" s="177"/>
      <c r="C1780" s="177"/>
      <c r="D1780" s="177"/>
      <c r="E1780" s="177">
        <v>3238</v>
      </c>
      <c r="F1780" s="176">
        <v>12</v>
      </c>
      <c r="G1780" s="176" t="s">
        <v>1040</v>
      </c>
      <c r="H1780" s="16" t="s">
        <v>398</v>
      </c>
      <c r="I1780" s="18">
        <v>100000</v>
      </c>
      <c r="J1780" s="178">
        <v>83900.479999999996</v>
      </c>
      <c r="K1780" s="178">
        <f t="shared" si="1050"/>
        <v>83.9</v>
      </c>
      <c r="L1780" s="178">
        <f t="shared" si="1067"/>
        <v>20584.929999999993</v>
      </c>
      <c r="M1780" s="178">
        <v>120584.93</v>
      </c>
      <c r="N1780" s="178">
        <v>77400</v>
      </c>
      <c r="O1780" s="178">
        <v>55604.800000000003</v>
      </c>
      <c r="P1780" s="26">
        <f t="shared" si="1072"/>
        <v>15100</v>
      </c>
      <c r="Q1780" s="178">
        <v>77400</v>
      </c>
      <c r="R1780" s="178">
        <v>77600</v>
      </c>
      <c r="S1780" s="178">
        <v>78100</v>
      </c>
      <c r="T1780" s="266">
        <v>92500</v>
      </c>
      <c r="U1780" s="266">
        <v>86855.23</v>
      </c>
      <c r="V1780" s="266">
        <v>37400</v>
      </c>
      <c r="W1780" s="266">
        <v>77400</v>
      </c>
      <c r="X1780" s="178">
        <v>80000</v>
      </c>
      <c r="Y1780" s="266">
        <v>27523.84</v>
      </c>
      <c r="Z1780" s="266">
        <f t="shared" si="1056"/>
        <v>73.59</v>
      </c>
      <c r="AA1780" s="266">
        <f t="shared" si="1075"/>
        <v>30400</v>
      </c>
      <c r="AB1780" s="266">
        <v>67800</v>
      </c>
      <c r="AC1780" s="266">
        <v>51985.43</v>
      </c>
      <c r="AD1780" s="266">
        <f t="shared" si="1081"/>
        <v>76.674675516224184</v>
      </c>
      <c r="AE1780" s="266">
        <f t="shared" si="1058"/>
        <v>16800</v>
      </c>
      <c r="AF1780" s="266">
        <v>84600</v>
      </c>
      <c r="AG1780" s="266">
        <v>67800</v>
      </c>
      <c r="AH1780" s="266">
        <v>67800</v>
      </c>
      <c r="AI1780" s="266">
        <v>67800</v>
      </c>
      <c r="AJ1780" s="162" t="b">
        <f t="shared" si="1064"/>
        <v>0</v>
      </c>
      <c r="AK1780" s="162" t="str">
        <f t="shared" si="1065"/>
        <v>PUNO</v>
      </c>
      <c r="AM1780" s="164"/>
    </row>
    <row r="1781" spans="2:39" ht="15.75" x14ac:dyDescent="0.2">
      <c r="B1781" s="177"/>
      <c r="C1781" s="177"/>
      <c r="D1781" s="177"/>
      <c r="E1781" s="177">
        <v>3238</v>
      </c>
      <c r="F1781" s="176">
        <v>54</v>
      </c>
      <c r="G1781" s="176"/>
      <c r="H1781" s="16" t="s">
        <v>398</v>
      </c>
      <c r="I1781" s="18"/>
      <c r="J1781" s="178"/>
      <c r="K1781" s="178"/>
      <c r="L1781" s="178"/>
      <c r="M1781" s="178"/>
      <c r="N1781" s="178"/>
      <c r="O1781" s="178"/>
      <c r="P1781" s="26">
        <f>T1781-N1781</f>
        <v>0</v>
      </c>
      <c r="Q1781" s="178"/>
      <c r="R1781" s="178"/>
      <c r="S1781" s="178"/>
      <c r="T1781" s="266">
        <v>0</v>
      </c>
      <c r="U1781" s="266">
        <v>0</v>
      </c>
      <c r="V1781" s="266"/>
      <c r="W1781" s="266"/>
      <c r="X1781" s="178"/>
      <c r="Y1781" s="266"/>
      <c r="Z1781" s="266" t="e">
        <f t="shared" si="1056"/>
        <v>#DIV/0!</v>
      </c>
      <c r="AA1781" s="266">
        <f t="shared" si="1075"/>
        <v>0</v>
      </c>
      <c r="AB1781" s="266"/>
      <c r="AC1781" s="266"/>
      <c r="AD1781" s="266" t="e">
        <f t="shared" si="1081"/>
        <v>#DIV/0!</v>
      </c>
      <c r="AE1781" s="266">
        <f t="shared" si="1058"/>
        <v>0</v>
      </c>
      <c r="AF1781" s="266"/>
      <c r="AG1781" s="266"/>
      <c r="AH1781" s="266"/>
      <c r="AI1781" s="266"/>
      <c r="AJ1781" s="162" t="b">
        <f t="shared" si="1064"/>
        <v>0</v>
      </c>
      <c r="AK1781" s="162" t="str">
        <f t="shared" si="1065"/>
        <v>PUNO</v>
      </c>
      <c r="AM1781" s="164"/>
    </row>
    <row r="1782" spans="2:39" ht="15.75" x14ac:dyDescent="0.2">
      <c r="B1782" s="177"/>
      <c r="C1782" s="177"/>
      <c r="D1782" s="177"/>
      <c r="E1782" s="177">
        <v>3239</v>
      </c>
      <c r="F1782" s="265">
        <v>54</v>
      </c>
      <c r="G1782" s="176" t="s">
        <v>1040</v>
      </c>
      <c r="H1782" s="16" t="s">
        <v>529</v>
      </c>
      <c r="I1782" s="18">
        <v>100000</v>
      </c>
      <c r="J1782" s="178">
        <v>72059.17</v>
      </c>
      <c r="K1782" s="178">
        <f t="shared" si="1050"/>
        <v>72.06</v>
      </c>
      <c r="L1782" s="178">
        <f t="shared" si="1067"/>
        <v>5354.0099999999948</v>
      </c>
      <c r="M1782" s="178">
        <v>105354.01</v>
      </c>
      <c r="N1782" s="178">
        <v>90700</v>
      </c>
      <c r="O1782" s="178">
        <v>47339.92</v>
      </c>
      <c r="P1782" s="26">
        <f t="shared" si="1072"/>
        <v>-5700</v>
      </c>
      <c r="Q1782" s="178">
        <v>90700</v>
      </c>
      <c r="R1782" s="178">
        <v>91200</v>
      </c>
      <c r="S1782" s="178">
        <v>92000</v>
      </c>
      <c r="T1782" s="266">
        <v>85000</v>
      </c>
      <c r="U1782" s="266">
        <v>72524.86</v>
      </c>
      <c r="V1782" s="266">
        <v>25000</v>
      </c>
      <c r="W1782" s="266">
        <v>90700</v>
      </c>
      <c r="X1782" s="178">
        <v>93400</v>
      </c>
      <c r="Y1782" s="266">
        <v>9290.9500000000007</v>
      </c>
      <c r="Z1782" s="266">
        <f t="shared" si="1056"/>
        <v>37.159999999999997</v>
      </c>
      <c r="AA1782" s="266">
        <f t="shared" si="1075"/>
        <v>-2800</v>
      </c>
      <c r="AB1782" s="266">
        <v>22200</v>
      </c>
      <c r="AC1782" s="266">
        <v>14753.56</v>
      </c>
      <c r="AD1782" s="266">
        <f t="shared" si="1081"/>
        <v>66.457477477477482</v>
      </c>
      <c r="AE1782" s="266">
        <f t="shared" si="1058"/>
        <v>7000</v>
      </c>
      <c r="AF1782" s="266">
        <v>29200</v>
      </c>
      <c r="AG1782" s="266">
        <v>20000</v>
      </c>
      <c r="AH1782" s="266">
        <v>20000</v>
      </c>
      <c r="AI1782" s="266">
        <v>20000</v>
      </c>
      <c r="AJ1782" s="162" t="b">
        <f t="shared" si="1064"/>
        <v>0</v>
      </c>
      <c r="AK1782" s="162" t="str">
        <f t="shared" si="1065"/>
        <v>PUNO</v>
      </c>
      <c r="AM1782" s="164"/>
    </row>
    <row r="1783" spans="2:39" ht="15.75" x14ac:dyDescent="0.2">
      <c r="B1783" s="177"/>
      <c r="C1783" s="177"/>
      <c r="D1783" s="177">
        <v>329</v>
      </c>
      <c r="E1783" s="177"/>
      <c r="F1783" s="177"/>
      <c r="G1783" s="177"/>
      <c r="H1783" s="16" t="s">
        <v>531</v>
      </c>
      <c r="I1783" s="17">
        <f>SUM(I1784:I1788)</f>
        <v>169000</v>
      </c>
      <c r="J1783" s="17">
        <f>SUM(J1784:J1788)</f>
        <v>122948.37999999999</v>
      </c>
      <c r="K1783" s="17">
        <f t="shared" ref="K1783:K1818" si="1082">ROUND(J1783/I1783*100,2)</f>
        <v>72.75</v>
      </c>
      <c r="L1783" s="17">
        <f t="shared" si="1067"/>
        <v>-13186.320000000007</v>
      </c>
      <c r="M1783" s="17">
        <f>SUM(M1784:M1788)</f>
        <v>155813.68</v>
      </c>
      <c r="N1783" s="17">
        <f>SUM(N1784:N1788)</f>
        <v>151300</v>
      </c>
      <c r="O1783" s="17">
        <f>SUM(O1784:O1788)</f>
        <v>100139.75</v>
      </c>
      <c r="P1783" s="26">
        <f t="shared" si="1072"/>
        <v>600</v>
      </c>
      <c r="Q1783" s="17">
        <f t="shared" ref="Q1783:X1783" si="1083">SUM(Q1784:Q1788)</f>
        <v>151300</v>
      </c>
      <c r="R1783" s="17">
        <f t="shared" si="1083"/>
        <v>161000</v>
      </c>
      <c r="S1783" s="17">
        <f t="shared" si="1083"/>
        <v>162000</v>
      </c>
      <c r="T1783" s="26">
        <f t="shared" si="1083"/>
        <v>151900</v>
      </c>
      <c r="U1783" s="26">
        <f>SUM(U1784:U1788)</f>
        <v>134434.58000000002</v>
      </c>
      <c r="V1783" s="17">
        <f t="shared" si="1083"/>
        <v>127600</v>
      </c>
      <c r="W1783" s="17">
        <f t="shared" si="1083"/>
        <v>151300</v>
      </c>
      <c r="X1783" s="17">
        <f t="shared" si="1083"/>
        <v>155700</v>
      </c>
      <c r="Y1783" s="17">
        <f>SUM(Y1784:Y1788)</f>
        <v>71613.09</v>
      </c>
      <c r="Z1783" s="17">
        <f t="shared" si="1056"/>
        <v>56.12</v>
      </c>
      <c r="AA1783" s="17">
        <f t="shared" si="1075"/>
        <v>-3200</v>
      </c>
      <c r="AB1783" s="17">
        <f>SUM(AB1784:AB1788)</f>
        <v>124400</v>
      </c>
      <c r="AC1783" s="17">
        <f>SUM(AC1784:AC1788)</f>
        <v>103191.51000000001</v>
      </c>
      <c r="AD1783" s="17">
        <f t="shared" si="1081"/>
        <v>82.951374598070743</v>
      </c>
      <c r="AE1783" s="17">
        <f t="shared" si="1058"/>
        <v>-3100</v>
      </c>
      <c r="AF1783" s="17">
        <f>SUM(AF1784:AF1788)</f>
        <v>121300</v>
      </c>
      <c r="AG1783" s="17">
        <f>SUM(AG1784:AG1788)</f>
        <v>121600</v>
      </c>
      <c r="AH1783" s="17">
        <f>SUM(AH1784:AH1788)</f>
        <v>121600</v>
      </c>
      <c r="AI1783" s="17">
        <f>SUM(AI1784:AI1788)</f>
        <v>121600</v>
      </c>
      <c r="AJ1783" s="162" t="b">
        <f t="shared" si="1064"/>
        <v>1</v>
      </c>
      <c r="AK1783" s="162" t="str">
        <f t="shared" si="1065"/>
        <v>PRAZNO</v>
      </c>
      <c r="AM1783" s="164"/>
    </row>
    <row r="1784" spans="2:39" ht="15.75" x14ac:dyDescent="0.2">
      <c r="B1784" s="177"/>
      <c r="C1784" s="177"/>
      <c r="D1784" s="177"/>
      <c r="E1784" s="177">
        <v>3292</v>
      </c>
      <c r="F1784" s="176">
        <v>54</v>
      </c>
      <c r="G1784" s="176" t="s">
        <v>1040</v>
      </c>
      <c r="H1784" s="16" t="s">
        <v>399</v>
      </c>
      <c r="I1784" s="18">
        <v>85000</v>
      </c>
      <c r="J1784" s="178">
        <v>67709.429999999993</v>
      </c>
      <c r="K1784" s="178">
        <f t="shared" si="1082"/>
        <v>79.66</v>
      </c>
      <c r="L1784" s="178">
        <f t="shared" si="1067"/>
        <v>-240.80999999999767</v>
      </c>
      <c r="M1784" s="178">
        <v>84759.19</v>
      </c>
      <c r="N1784" s="178">
        <v>93900</v>
      </c>
      <c r="O1784" s="178">
        <v>66437.61</v>
      </c>
      <c r="P1784" s="26">
        <f t="shared" si="1072"/>
        <v>-2000</v>
      </c>
      <c r="Q1784" s="178">
        <v>93900</v>
      </c>
      <c r="R1784" s="178">
        <v>93900</v>
      </c>
      <c r="S1784" s="178">
        <v>93900</v>
      </c>
      <c r="T1784" s="266">
        <v>91900</v>
      </c>
      <c r="U1784" s="266">
        <v>85406.83</v>
      </c>
      <c r="V1784" s="266">
        <v>88400</v>
      </c>
      <c r="W1784" s="266">
        <v>93900</v>
      </c>
      <c r="X1784" s="178">
        <v>96700</v>
      </c>
      <c r="Y1784" s="266">
        <v>55977.39</v>
      </c>
      <c r="Z1784" s="266">
        <f t="shared" si="1056"/>
        <v>63.32</v>
      </c>
      <c r="AA1784" s="266">
        <f t="shared" si="1075"/>
        <v>-800</v>
      </c>
      <c r="AB1784" s="266">
        <v>87600</v>
      </c>
      <c r="AC1784" s="266">
        <v>79218.600000000006</v>
      </c>
      <c r="AD1784" s="266">
        <f t="shared" si="1081"/>
        <v>90.432191780821924</v>
      </c>
      <c r="AE1784" s="266">
        <f t="shared" si="1058"/>
        <v>-700</v>
      </c>
      <c r="AF1784" s="266">
        <v>86900</v>
      </c>
      <c r="AG1784" s="266">
        <v>87600</v>
      </c>
      <c r="AH1784" s="266">
        <v>87600</v>
      </c>
      <c r="AI1784" s="266">
        <v>87600</v>
      </c>
      <c r="AJ1784" s="162" t="b">
        <f t="shared" si="1064"/>
        <v>0</v>
      </c>
      <c r="AK1784" s="162" t="str">
        <f t="shared" si="1065"/>
        <v>PUNO</v>
      </c>
      <c r="AM1784" s="164"/>
    </row>
    <row r="1785" spans="2:39" ht="15.75" x14ac:dyDescent="0.2">
      <c r="B1785" s="177"/>
      <c r="C1785" s="177"/>
      <c r="D1785" s="177"/>
      <c r="E1785" s="177">
        <v>3293</v>
      </c>
      <c r="F1785" s="176">
        <v>54</v>
      </c>
      <c r="G1785" s="176" t="s">
        <v>1040</v>
      </c>
      <c r="H1785" s="16" t="s">
        <v>533</v>
      </c>
      <c r="I1785" s="18">
        <v>50000</v>
      </c>
      <c r="J1785" s="178">
        <v>33336.19</v>
      </c>
      <c r="K1785" s="178">
        <f t="shared" si="1082"/>
        <v>66.67</v>
      </c>
      <c r="L1785" s="178">
        <f t="shared" si="1067"/>
        <v>-9633.3000000000029</v>
      </c>
      <c r="M1785" s="178">
        <v>40366.699999999997</v>
      </c>
      <c r="N1785" s="178">
        <v>23400</v>
      </c>
      <c r="O1785" s="178">
        <v>15650.61</v>
      </c>
      <c r="P1785" s="26">
        <f t="shared" si="1072"/>
        <v>-100</v>
      </c>
      <c r="Q1785" s="178">
        <v>23400</v>
      </c>
      <c r="R1785" s="178">
        <v>33000</v>
      </c>
      <c r="S1785" s="178">
        <v>34000</v>
      </c>
      <c r="T1785" s="266">
        <v>23300</v>
      </c>
      <c r="U1785" s="266">
        <v>17866.990000000002</v>
      </c>
      <c r="V1785" s="266">
        <v>18000</v>
      </c>
      <c r="W1785" s="266">
        <v>23400</v>
      </c>
      <c r="X1785" s="178">
        <v>24100</v>
      </c>
      <c r="Y1785" s="266">
        <v>5987.67</v>
      </c>
      <c r="Z1785" s="266">
        <f t="shared" si="1056"/>
        <v>33.26</v>
      </c>
      <c r="AA1785" s="266">
        <f t="shared" si="1075"/>
        <v>-1800</v>
      </c>
      <c r="AB1785" s="266">
        <v>16200</v>
      </c>
      <c r="AC1785" s="266">
        <v>10821.99</v>
      </c>
      <c r="AD1785" s="266">
        <f t="shared" si="1081"/>
        <v>66.802407407407401</v>
      </c>
      <c r="AE1785" s="266">
        <f t="shared" si="1058"/>
        <v>-800</v>
      </c>
      <c r="AF1785" s="266">
        <v>15400</v>
      </c>
      <c r="AG1785" s="266">
        <v>15000</v>
      </c>
      <c r="AH1785" s="266">
        <v>15000</v>
      </c>
      <c r="AI1785" s="266">
        <v>15000</v>
      </c>
      <c r="AJ1785" s="162" t="b">
        <f t="shared" si="1064"/>
        <v>0</v>
      </c>
      <c r="AK1785" s="162" t="str">
        <f t="shared" si="1065"/>
        <v>PUNO</v>
      </c>
      <c r="AM1785" s="164"/>
    </row>
    <row r="1786" spans="2:39" ht="15.75" x14ac:dyDescent="0.2">
      <c r="B1786" s="177"/>
      <c r="C1786" s="177"/>
      <c r="D1786" s="177"/>
      <c r="E1786" s="177">
        <v>3294</v>
      </c>
      <c r="F1786" s="176">
        <v>54</v>
      </c>
      <c r="G1786" s="176" t="s">
        <v>1040</v>
      </c>
      <c r="H1786" s="16" t="s">
        <v>567</v>
      </c>
      <c r="I1786" s="18">
        <v>14000</v>
      </c>
      <c r="J1786" s="178">
        <v>9910</v>
      </c>
      <c r="K1786" s="178">
        <f t="shared" si="1082"/>
        <v>70.790000000000006</v>
      </c>
      <c r="L1786" s="178">
        <f t="shared" si="1067"/>
        <v>-761.22999999999956</v>
      </c>
      <c r="M1786" s="178">
        <v>13238.77</v>
      </c>
      <c r="N1786" s="178">
        <v>14100</v>
      </c>
      <c r="O1786" s="178">
        <v>9450</v>
      </c>
      <c r="P1786" s="26">
        <f t="shared" si="1072"/>
        <v>500</v>
      </c>
      <c r="Q1786" s="178">
        <v>14100</v>
      </c>
      <c r="R1786" s="178">
        <v>14100</v>
      </c>
      <c r="S1786" s="178">
        <v>14100</v>
      </c>
      <c r="T1786" s="266">
        <v>14600</v>
      </c>
      <c r="U1786" s="266">
        <v>12750</v>
      </c>
      <c r="V1786" s="266">
        <v>7300</v>
      </c>
      <c r="W1786" s="266">
        <v>14100</v>
      </c>
      <c r="X1786" s="178">
        <v>14500</v>
      </c>
      <c r="Y1786" s="266">
        <v>4880</v>
      </c>
      <c r="Z1786" s="266">
        <f t="shared" si="1056"/>
        <v>66.849999999999994</v>
      </c>
      <c r="AA1786" s="266">
        <f t="shared" si="1075"/>
        <v>-300</v>
      </c>
      <c r="AB1786" s="266">
        <v>7000</v>
      </c>
      <c r="AC1786" s="266">
        <v>5830</v>
      </c>
      <c r="AD1786" s="266">
        <f t="shared" si="1081"/>
        <v>83.285714285714292</v>
      </c>
      <c r="AE1786" s="266">
        <f t="shared" si="1058"/>
        <v>300</v>
      </c>
      <c r="AF1786" s="266">
        <v>7300</v>
      </c>
      <c r="AG1786" s="266">
        <v>7000</v>
      </c>
      <c r="AH1786" s="266">
        <v>7000</v>
      </c>
      <c r="AI1786" s="266">
        <v>7000</v>
      </c>
      <c r="AJ1786" s="162" t="b">
        <f t="shared" si="1064"/>
        <v>0</v>
      </c>
      <c r="AK1786" s="162" t="str">
        <f t="shared" si="1065"/>
        <v>PUNO</v>
      </c>
      <c r="AM1786" s="164"/>
    </row>
    <row r="1787" spans="2:39" ht="15.75" x14ac:dyDescent="0.2">
      <c r="B1787" s="177"/>
      <c r="C1787" s="177"/>
      <c r="D1787" s="177"/>
      <c r="E1787" s="177">
        <v>3295</v>
      </c>
      <c r="F1787" s="176">
        <v>54</v>
      </c>
      <c r="G1787" s="176"/>
      <c r="H1787" s="16" t="s">
        <v>400</v>
      </c>
      <c r="I1787" s="18">
        <v>0</v>
      </c>
      <c r="J1787" s="178">
        <v>0</v>
      </c>
      <c r="K1787" s="178" t="e">
        <f t="shared" si="1082"/>
        <v>#DIV/0!</v>
      </c>
      <c r="L1787" s="178">
        <f t="shared" si="1067"/>
        <v>694.9</v>
      </c>
      <c r="M1787" s="178">
        <v>694.9</v>
      </c>
      <c r="N1787" s="178">
        <v>4900</v>
      </c>
      <c r="O1787" s="178">
        <v>955</v>
      </c>
      <c r="P1787" s="26">
        <f t="shared" si="1072"/>
        <v>1200</v>
      </c>
      <c r="Q1787" s="178">
        <v>4900</v>
      </c>
      <c r="R1787" s="178">
        <v>5000</v>
      </c>
      <c r="S1787" s="178">
        <v>5000</v>
      </c>
      <c r="T1787" s="266">
        <v>6100</v>
      </c>
      <c r="U1787" s="266">
        <v>4777.8999999999996</v>
      </c>
      <c r="V1787" s="266">
        <v>4900</v>
      </c>
      <c r="W1787" s="266">
        <v>4900</v>
      </c>
      <c r="X1787" s="178">
        <v>5000</v>
      </c>
      <c r="Y1787" s="266">
        <v>812.5</v>
      </c>
      <c r="Z1787" s="266">
        <f t="shared" si="1056"/>
        <v>16.579999999999998</v>
      </c>
      <c r="AA1787" s="266">
        <f t="shared" si="1075"/>
        <v>-800</v>
      </c>
      <c r="AB1787" s="266">
        <v>4100</v>
      </c>
      <c r="AC1787" s="266">
        <v>983.75</v>
      </c>
      <c r="AD1787" s="266">
        <f t="shared" si="1081"/>
        <v>23.993902439024389</v>
      </c>
      <c r="AE1787" s="266">
        <f t="shared" si="1058"/>
        <v>-800</v>
      </c>
      <c r="AF1787" s="266">
        <v>3300</v>
      </c>
      <c r="AG1787" s="266">
        <v>3000</v>
      </c>
      <c r="AH1787" s="266">
        <v>3000</v>
      </c>
      <c r="AI1787" s="266">
        <v>3000</v>
      </c>
      <c r="AJ1787" s="162" t="b">
        <f t="shared" si="1064"/>
        <v>0</v>
      </c>
      <c r="AK1787" s="162" t="str">
        <f t="shared" si="1065"/>
        <v>PUNO</v>
      </c>
      <c r="AM1787" s="164"/>
    </row>
    <row r="1788" spans="2:39" ht="15.75" x14ac:dyDescent="0.2">
      <c r="B1788" s="177"/>
      <c r="C1788" s="177"/>
      <c r="D1788" s="177"/>
      <c r="E1788" s="177">
        <v>3299</v>
      </c>
      <c r="F1788" s="176">
        <v>12</v>
      </c>
      <c r="G1788" s="176" t="s">
        <v>1040</v>
      </c>
      <c r="H1788" s="16" t="s">
        <v>531</v>
      </c>
      <c r="I1788" s="18">
        <v>20000</v>
      </c>
      <c r="J1788" s="178">
        <v>11992.76</v>
      </c>
      <c r="K1788" s="178">
        <f t="shared" si="1082"/>
        <v>59.96</v>
      </c>
      <c r="L1788" s="178">
        <f t="shared" si="1067"/>
        <v>-3245.880000000001</v>
      </c>
      <c r="M1788" s="178">
        <v>16754.12</v>
      </c>
      <c r="N1788" s="178">
        <v>15000</v>
      </c>
      <c r="O1788" s="178">
        <v>7646.53</v>
      </c>
      <c r="P1788" s="26">
        <f t="shared" si="1072"/>
        <v>1000</v>
      </c>
      <c r="Q1788" s="178">
        <v>15000</v>
      </c>
      <c r="R1788" s="178">
        <v>15000</v>
      </c>
      <c r="S1788" s="178">
        <v>15000</v>
      </c>
      <c r="T1788" s="266">
        <v>16000</v>
      </c>
      <c r="U1788" s="266">
        <v>13632.86</v>
      </c>
      <c r="V1788" s="266">
        <v>9000</v>
      </c>
      <c r="W1788" s="266">
        <v>15000</v>
      </c>
      <c r="X1788" s="178">
        <v>15400</v>
      </c>
      <c r="Y1788" s="266">
        <v>3955.53</v>
      </c>
      <c r="Z1788" s="266">
        <f t="shared" si="1056"/>
        <v>43.95</v>
      </c>
      <c r="AA1788" s="266">
        <f t="shared" si="1075"/>
        <v>500</v>
      </c>
      <c r="AB1788" s="266">
        <v>9500</v>
      </c>
      <c r="AC1788" s="266">
        <v>6337.17</v>
      </c>
      <c r="AD1788" s="266">
        <f t="shared" si="1081"/>
        <v>66.707052631578946</v>
      </c>
      <c r="AE1788" s="266">
        <f t="shared" si="1058"/>
        <v>-1100</v>
      </c>
      <c r="AF1788" s="266">
        <v>8400</v>
      </c>
      <c r="AG1788" s="266">
        <v>9000</v>
      </c>
      <c r="AH1788" s="266">
        <v>9000</v>
      </c>
      <c r="AI1788" s="266">
        <v>9000</v>
      </c>
      <c r="AJ1788" s="162" t="b">
        <f t="shared" si="1064"/>
        <v>0</v>
      </c>
      <c r="AK1788" s="162" t="str">
        <f t="shared" si="1065"/>
        <v>PUNO</v>
      </c>
      <c r="AM1788" s="164"/>
    </row>
    <row r="1789" spans="2:39" ht="15.75" x14ac:dyDescent="0.2">
      <c r="B1789" s="175"/>
      <c r="C1789" s="175">
        <v>34</v>
      </c>
      <c r="D1789" s="175"/>
      <c r="E1789" s="175"/>
      <c r="F1789" s="175"/>
      <c r="G1789" s="175"/>
      <c r="H1789" s="39" t="s">
        <v>208</v>
      </c>
      <c r="I1789" s="22">
        <f>I1790</f>
        <v>113000</v>
      </c>
      <c r="J1789" s="22">
        <f>J1790</f>
        <v>64003.090000000004</v>
      </c>
      <c r="K1789" s="22">
        <f t="shared" si="1082"/>
        <v>56.64</v>
      </c>
      <c r="L1789" s="22">
        <f t="shared" si="1067"/>
        <v>-25164.119999999995</v>
      </c>
      <c r="M1789" s="22">
        <f>M1790</f>
        <v>87835.88</v>
      </c>
      <c r="N1789" s="22">
        <f>N1790</f>
        <v>104000</v>
      </c>
      <c r="O1789" s="22">
        <f>O1790</f>
        <v>59682.119999999995</v>
      </c>
      <c r="P1789" s="26">
        <f t="shared" si="1072"/>
        <v>-7600</v>
      </c>
      <c r="Q1789" s="22">
        <f t="shared" ref="Q1789:AI1789" si="1084">Q1790</f>
        <v>104000</v>
      </c>
      <c r="R1789" s="22">
        <f t="shared" si="1084"/>
        <v>104500</v>
      </c>
      <c r="S1789" s="22">
        <f t="shared" si="1084"/>
        <v>105200</v>
      </c>
      <c r="T1789" s="38">
        <f t="shared" si="1084"/>
        <v>96400</v>
      </c>
      <c r="U1789" s="38">
        <f t="shared" si="1084"/>
        <v>85159.16</v>
      </c>
      <c r="V1789" s="22">
        <f t="shared" si="1084"/>
        <v>80300</v>
      </c>
      <c r="W1789" s="22">
        <f t="shared" si="1084"/>
        <v>94000</v>
      </c>
      <c r="X1789" s="22">
        <f t="shared" si="1084"/>
        <v>94900</v>
      </c>
      <c r="Y1789" s="22">
        <f t="shared" si="1084"/>
        <v>34835.08</v>
      </c>
      <c r="Z1789" s="22">
        <f t="shared" ref="Z1789:Z1797" si="1085">ROUND(Y1789/V1789*100,2)</f>
        <v>43.38</v>
      </c>
      <c r="AA1789" s="22">
        <f t="shared" si="1075"/>
        <v>7700</v>
      </c>
      <c r="AB1789" s="22">
        <f t="shared" si="1084"/>
        <v>88000</v>
      </c>
      <c r="AC1789" s="22">
        <f t="shared" si="1084"/>
        <v>62275.430000000008</v>
      </c>
      <c r="AD1789" s="22">
        <f t="shared" si="1081"/>
        <v>70.767534090909095</v>
      </c>
      <c r="AE1789" s="22">
        <f t="shared" si="1058"/>
        <v>4800</v>
      </c>
      <c r="AF1789" s="22">
        <f t="shared" si="1084"/>
        <v>92800</v>
      </c>
      <c r="AG1789" s="22">
        <f t="shared" si="1084"/>
        <v>83900</v>
      </c>
      <c r="AH1789" s="22">
        <f t="shared" si="1084"/>
        <v>83900</v>
      </c>
      <c r="AI1789" s="22">
        <f t="shared" si="1084"/>
        <v>83900</v>
      </c>
      <c r="AJ1789" s="162" t="b">
        <f t="shared" si="1064"/>
        <v>1</v>
      </c>
      <c r="AK1789" s="162" t="str">
        <f t="shared" si="1065"/>
        <v>PRAZNO</v>
      </c>
      <c r="AM1789" s="164"/>
    </row>
    <row r="1790" spans="2:39" ht="15.75" x14ac:dyDescent="0.2">
      <c r="B1790" s="177"/>
      <c r="C1790" s="177"/>
      <c r="D1790" s="177">
        <v>343</v>
      </c>
      <c r="E1790" s="177"/>
      <c r="F1790" s="177"/>
      <c r="G1790" s="177"/>
      <c r="H1790" s="16" t="s">
        <v>209</v>
      </c>
      <c r="I1790" s="17">
        <f>SUM(I1791:I1793)</f>
        <v>113000</v>
      </c>
      <c r="J1790" s="17">
        <f>SUM(J1791:J1793)</f>
        <v>64003.090000000004</v>
      </c>
      <c r="K1790" s="17">
        <f t="shared" si="1082"/>
        <v>56.64</v>
      </c>
      <c r="L1790" s="17">
        <f t="shared" si="1067"/>
        <v>-25164.119999999995</v>
      </c>
      <c r="M1790" s="17">
        <f>SUM(M1791:M1793)</f>
        <v>87835.88</v>
      </c>
      <c r="N1790" s="17">
        <f>SUM(N1791:N1793)</f>
        <v>104000</v>
      </c>
      <c r="O1790" s="17">
        <f>SUM(O1791:O1793)</f>
        <v>59682.119999999995</v>
      </c>
      <c r="P1790" s="26">
        <f t="shared" si="1072"/>
        <v>-7600</v>
      </c>
      <c r="Q1790" s="17">
        <f t="shared" ref="Q1790:X1790" si="1086">SUM(Q1791:Q1793)</f>
        <v>104000</v>
      </c>
      <c r="R1790" s="17">
        <f t="shared" si="1086"/>
        <v>104500</v>
      </c>
      <c r="S1790" s="17">
        <f t="shared" si="1086"/>
        <v>105200</v>
      </c>
      <c r="T1790" s="26">
        <f t="shared" si="1086"/>
        <v>96400</v>
      </c>
      <c r="U1790" s="26">
        <f>SUM(U1791:U1793)</f>
        <v>85159.16</v>
      </c>
      <c r="V1790" s="17">
        <f t="shared" si="1086"/>
        <v>80300</v>
      </c>
      <c r="W1790" s="181">
        <f t="shared" si="1086"/>
        <v>94000</v>
      </c>
      <c r="X1790" s="181">
        <f t="shared" si="1086"/>
        <v>94900</v>
      </c>
      <c r="Y1790" s="17">
        <f>SUM(Y1791:Y1793)</f>
        <v>34835.08</v>
      </c>
      <c r="Z1790" s="17">
        <f t="shared" si="1085"/>
        <v>43.38</v>
      </c>
      <c r="AA1790" s="17">
        <f t="shared" si="1075"/>
        <v>7700</v>
      </c>
      <c r="AB1790" s="17">
        <f>SUM(AB1791:AB1793)</f>
        <v>88000</v>
      </c>
      <c r="AC1790" s="17">
        <f>SUM(AC1791:AC1793)</f>
        <v>62275.430000000008</v>
      </c>
      <c r="AD1790" s="17">
        <f t="shared" si="1081"/>
        <v>70.767534090909095</v>
      </c>
      <c r="AE1790" s="17">
        <f t="shared" si="1058"/>
        <v>4800</v>
      </c>
      <c r="AF1790" s="17">
        <f>SUM(AF1791:AF1793)</f>
        <v>92800</v>
      </c>
      <c r="AG1790" s="17">
        <f>SUM(AG1791:AG1793)</f>
        <v>83900</v>
      </c>
      <c r="AH1790" s="17">
        <f>SUM(AH1791:AH1793)</f>
        <v>83900</v>
      </c>
      <c r="AI1790" s="17">
        <f>SUM(AI1791:AI1793)</f>
        <v>83900</v>
      </c>
      <c r="AJ1790" s="162" t="b">
        <f t="shared" si="1064"/>
        <v>1</v>
      </c>
      <c r="AK1790" s="162" t="str">
        <f t="shared" si="1065"/>
        <v>PRAZNO</v>
      </c>
      <c r="AM1790" s="164"/>
    </row>
    <row r="1791" spans="2:39" ht="15.75" x14ac:dyDescent="0.2">
      <c r="B1791" s="177"/>
      <c r="C1791" s="177"/>
      <c r="D1791" s="177"/>
      <c r="E1791" s="177">
        <v>3431</v>
      </c>
      <c r="F1791" s="176">
        <v>54</v>
      </c>
      <c r="G1791" s="176" t="s">
        <v>1040</v>
      </c>
      <c r="H1791" s="16" t="s">
        <v>211</v>
      </c>
      <c r="I1791" s="18">
        <v>85000</v>
      </c>
      <c r="J1791" s="178">
        <v>45133.91</v>
      </c>
      <c r="K1791" s="178">
        <f t="shared" si="1082"/>
        <v>53.1</v>
      </c>
      <c r="L1791" s="178">
        <f t="shared" si="1067"/>
        <v>-22917.300000000003</v>
      </c>
      <c r="M1791" s="178">
        <v>62082.7</v>
      </c>
      <c r="N1791" s="178">
        <v>73900</v>
      </c>
      <c r="O1791" s="178">
        <v>41061.019999999997</v>
      </c>
      <c r="P1791" s="26">
        <f t="shared" si="1072"/>
        <v>-7600</v>
      </c>
      <c r="Q1791" s="178">
        <v>73900</v>
      </c>
      <c r="R1791" s="178">
        <v>73900</v>
      </c>
      <c r="S1791" s="178">
        <v>74200</v>
      </c>
      <c r="T1791" s="266">
        <v>66300</v>
      </c>
      <c r="U1791" s="266">
        <v>57141.08</v>
      </c>
      <c r="V1791" s="266">
        <v>65900</v>
      </c>
      <c r="W1791" s="266">
        <f>73900-10000</f>
        <v>63900</v>
      </c>
      <c r="X1791" s="266">
        <f>73900-10000</f>
        <v>63900</v>
      </c>
      <c r="Y1791" s="266">
        <v>22773.72</v>
      </c>
      <c r="Z1791" s="266">
        <f t="shared" si="1085"/>
        <v>34.56</v>
      </c>
      <c r="AA1791" s="266">
        <f t="shared" si="1075"/>
        <v>-5100</v>
      </c>
      <c r="AB1791" s="266">
        <v>60800</v>
      </c>
      <c r="AC1791" s="266">
        <v>40302.28</v>
      </c>
      <c r="AD1791" s="266">
        <f t="shared" si="1081"/>
        <v>66.286644736842106</v>
      </c>
      <c r="AE1791" s="266">
        <f t="shared" si="1058"/>
        <v>1800</v>
      </c>
      <c r="AF1791" s="266">
        <v>62600</v>
      </c>
      <c r="AG1791" s="266">
        <v>57800</v>
      </c>
      <c r="AH1791" s="266">
        <v>57800</v>
      </c>
      <c r="AI1791" s="266">
        <v>57800</v>
      </c>
      <c r="AJ1791" s="162" t="b">
        <f t="shared" si="1064"/>
        <v>0</v>
      </c>
      <c r="AK1791" s="162" t="str">
        <f t="shared" si="1065"/>
        <v>PUNO</v>
      </c>
      <c r="AM1791" s="164"/>
    </row>
    <row r="1792" spans="2:39" ht="15.75" x14ac:dyDescent="0.2">
      <c r="B1792" s="177"/>
      <c r="C1792" s="177"/>
      <c r="D1792" s="177"/>
      <c r="E1792" s="177">
        <v>3433</v>
      </c>
      <c r="F1792" s="176">
        <v>54</v>
      </c>
      <c r="G1792" s="176" t="s">
        <v>1040</v>
      </c>
      <c r="H1792" s="16" t="s">
        <v>402</v>
      </c>
      <c r="I1792" s="18">
        <v>3000</v>
      </c>
      <c r="J1792" s="178">
        <v>829</v>
      </c>
      <c r="K1792" s="178">
        <f t="shared" si="1082"/>
        <v>27.63</v>
      </c>
      <c r="L1792" s="178">
        <f t="shared" si="1067"/>
        <v>-2096.75</v>
      </c>
      <c r="M1792" s="178">
        <v>903.25</v>
      </c>
      <c r="N1792" s="178">
        <v>2000</v>
      </c>
      <c r="O1792" s="178">
        <v>421.6</v>
      </c>
      <c r="P1792" s="26">
        <f t="shared" si="1072"/>
        <v>400</v>
      </c>
      <c r="Q1792" s="178">
        <v>2000</v>
      </c>
      <c r="R1792" s="178">
        <v>2000</v>
      </c>
      <c r="S1792" s="178">
        <v>2000</v>
      </c>
      <c r="T1792" s="266">
        <v>2400</v>
      </c>
      <c r="U1792" s="266">
        <v>1317.88</v>
      </c>
      <c r="V1792" s="266">
        <v>2000</v>
      </c>
      <c r="W1792" s="266">
        <v>2000</v>
      </c>
      <c r="X1792" s="178">
        <v>2500</v>
      </c>
      <c r="Y1792" s="266">
        <v>610.62</v>
      </c>
      <c r="Z1792" s="266">
        <f t="shared" si="1085"/>
        <v>30.53</v>
      </c>
      <c r="AA1792" s="266">
        <f t="shared" si="1075"/>
        <v>1100</v>
      </c>
      <c r="AB1792" s="266">
        <v>3100</v>
      </c>
      <c r="AC1792" s="266">
        <v>1461.16</v>
      </c>
      <c r="AD1792" s="266">
        <f t="shared" si="1081"/>
        <v>47.134193548387096</v>
      </c>
      <c r="AE1792" s="266">
        <f t="shared" ref="AE1792:AE1867" si="1087">AF1792-AB1792</f>
        <v>400</v>
      </c>
      <c r="AF1792" s="266">
        <v>3500</v>
      </c>
      <c r="AG1792" s="266">
        <v>2000</v>
      </c>
      <c r="AH1792" s="266">
        <v>2000</v>
      </c>
      <c r="AI1792" s="266">
        <v>2000</v>
      </c>
      <c r="AJ1792" s="162" t="b">
        <f t="shared" si="1064"/>
        <v>0</v>
      </c>
      <c r="AK1792" s="162" t="str">
        <f t="shared" si="1065"/>
        <v>PUNO</v>
      </c>
      <c r="AM1792" s="164"/>
    </row>
    <row r="1793" spans="1:39" ht="15.75" x14ac:dyDescent="0.2">
      <c r="B1793" s="177"/>
      <c r="C1793" s="177"/>
      <c r="D1793" s="177"/>
      <c r="E1793" s="177">
        <v>3434</v>
      </c>
      <c r="F1793" s="176">
        <v>12</v>
      </c>
      <c r="G1793" s="176" t="s">
        <v>1040</v>
      </c>
      <c r="H1793" s="16" t="s">
        <v>403</v>
      </c>
      <c r="I1793" s="18">
        <v>25000</v>
      </c>
      <c r="J1793" s="178">
        <v>18040.18</v>
      </c>
      <c r="K1793" s="178">
        <f t="shared" si="1082"/>
        <v>72.16</v>
      </c>
      <c r="L1793" s="178">
        <f t="shared" si="1067"/>
        <v>-150.06999999999971</v>
      </c>
      <c r="M1793" s="178">
        <v>24849.93</v>
      </c>
      <c r="N1793" s="178">
        <v>28100</v>
      </c>
      <c r="O1793" s="178">
        <v>18199.5</v>
      </c>
      <c r="P1793" s="26">
        <f t="shared" si="1072"/>
        <v>-400</v>
      </c>
      <c r="Q1793" s="178">
        <v>28100</v>
      </c>
      <c r="R1793" s="178">
        <v>28600</v>
      </c>
      <c r="S1793" s="178">
        <v>29000</v>
      </c>
      <c r="T1793" s="266">
        <v>27700</v>
      </c>
      <c r="U1793" s="266">
        <v>26700.2</v>
      </c>
      <c r="V1793" s="266">
        <v>12400</v>
      </c>
      <c r="W1793" s="266">
        <v>28100</v>
      </c>
      <c r="X1793" s="178">
        <v>28500</v>
      </c>
      <c r="Y1793" s="266">
        <v>11450.74</v>
      </c>
      <c r="Z1793" s="266">
        <f t="shared" si="1085"/>
        <v>92.34</v>
      </c>
      <c r="AA1793" s="266">
        <f t="shared" si="1075"/>
        <v>11700</v>
      </c>
      <c r="AB1793" s="266">
        <v>24100</v>
      </c>
      <c r="AC1793" s="266">
        <v>20511.990000000002</v>
      </c>
      <c r="AD1793" s="266">
        <f t="shared" si="1081"/>
        <v>85.111991701244818</v>
      </c>
      <c r="AE1793" s="266">
        <f t="shared" si="1087"/>
        <v>2600</v>
      </c>
      <c r="AF1793" s="266">
        <v>26700</v>
      </c>
      <c r="AG1793" s="266">
        <v>24100</v>
      </c>
      <c r="AH1793" s="266">
        <v>24100</v>
      </c>
      <c r="AI1793" s="266">
        <v>24100</v>
      </c>
      <c r="AJ1793" s="162" t="b">
        <f t="shared" si="1064"/>
        <v>0</v>
      </c>
      <c r="AK1793" s="162" t="str">
        <f t="shared" si="1065"/>
        <v>PUNO</v>
      </c>
      <c r="AM1793" s="164"/>
    </row>
    <row r="1794" spans="1:39" s="171" customFormat="1" ht="15.75" x14ac:dyDescent="0.2">
      <c r="A1794" s="259"/>
      <c r="B1794" s="168"/>
      <c r="C1794" s="168"/>
      <c r="D1794" s="168"/>
      <c r="E1794" s="168"/>
      <c r="F1794" s="168"/>
      <c r="G1794" s="168"/>
      <c r="H1794" s="13" t="s">
        <v>612</v>
      </c>
      <c r="I1794" s="169" t="e">
        <f>I1796</f>
        <v>#REF!</v>
      </c>
      <c r="J1794" s="169" t="e">
        <f>J1796</f>
        <v>#REF!</v>
      </c>
      <c r="K1794" s="169" t="e">
        <f t="shared" si="1082"/>
        <v>#REF!</v>
      </c>
      <c r="L1794" s="169" t="e">
        <f t="shared" si="1067"/>
        <v>#REF!</v>
      </c>
      <c r="M1794" s="19" t="e">
        <f>M1796</f>
        <v>#REF!</v>
      </c>
      <c r="N1794" s="19" t="e">
        <f>N1796</f>
        <v>#REF!</v>
      </c>
      <c r="O1794" s="19" t="e">
        <f>O1796</f>
        <v>#REF!</v>
      </c>
      <c r="P1794" s="303" t="e">
        <f>T1794-N1794</f>
        <v>#REF!</v>
      </c>
      <c r="Q1794" s="19" t="e">
        <f t="shared" ref="Q1794:X1794" si="1088">Q1796</f>
        <v>#REF!</v>
      </c>
      <c r="R1794" s="19" t="e">
        <f t="shared" si="1088"/>
        <v>#REF!</v>
      </c>
      <c r="S1794" s="19" t="e">
        <f t="shared" si="1088"/>
        <v>#REF!</v>
      </c>
      <c r="T1794" s="19">
        <f>T1796</f>
        <v>541100</v>
      </c>
      <c r="U1794" s="19">
        <f>U1796</f>
        <v>551386.76</v>
      </c>
      <c r="V1794" s="19">
        <f>V1796</f>
        <v>216000</v>
      </c>
      <c r="W1794" s="19" t="e">
        <f t="shared" si="1088"/>
        <v>#REF!</v>
      </c>
      <c r="X1794" s="19" t="e">
        <f t="shared" si="1088"/>
        <v>#REF!</v>
      </c>
      <c r="Y1794" s="19">
        <f>Y1796</f>
        <v>0</v>
      </c>
      <c r="Z1794" s="19">
        <f t="shared" si="1085"/>
        <v>0</v>
      </c>
      <c r="AA1794" s="19">
        <f>AA1796</f>
        <v>275000</v>
      </c>
      <c r="AB1794" s="19">
        <f>AB1796</f>
        <v>491000</v>
      </c>
      <c r="AC1794" s="19">
        <f>AC1796</f>
        <v>200567.5</v>
      </c>
      <c r="AD1794" s="19">
        <f t="shared" si="1081"/>
        <v>40.848778004073324</v>
      </c>
      <c r="AE1794" s="19">
        <f t="shared" si="1087"/>
        <v>-10723</v>
      </c>
      <c r="AF1794" s="19">
        <f>AF1796</f>
        <v>480277</v>
      </c>
      <c r="AG1794" s="19">
        <f>AG1796</f>
        <v>500000</v>
      </c>
      <c r="AH1794" s="19">
        <f>AH1796</f>
        <v>400000</v>
      </c>
      <c r="AI1794" s="19">
        <f>AI1796</f>
        <v>400000</v>
      </c>
      <c r="AJ1794" s="162" t="b">
        <f t="shared" si="1064"/>
        <v>1</v>
      </c>
      <c r="AK1794" s="162" t="str">
        <f t="shared" si="1065"/>
        <v>PRAZNO</v>
      </c>
      <c r="AL1794" s="170"/>
      <c r="AM1794" s="164"/>
    </row>
    <row r="1795" spans="1:39" s="264" customFormat="1" ht="15.75" customHeight="1" x14ac:dyDescent="0.2">
      <c r="A1795" s="259"/>
      <c r="B1795" s="260"/>
      <c r="C1795" s="260"/>
      <c r="D1795" s="260"/>
      <c r="E1795" s="260"/>
      <c r="F1795" s="260"/>
      <c r="G1795" s="260"/>
      <c r="H1795" s="440" t="s">
        <v>830</v>
      </c>
      <c r="I1795" s="181"/>
      <c r="J1795" s="181"/>
      <c r="K1795" s="181"/>
      <c r="L1795" s="181"/>
      <c r="M1795" s="262"/>
      <c r="N1795" s="262"/>
      <c r="O1795" s="262"/>
      <c r="P1795" s="445"/>
      <c r="Q1795" s="262"/>
      <c r="R1795" s="262"/>
      <c r="S1795" s="262"/>
      <c r="T1795" s="262">
        <f t="shared" ref="T1795:Y1795" si="1089">T1796</f>
        <v>541100</v>
      </c>
      <c r="U1795" s="262">
        <f t="shared" si="1089"/>
        <v>551386.76</v>
      </c>
      <c r="V1795" s="262">
        <f t="shared" si="1089"/>
        <v>216000</v>
      </c>
      <c r="W1795" s="262" t="e">
        <f t="shared" si="1089"/>
        <v>#REF!</v>
      </c>
      <c r="X1795" s="262" t="e">
        <f t="shared" si="1089"/>
        <v>#REF!</v>
      </c>
      <c r="Y1795" s="262">
        <f t="shared" si="1089"/>
        <v>0</v>
      </c>
      <c r="Z1795" s="262">
        <f t="shared" si="1085"/>
        <v>0</v>
      </c>
      <c r="AA1795" s="262">
        <f>AA1796</f>
        <v>275000</v>
      </c>
      <c r="AB1795" s="262">
        <f>AB1796</f>
        <v>491000</v>
      </c>
      <c r="AC1795" s="262">
        <f>AC1796</f>
        <v>200567.5</v>
      </c>
      <c r="AD1795" s="262">
        <f t="shared" si="1081"/>
        <v>40.848778004073324</v>
      </c>
      <c r="AE1795" s="262">
        <f t="shared" si="1087"/>
        <v>-10723</v>
      </c>
      <c r="AF1795" s="262">
        <f>AF1796</f>
        <v>480277</v>
      </c>
      <c r="AG1795" s="262">
        <f>AG1796</f>
        <v>500000</v>
      </c>
      <c r="AH1795" s="262">
        <f>AH1796</f>
        <v>400000</v>
      </c>
      <c r="AI1795" s="262">
        <f>AI1796</f>
        <v>400000</v>
      </c>
      <c r="AJ1795" s="162" t="b">
        <f t="shared" si="1064"/>
        <v>1</v>
      </c>
      <c r="AK1795" s="162" t="str">
        <f t="shared" si="1065"/>
        <v>PRAZNO</v>
      </c>
      <c r="AL1795" s="263"/>
    </row>
    <row r="1796" spans="1:39" s="174" customFormat="1" ht="15.75" x14ac:dyDescent="0.2">
      <c r="A1796" s="259"/>
      <c r="B1796" s="172">
        <v>4</v>
      </c>
      <c r="C1796" s="172"/>
      <c r="D1796" s="172"/>
      <c r="E1796" s="172"/>
      <c r="F1796" s="172"/>
      <c r="G1796" s="172"/>
      <c r="H1796" s="14" t="s">
        <v>552</v>
      </c>
      <c r="I1796" s="20" t="e">
        <f t="shared" ref="I1796:AI1796" si="1090">I1797</f>
        <v>#REF!</v>
      </c>
      <c r="J1796" s="20" t="e">
        <f t="shared" si="1090"/>
        <v>#REF!</v>
      </c>
      <c r="K1796" s="20" t="e">
        <f t="shared" si="1082"/>
        <v>#REF!</v>
      </c>
      <c r="L1796" s="20" t="e">
        <f t="shared" si="1067"/>
        <v>#REF!</v>
      </c>
      <c r="M1796" s="20" t="e">
        <f t="shared" si="1090"/>
        <v>#REF!</v>
      </c>
      <c r="N1796" s="20" t="e">
        <f t="shared" si="1090"/>
        <v>#REF!</v>
      </c>
      <c r="O1796" s="20" t="e">
        <f t="shared" si="1090"/>
        <v>#REF!</v>
      </c>
      <c r="P1796" s="55" t="e">
        <f>T1796-N1796</f>
        <v>#REF!</v>
      </c>
      <c r="Q1796" s="20" t="e">
        <f t="shared" si="1090"/>
        <v>#REF!</v>
      </c>
      <c r="R1796" s="20" t="e">
        <f t="shared" si="1090"/>
        <v>#REF!</v>
      </c>
      <c r="S1796" s="20" t="e">
        <f t="shared" si="1090"/>
        <v>#REF!</v>
      </c>
      <c r="T1796" s="20">
        <f t="shared" si="1090"/>
        <v>541100</v>
      </c>
      <c r="U1796" s="20">
        <f t="shared" si="1090"/>
        <v>551386.76</v>
      </c>
      <c r="V1796" s="20">
        <f t="shared" si="1090"/>
        <v>216000</v>
      </c>
      <c r="W1796" s="20" t="e">
        <f t="shared" si="1090"/>
        <v>#REF!</v>
      </c>
      <c r="X1796" s="20" t="e">
        <f t="shared" si="1090"/>
        <v>#REF!</v>
      </c>
      <c r="Y1796" s="20">
        <f t="shared" si="1090"/>
        <v>0</v>
      </c>
      <c r="Z1796" s="20">
        <f t="shared" si="1085"/>
        <v>0</v>
      </c>
      <c r="AA1796" s="20">
        <f t="shared" si="1090"/>
        <v>275000</v>
      </c>
      <c r="AB1796" s="20">
        <f t="shared" si="1090"/>
        <v>491000</v>
      </c>
      <c r="AC1796" s="20">
        <f t="shared" si="1090"/>
        <v>200567.5</v>
      </c>
      <c r="AD1796" s="20">
        <f t="shared" si="1081"/>
        <v>40.848778004073324</v>
      </c>
      <c r="AE1796" s="20">
        <f t="shared" si="1087"/>
        <v>-10723</v>
      </c>
      <c r="AF1796" s="20">
        <f t="shared" si="1090"/>
        <v>480277</v>
      </c>
      <c r="AG1796" s="20">
        <f t="shared" si="1090"/>
        <v>500000</v>
      </c>
      <c r="AH1796" s="20">
        <f t="shared" si="1090"/>
        <v>400000</v>
      </c>
      <c r="AI1796" s="20">
        <f t="shared" si="1090"/>
        <v>400000</v>
      </c>
      <c r="AJ1796" s="162" t="b">
        <f t="shared" si="1064"/>
        <v>1</v>
      </c>
      <c r="AK1796" s="162" t="str">
        <f t="shared" si="1065"/>
        <v>PRAZNO</v>
      </c>
      <c r="AL1796" s="173"/>
      <c r="AM1796" s="164"/>
    </row>
    <row r="1797" spans="1:39" ht="30.75" customHeight="1" x14ac:dyDescent="0.2">
      <c r="B1797" s="175"/>
      <c r="C1797" s="175">
        <v>45</v>
      </c>
      <c r="D1797" s="175"/>
      <c r="E1797" s="175"/>
      <c r="F1797" s="175"/>
      <c r="G1797" s="175"/>
      <c r="H1797" s="15" t="s">
        <v>808</v>
      </c>
      <c r="I1797" s="22" t="e">
        <f>I1798+#REF!</f>
        <v>#REF!</v>
      </c>
      <c r="J1797" s="22" t="e">
        <f>J1798+#REF!</f>
        <v>#REF!</v>
      </c>
      <c r="K1797" s="22" t="e">
        <f t="shared" si="1082"/>
        <v>#REF!</v>
      </c>
      <c r="L1797" s="22" t="e">
        <f t="shared" si="1067"/>
        <v>#REF!</v>
      </c>
      <c r="M1797" s="22" t="e">
        <f>M1798+#REF!</f>
        <v>#REF!</v>
      </c>
      <c r="N1797" s="22" t="e">
        <f>N1798+#REF!</f>
        <v>#REF!</v>
      </c>
      <c r="O1797" s="22" t="e">
        <f>O1798+#REF!</f>
        <v>#REF!</v>
      </c>
      <c r="P1797" s="26" t="e">
        <f>T1797-N1797</f>
        <v>#REF!</v>
      </c>
      <c r="Q1797" s="22" t="e">
        <f>Q1798+#REF!</f>
        <v>#REF!</v>
      </c>
      <c r="R1797" s="22" t="e">
        <f>R1798+#REF!</f>
        <v>#REF!</v>
      </c>
      <c r="S1797" s="22" t="e">
        <f>S1798+#REF!</f>
        <v>#REF!</v>
      </c>
      <c r="T1797" s="22">
        <f>T1798+T1800</f>
        <v>541100</v>
      </c>
      <c r="U1797" s="22">
        <f>U1798+U1800</f>
        <v>551386.76</v>
      </c>
      <c r="V1797" s="22">
        <f>V1798+V1800</f>
        <v>216000</v>
      </c>
      <c r="W1797" s="22" t="e">
        <f>W1798+#REF!</f>
        <v>#REF!</v>
      </c>
      <c r="X1797" s="22" t="e">
        <f>X1798+#REF!</f>
        <v>#REF!</v>
      </c>
      <c r="Y1797" s="22">
        <f>Y1798+Y1800</f>
        <v>0</v>
      </c>
      <c r="Z1797" s="22">
        <f t="shared" si="1085"/>
        <v>0</v>
      </c>
      <c r="AA1797" s="22">
        <f>AA1798+AA1800</f>
        <v>275000</v>
      </c>
      <c r="AB1797" s="22">
        <f>AB1798+AB1800</f>
        <v>491000</v>
      </c>
      <c r="AC1797" s="22">
        <f>AC1798+AC1800</f>
        <v>200567.5</v>
      </c>
      <c r="AD1797" s="22">
        <f t="shared" si="1081"/>
        <v>40.848778004073324</v>
      </c>
      <c r="AE1797" s="17">
        <f t="shared" si="1087"/>
        <v>-10723</v>
      </c>
      <c r="AF1797" s="22">
        <f>AF1798+AF1800</f>
        <v>480277</v>
      </c>
      <c r="AG1797" s="22">
        <f>AG1798+AG1800</f>
        <v>500000</v>
      </c>
      <c r="AH1797" s="22">
        <f>AH1798+AH1800</f>
        <v>400000</v>
      </c>
      <c r="AI1797" s="22">
        <f>AI1798+AI1800</f>
        <v>400000</v>
      </c>
      <c r="AJ1797" s="162" t="b">
        <f t="shared" si="1064"/>
        <v>1</v>
      </c>
      <c r="AK1797" s="162" t="str">
        <f t="shared" si="1065"/>
        <v>PRAZNO</v>
      </c>
      <c r="AM1797" s="164"/>
    </row>
    <row r="1798" spans="1:39" ht="15.75" x14ac:dyDescent="0.2">
      <c r="B1798" s="177"/>
      <c r="C1798" s="177"/>
      <c r="D1798" s="177">
        <v>451</v>
      </c>
      <c r="E1798" s="177"/>
      <c r="F1798" s="177"/>
      <c r="G1798" s="177"/>
      <c r="H1798" s="16" t="s">
        <v>809</v>
      </c>
      <c r="I1798" s="17">
        <f>I1799</f>
        <v>744400</v>
      </c>
      <c r="J1798" s="17">
        <f>J1799</f>
        <v>208914.63</v>
      </c>
      <c r="K1798" s="17">
        <f t="shared" si="1082"/>
        <v>28.06</v>
      </c>
      <c r="L1798" s="17">
        <f t="shared" si="1067"/>
        <v>-53050.790000000037</v>
      </c>
      <c r="M1798" s="17">
        <f>M1799</f>
        <v>691349.21</v>
      </c>
      <c r="N1798" s="17">
        <f>N1799</f>
        <v>328000</v>
      </c>
      <c r="O1798" s="17">
        <f>O1799</f>
        <v>230096.7</v>
      </c>
      <c r="P1798" s="26">
        <f>T1798-N1798</f>
        <v>213100</v>
      </c>
      <c r="Q1798" s="17">
        <f t="shared" ref="Q1798:AI1798" si="1091">Q1799</f>
        <v>328000</v>
      </c>
      <c r="R1798" s="17">
        <f t="shared" si="1091"/>
        <v>350000</v>
      </c>
      <c r="S1798" s="17">
        <f t="shared" si="1091"/>
        <v>400000</v>
      </c>
      <c r="T1798" s="26">
        <f t="shared" si="1091"/>
        <v>541100</v>
      </c>
      <c r="U1798" s="26">
        <f t="shared" si="1091"/>
        <v>551386.76</v>
      </c>
      <c r="V1798" s="17">
        <f t="shared" si="1091"/>
        <v>216000</v>
      </c>
      <c r="W1798" s="17">
        <f t="shared" si="1091"/>
        <v>329600</v>
      </c>
      <c r="X1798" s="17">
        <f t="shared" si="1091"/>
        <v>360900</v>
      </c>
      <c r="Y1798" s="17">
        <f t="shared" si="1091"/>
        <v>0</v>
      </c>
      <c r="Z1798" s="17">
        <f>ROUND(Y1798/V1798*100,2)</f>
        <v>0</v>
      </c>
      <c r="AA1798" s="17">
        <f t="shared" si="1075"/>
        <v>0</v>
      </c>
      <c r="AB1798" s="17">
        <f t="shared" si="1091"/>
        <v>216000</v>
      </c>
      <c r="AC1798" s="17">
        <f t="shared" si="1091"/>
        <v>0</v>
      </c>
      <c r="AD1798" s="17">
        <f t="shared" si="1081"/>
        <v>0</v>
      </c>
      <c r="AE1798" s="17">
        <f t="shared" si="1087"/>
        <v>0</v>
      </c>
      <c r="AF1798" s="17">
        <f t="shared" si="1091"/>
        <v>216000</v>
      </c>
      <c r="AG1798" s="17">
        <f t="shared" si="1091"/>
        <v>430000</v>
      </c>
      <c r="AH1798" s="17">
        <f t="shared" si="1091"/>
        <v>300000</v>
      </c>
      <c r="AI1798" s="17">
        <f t="shared" si="1091"/>
        <v>300000</v>
      </c>
      <c r="AJ1798" s="162" t="b">
        <f t="shared" si="1064"/>
        <v>1</v>
      </c>
      <c r="AK1798" s="162" t="str">
        <f t="shared" si="1065"/>
        <v>PRAZNO</v>
      </c>
      <c r="AM1798" s="164"/>
    </row>
    <row r="1799" spans="1:39" ht="15.75" x14ac:dyDescent="0.2">
      <c r="B1799" s="177"/>
      <c r="C1799" s="177"/>
      <c r="D1799" s="177"/>
      <c r="E1799" s="177">
        <v>4511</v>
      </c>
      <c r="F1799" s="176">
        <v>54</v>
      </c>
      <c r="G1799" s="176" t="s">
        <v>1040</v>
      </c>
      <c r="H1799" s="16" t="s">
        <v>809</v>
      </c>
      <c r="I1799" s="18">
        <v>744400</v>
      </c>
      <c r="J1799" s="178">
        <v>208914.63</v>
      </c>
      <c r="K1799" s="178">
        <f t="shared" si="1082"/>
        <v>28.06</v>
      </c>
      <c r="L1799" s="178">
        <f t="shared" si="1067"/>
        <v>-53050.790000000037</v>
      </c>
      <c r="M1799" s="178">
        <v>691349.21</v>
      </c>
      <c r="N1799" s="178">
        <v>328000</v>
      </c>
      <c r="O1799" s="178">
        <v>230096.7</v>
      </c>
      <c r="P1799" s="26">
        <f>T1799-N1799</f>
        <v>213100</v>
      </c>
      <c r="Q1799" s="178">
        <v>328000</v>
      </c>
      <c r="R1799" s="178">
        <v>350000</v>
      </c>
      <c r="S1799" s="178">
        <v>400000</v>
      </c>
      <c r="T1799" s="266">
        <v>541100</v>
      </c>
      <c r="U1799" s="266">
        <v>551386.76</v>
      </c>
      <c r="V1799" s="178">
        <v>216000</v>
      </c>
      <c r="W1799" s="178">
        <v>329600</v>
      </c>
      <c r="X1799" s="178">
        <v>360900</v>
      </c>
      <c r="Y1799" s="178">
        <v>0</v>
      </c>
      <c r="Z1799" s="178">
        <f>ROUND(Y1799/V1799*100,2)</f>
        <v>0</v>
      </c>
      <c r="AA1799" s="178">
        <f t="shared" si="1075"/>
        <v>0</v>
      </c>
      <c r="AB1799" s="178">
        <v>216000</v>
      </c>
      <c r="AC1799" s="178">
        <v>0</v>
      </c>
      <c r="AD1799" s="178">
        <f t="shared" si="1081"/>
        <v>0</v>
      </c>
      <c r="AE1799" s="178">
        <f t="shared" si="1087"/>
        <v>0</v>
      </c>
      <c r="AF1799" s="178">
        <v>216000</v>
      </c>
      <c r="AG1799" s="178">
        <v>430000</v>
      </c>
      <c r="AH1799" s="178">
        <v>300000</v>
      </c>
      <c r="AI1799" s="178">
        <v>300000</v>
      </c>
      <c r="AJ1799" s="162" t="b">
        <f t="shared" si="1064"/>
        <v>0</v>
      </c>
      <c r="AK1799" s="162" t="str">
        <f t="shared" si="1065"/>
        <v>PUNO</v>
      </c>
      <c r="AM1799" s="164"/>
    </row>
    <row r="1800" spans="1:39" ht="15.75" x14ac:dyDescent="0.2">
      <c r="B1800" s="177"/>
      <c r="C1800" s="177"/>
      <c r="D1800" s="177">
        <v>452</v>
      </c>
      <c r="E1800" s="177"/>
      <c r="F1800" s="176"/>
      <c r="G1800" s="176"/>
      <c r="H1800" s="40" t="s">
        <v>639</v>
      </c>
      <c r="I1800" s="18"/>
      <c r="J1800" s="18"/>
      <c r="K1800" s="18"/>
      <c r="L1800" s="18"/>
      <c r="M1800" s="18"/>
      <c r="N1800" s="18"/>
      <c r="O1800" s="18"/>
      <c r="P1800" s="26"/>
      <c r="Q1800" s="18"/>
      <c r="R1800" s="18"/>
      <c r="S1800" s="18"/>
      <c r="T1800" s="27"/>
      <c r="U1800" s="27"/>
      <c r="V1800" s="18"/>
      <c r="W1800" s="18"/>
      <c r="X1800" s="18"/>
      <c r="Y1800" s="18">
        <v>0</v>
      </c>
      <c r="Z1800" s="18"/>
      <c r="AA1800" s="18">
        <f t="shared" si="1075"/>
        <v>275000</v>
      </c>
      <c r="AB1800" s="18">
        <f>AB1801</f>
        <v>275000</v>
      </c>
      <c r="AC1800" s="18">
        <f>AC1801</f>
        <v>200567.5</v>
      </c>
      <c r="AD1800" s="18">
        <f t="shared" si="1081"/>
        <v>72.933636363636367</v>
      </c>
      <c r="AE1800" s="18">
        <f t="shared" si="1087"/>
        <v>-10723</v>
      </c>
      <c r="AF1800" s="18">
        <f>AF1801</f>
        <v>264277</v>
      </c>
      <c r="AG1800" s="18">
        <f>AG1801</f>
        <v>70000</v>
      </c>
      <c r="AH1800" s="18">
        <f>AH1801</f>
        <v>100000</v>
      </c>
      <c r="AI1800" s="18">
        <f>AI1801</f>
        <v>100000</v>
      </c>
      <c r="AJ1800" s="162" t="b">
        <f t="shared" si="1064"/>
        <v>1</v>
      </c>
      <c r="AK1800" s="162" t="str">
        <f t="shared" si="1065"/>
        <v>PRAZNO</v>
      </c>
      <c r="AM1800" s="164"/>
    </row>
    <row r="1801" spans="1:39" ht="15.75" x14ac:dyDescent="0.2">
      <c r="B1801" s="177"/>
      <c r="C1801" s="177"/>
      <c r="D1801" s="177"/>
      <c r="E1801" s="177">
        <v>4521</v>
      </c>
      <c r="F1801" s="176">
        <v>54</v>
      </c>
      <c r="G1801" s="176"/>
      <c r="H1801" s="40" t="s">
        <v>639</v>
      </c>
      <c r="I1801" s="18"/>
      <c r="J1801" s="18"/>
      <c r="K1801" s="18"/>
      <c r="L1801" s="18"/>
      <c r="M1801" s="18"/>
      <c r="N1801" s="18"/>
      <c r="O1801" s="18"/>
      <c r="P1801" s="26"/>
      <c r="Q1801" s="18"/>
      <c r="R1801" s="18"/>
      <c r="S1801" s="18"/>
      <c r="T1801" s="27"/>
      <c r="U1801" s="27"/>
      <c r="V1801" s="18"/>
      <c r="W1801" s="18"/>
      <c r="X1801" s="18"/>
      <c r="Y1801" s="18">
        <v>0</v>
      </c>
      <c r="Z1801" s="18"/>
      <c r="AA1801" s="18">
        <f t="shared" si="1075"/>
        <v>275000</v>
      </c>
      <c r="AB1801" s="18">
        <v>275000</v>
      </c>
      <c r="AC1801" s="18">
        <v>200567.5</v>
      </c>
      <c r="AD1801" s="18">
        <f t="shared" si="1081"/>
        <v>72.933636363636367</v>
      </c>
      <c r="AE1801" s="18">
        <f t="shared" si="1087"/>
        <v>-10723</v>
      </c>
      <c r="AF1801" s="18">
        <v>264277</v>
      </c>
      <c r="AG1801" s="18">
        <v>70000</v>
      </c>
      <c r="AH1801" s="18">
        <v>100000</v>
      </c>
      <c r="AI1801" s="18">
        <v>100000</v>
      </c>
      <c r="AJ1801" s="162" t="b">
        <f t="shared" ref="AJ1801:AJ1864" si="1092">ISBLANK(E1801)</f>
        <v>0</v>
      </c>
      <c r="AK1801" s="162" t="str">
        <f t="shared" ref="AK1801:AK1864" si="1093">IF(AJ1801,"PRAZNO","PUNO")</f>
        <v>PUNO</v>
      </c>
      <c r="AM1801" s="164"/>
    </row>
    <row r="1802" spans="1:39" s="171" customFormat="1" ht="15.75" x14ac:dyDescent="0.2">
      <c r="A1802" s="259"/>
      <c r="B1802" s="168"/>
      <c r="C1802" s="168"/>
      <c r="D1802" s="168"/>
      <c r="E1802" s="168"/>
      <c r="F1802" s="168"/>
      <c r="G1802" s="168"/>
      <c r="H1802" s="13" t="s">
        <v>613</v>
      </c>
      <c r="I1802" s="169">
        <f>I1804</f>
        <v>866800</v>
      </c>
      <c r="J1802" s="169">
        <f>J1804</f>
        <v>41462.550000000003</v>
      </c>
      <c r="K1802" s="169">
        <f t="shared" si="1082"/>
        <v>4.78</v>
      </c>
      <c r="L1802" s="169">
        <f t="shared" si="1067"/>
        <v>60471.629999999888</v>
      </c>
      <c r="M1802" s="19">
        <f>M1804</f>
        <v>927271.62999999989</v>
      </c>
      <c r="N1802" s="19">
        <f>N1804</f>
        <v>380700</v>
      </c>
      <c r="O1802" s="19">
        <f>O1804</f>
        <v>134544.24</v>
      </c>
      <c r="P1802" s="303">
        <f>T1802-N1802</f>
        <v>-4700</v>
      </c>
      <c r="Q1802" s="19">
        <f t="shared" ref="Q1802:X1802" si="1094">Q1804</f>
        <v>380700</v>
      </c>
      <c r="R1802" s="19">
        <f t="shared" si="1094"/>
        <v>540400</v>
      </c>
      <c r="S1802" s="19">
        <f t="shared" si="1094"/>
        <v>585600</v>
      </c>
      <c r="T1802" s="53">
        <f t="shared" si="1094"/>
        <v>376000</v>
      </c>
      <c r="U1802" s="53">
        <f>U1804</f>
        <v>375991.12</v>
      </c>
      <c r="V1802" s="19">
        <f t="shared" si="1094"/>
        <v>257000</v>
      </c>
      <c r="W1802" s="19">
        <f t="shared" si="1094"/>
        <v>382600</v>
      </c>
      <c r="X1802" s="19">
        <f t="shared" si="1094"/>
        <v>419100</v>
      </c>
      <c r="Y1802" s="19">
        <f>Y1804</f>
        <v>92203.65</v>
      </c>
      <c r="Z1802" s="19">
        <f t="shared" ref="Z1802:Z1826" si="1095">ROUND(Y1802/V1802*100,2)</f>
        <v>35.880000000000003</v>
      </c>
      <c r="AA1802" s="19">
        <f t="shared" si="1075"/>
        <v>37000</v>
      </c>
      <c r="AB1802" s="19">
        <f>AB1804</f>
        <v>294000</v>
      </c>
      <c r="AC1802" s="19">
        <f>AC1804</f>
        <v>258444.2</v>
      </c>
      <c r="AD1802" s="19">
        <f t="shared" si="1081"/>
        <v>87.906190476190488</v>
      </c>
      <c r="AE1802" s="19">
        <f t="shared" si="1087"/>
        <v>120723</v>
      </c>
      <c r="AF1802" s="19">
        <f>AF1804</f>
        <v>414723</v>
      </c>
      <c r="AG1802" s="19">
        <f>AG1804</f>
        <v>300000</v>
      </c>
      <c r="AH1802" s="19">
        <f>AH1804</f>
        <v>300000</v>
      </c>
      <c r="AI1802" s="19">
        <f>AI1804</f>
        <v>300000</v>
      </c>
      <c r="AJ1802" s="162" t="b">
        <f t="shared" si="1092"/>
        <v>1</v>
      </c>
      <c r="AK1802" s="162" t="str">
        <f t="shared" si="1093"/>
        <v>PRAZNO</v>
      </c>
      <c r="AL1802" s="170"/>
      <c r="AM1802" s="164"/>
    </row>
    <row r="1803" spans="1:39" s="264" customFormat="1" ht="19.5" customHeight="1" x14ac:dyDescent="0.2">
      <c r="A1803" s="259"/>
      <c r="B1803" s="260"/>
      <c r="C1803" s="260"/>
      <c r="D1803" s="260"/>
      <c r="E1803" s="260"/>
      <c r="F1803" s="260"/>
      <c r="G1803" s="260"/>
      <c r="H1803" s="440" t="s">
        <v>830</v>
      </c>
      <c r="I1803" s="181"/>
      <c r="J1803" s="181"/>
      <c r="K1803" s="181"/>
      <c r="L1803" s="181"/>
      <c r="M1803" s="262"/>
      <c r="N1803" s="262"/>
      <c r="O1803" s="262"/>
      <c r="P1803" s="445"/>
      <c r="Q1803" s="262"/>
      <c r="R1803" s="262"/>
      <c r="S1803" s="262"/>
      <c r="T1803" s="342"/>
      <c r="U1803" s="342"/>
      <c r="V1803" s="262">
        <f>V1804</f>
        <v>257000</v>
      </c>
      <c r="W1803" s="262">
        <f>W1804</f>
        <v>382600</v>
      </c>
      <c r="X1803" s="262">
        <f>X1804</f>
        <v>419100</v>
      </c>
      <c r="Y1803" s="262">
        <f>Y1804</f>
        <v>92203.65</v>
      </c>
      <c r="Z1803" s="262">
        <f t="shared" si="1095"/>
        <v>35.880000000000003</v>
      </c>
      <c r="AA1803" s="262">
        <f t="shared" si="1075"/>
        <v>37000</v>
      </c>
      <c r="AB1803" s="262">
        <f>AB1804</f>
        <v>294000</v>
      </c>
      <c r="AC1803" s="262">
        <f>AC1804</f>
        <v>258444.2</v>
      </c>
      <c r="AD1803" s="262">
        <f t="shared" si="1081"/>
        <v>87.906190476190488</v>
      </c>
      <c r="AE1803" s="262">
        <f t="shared" si="1087"/>
        <v>120723</v>
      </c>
      <c r="AF1803" s="262">
        <f>AF1804</f>
        <v>414723</v>
      </c>
      <c r="AG1803" s="262">
        <f>AG1804</f>
        <v>300000</v>
      </c>
      <c r="AH1803" s="262">
        <f>AH1804</f>
        <v>300000</v>
      </c>
      <c r="AI1803" s="262">
        <f>AI1804</f>
        <v>300000</v>
      </c>
      <c r="AJ1803" s="162" t="b">
        <f t="shared" si="1092"/>
        <v>1</v>
      </c>
      <c r="AK1803" s="162" t="str">
        <f t="shared" si="1093"/>
        <v>PRAZNO</v>
      </c>
      <c r="AL1803" s="263"/>
    </row>
    <row r="1804" spans="1:39" s="174" customFormat="1" ht="15.75" x14ac:dyDescent="0.2">
      <c r="A1804" s="259"/>
      <c r="B1804" s="172">
        <v>4</v>
      </c>
      <c r="C1804" s="172"/>
      <c r="D1804" s="172"/>
      <c r="E1804" s="172"/>
      <c r="F1804" s="172"/>
      <c r="G1804" s="172"/>
      <c r="H1804" s="14" t="s">
        <v>552</v>
      </c>
      <c r="I1804" s="20">
        <f>I1805</f>
        <v>866800</v>
      </c>
      <c r="J1804" s="20">
        <f>J1805</f>
        <v>41462.550000000003</v>
      </c>
      <c r="K1804" s="20">
        <f t="shared" si="1082"/>
        <v>4.78</v>
      </c>
      <c r="L1804" s="20">
        <f t="shared" si="1067"/>
        <v>60471.629999999888</v>
      </c>
      <c r="M1804" s="20">
        <f t="shared" ref="M1804:AI1804" si="1096">M1805</f>
        <v>927271.62999999989</v>
      </c>
      <c r="N1804" s="20">
        <f t="shared" si="1096"/>
        <v>380700</v>
      </c>
      <c r="O1804" s="20">
        <f t="shared" si="1096"/>
        <v>134544.24</v>
      </c>
      <c r="P1804" s="55">
        <f t="shared" ref="P1804:P1819" si="1097">T1804-N1804</f>
        <v>-4700</v>
      </c>
      <c r="Q1804" s="20">
        <f t="shared" si="1096"/>
        <v>380700</v>
      </c>
      <c r="R1804" s="20">
        <f t="shared" si="1096"/>
        <v>540400</v>
      </c>
      <c r="S1804" s="20">
        <f t="shared" si="1096"/>
        <v>585600</v>
      </c>
      <c r="T1804" s="55">
        <f t="shared" si="1096"/>
        <v>376000</v>
      </c>
      <c r="U1804" s="55">
        <f t="shared" si="1096"/>
        <v>375991.12</v>
      </c>
      <c r="V1804" s="20">
        <f t="shared" si="1096"/>
        <v>257000</v>
      </c>
      <c r="W1804" s="20">
        <f t="shared" si="1096"/>
        <v>382600</v>
      </c>
      <c r="X1804" s="20">
        <f t="shared" si="1096"/>
        <v>419100</v>
      </c>
      <c r="Y1804" s="20">
        <f t="shared" si="1096"/>
        <v>92203.65</v>
      </c>
      <c r="Z1804" s="20">
        <f t="shared" si="1095"/>
        <v>35.880000000000003</v>
      </c>
      <c r="AA1804" s="20">
        <f t="shared" si="1075"/>
        <v>37000</v>
      </c>
      <c r="AB1804" s="20">
        <f t="shared" si="1096"/>
        <v>294000</v>
      </c>
      <c r="AC1804" s="20">
        <f t="shared" si="1096"/>
        <v>258444.2</v>
      </c>
      <c r="AD1804" s="20">
        <f t="shared" si="1081"/>
        <v>87.906190476190488</v>
      </c>
      <c r="AE1804" s="20">
        <f t="shared" si="1087"/>
        <v>120723</v>
      </c>
      <c r="AF1804" s="20">
        <f t="shared" si="1096"/>
        <v>414723</v>
      </c>
      <c r="AG1804" s="20">
        <f t="shared" si="1096"/>
        <v>300000</v>
      </c>
      <c r="AH1804" s="20">
        <f t="shared" si="1096"/>
        <v>300000</v>
      </c>
      <c r="AI1804" s="20">
        <f t="shared" si="1096"/>
        <v>300000</v>
      </c>
      <c r="AJ1804" s="162" t="b">
        <f t="shared" si="1092"/>
        <v>1</v>
      </c>
      <c r="AK1804" s="162" t="str">
        <f t="shared" si="1093"/>
        <v>PRAZNO</v>
      </c>
      <c r="AL1804" s="173"/>
      <c r="AM1804" s="164"/>
    </row>
    <row r="1805" spans="1:39" ht="18" customHeight="1" x14ac:dyDescent="0.2">
      <c r="B1805" s="175"/>
      <c r="C1805" s="175">
        <v>42</v>
      </c>
      <c r="D1805" s="175"/>
      <c r="E1805" s="175"/>
      <c r="F1805" s="175"/>
      <c r="G1805" s="175"/>
      <c r="H1805" s="15" t="s">
        <v>212</v>
      </c>
      <c r="I1805" s="22">
        <f>I1806+I1817+I1815</f>
        <v>866800</v>
      </c>
      <c r="J1805" s="22">
        <f>J1806+J1817+J1815</f>
        <v>41462.550000000003</v>
      </c>
      <c r="K1805" s="22">
        <f t="shared" si="1082"/>
        <v>4.78</v>
      </c>
      <c r="L1805" s="22">
        <f t="shared" si="1067"/>
        <v>60471.629999999888</v>
      </c>
      <c r="M1805" s="22">
        <f>M1806+M1817+M1815</f>
        <v>927271.62999999989</v>
      </c>
      <c r="N1805" s="22">
        <f>N1806+N1817+N1815</f>
        <v>380700</v>
      </c>
      <c r="O1805" s="22">
        <f>O1806+O1817+O1815</f>
        <v>134544.24</v>
      </c>
      <c r="P1805" s="26">
        <f t="shared" si="1097"/>
        <v>-4700</v>
      </c>
      <c r="Q1805" s="22">
        <f t="shared" ref="Q1805:X1805" si="1098">Q1806+Q1817+Q1815</f>
        <v>380700</v>
      </c>
      <c r="R1805" s="22">
        <f t="shared" si="1098"/>
        <v>540400</v>
      </c>
      <c r="S1805" s="22">
        <f t="shared" si="1098"/>
        <v>585600</v>
      </c>
      <c r="T1805" s="38">
        <f t="shared" si="1098"/>
        <v>376000</v>
      </c>
      <c r="U1805" s="38">
        <f>U1806+U1817+U1815</f>
        <v>375991.12</v>
      </c>
      <c r="V1805" s="22">
        <f t="shared" si="1098"/>
        <v>257000</v>
      </c>
      <c r="W1805" s="22">
        <f t="shared" si="1098"/>
        <v>382600</v>
      </c>
      <c r="X1805" s="22">
        <f t="shared" si="1098"/>
        <v>419100</v>
      </c>
      <c r="Y1805" s="22">
        <f>Y1806+Y1817+Y1815</f>
        <v>92203.65</v>
      </c>
      <c r="Z1805" s="22">
        <f t="shared" si="1095"/>
        <v>35.880000000000003</v>
      </c>
      <c r="AA1805" s="22">
        <f t="shared" si="1075"/>
        <v>37000</v>
      </c>
      <c r="AB1805" s="22">
        <f>AB1806+AB1817+AB1815</f>
        <v>294000</v>
      </c>
      <c r="AC1805" s="22">
        <f>AC1806+AC1817+AC1815</f>
        <v>258444.2</v>
      </c>
      <c r="AD1805" s="22">
        <f t="shared" si="1081"/>
        <v>87.906190476190488</v>
      </c>
      <c r="AE1805" s="22">
        <f t="shared" si="1087"/>
        <v>120723</v>
      </c>
      <c r="AF1805" s="22">
        <f>AF1806+AF1817+AF1815</f>
        <v>414723</v>
      </c>
      <c r="AG1805" s="22">
        <f>AG1806+AG1817+AG1815</f>
        <v>300000</v>
      </c>
      <c r="AH1805" s="22">
        <f>AH1806+AH1817+AH1815</f>
        <v>300000</v>
      </c>
      <c r="AI1805" s="22">
        <f>AI1806+AI1817+AI1815</f>
        <v>300000</v>
      </c>
      <c r="AJ1805" s="162" t="b">
        <f t="shared" si="1092"/>
        <v>1</v>
      </c>
      <c r="AK1805" s="162" t="str">
        <f t="shared" si="1093"/>
        <v>PRAZNO</v>
      </c>
      <c r="AM1805" s="164"/>
    </row>
    <row r="1806" spans="1:39" ht="15.75" x14ac:dyDescent="0.2">
      <c r="B1806" s="177"/>
      <c r="C1806" s="177"/>
      <c r="D1806" s="177">
        <v>422</v>
      </c>
      <c r="E1806" s="177"/>
      <c r="F1806" s="177"/>
      <c r="G1806" s="177"/>
      <c r="H1806" s="16" t="s">
        <v>555</v>
      </c>
      <c r="I1806" s="17">
        <f>SUM(I1807:I1814)</f>
        <v>863800</v>
      </c>
      <c r="J1806" s="17">
        <f>SUM(J1807:J1814)</f>
        <v>39962.550000000003</v>
      </c>
      <c r="K1806" s="17">
        <f t="shared" si="1082"/>
        <v>4.63</v>
      </c>
      <c r="L1806" s="17">
        <f t="shared" si="1067"/>
        <v>61971.629999999888</v>
      </c>
      <c r="M1806" s="17">
        <f>SUM(M1807:M1814)</f>
        <v>925771.62999999989</v>
      </c>
      <c r="N1806" s="17">
        <f>SUM(N1807:N1814)</f>
        <v>380700</v>
      </c>
      <c r="O1806" s="17">
        <f>SUM(O1807:O1814)</f>
        <v>134544.24</v>
      </c>
      <c r="P1806" s="26">
        <f t="shared" si="1097"/>
        <v>-4700</v>
      </c>
      <c r="Q1806" s="17">
        <f t="shared" ref="Q1806:X1806" si="1099">SUM(Q1807:Q1814)</f>
        <v>380700</v>
      </c>
      <c r="R1806" s="17">
        <f t="shared" si="1099"/>
        <v>538400</v>
      </c>
      <c r="S1806" s="17">
        <f t="shared" si="1099"/>
        <v>583600</v>
      </c>
      <c r="T1806" s="26">
        <f t="shared" si="1099"/>
        <v>376000</v>
      </c>
      <c r="U1806" s="26">
        <f>SUM(U1807:U1814)</f>
        <v>375991.12</v>
      </c>
      <c r="V1806" s="17">
        <f t="shared" si="1099"/>
        <v>257000</v>
      </c>
      <c r="W1806" s="17">
        <f t="shared" si="1099"/>
        <v>382600</v>
      </c>
      <c r="X1806" s="17">
        <f t="shared" si="1099"/>
        <v>419100</v>
      </c>
      <c r="Y1806" s="17">
        <f>SUM(Y1807:Y1814)</f>
        <v>92203.65</v>
      </c>
      <c r="Z1806" s="17">
        <f t="shared" si="1095"/>
        <v>35.880000000000003</v>
      </c>
      <c r="AA1806" s="17">
        <f t="shared" si="1075"/>
        <v>37000</v>
      </c>
      <c r="AB1806" s="17">
        <f>SUM(AB1807:AB1814)</f>
        <v>294000</v>
      </c>
      <c r="AC1806" s="17">
        <f>SUM(AC1807:AC1814)</f>
        <v>258444.2</v>
      </c>
      <c r="AD1806" s="17">
        <f t="shared" si="1081"/>
        <v>87.906190476190488</v>
      </c>
      <c r="AE1806" s="17">
        <f t="shared" si="1087"/>
        <v>120723</v>
      </c>
      <c r="AF1806" s="17">
        <f>SUM(AF1807:AF1814)</f>
        <v>414723</v>
      </c>
      <c r="AG1806" s="17">
        <f>SUM(AG1807:AG1814)</f>
        <v>300000</v>
      </c>
      <c r="AH1806" s="17">
        <f>SUM(AH1807:AH1814)</f>
        <v>300000</v>
      </c>
      <c r="AI1806" s="17">
        <f>SUM(AI1807:AI1814)</f>
        <v>300000</v>
      </c>
      <c r="AJ1806" s="162" t="b">
        <f t="shared" si="1092"/>
        <v>1</v>
      </c>
      <c r="AK1806" s="162" t="str">
        <f t="shared" si="1093"/>
        <v>PRAZNO</v>
      </c>
      <c r="AM1806" s="164"/>
    </row>
    <row r="1807" spans="1:39" ht="15.75" x14ac:dyDescent="0.2">
      <c r="B1807" s="177"/>
      <c r="C1807" s="177"/>
      <c r="D1807" s="177"/>
      <c r="E1807" s="177">
        <v>4221</v>
      </c>
      <c r="F1807" s="176">
        <v>54</v>
      </c>
      <c r="G1807" s="176" t="s">
        <v>1040</v>
      </c>
      <c r="H1807" s="16" t="s">
        <v>558</v>
      </c>
      <c r="I1807" s="18">
        <v>745800</v>
      </c>
      <c r="J1807" s="18">
        <v>0</v>
      </c>
      <c r="K1807" s="18">
        <f t="shared" si="1082"/>
        <v>0</v>
      </c>
      <c r="L1807" s="18">
        <f t="shared" si="1067"/>
        <v>-7115.7900000000373</v>
      </c>
      <c r="M1807" s="18">
        <v>738684.21</v>
      </c>
      <c r="N1807" s="18">
        <v>249000</v>
      </c>
      <c r="O1807" s="18">
        <v>7406.25</v>
      </c>
      <c r="P1807" s="26">
        <f t="shared" si="1097"/>
        <v>-17000</v>
      </c>
      <c r="Q1807" s="18">
        <v>249000</v>
      </c>
      <c r="R1807" s="18">
        <v>354000</v>
      </c>
      <c r="S1807" s="18">
        <v>385200</v>
      </c>
      <c r="T1807" s="27">
        <v>232000</v>
      </c>
      <c r="U1807" s="27">
        <v>232501.25</v>
      </c>
      <c r="V1807" s="178">
        <v>122000</v>
      </c>
      <c r="W1807" s="18">
        <v>250200</v>
      </c>
      <c r="X1807" s="18">
        <v>274000</v>
      </c>
      <c r="Y1807" s="178">
        <v>0</v>
      </c>
      <c r="Z1807" s="178">
        <f t="shared" si="1095"/>
        <v>0</v>
      </c>
      <c r="AA1807" s="178">
        <f t="shared" si="1075"/>
        <v>37000</v>
      </c>
      <c r="AB1807" s="178">
        <v>159000</v>
      </c>
      <c r="AC1807" s="178">
        <v>148587.5</v>
      </c>
      <c r="AD1807" s="178">
        <f t="shared" si="1081"/>
        <v>93.451257861635213</v>
      </c>
      <c r="AE1807" s="178">
        <f t="shared" si="1087"/>
        <v>33723</v>
      </c>
      <c r="AF1807" s="178">
        <v>192723</v>
      </c>
      <c r="AG1807" s="178">
        <v>185000</v>
      </c>
      <c r="AH1807" s="178">
        <v>165000</v>
      </c>
      <c r="AI1807" s="178">
        <v>165000</v>
      </c>
      <c r="AJ1807" s="162" t="b">
        <f t="shared" si="1092"/>
        <v>0</v>
      </c>
      <c r="AK1807" s="162" t="str">
        <f t="shared" si="1093"/>
        <v>PUNO</v>
      </c>
      <c r="AM1807" s="164"/>
    </row>
    <row r="1808" spans="1:39" ht="15.75" x14ac:dyDescent="0.2">
      <c r="B1808" s="177"/>
      <c r="C1808" s="177"/>
      <c r="D1808" s="177"/>
      <c r="E1808" s="177">
        <v>4222</v>
      </c>
      <c r="F1808" s="176">
        <v>54</v>
      </c>
      <c r="G1808" s="176" t="s">
        <v>1040</v>
      </c>
      <c r="H1808" s="40" t="s">
        <v>559</v>
      </c>
      <c r="I1808" s="18">
        <v>8000</v>
      </c>
      <c r="J1808" s="18">
        <v>0</v>
      </c>
      <c r="K1808" s="18">
        <f t="shared" si="1082"/>
        <v>0</v>
      </c>
      <c r="L1808" s="18">
        <f>M1808-I1808</f>
        <v>-191.52999999999975</v>
      </c>
      <c r="M1808" s="18">
        <v>7808.47</v>
      </c>
      <c r="N1808" s="18">
        <v>0</v>
      </c>
      <c r="O1808" s="18">
        <v>0</v>
      </c>
      <c r="P1808" s="26">
        <f t="shared" si="1097"/>
        <v>0</v>
      </c>
      <c r="Q1808" s="18">
        <v>0</v>
      </c>
      <c r="R1808" s="18">
        <v>2000</v>
      </c>
      <c r="S1808" s="18">
        <v>2000</v>
      </c>
      <c r="T1808" s="27"/>
      <c r="U1808" s="27">
        <v>15352.88</v>
      </c>
      <c r="V1808" s="18"/>
      <c r="W1808" s="18"/>
      <c r="X1808" s="18"/>
      <c r="Y1808" s="18"/>
      <c r="Z1808" s="18" t="e">
        <f t="shared" si="1095"/>
        <v>#DIV/0!</v>
      </c>
      <c r="AA1808" s="18">
        <f t="shared" si="1075"/>
        <v>0</v>
      </c>
      <c r="AB1808" s="18"/>
      <c r="AC1808" s="18"/>
      <c r="AD1808" s="18"/>
      <c r="AE1808" s="18">
        <f t="shared" si="1087"/>
        <v>0</v>
      </c>
      <c r="AF1808" s="18"/>
      <c r="AG1808" s="18"/>
      <c r="AH1808" s="18"/>
      <c r="AI1808" s="18"/>
      <c r="AJ1808" s="162" t="b">
        <f t="shared" si="1092"/>
        <v>0</v>
      </c>
      <c r="AK1808" s="162" t="str">
        <f t="shared" si="1093"/>
        <v>PUNO</v>
      </c>
      <c r="AM1808" s="164"/>
    </row>
    <row r="1809" spans="1:39" ht="15.75" x14ac:dyDescent="0.2">
      <c r="B1809" s="177"/>
      <c r="C1809" s="177"/>
      <c r="D1809" s="177"/>
      <c r="E1809" s="177">
        <v>4222</v>
      </c>
      <c r="F1809" s="176">
        <v>54</v>
      </c>
      <c r="G1809" s="176"/>
      <c r="H1809" s="40" t="s">
        <v>559</v>
      </c>
      <c r="I1809" s="18"/>
      <c r="J1809" s="18"/>
      <c r="K1809" s="18"/>
      <c r="L1809" s="18"/>
      <c r="M1809" s="18"/>
      <c r="N1809" s="18"/>
      <c r="O1809" s="18"/>
      <c r="P1809" s="26">
        <f t="shared" si="1097"/>
        <v>15600</v>
      </c>
      <c r="Q1809" s="18"/>
      <c r="R1809" s="18"/>
      <c r="S1809" s="18"/>
      <c r="T1809" s="27">
        <v>15600</v>
      </c>
      <c r="U1809" s="27"/>
      <c r="V1809" s="18">
        <v>0</v>
      </c>
      <c r="W1809" s="18"/>
      <c r="X1809" s="18"/>
      <c r="Y1809" s="18"/>
      <c r="Z1809" s="18" t="e">
        <f t="shared" si="1095"/>
        <v>#DIV/0!</v>
      </c>
      <c r="AA1809" s="18">
        <f t="shared" si="1075"/>
        <v>0</v>
      </c>
      <c r="AB1809" s="18">
        <v>0</v>
      </c>
      <c r="AC1809" s="18"/>
      <c r="AD1809" s="18"/>
      <c r="AE1809" s="18">
        <f t="shared" si="1087"/>
        <v>0</v>
      </c>
      <c r="AF1809" s="18">
        <v>0</v>
      </c>
      <c r="AG1809" s="18">
        <v>0</v>
      </c>
      <c r="AH1809" s="18">
        <v>0</v>
      </c>
      <c r="AI1809" s="18">
        <v>0</v>
      </c>
      <c r="AJ1809" s="162" t="b">
        <f t="shared" si="1092"/>
        <v>0</v>
      </c>
      <c r="AK1809" s="162" t="str">
        <f t="shared" si="1093"/>
        <v>PUNO</v>
      </c>
      <c r="AM1809" s="164"/>
    </row>
    <row r="1810" spans="1:39" ht="15.75" x14ac:dyDescent="0.2">
      <c r="B1810" s="177"/>
      <c r="C1810" s="177"/>
      <c r="D1810" s="177"/>
      <c r="E1810" s="177">
        <v>4223</v>
      </c>
      <c r="F1810" s="176">
        <v>54</v>
      </c>
      <c r="G1810" s="176" t="s">
        <v>1040</v>
      </c>
      <c r="H1810" s="40" t="s">
        <v>628</v>
      </c>
      <c r="I1810" s="18">
        <v>30000</v>
      </c>
      <c r="J1810" s="18">
        <v>25544.81</v>
      </c>
      <c r="K1810" s="18">
        <f t="shared" si="1082"/>
        <v>85.15</v>
      </c>
      <c r="L1810" s="18">
        <f t="shared" ref="L1810:L1818" si="1100">M1810-I1810</f>
        <v>-3424.66</v>
      </c>
      <c r="M1810" s="18">
        <v>26575.34</v>
      </c>
      <c r="N1810" s="18">
        <v>40700</v>
      </c>
      <c r="O1810" s="18">
        <v>37139.06</v>
      </c>
      <c r="P1810" s="26">
        <f t="shared" si="1097"/>
        <v>-3300</v>
      </c>
      <c r="Q1810" s="18">
        <v>40700</v>
      </c>
      <c r="R1810" s="18">
        <v>41000</v>
      </c>
      <c r="S1810" s="18">
        <v>43600</v>
      </c>
      <c r="T1810" s="27">
        <v>37400</v>
      </c>
      <c r="U1810" s="27">
        <v>37139.06</v>
      </c>
      <c r="V1810" s="18">
        <v>33000</v>
      </c>
      <c r="W1810" s="18">
        <v>41000</v>
      </c>
      <c r="X1810" s="18">
        <v>45000</v>
      </c>
      <c r="Y1810" s="18">
        <v>6203.65</v>
      </c>
      <c r="Z1810" s="18">
        <f t="shared" si="1095"/>
        <v>18.8</v>
      </c>
      <c r="AA1810" s="18">
        <f t="shared" si="1075"/>
        <v>0</v>
      </c>
      <c r="AB1810" s="18">
        <v>33000</v>
      </c>
      <c r="AC1810" s="18">
        <v>23856.7</v>
      </c>
      <c r="AD1810" s="18">
        <f t="shared" si="1081"/>
        <v>72.293030303030307</v>
      </c>
      <c r="AE1810" s="18">
        <f t="shared" si="1087"/>
        <v>0</v>
      </c>
      <c r="AF1810" s="18">
        <v>33000</v>
      </c>
      <c r="AG1810" s="18">
        <v>30000</v>
      </c>
      <c r="AH1810" s="18">
        <v>33000</v>
      </c>
      <c r="AI1810" s="18">
        <v>33000</v>
      </c>
      <c r="AJ1810" s="162" t="b">
        <f t="shared" si="1092"/>
        <v>0</v>
      </c>
      <c r="AK1810" s="162" t="str">
        <f t="shared" si="1093"/>
        <v>PUNO</v>
      </c>
      <c r="AM1810" s="164"/>
    </row>
    <row r="1811" spans="1:39" ht="15.75" customHeight="1" x14ac:dyDescent="0.2">
      <c r="B1811" s="177"/>
      <c r="C1811" s="177"/>
      <c r="D1811" s="177"/>
      <c r="E1811" s="177">
        <v>4224</v>
      </c>
      <c r="F1811" s="176">
        <v>54</v>
      </c>
      <c r="G1811" s="176" t="s">
        <v>1040</v>
      </c>
      <c r="H1811" s="40" t="s">
        <v>638</v>
      </c>
      <c r="I1811" s="18"/>
      <c r="J1811" s="18"/>
      <c r="K1811" s="18" t="e">
        <f t="shared" si="1082"/>
        <v>#DIV/0!</v>
      </c>
      <c r="L1811" s="18">
        <f t="shared" si="1100"/>
        <v>0</v>
      </c>
      <c r="M1811" s="18"/>
      <c r="N1811" s="18">
        <v>1000</v>
      </c>
      <c r="O1811" s="18">
        <v>0</v>
      </c>
      <c r="P1811" s="26">
        <f t="shared" si="1097"/>
        <v>0</v>
      </c>
      <c r="Q1811" s="18">
        <v>1000</v>
      </c>
      <c r="R1811" s="18"/>
      <c r="S1811" s="18"/>
      <c r="T1811" s="27">
        <v>1000</v>
      </c>
      <c r="U1811" s="27">
        <v>999</v>
      </c>
      <c r="V1811" s="18">
        <v>0</v>
      </c>
      <c r="W1811" s="18">
        <v>1000</v>
      </c>
      <c r="X1811" s="18">
        <v>1100</v>
      </c>
      <c r="Y1811" s="18"/>
      <c r="Z1811" s="18" t="e">
        <f t="shared" si="1095"/>
        <v>#DIV/0!</v>
      </c>
      <c r="AA1811" s="18">
        <f t="shared" si="1075"/>
        <v>0</v>
      </c>
      <c r="AB1811" s="18">
        <v>0</v>
      </c>
      <c r="AC1811" s="18"/>
      <c r="AD1811" s="18"/>
      <c r="AE1811" s="18">
        <f t="shared" si="1087"/>
        <v>0</v>
      </c>
      <c r="AF1811" s="18">
        <v>0</v>
      </c>
      <c r="AG1811" s="18">
        <v>0</v>
      </c>
      <c r="AH1811" s="18">
        <v>0</v>
      </c>
      <c r="AI1811" s="18">
        <v>0</v>
      </c>
      <c r="AJ1811" s="162" t="b">
        <f t="shared" si="1092"/>
        <v>0</v>
      </c>
      <c r="AK1811" s="162" t="str">
        <f t="shared" si="1093"/>
        <v>PUNO</v>
      </c>
      <c r="AM1811" s="164"/>
    </row>
    <row r="1812" spans="1:39" ht="15.75" customHeight="1" x14ac:dyDescent="0.2">
      <c r="B1812" s="177"/>
      <c r="C1812" s="177"/>
      <c r="D1812" s="177"/>
      <c r="E1812" s="177">
        <v>4225</v>
      </c>
      <c r="F1812" s="176" t="s">
        <v>527</v>
      </c>
      <c r="G1812" s="176" t="s">
        <v>1040</v>
      </c>
      <c r="H1812" s="40" t="s">
        <v>844</v>
      </c>
      <c r="I1812" s="18"/>
      <c r="J1812" s="18"/>
      <c r="K1812" s="18" t="e">
        <f t="shared" si="1082"/>
        <v>#DIV/0!</v>
      </c>
      <c r="L1812" s="18">
        <f t="shared" si="1100"/>
        <v>0</v>
      </c>
      <c r="M1812" s="18"/>
      <c r="N1812" s="18"/>
      <c r="O1812" s="18"/>
      <c r="P1812" s="26">
        <f t="shared" si="1097"/>
        <v>0</v>
      </c>
      <c r="Q1812" s="18"/>
      <c r="R1812" s="18"/>
      <c r="S1812" s="18"/>
      <c r="T1812" s="27"/>
      <c r="U1812" s="27"/>
      <c r="V1812" s="18"/>
      <c r="W1812" s="18"/>
      <c r="X1812" s="18"/>
      <c r="Y1812" s="18"/>
      <c r="Z1812" s="18" t="e">
        <f t="shared" si="1095"/>
        <v>#DIV/0!</v>
      </c>
      <c r="AA1812" s="18">
        <f t="shared" si="1075"/>
        <v>0</v>
      </c>
      <c r="AB1812" s="18"/>
      <c r="AC1812" s="18"/>
      <c r="AD1812" s="18"/>
      <c r="AE1812" s="18">
        <f t="shared" si="1087"/>
        <v>0</v>
      </c>
      <c r="AF1812" s="18"/>
      <c r="AG1812" s="18"/>
      <c r="AH1812" s="18"/>
      <c r="AI1812" s="18"/>
      <c r="AJ1812" s="162" t="b">
        <f t="shared" si="1092"/>
        <v>0</v>
      </c>
      <c r="AK1812" s="162" t="str">
        <f t="shared" si="1093"/>
        <v>PUNO</v>
      </c>
      <c r="AM1812" s="164"/>
    </row>
    <row r="1813" spans="1:39" ht="15.75" x14ac:dyDescent="0.2">
      <c r="B1813" s="177"/>
      <c r="C1813" s="177"/>
      <c r="D1813" s="177"/>
      <c r="E1813" s="177">
        <v>4226</v>
      </c>
      <c r="F1813" s="176">
        <v>54</v>
      </c>
      <c r="G1813" s="176" t="s">
        <v>1040</v>
      </c>
      <c r="H1813" s="40" t="s">
        <v>432</v>
      </c>
      <c r="I1813" s="18">
        <v>20000</v>
      </c>
      <c r="J1813" s="18">
        <v>14417.74</v>
      </c>
      <c r="K1813" s="18">
        <f t="shared" si="1082"/>
        <v>72.09</v>
      </c>
      <c r="L1813" s="18">
        <f t="shared" si="1100"/>
        <v>21580.18</v>
      </c>
      <c r="M1813" s="18">
        <v>41580.18</v>
      </c>
      <c r="N1813" s="18">
        <v>0</v>
      </c>
      <c r="O1813" s="18">
        <v>0</v>
      </c>
      <c r="P1813" s="26">
        <f t="shared" si="1097"/>
        <v>0</v>
      </c>
      <c r="Q1813" s="18">
        <v>0</v>
      </c>
      <c r="R1813" s="18">
        <v>35800</v>
      </c>
      <c r="S1813" s="18">
        <v>42000</v>
      </c>
      <c r="T1813" s="27"/>
      <c r="U1813" s="27"/>
      <c r="V1813" s="18"/>
      <c r="W1813" s="18"/>
      <c r="X1813" s="18"/>
      <c r="Y1813" s="18"/>
      <c r="Z1813" s="18" t="e">
        <f t="shared" si="1095"/>
        <v>#DIV/0!</v>
      </c>
      <c r="AA1813" s="18">
        <f t="shared" si="1075"/>
        <v>0</v>
      </c>
      <c r="AB1813" s="18"/>
      <c r="AC1813" s="18"/>
      <c r="AD1813" s="18"/>
      <c r="AE1813" s="18">
        <f t="shared" si="1087"/>
        <v>87000</v>
      </c>
      <c r="AF1813" s="18">
        <v>87000</v>
      </c>
      <c r="AG1813" s="18"/>
      <c r="AH1813" s="18"/>
      <c r="AI1813" s="18"/>
      <c r="AJ1813" s="162" t="b">
        <f t="shared" si="1092"/>
        <v>0</v>
      </c>
      <c r="AK1813" s="162" t="str">
        <f t="shared" si="1093"/>
        <v>PUNO</v>
      </c>
      <c r="AM1813" s="164"/>
    </row>
    <row r="1814" spans="1:39" ht="15.75" x14ac:dyDescent="0.2">
      <c r="B1814" s="177"/>
      <c r="C1814" s="177"/>
      <c r="D1814" s="177"/>
      <c r="E1814" s="177">
        <v>4227</v>
      </c>
      <c r="F1814" s="176">
        <v>54</v>
      </c>
      <c r="G1814" s="176" t="s">
        <v>1040</v>
      </c>
      <c r="H1814" s="16" t="s">
        <v>413</v>
      </c>
      <c r="I1814" s="18">
        <v>60000</v>
      </c>
      <c r="J1814" s="18">
        <v>0</v>
      </c>
      <c r="K1814" s="18">
        <f t="shared" si="1082"/>
        <v>0</v>
      </c>
      <c r="L1814" s="18">
        <f t="shared" si="1100"/>
        <v>51123.429999999993</v>
      </c>
      <c r="M1814" s="18">
        <v>111123.43</v>
      </c>
      <c r="N1814" s="18">
        <v>90000</v>
      </c>
      <c r="O1814" s="18">
        <v>89998.93</v>
      </c>
      <c r="P1814" s="26">
        <f t="shared" si="1097"/>
        <v>0</v>
      </c>
      <c r="Q1814" s="18">
        <v>90000</v>
      </c>
      <c r="R1814" s="18">
        <v>105600</v>
      </c>
      <c r="S1814" s="18">
        <v>110800</v>
      </c>
      <c r="T1814" s="27">
        <v>90000</v>
      </c>
      <c r="U1814" s="27">
        <v>89998.93</v>
      </c>
      <c r="V1814" s="18">
        <v>102000</v>
      </c>
      <c r="W1814" s="18">
        <v>90400</v>
      </c>
      <c r="X1814" s="18">
        <v>99000</v>
      </c>
      <c r="Y1814" s="18">
        <v>86000</v>
      </c>
      <c r="Z1814" s="18">
        <f t="shared" si="1095"/>
        <v>84.31</v>
      </c>
      <c r="AA1814" s="18">
        <f t="shared" si="1075"/>
        <v>0</v>
      </c>
      <c r="AB1814" s="18">
        <v>102000</v>
      </c>
      <c r="AC1814" s="18">
        <v>86000</v>
      </c>
      <c r="AD1814" s="18">
        <f t="shared" si="1081"/>
        <v>84.313725490196077</v>
      </c>
      <c r="AE1814" s="18">
        <f t="shared" si="1087"/>
        <v>0</v>
      </c>
      <c r="AF1814" s="18">
        <v>102000</v>
      </c>
      <c r="AG1814" s="18">
        <v>85000</v>
      </c>
      <c r="AH1814" s="18">
        <v>102000</v>
      </c>
      <c r="AI1814" s="18">
        <v>102000</v>
      </c>
      <c r="AJ1814" s="162" t="b">
        <f t="shared" si="1092"/>
        <v>0</v>
      </c>
      <c r="AK1814" s="162" t="str">
        <f t="shared" si="1093"/>
        <v>PUNO</v>
      </c>
      <c r="AM1814" s="164"/>
    </row>
    <row r="1815" spans="1:39" ht="28.5" customHeight="1" x14ac:dyDescent="0.2">
      <c r="B1815" s="177"/>
      <c r="C1815" s="177"/>
      <c r="D1815" s="177">
        <v>424</v>
      </c>
      <c r="E1815" s="177"/>
      <c r="F1815" s="177"/>
      <c r="G1815" s="177"/>
      <c r="H1815" s="16" t="s">
        <v>447</v>
      </c>
      <c r="I1815" s="18">
        <f>I1816</f>
        <v>0</v>
      </c>
      <c r="J1815" s="18">
        <f>J1816</f>
        <v>0</v>
      </c>
      <c r="K1815" s="18" t="e">
        <f t="shared" si="1082"/>
        <v>#DIV/0!</v>
      </c>
      <c r="L1815" s="18">
        <f t="shared" si="1100"/>
        <v>0</v>
      </c>
      <c r="M1815" s="18">
        <f>M1816</f>
        <v>0</v>
      </c>
      <c r="N1815" s="18">
        <f>N1816</f>
        <v>0</v>
      </c>
      <c r="O1815" s="18">
        <f>O1816</f>
        <v>0</v>
      </c>
      <c r="P1815" s="26">
        <f t="shared" si="1097"/>
        <v>0</v>
      </c>
      <c r="Q1815" s="18">
        <f t="shared" ref="Q1815:AI1815" si="1101">Q1816</f>
        <v>0</v>
      </c>
      <c r="R1815" s="18">
        <f t="shared" si="1101"/>
        <v>0</v>
      </c>
      <c r="S1815" s="18">
        <f t="shared" si="1101"/>
        <v>0</v>
      </c>
      <c r="T1815" s="27">
        <f t="shared" si="1101"/>
        <v>0</v>
      </c>
      <c r="U1815" s="27">
        <f t="shared" si="1101"/>
        <v>0</v>
      </c>
      <c r="V1815" s="18">
        <f t="shared" si="1101"/>
        <v>0</v>
      </c>
      <c r="W1815" s="18">
        <f t="shared" si="1101"/>
        <v>0</v>
      </c>
      <c r="X1815" s="18">
        <f t="shared" si="1101"/>
        <v>0</v>
      </c>
      <c r="Y1815" s="18">
        <f t="shared" si="1101"/>
        <v>0</v>
      </c>
      <c r="Z1815" s="18" t="e">
        <f t="shared" si="1095"/>
        <v>#DIV/0!</v>
      </c>
      <c r="AA1815" s="18">
        <f t="shared" si="1075"/>
        <v>0</v>
      </c>
      <c r="AB1815" s="18">
        <f t="shared" si="1101"/>
        <v>0</v>
      </c>
      <c r="AC1815" s="18">
        <f t="shared" si="1101"/>
        <v>0</v>
      </c>
      <c r="AD1815" s="18"/>
      <c r="AE1815" s="18">
        <f t="shared" si="1087"/>
        <v>0</v>
      </c>
      <c r="AF1815" s="18">
        <f t="shared" si="1101"/>
        <v>0</v>
      </c>
      <c r="AG1815" s="18">
        <f t="shared" si="1101"/>
        <v>0</v>
      </c>
      <c r="AH1815" s="18">
        <f t="shared" si="1101"/>
        <v>0</v>
      </c>
      <c r="AI1815" s="18">
        <f t="shared" si="1101"/>
        <v>0</v>
      </c>
      <c r="AJ1815" s="162" t="b">
        <f t="shared" si="1092"/>
        <v>1</v>
      </c>
      <c r="AK1815" s="162" t="str">
        <f t="shared" si="1093"/>
        <v>PRAZNO</v>
      </c>
      <c r="AM1815" s="164"/>
    </row>
    <row r="1816" spans="1:39" ht="15.75" x14ac:dyDescent="0.2">
      <c r="B1816" s="177"/>
      <c r="C1816" s="177"/>
      <c r="D1816" s="177"/>
      <c r="E1816" s="177">
        <v>4241</v>
      </c>
      <c r="F1816" s="176" t="s">
        <v>527</v>
      </c>
      <c r="G1816" s="176" t="s">
        <v>1040</v>
      </c>
      <c r="H1816" s="40" t="s">
        <v>437</v>
      </c>
      <c r="I1816" s="18">
        <v>0</v>
      </c>
      <c r="J1816" s="18"/>
      <c r="K1816" s="18" t="e">
        <f t="shared" si="1082"/>
        <v>#DIV/0!</v>
      </c>
      <c r="L1816" s="18">
        <f t="shared" si="1100"/>
        <v>0</v>
      </c>
      <c r="M1816" s="18"/>
      <c r="N1816" s="18"/>
      <c r="O1816" s="18">
        <v>0</v>
      </c>
      <c r="P1816" s="26">
        <f t="shared" si="1097"/>
        <v>0</v>
      </c>
      <c r="Q1816" s="18"/>
      <c r="R1816" s="18"/>
      <c r="S1816" s="18"/>
      <c r="T1816" s="27"/>
      <c r="U1816" s="27"/>
      <c r="V1816" s="18"/>
      <c r="W1816" s="18"/>
      <c r="X1816" s="18"/>
      <c r="Y1816" s="18"/>
      <c r="Z1816" s="18" t="e">
        <f t="shared" si="1095"/>
        <v>#DIV/0!</v>
      </c>
      <c r="AA1816" s="18">
        <f t="shared" si="1075"/>
        <v>0</v>
      </c>
      <c r="AB1816" s="18"/>
      <c r="AC1816" s="18"/>
      <c r="AD1816" s="18"/>
      <c r="AE1816" s="18">
        <f t="shared" si="1087"/>
        <v>0</v>
      </c>
      <c r="AF1816" s="18"/>
      <c r="AG1816" s="18"/>
      <c r="AH1816" s="18"/>
      <c r="AI1816" s="18"/>
      <c r="AJ1816" s="162" t="b">
        <f t="shared" si="1092"/>
        <v>0</v>
      </c>
      <c r="AK1816" s="162" t="str">
        <f t="shared" si="1093"/>
        <v>PUNO</v>
      </c>
      <c r="AM1816" s="164"/>
    </row>
    <row r="1817" spans="1:39" ht="15.75" x14ac:dyDescent="0.2">
      <c r="B1817" s="177"/>
      <c r="C1817" s="177"/>
      <c r="D1817" s="177">
        <v>426</v>
      </c>
      <c r="E1817" s="177"/>
      <c r="F1817" s="177"/>
      <c r="G1817" s="177"/>
      <c r="H1817" s="40" t="s">
        <v>560</v>
      </c>
      <c r="I1817" s="18">
        <f>I1818</f>
        <v>3000</v>
      </c>
      <c r="J1817" s="18">
        <f>J1818</f>
        <v>1500</v>
      </c>
      <c r="K1817" s="18">
        <f t="shared" si="1082"/>
        <v>50</v>
      </c>
      <c r="L1817" s="18">
        <f t="shared" si="1100"/>
        <v>-1500</v>
      </c>
      <c r="M1817" s="18">
        <f>M1818</f>
        <v>1500</v>
      </c>
      <c r="N1817" s="18">
        <f>N1818</f>
        <v>0</v>
      </c>
      <c r="O1817" s="18">
        <f>O1818</f>
        <v>0</v>
      </c>
      <c r="P1817" s="26">
        <f t="shared" si="1097"/>
        <v>0</v>
      </c>
      <c r="Q1817" s="18">
        <f t="shared" ref="Q1817:AI1817" si="1102">Q1818</f>
        <v>0</v>
      </c>
      <c r="R1817" s="18">
        <f t="shared" si="1102"/>
        <v>2000</v>
      </c>
      <c r="S1817" s="18">
        <f t="shared" si="1102"/>
        <v>2000</v>
      </c>
      <c r="T1817" s="27">
        <f t="shared" si="1102"/>
        <v>0</v>
      </c>
      <c r="U1817" s="27">
        <f t="shared" si="1102"/>
        <v>0</v>
      </c>
      <c r="V1817" s="18">
        <f t="shared" si="1102"/>
        <v>0</v>
      </c>
      <c r="W1817" s="18">
        <f t="shared" si="1102"/>
        <v>0</v>
      </c>
      <c r="X1817" s="18">
        <f t="shared" si="1102"/>
        <v>0</v>
      </c>
      <c r="Y1817" s="18">
        <f t="shared" si="1102"/>
        <v>0</v>
      </c>
      <c r="Z1817" s="18" t="e">
        <f t="shared" si="1095"/>
        <v>#DIV/0!</v>
      </c>
      <c r="AA1817" s="18">
        <f t="shared" ref="AA1817:AA1826" si="1103">AB1817-V1817</f>
        <v>0</v>
      </c>
      <c r="AB1817" s="18">
        <f t="shared" si="1102"/>
        <v>0</v>
      </c>
      <c r="AC1817" s="18">
        <f t="shared" si="1102"/>
        <v>0</v>
      </c>
      <c r="AD1817" s="18" t="e">
        <f t="shared" si="1081"/>
        <v>#DIV/0!</v>
      </c>
      <c r="AE1817" s="18">
        <f t="shared" si="1087"/>
        <v>0</v>
      </c>
      <c r="AF1817" s="18">
        <f t="shared" si="1102"/>
        <v>0</v>
      </c>
      <c r="AG1817" s="18">
        <f t="shared" si="1102"/>
        <v>0</v>
      </c>
      <c r="AH1817" s="18">
        <f t="shared" si="1102"/>
        <v>0</v>
      </c>
      <c r="AI1817" s="18">
        <f t="shared" si="1102"/>
        <v>0</v>
      </c>
      <c r="AJ1817" s="162" t="b">
        <f t="shared" si="1092"/>
        <v>1</v>
      </c>
      <c r="AK1817" s="162" t="str">
        <f t="shared" si="1093"/>
        <v>PRAZNO</v>
      </c>
      <c r="AM1817" s="164"/>
    </row>
    <row r="1818" spans="1:39" ht="15.75" x14ac:dyDescent="0.2">
      <c r="B1818" s="177"/>
      <c r="C1818" s="177"/>
      <c r="D1818" s="177"/>
      <c r="E1818" s="177">
        <v>4262</v>
      </c>
      <c r="F1818" s="176">
        <v>54</v>
      </c>
      <c r="G1818" s="176" t="s">
        <v>1040</v>
      </c>
      <c r="H1818" s="40" t="s">
        <v>561</v>
      </c>
      <c r="I1818" s="18">
        <v>3000</v>
      </c>
      <c r="J1818" s="18">
        <v>1500</v>
      </c>
      <c r="K1818" s="18">
        <f t="shared" si="1082"/>
        <v>50</v>
      </c>
      <c r="L1818" s="18">
        <f t="shared" si="1100"/>
        <v>-1500</v>
      </c>
      <c r="M1818" s="18">
        <v>1500</v>
      </c>
      <c r="N1818" s="18">
        <v>0</v>
      </c>
      <c r="O1818" s="18">
        <v>0</v>
      </c>
      <c r="P1818" s="26">
        <f t="shared" si="1097"/>
        <v>0</v>
      </c>
      <c r="Q1818" s="18">
        <v>0</v>
      </c>
      <c r="R1818" s="18">
        <v>2000</v>
      </c>
      <c r="S1818" s="18">
        <v>2000</v>
      </c>
      <c r="T1818" s="27"/>
      <c r="U1818" s="27"/>
      <c r="V1818" s="18"/>
      <c r="W1818" s="18"/>
      <c r="X1818" s="18"/>
      <c r="Y1818" s="18"/>
      <c r="Z1818" s="18" t="e">
        <f t="shared" si="1095"/>
        <v>#DIV/0!</v>
      </c>
      <c r="AA1818" s="18">
        <f t="shared" si="1103"/>
        <v>0</v>
      </c>
      <c r="AB1818" s="18"/>
      <c r="AC1818" s="18"/>
      <c r="AD1818" s="18" t="e">
        <f t="shared" si="1081"/>
        <v>#DIV/0!</v>
      </c>
      <c r="AE1818" s="18">
        <f t="shared" si="1087"/>
        <v>0</v>
      </c>
      <c r="AF1818" s="18"/>
      <c r="AG1818" s="18"/>
      <c r="AH1818" s="18"/>
      <c r="AI1818" s="18"/>
      <c r="AJ1818" s="162" t="b">
        <f t="shared" si="1092"/>
        <v>0</v>
      </c>
      <c r="AK1818" s="162" t="str">
        <f t="shared" si="1093"/>
        <v>PUNO</v>
      </c>
      <c r="AM1818" s="164"/>
    </row>
    <row r="1819" spans="1:39" s="171" customFormat="1" ht="31.5" x14ac:dyDescent="0.2">
      <c r="A1819" s="259"/>
      <c r="B1819" s="209"/>
      <c r="C1819" s="209"/>
      <c r="D1819" s="209"/>
      <c r="E1819" s="209"/>
      <c r="F1819" s="219"/>
      <c r="G1819" s="219"/>
      <c r="H1819" s="244" t="s">
        <v>617</v>
      </c>
      <c r="I1819" s="302"/>
      <c r="J1819" s="302"/>
      <c r="K1819" s="302"/>
      <c r="L1819" s="302"/>
      <c r="M1819" s="302" t="e">
        <f>M1821</f>
        <v>#REF!</v>
      </c>
      <c r="N1819" s="302">
        <f>N1821</f>
        <v>0</v>
      </c>
      <c r="O1819" s="302">
        <f>O1821</f>
        <v>0</v>
      </c>
      <c r="P1819" s="303">
        <f t="shared" si="1097"/>
        <v>1709000</v>
      </c>
      <c r="Q1819" s="169" t="e">
        <f t="shared" ref="Q1819:X1819" si="1104">Q1821</f>
        <v>#REF!</v>
      </c>
      <c r="R1819" s="169" t="e">
        <f t="shared" si="1104"/>
        <v>#REF!</v>
      </c>
      <c r="S1819" s="169" t="e">
        <f t="shared" si="1104"/>
        <v>#REF!</v>
      </c>
      <c r="T1819" s="303">
        <f t="shared" si="1104"/>
        <v>1709000</v>
      </c>
      <c r="U1819" s="303">
        <f>U1821</f>
        <v>2149105.69</v>
      </c>
      <c r="V1819" s="302">
        <f t="shared" si="1104"/>
        <v>2939700</v>
      </c>
      <c r="W1819" s="302">
        <f t="shared" si="1104"/>
        <v>1800000</v>
      </c>
      <c r="X1819" s="302">
        <f t="shared" si="1104"/>
        <v>0</v>
      </c>
      <c r="Y1819" s="302">
        <f>Y1821</f>
        <v>0</v>
      </c>
      <c r="Z1819" s="302">
        <f t="shared" si="1095"/>
        <v>0</v>
      </c>
      <c r="AA1819" s="302">
        <f t="shared" si="1103"/>
        <v>-353700</v>
      </c>
      <c r="AB1819" s="302">
        <f>AB1821</f>
        <v>2586000</v>
      </c>
      <c r="AC1819" s="302">
        <f>AC1821</f>
        <v>1904833.35</v>
      </c>
      <c r="AD1819" s="302">
        <f t="shared" si="1081"/>
        <v>73.659448955916474</v>
      </c>
      <c r="AE1819" s="302">
        <f t="shared" si="1087"/>
        <v>-110000</v>
      </c>
      <c r="AF1819" s="302">
        <f>AF1821</f>
        <v>2476000</v>
      </c>
      <c r="AG1819" s="302">
        <f>AG1821</f>
        <v>2571000</v>
      </c>
      <c r="AH1819" s="302">
        <f>AH1821</f>
        <v>1200000</v>
      </c>
      <c r="AI1819" s="302">
        <f>AI1821</f>
        <v>0</v>
      </c>
      <c r="AJ1819" s="162" t="b">
        <f t="shared" si="1092"/>
        <v>1</v>
      </c>
      <c r="AK1819" s="162" t="str">
        <f t="shared" si="1093"/>
        <v>PRAZNO</v>
      </c>
      <c r="AL1819" s="170"/>
    </row>
    <row r="1820" spans="1:39" s="264" customFormat="1" ht="16.5" customHeight="1" x14ac:dyDescent="0.2">
      <c r="A1820" s="259"/>
      <c r="B1820" s="177"/>
      <c r="C1820" s="177"/>
      <c r="D1820" s="177"/>
      <c r="E1820" s="177"/>
      <c r="F1820" s="265"/>
      <c r="G1820" s="265"/>
      <c r="H1820" s="477" t="s">
        <v>830</v>
      </c>
      <c r="I1820" s="406"/>
      <c r="J1820" s="406"/>
      <c r="K1820" s="406"/>
      <c r="L1820" s="406"/>
      <c r="M1820" s="406"/>
      <c r="N1820" s="406"/>
      <c r="O1820" s="406"/>
      <c r="P1820" s="445"/>
      <c r="Q1820" s="181"/>
      <c r="R1820" s="181"/>
      <c r="S1820" s="181"/>
      <c r="T1820" s="445"/>
      <c r="U1820" s="445"/>
      <c r="V1820" s="406">
        <f>V1821</f>
        <v>2939700</v>
      </c>
      <c r="W1820" s="406">
        <f>W1821</f>
        <v>1800000</v>
      </c>
      <c r="X1820" s="406">
        <f>X1821</f>
        <v>0</v>
      </c>
      <c r="Y1820" s="406">
        <f>Y1821</f>
        <v>0</v>
      </c>
      <c r="Z1820" s="406">
        <f t="shared" si="1095"/>
        <v>0</v>
      </c>
      <c r="AA1820" s="406">
        <f t="shared" si="1103"/>
        <v>-353700</v>
      </c>
      <c r="AB1820" s="406">
        <f>AB1821</f>
        <v>2586000</v>
      </c>
      <c r="AC1820" s="406">
        <f>AC1821</f>
        <v>1904833.35</v>
      </c>
      <c r="AD1820" s="406">
        <f t="shared" si="1081"/>
        <v>73.659448955916474</v>
      </c>
      <c r="AE1820" s="406">
        <f t="shared" si="1087"/>
        <v>-110000</v>
      </c>
      <c r="AF1820" s="406">
        <f>AF1821</f>
        <v>2476000</v>
      </c>
      <c r="AG1820" s="406">
        <f>AG1821</f>
        <v>2571000</v>
      </c>
      <c r="AH1820" s="406">
        <f>AH1821</f>
        <v>1200000</v>
      </c>
      <c r="AI1820" s="406">
        <f>AI1821</f>
        <v>0</v>
      </c>
      <c r="AJ1820" s="162" t="b">
        <f t="shared" si="1092"/>
        <v>1</v>
      </c>
      <c r="AK1820" s="162" t="str">
        <f t="shared" si="1093"/>
        <v>PRAZNO</v>
      </c>
      <c r="AL1820" s="263"/>
    </row>
    <row r="1821" spans="1:39" s="174" customFormat="1" ht="15.75" x14ac:dyDescent="0.2">
      <c r="A1821" s="259"/>
      <c r="B1821" s="172">
        <v>4</v>
      </c>
      <c r="C1821" s="172"/>
      <c r="D1821" s="172"/>
      <c r="E1821" s="172"/>
      <c r="F1821" s="220"/>
      <c r="G1821" s="220"/>
      <c r="H1821" s="14" t="s">
        <v>552</v>
      </c>
      <c r="I1821" s="20"/>
      <c r="J1821" s="20"/>
      <c r="K1821" s="20"/>
      <c r="L1821" s="20"/>
      <c r="M1821" s="20" t="e">
        <f>M1822</f>
        <v>#REF!</v>
      </c>
      <c r="N1821" s="20">
        <f t="shared" ref="N1821:AI1822" si="1105">N1822</f>
        <v>0</v>
      </c>
      <c r="O1821" s="20">
        <f t="shared" si="1105"/>
        <v>0</v>
      </c>
      <c r="P1821" s="55">
        <f t="shared" ref="P1821:P1826" si="1106">T1821-N1821</f>
        <v>1709000</v>
      </c>
      <c r="Q1821" s="20" t="e">
        <f t="shared" si="1105"/>
        <v>#REF!</v>
      </c>
      <c r="R1821" s="20" t="e">
        <f t="shared" si="1105"/>
        <v>#REF!</v>
      </c>
      <c r="S1821" s="20" t="e">
        <f t="shared" si="1105"/>
        <v>#REF!</v>
      </c>
      <c r="T1821" s="55">
        <f t="shared" si="1105"/>
        <v>1709000</v>
      </c>
      <c r="U1821" s="55">
        <f t="shared" si="1105"/>
        <v>2149105.69</v>
      </c>
      <c r="V1821" s="20">
        <f t="shared" si="1105"/>
        <v>2939700</v>
      </c>
      <c r="W1821" s="20">
        <f t="shared" si="1105"/>
        <v>1800000</v>
      </c>
      <c r="X1821" s="20">
        <f t="shared" si="1105"/>
        <v>0</v>
      </c>
      <c r="Y1821" s="20">
        <f t="shared" si="1105"/>
        <v>0</v>
      </c>
      <c r="Z1821" s="20">
        <f t="shared" si="1095"/>
        <v>0</v>
      </c>
      <c r="AA1821" s="20">
        <f t="shared" si="1103"/>
        <v>-353700</v>
      </c>
      <c r="AB1821" s="20">
        <f t="shared" si="1105"/>
        <v>2586000</v>
      </c>
      <c r="AC1821" s="20">
        <f t="shared" si="1105"/>
        <v>1904833.35</v>
      </c>
      <c r="AD1821" s="20">
        <f t="shared" si="1081"/>
        <v>73.659448955916474</v>
      </c>
      <c r="AE1821" s="20">
        <f t="shared" si="1087"/>
        <v>-110000</v>
      </c>
      <c r="AF1821" s="20">
        <f t="shared" si="1105"/>
        <v>2476000</v>
      </c>
      <c r="AG1821" s="20">
        <f t="shared" si="1105"/>
        <v>2571000</v>
      </c>
      <c r="AH1821" s="20">
        <f t="shared" si="1105"/>
        <v>1200000</v>
      </c>
      <c r="AI1821" s="20">
        <f t="shared" si="1105"/>
        <v>0</v>
      </c>
      <c r="AJ1821" s="162" t="b">
        <f t="shared" si="1092"/>
        <v>1</v>
      </c>
      <c r="AK1821" s="162" t="str">
        <f t="shared" si="1093"/>
        <v>PRAZNO</v>
      </c>
      <c r="AL1821" s="173"/>
    </row>
    <row r="1822" spans="1:39" ht="15.75" x14ac:dyDescent="0.2">
      <c r="B1822" s="177"/>
      <c r="C1822" s="177">
        <v>42</v>
      </c>
      <c r="D1822" s="177"/>
      <c r="E1822" s="177"/>
      <c r="F1822" s="176"/>
      <c r="G1822" s="176"/>
      <c r="H1822" s="41" t="s">
        <v>212</v>
      </c>
      <c r="I1822" s="17"/>
      <c r="J1822" s="17"/>
      <c r="K1822" s="17"/>
      <c r="L1822" s="17"/>
      <c r="M1822" s="17" t="e">
        <f>M1823</f>
        <v>#REF!</v>
      </c>
      <c r="N1822" s="17">
        <f t="shared" si="1105"/>
        <v>0</v>
      </c>
      <c r="O1822" s="17">
        <f t="shared" si="1105"/>
        <v>0</v>
      </c>
      <c r="P1822" s="26">
        <f t="shared" si="1106"/>
        <v>1709000</v>
      </c>
      <c r="Q1822" s="17" t="e">
        <f t="shared" si="1105"/>
        <v>#REF!</v>
      </c>
      <c r="R1822" s="17" t="e">
        <f t="shared" si="1105"/>
        <v>#REF!</v>
      </c>
      <c r="S1822" s="17" t="e">
        <f>S1823</f>
        <v>#REF!</v>
      </c>
      <c r="T1822" s="26">
        <f t="shared" si="1105"/>
        <v>1709000</v>
      </c>
      <c r="U1822" s="26">
        <f t="shared" si="1105"/>
        <v>2149105.69</v>
      </c>
      <c r="V1822" s="17">
        <f t="shared" si="1105"/>
        <v>2939700</v>
      </c>
      <c r="W1822" s="17">
        <f t="shared" si="1105"/>
        <v>1800000</v>
      </c>
      <c r="X1822" s="17">
        <f t="shared" si="1105"/>
        <v>0</v>
      </c>
      <c r="Y1822" s="17">
        <f t="shared" si="1105"/>
        <v>0</v>
      </c>
      <c r="Z1822" s="17">
        <f t="shared" si="1095"/>
        <v>0</v>
      </c>
      <c r="AA1822" s="17">
        <f t="shared" si="1103"/>
        <v>-353700</v>
      </c>
      <c r="AB1822" s="17">
        <f t="shared" si="1105"/>
        <v>2586000</v>
      </c>
      <c r="AC1822" s="17">
        <f t="shared" si="1105"/>
        <v>1904833.35</v>
      </c>
      <c r="AD1822" s="17">
        <f t="shared" si="1081"/>
        <v>73.659448955916474</v>
      </c>
      <c r="AE1822" s="17">
        <f t="shared" si="1087"/>
        <v>-110000</v>
      </c>
      <c r="AF1822" s="17">
        <f t="shared" si="1105"/>
        <v>2476000</v>
      </c>
      <c r="AG1822" s="17">
        <f t="shared" si="1105"/>
        <v>2571000</v>
      </c>
      <c r="AH1822" s="17">
        <f t="shared" si="1105"/>
        <v>1200000</v>
      </c>
      <c r="AI1822" s="17">
        <f t="shared" si="1105"/>
        <v>0</v>
      </c>
      <c r="AJ1822" s="162" t="b">
        <f t="shared" si="1092"/>
        <v>1</v>
      </c>
      <c r="AK1822" s="162" t="str">
        <f t="shared" si="1093"/>
        <v>PRAZNO</v>
      </c>
      <c r="AM1822" s="164"/>
    </row>
    <row r="1823" spans="1:39" ht="15.75" x14ac:dyDescent="0.2">
      <c r="B1823" s="177"/>
      <c r="C1823" s="177"/>
      <c r="D1823" s="177">
        <v>421</v>
      </c>
      <c r="E1823" s="177"/>
      <c r="F1823" s="176"/>
      <c r="G1823" s="176"/>
      <c r="H1823" s="41" t="s">
        <v>759</v>
      </c>
      <c r="I1823" s="26" t="e">
        <f>I1863+I1914</f>
        <v>#REF!</v>
      </c>
      <c r="J1823" s="26" t="e">
        <f>J1863+J1914</f>
        <v>#REF!</v>
      </c>
      <c r="K1823" s="26" t="e">
        <f>K1863+K1914</f>
        <v>#REF!</v>
      </c>
      <c r="L1823" s="26" t="e">
        <f>L1863+L1914</f>
        <v>#REF!</v>
      </c>
      <c r="M1823" s="26" t="e">
        <f>M1863+M1914</f>
        <v>#REF!</v>
      </c>
      <c r="N1823" s="26">
        <f>N1824+N1825+N1826</f>
        <v>0</v>
      </c>
      <c r="O1823" s="17">
        <f>O1824</f>
        <v>0</v>
      </c>
      <c r="P1823" s="26">
        <f t="shared" si="1106"/>
        <v>1709000</v>
      </c>
      <c r="Q1823" s="17" t="e">
        <f>Q1863</f>
        <v>#REF!</v>
      </c>
      <c r="R1823" s="17" t="e">
        <f>R1863</f>
        <v>#REF!</v>
      </c>
      <c r="S1823" s="17" t="e">
        <f>S1863</f>
        <v>#REF!</v>
      </c>
      <c r="T1823" s="26">
        <f t="shared" ref="T1823:Y1823" si="1107">T1824+T1825+T1826</f>
        <v>1709000</v>
      </c>
      <c r="U1823" s="26">
        <f t="shared" si="1107"/>
        <v>2149105.69</v>
      </c>
      <c r="V1823" s="26">
        <f t="shared" si="1107"/>
        <v>2939700</v>
      </c>
      <c r="W1823" s="26">
        <f t="shared" si="1107"/>
        <v>1800000</v>
      </c>
      <c r="X1823" s="26">
        <f t="shared" si="1107"/>
        <v>0</v>
      </c>
      <c r="Y1823" s="26">
        <f t="shared" si="1107"/>
        <v>0</v>
      </c>
      <c r="Z1823" s="26">
        <f t="shared" si="1095"/>
        <v>0</v>
      </c>
      <c r="AA1823" s="26">
        <f t="shared" si="1103"/>
        <v>-353700</v>
      </c>
      <c r="AB1823" s="26">
        <f>AB1824+AB1825+AB1826</f>
        <v>2586000</v>
      </c>
      <c r="AC1823" s="26">
        <f>AC1824+AC1825+AC1826</f>
        <v>1904833.35</v>
      </c>
      <c r="AD1823" s="26">
        <f t="shared" si="1081"/>
        <v>73.659448955916474</v>
      </c>
      <c r="AE1823" s="26">
        <f t="shared" si="1087"/>
        <v>-110000</v>
      </c>
      <c r="AF1823" s="26">
        <f>AF1824+AF1825+AF1826</f>
        <v>2476000</v>
      </c>
      <c r="AG1823" s="26">
        <f>AG1824+AG1825+AG1826</f>
        <v>2571000</v>
      </c>
      <c r="AH1823" s="26">
        <f>AH1824+AH1825+AH1826</f>
        <v>1200000</v>
      </c>
      <c r="AI1823" s="26">
        <f>AI1824+AI1825+AI1826</f>
        <v>0</v>
      </c>
      <c r="AJ1823" s="162" t="b">
        <f t="shared" si="1092"/>
        <v>1</v>
      </c>
      <c r="AK1823" s="162" t="str">
        <f t="shared" si="1093"/>
        <v>PRAZNO</v>
      </c>
      <c r="AM1823" s="164"/>
    </row>
    <row r="1824" spans="1:39" s="264" customFormat="1" ht="15.75" x14ac:dyDescent="0.2">
      <c r="A1824" s="259"/>
      <c r="B1824" s="177"/>
      <c r="C1824" s="177"/>
      <c r="D1824" s="177"/>
      <c r="E1824" s="177">
        <v>4212</v>
      </c>
      <c r="F1824" s="265">
        <v>14</v>
      </c>
      <c r="G1824" s="265"/>
      <c r="H1824" s="41" t="s">
        <v>649</v>
      </c>
      <c r="I1824" s="181"/>
      <c r="J1824" s="181"/>
      <c r="K1824" s="181"/>
      <c r="L1824" s="181"/>
      <c r="M1824" s="181"/>
      <c r="N1824" s="181">
        <v>0</v>
      </c>
      <c r="O1824" s="181">
        <v>0</v>
      </c>
      <c r="P1824" s="307">
        <f t="shared" si="1106"/>
        <v>0</v>
      </c>
      <c r="Q1824" s="181"/>
      <c r="R1824" s="181"/>
      <c r="S1824" s="181"/>
      <c r="T1824" s="307">
        <v>0</v>
      </c>
      <c r="U1824" s="307">
        <v>421811.43</v>
      </c>
      <c r="V1824" s="307">
        <v>0</v>
      </c>
      <c r="W1824" s="307">
        <v>0</v>
      </c>
      <c r="X1824" s="307">
        <v>0</v>
      </c>
      <c r="Y1824" s="307"/>
      <c r="Z1824" s="307" t="e">
        <f t="shared" si="1095"/>
        <v>#DIV/0!</v>
      </c>
      <c r="AA1824" s="307">
        <f t="shared" si="1103"/>
        <v>0</v>
      </c>
      <c r="AB1824" s="307">
        <v>0</v>
      </c>
      <c r="AC1824" s="307"/>
      <c r="AD1824" s="307"/>
      <c r="AE1824" s="307">
        <f t="shared" si="1087"/>
        <v>0</v>
      </c>
      <c r="AF1824" s="307">
        <v>0</v>
      </c>
      <c r="AG1824" s="307">
        <v>0</v>
      </c>
      <c r="AH1824" s="307">
        <v>0</v>
      </c>
      <c r="AI1824" s="307">
        <v>0</v>
      </c>
      <c r="AJ1824" s="162" t="b">
        <f t="shared" si="1092"/>
        <v>0</v>
      </c>
      <c r="AK1824" s="162" t="str">
        <f t="shared" si="1093"/>
        <v>PUNO</v>
      </c>
      <c r="AL1824" s="263"/>
    </row>
    <row r="1825" spans="2:39" ht="15.75" x14ac:dyDescent="0.2">
      <c r="B1825" s="177"/>
      <c r="C1825" s="177"/>
      <c r="D1825" s="177"/>
      <c r="E1825" s="177">
        <v>4212</v>
      </c>
      <c r="F1825" s="176">
        <v>52</v>
      </c>
      <c r="G1825" s="176"/>
      <c r="H1825" s="41" t="s">
        <v>649</v>
      </c>
      <c r="I1825" s="17"/>
      <c r="J1825" s="17"/>
      <c r="K1825" s="17"/>
      <c r="L1825" s="17"/>
      <c r="M1825" s="17"/>
      <c r="N1825" s="17">
        <v>0</v>
      </c>
      <c r="O1825" s="17">
        <v>0</v>
      </c>
      <c r="P1825" s="26">
        <f t="shared" si="1106"/>
        <v>15000</v>
      </c>
      <c r="Q1825" s="17"/>
      <c r="R1825" s="17"/>
      <c r="S1825" s="17"/>
      <c r="T1825" s="307">
        <v>15000</v>
      </c>
      <c r="U1825" s="307"/>
      <c r="V1825" s="17"/>
      <c r="W1825" s="17"/>
      <c r="X1825" s="17"/>
      <c r="Y1825" s="17"/>
      <c r="Z1825" s="17" t="e">
        <f t="shared" si="1095"/>
        <v>#DIV/0!</v>
      </c>
      <c r="AA1825" s="17">
        <f t="shared" si="1103"/>
        <v>0</v>
      </c>
      <c r="AB1825" s="17"/>
      <c r="AC1825" s="17"/>
      <c r="AD1825" s="17"/>
      <c r="AE1825" s="17">
        <f t="shared" si="1087"/>
        <v>0</v>
      </c>
      <c r="AF1825" s="17"/>
      <c r="AG1825" s="17"/>
      <c r="AH1825" s="17"/>
      <c r="AI1825" s="17"/>
      <c r="AJ1825" s="162" t="b">
        <f t="shared" si="1092"/>
        <v>0</v>
      </c>
      <c r="AK1825" s="162" t="str">
        <f t="shared" si="1093"/>
        <v>PUNO</v>
      </c>
      <c r="AM1825" s="164"/>
    </row>
    <row r="1826" spans="2:39" ht="15.75" x14ac:dyDescent="0.2">
      <c r="B1826" s="177"/>
      <c r="C1826" s="177"/>
      <c r="D1826" s="177"/>
      <c r="E1826" s="177">
        <v>4212</v>
      </c>
      <c r="F1826" s="176">
        <v>54</v>
      </c>
      <c r="G1826" s="176"/>
      <c r="H1826" s="41" t="s">
        <v>649</v>
      </c>
      <c r="I1826" s="17"/>
      <c r="J1826" s="17"/>
      <c r="K1826" s="17"/>
      <c r="L1826" s="17"/>
      <c r="M1826" s="17">
        <v>0</v>
      </c>
      <c r="N1826" s="17">
        <v>0</v>
      </c>
      <c r="O1826" s="17">
        <v>0</v>
      </c>
      <c r="P1826" s="26">
        <f t="shared" si="1106"/>
        <v>1694000</v>
      </c>
      <c r="Q1826" s="17"/>
      <c r="R1826" s="17"/>
      <c r="S1826" s="17"/>
      <c r="T1826" s="307">
        <f>1760500-66500</f>
        <v>1694000</v>
      </c>
      <c r="U1826" s="307">
        <v>1727294.26</v>
      </c>
      <c r="V1826" s="17">
        <v>2939700</v>
      </c>
      <c r="W1826" s="17">
        <v>1800000</v>
      </c>
      <c r="X1826" s="17">
        <v>0</v>
      </c>
      <c r="Y1826" s="17">
        <v>0</v>
      </c>
      <c r="Z1826" s="17">
        <f t="shared" si="1095"/>
        <v>0</v>
      </c>
      <c r="AA1826" s="17">
        <f t="shared" si="1103"/>
        <v>-353700</v>
      </c>
      <c r="AB1826" s="17">
        <v>2586000</v>
      </c>
      <c r="AC1826" s="17">
        <v>1904833.35</v>
      </c>
      <c r="AD1826" s="17">
        <f t="shared" si="1081"/>
        <v>73.659448955916474</v>
      </c>
      <c r="AE1826" s="17">
        <f t="shared" si="1087"/>
        <v>-110000</v>
      </c>
      <c r="AF1826" s="17">
        <v>2476000</v>
      </c>
      <c r="AG1826" s="17">
        <v>2571000</v>
      </c>
      <c r="AH1826" s="17">
        <v>1200000</v>
      </c>
      <c r="AI1826" s="17">
        <v>0</v>
      </c>
      <c r="AJ1826" s="162" t="b">
        <f t="shared" si="1092"/>
        <v>0</v>
      </c>
      <c r="AK1826" s="162" t="str">
        <f t="shared" si="1093"/>
        <v>PUNO</v>
      </c>
      <c r="AM1826" s="164"/>
    </row>
    <row r="1827" spans="2:39" ht="31.5" x14ac:dyDescent="0.2">
      <c r="B1827" s="209"/>
      <c r="C1827" s="209"/>
      <c r="D1827" s="209"/>
      <c r="E1827" s="209"/>
      <c r="F1827" s="219"/>
      <c r="G1827" s="219"/>
      <c r="H1827" s="244" t="s">
        <v>609</v>
      </c>
      <c r="I1827" s="17"/>
      <c r="J1827" s="17"/>
      <c r="K1827" s="17"/>
      <c r="L1827" s="17"/>
      <c r="M1827" s="17"/>
      <c r="N1827" s="17"/>
      <c r="O1827" s="17"/>
      <c r="P1827" s="26"/>
      <c r="Q1827" s="17"/>
      <c r="R1827" s="17"/>
      <c r="S1827" s="17"/>
      <c r="T1827" s="307"/>
      <c r="U1827" s="302"/>
      <c r="V1827" s="17"/>
      <c r="W1827" s="17"/>
      <c r="X1827" s="17"/>
      <c r="Y1827" s="17"/>
      <c r="Z1827" s="17"/>
      <c r="AA1827" s="17"/>
      <c r="AB1827" s="302">
        <f>AB1829</f>
        <v>0</v>
      </c>
      <c r="AC1827" s="302">
        <f>AC1829</f>
        <v>0</v>
      </c>
      <c r="AD1827" s="302"/>
      <c r="AE1827" s="302">
        <f t="shared" si="1087"/>
        <v>0</v>
      </c>
      <c r="AF1827" s="302">
        <f>AF1829</f>
        <v>0</v>
      </c>
      <c r="AG1827" s="302">
        <f>AG1829</f>
        <v>0</v>
      </c>
      <c r="AH1827" s="302">
        <f>AH1829</f>
        <v>871000</v>
      </c>
      <c r="AI1827" s="302">
        <f>AI1829</f>
        <v>0</v>
      </c>
      <c r="AJ1827" s="162" t="b">
        <f t="shared" si="1092"/>
        <v>1</v>
      </c>
      <c r="AK1827" s="162" t="str">
        <f t="shared" si="1093"/>
        <v>PRAZNO</v>
      </c>
      <c r="AM1827" s="164"/>
    </row>
    <row r="1828" spans="2:39" ht="15.75" x14ac:dyDescent="0.2">
      <c r="B1828" s="177"/>
      <c r="C1828" s="177"/>
      <c r="D1828" s="177"/>
      <c r="E1828" s="177"/>
      <c r="F1828" s="265"/>
      <c r="G1828" s="265"/>
      <c r="H1828" s="477" t="s">
        <v>830</v>
      </c>
      <c r="I1828" s="17"/>
      <c r="J1828" s="17"/>
      <c r="K1828" s="17"/>
      <c r="L1828" s="17"/>
      <c r="M1828" s="17"/>
      <c r="N1828" s="17"/>
      <c r="O1828" s="17"/>
      <c r="P1828" s="26"/>
      <c r="Q1828" s="17"/>
      <c r="R1828" s="17"/>
      <c r="S1828" s="17"/>
      <c r="T1828" s="307"/>
      <c r="U1828" s="307"/>
      <c r="V1828" s="17"/>
      <c r="W1828" s="17"/>
      <c r="X1828" s="17"/>
      <c r="Y1828" s="17"/>
      <c r="Z1828" s="17"/>
      <c r="AA1828" s="17"/>
      <c r="AB1828" s="406">
        <f>AB1829</f>
        <v>0</v>
      </c>
      <c r="AC1828" s="406">
        <f>AC1829</f>
        <v>0</v>
      </c>
      <c r="AD1828" s="406"/>
      <c r="AE1828" s="406">
        <f t="shared" si="1087"/>
        <v>0</v>
      </c>
      <c r="AF1828" s="406">
        <f>AF1829</f>
        <v>0</v>
      </c>
      <c r="AG1828" s="406">
        <f>AG1829</f>
        <v>0</v>
      </c>
      <c r="AH1828" s="406">
        <f>AH1829</f>
        <v>871000</v>
      </c>
      <c r="AI1828" s="406">
        <f>AI1829</f>
        <v>0</v>
      </c>
      <c r="AJ1828" s="162" t="b">
        <f t="shared" si="1092"/>
        <v>1</v>
      </c>
      <c r="AK1828" s="162" t="str">
        <f t="shared" si="1093"/>
        <v>PRAZNO</v>
      </c>
      <c r="AM1828" s="164"/>
    </row>
    <row r="1829" spans="2:39" ht="15.75" x14ac:dyDescent="0.2">
      <c r="B1829" s="172">
        <v>4</v>
      </c>
      <c r="C1829" s="172"/>
      <c r="D1829" s="172"/>
      <c r="E1829" s="172"/>
      <c r="F1829" s="220"/>
      <c r="G1829" s="220"/>
      <c r="H1829" s="14" t="s">
        <v>552</v>
      </c>
      <c r="I1829" s="17"/>
      <c r="J1829" s="17"/>
      <c r="K1829" s="17"/>
      <c r="L1829" s="17"/>
      <c r="M1829" s="17"/>
      <c r="N1829" s="17"/>
      <c r="O1829" s="17"/>
      <c r="P1829" s="26"/>
      <c r="Q1829" s="17"/>
      <c r="R1829" s="17"/>
      <c r="S1829" s="17"/>
      <c r="T1829" s="307"/>
      <c r="U1829" s="20"/>
      <c r="V1829" s="17"/>
      <c r="W1829" s="17"/>
      <c r="X1829" s="17"/>
      <c r="Y1829" s="17"/>
      <c r="Z1829" s="17"/>
      <c r="AA1829" s="17"/>
      <c r="AB1829" s="20">
        <f t="shared" ref="AB1829:AI1830" si="1108">AB1830</f>
        <v>0</v>
      </c>
      <c r="AC1829" s="20">
        <f t="shared" si="1108"/>
        <v>0</v>
      </c>
      <c r="AD1829" s="20"/>
      <c r="AE1829" s="20">
        <f t="shared" si="1087"/>
        <v>0</v>
      </c>
      <c r="AF1829" s="20">
        <f t="shared" si="1108"/>
        <v>0</v>
      </c>
      <c r="AG1829" s="20">
        <f t="shared" si="1108"/>
        <v>0</v>
      </c>
      <c r="AH1829" s="20">
        <f t="shared" si="1108"/>
        <v>871000</v>
      </c>
      <c r="AI1829" s="20">
        <f t="shared" si="1108"/>
        <v>0</v>
      </c>
      <c r="AJ1829" s="162" t="b">
        <f t="shared" si="1092"/>
        <v>1</v>
      </c>
      <c r="AK1829" s="162" t="str">
        <f t="shared" si="1093"/>
        <v>PRAZNO</v>
      </c>
      <c r="AM1829" s="164"/>
    </row>
    <row r="1830" spans="2:39" ht="15.75" x14ac:dyDescent="0.2">
      <c r="B1830" s="177"/>
      <c r="C1830" s="177">
        <v>42</v>
      </c>
      <c r="D1830" s="177"/>
      <c r="E1830" s="177"/>
      <c r="F1830" s="176"/>
      <c r="G1830" s="176"/>
      <c r="H1830" s="41" t="s">
        <v>212</v>
      </c>
      <c r="I1830" s="17"/>
      <c r="J1830" s="17"/>
      <c r="K1830" s="17"/>
      <c r="L1830" s="17"/>
      <c r="M1830" s="17"/>
      <c r="N1830" s="17"/>
      <c r="O1830" s="17"/>
      <c r="P1830" s="26"/>
      <c r="Q1830" s="17"/>
      <c r="R1830" s="17"/>
      <c r="S1830" s="17"/>
      <c r="T1830" s="307"/>
      <c r="U1830" s="307"/>
      <c r="V1830" s="17"/>
      <c r="W1830" s="17"/>
      <c r="X1830" s="17"/>
      <c r="Y1830" s="17"/>
      <c r="Z1830" s="17"/>
      <c r="AA1830" s="17"/>
      <c r="AB1830" s="17">
        <f t="shared" si="1108"/>
        <v>0</v>
      </c>
      <c r="AC1830" s="17">
        <f t="shared" si="1108"/>
        <v>0</v>
      </c>
      <c r="AD1830" s="17"/>
      <c r="AE1830" s="17">
        <f t="shared" si="1087"/>
        <v>0</v>
      </c>
      <c r="AF1830" s="17">
        <f t="shared" si="1108"/>
        <v>0</v>
      </c>
      <c r="AG1830" s="17">
        <f t="shared" si="1108"/>
        <v>0</v>
      </c>
      <c r="AH1830" s="17">
        <f t="shared" si="1108"/>
        <v>871000</v>
      </c>
      <c r="AI1830" s="17">
        <f t="shared" si="1108"/>
        <v>0</v>
      </c>
      <c r="AJ1830" s="162" t="b">
        <f t="shared" si="1092"/>
        <v>1</v>
      </c>
      <c r="AK1830" s="162" t="str">
        <f t="shared" si="1093"/>
        <v>PRAZNO</v>
      </c>
      <c r="AM1830" s="164"/>
    </row>
    <row r="1831" spans="2:39" ht="15.75" x14ac:dyDescent="0.2">
      <c r="B1831" s="177"/>
      <c r="C1831" s="177"/>
      <c r="D1831" s="177">
        <v>421</v>
      </c>
      <c r="E1831" s="177"/>
      <c r="F1831" s="176"/>
      <c r="G1831" s="176"/>
      <c r="H1831" s="41" t="s">
        <v>759</v>
      </c>
      <c r="I1831" s="17"/>
      <c r="J1831" s="17"/>
      <c r="K1831" s="17"/>
      <c r="L1831" s="17"/>
      <c r="M1831" s="17"/>
      <c r="N1831" s="17"/>
      <c r="O1831" s="17"/>
      <c r="P1831" s="26"/>
      <c r="Q1831" s="17"/>
      <c r="R1831" s="17"/>
      <c r="S1831" s="17"/>
      <c r="T1831" s="307"/>
      <c r="U1831" s="307"/>
      <c r="V1831" s="17"/>
      <c r="W1831" s="17"/>
      <c r="X1831" s="17"/>
      <c r="Y1831" s="17"/>
      <c r="Z1831" s="17"/>
      <c r="AA1831" s="17"/>
      <c r="AB1831" s="17">
        <f>AB1832</f>
        <v>0</v>
      </c>
      <c r="AC1831" s="17">
        <f>AC1832</f>
        <v>0</v>
      </c>
      <c r="AD1831" s="17"/>
      <c r="AE1831" s="17">
        <f t="shared" si="1087"/>
        <v>0</v>
      </c>
      <c r="AF1831" s="17">
        <f>AF1832</f>
        <v>0</v>
      </c>
      <c r="AG1831" s="17">
        <f>AG1832</f>
        <v>0</v>
      </c>
      <c r="AH1831" s="17">
        <f>AH1832</f>
        <v>871000</v>
      </c>
      <c r="AI1831" s="17">
        <f>AI1832</f>
        <v>0</v>
      </c>
      <c r="AJ1831" s="162" t="b">
        <f t="shared" si="1092"/>
        <v>1</v>
      </c>
      <c r="AK1831" s="162" t="str">
        <f t="shared" si="1093"/>
        <v>PRAZNO</v>
      </c>
      <c r="AM1831" s="164"/>
    </row>
    <row r="1832" spans="2:39" ht="15.75" x14ac:dyDescent="0.2">
      <c r="B1832" s="177"/>
      <c r="C1832" s="177"/>
      <c r="D1832" s="177"/>
      <c r="E1832" s="177">
        <v>4212</v>
      </c>
      <c r="F1832" s="265">
        <v>54</v>
      </c>
      <c r="G1832" s="265"/>
      <c r="H1832" s="41" t="s">
        <v>649</v>
      </c>
      <c r="I1832" s="17"/>
      <c r="J1832" s="17"/>
      <c r="K1832" s="17"/>
      <c r="L1832" s="17"/>
      <c r="M1832" s="17"/>
      <c r="N1832" s="17"/>
      <c r="O1832" s="17"/>
      <c r="P1832" s="26"/>
      <c r="Q1832" s="17"/>
      <c r="R1832" s="17"/>
      <c r="S1832" s="17"/>
      <c r="T1832" s="307"/>
      <c r="U1832" s="30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>
        <f t="shared" si="1087"/>
        <v>0</v>
      </c>
      <c r="AF1832" s="17"/>
      <c r="AG1832" s="17"/>
      <c r="AH1832" s="17">
        <v>871000</v>
      </c>
      <c r="AI1832" s="17"/>
      <c r="AJ1832" s="162" t="b">
        <f t="shared" si="1092"/>
        <v>0</v>
      </c>
      <c r="AK1832" s="162" t="str">
        <f t="shared" si="1093"/>
        <v>PUNO</v>
      </c>
      <c r="AM1832" s="164"/>
    </row>
    <row r="1833" spans="2:39" ht="15.75" x14ac:dyDescent="0.2">
      <c r="B1833" s="209"/>
      <c r="C1833" s="209"/>
      <c r="D1833" s="209"/>
      <c r="E1833" s="209"/>
      <c r="F1833" s="219"/>
      <c r="G1833" s="219"/>
      <c r="H1833" s="244" t="s">
        <v>610</v>
      </c>
      <c r="I1833" s="17"/>
      <c r="J1833" s="17"/>
      <c r="K1833" s="17"/>
      <c r="L1833" s="17"/>
      <c r="M1833" s="17"/>
      <c r="N1833" s="17"/>
      <c r="O1833" s="17"/>
      <c r="P1833" s="26"/>
      <c r="Q1833" s="17"/>
      <c r="R1833" s="17"/>
      <c r="S1833" s="17"/>
      <c r="T1833" s="307"/>
      <c r="U1833" s="302">
        <f>U1834</f>
        <v>89000</v>
      </c>
      <c r="V1833" s="17"/>
      <c r="W1833" s="17"/>
      <c r="X1833" s="17"/>
      <c r="Y1833" s="17"/>
      <c r="Z1833" s="17"/>
      <c r="AA1833" s="17"/>
      <c r="AB1833" s="302"/>
      <c r="AC1833" s="302"/>
      <c r="AD1833" s="302"/>
      <c r="AE1833" s="302"/>
      <c r="AF1833" s="302"/>
      <c r="AG1833" s="302"/>
      <c r="AH1833" s="302"/>
      <c r="AI1833" s="302"/>
      <c r="AJ1833" s="162" t="b">
        <f t="shared" si="1092"/>
        <v>1</v>
      </c>
      <c r="AK1833" s="162" t="str">
        <f t="shared" si="1093"/>
        <v>PRAZNO</v>
      </c>
      <c r="AM1833" s="164"/>
    </row>
    <row r="1834" spans="2:39" ht="19.5" customHeight="1" x14ac:dyDescent="0.2">
      <c r="B1834" s="177"/>
      <c r="C1834" s="177"/>
      <c r="D1834" s="177"/>
      <c r="E1834" s="177"/>
      <c r="F1834" s="265"/>
      <c r="G1834" s="265"/>
      <c r="H1834" s="477" t="s">
        <v>830</v>
      </c>
      <c r="I1834" s="17"/>
      <c r="J1834" s="17"/>
      <c r="K1834" s="17"/>
      <c r="L1834" s="17"/>
      <c r="M1834" s="17"/>
      <c r="N1834" s="17"/>
      <c r="O1834" s="17"/>
      <c r="P1834" s="26"/>
      <c r="Q1834" s="17"/>
      <c r="R1834" s="17"/>
      <c r="S1834" s="17"/>
      <c r="T1834" s="307"/>
      <c r="U1834" s="307">
        <f>U1835</f>
        <v>89000</v>
      </c>
      <c r="V1834" s="17"/>
      <c r="W1834" s="17"/>
      <c r="X1834" s="17"/>
      <c r="Y1834" s="17"/>
      <c r="Z1834" s="17"/>
      <c r="AA1834" s="17"/>
      <c r="AB1834" s="406"/>
      <c r="AC1834" s="406"/>
      <c r="AD1834" s="406"/>
      <c r="AE1834" s="406"/>
      <c r="AF1834" s="406"/>
      <c r="AG1834" s="406"/>
      <c r="AH1834" s="406"/>
      <c r="AI1834" s="406"/>
      <c r="AJ1834" s="162" t="b">
        <f t="shared" si="1092"/>
        <v>1</v>
      </c>
      <c r="AK1834" s="162" t="str">
        <f t="shared" si="1093"/>
        <v>PRAZNO</v>
      </c>
      <c r="AM1834" s="164"/>
    </row>
    <row r="1835" spans="2:39" ht="15.75" x14ac:dyDescent="0.2">
      <c r="B1835" s="177">
        <v>4</v>
      </c>
      <c r="C1835" s="177"/>
      <c r="D1835" s="177"/>
      <c r="E1835" s="177"/>
      <c r="F1835" s="265"/>
      <c r="G1835" s="265"/>
      <c r="H1835" s="477" t="s">
        <v>552</v>
      </c>
      <c r="I1835" s="17"/>
      <c r="J1835" s="17"/>
      <c r="K1835" s="17"/>
      <c r="L1835" s="17"/>
      <c r="M1835" s="17"/>
      <c r="N1835" s="17"/>
      <c r="O1835" s="17"/>
      <c r="P1835" s="26"/>
      <c r="Q1835" s="17"/>
      <c r="R1835" s="17"/>
      <c r="S1835" s="17"/>
      <c r="T1835" s="307"/>
      <c r="U1835" s="307">
        <f>U1836</f>
        <v>89000</v>
      </c>
      <c r="V1835" s="17"/>
      <c r="W1835" s="17"/>
      <c r="X1835" s="17"/>
      <c r="Y1835" s="17"/>
      <c r="Z1835" s="17"/>
      <c r="AA1835" s="17"/>
      <c r="AB1835" s="406"/>
      <c r="AC1835" s="406"/>
      <c r="AD1835" s="406"/>
      <c r="AE1835" s="406"/>
      <c r="AF1835" s="406"/>
      <c r="AG1835" s="406"/>
      <c r="AH1835" s="406"/>
      <c r="AI1835" s="406"/>
      <c r="AJ1835" s="162" t="b">
        <f t="shared" si="1092"/>
        <v>1</v>
      </c>
      <c r="AK1835" s="162" t="str">
        <f t="shared" si="1093"/>
        <v>PRAZNO</v>
      </c>
      <c r="AM1835" s="164"/>
    </row>
    <row r="1836" spans="2:39" ht="31.5" x14ac:dyDescent="0.2">
      <c r="B1836" s="177"/>
      <c r="C1836" s="177">
        <v>42</v>
      </c>
      <c r="D1836" s="177"/>
      <c r="E1836" s="177"/>
      <c r="F1836" s="265"/>
      <c r="G1836" s="265"/>
      <c r="H1836" s="477" t="s">
        <v>212</v>
      </c>
      <c r="I1836" s="17"/>
      <c r="J1836" s="17"/>
      <c r="K1836" s="17"/>
      <c r="L1836" s="17"/>
      <c r="M1836" s="17"/>
      <c r="N1836" s="17"/>
      <c r="O1836" s="17"/>
      <c r="P1836" s="26"/>
      <c r="Q1836" s="17"/>
      <c r="R1836" s="17"/>
      <c r="S1836" s="17"/>
      <c r="T1836" s="307"/>
      <c r="U1836" s="307">
        <f>U1837</f>
        <v>89000</v>
      </c>
      <c r="V1836" s="17"/>
      <c r="W1836" s="17"/>
      <c r="X1836" s="17"/>
      <c r="Y1836" s="17"/>
      <c r="Z1836" s="17"/>
      <c r="AA1836" s="17"/>
      <c r="AB1836" s="406"/>
      <c r="AC1836" s="406"/>
      <c r="AD1836" s="406"/>
      <c r="AE1836" s="406"/>
      <c r="AF1836" s="406"/>
      <c r="AG1836" s="406"/>
      <c r="AH1836" s="406"/>
      <c r="AI1836" s="406"/>
      <c r="AJ1836" s="162" t="b">
        <f t="shared" si="1092"/>
        <v>1</v>
      </c>
      <c r="AK1836" s="162" t="str">
        <f t="shared" si="1093"/>
        <v>PRAZNO</v>
      </c>
      <c r="AM1836" s="164"/>
    </row>
    <row r="1837" spans="2:39" ht="15.75" x14ac:dyDescent="0.2">
      <c r="B1837" s="177"/>
      <c r="C1837" s="177"/>
      <c r="D1837" s="177">
        <v>421</v>
      </c>
      <c r="E1837" s="177"/>
      <c r="F1837" s="265"/>
      <c r="G1837" s="265"/>
      <c r="H1837" s="41" t="s">
        <v>759</v>
      </c>
      <c r="I1837" s="17"/>
      <c r="J1837" s="17"/>
      <c r="K1837" s="17"/>
      <c r="L1837" s="17"/>
      <c r="M1837" s="17"/>
      <c r="N1837" s="17"/>
      <c r="O1837" s="17"/>
      <c r="P1837" s="26"/>
      <c r="Q1837" s="17"/>
      <c r="R1837" s="17"/>
      <c r="S1837" s="17"/>
      <c r="T1837" s="307"/>
      <c r="U1837" s="307">
        <f>U1838</f>
        <v>89000</v>
      </c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62" t="b">
        <f t="shared" si="1092"/>
        <v>1</v>
      </c>
      <c r="AK1837" s="162" t="str">
        <f t="shared" si="1093"/>
        <v>PRAZNO</v>
      </c>
      <c r="AM1837" s="164"/>
    </row>
    <row r="1838" spans="2:39" ht="15.75" x14ac:dyDescent="0.2">
      <c r="B1838" s="177"/>
      <c r="C1838" s="177"/>
      <c r="D1838" s="177"/>
      <c r="E1838" s="177">
        <v>4212</v>
      </c>
      <c r="F1838" s="265">
        <v>54</v>
      </c>
      <c r="G1838" s="265"/>
      <c r="H1838" s="41" t="s">
        <v>649</v>
      </c>
      <c r="I1838" s="17"/>
      <c r="J1838" s="17"/>
      <c r="K1838" s="17"/>
      <c r="L1838" s="17"/>
      <c r="M1838" s="17"/>
      <c r="N1838" s="17"/>
      <c r="O1838" s="17"/>
      <c r="P1838" s="26"/>
      <c r="Q1838" s="17"/>
      <c r="R1838" s="17"/>
      <c r="S1838" s="17"/>
      <c r="T1838" s="307"/>
      <c r="U1838" s="307">
        <v>89000</v>
      </c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62" t="b">
        <f t="shared" si="1092"/>
        <v>0</v>
      </c>
      <c r="AK1838" s="162" t="str">
        <f t="shared" si="1093"/>
        <v>PUNO</v>
      </c>
      <c r="AM1838" s="164"/>
    </row>
    <row r="1839" spans="2:39" ht="15.75" x14ac:dyDescent="0.2">
      <c r="B1839" s="209"/>
      <c r="C1839" s="209"/>
      <c r="D1839" s="209"/>
      <c r="E1839" s="209"/>
      <c r="F1839" s="219"/>
      <c r="G1839" s="219"/>
      <c r="H1839" s="244" t="s">
        <v>942</v>
      </c>
      <c r="I1839" s="17"/>
      <c r="J1839" s="17"/>
      <c r="K1839" s="17"/>
      <c r="L1839" s="17"/>
      <c r="M1839" s="17"/>
      <c r="N1839" s="17"/>
      <c r="O1839" s="17"/>
      <c r="P1839" s="26"/>
      <c r="Q1839" s="17"/>
      <c r="R1839" s="17"/>
      <c r="S1839" s="17"/>
      <c r="T1839" s="307"/>
      <c r="U1839" s="302">
        <f>U1840</f>
        <v>124595.86</v>
      </c>
      <c r="V1839" s="17"/>
      <c r="W1839" s="17"/>
      <c r="X1839" s="17"/>
      <c r="Y1839" s="17"/>
      <c r="Z1839" s="17"/>
      <c r="AA1839" s="17"/>
      <c r="AB1839" s="302"/>
      <c r="AC1839" s="302"/>
      <c r="AD1839" s="302"/>
      <c r="AE1839" s="302"/>
      <c r="AF1839" s="302"/>
      <c r="AG1839" s="302"/>
      <c r="AH1839" s="302"/>
      <c r="AI1839" s="302"/>
      <c r="AJ1839" s="162" t="b">
        <f t="shared" si="1092"/>
        <v>1</v>
      </c>
      <c r="AK1839" s="162" t="str">
        <f t="shared" si="1093"/>
        <v>PRAZNO</v>
      </c>
      <c r="AM1839" s="164"/>
    </row>
    <row r="1840" spans="2:39" ht="15.75" x14ac:dyDescent="0.2">
      <c r="B1840" s="177"/>
      <c r="C1840" s="177"/>
      <c r="D1840" s="177"/>
      <c r="E1840" s="177"/>
      <c r="F1840" s="265"/>
      <c r="G1840" s="265"/>
      <c r="H1840" s="477" t="s">
        <v>830</v>
      </c>
      <c r="I1840" s="17"/>
      <c r="J1840" s="17"/>
      <c r="K1840" s="17"/>
      <c r="L1840" s="17"/>
      <c r="M1840" s="17"/>
      <c r="N1840" s="17"/>
      <c r="O1840" s="17"/>
      <c r="P1840" s="26"/>
      <c r="Q1840" s="17"/>
      <c r="R1840" s="17"/>
      <c r="S1840" s="17"/>
      <c r="T1840" s="307"/>
      <c r="U1840" s="307">
        <f>U1841</f>
        <v>124595.86</v>
      </c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62" t="b">
        <f t="shared" si="1092"/>
        <v>1</v>
      </c>
      <c r="AK1840" s="162" t="str">
        <f t="shared" si="1093"/>
        <v>PRAZNO</v>
      </c>
      <c r="AM1840" s="164"/>
    </row>
    <row r="1841" spans="2:39" ht="15.75" x14ac:dyDescent="0.2">
      <c r="B1841" s="177">
        <v>4</v>
      </c>
      <c r="C1841" s="177"/>
      <c r="D1841" s="177"/>
      <c r="E1841" s="177"/>
      <c r="F1841" s="265"/>
      <c r="G1841" s="265"/>
      <c r="H1841" s="477" t="s">
        <v>552</v>
      </c>
      <c r="I1841" s="17"/>
      <c r="J1841" s="17"/>
      <c r="K1841" s="17"/>
      <c r="L1841" s="17"/>
      <c r="M1841" s="17"/>
      <c r="N1841" s="17"/>
      <c r="O1841" s="17"/>
      <c r="P1841" s="26"/>
      <c r="Q1841" s="17"/>
      <c r="R1841" s="17"/>
      <c r="S1841" s="17"/>
      <c r="T1841" s="307"/>
      <c r="U1841" s="307">
        <f>U1842</f>
        <v>124595.86</v>
      </c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62" t="b">
        <f t="shared" si="1092"/>
        <v>1</v>
      </c>
      <c r="AK1841" s="162" t="str">
        <f t="shared" si="1093"/>
        <v>PRAZNO</v>
      </c>
      <c r="AM1841" s="164"/>
    </row>
    <row r="1842" spans="2:39" ht="31.5" x14ac:dyDescent="0.2">
      <c r="B1842" s="177"/>
      <c r="C1842" s="177">
        <v>42</v>
      </c>
      <c r="D1842" s="177"/>
      <c r="E1842" s="177"/>
      <c r="F1842" s="265"/>
      <c r="G1842" s="265"/>
      <c r="H1842" s="477" t="s">
        <v>212</v>
      </c>
      <c r="I1842" s="17"/>
      <c r="J1842" s="17"/>
      <c r="K1842" s="17"/>
      <c r="L1842" s="17"/>
      <c r="M1842" s="17"/>
      <c r="N1842" s="17"/>
      <c r="O1842" s="17"/>
      <c r="P1842" s="26"/>
      <c r="Q1842" s="17"/>
      <c r="R1842" s="17"/>
      <c r="S1842" s="17"/>
      <c r="T1842" s="307"/>
      <c r="U1842" s="307">
        <f>U1843</f>
        <v>124595.86</v>
      </c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62" t="b">
        <f t="shared" si="1092"/>
        <v>1</v>
      </c>
      <c r="AK1842" s="162" t="str">
        <f t="shared" si="1093"/>
        <v>PRAZNO</v>
      </c>
      <c r="AM1842" s="164"/>
    </row>
    <row r="1843" spans="2:39" ht="15.75" x14ac:dyDescent="0.2">
      <c r="B1843" s="177"/>
      <c r="C1843" s="177"/>
      <c r="D1843" s="177">
        <v>421</v>
      </c>
      <c r="E1843" s="177"/>
      <c r="F1843" s="265"/>
      <c r="G1843" s="265"/>
      <c r="H1843" s="41" t="s">
        <v>759</v>
      </c>
      <c r="I1843" s="17"/>
      <c r="J1843" s="17"/>
      <c r="K1843" s="17"/>
      <c r="L1843" s="17"/>
      <c r="M1843" s="17"/>
      <c r="N1843" s="17"/>
      <c r="O1843" s="17"/>
      <c r="P1843" s="26"/>
      <c r="Q1843" s="17"/>
      <c r="R1843" s="17"/>
      <c r="S1843" s="17"/>
      <c r="T1843" s="307"/>
      <c r="U1843" s="307">
        <f>U1844</f>
        <v>124595.86</v>
      </c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62" t="b">
        <f t="shared" si="1092"/>
        <v>1</v>
      </c>
      <c r="AK1843" s="162" t="str">
        <f t="shared" si="1093"/>
        <v>PRAZNO</v>
      </c>
      <c r="AM1843" s="164"/>
    </row>
    <row r="1844" spans="2:39" ht="15.75" x14ac:dyDescent="0.2">
      <c r="B1844" s="177"/>
      <c r="C1844" s="177"/>
      <c r="D1844" s="177"/>
      <c r="E1844" s="177">
        <v>4212</v>
      </c>
      <c r="F1844" s="265">
        <v>54</v>
      </c>
      <c r="G1844" s="265"/>
      <c r="H1844" s="41" t="s">
        <v>649</v>
      </c>
      <c r="I1844" s="17"/>
      <c r="J1844" s="17"/>
      <c r="K1844" s="17"/>
      <c r="L1844" s="17"/>
      <c r="M1844" s="17"/>
      <c r="N1844" s="17"/>
      <c r="O1844" s="17"/>
      <c r="P1844" s="26"/>
      <c r="Q1844" s="17"/>
      <c r="R1844" s="17"/>
      <c r="S1844" s="17"/>
      <c r="T1844" s="307"/>
      <c r="U1844" s="307">
        <v>124595.86</v>
      </c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62" t="b">
        <f t="shared" si="1092"/>
        <v>0</v>
      </c>
      <c r="AK1844" s="162" t="str">
        <f t="shared" si="1093"/>
        <v>PUNO</v>
      </c>
      <c r="AM1844" s="164"/>
    </row>
    <row r="1845" spans="2:39" ht="31.5" x14ac:dyDescent="0.2">
      <c r="B1845" s="209"/>
      <c r="C1845" s="209"/>
      <c r="D1845" s="209"/>
      <c r="E1845" s="209"/>
      <c r="F1845" s="219"/>
      <c r="G1845" s="219"/>
      <c r="H1845" s="244" t="s">
        <v>615</v>
      </c>
      <c r="I1845" s="17"/>
      <c r="J1845" s="17"/>
      <c r="K1845" s="17"/>
      <c r="L1845" s="17"/>
      <c r="M1845" s="17"/>
      <c r="N1845" s="17"/>
      <c r="O1845" s="17"/>
      <c r="P1845" s="26"/>
      <c r="Q1845" s="17"/>
      <c r="R1845" s="17"/>
      <c r="S1845" s="17"/>
      <c r="T1845" s="307"/>
      <c r="U1845" s="302">
        <f t="shared" ref="U1845:AA1845" si="1109">U1847</f>
        <v>0</v>
      </c>
      <c r="V1845" s="302">
        <f t="shared" si="1109"/>
        <v>0</v>
      </c>
      <c r="W1845" s="302">
        <f t="shared" si="1109"/>
        <v>0</v>
      </c>
      <c r="X1845" s="302">
        <f t="shared" si="1109"/>
        <v>0</v>
      </c>
      <c r="Y1845" s="302">
        <f t="shared" si="1109"/>
        <v>0</v>
      </c>
      <c r="Z1845" s="302">
        <f t="shared" si="1109"/>
        <v>0</v>
      </c>
      <c r="AA1845" s="302">
        <f t="shared" si="1109"/>
        <v>0</v>
      </c>
      <c r="AB1845" s="302">
        <f>AB1847</f>
        <v>0</v>
      </c>
      <c r="AC1845" s="302">
        <f>AC1847</f>
        <v>0</v>
      </c>
      <c r="AD1845" s="302"/>
      <c r="AE1845" s="302">
        <f t="shared" si="1087"/>
        <v>0</v>
      </c>
      <c r="AF1845" s="302">
        <f>AF1847</f>
        <v>0</v>
      </c>
      <c r="AG1845" s="302">
        <f>AG1847</f>
        <v>0</v>
      </c>
      <c r="AH1845" s="302">
        <f>AH1847</f>
        <v>600000</v>
      </c>
      <c r="AI1845" s="302">
        <f>AI1847</f>
        <v>0</v>
      </c>
      <c r="AJ1845" s="162" t="b">
        <f t="shared" si="1092"/>
        <v>1</v>
      </c>
      <c r="AK1845" s="162" t="str">
        <f t="shared" si="1093"/>
        <v>PRAZNO</v>
      </c>
      <c r="AM1845" s="164"/>
    </row>
    <row r="1846" spans="2:39" ht="15.75" x14ac:dyDescent="0.2">
      <c r="B1846" s="177"/>
      <c r="C1846" s="177"/>
      <c r="D1846" s="177"/>
      <c r="E1846" s="177"/>
      <c r="F1846" s="265"/>
      <c r="G1846" s="265"/>
      <c r="H1846" s="477" t="s">
        <v>830</v>
      </c>
      <c r="I1846" s="17"/>
      <c r="J1846" s="17"/>
      <c r="K1846" s="17"/>
      <c r="L1846" s="17"/>
      <c r="M1846" s="17"/>
      <c r="N1846" s="17"/>
      <c r="O1846" s="17"/>
      <c r="P1846" s="26"/>
      <c r="Q1846" s="17"/>
      <c r="R1846" s="17"/>
      <c r="S1846" s="17"/>
      <c r="T1846" s="307"/>
      <c r="U1846" s="406">
        <f t="shared" ref="U1846:AI1848" si="1110">U1847</f>
        <v>0</v>
      </c>
      <c r="V1846" s="406">
        <f t="shared" si="1110"/>
        <v>0</v>
      </c>
      <c r="W1846" s="406">
        <f t="shared" si="1110"/>
        <v>0</v>
      </c>
      <c r="X1846" s="406">
        <f t="shared" si="1110"/>
        <v>0</v>
      </c>
      <c r="Y1846" s="406">
        <f t="shared" si="1110"/>
        <v>0</v>
      </c>
      <c r="Z1846" s="406">
        <f t="shared" si="1110"/>
        <v>0</v>
      </c>
      <c r="AA1846" s="406">
        <f t="shared" si="1110"/>
        <v>0</v>
      </c>
      <c r="AB1846" s="406">
        <f>AB1847</f>
        <v>0</v>
      </c>
      <c r="AC1846" s="406">
        <f>AC1847</f>
        <v>0</v>
      </c>
      <c r="AD1846" s="406"/>
      <c r="AE1846" s="406">
        <f t="shared" si="1087"/>
        <v>0</v>
      </c>
      <c r="AF1846" s="406">
        <f>AF1847</f>
        <v>0</v>
      </c>
      <c r="AG1846" s="406">
        <f>AG1847</f>
        <v>0</v>
      </c>
      <c r="AH1846" s="406">
        <f>AH1847</f>
        <v>600000</v>
      </c>
      <c r="AI1846" s="406">
        <f>AI1847</f>
        <v>0</v>
      </c>
      <c r="AJ1846" s="162" t="b">
        <f t="shared" si="1092"/>
        <v>1</v>
      </c>
      <c r="AK1846" s="162" t="str">
        <f t="shared" si="1093"/>
        <v>PRAZNO</v>
      </c>
      <c r="AM1846" s="164"/>
    </row>
    <row r="1847" spans="2:39" ht="15.75" x14ac:dyDescent="0.2">
      <c r="B1847" s="172">
        <v>4</v>
      </c>
      <c r="C1847" s="172"/>
      <c r="D1847" s="172"/>
      <c r="E1847" s="172"/>
      <c r="F1847" s="220"/>
      <c r="G1847" s="220"/>
      <c r="H1847" s="14" t="s">
        <v>552</v>
      </c>
      <c r="I1847" s="17"/>
      <c r="J1847" s="17"/>
      <c r="K1847" s="17"/>
      <c r="L1847" s="17"/>
      <c r="M1847" s="17"/>
      <c r="N1847" s="17"/>
      <c r="O1847" s="17"/>
      <c r="P1847" s="26"/>
      <c r="Q1847" s="17"/>
      <c r="R1847" s="17"/>
      <c r="S1847" s="17"/>
      <c r="T1847" s="307"/>
      <c r="U1847" s="20">
        <f t="shared" si="1110"/>
        <v>0</v>
      </c>
      <c r="V1847" s="20">
        <f t="shared" si="1110"/>
        <v>0</v>
      </c>
      <c r="W1847" s="20">
        <f t="shared" si="1110"/>
        <v>0</v>
      </c>
      <c r="X1847" s="20">
        <f t="shared" si="1110"/>
        <v>0</v>
      </c>
      <c r="Y1847" s="20">
        <f t="shared" si="1110"/>
        <v>0</v>
      </c>
      <c r="Z1847" s="20">
        <f t="shared" si="1110"/>
        <v>0</v>
      </c>
      <c r="AA1847" s="20">
        <f t="shared" si="1110"/>
        <v>0</v>
      </c>
      <c r="AB1847" s="20">
        <f t="shared" si="1110"/>
        <v>0</v>
      </c>
      <c r="AC1847" s="20">
        <f t="shared" si="1110"/>
        <v>0</v>
      </c>
      <c r="AD1847" s="20"/>
      <c r="AE1847" s="20">
        <f t="shared" si="1087"/>
        <v>0</v>
      </c>
      <c r="AF1847" s="20">
        <f t="shared" si="1110"/>
        <v>0</v>
      </c>
      <c r="AG1847" s="20">
        <f t="shared" si="1110"/>
        <v>0</v>
      </c>
      <c r="AH1847" s="20">
        <f t="shared" si="1110"/>
        <v>600000</v>
      </c>
      <c r="AI1847" s="20">
        <f t="shared" si="1110"/>
        <v>0</v>
      </c>
      <c r="AJ1847" s="162" t="b">
        <f t="shared" si="1092"/>
        <v>1</v>
      </c>
      <c r="AK1847" s="162" t="str">
        <f t="shared" si="1093"/>
        <v>PRAZNO</v>
      </c>
      <c r="AM1847" s="164"/>
    </row>
    <row r="1848" spans="2:39" ht="15.75" x14ac:dyDescent="0.2">
      <c r="B1848" s="177"/>
      <c r="C1848" s="177">
        <v>42</v>
      </c>
      <c r="D1848" s="177"/>
      <c r="E1848" s="177"/>
      <c r="F1848" s="176"/>
      <c r="G1848" s="176"/>
      <c r="H1848" s="41" t="s">
        <v>212</v>
      </c>
      <c r="I1848" s="17"/>
      <c r="J1848" s="17"/>
      <c r="K1848" s="17"/>
      <c r="L1848" s="17"/>
      <c r="M1848" s="17"/>
      <c r="N1848" s="17"/>
      <c r="O1848" s="17"/>
      <c r="P1848" s="26"/>
      <c r="Q1848" s="17"/>
      <c r="R1848" s="17"/>
      <c r="S1848" s="17"/>
      <c r="T1848" s="307"/>
      <c r="U1848" s="307"/>
      <c r="V1848" s="17"/>
      <c r="W1848" s="17"/>
      <c r="X1848" s="17"/>
      <c r="Y1848" s="17"/>
      <c r="Z1848" s="17"/>
      <c r="AA1848" s="17"/>
      <c r="AB1848" s="17">
        <f t="shared" si="1110"/>
        <v>0</v>
      </c>
      <c r="AC1848" s="17">
        <f t="shared" si="1110"/>
        <v>0</v>
      </c>
      <c r="AD1848" s="17"/>
      <c r="AE1848" s="17">
        <f t="shared" si="1087"/>
        <v>0</v>
      </c>
      <c r="AF1848" s="17">
        <f t="shared" si="1110"/>
        <v>0</v>
      </c>
      <c r="AG1848" s="17">
        <f t="shared" si="1110"/>
        <v>0</v>
      </c>
      <c r="AH1848" s="17">
        <f t="shared" si="1110"/>
        <v>600000</v>
      </c>
      <c r="AI1848" s="17">
        <f t="shared" si="1110"/>
        <v>0</v>
      </c>
      <c r="AJ1848" s="162" t="b">
        <f t="shared" si="1092"/>
        <v>1</v>
      </c>
      <c r="AK1848" s="162" t="str">
        <f t="shared" si="1093"/>
        <v>PRAZNO</v>
      </c>
      <c r="AM1848" s="164"/>
    </row>
    <row r="1849" spans="2:39" ht="15.75" x14ac:dyDescent="0.2">
      <c r="B1849" s="177"/>
      <c r="C1849" s="177"/>
      <c r="D1849" s="177">
        <v>421</v>
      </c>
      <c r="E1849" s="177"/>
      <c r="F1849" s="176"/>
      <c r="G1849" s="176"/>
      <c r="H1849" s="41" t="s">
        <v>759</v>
      </c>
      <c r="I1849" s="17"/>
      <c r="J1849" s="17"/>
      <c r="K1849" s="17"/>
      <c r="L1849" s="17"/>
      <c r="M1849" s="17"/>
      <c r="N1849" s="17"/>
      <c r="O1849" s="17"/>
      <c r="P1849" s="26"/>
      <c r="Q1849" s="17"/>
      <c r="R1849" s="17"/>
      <c r="S1849" s="17"/>
      <c r="T1849" s="307"/>
      <c r="U1849" s="307"/>
      <c r="V1849" s="17"/>
      <c r="W1849" s="17"/>
      <c r="X1849" s="17"/>
      <c r="Y1849" s="17"/>
      <c r="Z1849" s="17"/>
      <c r="AA1849" s="17"/>
      <c r="AB1849" s="17">
        <f>AB1850</f>
        <v>0</v>
      </c>
      <c r="AC1849" s="17">
        <f>AC1850</f>
        <v>0</v>
      </c>
      <c r="AD1849" s="17"/>
      <c r="AE1849" s="17">
        <f t="shared" si="1087"/>
        <v>0</v>
      </c>
      <c r="AF1849" s="17">
        <f>AF1850</f>
        <v>0</v>
      </c>
      <c r="AG1849" s="17">
        <f>AG1850</f>
        <v>0</v>
      </c>
      <c r="AH1849" s="17">
        <f>AH1850</f>
        <v>600000</v>
      </c>
      <c r="AI1849" s="17">
        <f>AI1850</f>
        <v>0</v>
      </c>
      <c r="AJ1849" s="162" t="b">
        <f t="shared" si="1092"/>
        <v>1</v>
      </c>
      <c r="AK1849" s="162" t="str">
        <f t="shared" si="1093"/>
        <v>PRAZNO</v>
      </c>
      <c r="AM1849" s="164"/>
    </row>
    <row r="1850" spans="2:39" ht="15.75" x14ac:dyDescent="0.2">
      <c r="B1850" s="177"/>
      <c r="C1850" s="177"/>
      <c r="D1850" s="177"/>
      <c r="E1850" s="177">
        <v>4212</v>
      </c>
      <c r="F1850" s="265">
        <v>54</v>
      </c>
      <c r="G1850" s="265"/>
      <c r="H1850" s="41" t="s">
        <v>649</v>
      </c>
      <c r="I1850" s="17"/>
      <c r="J1850" s="17"/>
      <c r="K1850" s="17"/>
      <c r="L1850" s="17"/>
      <c r="M1850" s="17"/>
      <c r="N1850" s="17"/>
      <c r="O1850" s="17"/>
      <c r="P1850" s="26"/>
      <c r="Q1850" s="17"/>
      <c r="R1850" s="17"/>
      <c r="S1850" s="17"/>
      <c r="T1850" s="307"/>
      <c r="U1850" s="30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>
        <f t="shared" si="1087"/>
        <v>0</v>
      </c>
      <c r="AF1850" s="17"/>
      <c r="AG1850" s="17"/>
      <c r="AH1850" s="17">
        <v>600000</v>
      </c>
      <c r="AI1850" s="17"/>
      <c r="AJ1850" s="162" t="b">
        <f t="shared" si="1092"/>
        <v>0</v>
      </c>
      <c r="AK1850" s="162" t="str">
        <f t="shared" si="1093"/>
        <v>PUNO</v>
      </c>
      <c r="AM1850" s="164"/>
    </row>
    <row r="1851" spans="2:39" ht="31.5" x14ac:dyDescent="0.2">
      <c r="B1851" s="209"/>
      <c r="C1851" s="209"/>
      <c r="D1851" s="209"/>
      <c r="E1851" s="209"/>
      <c r="F1851" s="219"/>
      <c r="G1851" s="219"/>
      <c r="H1851" s="244" t="s">
        <v>145</v>
      </c>
      <c r="I1851" s="17"/>
      <c r="J1851" s="17"/>
      <c r="K1851" s="17"/>
      <c r="L1851" s="17"/>
      <c r="M1851" s="17"/>
      <c r="N1851" s="17"/>
      <c r="O1851" s="17"/>
      <c r="P1851" s="26"/>
      <c r="Q1851" s="17"/>
      <c r="R1851" s="17"/>
      <c r="S1851" s="17"/>
      <c r="T1851" s="307"/>
      <c r="U1851" s="302">
        <f t="shared" ref="U1851:AA1851" si="1111">U1853</f>
        <v>0</v>
      </c>
      <c r="V1851" s="302">
        <f t="shared" si="1111"/>
        <v>0</v>
      </c>
      <c r="W1851" s="302">
        <f t="shared" si="1111"/>
        <v>0</v>
      </c>
      <c r="X1851" s="302">
        <f t="shared" si="1111"/>
        <v>0</v>
      </c>
      <c r="Y1851" s="302">
        <f t="shared" si="1111"/>
        <v>0</v>
      </c>
      <c r="Z1851" s="302">
        <f t="shared" si="1111"/>
        <v>0</v>
      </c>
      <c r="AA1851" s="302">
        <f t="shared" si="1111"/>
        <v>0</v>
      </c>
      <c r="AB1851" s="302">
        <f>AB1853</f>
        <v>0</v>
      </c>
      <c r="AC1851" s="302">
        <f>AC1853</f>
        <v>0</v>
      </c>
      <c r="AD1851" s="302"/>
      <c r="AE1851" s="302">
        <f t="shared" si="1087"/>
        <v>0</v>
      </c>
      <c r="AF1851" s="302">
        <f>AF1853</f>
        <v>0</v>
      </c>
      <c r="AG1851" s="302">
        <f>AG1853</f>
        <v>0</v>
      </c>
      <c r="AH1851" s="302">
        <f>AH1853</f>
        <v>0</v>
      </c>
      <c r="AI1851" s="302">
        <f>AI1853</f>
        <v>1000000</v>
      </c>
      <c r="AJ1851" s="162" t="b">
        <f t="shared" si="1092"/>
        <v>1</v>
      </c>
      <c r="AK1851" s="162" t="str">
        <f t="shared" si="1093"/>
        <v>PRAZNO</v>
      </c>
      <c r="AM1851" s="164"/>
    </row>
    <row r="1852" spans="2:39" ht="15.75" x14ac:dyDescent="0.2">
      <c r="B1852" s="177"/>
      <c r="C1852" s="177"/>
      <c r="D1852" s="177"/>
      <c r="E1852" s="177"/>
      <c r="F1852" s="265"/>
      <c r="G1852" s="265"/>
      <c r="H1852" s="477" t="s">
        <v>830</v>
      </c>
      <c r="I1852" s="17"/>
      <c r="J1852" s="17"/>
      <c r="K1852" s="17"/>
      <c r="L1852" s="17"/>
      <c r="M1852" s="17"/>
      <c r="N1852" s="17"/>
      <c r="O1852" s="17"/>
      <c r="P1852" s="26"/>
      <c r="Q1852" s="17"/>
      <c r="R1852" s="17"/>
      <c r="S1852" s="17"/>
      <c r="T1852" s="307"/>
      <c r="U1852" s="406">
        <f t="shared" ref="U1852:AI1854" si="1112">U1853</f>
        <v>0</v>
      </c>
      <c r="V1852" s="406">
        <f t="shared" si="1112"/>
        <v>0</v>
      </c>
      <c r="W1852" s="406">
        <f t="shared" si="1112"/>
        <v>0</v>
      </c>
      <c r="X1852" s="406">
        <f t="shared" si="1112"/>
        <v>0</v>
      </c>
      <c r="Y1852" s="406">
        <f t="shared" si="1112"/>
        <v>0</v>
      </c>
      <c r="Z1852" s="406">
        <f t="shared" si="1112"/>
        <v>0</v>
      </c>
      <c r="AA1852" s="406">
        <f t="shared" si="1112"/>
        <v>0</v>
      </c>
      <c r="AB1852" s="406">
        <f>AB1853</f>
        <v>0</v>
      </c>
      <c r="AC1852" s="406">
        <f>AC1853</f>
        <v>0</v>
      </c>
      <c r="AD1852" s="406"/>
      <c r="AE1852" s="406">
        <f t="shared" si="1087"/>
        <v>0</v>
      </c>
      <c r="AF1852" s="406">
        <f>AF1853</f>
        <v>0</v>
      </c>
      <c r="AG1852" s="406">
        <f>AG1853</f>
        <v>0</v>
      </c>
      <c r="AH1852" s="406">
        <f>AH1853</f>
        <v>0</v>
      </c>
      <c r="AI1852" s="406">
        <f>AI1853</f>
        <v>1000000</v>
      </c>
      <c r="AJ1852" s="162" t="b">
        <f t="shared" si="1092"/>
        <v>1</v>
      </c>
      <c r="AK1852" s="162" t="str">
        <f t="shared" si="1093"/>
        <v>PRAZNO</v>
      </c>
      <c r="AM1852" s="164"/>
    </row>
    <row r="1853" spans="2:39" ht="15.75" x14ac:dyDescent="0.2">
      <c r="B1853" s="172">
        <v>4</v>
      </c>
      <c r="C1853" s="172"/>
      <c r="D1853" s="172"/>
      <c r="E1853" s="172"/>
      <c r="F1853" s="220"/>
      <c r="G1853" s="220"/>
      <c r="H1853" s="14" t="s">
        <v>552</v>
      </c>
      <c r="I1853" s="17"/>
      <c r="J1853" s="17"/>
      <c r="K1853" s="17"/>
      <c r="L1853" s="17"/>
      <c r="M1853" s="17"/>
      <c r="N1853" s="17"/>
      <c r="O1853" s="17"/>
      <c r="P1853" s="26"/>
      <c r="Q1853" s="17"/>
      <c r="R1853" s="17"/>
      <c r="S1853" s="17"/>
      <c r="T1853" s="307"/>
      <c r="U1853" s="20">
        <f t="shared" si="1112"/>
        <v>0</v>
      </c>
      <c r="V1853" s="20">
        <f t="shared" si="1112"/>
        <v>0</v>
      </c>
      <c r="W1853" s="20">
        <f t="shared" si="1112"/>
        <v>0</v>
      </c>
      <c r="X1853" s="20">
        <f t="shared" si="1112"/>
        <v>0</v>
      </c>
      <c r="Y1853" s="20">
        <f t="shared" si="1112"/>
        <v>0</v>
      </c>
      <c r="Z1853" s="20">
        <f t="shared" si="1112"/>
        <v>0</v>
      </c>
      <c r="AA1853" s="20">
        <f t="shared" si="1112"/>
        <v>0</v>
      </c>
      <c r="AB1853" s="20">
        <f t="shared" si="1112"/>
        <v>0</v>
      </c>
      <c r="AC1853" s="20">
        <f t="shared" si="1112"/>
        <v>0</v>
      </c>
      <c r="AD1853" s="20"/>
      <c r="AE1853" s="20">
        <f t="shared" si="1087"/>
        <v>0</v>
      </c>
      <c r="AF1853" s="20">
        <f t="shared" si="1112"/>
        <v>0</v>
      </c>
      <c r="AG1853" s="20">
        <f t="shared" si="1112"/>
        <v>0</v>
      </c>
      <c r="AH1853" s="20">
        <f t="shared" si="1112"/>
        <v>0</v>
      </c>
      <c r="AI1853" s="20">
        <f t="shared" si="1112"/>
        <v>1000000</v>
      </c>
      <c r="AJ1853" s="162" t="b">
        <f t="shared" si="1092"/>
        <v>1</v>
      </c>
      <c r="AK1853" s="162" t="str">
        <f t="shared" si="1093"/>
        <v>PRAZNO</v>
      </c>
      <c r="AM1853" s="164"/>
    </row>
    <row r="1854" spans="2:39" ht="15.75" x14ac:dyDescent="0.2">
      <c r="B1854" s="177"/>
      <c r="C1854" s="177">
        <v>42</v>
      </c>
      <c r="D1854" s="177"/>
      <c r="E1854" s="177"/>
      <c r="F1854" s="176"/>
      <c r="G1854" s="176"/>
      <c r="H1854" s="41" t="s">
        <v>212</v>
      </c>
      <c r="I1854" s="17"/>
      <c r="J1854" s="17"/>
      <c r="K1854" s="17"/>
      <c r="L1854" s="17"/>
      <c r="M1854" s="17"/>
      <c r="N1854" s="17"/>
      <c r="O1854" s="17"/>
      <c r="P1854" s="26"/>
      <c r="Q1854" s="17"/>
      <c r="R1854" s="17"/>
      <c r="S1854" s="17"/>
      <c r="T1854" s="307"/>
      <c r="U1854" s="307"/>
      <c r="V1854" s="17"/>
      <c r="W1854" s="17"/>
      <c r="X1854" s="17"/>
      <c r="Y1854" s="17"/>
      <c r="Z1854" s="17"/>
      <c r="AA1854" s="17"/>
      <c r="AB1854" s="17">
        <f t="shared" si="1112"/>
        <v>0</v>
      </c>
      <c r="AC1854" s="17">
        <f t="shared" si="1112"/>
        <v>0</v>
      </c>
      <c r="AD1854" s="17"/>
      <c r="AE1854" s="17">
        <f t="shared" si="1087"/>
        <v>0</v>
      </c>
      <c r="AF1854" s="17">
        <f t="shared" si="1112"/>
        <v>0</v>
      </c>
      <c r="AG1854" s="17">
        <f t="shared" si="1112"/>
        <v>0</v>
      </c>
      <c r="AH1854" s="17">
        <f t="shared" si="1112"/>
        <v>0</v>
      </c>
      <c r="AI1854" s="17">
        <f t="shared" si="1112"/>
        <v>1000000</v>
      </c>
      <c r="AJ1854" s="162" t="b">
        <f t="shared" si="1092"/>
        <v>1</v>
      </c>
      <c r="AK1854" s="162" t="str">
        <f t="shared" si="1093"/>
        <v>PRAZNO</v>
      </c>
      <c r="AM1854" s="164"/>
    </row>
    <row r="1855" spans="2:39" ht="15.75" x14ac:dyDescent="0.2">
      <c r="B1855" s="177"/>
      <c r="C1855" s="177"/>
      <c r="D1855" s="177">
        <v>421</v>
      </c>
      <c r="E1855" s="177"/>
      <c r="F1855" s="176"/>
      <c r="G1855" s="176"/>
      <c r="H1855" s="41" t="s">
        <v>759</v>
      </c>
      <c r="I1855" s="17"/>
      <c r="J1855" s="17"/>
      <c r="K1855" s="17"/>
      <c r="L1855" s="17"/>
      <c r="M1855" s="17"/>
      <c r="N1855" s="17"/>
      <c r="O1855" s="17"/>
      <c r="P1855" s="26"/>
      <c r="Q1855" s="17"/>
      <c r="R1855" s="17"/>
      <c r="S1855" s="17"/>
      <c r="T1855" s="307"/>
      <c r="U1855" s="307"/>
      <c r="V1855" s="17"/>
      <c r="W1855" s="17"/>
      <c r="X1855" s="17"/>
      <c r="Y1855" s="17"/>
      <c r="Z1855" s="17"/>
      <c r="AA1855" s="17"/>
      <c r="AB1855" s="17">
        <f>AB1856</f>
        <v>0</v>
      </c>
      <c r="AC1855" s="17">
        <f>AC1856</f>
        <v>0</v>
      </c>
      <c r="AD1855" s="17"/>
      <c r="AE1855" s="17">
        <f t="shared" si="1087"/>
        <v>0</v>
      </c>
      <c r="AF1855" s="17">
        <f>AF1856</f>
        <v>0</v>
      </c>
      <c r="AG1855" s="17">
        <f>AG1856</f>
        <v>0</v>
      </c>
      <c r="AH1855" s="17">
        <f>AH1856</f>
        <v>0</v>
      </c>
      <c r="AI1855" s="17">
        <f>AI1856</f>
        <v>1000000</v>
      </c>
      <c r="AJ1855" s="162" t="b">
        <f t="shared" si="1092"/>
        <v>1</v>
      </c>
      <c r="AK1855" s="162" t="str">
        <f t="shared" si="1093"/>
        <v>PRAZNO</v>
      </c>
      <c r="AM1855" s="164"/>
    </row>
    <row r="1856" spans="2:39" ht="15.75" x14ac:dyDescent="0.2">
      <c r="B1856" s="177"/>
      <c r="C1856" s="177"/>
      <c r="D1856" s="177"/>
      <c r="E1856" s="177">
        <v>4212</v>
      </c>
      <c r="F1856" s="265">
        <v>54</v>
      </c>
      <c r="G1856" s="265"/>
      <c r="H1856" s="41" t="s">
        <v>649</v>
      </c>
      <c r="I1856" s="17"/>
      <c r="J1856" s="17"/>
      <c r="K1856" s="17"/>
      <c r="L1856" s="17"/>
      <c r="M1856" s="17"/>
      <c r="N1856" s="17"/>
      <c r="O1856" s="17"/>
      <c r="P1856" s="26"/>
      <c r="Q1856" s="17"/>
      <c r="R1856" s="17"/>
      <c r="S1856" s="17"/>
      <c r="T1856" s="307"/>
      <c r="U1856" s="30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>
        <f t="shared" si="1087"/>
        <v>0</v>
      </c>
      <c r="AF1856" s="17"/>
      <c r="AG1856" s="17"/>
      <c r="AH1856" s="17"/>
      <c r="AI1856" s="17">
        <v>1000000</v>
      </c>
      <c r="AJ1856" s="162" t="b">
        <f t="shared" si="1092"/>
        <v>0</v>
      </c>
      <c r="AK1856" s="162" t="str">
        <f t="shared" si="1093"/>
        <v>PUNO</v>
      </c>
      <c r="AM1856" s="164"/>
    </row>
    <row r="1857" spans="1:39" ht="31.5" x14ac:dyDescent="0.2">
      <c r="B1857" s="209"/>
      <c r="C1857" s="209"/>
      <c r="D1857" s="209"/>
      <c r="E1857" s="209"/>
      <c r="F1857" s="219"/>
      <c r="G1857" s="219"/>
      <c r="H1857" s="244" t="s">
        <v>317</v>
      </c>
      <c r="I1857" s="17"/>
      <c r="J1857" s="17"/>
      <c r="K1857" s="17"/>
      <c r="L1857" s="17"/>
      <c r="M1857" s="17"/>
      <c r="N1857" s="17"/>
      <c r="O1857" s="17"/>
      <c r="P1857" s="26"/>
      <c r="Q1857" s="17"/>
      <c r="R1857" s="17"/>
      <c r="S1857" s="17"/>
      <c r="T1857" s="307"/>
      <c r="U1857" s="302"/>
      <c r="V1857" s="17"/>
      <c r="W1857" s="17"/>
      <c r="X1857" s="17"/>
      <c r="Y1857" s="17"/>
      <c r="Z1857" s="17"/>
      <c r="AA1857" s="17"/>
      <c r="AB1857" s="302">
        <f>AB1859</f>
        <v>0</v>
      </c>
      <c r="AC1857" s="302">
        <f>AC1859</f>
        <v>0</v>
      </c>
      <c r="AD1857" s="302"/>
      <c r="AE1857" s="302">
        <f t="shared" si="1087"/>
        <v>0</v>
      </c>
      <c r="AF1857" s="302">
        <f>AF1859</f>
        <v>0</v>
      </c>
      <c r="AG1857" s="302">
        <f>AG1859</f>
        <v>0</v>
      </c>
      <c r="AH1857" s="302">
        <f>AH1859</f>
        <v>0</v>
      </c>
      <c r="AI1857" s="302">
        <f>AI1859</f>
        <v>1471000</v>
      </c>
      <c r="AJ1857" s="162" t="b">
        <f t="shared" si="1092"/>
        <v>1</v>
      </c>
      <c r="AK1857" s="162" t="str">
        <f t="shared" si="1093"/>
        <v>PRAZNO</v>
      </c>
      <c r="AM1857" s="164"/>
    </row>
    <row r="1858" spans="1:39" ht="15.75" x14ac:dyDescent="0.2">
      <c r="B1858" s="177"/>
      <c r="C1858" s="177"/>
      <c r="D1858" s="177"/>
      <c r="E1858" s="177"/>
      <c r="F1858" s="265"/>
      <c r="G1858" s="265"/>
      <c r="H1858" s="477" t="s">
        <v>830</v>
      </c>
      <c r="I1858" s="17"/>
      <c r="J1858" s="17"/>
      <c r="K1858" s="17"/>
      <c r="L1858" s="17"/>
      <c r="M1858" s="17"/>
      <c r="N1858" s="17"/>
      <c r="O1858" s="17"/>
      <c r="P1858" s="26"/>
      <c r="Q1858" s="17"/>
      <c r="R1858" s="17"/>
      <c r="S1858" s="17"/>
      <c r="T1858" s="307"/>
      <c r="U1858" s="406"/>
      <c r="V1858" s="17"/>
      <c r="W1858" s="17"/>
      <c r="X1858" s="17"/>
      <c r="Y1858" s="17"/>
      <c r="Z1858" s="17"/>
      <c r="AA1858" s="17"/>
      <c r="AB1858" s="406">
        <f>AB1859</f>
        <v>0</v>
      </c>
      <c r="AC1858" s="406">
        <f>AC1859</f>
        <v>0</v>
      </c>
      <c r="AD1858" s="406"/>
      <c r="AE1858" s="406">
        <f t="shared" si="1087"/>
        <v>0</v>
      </c>
      <c r="AF1858" s="406">
        <f>AF1859</f>
        <v>0</v>
      </c>
      <c r="AG1858" s="406">
        <f>AG1859</f>
        <v>0</v>
      </c>
      <c r="AH1858" s="406">
        <f>AH1859</f>
        <v>0</v>
      </c>
      <c r="AI1858" s="406">
        <f>AI1859</f>
        <v>1471000</v>
      </c>
      <c r="AJ1858" s="162" t="b">
        <f t="shared" si="1092"/>
        <v>1</v>
      </c>
      <c r="AK1858" s="162" t="str">
        <f t="shared" si="1093"/>
        <v>PRAZNO</v>
      </c>
      <c r="AM1858" s="164"/>
    </row>
    <row r="1859" spans="1:39" ht="15.75" x14ac:dyDescent="0.2">
      <c r="B1859" s="172">
        <v>4</v>
      </c>
      <c r="C1859" s="172"/>
      <c r="D1859" s="172"/>
      <c r="E1859" s="172"/>
      <c r="F1859" s="220"/>
      <c r="G1859" s="220"/>
      <c r="H1859" s="14" t="s">
        <v>552</v>
      </c>
      <c r="I1859" s="17"/>
      <c r="J1859" s="17"/>
      <c r="K1859" s="17"/>
      <c r="L1859" s="17"/>
      <c r="M1859" s="17"/>
      <c r="N1859" s="17"/>
      <c r="O1859" s="17"/>
      <c r="P1859" s="26"/>
      <c r="Q1859" s="17"/>
      <c r="R1859" s="17"/>
      <c r="S1859" s="17"/>
      <c r="T1859" s="307"/>
      <c r="U1859" s="20"/>
      <c r="V1859" s="17"/>
      <c r="W1859" s="17"/>
      <c r="X1859" s="17"/>
      <c r="Y1859" s="17"/>
      <c r="Z1859" s="17"/>
      <c r="AA1859" s="17"/>
      <c r="AB1859" s="20">
        <f t="shared" ref="AB1859:AI1860" si="1113">AB1860</f>
        <v>0</v>
      </c>
      <c r="AC1859" s="20">
        <f t="shared" si="1113"/>
        <v>0</v>
      </c>
      <c r="AD1859" s="20"/>
      <c r="AE1859" s="20">
        <f t="shared" si="1087"/>
        <v>0</v>
      </c>
      <c r="AF1859" s="20">
        <f t="shared" si="1113"/>
        <v>0</v>
      </c>
      <c r="AG1859" s="20">
        <f t="shared" si="1113"/>
        <v>0</v>
      </c>
      <c r="AH1859" s="20">
        <f t="shared" si="1113"/>
        <v>0</v>
      </c>
      <c r="AI1859" s="20">
        <f t="shared" si="1113"/>
        <v>1471000</v>
      </c>
      <c r="AJ1859" s="162" t="b">
        <f t="shared" si="1092"/>
        <v>1</v>
      </c>
      <c r="AK1859" s="162" t="str">
        <f t="shared" si="1093"/>
        <v>PRAZNO</v>
      </c>
      <c r="AM1859" s="164"/>
    </row>
    <row r="1860" spans="1:39" ht="15.75" x14ac:dyDescent="0.2">
      <c r="B1860" s="177"/>
      <c r="C1860" s="177">
        <v>42</v>
      </c>
      <c r="D1860" s="177"/>
      <c r="E1860" s="177"/>
      <c r="F1860" s="176"/>
      <c r="G1860" s="176"/>
      <c r="H1860" s="41" t="s">
        <v>212</v>
      </c>
      <c r="I1860" s="17"/>
      <c r="J1860" s="17"/>
      <c r="K1860" s="17"/>
      <c r="L1860" s="17"/>
      <c r="M1860" s="17"/>
      <c r="N1860" s="17"/>
      <c r="O1860" s="17"/>
      <c r="P1860" s="26"/>
      <c r="Q1860" s="17"/>
      <c r="R1860" s="17"/>
      <c r="S1860" s="17"/>
      <c r="T1860" s="307"/>
      <c r="U1860" s="307"/>
      <c r="V1860" s="17"/>
      <c r="W1860" s="17"/>
      <c r="X1860" s="17"/>
      <c r="Y1860" s="17"/>
      <c r="Z1860" s="17"/>
      <c r="AA1860" s="17"/>
      <c r="AB1860" s="17">
        <f t="shared" si="1113"/>
        <v>0</v>
      </c>
      <c r="AC1860" s="17">
        <f t="shared" si="1113"/>
        <v>0</v>
      </c>
      <c r="AD1860" s="17"/>
      <c r="AE1860" s="17">
        <f t="shared" si="1087"/>
        <v>0</v>
      </c>
      <c r="AF1860" s="17">
        <f t="shared" si="1113"/>
        <v>0</v>
      </c>
      <c r="AG1860" s="17">
        <f t="shared" si="1113"/>
        <v>0</v>
      </c>
      <c r="AH1860" s="17">
        <f t="shared" si="1113"/>
        <v>0</v>
      </c>
      <c r="AI1860" s="17">
        <f t="shared" si="1113"/>
        <v>1471000</v>
      </c>
      <c r="AJ1860" s="162" t="b">
        <f t="shared" si="1092"/>
        <v>1</v>
      </c>
      <c r="AK1860" s="162" t="str">
        <f t="shared" si="1093"/>
        <v>PRAZNO</v>
      </c>
      <c r="AM1860" s="164"/>
    </row>
    <row r="1861" spans="1:39" ht="15.75" x14ac:dyDescent="0.2">
      <c r="B1861" s="177"/>
      <c r="C1861" s="177"/>
      <c r="D1861" s="177">
        <v>421</v>
      </c>
      <c r="E1861" s="177"/>
      <c r="F1861" s="176"/>
      <c r="G1861" s="176"/>
      <c r="H1861" s="41" t="s">
        <v>759</v>
      </c>
      <c r="I1861" s="17"/>
      <c r="J1861" s="17"/>
      <c r="K1861" s="17"/>
      <c r="L1861" s="17"/>
      <c r="M1861" s="17"/>
      <c r="N1861" s="17"/>
      <c r="O1861" s="17"/>
      <c r="P1861" s="26"/>
      <c r="Q1861" s="17"/>
      <c r="R1861" s="17"/>
      <c r="S1861" s="17"/>
      <c r="T1861" s="307"/>
      <c r="U1861" s="307"/>
      <c r="V1861" s="17"/>
      <c r="W1861" s="17"/>
      <c r="X1861" s="17"/>
      <c r="Y1861" s="17"/>
      <c r="Z1861" s="17"/>
      <c r="AA1861" s="17"/>
      <c r="AB1861" s="17">
        <f>AB1862</f>
        <v>0</v>
      </c>
      <c r="AC1861" s="17">
        <f>AC1862</f>
        <v>0</v>
      </c>
      <c r="AD1861" s="17"/>
      <c r="AE1861" s="17">
        <f t="shared" si="1087"/>
        <v>0</v>
      </c>
      <c r="AF1861" s="17">
        <f>AF1862</f>
        <v>0</v>
      </c>
      <c r="AG1861" s="17">
        <f>AG1862</f>
        <v>0</v>
      </c>
      <c r="AH1861" s="17">
        <f>AH1862</f>
        <v>0</v>
      </c>
      <c r="AI1861" s="17">
        <f>AI1862</f>
        <v>1471000</v>
      </c>
      <c r="AJ1861" s="162" t="b">
        <f t="shared" si="1092"/>
        <v>1</v>
      </c>
      <c r="AK1861" s="162" t="str">
        <f t="shared" si="1093"/>
        <v>PRAZNO</v>
      </c>
      <c r="AM1861" s="164"/>
    </row>
    <row r="1862" spans="1:39" ht="15.75" x14ac:dyDescent="0.2">
      <c r="B1862" s="177"/>
      <c r="C1862" s="177"/>
      <c r="D1862" s="177"/>
      <c r="E1862" s="177">
        <v>4212</v>
      </c>
      <c r="F1862" s="265">
        <v>54</v>
      </c>
      <c r="G1862" s="265"/>
      <c r="H1862" s="41" t="s">
        <v>649</v>
      </c>
      <c r="I1862" s="17"/>
      <c r="J1862" s="17"/>
      <c r="K1862" s="17"/>
      <c r="L1862" s="17"/>
      <c r="M1862" s="17"/>
      <c r="N1862" s="17"/>
      <c r="O1862" s="17"/>
      <c r="P1862" s="26"/>
      <c r="Q1862" s="17"/>
      <c r="R1862" s="17"/>
      <c r="S1862" s="17"/>
      <c r="T1862" s="307"/>
      <c r="U1862" s="30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>
        <f t="shared" si="1087"/>
        <v>0</v>
      </c>
      <c r="AF1862" s="17"/>
      <c r="AG1862" s="17"/>
      <c r="AH1862" s="17"/>
      <c r="AI1862" s="17">
        <v>1471000</v>
      </c>
      <c r="AJ1862" s="162" t="b">
        <f t="shared" si="1092"/>
        <v>0</v>
      </c>
      <c r="AK1862" s="162" t="str">
        <f t="shared" si="1093"/>
        <v>PUNO</v>
      </c>
      <c r="AM1862" s="164"/>
    </row>
    <row r="1863" spans="1:39" s="171" customFormat="1" ht="31.5" x14ac:dyDescent="0.2">
      <c r="A1863" s="259"/>
      <c r="B1863" s="270"/>
      <c r="C1863" s="270"/>
      <c r="D1863" s="270"/>
      <c r="E1863" s="270"/>
      <c r="F1863" s="270"/>
      <c r="G1863" s="270"/>
      <c r="H1863" s="274" t="s">
        <v>106</v>
      </c>
      <c r="I1863" s="304" t="e">
        <f>I1864+#REF!+I2010+I2051+I2057+#REF!+#REF!+#REF!+#REF!+#REF!+I2064+#REF!+I2003+I2104+I2098</f>
        <v>#REF!</v>
      </c>
      <c r="J1863" s="304" t="e">
        <f>J1864+#REF!+J2010+J2051+J2057+#REF!+#REF!+#REF!+#REF!+#REF!+J2064+#REF!+J2003+J2104+J2098</f>
        <v>#REF!</v>
      </c>
      <c r="K1863" s="304" t="e">
        <f>K1864+#REF!+K2010+K2051+K2057+#REF!+#REF!+#REF!+#REF!+#REF!+K2064+#REF!+K2003+K2104+K2098</f>
        <v>#REF!</v>
      </c>
      <c r="L1863" s="304" t="e">
        <f>L1864+#REF!+L2010+L2051+L2057+#REF!+#REF!+#REF!+#REF!+#REF!+L2064+#REF!+L2003+L2104+L2098</f>
        <v>#REF!</v>
      </c>
      <c r="M1863" s="304" t="e">
        <f>M1864+#REF!+M2010+M2051+M2057+#REF!+#REF!+#REF!+#REF!+#REF!+M2064+#REF!+M2003+M2104+M2098</f>
        <v>#REF!</v>
      </c>
      <c r="N1863" s="304" t="e">
        <f>N1864+N1996+N2003+N2010+N2051+N2057+N2069+N2080+N2098+N2104+N1989</f>
        <v>#REF!</v>
      </c>
      <c r="O1863" s="304" t="e">
        <f>O1864+O1996+O2003+O2010+O2051+O2057+O2069+O2080+O2098+O2104+O1989</f>
        <v>#REF!</v>
      </c>
      <c r="P1863" s="336" t="e">
        <f>T1863-N1863</f>
        <v>#REF!</v>
      </c>
      <c r="Q1863" s="273" t="e">
        <f>Q1864+#REF!+Q2010+Q2051+Q2057+#REF!+#REF!+#REF!+#REF!+#REF!+Q2064+#REF!+Q2003+Q2104+Q2069+Q2080+Q2098</f>
        <v>#REF!</v>
      </c>
      <c r="R1863" s="273" t="e">
        <f>R1864+#REF!+R2010+R2051+R2057+#REF!+#REF!+#REF!+#REF!+#REF!+R2064+#REF!+R2003+R2104+R2069+R2080+R2098</f>
        <v>#REF!</v>
      </c>
      <c r="S1863" s="273" t="e">
        <f>S1864+#REF!+S2010+S2051+S2057+#REF!+#REF!+#REF!+#REF!+#REF!+S2064+#REF!+S2003+S2104+S2069+S2080+S2098</f>
        <v>#REF!</v>
      </c>
      <c r="T1863" s="336">
        <f>T1864+T2003+T2010+T2051+T2057+T2069+T2080+T2098+T2104+T1996+T2114+T2120+T2126+T2132+T1989+T2138+T2144</f>
        <v>6980290</v>
      </c>
      <c r="U1863" s="336">
        <f t="shared" ref="U1863:AA1863" si="1114">U1864+U2003+U2010+U2051+U2057+U2069+U2080+U2098+U2104+U1996+U2114+U2120+U2126+U2132+U1989+U2138+U2144</f>
        <v>3810038.04</v>
      </c>
      <c r="V1863" s="336">
        <f t="shared" si="1114"/>
        <v>17887700</v>
      </c>
      <c r="W1863" s="336" t="e">
        <f t="shared" si="1114"/>
        <v>#REF!</v>
      </c>
      <c r="X1863" s="336" t="e">
        <f t="shared" si="1114"/>
        <v>#REF!</v>
      </c>
      <c r="Y1863" s="336">
        <f t="shared" si="1114"/>
        <v>2981274.83</v>
      </c>
      <c r="Z1863" s="336" t="e">
        <f t="shared" si="1114"/>
        <v>#DIV/0!</v>
      </c>
      <c r="AA1863" s="336">
        <f t="shared" si="1114"/>
        <v>-846000</v>
      </c>
      <c r="AB1863" s="336">
        <f>AB1864+AB2003+AB2010+AB2051+AB2057+AB2069+AB2080+AB2098+AB2104+AB1996+AB2114+AB2120+AB2126+AB2132+AB1989+AB2138+AB2144</f>
        <v>17041700</v>
      </c>
      <c r="AC1863" s="336">
        <f>AC1864+AC2003+AC2010+AC2051+AC2057+AC2069+AC2080+AC2098+AC2104+AC1996+AC2114+AC2120+AC2126+AC2132+AC1989+AC2138+AC2144</f>
        <v>7652177.8700000001</v>
      </c>
      <c r="AD1863" s="336">
        <f t="shared" ref="AD1863:AD1932" si="1115">AC1863/AB1863*100</f>
        <v>44.90266739820558</v>
      </c>
      <c r="AE1863" s="336">
        <f t="shared" si="1087"/>
        <v>805764.6400000006</v>
      </c>
      <c r="AF1863" s="336">
        <f>AF1864+AF2003+AF2010+AF2051+AF2057+AF2069+AF2080+AF2098+AF2104+AF1996+AF2114+AF2120+AF2126+AF2132+AF1989+AF2138+AF2144</f>
        <v>17847464.640000001</v>
      </c>
      <c r="AG1863" s="336">
        <f>AG1864+AG2003+AG2010+AG2051+AG2057+AG2069+AG2080+AG2098+AG2104+AG1996+AG2114+AG2120+AG2126+AG2132+AG1989+AG2138+AG2144</f>
        <v>17282625.359999999</v>
      </c>
      <c r="AH1863" s="336">
        <f>AH1864+AH2003+AH2010+AH2051+AH2057+AH2069+AH2080+AH2098+AH2104+AH1996+AH2114+AH2120+AH2126+AH2132+AH1989+AH2138+AH2144</f>
        <v>9696000</v>
      </c>
      <c r="AI1863" s="336">
        <f>AI1864+AI2003+AI2010+AI2051+AI2057+AI2069+AI2080+AI2098+AI2104+AI1996+AI2114+AI2120+AI2126+AI2132+AI1989+AI2138+AI2144</f>
        <v>9398176</v>
      </c>
      <c r="AJ1863" s="162" t="b">
        <f t="shared" si="1092"/>
        <v>1</v>
      </c>
      <c r="AK1863" s="162" t="str">
        <f t="shared" si="1093"/>
        <v>PRAZNO</v>
      </c>
      <c r="AL1863" s="170"/>
      <c r="AM1863" s="164"/>
    </row>
    <row r="1864" spans="1:39" s="171" customFormat="1" ht="31.5" x14ac:dyDescent="0.2">
      <c r="A1864" s="259"/>
      <c r="B1864" s="168"/>
      <c r="C1864" s="168"/>
      <c r="D1864" s="168"/>
      <c r="E1864" s="168"/>
      <c r="F1864" s="168"/>
      <c r="G1864" s="168"/>
      <c r="H1864" s="13" t="s">
        <v>858</v>
      </c>
      <c r="I1864" s="169" t="e">
        <f>I1908</f>
        <v>#REF!</v>
      </c>
      <c r="J1864" s="169" t="e">
        <f>J1908</f>
        <v>#REF!</v>
      </c>
      <c r="K1864" s="169" t="e">
        <f>ROUND(J1864/I1864*100,2)</f>
        <v>#REF!</v>
      </c>
      <c r="L1864" s="169" t="e">
        <f>M1864-I1864</f>
        <v>#REF!</v>
      </c>
      <c r="M1864" s="19" t="e">
        <f>M1908</f>
        <v>#REF!</v>
      </c>
      <c r="N1864" s="19" t="e">
        <f>N1908+N1902</f>
        <v>#REF!</v>
      </c>
      <c r="O1864" s="19" t="e">
        <f>O1908+O1902</f>
        <v>#REF!</v>
      </c>
      <c r="P1864" s="303" t="e">
        <f>T1864-N1864</f>
        <v>#REF!</v>
      </c>
      <c r="Q1864" s="19" t="e">
        <f>Q1908</f>
        <v>#REF!</v>
      </c>
      <c r="R1864" s="19" t="e">
        <f>R1908</f>
        <v>#REF!</v>
      </c>
      <c r="S1864" s="19" t="e">
        <f>S1908</f>
        <v>#REF!</v>
      </c>
      <c r="T1864" s="19">
        <f>T1908+T1930+T1866</f>
        <v>196600</v>
      </c>
      <c r="U1864" s="19">
        <f>U1865+U1907+U1929</f>
        <v>1987099.0499999998</v>
      </c>
      <c r="V1864" s="19">
        <f t="shared" ref="V1864:AA1864" si="1116">V1908+V1930+V1866</f>
        <v>5031700</v>
      </c>
      <c r="W1864" s="19" t="e">
        <f t="shared" si="1116"/>
        <v>#REF!</v>
      </c>
      <c r="X1864" s="19" t="e">
        <f t="shared" si="1116"/>
        <v>#REF!</v>
      </c>
      <c r="Y1864" s="19">
        <f t="shared" si="1116"/>
        <v>944320.02</v>
      </c>
      <c r="Z1864" s="19" t="e">
        <f t="shared" si="1116"/>
        <v>#DIV/0!</v>
      </c>
      <c r="AA1864" s="19">
        <f t="shared" si="1116"/>
        <v>640500</v>
      </c>
      <c r="AB1864" s="19">
        <f>AB1908+AB1930+AB1866</f>
        <v>5672200</v>
      </c>
      <c r="AC1864" s="19">
        <f>AC1908+AC1930+AC1866</f>
        <v>1775926.9699999997</v>
      </c>
      <c r="AD1864" s="19">
        <f t="shared" si="1115"/>
        <v>31.309315080568386</v>
      </c>
      <c r="AE1864" s="19">
        <f t="shared" si="1087"/>
        <v>355686</v>
      </c>
      <c r="AF1864" s="19">
        <f>AF1908+AF1930+AF1866</f>
        <v>6027886</v>
      </c>
      <c r="AG1864" s="19">
        <f>AG1908+AG1930+AG1866</f>
        <v>5736004</v>
      </c>
      <c r="AH1864" s="19">
        <f>AH1908+AH1930+AH1866</f>
        <v>5274000</v>
      </c>
      <c r="AI1864" s="19">
        <f>AI1908+AI1930+AI1866</f>
        <v>5267500</v>
      </c>
      <c r="AJ1864" s="162" t="b">
        <f t="shared" si="1092"/>
        <v>1</v>
      </c>
      <c r="AK1864" s="162" t="str">
        <f t="shared" si="1093"/>
        <v>PRAZNO</v>
      </c>
      <c r="AL1864" s="170"/>
      <c r="AM1864" s="164"/>
    </row>
    <row r="1865" spans="1:39" s="264" customFormat="1" ht="15.75" x14ac:dyDescent="0.2">
      <c r="A1865" s="259"/>
      <c r="B1865" s="260"/>
      <c r="C1865" s="260"/>
      <c r="D1865" s="260"/>
      <c r="E1865" s="260"/>
      <c r="F1865" s="260"/>
      <c r="G1865" s="260"/>
      <c r="H1865" s="440" t="s">
        <v>824</v>
      </c>
      <c r="I1865" s="181"/>
      <c r="J1865" s="181"/>
      <c r="K1865" s="181"/>
      <c r="L1865" s="181"/>
      <c r="M1865" s="262"/>
      <c r="N1865" s="262"/>
      <c r="O1865" s="262"/>
      <c r="P1865" s="445"/>
      <c r="Q1865" s="262"/>
      <c r="R1865" s="262"/>
      <c r="S1865" s="262"/>
      <c r="T1865" s="342"/>
      <c r="U1865" s="262">
        <f t="shared" ref="U1865:AA1865" si="1117">U1866</f>
        <v>622566.46000000008</v>
      </c>
      <c r="V1865" s="262">
        <f t="shared" si="1117"/>
        <v>3074500</v>
      </c>
      <c r="W1865" s="262">
        <f t="shared" si="1117"/>
        <v>2924390</v>
      </c>
      <c r="X1865" s="262">
        <f t="shared" si="1117"/>
        <v>2868270</v>
      </c>
      <c r="Y1865" s="262">
        <f t="shared" si="1117"/>
        <v>508398.71</v>
      </c>
      <c r="Z1865" s="262" t="e">
        <f t="shared" si="1117"/>
        <v>#DIV/0!</v>
      </c>
      <c r="AA1865" s="262">
        <f t="shared" si="1117"/>
        <v>286000</v>
      </c>
      <c r="AB1865" s="262">
        <f>AB1866</f>
        <v>3360500</v>
      </c>
      <c r="AC1865" s="262">
        <f>AC1866</f>
        <v>853728.5199999999</v>
      </c>
      <c r="AD1865" s="262">
        <f t="shared" si="1115"/>
        <v>25.404806427614936</v>
      </c>
      <c r="AE1865" s="262">
        <f t="shared" si="1087"/>
        <v>0</v>
      </c>
      <c r="AF1865" s="262">
        <f>AF1866</f>
        <v>3360500</v>
      </c>
      <c r="AG1865" s="262">
        <f>AG1866</f>
        <v>3128500</v>
      </c>
      <c r="AH1865" s="262">
        <f>AH1866</f>
        <v>2733500</v>
      </c>
      <c r="AI1865" s="262">
        <f>AI1866</f>
        <v>2738500</v>
      </c>
      <c r="AJ1865" s="162" t="b">
        <f t="shared" ref="AJ1865:AJ1928" si="1118">ISBLANK(E1865)</f>
        <v>1</v>
      </c>
      <c r="AK1865" s="162" t="str">
        <f t="shared" ref="AK1865:AK1928" si="1119">IF(AJ1865,"PRAZNO","PUNO")</f>
        <v>PRAZNO</v>
      </c>
      <c r="AL1865" s="263"/>
    </row>
    <row r="1866" spans="1:39" s="174" customFormat="1" ht="15.75" x14ac:dyDescent="0.2">
      <c r="A1866" s="259"/>
      <c r="B1866" s="172">
        <v>3</v>
      </c>
      <c r="C1866" s="172"/>
      <c r="D1866" s="172"/>
      <c r="E1866" s="172"/>
      <c r="F1866" s="172"/>
      <c r="G1866" s="172"/>
      <c r="H1866" s="14" t="s">
        <v>524</v>
      </c>
      <c r="I1866" s="20"/>
      <c r="J1866" s="20"/>
      <c r="K1866" s="20"/>
      <c r="L1866" s="20"/>
      <c r="M1866" s="20"/>
      <c r="N1866" s="20"/>
      <c r="O1866" s="20"/>
      <c r="P1866" s="54"/>
      <c r="Q1866" s="20"/>
      <c r="R1866" s="20"/>
      <c r="S1866" s="20"/>
      <c r="T1866" s="55"/>
      <c r="U1866" s="20">
        <f>U1867+U1899+U1902</f>
        <v>622566.46000000008</v>
      </c>
      <c r="V1866" s="20">
        <f t="shared" ref="V1866:AA1866" si="1120">V1867+V1899+V1902</f>
        <v>3074500</v>
      </c>
      <c r="W1866" s="20">
        <f t="shared" si="1120"/>
        <v>2924390</v>
      </c>
      <c r="X1866" s="20">
        <f t="shared" si="1120"/>
        <v>2868270</v>
      </c>
      <c r="Y1866" s="20">
        <f t="shared" si="1120"/>
        <v>508398.71</v>
      </c>
      <c r="Z1866" s="20" t="e">
        <f t="shared" si="1120"/>
        <v>#DIV/0!</v>
      </c>
      <c r="AA1866" s="20">
        <f t="shared" si="1120"/>
        <v>286000</v>
      </c>
      <c r="AB1866" s="20">
        <f>AB1867+AB1899+AB1902</f>
        <v>3360500</v>
      </c>
      <c r="AC1866" s="20">
        <f>AC1867+AC1899+AC1902</f>
        <v>853728.5199999999</v>
      </c>
      <c r="AD1866" s="20">
        <f t="shared" si="1115"/>
        <v>25.404806427614936</v>
      </c>
      <c r="AE1866" s="20">
        <f t="shared" si="1087"/>
        <v>0</v>
      </c>
      <c r="AF1866" s="20">
        <f>AF1867+AF1899+AF1902</f>
        <v>3360500</v>
      </c>
      <c r="AG1866" s="20">
        <f>AG1867+AG1899+AG1902</f>
        <v>3128500</v>
      </c>
      <c r="AH1866" s="20">
        <f>AH1867+AH1899+AH1902</f>
        <v>2733500</v>
      </c>
      <c r="AI1866" s="20">
        <f>AI1867+AI1899+AI1902</f>
        <v>2738500</v>
      </c>
      <c r="AJ1866" s="162" t="b">
        <f t="shared" si="1118"/>
        <v>1</v>
      </c>
      <c r="AK1866" s="162" t="str">
        <f t="shared" si="1119"/>
        <v>PRAZNO</v>
      </c>
      <c r="AL1866" s="173"/>
    </row>
    <row r="1867" spans="1:39" s="264" customFormat="1" ht="15.75" x14ac:dyDescent="0.2">
      <c r="A1867" s="259"/>
      <c r="B1867" s="177"/>
      <c r="C1867" s="177">
        <v>32</v>
      </c>
      <c r="D1867" s="177"/>
      <c r="E1867" s="177"/>
      <c r="F1867" s="177"/>
      <c r="G1867" s="177"/>
      <c r="H1867" s="16" t="s">
        <v>525</v>
      </c>
      <c r="I1867" s="181"/>
      <c r="J1867" s="181"/>
      <c r="K1867" s="181"/>
      <c r="L1867" s="181"/>
      <c r="M1867" s="181"/>
      <c r="N1867" s="181"/>
      <c r="O1867" s="181"/>
      <c r="P1867" s="343"/>
      <c r="Q1867" s="181"/>
      <c r="R1867" s="181"/>
      <c r="S1867" s="181"/>
      <c r="T1867" s="307"/>
      <c r="U1867" s="181">
        <f>U1868+U1871+U1882+U1895</f>
        <v>389146.57000000007</v>
      </c>
      <c r="V1867" s="181">
        <f t="shared" ref="V1867:AC1867" si="1121">V1871+V1882+V1895</f>
        <v>2834500</v>
      </c>
      <c r="W1867" s="181">
        <f t="shared" si="1121"/>
        <v>2684390</v>
      </c>
      <c r="X1867" s="181">
        <f t="shared" si="1121"/>
        <v>2624270</v>
      </c>
      <c r="Y1867" s="181">
        <f t="shared" si="1121"/>
        <v>477733.82</v>
      </c>
      <c r="Z1867" s="181" t="e">
        <f t="shared" si="1121"/>
        <v>#DIV/0!</v>
      </c>
      <c r="AA1867" s="181">
        <f t="shared" si="1121"/>
        <v>286000</v>
      </c>
      <c r="AB1867" s="181">
        <f t="shared" si="1121"/>
        <v>3120500</v>
      </c>
      <c r="AC1867" s="181">
        <f t="shared" si="1121"/>
        <v>664810.86999999988</v>
      </c>
      <c r="AD1867" s="181">
        <f t="shared" si="1115"/>
        <v>21.30462650216311</v>
      </c>
      <c r="AE1867" s="181">
        <f t="shared" si="1087"/>
        <v>0</v>
      </c>
      <c r="AF1867" s="181">
        <f>AF1871+AF1882+AF1895</f>
        <v>3120500</v>
      </c>
      <c r="AG1867" s="181">
        <f>AG1871+AG1882+AG1895</f>
        <v>2835500</v>
      </c>
      <c r="AH1867" s="181">
        <f>AH1871+AH1882+AH1895</f>
        <v>2440500</v>
      </c>
      <c r="AI1867" s="181">
        <f>AI1871+AI1882+AI1895</f>
        <v>2445500</v>
      </c>
      <c r="AJ1867" s="162" t="b">
        <f t="shared" si="1118"/>
        <v>1</v>
      </c>
      <c r="AK1867" s="162" t="str">
        <f t="shared" si="1119"/>
        <v>PRAZNO</v>
      </c>
      <c r="AL1867" s="263"/>
    </row>
    <row r="1868" spans="1:39" s="264" customFormat="1" ht="15.75" x14ac:dyDescent="0.2">
      <c r="A1868" s="259"/>
      <c r="B1868" s="177"/>
      <c r="C1868" s="177"/>
      <c r="D1868" s="177">
        <v>321</v>
      </c>
      <c r="E1868" s="177"/>
      <c r="F1868" s="177"/>
      <c r="G1868" s="177"/>
      <c r="H1868" s="16" t="s">
        <v>564</v>
      </c>
      <c r="I1868" s="181"/>
      <c r="J1868" s="181"/>
      <c r="K1868" s="181"/>
      <c r="L1868" s="181"/>
      <c r="M1868" s="181"/>
      <c r="N1868" s="181"/>
      <c r="O1868" s="181"/>
      <c r="P1868" s="343"/>
      <c r="Q1868" s="181"/>
      <c r="R1868" s="181"/>
      <c r="S1868" s="181"/>
      <c r="T1868" s="307"/>
      <c r="U1868" s="181">
        <f>U1869+U1870</f>
        <v>7464</v>
      </c>
      <c r="V1868" s="181"/>
      <c r="W1868" s="181"/>
      <c r="X1868" s="181"/>
      <c r="Y1868" s="181"/>
      <c r="Z1868" s="181"/>
      <c r="AA1868" s="181"/>
      <c r="AB1868" s="181"/>
      <c r="AC1868" s="181"/>
      <c r="AD1868" s="181"/>
      <c r="AE1868" s="181"/>
      <c r="AF1868" s="181"/>
      <c r="AG1868" s="181"/>
      <c r="AH1868" s="181"/>
      <c r="AI1868" s="181"/>
      <c r="AJ1868" s="162" t="b">
        <f t="shared" si="1118"/>
        <v>1</v>
      </c>
      <c r="AK1868" s="162" t="str">
        <f t="shared" si="1119"/>
        <v>PRAZNO</v>
      </c>
      <c r="AL1868" s="263"/>
    </row>
    <row r="1869" spans="1:39" s="264" customFormat="1" ht="15.75" x14ac:dyDescent="0.2">
      <c r="A1869" s="259"/>
      <c r="B1869" s="177"/>
      <c r="C1869" s="177"/>
      <c r="D1869" s="177"/>
      <c r="E1869" s="177">
        <v>3211</v>
      </c>
      <c r="F1869" s="177">
        <v>17</v>
      </c>
      <c r="G1869" s="177"/>
      <c r="H1869" s="16" t="s">
        <v>565</v>
      </c>
      <c r="I1869" s="181"/>
      <c r="J1869" s="181"/>
      <c r="K1869" s="181"/>
      <c r="L1869" s="181"/>
      <c r="M1869" s="181"/>
      <c r="N1869" s="181"/>
      <c r="O1869" s="181"/>
      <c r="P1869" s="343"/>
      <c r="Q1869" s="181"/>
      <c r="R1869" s="181"/>
      <c r="S1869" s="181"/>
      <c r="T1869" s="307"/>
      <c r="U1869" s="181">
        <v>6758</v>
      </c>
      <c r="V1869" s="181"/>
      <c r="W1869" s="181"/>
      <c r="X1869" s="181"/>
      <c r="Y1869" s="181"/>
      <c r="Z1869" s="181"/>
      <c r="AA1869" s="181"/>
      <c r="AB1869" s="181"/>
      <c r="AC1869" s="181"/>
      <c r="AD1869" s="181"/>
      <c r="AE1869" s="181"/>
      <c r="AF1869" s="181"/>
      <c r="AG1869" s="181"/>
      <c r="AH1869" s="181"/>
      <c r="AI1869" s="181"/>
      <c r="AJ1869" s="162" t="b">
        <f t="shared" si="1118"/>
        <v>0</v>
      </c>
      <c r="AK1869" s="162" t="str">
        <f t="shared" si="1119"/>
        <v>PUNO</v>
      </c>
      <c r="AL1869" s="263"/>
    </row>
    <row r="1870" spans="1:39" s="264" customFormat="1" ht="15.75" x14ac:dyDescent="0.2">
      <c r="A1870" s="259"/>
      <c r="B1870" s="177"/>
      <c r="C1870" s="177"/>
      <c r="D1870" s="177"/>
      <c r="E1870" s="177">
        <v>3214</v>
      </c>
      <c r="F1870" s="177">
        <v>17</v>
      </c>
      <c r="G1870" s="177"/>
      <c r="H1870" s="16" t="s">
        <v>852</v>
      </c>
      <c r="I1870" s="181"/>
      <c r="J1870" s="181"/>
      <c r="K1870" s="181"/>
      <c r="L1870" s="181"/>
      <c r="M1870" s="181"/>
      <c r="N1870" s="181"/>
      <c r="O1870" s="181"/>
      <c r="P1870" s="343"/>
      <c r="Q1870" s="181"/>
      <c r="R1870" s="181"/>
      <c r="S1870" s="181"/>
      <c r="T1870" s="307"/>
      <c r="U1870" s="181">
        <v>706</v>
      </c>
      <c r="V1870" s="181"/>
      <c r="W1870" s="181"/>
      <c r="X1870" s="181"/>
      <c r="Y1870" s="181"/>
      <c r="Z1870" s="181"/>
      <c r="AA1870" s="181"/>
      <c r="AB1870" s="181"/>
      <c r="AC1870" s="181"/>
      <c r="AD1870" s="181"/>
      <c r="AE1870" s="181"/>
      <c r="AF1870" s="181"/>
      <c r="AG1870" s="181"/>
      <c r="AH1870" s="181"/>
      <c r="AI1870" s="181"/>
      <c r="AJ1870" s="162" t="b">
        <f t="shared" si="1118"/>
        <v>0</v>
      </c>
      <c r="AK1870" s="162" t="str">
        <f t="shared" si="1119"/>
        <v>PUNO</v>
      </c>
      <c r="AL1870" s="263"/>
    </row>
    <row r="1871" spans="1:39" s="264" customFormat="1" ht="15.75" x14ac:dyDescent="0.2">
      <c r="A1871" s="259"/>
      <c r="B1871" s="177"/>
      <c r="C1871" s="177"/>
      <c r="D1871" s="177">
        <v>322</v>
      </c>
      <c r="E1871" s="177"/>
      <c r="F1871" s="177"/>
      <c r="G1871" s="177"/>
      <c r="H1871" s="16" t="s">
        <v>547</v>
      </c>
      <c r="I1871" s="181"/>
      <c r="J1871" s="181"/>
      <c r="K1871" s="181"/>
      <c r="L1871" s="181"/>
      <c r="M1871" s="181"/>
      <c r="N1871" s="181"/>
      <c r="O1871" s="181"/>
      <c r="P1871" s="343"/>
      <c r="Q1871" s="181"/>
      <c r="R1871" s="181"/>
      <c r="S1871" s="181"/>
      <c r="T1871" s="307"/>
      <c r="U1871" s="181">
        <f>SUM(U1872:U1881)</f>
        <v>158680.70000000001</v>
      </c>
      <c r="V1871" s="181">
        <f t="shared" ref="V1871:AC1871" si="1122">SUM(V1872:V1880)</f>
        <v>1490000</v>
      </c>
      <c r="W1871" s="181">
        <f t="shared" si="1122"/>
        <v>1194000</v>
      </c>
      <c r="X1871" s="181">
        <f t="shared" si="1122"/>
        <v>1133880</v>
      </c>
      <c r="Y1871" s="181">
        <f t="shared" si="1122"/>
        <v>269117.43</v>
      </c>
      <c r="Z1871" s="181" t="e">
        <f t="shared" si="1122"/>
        <v>#DIV/0!</v>
      </c>
      <c r="AA1871" s="181">
        <f t="shared" si="1122"/>
        <v>10000</v>
      </c>
      <c r="AB1871" s="181">
        <f t="shared" si="1122"/>
        <v>1500000</v>
      </c>
      <c r="AC1871" s="181">
        <f t="shared" si="1122"/>
        <v>326003.82999999996</v>
      </c>
      <c r="AD1871" s="181">
        <f t="shared" si="1115"/>
        <v>21.733588666666666</v>
      </c>
      <c r="AE1871" s="181">
        <f t="shared" ref="AE1871:AE1933" si="1123">AF1871-AB1871</f>
        <v>0</v>
      </c>
      <c r="AF1871" s="181">
        <f>SUM(AF1872:AF1880)</f>
        <v>1500000</v>
      </c>
      <c r="AG1871" s="181">
        <f>SUM(AG1872:AG1880)</f>
        <v>1295000</v>
      </c>
      <c r="AH1871" s="181">
        <f>SUM(AH1872:AH1880)</f>
        <v>895000</v>
      </c>
      <c r="AI1871" s="181">
        <f>SUM(AI1872:AI1880)</f>
        <v>895000</v>
      </c>
      <c r="AJ1871" s="162" t="b">
        <f t="shared" si="1118"/>
        <v>1</v>
      </c>
      <c r="AK1871" s="162" t="str">
        <f t="shared" si="1119"/>
        <v>PRAZNO</v>
      </c>
      <c r="AL1871" s="263"/>
    </row>
    <row r="1872" spans="1:39" s="264" customFormat="1" ht="30" x14ac:dyDescent="0.2">
      <c r="A1872" s="259"/>
      <c r="B1872" s="177"/>
      <c r="C1872" s="177"/>
      <c r="D1872" s="177"/>
      <c r="E1872" s="177">
        <v>3221</v>
      </c>
      <c r="F1872" s="177">
        <v>11</v>
      </c>
      <c r="G1872" s="177"/>
      <c r="H1872" s="16" t="s">
        <v>726</v>
      </c>
      <c r="I1872" s="181"/>
      <c r="J1872" s="181"/>
      <c r="K1872" s="181"/>
      <c r="L1872" s="181"/>
      <c r="M1872" s="181"/>
      <c r="N1872" s="181"/>
      <c r="O1872" s="181"/>
      <c r="P1872" s="343"/>
      <c r="Q1872" s="181"/>
      <c r="R1872" s="181"/>
      <c r="S1872" s="181"/>
      <c r="T1872" s="307"/>
      <c r="U1872" s="181"/>
      <c r="V1872" s="181">
        <v>0</v>
      </c>
      <c r="W1872" s="181"/>
      <c r="X1872" s="181"/>
      <c r="Y1872" s="181">
        <v>0</v>
      </c>
      <c r="Z1872" s="181"/>
      <c r="AA1872" s="181">
        <f>AB1872-V1872</f>
        <v>5000</v>
      </c>
      <c r="AB1872" s="181">
        <v>5000</v>
      </c>
      <c r="AC1872" s="181">
        <v>0</v>
      </c>
      <c r="AD1872" s="181">
        <f t="shared" si="1115"/>
        <v>0</v>
      </c>
      <c r="AE1872" s="181">
        <f t="shared" si="1123"/>
        <v>0</v>
      </c>
      <c r="AF1872" s="181">
        <v>5000</v>
      </c>
      <c r="AG1872" s="181">
        <v>0</v>
      </c>
      <c r="AH1872" s="181">
        <v>0</v>
      </c>
      <c r="AI1872" s="181">
        <v>0</v>
      </c>
      <c r="AJ1872" s="162" t="b">
        <f t="shared" si="1118"/>
        <v>0</v>
      </c>
      <c r="AK1872" s="162" t="str">
        <f t="shared" si="1119"/>
        <v>PUNO</v>
      </c>
      <c r="AL1872" s="263"/>
    </row>
    <row r="1873" spans="1:38" s="264" customFormat="1" ht="15.75" x14ac:dyDescent="0.2">
      <c r="A1873" s="259"/>
      <c r="B1873" s="177"/>
      <c r="C1873" s="177"/>
      <c r="D1873" s="177"/>
      <c r="E1873" s="177">
        <v>3221</v>
      </c>
      <c r="F1873" s="177">
        <v>17</v>
      </c>
      <c r="G1873" s="177"/>
      <c r="H1873" s="16" t="s">
        <v>438</v>
      </c>
      <c r="I1873" s="181"/>
      <c r="J1873" s="181"/>
      <c r="K1873" s="181"/>
      <c r="L1873" s="181"/>
      <c r="M1873" s="181"/>
      <c r="N1873" s="181"/>
      <c r="O1873" s="181"/>
      <c r="P1873" s="343"/>
      <c r="Q1873" s="181"/>
      <c r="R1873" s="181"/>
      <c r="S1873" s="181"/>
      <c r="T1873" s="307"/>
      <c r="U1873" s="181">
        <v>26114.42</v>
      </c>
      <c r="V1873" s="181"/>
      <c r="W1873" s="181"/>
      <c r="X1873" s="181"/>
      <c r="Y1873" s="181"/>
      <c r="Z1873" s="181"/>
      <c r="AA1873" s="181"/>
      <c r="AB1873" s="181"/>
      <c r="AC1873" s="181"/>
      <c r="AD1873" s="181"/>
      <c r="AE1873" s="181"/>
      <c r="AF1873" s="181"/>
      <c r="AG1873" s="181"/>
      <c r="AH1873" s="181"/>
      <c r="AI1873" s="181"/>
      <c r="AJ1873" s="162" t="b">
        <f t="shared" si="1118"/>
        <v>0</v>
      </c>
      <c r="AK1873" s="162" t="str">
        <f t="shared" si="1119"/>
        <v>PUNO</v>
      </c>
      <c r="AL1873" s="263"/>
    </row>
    <row r="1874" spans="1:38" s="164" customFormat="1" ht="30" x14ac:dyDescent="0.2">
      <c r="A1874" s="259"/>
      <c r="B1874" s="177"/>
      <c r="C1874" s="177"/>
      <c r="D1874" s="177"/>
      <c r="E1874" s="177">
        <v>3222</v>
      </c>
      <c r="F1874" s="265">
        <v>11</v>
      </c>
      <c r="G1874" s="265" t="s">
        <v>1040</v>
      </c>
      <c r="H1874" s="16" t="s">
        <v>919</v>
      </c>
      <c r="I1874" s="178"/>
      <c r="J1874" s="178"/>
      <c r="K1874" s="178"/>
      <c r="L1874" s="178"/>
      <c r="M1874" s="178"/>
      <c r="N1874" s="178"/>
      <c r="O1874" s="178"/>
      <c r="P1874" s="307"/>
      <c r="Q1874" s="178"/>
      <c r="R1874" s="178"/>
      <c r="S1874" s="178"/>
      <c r="T1874" s="266"/>
      <c r="U1874" s="178">
        <v>70540.31</v>
      </c>
      <c r="V1874" s="266">
        <v>80000</v>
      </c>
      <c r="W1874" s="266">
        <v>80000</v>
      </c>
      <c r="X1874" s="266">
        <v>80000</v>
      </c>
      <c r="Y1874" s="266">
        <v>65179.97</v>
      </c>
      <c r="Z1874" s="266">
        <f>ROUND(Y1874/V1874*100,2)</f>
        <v>81.47</v>
      </c>
      <c r="AA1874" s="266">
        <f>AB1874-V1874</f>
        <v>5000</v>
      </c>
      <c r="AB1874" s="266">
        <f>80000+5000</f>
        <v>85000</v>
      </c>
      <c r="AC1874" s="266">
        <v>68821.78</v>
      </c>
      <c r="AD1874" s="266">
        <f t="shared" si="1115"/>
        <v>80.966799999999992</v>
      </c>
      <c r="AE1874" s="266">
        <f t="shared" si="1123"/>
        <v>0</v>
      </c>
      <c r="AF1874" s="266">
        <f>80000+5000</f>
        <v>85000</v>
      </c>
      <c r="AG1874" s="266">
        <f>80000+5000</f>
        <v>85000</v>
      </c>
      <c r="AH1874" s="266">
        <f>80000+5000</f>
        <v>85000</v>
      </c>
      <c r="AI1874" s="266">
        <f>80000+5000</f>
        <v>85000</v>
      </c>
      <c r="AJ1874" s="162" t="b">
        <f t="shared" si="1118"/>
        <v>0</v>
      </c>
      <c r="AK1874" s="162" t="str">
        <f t="shared" si="1119"/>
        <v>PUNO</v>
      </c>
      <c r="AL1874" s="165"/>
    </row>
    <row r="1875" spans="1:38" s="164" customFormat="1" ht="15.75" x14ac:dyDescent="0.2">
      <c r="A1875" s="259"/>
      <c r="B1875" s="177"/>
      <c r="C1875" s="177"/>
      <c r="D1875" s="177"/>
      <c r="E1875" s="212">
        <v>3223</v>
      </c>
      <c r="F1875" s="265">
        <v>11</v>
      </c>
      <c r="G1875" s="265"/>
      <c r="H1875" s="29" t="s">
        <v>204</v>
      </c>
      <c r="I1875" s="178"/>
      <c r="J1875" s="178"/>
      <c r="K1875" s="178"/>
      <c r="L1875" s="178"/>
      <c r="M1875" s="178"/>
      <c r="N1875" s="178"/>
      <c r="O1875" s="178"/>
      <c r="P1875" s="307"/>
      <c r="Q1875" s="178"/>
      <c r="R1875" s="178"/>
      <c r="S1875" s="178"/>
      <c r="T1875" s="266"/>
      <c r="U1875" s="178"/>
      <c r="V1875" s="266">
        <v>1400000</v>
      </c>
      <c r="W1875" s="266">
        <f>1100000+4000</f>
        <v>1104000</v>
      </c>
      <c r="X1875" s="178">
        <f>800000+121940+121940</f>
        <v>1043880</v>
      </c>
      <c r="Y1875" s="266">
        <v>203937.46</v>
      </c>
      <c r="Z1875" s="266">
        <f>ROUND(Y1875/V1875*100,2)</f>
        <v>14.57</v>
      </c>
      <c r="AA1875" s="266">
        <f>AB1875-V1875</f>
        <v>0</v>
      </c>
      <c r="AB1875" s="266">
        <v>1400000</v>
      </c>
      <c r="AC1875" s="266">
        <v>257182.05</v>
      </c>
      <c r="AD1875" s="266">
        <f t="shared" si="1115"/>
        <v>18.370146428571427</v>
      </c>
      <c r="AE1875" s="266">
        <f t="shared" si="1123"/>
        <v>0</v>
      </c>
      <c r="AF1875" s="266">
        <v>1400000</v>
      </c>
      <c r="AG1875" s="266">
        <v>1200000</v>
      </c>
      <c r="AH1875" s="266">
        <v>800000</v>
      </c>
      <c r="AI1875" s="266">
        <v>800000</v>
      </c>
      <c r="AJ1875" s="162" t="b">
        <f t="shared" si="1118"/>
        <v>0</v>
      </c>
      <c r="AK1875" s="162" t="str">
        <f t="shared" si="1119"/>
        <v>PUNO</v>
      </c>
      <c r="AL1875" s="165"/>
    </row>
    <row r="1876" spans="1:38" s="164" customFormat="1" ht="15.75" x14ac:dyDescent="0.2">
      <c r="A1876" s="259"/>
      <c r="B1876" s="177"/>
      <c r="C1876" s="177"/>
      <c r="D1876" s="177"/>
      <c r="E1876" s="212">
        <v>3223</v>
      </c>
      <c r="F1876" s="265">
        <v>17</v>
      </c>
      <c r="G1876" s="265"/>
      <c r="H1876" s="29" t="s">
        <v>204</v>
      </c>
      <c r="I1876" s="178"/>
      <c r="J1876" s="178"/>
      <c r="K1876" s="178"/>
      <c r="L1876" s="178"/>
      <c r="M1876" s="178"/>
      <c r="N1876" s="178"/>
      <c r="O1876" s="178"/>
      <c r="P1876" s="307"/>
      <c r="Q1876" s="178"/>
      <c r="R1876" s="178"/>
      <c r="S1876" s="178"/>
      <c r="T1876" s="266"/>
      <c r="U1876" s="178">
        <v>44531.72</v>
      </c>
      <c r="V1876" s="266"/>
      <c r="W1876" s="266"/>
      <c r="X1876" s="178"/>
      <c r="Y1876" s="266"/>
      <c r="Z1876" s="266"/>
      <c r="AA1876" s="266"/>
      <c r="AB1876" s="266"/>
      <c r="AC1876" s="266"/>
      <c r="AD1876" s="266"/>
      <c r="AE1876" s="266"/>
      <c r="AF1876" s="266"/>
      <c r="AG1876" s="266"/>
      <c r="AH1876" s="266"/>
      <c r="AI1876" s="266"/>
      <c r="AJ1876" s="162" t="b">
        <f t="shared" si="1118"/>
        <v>0</v>
      </c>
      <c r="AK1876" s="162" t="str">
        <f t="shared" si="1119"/>
        <v>PUNO</v>
      </c>
      <c r="AL1876" s="165"/>
    </row>
    <row r="1877" spans="1:38" s="164" customFormat="1" ht="15.75" x14ac:dyDescent="0.2">
      <c r="A1877" s="259"/>
      <c r="B1877" s="177"/>
      <c r="C1877" s="177"/>
      <c r="D1877" s="177"/>
      <c r="E1877" s="212">
        <v>3224</v>
      </c>
      <c r="F1877" s="265">
        <v>17</v>
      </c>
      <c r="G1877" s="265"/>
      <c r="H1877" s="29" t="s">
        <v>853</v>
      </c>
      <c r="I1877" s="178"/>
      <c r="J1877" s="178"/>
      <c r="K1877" s="178"/>
      <c r="L1877" s="178"/>
      <c r="M1877" s="178"/>
      <c r="N1877" s="178"/>
      <c r="O1877" s="178"/>
      <c r="P1877" s="307"/>
      <c r="Q1877" s="178"/>
      <c r="R1877" s="178"/>
      <c r="S1877" s="178"/>
      <c r="T1877" s="266"/>
      <c r="U1877" s="178">
        <v>6437.24</v>
      </c>
      <c r="V1877" s="266"/>
      <c r="W1877" s="266"/>
      <c r="X1877" s="178"/>
      <c r="Y1877" s="266"/>
      <c r="Z1877" s="266"/>
      <c r="AA1877" s="266"/>
      <c r="AB1877" s="266"/>
      <c r="AC1877" s="266"/>
      <c r="AD1877" s="266"/>
      <c r="AE1877" s="266"/>
      <c r="AF1877" s="266"/>
      <c r="AG1877" s="266"/>
      <c r="AH1877" s="266"/>
      <c r="AI1877" s="266"/>
      <c r="AJ1877" s="162" t="b">
        <f t="shared" si="1118"/>
        <v>0</v>
      </c>
      <c r="AK1877" s="162" t="str">
        <f t="shared" si="1119"/>
        <v>PUNO</v>
      </c>
      <c r="AL1877" s="165"/>
    </row>
    <row r="1878" spans="1:38" s="164" customFormat="1" ht="14.25" customHeight="1" x14ac:dyDescent="0.2">
      <c r="A1878" s="259"/>
      <c r="B1878" s="177"/>
      <c r="C1878" s="177"/>
      <c r="D1878" s="177"/>
      <c r="E1878" s="177">
        <v>3225</v>
      </c>
      <c r="F1878" s="265">
        <v>11</v>
      </c>
      <c r="G1878" s="265"/>
      <c r="H1878" s="16" t="s">
        <v>642</v>
      </c>
      <c r="I1878" s="178"/>
      <c r="J1878" s="178"/>
      <c r="K1878" s="178"/>
      <c r="L1878" s="178"/>
      <c r="M1878" s="178"/>
      <c r="N1878" s="178"/>
      <c r="O1878" s="178"/>
      <c r="P1878" s="307"/>
      <c r="Q1878" s="178"/>
      <c r="R1878" s="178"/>
      <c r="S1878" s="178"/>
      <c r="T1878" s="266"/>
      <c r="U1878" s="178"/>
      <c r="V1878" s="266">
        <v>0</v>
      </c>
      <c r="W1878" s="266">
        <v>0</v>
      </c>
      <c r="X1878" s="266">
        <v>0</v>
      </c>
      <c r="Y1878" s="266"/>
      <c r="Z1878" s="266" t="e">
        <f>ROUND(Y1878/V1878*100,2)</f>
        <v>#DIV/0!</v>
      </c>
      <c r="AA1878" s="266">
        <f>AB1878-V1878</f>
        <v>0</v>
      </c>
      <c r="AB1878" s="266">
        <v>0</v>
      </c>
      <c r="AC1878" s="266"/>
      <c r="AD1878" s="266" t="e">
        <f t="shared" si="1115"/>
        <v>#DIV/0!</v>
      </c>
      <c r="AE1878" s="266">
        <f t="shared" si="1123"/>
        <v>0</v>
      </c>
      <c r="AF1878" s="266">
        <v>0</v>
      </c>
      <c r="AG1878" s="266">
        <v>0</v>
      </c>
      <c r="AH1878" s="266">
        <v>0</v>
      </c>
      <c r="AI1878" s="266">
        <v>0</v>
      </c>
      <c r="AJ1878" s="162" t="b">
        <f t="shared" si="1118"/>
        <v>0</v>
      </c>
      <c r="AK1878" s="162" t="str">
        <f t="shared" si="1119"/>
        <v>PUNO</v>
      </c>
      <c r="AL1878" s="165"/>
    </row>
    <row r="1879" spans="1:38" s="164" customFormat="1" ht="14.25" customHeight="1" x14ac:dyDescent="0.2">
      <c r="A1879" s="259"/>
      <c r="B1879" s="177"/>
      <c r="C1879" s="177"/>
      <c r="D1879" s="177"/>
      <c r="E1879" s="177">
        <v>3225</v>
      </c>
      <c r="F1879" s="265">
        <v>17</v>
      </c>
      <c r="G1879" s="265"/>
      <c r="H1879" s="16" t="s">
        <v>642</v>
      </c>
      <c r="I1879" s="178"/>
      <c r="J1879" s="178"/>
      <c r="K1879" s="178"/>
      <c r="L1879" s="178"/>
      <c r="M1879" s="178"/>
      <c r="N1879" s="178"/>
      <c r="O1879" s="178"/>
      <c r="P1879" s="307"/>
      <c r="Q1879" s="178"/>
      <c r="R1879" s="178"/>
      <c r="S1879" s="178"/>
      <c r="T1879" s="266"/>
      <c r="U1879" s="178">
        <v>6224.51</v>
      </c>
      <c r="V1879" s="266"/>
      <c r="W1879" s="266"/>
      <c r="X1879" s="266"/>
      <c r="Y1879" s="266"/>
      <c r="Z1879" s="266"/>
      <c r="AA1879" s="266"/>
      <c r="AB1879" s="266"/>
      <c r="AC1879" s="266"/>
      <c r="AD1879" s="266"/>
      <c r="AE1879" s="266"/>
      <c r="AF1879" s="266"/>
      <c r="AG1879" s="266"/>
      <c r="AH1879" s="266"/>
      <c r="AI1879" s="266"/>
      <c r="AJ1879" s="162" t="b">
        <f t="shared" si="1118"/>
        <v>0</v>
      </c>
      <c r="AK1879" s="162" t="str">
        <f t="shared" si="1119"/>
        <v>PUNO</v>
      </c>
      <c r="AL1879" s="165"/>
    </row>
    <row r="1880" spans="1:38" s="164" customFormat="1" ht="15.75" x14ac:dyDescent="0.2">
      <c r="A1880" s="259"/>
      <c r="B1880" s="177"/>
      <c r="C1880" s="177"/>
      <c r="D1880" s="177"/>
      <c r="E1880" s="177">
        <v>3225</v>
      </c>
      <c r="F1880" s="265">
        <v>11</v>
      </c>
      <c r="G1880" s="265" t="s">
        <v>1040</v>
      </c>
      <c r="H1880" s="16" t="s">
        <v>26</v>
      </c>
      <c r="I1880" s="216"/>
      <c r="J1880" s="216"/>
      <c r="K1880" s="216"/>
      <c r="L1880" s="216"/>
      <c r="M1880" s="216"/>
      <c r="N1880" s="216"/>
      <c r="O1880" s="216"/>
      <c r="P1880" s="307"/>
      <c r="Q1880" s="216"/>
      <c r="R1880" s="216"/>
      <c r="S1880" s="216"/>
      <c r="T1880" s="344"/>
      <c r="U1880" s="178"/>
      <c r="V1880" s="344">
        <v>10000</v>
      </c>
      <c r="W1880" s="344">
        <v>10000</v>
      </c>
      <c r="X1880" s="344">
        <v>10000</v>
      </c>
      <c r="Y1880" s="344">
        <v>0</v>
      </c>
      <c r="Z1880" s="344">
        <f>ROUND(Y1880/V1880*100,2)</f>
        <v>0</v>
      </c>
      <c r="AA1880" s="344">
        <f>AB1880-V1880</f>
        <v>0</v>
      </c>
      <c r="AB1880" s="344">
        <v>10000</v>
      </c>
      <c r="AC1880" s="344">
        <v>0</v>
      </c>
      <c r="AD1880" s="344">
        <f t="shared" si="1115"/>
        <v>0</v>
      </c>
      <c r="AE1880" s="344">
        <f t="shared" si="1123"/>
        <v>0</v>
      </c>
      <c r="AF1880" s="344">
        <v>10000</v>
      </c>
      <c r="AG1880" s="344">
        <v>10000</v>
      </c>
      <c r="AH1880" s="344">
        <v>10000</v>
      </c>
      <c r="AI1880" s="344">
        <v>10000</v>
      </c>
      <c r="AJ1880" s="162" t="b">
        <f t="shared" si="1118"/>
        <v>0</v>
      </c>
      <c r="AK1880" s="162" t="str">
        <f t="shared" si="1119"/>
        <v>PUNO</v>
      </c>
      <c r="AL1880" s="165"/>
    </row>
    <row r="1881" spans="1:38" s="164" customFormat="1" ht="15.75" x14ac:dyDescent="0.2">
      <c r="A1881" s="259"/>
      <c r="B1881" s="177"/>
      <c r="C1881" s="177"/>
      <c r="D1881" s="177"/>
      <c r="E1881" s="177">
        <v>3227</v>
      </c>
      <c r="F1881" s="265">
        <v>17</v>
      </c>
      <c r="G1881" s="265"/>
      <c r="H1881" s="16" t="s">
        <v>646</v>
      </c>
      <c r="I1881" s="216"/>
      <c r="J1881" s="216"/>
      <c r="K1881" s="216"/>
      <c r="L1881" s="216"/>
      <c r="M1881" s="216"/>
      <c r="N1881" s="216"/>
      <c r="O1881" s="216"/>
      <c r="P1881" s="307"/>
      <c r="Q1881" s="216"/>
      <c r="R1881" s="216"/>
      <c r="S1881" s="216"/>
      <c r="T1881" s="344"/>
      <c r="U1881" s="178">
        <v>4832.5</v>
      </c>
      <c r="V1881" s="344"/>
      <c r="W1881" s="344"/>
      <c r="X1881" s="344"/>
      <c r="Y1881" s="344"/>
      <c r="Z1881" s="344"/>
      <c r="AA1881" s="344"/>
      <c r="AB1881" s="344"/>
      <c r="AC1881" s="344"/>
      <c r="AD1881" s="344"/>
      <c r="AE1881" s="344"/>
      <c r="AF1881" s="344"/>
      <c r="AG1881" s="344"/>
      <c r="AH1881" s="344"/>
      <c r="AI1881" s="344"/>
      <c r="AJ1881" s="162" t="b">
        <f t="shared" si="1118"/>
        <v>0</v>
      </c>
      <c r="AK1881" s="162" t="str">
        <f t="shared" si="1119"/>
        <v>PUNO</v>
      </c>
      <c r="AL1881" s="165"/>
    </row>
    <row r="1882" spans="1:38" s="264" customFormat="1" ht="15.75" x14ac:dyDescent="0.2">
      <c r="A1882" s="259"/>
      <c r="B1882" s="177"/>
      <c r="C1882" s="177"/>
      <c r="D1882" s="177">
        <v>323</v>
      </c>
      <c r="E1882" s="177"/>
      <c r="F1882" s="177"/>
      <c r="G1882" s="177"/>
      <c r="H1882" s="16" t="s">
        <v>526</v>
      </c>
      <c r="I1882" s="181"/>
      <c r="J1882" s="181"/>
      <c r="K1882" s="181"/>
      <c r="L1882" s="181"/>
      <c r="M1882" s="181"/>
      <c r="N1882" s="181"/>
      <c r="O1882" s="181"/>
      <c r="P1882" s="343"/>
      <c r="Q1882" s="181"/>
      <c r="R1882" s="181"/>
      <c r="S1882" s="181"/>
      <c r="T1882" s="307"/>
      <c r="U1882" s="181">
        <f>SUM(U1883:U1894)</f>
        <v>216966.72</v>
      </c>
      <c r="V1882" s="181">
        <f t="shared" ref="V1882:AA1882" si="1124">SUM(V1883:V1894)</f>
        <v>1344500</v>
      </c>
      <c r="W1882" s="181">
        <f t="shared" si="1124"/>
        <v>1490390</v>
      </c>
      <c r="X1882" s="181">
        <f t="shared" si="1124"/>
        <v>1490390</v>
      </c>
      <c r="Y1882" s="181">
        <f t="shared" si="1124"/>
        <v>208616.39</v>
      </c>
      <c r="Z1882" s="181" t="e">
        <f t="shared" si="1124"/>
        <v>#DIV/0!</v>
      </c>
      <c r="AA1882" s="181">
        <f t="shared" si="1124"/>
        <v>276000</v>
      </c>
      <c r="AB1882" s="181">
        <f>SUM(AB1883:AB1894)</f>
        <v>1620500</v>
      </c>
      <c r="AC1882" s="181">
        <f>SUM(AC1883:AC1894)</f>
        <v>338807.03999999998</v>
      </c>
      <c r="AD1882" s="181">
        <f t="shared" si="1115"/>
        <v>20.907561863622337</v>
      </c>
      <c r="AE1882" s="181">
        <f t="shared" si="1123"/>
        <v>0</v>
      </c>
      <c r="AF1882" s="181">
        <f>SUM(AF1883:AF1894)</f>
        <v>1620500</v>
      </c>
      <c r="AG1882" s="181">
        <f>SUM(AG1883:AG1894)</f>
        <v>1540500</v>
      </c>
      <c r="AH1882" s="181">
        <f>SUM(AH1883:AH1894)</f>
        <v>1545500</v>
      </c>
      <c r="AI1882" s="181">
        <f>SUM(AI1883:AI1894)</f>
        <v>1550500</v>
      </c>
      <c r="AJ1882" s="162" t="b">
        <f t="shared" si="1118"/>
        <v>1</v>
      </c>
      <c r="AK1882" s="162" t="str">
        <f t="shared" si="1119"/>
        <v>PRAZNO</v>
      </c>
      <c r="AL1882" s="263"/>
    </row>
    <row r="1883" spans="1:38" s="164" customFormat="1" ht="30" x14ac:dyDescent="0.2">
      <c r="A1883" s="259"/>
      <c r="B1883" s="177"/>
      <c r="C1883" s="177"/>
      <c r="D1883" s="177"/>
      <c r="E1883" s="177">
        <v>3231</v>
      </c>
      <c r="F1883" s="265">
        <v>11</v>
      </c>
      <c r="G1883" s="265" t="s">
        <v>1040</v>
      </c>
      <c r="H1883" s="16" t="s">
        <v>924</v>
      </c>
      <c r="I1883" s="178"/>
      <c r="J1883" s="178"/>
      <c r="K1883" s="178"/>
      <c r="L1883" s="178"/>
      <c r="M1883" s="178"/>
      <c r="N1883" s="178"/>
      <c r="O1883" s="178"/>
      <c r="P1883" s="307"/>
      <c r="Q1883" s="178"/>
      <c r="R1883" s="178"/>
      <c r="S1883" s="178"/>
      <c r="T1883" s="266"/>
      <c r="U1883" s="178">
        <v>77031.19</v>
      </c>
      <c r="V1883" s="266">
        <v>95000</v>
      </c>
      <c r="W1883" s="266">
        <v>95000</v>
      </c>
      <c r="X1883" s="266">
        <v>95000</v>
      </c>
      <c r="Y1883" s="266">
        <v>51475</v>
      </c>
      <c r="Z1883" s="266">
        <f>ROUND(Y1883/V1883*100,2)</f>
        <v>54.18</v>
      </c>
      <c r="AA1883" s="266">
        <f>AB1883-V1883</f>
        <v>0</v>
      </c>
      <c r="AB1883" s="266">
        <v>95000</v>
      </c>
      <c r="AC1883" s="266">
        <f>135652.22-73225</f>
        <v>62427.22</v>
      </c>
      <c r="AD1883" s="266">
        <f t="shared" si="1115"/>
        <v>65.712863157894745</v>
      </c>
      <c r="AE1883" s="665">
        <f t="shared" si="1123"/>
        <v>0</v>
      </c>
      <c r="AF1883" s="266">
        <v>95000</v>
      </c>
      <c r="AG1883" s="266">
        <v>85000</v>
      </c>
      <c r="AH1883" s="266">
        <v>85000</v>
      </c>
      <c r="AI1883" s="266">
        <v>85000</v>
      </c>
      <c r="AJ1883" s="162" t="b">
        <f t="shared" si="1118"/>
        <v>0</v>
      </c>
      <c r="AK1883" s="162" t="str">
        <f t="shared" si="1119"/>
        <v>PUNO</v>
      </c>
      <c r="AL1883" s="165"/>
    </row>
    <row r="1884" spans="1:38" s="164" customFormat="1" ht="15.75" x14ac:dyDescent="0.2">
      <c r="A1884" s="259"/>
      <c r="B1884" s="177"/>
      <c r="C1884" s="177"/>
      <c r="D1884" s="177"/>
      <c r="E1884" s="177">
        <v>3231</v>
      </c>
      <c r="F1884" s="265">
        <v>11</v>
      </c>
      <c r="G1884" s="265"/>
      <c r="H1884" s="16" t="s">
        <v>1043</v>
      </c>
      <c r="I1884" s="181"/>
      <c r="J1884" s="181"/>
      <c r="K1884" s="181"/>
      <c r="L1884" s="181"/>
      <c r="M1884" s="181"/>
      <c r="N1884" s="181"/>
      <c r="O1884" s="181"/>
      <c r="P1884" s="307"/>
      <c r="Q1884" s="181"/>
      <c r="R1884" s="181"/>
      <c r="S1884" s="181"/>
      <c r="T1884" s="307"/>
      <c r="U1884" s="181"/>
      <c r="V1884" s="307">
        <v>1000000</v>
      </c>
      <c r="W1884" s="307">
        <f>295890+800000</f>
        <v>1095890</v>
      </c>
      <c r="X1884" s="307">
        <f>295890+800000</f>
        <v>1095890</v>
      </c>
      <c r="Y1884" s="307">
        <v>61691.22</v>
      </c>
      <c r="Z1884" s="307">
        <f>ROUND(Y1884/V1884*100,2)</f>
        <v>6.17</v>
      </c>
      <c r="AA1884" s="307">
        <f>AB1884-V1884</f>
        <v>220000</v>
      </c>
      <c r="AB1884" s="307">
        <v>1220000</v>
      </c>
      <c r="AC1884" s="307">
        <v>73225</v>
      </c>
      <c r="AD1884" s="307">
        <f t="shared" si="1115"/>
        <v>6.0020491803278686</v>
      </c>
      <c r="AE1884" s="666">
        <f t="shared" si="1123"/>
        <v>0</v>
      </c>
      <c r="AF1884" s="307">
        <v>1220000</v>
      </c>
      <c r="AG1884" s="307">
        <v>1220000</v>
      </c>
      <c r="AH1884" s="307">
        <v>1220000</v>
      </c>
      <c r="AI1884" s="307">
        <v>1220000</v>
      </c>
      <c r="AJ1884" s="162" t="b">
        <f t="shared" si="1118"/>
        <v>0</v>
      </c>
      <c r="AK1884" s="162" t="str">
        <f t="shared" si="1119"/>
        <v>PUNO</v>
      </c>
      <c r="AL1884" s="165"/>
    </row>
    <row r="1885" spans="1:38" s="164" customFormat="1" ht="15.75" x14ac:dyDescent="0.2">
      <c r="A1885" s="259"/>
      <c r="B1885" s="177"/>
      <c r="C1885" s="177"/>
      <c r="D1885" s="177"/>
      <c r="E1885" s="177">
        <v>3231</v>
      </c>
      <c r="F1885" s="265">
        <v>17</v>
      </c>
      <c r="G1885" s="265"/>
      <c r="H1885" s="16" t="s">
        <v>1043</v>
      </c>
      <c r="I1885" s="181"/>
      <c r="J1885" s="181"/>
      <c r="K1885" s="181"/>
      <c r="L1885" s="181"/>
      <c r="M1885" s="181"/>
      <c r="N1885" s="181"/>
      <c r="O1885" s="181"/>
      <c r="P1885" s="307"/>
      <c r="Q1885" s="181"/>
      <c r="R1885" s="181"/>
      <c r="S1885" s="181"/>
      <c r="T1885" s="307"/>
      <c r="U1885" s="181">
        <v>299.79000000000002</v>
      </c>
      <c r="V1885" s="307"/>
      <c r="W1885" s="307"/>
      <c r="X1885" s="307"/>
      <c r="Y1885" s="307"/>
      <c r="Z1885" s="307"/>
      <c r="AA1885" s="307"/>
      <c r="AB1885" s="307"/>
      <c r="AC1885" s="307"/>
      <c r="AD1885" s="307"/>
      <c r="AE1885" s="666"/>
      <c r="AF1885" s="307"/>
      <c r="AG1885" s="307"/>
      <c r="AH1885" s="307"/>
      <c r="AI1885" s="307"/>
      <c r="AJ1885" s="162" t="b">
        <f t="shared" si="1118"/>
        <v>0</v>
      </c>
      <c r="AK1885" s="162" t="str">
        <f t="shared" si="1119"/>
        <v>PUNO</v>
      </c>
      <c r="AL1885" s="165"/>
    </row>
    <row r="1886" spans="1:38" s="164" customFormat="1" ht="30" x14ac:dyDescent="0.2">
      <c r="A1886" s="259"/>
      <c r="B1886" s="177"/>
      <c r="C1886" s="177"/>
      <c r="D1886" s="177"/>
      <c r="E1886" s="177">
        <v>3231</v>
      </c>
      <c r="F1886" s="265">
        <v>11</v>
      </c>
      <c r="G1886" s="265"/>
      <c r="H1886" s="16" t="s">
        <v>925</v>
      </c>
      <c r="I1886" s="178"/>
      <c r="J1886" s="178"/>
      <c r="K1886" s="178"/>
      <c r="L1886" s="178"/>
      <c r="M1886" s="178"/>
      <c r="N1886" s="178"/>
      <c r="O1886" s="178"/>
      <c r="P1886" s="307"/>
      <c r="Q1886" s="178"/>
      <c r="R1886" s="178"/>
      <c r="S1886" s="178"/>
      <c r="T1886" s="266"/>
      <c r="U1886" s="178">
        <v>0</v>
      </c>
      <c r="V1886" s="266">
        <v>12000</v>
      </c>
      <c r="W1886" s="266">
        <v>12000</v>
      </c>
      <c r="X1886" s="266">
        <v>12000</v>
      </c>
      <c r="Y1886" s="266">
        <v>0</v>
      </c>
      <c r="Z1886" s="266">
        <f>ROUND(Y1886/V1886*100,2)</f>
        <v>0</v>
      </c>
      <c r="AA1886" s="266">
        <f>AB1886-V1886</f>
        <v>-12000</v>
      </c>
      <c r="AB1886" s="266">
        <v>0</v>
      </c>
      <c r="AC1886" s="266"/>
      <c r="AD1886" s="266" t="e">
        <f t="shared" si="1115"/>
        <v>#DIV/0!</v>
      </c>
      <c r="AE1886" s="665">
        <f t="shared" si="1123"/>
        <v>0</v>
      </c>
      <c r="AF1886" s="266">
        <v>0</v>
      </c>
      <c r="AG1886" s="266">
        <v>0</v>
      </c>
      <c r="AH1886" s="266">
        <v>0</v>
      </c>
      <c r="AI1886" s="266">
        <v>0</v>
      </c>
      <c r="AJ1886" s="162" t="b">
        <f t="shared" si="1118"/>
        <v>0</v>
      </c>
      <c r="AK1886" s="162" t="str">
        <f t="shared" si="1119"/>
        <v>PUNO</v>
      </c>
      <c r="AL1886" s="165"/>
    </row>
    <row r="1887" spans="1:38" s="164" customFormat="1" ht="15.75" x14ac:dyDescent="0.2">
      <c r="A1887" s="259"/>
      <c r="B1887" s="177"/>
      <c r="C1887" s="177"/>
      <c r="D1887" s="177"/>
      <c r="E1887" s="177">
        <v>3232</v>
      </c>
      <c r="F1887" s="265">
        <v>17</v>
      </c>
      <c r="G1887" s="265"/>
      <c r="H1887" s="16" t="s">
        <v>207</v>
      </c>
      <c r="I1887" s="178"/>
      <c r="J1887" s="178"/>
      <c r="K1887" s="178"/>
      <c r="L1887" s="178"/>
      <c r="M1887" s="178"/>
      <c r="N1887" s="178"/>
      <c r="O1887" s="178"/>
      <c r="P1887" s="307"/>
      <c r="Q1887" s="178"/>
      <c r="R1887" s="178"/>
      <c r="S1887" s="178"/>
      <c r="T1887" s="266"/>
      <c r="U1887" s="178">
        <v>12421.63</v>
      </c>
      <c r="V1887" s="266"/>
      <c r="W1887" s="266"/>
      <c r="X1887" s="266"/>
      <c r="Y1887" s="266"/>
      <c r="Z1887" s="266"/>
      <c r="AA1887" s="266"/>
      <c r="AB1887" s="266"/>
      <c r="AC1887" s="266"/>
      <c r="AD1887" s="266"/>
      <c r="AE1887" s="665"/>
      <c r="AF1887" s="266"/>
      <c r="AG1887" s="266"/>
      <c r="AH1887" s="266"/>
      <c r="AI1887" s="266"/>
      <c r="AJ1887" s="162" t="b">
        <f t="shared" si="1118"/>
        <v>0</v>
      </c>
      <c r="AK1887" s="162" t="str">
        <f t="shared" si="1119"/>
        <v>PUNO</v>
      </c>
      <c r="AL1887" s="165"/>
    </row>
    <row r="1888" spans="1:38" s="164" customFormat="1" ht="30" x14ac:dyDescent="0.2">
      <c r="A1888" s="259"/>
      <c r="B1888" s="177"/>
      <c r="C1888" s="177"/>
      <c r="D1888" s="177"/>
      <c r="E1888" s="177">
        <v>3232</v>
      </c>
      <c r="F1888" s="265">
        <v>11</v>
      </c>
      <c r="G1888" s="265"/>
      <c r="H1888" s="16" t="s">
        <v>727</v>
      </c>
      <c r="I1888" s="178"/>
      <c r="J1888" s="178"/>
      <c r="K1888" s="178"/>
      <c r="L1888" s="178"/>
      <c r="M1888" s="178"/>
      <c r="N1888" s="178"/>
      <c r="O1888" s="178"/>
      <c r="P1888" s="307"/>
      <c r="Q1888" s="178"/>
      <c r="R1888" s="178"/>
      <c r="S1888" s="178"/>
      <c r="T1888" s="266"/>
      <c r="U1888" s="178"/>
      <c r="V1888" s="266">
        <v>0</v>
      </c>
      <c r="W1888" s="266"/>
      <c r="X1888" s="266"/>
      <c r="Y1888" s="266">
        <v>0</v>
      </c>
      <c r="Z1888" s="266"/>
      <c r="AA1888" s="266">
        <f>AB1888-V1888</f>
        <v>50000</v>
      </c>
      <c r="AB1888" s="266">
        <v>50000</v>
      </c>
      <c r="AC1888" s="266">
        <v>38972.5</v>
      </c>
      <c r="AD1888" s="266">
        <f t="shared" si="1115"/>
        <v>77.944999999999993</v>
      </c>
      <c r="AE1888" s="266">
        <f t="shared" si="1123"/>
        <v>-11000</v>
      </c>
      <c r="AF1888" s="266">
        <v>39000</v>
      </c>
      <c r="AG1888" s="266">
        <v>0</v>
      </c>
      <c r="AH1888" s="266">
        <v>0</v>
      </c>
      <c r="AI1888" s="266">
        <v>0</v>
      </c>
      <c r="AJ1888" s="162" t="b">
        <f t="shared" si="1118"/>
        <v>0</v>
      </c>
      <c r="AK1888" s="162" t="str">
        <f t="shared" si="1119"/>
        <v>PUNO</v>
      </c>
      <c r="AL1888" s="165"/>
    </row>
    <row r="1889" spans="1:39" s="164" customFormat="1" ht="15.75" x14ac:dyDescent="0.2">
      <c r="A1889" s="259"/>
      <c r="B1889" s="177"/>
      <c r="C1889" s="177"/>
      <c r="D1889" s="177"/>
      <c r="E1889" s="177">
        <v>3234</v>
      </c>
      <c r="F1889" s="265">
        <v>11</v>
      </c>
      <c r="G1889" s="265"/>
      <c r="H1889" s="16" t="s">
        <v>238</v>
      </c>
      <c r="I1889" s="178"/>
      <c r="J1889" s="178"/>
      <c r="K1889" s="178"/>
      <c r="L1889" s="178"/>
      <c r="M1889" s="178"/>
      <c r="N1889" s="178"/>
      <c r="O1889" s="178"/>
      <c r="P1889" s="307"/>
      <c r="Q1889" s="178"/>
      <c r="R1889" s="178"/>
      <c r="S1889" s="178"/>
      <c r="T1889" s="266"/>
      <c r="U1889" s="178"/>
      <c r="V1889" s="266">
        <v>100000</v>
      </c>
      <c r="W1889" s="266">
        <f>100000+50000</f>
        <v>150000</v>
      </c>
      <c r="X1889" s="266">
        <f>100000+50000</f>
        <v>150000</v>
      </c>
      <c r="Y1889" s="266">
        <v>4703.3900000000003</v>
      </c>
      <c r="Z1889" s="266">
        <f>ROUND(Y1889/V1889*100,2)</f>
        <v>4.7</v>
      </c>
      <c r="AA1889" s="266">
        <f>AB1889-V1889</f>
        <v>0</v>
      </c>
      <c r="AB1889" s="266">
        <v>100000</v>
      </c>
      <c r="AC1889" s="266">
        <v>30746.27</v>
      </c>
      <c r="AD1889" s="266">
        <f t="shared" si="1115"/>
        <v>30.746269999999999</v>
      </c>
      <c r="AE1889" s="266">
        <f t="shared" si="1123"/>
        <v>0</v>
      </c>
      <c r="AF1889" s="266">
        <v>100000</v>
      </c>
      <c r="AG1889" s="266">
        <v>50000</v>
      </c>
      <c r="AH1889" s="266">
        <v>50000</v>
      </c>
      <c r="AI1889" s="266">
        <v>50000</v>
      </c>
      <c r="AJ1889" s="162" t="b">
        <f t="shared" si="1118"/>
        <v>0</v>
      </c>
      <c r="AK1889" s="162" t="str">
        <f t="shared" si="1119"/>
        <v>PUNO</v>
      </c>
      <c r="AL1889" s="165"/>
    </row>
    <row r="1890" spans="1:39" s="164" customFormat="1" ht="30" x14ac:dyDescent="0.2">
      <c r="A1890" s="259"/>
      <c r="B1890" s="177"/>
      <c r="C1890" s="177"/>
      <c r="D1890" s="177"/>
      <c r="E1890" s="177">
        <v>3237</v>
      </c>
      <c r="F1890" s="265">
        <v>11</v>
      </c>
      <c r="G1890" s="265" t="s">
        <v>1040</v>
      </c>
      <c r="H1890" s="16" t="s">
        <v>442</v>
      </c>
      <c r="I1890" s="178"/>
      <c r="J1890" s="178"/>
      <c r="K1890" s="178"/>
      <c r="L1890" s="178"/>
      <c r="M1890" s="178"/>
      <c r="N1890" s="178"/>
      <c r="O1890" s="178"/>
      <c r="P1890" s="307"/>
      <c r="Q1890" s="178"/>
      <c r="R1890" s="178"/>
      <c r="S1890" s="178"/>
      <c r="T1890" s="266"/>
      <c r="U1890" s="178">
        <v>28526.92</v>
      </c>
      <c r="V1890" s="266">
        <v>37500</v>
      </c>
      <c r="W1890" s="266">
        <v>37500</v>
      </c>
      <c r="X1890" s="266">
        <v>37500</v>
      </c>
      <c r="Y1890" s="266">
        <v>20656.78</v>
      </c>
      <c r="Z1890" s="266">
        <f>ROUND(Y1890/V1890*100,2)</f>
        <v>55.08</v>
      </c>
      <c r="AA1890" s="266">
        <f>AB1890-V1890</f>
        <v>0</v>
      </c>
      <c r="AB1890" s="266">
        <v>37500</v>
      </c>
      <c r="AC1890" s="266"/>
      <c r="AD1890" s="266">
        <f t="shared" si="1115"/>
        <v>0</v>
      </c>
      <c r="AE1890" s="665">
        <f t="shared" si="1123"/>
        <v>0</v>
      </c>
      <c r="AF1890" s="266">
        <v>37500</v>
      </c>
      <c r="AG1890" s="266">
        <v>37500</v>
      </c>
      <c r="AH1890" s="266">
        <v>37500</v>
      </c>
      <c r="AI1890" s="266">
        <v>37500</v>
      </c>
      <c r="AJ1890" s="162" t="b">
        <f t="shared" si="1118"/>
        <v>0</v>
      </c>
      <c r="AK1890" s="162" t="str">
        <f t="shared" si="1119"/>
        <v>PUNO</v>
      </c>
      <c r="AL1890" s="165"/>
    </row>
    <row r="1891" spans="1:39" s="164" customFormat="1" ht="15.75" x14ac:dyDescent="0.2">
      <c r="A1891" s="259"/>
      <c r="B1891" s="177"/>
      <c r="C1891" s="177"/>
      <c r="D1891" s="177"/>
      <c r="E1891" s="177">
        <v>3237</v>
      </c>
      <c r="F1891" s="265">
        <v>11</v>
      </c>
      <c r="G1891" s="265"/>
      <c r="H1891" s="16" t="s">
        <v>258</v>
      </c>
      <c r="I1891" s="178"/>
      <c r="J1891" s="178"/>
      <c r="K1891" s="178"/>
      <c r="L1891" s="178"/>
      <c r="M1891" s="178"/>
      <c r="N1891" s="178"/>
      <c r="O1891" s="178"/>
      <c r="P1891" s="307"/>
      <c r="Q1891" s="178"/>
      <c r="R1891" s="178"/>
      <c r="S1891" s="178"/>
      <c r="T1891" s="266"/>
      <c r="U1891" s="178"/>
      <c r="V1891" s="266">
        <v>0</v>
      </c>
      <c r="W1891" s="266"/>
      <c r="X1891" s="266"/>
      <c r="Y1891" s="266">
        <v>0</v>
      </c>
      <c r="Z1891" s="266" t="e">
        <f>ROUND(Y1891/V1891*100,2)</f>
        <v>#DIV/0!</v>
      </c>
      <c r="AA1891" s="266">
        <f>AB1891-V1891</f>
        <v>30000</v>
      </c>
      <c r="AB1891" s="266">
        <v>30000</v>
      </c>
      <c r="AC1891" s="266">
        <v>45742.05</v>
      </c>
      <c r="AD1891" s="266">
        <f t="shared" si="1115"/>
        <v>152.47350000000003</v>
      </c>
      <c r="AE1891" s="665">
        <f t="shared" si="1123"/>
        <v>0</v>
      </c>
      <c r="AF1891" s="266">
        <v>30000</v>
      </c>
      <c r="AG1891" s="266">
        <v>55000</v>
      </c>
      <c r="AH1891" s="266">
        <v>60000</v>
      </c>
      <c r="AI1891" s="266">
        <v>65000</v>
      </c>
      <c r="AJ1891" s="162" t="b">
        <f t="shared" si="1118"/>
        <v>0</v>
      </c>
      <c r="AK1891" s="162" t="str">
        <f t="shared" si="1119"/>
        <v>PUNO</v>
      </c>
      <c r="AL1891" s="165"/>
    </row>
    <row r="1892" spans="1:39" s="164" customFormat="1" ht="15.75" x14ac:dyDescent="0.2">
      <c r="A1892" s="259"/>
      <c r="B1892" s="177"/>
      <c r="C1892" s="177"/>
      <c r="D1892" s="177"/>
      <c r="E1892" s="177">
        <v>3237</v>
      </c>
      <c r="F1892" s="265">
        <v>17</v>
      </c>
      <c r="G1892" s="265"/>
      <c r="H1892" s="16" t="s">
        <v>243</v>
      </c>
      <c r="I1892" s="178"/>
      <c r="J1892" s="178"/>
      <c r="K1892" s="178"/>
      <c r="L1892" s="178"/>
      <c r="M1892" s="178"/>
      <c r="N1892" s="178"/>
      <c r="O1892" s="178"/>
      <c r="P1892" s="307"/>
      <c r="Q1892" s="178"/>
      <c r="R1892" s="178"/>
      <c r="S1892" s="178"/>
      <c r="T1892" s="266"/>
      <c r="U1892" s="178">
        <v>2932.09</v>
      </c>
      <c r="V1892" s="266"/>
      <c r="W1892" s="266"/>
      <c r="X1892" s="266"/>
      <c r="Y1892" s="266"/>
      <c r="Z1892" s="266"/>
      <c r="AA1892" s="266"/>
      <c r="AB1892" s="266"/>
      <c r="AC1892" s="266"/>
      <c r="AD1892" s="266"/>
      <c r="AE1892" s="665"/>
      <c r="AF1892" s="266"/>
      <c r="AG1892" s="266"/>
      <c r="AH1892" s="266"/>
      <c r="AI1892" s="266"/>
      <c r="AJ1892" s="162" t="b">
        <f t="shared" si="1118"/>
        <v>0</v>
      </c>
      <c r="AK1892" s="162" t="str">
        <f t="shared" si="1119"/>
        <v>PUNO</v>
      </c>
      <c r="AL1892" s="165"/>
    </row>
    <row r="1893" spans="1:39" s="164" customFormat="1" ht="15.75" x14ac:dyDescent="0.2">
      <c r="A1893" s="259"/>
      <c r="B1893" s="177"/>
      <c r="C1893" s="177"/>
      <c r="D1893" s="177"/>
      <c r="E1893" s="177">
        <v>3238</v>
      </c>
      <c r="F1893" s="265">
        <v>17</v>
      </c>
      <c r="G1893" s="265"/>
      <c r="H1893" s="16" t="s">
        <v>398</v>
      </c>
      <c r="I1893" s="178"/>
      <c r="J1893" s="178"/>
      <c r="K1893" s="178"/>
      <c r="L1893" s="178"/>
      <c r="M1893" s="178"/>
      <c r="N1893" s="178"/>
      <c r="O1893" s="178"/>
      <c r="P1893" s="307"/>
      <c r="Q1893" s="178"/>
      <c r="R1893" s="178"/>
      <c r="S1893" s="178"/>
      <c r="T1893" s="266"/>
      <c r="U1893" s="178">
        <v>4475.1000000000004</v>
      </c>
      <c r="V1893" s="266"/>
      <c r="W1893" s="266"/>
      <c r="X1893" s="266"/>
      <c r="Y1893" s="266"/>
      <c r="Z1893" s="266"/>
      <c r="AA1893" s="266"/>
      <c r="AB1893" s="266"/>
      <c r="AC1893" s="266"/>
      <c r="AD1893" s="266"/>
      <c r="AE1893" s="665"/>
      <c r="AF1893" s="266"/>
      <c r="AG1893" s="266"/>
      <c r="AH1893" s="266"/>
      <c r="AI1893" s="266"/>
      <c r="AJ1893" s="162" t="b">
        <f t="shared" si="1118"/>
        <v>0</v>
      </c>
      <c r="AK1893" s="162" t="str">
        <f t="shared" si="1119"/>
        <v>PUNO</v>
      </c>
      <c r="AL1893" s="165"/>
    </row>
    <row r="1894" spans="1:39" s="164" customFormat="1" ht="33.75" customHeight="1" x14ac:dyDescent="0.2">
      <c r="A1894" s="259"/>
      <c r="B1894" s="177"/>
      <c r="C1894" s="177"/>
      <c r="D1894" s="177"/>
      <c r="E1894" s="177">
        <v>3239</v>
      </c>
      <c r="F1894" s="265">
        <v>11</v>
      </c>
      <c r="G1894" s="265" t="s">
        <v>1040</v>
      </c>
      <c r="H1894" s="16" t="s">
        <v>244</v>
      </c>
      <c r="I1894" s="178"/>
      <c r="J1894" s="178"/>
      <c r="K1894" s="178"/>
      <c r="L1894" s="178"/>
      <c r="M1894" s="178"/>
      <c r="N1894" s="178"/>
      <c r="O1894" s="178"/>
      <c r="P1894" s="307"/>
      <c r="Q1894" s="178"/>
      <c r="R1894" s="178"/>
      <c r="S1894" s="178"/>
      <c r="T1894" s="266"/>
      <c r="U1894" s="178">
        <v>91280</v>
      </c>
      <c r="V1894" s="266">
        <v>100000</v>
      </c>
      <c r="W1894" s="266">
        <v>100000</v>
      </c>
      <c r="X1894" s="266">
        <v>100000</v>
      </c>
      <c r="Y1894" s="266">
        <v>70090</v>
      </c>
      <c r="Z1894" s="266">
        <f>ROUND(Y1894/V1894*100,2)</f>
        <v>70.09</v>
      </c>
      <c r="AA1894" s="266">
        <f>AB1894-V1894</f>
        <v>-12000</v>
      </c>
      <c r="AB1894" s="266">
        <v>88000</v>
      </c>
      <c r="AC1894" s="266">
        <v>87694</v>
      </c>
      <c r="AD1894" s="266">
        <f t="shared" si="1115"/>
        <v>99.652272727272731</v>
      </c>
      <c r="AE1894" s="266">
        <f t="shared" si="1123"/>
        <v>11000</v>
      </c>
      <c r="AF1894" s="266">
        <v>99000</v>
      </c>
      <c r="AG1894" s="266">
        <v>93000</v>
      </c>
      <c r="AH1894" s="266">
        <v>93000</v>
      </c>
      <c r="AI1894" s="266">
        <v>93000</v>
      </c>
      <c r="AJ1894" s="162" t="b">
        <f t="shared" si="1118"/>
        <v>0</v>
      </c>
      <c r="AK1894" s="162" t="str">
        <f t="shared" si="1119"/>
        <v>PUNO</v>
      </c>
      <c r="AL1894" s="165"/>
    </row>
    <row r="1895" spans="1:39" s="164" customFormat="1" ht="15.75" x14ac:dyDescent="0.2">
      <c r="A1895" s="259"/>
      <c r="B1895" s="177"/>
      <c r="C1895" s="177"/>
      <c r="D1895" s="177">
        <v>329</v>
      </c>
      <c r="E1895" s="177"/>
      <c r="F1895" s="265"/>
      <c r="G1895" s="265"/>
      <c r="H1895" s="16" t="s">
        <v>531</v>
      </c>
      <c r="I1895" s="178"/>
      <c r="J1895" s="178"/>
      <c r="K1895" s="178"/>
      <c r="L1895" s="178"/>
      <c r="M1895" s="178"/>
      <c r="N1895" s="178"/>
      <c r="O1895" s="178"/>
      <c r="P1895" s="307"/>
      <c r="Q1895" s="178"/>
      <c r="R1895" s="178"/>
      <c r="S1895" s="178"/>
      <c r="T1895" s="266"/>
      <c r="U1895" s="178">
        <f>U1896+U1897</f>
        <v>6035.1500000000005</v>
      </c>
      <c r="V1895" s="266">
        <f t="shared" ref="V1895:AA1895" si="1125">V1898</f>
        <v>0</v>
      </c>
      <c r="W1895" s="266">
        <f t="shared" si="1125"/>
        <v>0</v>
      </c>
      <c r="X1895" s="266">
        <f t="shared" si="1125"/>
        <v>0</v>
      </c>
      <c r="Y1895" s="266">
        <f t="shared" si="1125"/>
        <v>0</v>
      </c>
      <c r="Z1895" s="266">
        <f t="shared" si="1125"/>
        <v>0</v>
      </c>
      <c r="AA1895" s="266">
        <f t="shared" si="1125"/>
        <v>0</v>
      </c>
      <c r="AB1895" s="266">
        <f>AB1898</f>
        <v>0</v>
      </c>
      <c r="AC1895" s="266">
        <f>AC1898</f>
        <v>0</v>
      </c>
      <c r="AD1895" s="266"/>
      <c r="AE1895" s="266">
        <f t="shared" si="1123"/>
        <v>0</v>
      </c>
      <c r="AF1895" s="266">
        <f>AF1898</f>
        <v>0</v>
      </c>
      <c r="AG1895" s="266">
        <v>0</v>
      </c>
      <c r="AH1895" s="266">
        <v>0</v>
      </c>
      <c r="AI1895" s="266">
        <v>0</v>
      </c>
      <c r="AJ1895" s="162" t="b">
        <f t="shared" si="1118"/>
        <v>1</v>
      </c>
      <c r="AK1895" s="162" t="str">
        <f t="shared" si="1119"/>
        <v>PRAZNO</v>
      </c>
      <c r="AL1895" s="165"/>
    </row>
    <row r="1896" spans="1:39" s="164" customFormat="1" ht="15.75" x14ac:dyDescent="0.2">
      <c r="A1896" s="259"/>
      <c r="B1896" s="177"/>
      <c r="C1896" s="177"/>
      <c r="D1896" s="177"/>
      <c r="E1896" s="177">
        <v>3293</v>
      </c>
      <c r="F1896" s="265">
        <v>17</v>
      </c>
      <c r="G1896" s="265"/>
      <c r="H1896" s="16" t="s">
        <v>533</v>
      </c>
      <c r="I1896" s="178"/>
      <c r="J1896" s="178"/>
      <c r="K1896" s="178"/>
      <c r="L1896" s="178"/>
      <c r="M1896" s="178"/>
      <c r="N1896" s="178"/>
      <c r="O1896" s="178"/>
      <c r="P1896" s="307"/>
      <c r="Q1896" s="178"/>
      <c r="R1896" s="178"/>
      <c r="S1896" s="178"/>
      <c r="T1896" s="266"/>
      <c r="U1896" s="178">
        <v>929.64</v>
      </c>
      <c r="V1896" s="266"/>
      <c r="W1896" s="266"/>
      <c r="X1896" s="266"/>
      <c r="Y1896" s="266"/>
      <c r="Z1896" s="266"/>
      <c r="AA1896" s="266"/>
      <c r="AB1896" s="266"/>
      <c r="AC1896" s="266"/>
      <c r="AD1896" s="266"/>
      <c r="AE1896" s="266"/>
      <c r="AF1896" s="266"/>
      <c r="AG1896" s="266"/>
      <c r="AH1896" s="266"/>
      <c r="AI1896" s="266"/>
      <c r="AJ1896" s="162" t="b">
        <f t="shared" si="1118"/>
        <v>0</v>
      </c>
      <c r="AK1896" s="162" t="str">
        <f t="shared" si="1119"/>
        <v>PUNO</v>
      </c>
      <c r="AL1896" s="165"/>
    </row>
    <row r="1897" spans="1:39" s="164" customFormat="1" ht="15.75" x14ac:dyDescent="0.2">
      <c r="A1897" s="259"/>
      <c r="B1897" s="177"/>
      <c r="C1897" s="177"/>
      <c r="D1897" s="177"/>
      <c r="E1897" s="177">
        <v>3299</v>
      </c>
      <c r="F1897" s="265">
        <v>17</v>
      </c>
      <c r="G1897" s="265"/>
      <c r="H1897" s="16" t="s">
        <v>531</v>
      </c>
      <c r="I1897" s="178"/>
      <c r="J1897" s="178"/>
      <c r="K1897" s="178"/>
      <c r="L1897" s="178"/>
      <c r="M1897" s="178"/>
      <c r="N1897" s="178"/>
      <c r="O1897" s="178"/>
      <c r="P1897" s="307"/>
      <c r="Q1897" s="178"/>
      <c r="R1897" s="178"/>
      <c r="S1897" s="178"/>
      <c r="T1897" s="266"/>
      <c r="U1897" s="178">
        <v>5105.51</v>
      </c>
      <c r="V1897" s="266"/>
      <c r="W1897" s="266"/>
      <c r="X1897" s="266"/>
      <c r="Y1897" s="266"/>
      <c r="Z1897" s="266"/>
      <c r="AA1897" s="266"/>
      <c r="AB1897" s="266"/>
      <c r="AC1897" s="266"/>
      <c r="AD1897" s="266"/>
      <c r="AE1897" s="266"/>
      <c r="AF1897" s="266"/>
      <c r="AG1897" s="266"/>
      <c r="AH1897" s="266"/>
      <c r="AI1897" s="266"/>
      <c r="AJ1897" s="162" t="b">
        <f t="shared" si="1118"/>
        <v>0</v>
      </c>
      <c r="AK1897" s="162" t="str">
        <f t="shared" si="1119"/>
        <v>PUNO</v>
      </c>
      <c r="AL1897" s="165"/>
    </row>
    <row r="1898" spans="1:39" s="164" customFormat="1" ht="30" x14ac:dyDescent="0.2">
      <c r="A1898" s="259"/>
      <c r="B1898" s="177"/>
      <c r="C1898" s="177"/>
      <c r="D1898" s="177"/>
      <c r="E1898" s="177">
        <v>3299</v>
      </c>
      <c r="F1898" s="265">
        <v>11</v>
      </c>
      <c r="G1898" s="265"/>
      <c r="H1898" s="16" t="s">
        <v>728</v>
      </c>
      <c r="I1898" s="178"/>
      <c r="J1898" s="178"/>
      <c r="K1898" s="178"/>
      <c r="L1898" s="178"/>
      <c r="M1898" s="178"/>
      <c r="N1898" s="178"/>
      <c r="O1898" s="178"/>
      <c r="P1898" s="307"/>
      <c r="Q1898" s="178"/>
      <c r="R1898" s="178"/>
      <c r="S1898" s="178"/>
      <c r="T1898" s="266"/>
      <c r="U1898" s="178"/>
      <c r="V1898" s="266">
        <v>0</v>
      </c>
      <c r="W1898" s="266"/>
      <c r="X1898" s="266"/>
      <c r="Y1898" s="266">
        <v>0</v>
      </c>
      <c r="Z1898" s="266"/>
      <c r="AA1898" s="266">
        <f>AB1898-V1898</f>
        <v>0</v>
      </c>
      <c r="AB1898" s="266">
        <v>0</v>
      </c>
      <c r="AC1898" s="266"/>
      <c r="AD1898" s="266" t="e">
        <f t="shared" si="1115"/>
        <v>#DIV/0!</v>
      </c>
      <c r="AE1898" s="266">
        <f t="shared" si="1123"/>
        <v>0</v>
      </c>
      <c r="AF1898" s="266">
        <v>0</v>
      </c>
      <c r="AG1898" s="266">
        <v>0</v>
      </c>
      <c r="AH1898" s="266">
        <v>0</v>
      </c>
      <c r="AI1898" s="266">
        <v>0</v>
      </c>
      <c r="AJ1898" s="162" t="b">
        <f t="shared" si="1118"/>
        <v>0</v>
      </c>
      <c r="AK1898" s="162" t="str">
        <f t="shared" si="1119"/>
        <v>PUNO</v>
      </c>
      <c r="AL1898" s="165"/>
    </row>
    <row r="1899" spans="1:39" s="264" customFormat="1" ht="15.75" x14ac:dyDescent="0.2">
      <c r="A1899" s="259"/>
      <c r="B1899" s="177"/>
      <c r="C1899" s="177">
        <v>34</v>
      </c>
      <c r="D1899" s="177"/>
      <c r="E1899" s="177"/>
      <c r="F1899" s="177"/>
      <c r="G1899" s="177"/>
      <c r="H1899" s="16" t="s">
        <v>208</v>
      </c>
      <c r="I1899" s="181"/>
      <c r="J1899" s="181"/>
      <c r="K1899" s="181"/>
      <c r="L1899" s="181"/>
      <c r="M1899" s="181"/>
      <c r="N1899" s="181"/>
      <c r="O1899" s="181"/>
      <c r="P1899" s="343"/>
      <c r="Q1899" s="181"/>
      <c r="R1899" s="181"/>
      <c r="S1899" s="181"/>
      <c r="T1899" s="307"/>
      <c r="U1899" s="181">
        <f t="shared" ref="U1899:AI1900" si="1126">U1900</f>
        <v>66236.56</v>
      </c>
      <c r="V1899" s="181">
        <f t="shared" si="1126"/>
        <v>67000</v>
      </c>
      <c r="W1899" s="181">
        <f t="shared" si="1126"/>
        <v>67000</v>
      </c>
      <c r="X1899" s="181">
        <f t="shared" si="1126"/>
        <v>67000</v>
      </c>
      <c r="Y1899" s="181">
        <f t="shared" si="1126"/>
        <v>11170.5</v>
      </c>
      <c r="Z1899" s="181">
        <f t="shared" si="1126"/>
        <v>16.670000000000002</v>
      </c>
      <c r="AA1899" s="181">
        <f t="shared" si="1126"/>
        <v>0</v>
      </c>
      <c r="AB1899" s="181">
        <f t="shared" si="1126"/>
        <v>67000</v>
      </c>
      <c r="AC1899" s="181">
        <f t="shared" si="1126"/>
        <v>65670.5</v>
      </c>
      <c r="AD1899" s="181">
        <f t="shared" si="1115"/>
        <v>98.015671641791045</v>
      </c>
      <c r="AE1899" s="181">
        <f t="shared" si="1123"/>
        <v>0</v>
      </c>
      <c r="AF1899" s="181">
        <f t="shared" si="1126"/>
        <v>67000</v>
      </c>
      <c r="AG1899" s="181">
        <f t="shared" si="1126"/>
        <v>70000</v>
      </c>
      <c r="AH1899" s="181">
        <f t="shared" si="1126"/>
        <v>70000</v>
      </c>
      <c r="AI1899" s="181">
        <f t="shared" si="1126"/>
        <v>70000</v>
      </c>
      <c r="AJ1899" s="162" t="b">
        <f t="shared" si="1118"/>
        <v>1</v>
      </c>
      <c r="AK1899" s="162" t="str">
        <f t="shared" si="1119"/>
        <v>PRAZNO</v>
      </c>
      <c r="AL1899" s="263"/>
    </row>
    <row r="1900" spans="1:39" s="264" customFormat="1" ht="15.75" x14ac:dyDescent="0.2">
      <c r="A1900" s="259"/>
      <c r="B1900" s="177"/>
      <c r="C1900" s="177"/>
      <c r="D1900" s="177">
        <v>343</v>
      </c>
      <c r="E1900" s="177"/>
      <c r="F1900" s="177"/>
      <c r="G1900" s="177"/>
      <c r="H1900" s="16" t="s">
        <v>209</v>
      </c>
      <c r="I1900" s="181"/>
      <c r="J1900" s="181"/>
      <c r="K1900" s="181"/>
      <c r="L1900" s="181"/>
      <c r="M1900" s="181"/>
      <c r="N1900" s="181"/>
      <c r="O1900" s="181"/>
      <c r="P1900" s="343"/>
      <c r="Q1900" s="181"/>
      <c r="R1900" s="181"/>
      <c r="S1900" s="181"/>
      <c r="T1900" s="307"/>
      <c r="U1900" s="181">
        <f t="shared" si="1126"/>
        <v>66236.56</v>
      </c>
      <c r="V1900" s="181">
        <f t="shared" si="1126"/>
        <v>67000</v>
      </c>
      <c r="W1900" s="181">
        <f t="shared" si="1126"/>
        <v>67000</v>
      </c>
      <c r="X1900" s="181">
        <f t="shared" si="1126"/>
        <v>67000</v>
      </c>
      <c r="Y1900" s="181">
        <f t="shared" si="1126"/>
        <v>11170.5</v>
      </c>
      <c r="Z1900" s="181">
        <f t="shared" si="1126"/>
        <v>16.670000000000002</v>
      </c>
      <c r="AA1900" s="181">
        <f t="shared" si="1126"/>
        <v>0</v>
      </c>
      <c r="AB1900" s="181">
        <f t="shared" si="1126"/>
        <v>67000</v>
      </c>
      <c r="AC1900" s="181">
        <f t="shared" si="1126"/>
        <v>65670.5</v>
      </c>
      <c r="AD1900" s="181">
        <f t="shared" si="1115"/>
        <v>98.015671641791045</v>
      </c>
      <c r="AE1900" s="181">
        <f t="shared" si="1123"/>
        <v>0</v>
      </c>
      <c r="AF1900" s="181">
        <f t="shared" si="1126"/>
        <v>67000</v>
      </c>
      <c r="AG1900" s="181">
        <f t="shared" si="1126"/>
        <v>70000</v>
      </c>
      <c r="AH1900" s="181">
        <f t="shared" si="1126"/>
        <v>70000</v>
      </c>
      <c r="AI1900" s="181">
        <f t="shared" si="1126"/>
        <v>70000</v>
      </c>
      <c r="AJ1900" s="162" t="b">
        <f t="shared" si="1118"/>
        <v>1</v>
      </c>
      <c r="AK1900" s="162" t="str">
        <f t="shared" si="1119"/>
        <v>PRAZNO</v>
      </c>
      <c r="AL1900" s="263"/>
    </row>
    <row r="1901" spans="1:39" s="164" customFormat="1" ht="30" x14ac:dyDescent="0.2">
      <c r="A1901" s="259"/>
      <c r="B1901" s="177"/>
      <c r="C1901" s="177"/>
      <c r="D1901" s="177"/>
      <c r="E1901" s="177">
        <v>3434</v>
      </c>
      <c r="F1901" s="265">
        <v>11</v>
      </c>
      <c r="G1901" s="265" t="s">
        <v>1040</v>
      </c>
      <c r="H1901" s="16" t="s">
        <v>102</v>
      </c>
      <c r="I1901" s="181"/>
      <c r="J1901" s="181"/>
      <c r="K1901" s="181"/>
      <c r="L1901" s="181"/>
      <c r="M1901" s="181"/>
      <c r="N1901" s="181"/>
      <c r="O1901" s="181"/>
      <c r="P1901" s="307"/>
      <c r="Q1901" s="181"/>
      <c r="R1901" s="181"/>
      <c r="S1901" s="181"/>
      <c r="T1901" s="307"/>
      <c r="U1901" s="181">
        <v>66236.56</v>
      </c>
      <c r="V1901" s="307">
        <v>67000</v>
      </c>
      <c r="W1901" s="307">
        <v>67000</v>
      </c>
      <c r="X1901" s="307">
        <v>67000</v>
      </c>
      <c r="Y1901" s="307">
        <v>11170.5</v>
      </c>
      <c r="Z1901" s="307">
        <f t="shared" ref="Z1901:Z1928" si="1127">ROUND(Y1901/V1901*100,2)</f>
        <v>16.670000000000002</v>
      </c>
      <c r="AA1901" s="307">
        <f>AB1901-V1901</f>
        <v>0</v>
      </c>
      <c r="AB1901" s="307">
        <v>67000</v>
      </c>
      <c r="AC1901" s="307">
        <v>65670.5</v>
      </c>
      <c r="AD1901" s="307">
        <f t="shared" si="1115"/>
        <v>98.015671641791045</v>
      </c>
      <c r="AE1901" s="307">
        <f t="shared" si="1123"/>
        <v>0</v>
      </c>
      <c r="AF1901" s="307">
        <v>67000</v>
      </c>
      <c r="AG1901" s="307">
        <v>70000</v>
      </c>
      <c r="AH1901" s="307">
        <v>70000</v>
      </c>
      <c r="AI1901" s="307">
        <v>70000</v>
      </c>
      <c r="AJ1901" s="162" t="b">
        <f t="shared" si="1118"/>
        <v>0</v>
      </c>
      <c r="AK1901" s="162" t="str">
        <f t="shared" si="1119"/>
        <v>PUNO</v>
      </c>
      <c r="AL1901" s="165"/>
    </row>
    <row r="1902" spans="1:39" ht="27" customHeight="1" x14ac:dyDescent="0.2">
      <c r="B1902" s="177"/>
      <c r="C1902" s="177">
        <v>36</v>
      </c>
      <c r="D1902" s="177"/>
      <c r="E1902" s="177"/>
      <c r="F1902" s="265"/>
      <c r="G1902" s="265"/>
      <c r="H1902" s="16" t="s">
        <v>751</v>
      </c>
      <c r="I1902" s="266">
        <f t="shared" ref="I1902:O1902" si="1128">I1903</f>
        <v>0</v>
      </c>
      <c r="J1902" s="266">
        <f t="shared" si="1128"/>
        <v>0</v>
      </c>
      <c r="K1902" s="266">
        <f t="shared" si="1128"/>
        <v>0</v>
      </c>
      <c r="L1902" s="266">
        <f t="shared" si="1128"/>
        <v>0</v>
      </c>
      <c r="M1902" s="266">
        <f t="shared" si="1128"/>
        <v>0</v>
      </c>
      <c r="N1902" s="178">
        <f t="shared" si="1128"/>
        <v>60000</v>
      </c>
      <c r="O1902" s="178">
        <f t="shared" si="1128"/>
        <v>40206.160000000003</v>
      </c>
      <c r="P1902" s="307">
        <f>T1902-N1902</f>
        <v>113000</v>
      </c>
      <c r="Q1902" s="178">
        <f>Q1903</f>
        <v>60000</v>
      </c>
      <c r="R1902" s="178"/>
      <c r="S1902" s="178"/>
      <c r="T1902" s="266">
        <f t="shared" ref="T1902:Y1902" si="1129">T1903</f>
        <v>173000</v>
      </c>
      <c r="U1902" s="178">
        <f t="shared" si="1129"/>
        <v>167183.33000000002</v>
      </c>
      <c r="V1902" s="178">
        <f t="shared" si="1129"/>
        <v>173000</v>
      </c>
      <c r="W1902" s="178">
        <f t="shared" si="1129"/>
        <v>173000</v>
      </c>
      <c r="X1902" s="178">
        <f t="shared" si="1129"/>
        <v>177000</v>
      </c>
      <c r="Y1902" s="178">
        <f t="shared" si="1129"/>
        <v>19494.39</v>
      </c>
      <c r="Z1902" s="178">
        <f t="shared" si="1127"/>
        <v>11.27</v>
      </c>
      <c r="AA1902" s="178">
        <f>AB1902-V1902</f>
        <v>0</v>
      </c>
      <c r="AB1902" s="178">
        <f>AB1903</f>
        <v>173000</v>
      </c>
      <c r="AC1902" s="178">
        <f>AC1903</f>
        <v>123247.15</v>
      </c>
      <c r="AD1902" s="178">
        <f t="shared" si="1115"/>
        <v>71.241127167630054</v>
      </c>
      <c r="AE1902" s="178">
        <f t="shared" si="1123"/>
        <v>0</v>
      </c>
      <c r="AF1902" s="178">
        <f>AF1903</f>
        <v>173000</v>
      </c>
      <c r="AG1902" s="178">
        <f>AG1903</f>
        <v>223000</v>
      </c>
      <c r="AH1902" s="178">
        <f>AH1903</f>
        <v>223000</v>
      </c>
      <c r="AI1902" s="178">
        <f>AI1903</f>
        <v>223000</v>
      </c>
      <c r="AJ1902" s="162" t="b">
        <f t="shared" si="1118"/>
        <v>1</v>
      </c>
      <c r="AK1902" s="162" t="str">
        <f t="shared" si="1119"/>
        <v>PRAZNO</v>
      </c>
      <c r="AM1902" s="164"/>
    </row>
    <row r="1903" spans="1:39" ht="15.75" x14ac:dyDescent="0.2">
      <c r="B1903" s="177"/>
      <c r="C1903" s="177"/>
      <c r="D1903" s="177">
        <v>363</v>
      </c>
      <c r="E1903" s="177"/>
      <c r="F1903" s="265"/>
      <c r="G1903" s="265"/>
      <c r="H1903" s="16" t="s">
        <v>536</v>
      </c>
      <c r="I1903" s="266">
        <f t="shared" ref="I1903:O1903" si="1130">I1904+I1905</f>
        <v>0</v>
      </c>
      <c r="J1903" s="266">
        <f t="shared" si="1130"/>
        <v>0</v>
      </c>
      <c r="K1903" s="266">
        <f t="shared" si="1130"/>
        <v>0</v>
      </c>
      <c r="L1903" s="266">
        <f t="shared" si="1130"/>
        <v>0</v>
      </c>
      <c r="M1903" s="266">
        <f t="shared" si="1130"/>
        <v>0</v>
      </c>
      <c r="N1903" s="266">
        <f t="shared" si="1130"/>
        <v>60000</v>
      </c>
      <c r="O1903" s="266">
        <f t="shared" si="1130"/>
        <v>40206.160000000003</v>
      </c>
      <c r="P1903" s="307">
        <f>T1903-N1903</f>
        <v>113000</v>
      </c>
      <c r="Q1903" s="178">
        <f>Q1905</f>
        <v>60000</v>
      </c>
      <c r="R1903" s="178"/>
      <c r="S1903" s="178"/>
      <c r="T1903" s="266">
        <f t="shared" ref="T1903:Y1903" si="1131">T1904+T1905</f>
        <v>173000</v>
      </c>
      <c r="U1903" s="178">
        <f t="shared" si="1131"/>
        <v>167183.33000000002</v>
      </c>
      <c r="V1903" s="266">
        <f t="shared" si="1131"/>
        <v>173000</v>
      </c>
      <c r="W1903" s="266">
        <f t="shared" si="1131"/>
        <v>173000</v>
      </c>
      <c r="X1903" s="266">
        <f t="shared" si="1131"/>
        <v>177000</v>
      </c>
      <c r="Y1903" s="266">
        <f t="shared" si="1131"/>
        <v>19494.39</v>
      </c>
      <c r="Z1903" s="266">
        <f t="shared" si="1127"/>
        <v>11.27</v>
      </c>
      <c r="AA1903" s="266">
        <f>AB1903-V1903</f>
        <v>0</v>
      </c>
      <c r="AB1903" s="266">
        <f>AB1904+AB1905</f>
        <v>173000</v>
      </c>
      <c r="AC1903" s="266">
        <f>AC1904+AC1905</f>
        <v>123247.15</v>
      </c>
      <c r="AD1903" s="266">
        <f t="shared" si="1115"/>
        <v>71.241127167630054</v>
      </c>
      <c r="AE1903" s="266">
        <f t="shared" si="1123"/>
        <v>0</v>
      </c>
      <c r="AF1903" s="266">
        <f>AF1904+AF1905</f>
        <v>173000</v>
      </c>
      <c r="AG1903" s="266">
        <f>AG1904+AG1905+AG1906</f>
        <v>223000</v>
      </c>
      <c r="AH1903" s="266">
        <f>AH1904+AH1905+AH1906</f>
        <v>223000</v>
      </c>
      <c r="AI1903" s="266">
        <f>AI1904+AI1905+AI1906</f>
        <v>223000</v>
      </c>
      <c r="AJ1903" s="162" t="b">
        <f t="shared" si="1118"/>
        <v>1</v>
      </c>
      <c r="AK1903" s="162" t="str">
        <f t="shared" si="1119"/>
        <v>PRAZNO</v>
      </c>
      <c r="AM1903" s="164"/>
    </row>
    <row r="1904" spans="1:39" ht="30" x14ac:dyDescent="0.2">
      <c r="B1904" s="177"/>
      <c r="C1904" s="177"/>
      <c r="D1904" s="177"/>
      <c r="E1904" s="177">
        <v>3631</v>
      </c>
      <c r="F1904" s="265">
        <v>11</v>
      </c>
      <c r="G1904" s="265"/>
      <c r="H1904" s="16" t="s">
        <v>259</v>
      </c>
      <c r="I1904" s="266"/>
      <c r="J1904" s="266"/>
      <c r="K1904" s="266"/>
      <c r="L1904" s="266"/>
      <c r="M1904" s="266">
        <v>0</v>
      </c>
      <c r="N1904" s="178">
        <v>0</v>
      </c>
      <c r="O1904" s="178">
        <v>0</v>
      </c>
      <c r="P1904" s="307">
        <f>T1904-N1904</f>
        <v>100000</v>
      </c>
      <c r="Q1904" s="178"/>
      <c r="R1904" s="178"/>
      <c r="S1904" s="178"/>
      <c r="T1904" s="266">
        <v>100000</v>
      </c>
      <c r="U1904" s="178">
        <v>100000</v>
      </c>
      <c r="V1904" s="266">
        <v>100000</v>
      </c>
      <c r="W1904" s="266">
        <v>100000</v>
      </c>
      <c r="X1904" s="266">
        <v>100000</v>
      </c>
      <c r="Y1904" s="266">
        <v>0</v>
      </c>
      <c r="Z1904" s="266">
        <f t="shared" si="1127"/>
        <v>0</v>
      </c>
      <c r="AA1904" s="266">
        <f>AB1904-V1904</f>
        <v>0</v>
      </c>
      <c r="AB1904" s="266">
        <v>100000</v>
      </c>
      <c r="AC1904" s="266">
        <v>123247.15</v>
      </c>
      <c r="AD1904" s="266">
        <f t="shared" si="1115"/>
        <v>123.24714999999999</v>
      </c>
      <c r="AE1904" s="665">
        <f t="shared" si="1123"/>
        <v>0</v>
      </c>
      <c r="AF1904" s="266">
        <v>100000</v>
      </c>
      <c r="AG1904" s="266">
        <v>100000</v>
      </c>
      <c r="AH1904" s="266">
        <v>100000</v>
      </c>
      <c r="AI1904" s="266">
        <v>100000</v>
      </c>
      <c r="AJ1904" s="162" t="b">
        <f t="shared" si="1118"/>
        <v>0</v>
      </c>
      <c r="AK1904" s="162" t="str">
        <f t="shared" si="1119"/>
        <v>PUNO</v>
      </c>
      <c r="AM1904" s="164"/>
    </row>
    <row r="1905" spans="1:39" ht="30" x14ac:dyDescent="0.2">
      <c r="B1905" s="177"/>
      <c r="C1905" s="177"/>
      <c r="D1905" s="177"/>
      <c r="E1905" s="177">
        <v>3631</v>
      </c>
      <c r="F1905" s="265">
        <v>11</v>
      </c>
      <c r="G1905" s="265"/>
      <c r="H1905" s="16" t="s">
        <v>14</v>
      </c>
      <c r="I1905" s="266">
        <v>0</v>
      </c>
      <c r="J1905" s="266">
        <v>0</v>
      </c>
      <c r="K1905" s="266">
        <v>0</v>
      </c>
      <c r="L1905" s="266">
        <v>0</v>
      </c>
      <c r="M1905" s="266">
        <v>0</v>
      </c>
      <c r="N1905" s="178">
        <v>60000</v>
      </c>
      <c r="O1905" s="178">
        <v>40206.160000000003</v>
      </c>
      <c r="P1905" s="307">
        <f>T1905-N1905</f>
        <v>13000</v>
      </c>
      <c r="Q1905" s="178">
        <v>60000</v>
      </c>
      <c r="R1905" s="178"/>
      <c r="S1905" s="178"/>
      <c r="T1905" s="266">
        <v>73000</v>
      </c>
      <c r="U1905" s="178">
        <v>67183.33</v>
      </c>
      <c r="V1905" s="266">
        <v>73000</v>
      </c>
      <c r="W1905" s="266">
        <v>73000</v>
      </c>
      <c r="X1905" s="266">
        <v>77000</v>
      </c>
      <c r="Y1905" s="266">
        <v>19494.39</v>
      </c>
      <c r="Z1905" s="266">
        <f t="shared" si="1127"/>
        <v>26.7</v>
      </c>
      <c r="AA1905" s="266">
        <f>AB1905-V1905</f>
        <v>0</v>
      </c>
      <c r="AB1905" s="266">
        <v>73000</v>
      </c>
      <c r="AC1905" s="266"/>
      <c r="AD1905" s="266">
        <f t="shared" si="1115"/>
        <v>0</v>
      </c>
      <c r="AE1905" s="665">
        <f t="shared" si="1123"/>
        <v>0</v>
      </c>
      <c r="AF1905" s="266">
        <v>73000</v>
      </c>
      <c r="AG1905" s="266">
        <v>73000</v>
      </c>
      <c r="AH1905" s="266">
        <v>73000</v>
      </c>
      <c r="AI1905" s="266">
        <v>73000</v>
      </c>
      <c r="AJ1905" s="162" t="b">
        <f t="shared" si="1118"/>
        <v>0</v>
      </c>
      <c r="AK1905" s="162" t="str">
        <f t="shared" si="1119"/>
        <v>PUNO</v>
      </c>
      <c r="AM1905" s="164"/>
    </row>
    <row r="1906" spans="1:39" ht="30" x14ac:dyDescent="0.2">
      <c r="B1906" s="177"/>
      <c r="C1906" s="177"/>
      <c r="D1906" s="177"/>
      <c r="E1906" s="177">
        <v>3631</v>
      </c>
      <c r="F1906" s="265">
        <v>11</v>
      </c>
      <c r="G1906" s="265"/>
      <c r="H1906" s="16" t="s">
        <v>118</v>
      </c>
      <c r="I1906" s="266"/>
      <c r="J1906" s="266"/>
      <c r="K1906" s="266"/>
      <c r="L1906" s="266"/>
      <c r="M1906" s="266"/>
      <c r="N1906" s="178"/>
      <c r="O1906" s="178"/>
      <c r="P1906" s="307"/>
      <c r="Q1906" s="178"/>
      <c r="R1906" s="178"/>
      <c r="S1906" s="178"/>
      <c r="T1906" s="266"/>
      <c r="U1906" s="178"/>
      <c r="V1906" s="266"/>
      <c r="W1906" s="266"/>
      <c r="X1906" s="266"/>
      <c r="Y1906" s="266"/>
      <c r="Z1906" s="266"/>
      <c r="AA1906" s="266"/>
      <c r="AB1906" s="266"/>
      <c r="AC1906" s="266"/>
      <c r="AD1906" s="266"/>
      <c r="AE1906" s="665"/>
      <c r="AF1906" s="266"/>
      <c r="AG1906" s="697">
        <v>50000</v>
      </c>
      <c r="AH1906" s="697">
        <v>50000</v>
      </c>
      <c r="AI1906" s="697">
        <v>50000</v>
      </c>
      <c r="AJ1906" s="162" t="b">
        <f t="shared" si="1118"/>
        <v>0</v>
      </c>
      <c r="AK1906" s="162" t="str">
        <f t="shared" si="1119"/>
        <v>PUNO</v>
      </c>
      <c r="AM1906" s="164"/>
    </row>
    <row r="1907" spans="1:39" s="264" customFormat="1" ht="15.75" x14ac:dyDescent="0.2">
      <c r="A1907" s="259"/>
      <c r="B1907" s="260"/>
      <c r="C1907" s="260"/>
      <c r="D1907" s="260"/>
      <c r="E1907" s="260"/>
      <c r="F1907" s="260"/>
      <c r="G1907" s="260"/>
      <c r="H1907" s="440" t="s">
        <v>15</v>
      </c>
      <c r="I1907" s="181"/>
      <c r="J1907" s="181"/>
      <c r="K1907" s="181"/>
      <c r="L1907" s="181"/>
      <c r="M1907" s="262"/>
      <c r="N1907" s="262"/>
      <c r="O1907" s="262"/>
      <c r="P1907" s="445"/>
      <c r="Q1907" s="262"/>
      <c r="R1907" s="262"/>
      <c r="S1907" s="262"/>
      <c r="T1907" s="342"/>
      <c r="U1907" s="342"/>
      <c r="V1907" s="262">
        <f>V1908</f>
        <v>211600</v>
      </c>
      <c r="W1907" s="262" t="e">
        <f>W1908</f>
        <v>#REF!</v>
      </c>
      <c r="X1907" s="262" t="e">
        <f>X1908</f>
        <v>#REF!</v>
      </c>
      <c r="Y1907" s="262">
        <f>Y1908</f>
        <v>39248.200000000004</v>
      </c>
      <c r="Z1907" s="262">
        <f t="shared" si="1127"/>
        <v>18.55</v>
      </c>
      <c r="AA1907" s="262">
        <f t="shared" ref="AA1907:AC1908" si="1132">AA1908</f>
        <v>16900</v>
      </c>
      <c r="AB1907" s="262">
        <f t="shared" si="1132"/>
        <v>228500</v>
      </c>
      <c r="AC1907" s="262">
        <f t="shared" si="1132"/>
        <v>75475.349999999991</v>
      </c>
      <c r="AD1907" s="262">
        <f t="shared" si="1115"/>
        <v>33.030787746170674</v>
      </c>
      <c r="AE1907" s="262">
        <f t="shared" si="1123"/>
        <v>2700</v>
      </c>
      <c r="AF1907" s="262">
        <f t="shared" ref="AF1907:AI1908" si="1133">AF1908</f>
        <v>231200</v>
      </c>
      <c r="AG1907" s="262">
        <f t="shared" si="1133"/>
        <v>225000</v>
      </c>
      <c r="AH1907" s="262">
        <f t="shared" si="1133"/>
        <v>224900</v>
      </c>
      <c r="AI1907" s="262">
        <f t="shared" si="1133"/>
        <v>233900</v>
      </c>
      <c r="AJ1907" s="162" t="b">
        <f t="shared" si="1118"/>
        <v>1</v>
      </c>
      <c r="AK1907" s="162" t="str">
        <f t="shared" si="1119"/>
        <v>PRAZNO</v>
      </c>
      <c r="AL1907" s="263"/>
    </row>
    <row r="1908" spans="1:39" s="174" customFormat="1" ht="15.75" x14ac:dyDescent="0.2">
      <c r="A1908" s="259"/>
      <c r="B1908" s="172">
        <v>3</v>
      </c>
      <c r="C1908" s="172"/>
      <c r="D1908" s="172"/>
      <c r="E1908" s="172"/>
      <c r="F1908" s="172"/>
      <c r="G1908" s="172"/>
      <c r="H1908" s="14" t="s">
        <v>524</v>
      </c>
      <c r="I1908" s="20" t="e">
        <f>#REF!+I1909</f>
        <v>#REF!</v>
      </c>
      <c r="J1908" s="20" t="e">
        <f>#REF!+J1909</f>
        <v>#REF!</v>
      </c>
      <c r="K1908" s="20" t="e">
        <f>ROUND(J1908/I1908*100,2)</f>
        <v>#REF!</v>
      </c>
      <c r="L1908" s="20" t="e">
        <f>M1908-I1908</f>
        <v>#REF!</v>
      </c>
      <c r="M1908" s="20" t="e">
        <f>#REF!+M1909</f>
        <v>#REF!</v>
      </c>
      <c r="N1908" s="20" t="e">
        <f>#REF!+N1909+#REF!+#REF!</f>
        <v>#REF!</v>
      </c>
      <c r="O1908" s="20" t="e">
        <f>#REF!+O1909+#REF!+#REF!</f>
        <v>#REF!</v>
      </c>
      <c r="P1908" s="55" t="e">
        <f t="shared" ref="P1908:P1922" si="1134">T1908-N1908</f>
        <v>#REF!</v>
      </c>
      <c r="Q1908" s="20" t="e">
        <f>#REF!+Q1909+#REF!+#REF!</f>
        <v>#REF!</v>
      </c>
      <c r="R1908" s="20" t="e">
        <f>#REF!+R1909</f>
        <v>#REF!</v>
      </c>
      <c r="S1908" s="20" t="e">
        <f>#REF!+S1909</f>
        <v>#REF!</v>
      </c>
      <c r="T1908" s="20">
        <f>T1909</f>
        <v>196600</v>
      </c>
      <c r="U1908" s="20">
        <f>U1909</f>
        <v>0</v>
      </c>
      <c r="V1908" s="20">
        <f>V1909</f>
        <v>211600</v>
      </c>
      <c r="W1908" s="20" t="e">
        <f>#REF!+W1909+#REF!+#REF!</f>
        <v>#REF!</v>
      </c>
      <c r="X1908" s="20" t="e">
        <f>#REF!+X1909+#REF!+#REF!</f>
        <v>#REF!</v>
      </c>
      <c r="Y1908" s="20">
        <f>Y1909</f>
        <v>39248.200000000004</v>
      </c>
      <c r="Z1908" s="20">
        <f t="shared" si="1127"/>
        <v>18.55</v>
      </c>
      <c r="AA1908" s="20">
        <f t="shared" si="1132"/>
        <v>16900</v>
      </c>
      <c r="AB1908" s="20">
        <f t="shared" si="1132"/>
        <v>228500</v>
      </c>
      <c r="AC1908" s="20">
        <f t="shared" si="1132"/>
        <v>75475.349999999991</v>
      </c>
      <c r="AD1908" s="20">
        <f t="shared" si="1115"/>
        <v>33.030787746170674</v>
      </c>
      <c r="AE1908" s="20">
        <f>AE1909</f>
        <v>2700</v>
      </c>
      <c r="AF1908" s="20">
        <f t="shared" si="1133"/>
        <v>231200</v>
      </c>
      <c r="AG1908" s="20">
        <f t="shared" si="1133"/>
        <v>225000</v>
      </c>
      <c r="AH1908" s="20">
        <f t="shared" si="1133"/>
        <v>224900</v>
      </c>
      <c r="AI1908" s="20">
        <f t="shared" si="1133"/>
        <v>233900</v>
      </c>
      <c r="AJ1908" s="162" t="b">
        <f t="shared" si="1118"/>
        <v>1</v>
      </c>
      <c r="AK1908" s="162" t="str">
        <f t="shared" si="1119"/>
        <v>PRAZNO</v>
      </c>
      <c r="AL1908" s="173"/>
      <c r="AM1908" s="164"/>
    </row>
    <row r="1909" spans="1:39" ht="15.75" x14ac:dyDescent="0.2">
      <c r="B1909" s="175"/>
      <c r="C1909" s="175">
        <v>32</v>
      </c>
      <c r="D1909" s="175"/>
      <c r="E1909" s="175"/>
      <c r="F1909" s="175"/>
      <c r="G1909" s="175"/>
      <c r="H1909" s="39" t="s">
        <v>525</v>
      </c>
      <c r="I1909" s="183" t="e">
        <f>I1913+I1919+I1926+I1910</f>
        <v>#REF!</v>
      </c>
      <c r="J1909" s="183" t="e">
        <f>J1913+J1919+J1926+J1910</f>
        <v>#REF!</v>
      </c>
      <c r="K1909" s="183" t="e">
        <f>ROUND(J1909/I1909*100,2)</f>
        <v>#REF!</v>
      </c>
      <c r="L1909" s="183" t="e">
        <f>M1909-I1909</f>
        <v>#REF!</v>
      </c>
      <c r="M1909" s="183" t="e">
        <f>M1913+M1919+M1926+M1910</f>
        <v>#REF!</v>
      </c>
      <c r="N1909" s="183">
        <f>N1913+N1919+N1926+N1910</f>
        <v>170100</v>
      </c>
      <c r="O1909" s="183">
        <f>O1913+O1919+O1926+O1910</f>
        <v>42355.4</v>
      </c>
      <c r="P1909" s="307">
        <f t="shared" si="1134"/>
        <v>26500</v>
      </c>
      <c r="Q1909" s="183">
        <f t="shared" ref="Q1909:Y1909" si="1135">Q1913+Q1919+Q1926+Q1910</f>
        <v>170100</v>
      </c>
      <c r="R1909" s="183">
        <f t="shared" si="1135"/>
        <v>148700</v>
      </c>
      <c r="S1909" s="183">
        <f t="shared" si="1135"/>
        <v>153700</v>
      </c>
      <c r="T1909" s="340">
        <f t="shared" si="1135"/>
        <v>196600</v>
      </c>
      <c r="U1909" s="340">
        <f>U1913+U1919+U1926+U1910</f>
        <v>0</v>
      </c>
      <c r="V1909" s="183">
        <f t="shared" si="1135"/>
        <v>211600</v>
      </c>
      <c r="W1909" s="183">
        <f t="shared" si="1135"/>
        <v>202800</v>
      </c>
      <c r="X1909" s="183">
        <f t="shared" si="1135"/>
        <v>209100</v>
      </c>
      <c r="Y1909" s="183">
        <f t="shared" si="1135"/>
        <v>39248.200000000004</v>
      </c>
      <c r="Z1909" s="183">
        <f t="shared" si="1127"/>
        <v>18.55</v>
      </c>
      <c r="AA1909" s="183">
        <f>AB1909-V1909</f>
        <v>16900</v>
      </c>
      <c r="AB1909" s="183">
        <f>AB1913+AB1919+AB1926+AB1910</f>
        <v>228500</v>
      </c>
      <c r="AC1909" s="183">
        <f>AC1913+AC1919+AC1926+AC1910</f>
        <v>75475.349999999991</v>
      </c>
      <c r="AD1909" s="183">
        <f t="shared" si="1115"/>
        <v>33.030787746170674</v>
      </c>
      <c r="AE1909" s="183">
        <f t="shared" si="1123"/>
        <v>2700</v>
      </c>
      <c r="AF1909" s="183">
        <f>AF1913+AF1919+AF1926+AF1910</f>
        <v>231200</v>
      </c>
      <c r="AG1909" s="183">
        <f>AG1913+AG1919+AG1926+AG1910</f>
        <v>225000</v>
      </c>
      <c r="AH1909" s="183">
        <f>AH1913+AH1919+AH1926+AH1910</f>
        <v>224900</v>
      </c>
      <c r="AI1909" s="183">
        <f>AI1913+AI1919+AI1926+AI1910</f>
        <v>233900</v>
      </c>
      <c r="AJ1909" s="162" t="b">
        <f t="shared" si="1118"/>
        <v>1</v>
      </c>
      <c r="AK1909" s="162" t="str">
        <f t="shared" si="1119"/>
        <v>PRAZNO</v>
      </c>
      <c r="AM1909" s="164"/>
    </row>
    <row r="1910" spans="1:39" ht="15.75" x14ac:dyDescent="0.2">
      <c r="B1910" s="175"/>
      <c r="C1910" s="175"/>
      <c r="D1910" s="175">
        <v>321</v>
      </c>
      <c r="E1910" s="175"/>
      <c r="F1910" s="175"/>
      <c r="G1910" s="175"/>
      <c r="H1910" s="16" t="s">
        <v>564</v>
      </c>
      <c r="I1910" s="183" t="e">
        <f>SUM(#REF!)</f>
        <v>#REF!</v>
      </c>
      <c r="J1910" s="183" t="e">
        <f>SUM(#REF!)</f>
        <v>#REF!</v>
      </c>
      <c r="K1910" s="183" t="e">
        <f>ROUND(J1910/I1910*100,2)</f>
        <v>#REF!</v>
      </c>
      <c r="L1910" s="183" t="e">
        <f>M1910-I1910</f>
        <v>#REF!</v>
      </c>
      <c r="M1910" s="183" t="e">
        <f>SUM(#REF!)</f>
        <v>#REF!</v>
      </c>
      <c r="N1910" s="183">
        <f>SUM(N1911:N1912)</f>
        <v>14500</v>
      </c>
      <c r="O1910" s="183">
        <f>SUM(O1911:O1912)</f>
        <v>2862.4</v>
      </c>
      <c r="P1910" s="307">
        <f t="shared" si="1134"/>
        <v>1000</v>
      </c>
      <c r="Q1910" s="183">
        <f t="shared" ref="Q1910:Y1910" si="1136">SUM(Q1911:Q1912)</f>
        <v>14500</v>
      </c>
      <c r="R1910" s="183">
        <f t="shared" si="1136"/>
        <v>2500</v>
      </c>
      <c r="S1910" s="183">
        <f t="shared" si="1136"/>
        <v>2500</v>
      </c>
      <c r="T1910" s="340">
        <f t="shared" si="1136"/>
        <v>15500</v>
      </c>
      <c r="U1910" s="340">
        <f>SUM(U1911:U1912)</f>
        <v>0</v>
      </c>
      <c r="V1910" s="183">
        <f t="shared" si="1136"/>
        <v>16500</v>
      </c>
      <c r="W1910" s="183">
        <f t="shared" si="1136"/>
        <v>16500</v>
      </c>
      <c r="X1910" s="183">
        <f t="shared" si="1136"/>
        <v>17500</v>
      </c>
      <c r="Y1910" s="183">
        <f t="shared" si="1136"/>
        <v>1101.8</v>
      </c>
      <c r="Z1910" s="183">
        <f t="shared" si="1127"/>
        <v>6.68</v>
      </c>
      <c r="AA1910" s="183">
        <f>AB1910-V1910</f>
        <v>-300</v>
      </c>
      <c r="AB1910" s="183">
        <f>SUM(AB1911:AB1912)</f>
        <v>16200</v>
      </c>
      <c r="AC1910" s="183">
        <f>SUM(AC1911:AC1912)</f>
        <v>3579.2</v>
      </c>
      <c r="AD1910" s="183">
        <f t="shared" si="1115"/>
        <v>22.093827160493827</v>
      </c>
      <c r="AE1910" s="183">
        <f t="shared" si="1123"/>
        <v>-1000</v>
      </c>
      <c r="AF1910" s="183">
        <f>SUM(AF1911:AF1912)</f>
        <v>15200</v>
      </c>
      <c r="AG1910" s="183">
        <f>SUM(AG1911:AG1912)</f>
        <v>20500</v>
      </c>
      <c r="AH1910" s="183">
        <f>SUM(AH1911:AH1912)</f>
        <v>23500</v>
      </c>
      <c r="AI1910" s="183">
        <f>SUM(AI1911:AI1912)</f>
        <v>31500</v>
      </c>
      <c r="AJ1910" s="162" t="b">
        <f t="shared" si="1118"/>
        <v>1</v>
      </c>
      <c r="AK1910" s="162" t="str">
        <f t="shared" si="1119"/>
        <v>PRAZNO</v>
      </c>
      <c r="AM1910" s="164"/>
    </row>
    <row r="1911" spans="1:39" s="164" customFormat="1" ht="15.75" x14ac:dyDescent="0.2">
      <c r="A1911" s="259"/>
      <c r="B1911" s="175"/>
      <c r="C1911" s="175"/>
      <c r="D1911" s="175"/>
      <c r="E1911" s="175">
        <v>3211</v>
      </c>
      <c r="F1911" s="265">
        <v>31</v>
      </c>
      <c r="G1911" s="175"/>
      <c r="H1911" s="29" t="s">
        <v>565</v>
      </c>
      <c r="I1911" s="183"/>
      <c r="J1911" s="183"/>
      <c r="K1911" s="183"/>
      <c r="L1911" s="183"/>
      <c r="M1911" s="183">
        <v>0</v>
      </c>
      <c r="N1911" s="183">
        <v>13500</v>
      </c>
      <c r="O1911" s="183">
        <v>2566.4</v>
      </c>
      <c r="P1911" s="307">
        <f t="shared" si="1134"/>
        <v>1000</v>
      </c>
      <c r="Q1911" s="183">
        <v>13500</v>
      </c>
      <c r="R1911" s="183">
        <v>1500</v>
      </c>
      <c r="S1911" s="183">
        <v>1500</v>
      </c>
      <c r="T1911" s="340">
        <v>14500</v>
      </c>
      <c r="U1911" s="340"/>
      <c r="V1911" s="340">
        <v>15500</v>
      </c>
      <c r="W1911" s="340">
        <v>15500</v>
      </c>
      <c r="X1911" s="340">
        <v>16500</v>
      </c>
      <c r="Y1911" s="340">
        <v>1101.8</v>
      </c>
      <c r="Z1911" s="340">
        <f t="shared" si="1127"/>
        <v>7.11</v>
      </c>
      <c r="AA1911" s="340">
        <f t="shared" ref="AA1911:AA1928" si="1137">AB1911-V1911</f>
        <v>-300</v>
      </c>
      <c r="AB1911" s="340">
        <v>15200</v>
      </c>
      <c r="AC1911" s="340">
        <v>3191.2</v>
      </c>
      <c r="AD1911" s="340">
        <f t="shared" si="1115"/>
        <v>20.994736842105262</v>
      </c>
      <c r="AE1911" s="266">
        <f t="shared" si="1123"/>
        <v>-1000</v>
      </c>
      <c r="AF1911" s="340">
        <v>14200</v>
      </c>
      <c r="AG1911" s="340">
        <f>7000+5000+7500</f>
        <v>19500</v>
      </c>
      <c r="AH1911" s="340">
        <f>22500</f>
        <v>22500</v>
      </c>
      <c r="AI1911" s="340">
        <f>30500</f>
        <v>30500</v>
      </c>
      <c r="AJ1911" s="162" t="b">
        <f t="shared" si="1118"/>
        <v>0</v>
      </c>
      <c r="AK1911" s="162" t="str">
        <f t="shared" si="1119"/>
        <v>PUNO</v>
      </c>
      <c r="AL1911" s="165"/>
    </row>
    <row r="1912" spans="1:39" s="164" customFormat="1" ht="18" customHeight="1" x14ac:dyDescent="0.2">
      <c r="A1912" s="259"/>
      <c r="B1912" s="175"/>
      <c r="C1912" s="175"/>
      <c r="D1912" s="175"/>
      <c r="E1912" s="175">
        <v>3214</v>
      </c>
      <c r="F1912" s="265">
        <v>31</v>
      </c>
      <c r="G1912" s="265"/>
      <c r="H1912" s="16" t="s">
        <v>852</v>
      </c>
      <c r="I1912" s="183"/>
      <c r="J1912" s="183"/>
      <c r="K1912" s="183"/>
      <c r="L1912" s="183"/>
      <c r="M1912" s="183">
        <v>0</v>
      </c>
      <c r="N1912" s="183">
        <v>1000</v>
      </c>
      <c r="O1912" s="183">
        <v>296</v>
      </c>
      <c r="P1912" s="307">
        <f t="shared" si="1134"/>
        <v>0</v>
      </c>
      <c r="Q1912" s="183">
        <v>1000</v>
      </c>
      <c r="R1912" s="183">
        <v>1000</v>
      </c>
      <c r="S1912" s="183">
        <v>1000</v>
      </c>
      <c r="T1912" s="340">
        <v>1000</v>
      </c>
      <c r="U1912" s="340"/>
      <c r="V1912" s="340">
        <v>1000</v>
      </c>
      <c r="W1912" s="340">
        <v>1000</v>
      </c>
      <c r="X1912" s="340">
        <v>1000</v>
      </c>
      <c r="Y1912" s="340">
        <v>0</v>
      </c>
      <c r="Z1912" s="340">
        <f t="shared" si="1127"/>
        <v>0</v>
      </c>
      <c r="AA1912" s="340">
        <f t="shared" si="1137"/>
        <v>0</v>
      </c>
      <c r="AB1912" s="340">
        <v>1000</v>
      </c>
      <c r="AC1912" s="340">
        <v>388</v>
      </c>
      <c r="AD1912" s="340">
        <f t="shared" si="1115"/>
        <v>38.800000000000004</v>
      </c>
      <c r="AE1912" s="340">
        <v>0</v>
      </c>
      <c r="AF1912" s="340">
        <v>1000</v>
      </c>
      <c r="AG1912" s="340">
        <v>1000</v>
      </c>
      <c r="AH1912" s="340">
        <v>1000</v>
      </c>
      <c r="AI1912" s="340">
        <v>1000</v>
      </c>
      <c r="AJ1912" s="162" t="b">
        <f t="shared" si="1118"/>
        <v>0</v>
      </c>
      <c r="AK1912" s="162" t="str">
        <f t="shared" si="1119"/>
        <v>PUNO</v>
      </c>
      <c r="AL1912" s="165"/>
    </row>
    <row r="1913" spans="1:39" ht="15.75" x14ac:dyDescent="0.2">
      <c r="B1913" s="177"/>
      <c r="C1913" s="177"/>
      <c r="D1913" s="177">
        <v>322</v>
      </c>
      <c r="E1913" s="177"/>
      <c r="F1913" s="265"/>
      <c r="G1913" s="177"/>
      <c r="H1913" s="16" t="s">
        <v>547</v>
      </c>
      <c r="I1913" s="181">
        <f>SUM(I1914:I1916)</f>
        <v>13500</v>
      </c>
      <c r="J1913" s="181">
        <f>SUM(J1914:J1916)</f>
        <v>0</v>
      </c>
      <c r="K1913" s="181">
        <f>ROUND(J1913/I1913*100,2)</f>
        <v>0</v>
      </c>
      <c r="L1913" s="181">
        <f>M1913-I1913</f>
        <v>278.22000000000116</v>
      </c>
      <c r="M1913" s="181">
        <f>SUM(M1914:M1917)</f>
        <v>13778.220000000001</v>
      </c>
      <c r="N1913" s="181">
        <f>SUM(N1914:N1918)</f>
        <v>99100</v>
      </c>
      <c r="O1913" s="181">
        <f>SUM(O1914:O1918)</f>
        <v>19216.38</v>
      </c>
      <c r="P1913" s="307">
        <f t="shared" si="1134"/>
        <v>18000</v>
      </c>
      <c r="Q1913" s="181">
        <f t="shared" ref="Q1913:Y1913" si="1138">SUM(Q1914:Q1918)</f>
        <v>99100</v>
      </c>
      <c r="R1913" s="181">
        <f t="shared" si="1138"/>
        <v>73000</v>
      </c>
      <c r="S1913" s="181">
        <f t="shared" si="1138"/>
        <v>77500</v>
      </c>
      <c r="T1913" s="307">
        <f t="shared" si="1138"/>
        <v>117100</v>
      </c>
      <c r="U1913" s="307">
        <f>SUM(U1914:U1918)</f>
        <v>0</v>
      </c>
      <c r="V1913" s="181">
        <f t="shared" si="1138"/>
        <v>126600</v>
      </c>
      <c r="W1913" s="181">
        <f t="shared" si="1138"/>
        <v>116700</v>
      </c>
      <c r="X1913" s="181">
        <f t="shared" si="1138"/>
        <v>122000</v>
      </c>
      <c r="Y1913" s="181">
        <f t="shared" si="1138"/>
        <v>38056.239999999998</v>
      </c>
      <c r="Z1913" s="181">
        <f t="shared" si="1127"/>
        <v>30.06</v>
      </c>
      <c r="AA1913" s="181">
        <f t="shared" si="1137"/>
        <v>23300</v>
      </c>
      <c r="AB1913" s="181">
        <f>SUM(AB1914:AB1918)</f>
        <v>149900</v>
      </c>
      <c r="AC1913" s="181">
        <v>58799.42</v>
      </c>
      <c r="AD1913" s="181">
        <f t="shared" si="1115"/>
        <v>39.225763842561705</v>
      </c>
      <c r="AE1913" s="181">
        <f t="shared" si="1123"/>
        <v>-4000</v>
      </c>
      <c r="AF1913" s="181">
        <f>SUM(AF1914:AF1918)</f>
        <v>145900</v>
      </c>
      <c r="AG1913" s="181">
        <f>SUM(AG1914:AG1918)</f>
        <v>146500</v>
      </c>
      <c r="AH1913" s="181">
        <f>SUM(AH1914:AH1918)</f>
        <v>140900</v>
      </c>
      <c r="AI1913" s="181">
        <f>SUM(AI1914:AI1918)</f>
        <v>141900</v>
      </c>
      <c r="AJ1913" s="162" t="b">
        <f t="shared" si="1118"/>
        <v>1</v>
      </c>
      <c r="AK1913" s="162" t="str">
        <f t="shared" si="1119"/>
        <v>PRAZNO</v>
      </c>
      <c r="AM1913" s="164"/>
    </row>
    <row r="1914" spans="1:39" s="164" customFormat="1" ht="15.75" x14ac:dyDescent="0.2">
      <c r="A1914" s="259"/>
      <c r="B1914" s="177"/>
      <c r="C1914" s="177"/>
      <c r="D1914" s="177"/>
      <c r="E1914" s="177">
        <v>3221</v>
      </c>
      <c r="F1914" s="265">
        <v>31</v>
      </c>
      <c r="G1914" s="265" t="s">
        <v>1040</v>
      </c>
      <c r="H1914" s="16" t="s">
        <v>438</v>
      </c>
      <c r="I1914" s="178">
        <v>7000</v>
      </c>
      <c r="J1914" s="178">
        <v>0</v>
      </c>
      <c r="K1914" s="178">
        <f>ROUND(J1914/I1914*100,2)</f>
        <v>0</v>
      </c>
      <c r="L1914" s="178">
        <f>M1914-I1914</f>
        <v>-1160.4099999999999</v>
      </c>
      <c r="M1914" s="178">
        <v>5839.59</v>
      </c>
      <c r="N1914" s="178">
        <v>22000</v>
      </c>
      <c r="O1914" s="178">
        <v>5890.65</v>
      </c>
      <c r="P1914" s="307">
        <f t="shared" si="1134"/>
        <v>11000</v>
      </c>
      <c r="Q1914" s="178">
        <v>22000</v>
      </c>
      <c r="R1914" s="178">
        <v>11000</v>
      </c>
      <c r="S1914" s="178">
        <v>11000</v>
      </c>
      <c r="T1914" s="266">
        <v>33000</v>
      </c>
      <c r="U1914" s="266"/>
      <c r="V1914" s="266">
        <v>35000</v>
      </c>
      <c r="W1914" s="266">
        <v>22000</v>
      </c>
      <c r="X1914" s="266">
        <v>23000</v>
      </c>
      <c r="Y1914" s="266">
        <v>3050.4</v>
      </c>
      <c r="Z1914" s="266">
        <f t="shared" si="1127"/>
        <v>8.7200000000000006</v>
      </c>
      <c r="AA1914" s="266">
        <f t="shared" si="1137"/>
        <v>11500</v>
      </c>
      <c r="AB1914" s="266">
        <v>46500</v>
      </c>
      <c r="AC1914" s="266">
        <v>16674.580000000002</v>
      </c>
      <c r="AD1914" s="266">
        <f t="shared" si="1115"/>
        <v>35.859311827956994</v>
      </c>
      <c r="AE1914" s="266">
        <f t="shared" si="1123"/>
        <v>-3000</v>
      </c>
      <c r="AF1914" s="266">
        <v>43500</v>
      </c>
      <c r="AG1914" s="266">
        <f>14000+2000+20000+12000</f>
        <v>48000</v>
      </c>
      <c r="AH1914" s="266">
        <f>34000</f>
        <v>34000</v>
      </c>
      <c r="AI1914" s="266">
        <f>31000</f>
        <v>31000</v>
      </c>
      <c r="AJ1914" s="162" t="b">
        <f t="shared" si="1118"/>
        <v>0</v>
      </c>
      <c r="AK1914" s="162" t="str">
        <f t="shared" si="1119"/>
        <v>PUNO</v>
      </c>
      <c r="AL1914" s="165"/>
    </row>
    <row r="1915" spans="1:39" s="164" customFormat="1" ht="15.75" x14ac:dyDescent="0.2">
      <c r="A1915" s="259"/>
      <c r="B1915" s="177"/>
      <c r="C1915" s="177"/>
      <c r="D1915" s="177"/>
      <c r="E1915" s="177">
        <v>3223</v>
      </c>
      <c r="F1915" s="265">
        <v>31</v>
      </c>
      <c r="G1915" s="265"/>
      <c r="H1915" s="16" t="s">
        <v>204</v>
      </c>
      <c r="I1915" s="178">
        <v>0</v>
      </c>
      <c r="J1915" s="178">
        <v>0</v>
      </c>
      <c r="K1915" s="178" t="e">
        <f>ROUND(J1915/I1915*100,2)</f>
        <v>#DIV/0!</v>
      </c>
      <c r="L1915" s="178">
        <f>M1915-I1915</f>
        <v>2379.9499999999998</v>
      </c>
      <c r="M1915" s="178">
        <v>2379.9499999999998</v>
      </c>
      <c r="N1915" s="178">
        <v>46000</v>
      </c>
      <c r="O1915" s="178">
        <v>8435.4500000000007</v>
      </c>
      <c r="P1915" s="307">
        <f t="shared" si="1134"/>
        <v>8000</v>
      </c>
      <c r="Q1915" s="178">
        <v>46000</v>
      </c>
      <c r="R1915" s="178">
        <v>30000</v>
      </c>
      <c r="S1915" s="178">
        <v>31000</v>
      </c>
      <c r="T1915" s="266">
        <v>54000</v>
      </c>
      <c r="U1915" s="266"/>
      <c r="V1915" s="266">
        <v>64000</v>
      </c>
      <c r="W1915" s="266">
        <v>67200</v>
      </c>
      <c r="X1915" s="266">
        <v>70500</v>
      </c>
      <c r="Y1915" s="266">
        <v>32387.84</v>
      </c>
      <c r="Z1915" s="266">
        <f t="shared" si="1127"/>
        <v>50.61</v>
      </c>
      <c r="AA1915" s="266">
        <f t="shared" si="1137"/>
        <v>11000</v>
      </c>
      <c r="AB1915" s="266">
        <v>75000</v>
      </c>
      <c r="AC1915" s="266">
        <v>35051.43</v>
      </c>
      <c r="AD1915" s="266">
        <f t="shared" si="1115"/>
        <v>46.735239999999997</v>
      </c>
      <c r="AE1915" s="266">
        <f t="shared" si="1123"/>
        <v>-1000</v>
      </c>
      <c r="AF1915" s="266">
        <v>74000</v>
      </c>
      <c r="AG1915" s="266">
        <f>20200+45400+2000</f>
        <v>67600</v>
      </c>
      <c r="AH1915" s="266">
        <v>76500</v>
      </c>
      <c r="AI1915" s="266">
        <v>81500</v>
      </c>
      <c r="AJ1915" s="162" t="b">
        <f t="shared" si="1118"/>
        <v>0</v>
      </c>
      <c r="AK1915" s="162" t="str">
        <f t="shared" si="1119"/>
        <v>PUNO</v>
      </c>
      <c r="AL1915" s="165"/>
    </row>
    <row r="1916" spans="1:39" s="164" customFormat="1" ht="19.5" customHeight="1" x14ac:dyDescent="0.2">
      <c r="A1916" s="259"/>
      <c r="B1916" s="177"/>
      <c r="C1916" s="177"/>
      <c r="D1916" s="177"/>
      <c r="E1916" s="177">
        <v>3224</v>
      </c>
      <c r="F1916" s="265">
        <v>31</v>
      </c>
      <c r="G1916" s="265"/>
      <c r="H1916" s="16" t="s">
        <v>853</v>
      </c>
      <c r="I1916" s="178">
        <v>6500</v>
      </c>
      <c r="J1916" s="178">
        <v>0</v>
      </c>
      <c r="K1916" s="178">
        <f>ROUND(J1916/I1916*100,2)</f>
        <v>0</v>
      </c>
      <c r="L1916" s="178">
        <f>M1916-I1916</f>
        <v>-6500</v>
      </c>
      <c r="M1916" s="178">
        <v>0</v>
      </c>
      <c r="N1916" s="178">
        <v>12500</v>
      </c>
      <c r="O1916" s="178">
        <v>1818.39</v>
      </c>
      <c r="P1916" s="307">
        <f t="shared" si="1134"/>
        <v>0</v>
      </c>
      <c r="Q1916" s="178">
        <v>12500</v>
      </c>
      <c r="R1916" s="178">
        <v>11500</v>
      </c>
      <c r="S1916" s="178">
        <v>11500</v>
      </c>
      <c r="T1916" s="266">
        <v>12500</v>
      </c>
      <c r="U1916" s="266"/>
      <c r="V1916" s="266">
        <v>11000</v>
      </c>
      <c r="W1916" s="266">
        <v>11000</v>
      </c>
      <c r="X1916" s="266">
        <v>11000</v>
      </c>
      <c r="Y1916" s="266">
        <v>618</v>
      </c>
      <c r="Z1916" s="266">
        <f t="shared" si="1127"/>
        <v>5.62</v>
      </c>
      <c r="AA1916" s="266">
        <f t="shared" si="1137"/>
        <v>4900</v>
      </c>
      <c r="AB1916" s="266">
        <v>15900</v>
      </c>
      <c r="AC1916" s="266">
        <v>3692.03</v>
      </c>
      <c r="AD1916" s="266">
        <f t="shared" si="1115"/>
        <v>23.220314465408805</v>
      </c>
      <c r="AE1916" s="266">
        <f t="shared" si="1123"/>
        <v>-2900</v>
      </c>
      <c r="AF1916" s="266">
        <v>13000</v>
      </c>
      <c r="AG1916" s="266">
        <f>6500+1500+500+2500</f>
        <v>11000</v>
      </c>
      <c r="AH1916" s="266">
        <v>11000</v>
      </c>
      <c r="AI1916" s="266">
        <v>11000</v>
      </c>
      <c r="AJ1916" s="162" t="b">
        <f t="shared" si="1118"/>
        <v>0</v>
      </c>
      <c r="AK1916" s="162" t="str">
        <f t="shared" si="1119"/>
        <v>PUNO</v>
      </c>
      <c r="AL1916" s="165"/>
    </row>
    <row r="1917" spans="1:39" s="164" customFormat="1" ht="19.5" customHeight="1" x14ac:dyDescent="0.2">
      <c r="A1917" s="259"/>
      <c r="B1917" s="177"/>
      <c r="C1917" s="177"/>
      <c r="D1917" s="177"/>
      <c r="E1917" s="177">
        <v>3225</v>
      </c>
      <c r="F1917" s="265">
        <v>31</v>
      </c>
      <c r="G1917" s="265"/>
      <c r="H1917" s="16" t="s">
        <v>642</v>
      </c>
      <c r="I1917" s="178"/>
      <c r="J1917" s="178"/>
      <c r="K1917" s="178"/>
      <c r="L1917" s="178"/>
      <c r="M1917" s="178">
        <v>5558.68</v>
      </c>
      <c r="N1917" s="178">
        <v>16100</v>
      </c>
      <c r="O1917" s="178">
        <v>1571.89</v>
      </c>
      <c r="P1917" s="307">
        <f t="shared" si="1134"/>
        <v>-3000</v>
      </c>
      <c r="Q1917" s="178">
        <v>16100</v>
      </c>
      <c r="R1917" s="178">
        <v>18000</v>
      </c>
      <c r="S1917" s="178">
        <v>21000</v>
      </c>
      <c r="T1917" s="266">
        <v>13100</v>
      </c>
      <c r="U1917" s="266"/>
      <c r="V1917" s="266">
        <v>14100</v>
      </c>
      <c r="W1917" s="266">
        <v>14000</v>
      </c>
      <c r="X1917" s="266">
        <v>16000</v>
      </c>
      <c r="Y1917" s="266">
        <v>2000</v>
      </c>
      <c r="Z1917" s="266">
        <f t="shared" si="1127"/>
        <v>14.18</v>
      </c>
      <c r="AA1917" s="266">
        <f t="shared" si="1137"/>
        <v>-4100</v>
      </c>
      <c r="AB1917" s="266">
        <v>10000</v>
      </c>
      <c r="AC1917" s="266">
        <v>3381.38</v>
      </c>
      <c r="AD1917" s="266">
        <f t="shared" si="1115"/>
        <v>33.813800000000001</v>
      </c>
      <c r="AE1917" s="266">
        <f t="shared" si="1123"/>
        <v>2900</v>
      </c>
      <c r="AF1917" s="266">
        <f>10400+2500</f>
        <v>12900</v>
      </c>
      <c r="AG1917" s="266">
        <f>17900</f>
        <v>17900</v>
      </c>
      <c r="AH1917" s="266">
        <v>17400</v>
      </c>
      <c r="AI1917" s="266">
        <v>17400</v>
      </c>
      <c r="AJ1917" s="162" t="b">
        <f t="shared" si="1118"/>
        <v>0</v>
      </c>
      <c r="AK1917" s="162" t="str">
        <f t="shared" si="1119"/>
        <v>PUNO</v>
      </c>
      <c r="AL1917" s="165"/>
    </row>
    <row r="1918" spans="1:39" s="164" customFormat="1" ht="19.5" customHeight="1" x14ac:dyDescent="0.2">
      <c r="A1918" s="259"/>
      <c r="B1918" s="177"/>
      <c r="C1918" s="177"/>
      <c r="D1918" s="177"/>
      <c r="E1918" s="177">
        <v>3227</v>
      </c>
      <c r="F1918" s="265">
        <v>31</v>
      </c>
      <c r="G1918" s="265"/>
      <c r="H1918" s="16" t="s">
        <v>646</v>
      </c>
      <c r="I1918" s="178"/>
      <c r="J1918" s="178"/>
      <c r="K1918" s="178"/>
      <c r="L1918" s="178"/>
      <c r="M1918" s="178">
        <v>0</v>
      </c>
      <c r="N1918" s="178">
        <v>2500</v>
      </c>
      <c r="O1918" s="178">
        <v>1500</v>
      </c>
      <c r="P1918" s="307">
        <f t="shared" si="1134"/>
        <v>2000</v>
      </c>
      <c r="Q1918" s="178">
        <v>2500</v>
      </c>
      <c r="R1918" s="178">
        <v>2500</v>
      </c>
      <c r="S1918" s="178">
        <v>3000</v>
      </c>
      <c r="T1918" s="266">
        <v>4500</v>
      </c>
      <c r="U1918" s="266"/>
      <c r="V1918" s="266">
        <v>2500</v>
      </c>
      <c r="W1918" s="266">
        <v>2500</v>
      </c>
      <c r="X1918" s="266">
        <v>1500</v>
      </c>
      <c r="Y1918" s="266">
        <v>0</v>
      </c>
      <c r="Z1918" s="266">
        <f t="shared" si="1127"/>
        <v>0</v>
      </c>
      <c r="AA1918" s="266">
        <f t="shared" si="1137"/>
        <v>0</v>
      </c>
      <c r="AB1918" s="266">
        <v>2500</v>
      </c>
      <c r="AC1918" s="266">
        <v>0</v>
      </c>
      <c r="AD1918" s="266">
        <f t="shared" si="1115"/>
        <v>0</v>
      </c>
      <c r="AE1918" s="266">
        <f t="shared" si="1123"/>
        <v>0</v>
      </c>
      <c r="AF1918" s="266">
        <v>2500</v>
      </c>
      <c r="AG1918" s="266">
        <f>2000</f>
        <v>2000</v>
      </c>
      <c r="AH1918" s="266">
        <v>2000</v>
      </c>
      <c r="AI1918" s="266">
        <v>1000</v>
      </c>
      <c r="AJ1918" s="162" t="b">
        <f t="shared" si="1118"/>
        <v>0</v>
      </c>
      <c r="AK1918" s="162" t="str">
        <f t="shared" si="1119"/>
        <v>PUNO</v>
      </c>
      <c r="AL1918" s="165"/>
    </row>
    <row r="1919" spans="1:39" s="164" customFormat="1" ht="18.75" customHeight="1" x14ac:dyDescent="0.2">
      <c r="A1919" s="259"/>
      <c r="B1919" s="177"/>
      <c r="C1919" s="177"/>
      <c r="D1919" s="177">
        <v>323</v>
      </c>
      <c r="E1919" s="177"/>
      <c r="F1919" s="265"/>
      <c r="G1919" s="265"/>
      <c r="H1919" s="16" t="s">
        <v>526</v>
      </c>
      <c r="I1919" s="178">
        <f>SUM(I1920:I1924)</f>
        <v>2300</v>
      </c>
      <c r="J1919" s="178">
        <f>SUM(J1920:J1924)</f>
        <v>5000.68</v>
      </c>
      <c r="K1919" s="178">
        <f>ROUND(J1919/I1919*100,2)</f>
        <v>217.42</v>
      </c>
      <c r="L1919" s="178">
        <f>M1919-I1919</f>
        <v>5920.7900000000009</v>
      </c>
      <c r="M1919" s="178">
        <f>SUM(M1920:M1924)</f>
        <v>8220.7900000000009</v>
      </c>
      <c r="N1919" s="178">
        <f>SUM(N1920:N1924)</f>
        <v>46000</v>
      </c>
      <c r="O1919" s="178">
        <f>SUM(O1920:O1924)</f>
        <v>18578.82</v>
      </c>
      <c r="P1919" s="307">
        <f t="shared" si="1134"/>
        <v>4500</v>
      </c>
      <c r="Q1919" s="178">
        <f t="shared" ref="Q1919:Y1919" si="1139">SUM(Q1920:Q1924)</f>
        <v>46000</v>
      </c>
      <c r="R1919" s="178">
        <f t="shared" si="1139"/>
        <v>60200</v>
      </c>
      <c r="S1919" s="178">
        <f t="shared" si="1139"/>
        <v>58700</v>
      </c>
      <c r="T1919" s="266">
        <f t="shared" si="1139"/>
        <v>50500</v>
      </c>
      <c r="U1919" s="266">
        <f>SUM(U1920:U1924)</f>
        <v>0</v>
      </c>
      <c r="V1919" s="266">
        <f t="shared" si="1139"/>
        <v>50500</v>
      </c>
      <c r="W1919" s="266">
        <f t="shared" si="1139"/>
        <v>51600</v>
      </c>
      <c r="X1919" s="266">
        <f t="shared" si="1139"/>
        <v>51600</v>
      </c>
      <c r="Y1919" s="266">
        <f t="shared" si="1139"/>
        <v>90.16</v>
      </c>
      <c r="Z1919" s="266">
        <f t="shared" si="1127"/>
        <v>0.18</v>
      </c>
      <c r="AA1919" s="266">
        <f t="shared" si="1137"/>
        <v>-4600</v>
      </c>
      <c r="AB1919" s="266">
        <f>SUM(AB1920:AB1925)</f>
        <v>45900</v>
      </c>
      <c r="AC1919" s="266">
        <f>SUM(AC1920:AC1925)</f>
        <v>12343.56</v>
      </c>
      <c r="AD1919" s="266">
        <f t="shared" si="1115"/>
        <v>26.89228758169935</v>
      </c>
      <c r="AE1919" s="266">
        <f t="shared" si="1123"/>
        <v>10200</v>
      </c>
      <c r="AF1919" s="266">
        <f>SUM(AF1920:AF1925)</f>
        <v>56100</v>
      </c>
      <c r="AG1919" s="266">
        <f>SUM(AG1920:AG1925)</f>
        <v>41500</v>
      </c>
      <c r="AH1919" s="266">
        <f>SUM(AH1920:AH1925)</f>
        <v>44000</v>
      </c>
      <c r="AI1919" s="266">
        <f>SUM(AI1920:AI1925)</f>
        <v>44000</v>
      </c>
      <c r="AJ1919" s="162" t="b">
        <f t="shared" si="1118"/>
        <v>1</v>
      </c>
      <c r="AK1919" s="162" t="str">
        <f t="shared" si="1119"/>
        <v>PRAZNO</v>
      </c>
      <c r="AL1919" s="165"/>
    </row>
    <row r="1920" spans="1:39" s="164" customFormat="1" ht="21.75" customHeight="1" x14ac:dyDescent="0.2">
      <c r="A1920" s="259"/>
      <c r="B1920" s="177"/>
      <c r="C1920" s="177"/>
      <c r="D1920" s="177"/>
      <c r="E1920" s="177">
        <v>3231</v>
      </c>
      <c r="F1920" s="265">
        <v>31</v>
      </c>
      <c r="G1920" s="265"/>
      <c r="H1920" s="16" t="s">
        <v>206</v>
      </c>
      <c r="I1920" s="178"/>
      <c r="J1920" s="178"/>
      <c r="K1920" s="178"/>
      <c r="L1920" s="178"/>
      <c r="M1920" s="178">
        <v>0</v>
      </c>
      <c r="N1920" s="178">
        <v>1500</v>
      </c>
      <c r="O1920" s="178">
        <v>0</v>
      </c>
      <c r="P1920" s="307">
        <f t="shared" si="1134"/>
        <v>500</v>
      </c>
      <c r="Q1920" s="178">
        <v>1500</v>
      </c>
      <c r="R1920" s="178"/>
      <c r="S1920" s="178"/>
      <c r="T1920" s="266">
        <v>2000</v>
      </c>
      <c r="U1920" s="266"/>
      <c r="V1920" s="266">
        <v>2000</v>
      </c>
      <c r="W1920" s="266">
        <v>2000</v>
      </c>
      <c r="X1920" s="266">
        <v>2000</v>
      </c>
      <c r="Y1920" s="266">
        <v>90.16</v>
      </c>
      <c r="Z1920" s="266">
        <f t="shared" si="1127"/>
        <v>4.51</v>
      </c>
      <c r="AA1920" s="266">
        <f t="shared" si="1137"/>
        <v>1000</v>
      </c>
      <c r="AB1920" s="266">
        <v>3000</v>
      </c>
      <c r="AC1920" s="266">
        <v>1029.54</v>
      </c>
      <c r="AD1920" s="266">
        <f t="shared" si="1115"/>
        <v>34.317999999999998</v>
      </c>
      <c r="AE1920" s="266">
        <f t="shared" si="1123"/>
        <v>0</v>
      </c>
      <c r="AF1920" s="266">
        <v>3000</v>
      </c>
      <c r="AG1920" s="266">
        <v>4000</v>
      </c>
      <c r="AH1920" s="266">
        <v>4000</v>
      </c>
      <c r="AI1920" s="266">
        <f>4000</f>
        <v>4000</v>
      </c>
      <c r="AJ1920" s="162" t="b">
        <f t="shared" si="1118"/>
        <v>0</v>
      </c>
      <c r="AK1920" s="162" t="str">
        <f t="shared" si="1119"/>
        <v>PUNO</v>
      </c>
      <c r="AL1920" s="165"/>
    </row>
    <row r="1921" spans="1:39" s="164" customFormat="1" ht="21" customHeight="1" x14ac:dyDescent="0.2">
      <c r="A1921" s="259"/>
      <c r="B1921" s="177"/>
      <c r="C1921" s="177"/>
      <c r="D1921" s="177"/>
      <c r="E1921" s="177">
        <v>3232</v>
      </c>
      <c r="F1921" s="265">
        <v>31</v>
      </c>
      <c r="G1921" s="265"/>
      <c r="H1921" s="16" t="s">
        <v>207</v>
      </c>
      <c r="I1921" s="178">
        <v>2300</v>
      </c>
      <c r="J1921" s="178">
        <v>5000.68</v>
      </c>
      <c r="K1921" s="178">
        <f>ROUND(J1921/I1921*100,2)</f>
        <v>217.42</v>
      </c>
      <c r="L1921" s="178">
        <f>M1921-I1921</f>
        <v>5920.7900000000009</v>
      </c>
      <c r="M1921" s="178">
        <v>8220.7900000000009</v>
      </c>
      <c r="N1921" s="178">
        <v>22000</v>
      </c>
      <c r="O1921" s="178">
        <v>11171.63</v>
      </c>
      <c r="P1921" s="307">
        <f t="shared" si="1134"/>
        <v>2000</v>
      </c>
      <c r="Q1921" s="178">
        <v>22000</v>
      </c>
      <c r="R1921" s="178">
        <v>40200</v>
      </c>
      <c r="S1921" s="178">
        <v>41200</v>
      </c>
      <c r="T1921" s="266">
        <v>24000</v>
      </c>
      <c r="U1921" s="266"/>
      <c r="V1921" s="266">
        <v>23000</v>
      </c>
      <c r="W1921" s="266">
        <v>24100</v>
      </c>
      <c r="X1921" s="266">
        <v>24100</v>
      </c>
      <c r="Y1921" s="266">
        <v>0</v>
      </c>
      <c r="Z1921" s="266">
        <f t="shared" si="1127"/>
        <v>0</v>
      </c>
      <c r="AA1921" s="266">
        <f t="shared" si="1137"/>
        <v>-2400</v>
      </c>
      <c r="AB1921" s="266">
        <v>20600</v>
      </c>
      <c r="AC1921" s="266">
        <v>6693.08</v>
      </c>
      <c r="AD1921" s="266">
        <f t="shared" si="1115"/>
        <v>32.490679611650485</v>
      </c>
      <c r="AE1921" s="266">
        <f t="shared" si="1123"/>
        <v>4000</v>
      </c>
      <c r="AF1921" s="266">
        <v>24600</v>
      </c>
      <c r="AG1921" s="266">
        <f>6000+3000+2000+8000</f>
        <v>19000</v>
      </c>
      <c r="AH1921" s="266">
        <v>21500</v>
      </c>
      <c r="AI1921" s="266">
        <v>21500</v>
      </c>
      <c r="AJ1921" s="162" t="b">
        <f t="shared" si="1118"/>
        <v>0</v>
      </c>
      <c r="AK1921" s="162" t="str">
        <f t="shared" si="1119"/>
        <v>PUNO</v>
      </c>
      <c r="AL1921" s="165"/>
    </row>
    <row r="1922" spans="1:39" s="164" customFormat="1" ht="21.75" customHeight="1" x14ac:dyDescent="0.2">
      <c r="A1922" s="259"/>
      <c r="B1922" s="177"/>
      <c r="C1922" s="177"/>
      <c r="D1922" s="177"/>
      <c r="E1922" s="177">
        <v>3234</v>
      </c>
      <c r="F1922" s="265">
        <v>31</v>
      </c>
      <c r="G1922" s="265"/>
      <c r="H1922" s="16" t="s">
        <v>238</v>
      </c>
      <c r="I1922" s="178"/>
      <c r="J1922" s="178"/>
      <c r="K1922" s="178"/>
      <c r="L1922" s="178"/>
      <c r="M1922" s="178"/>
      <c r="N1922" s="178"/>
      <c r="O1922" s="178"/>
      <c r="P1922" s="307">
        <f t="shared" si="1134"/>
        <v>2000</v>
      </c>
      <c r="Q1922" s="178"/>
      <c r="R1922" s="178"/>
      <c r="S1922" s="178"/>
      <c r="T1922" s="266">
        <v>2000</v>
      </c>
      <c r="U1922" s="266"/>
      <c r="V1922" s="266">
        <v>2000</v>
      </c>
      <c r="W1922" s="266">
        <v>2000</v>
      </c>
      <c r="X1922" s="266">
        <v>2000</v>
      </c>
      <c r="Y1922" s="266">
        <v>0</v>
      </c>
      <c r="Z1922" s="266">
        <f t="shared" si="1127"/>
        <v>0</v>
      </c>
      <c r="AA1922" s="266">
        <f t="shared" si="1137"/>
        <v>0</v>
      </c>
      <c r="AB1922" s="266">
        <v>2000</v>
      </c>
      <c r="AC1922" s="266">
        <v>0</v>
      </c>
      <c r="AD1922" s="266">
        <f t="shared" si="1115"/>
        <v>0</v>
      </c>
      <c r="AE1922" s="266">
        <f t="shared" si="1123"/>
        <v>0</v>
      </c>
      <c r="AF1922" s="266">
        <v>2000</v>
      </c>
      <c r="AG1922" s="266">
        <v>2000</v>
      </c>
      <c r="AH1922" s="266">
        <v>2000</v>
      </c>
      <c r="AI1922" s="266">
        <v>2000</v>
      </c>
      <c r="AJ1922" s="162" t="b">
        <f t="shared" si="1118"/>
        <v>0</v>
      </c>
      <c r="AK1922" s="162" t="str">
        <f t="shared" si="1119"/>
        <v>PUNO</v>
      </c>
      <c r="AL1922" s="165"/>
    </row>
    <row r="1923" spans="1:39" s="164" customFormat="1" ht="30" customHeight="1" x14ac:dyDescent="0.2">
      <c r="A1923" s="259"/>
      <c r="B1923" s="177"/>
      <c r="C1923" s="177"/>
      <c r="D1923" s="177"/>
      <c r="E1923" s="177">
        <v>3237</v>
      </c>
      <c r="F1923" s="265">
        <v>31</v>
      </c>
      <c r="G1923" s="265"/>
      <c r="H1923" s="16" t="s">
        <v>442</v>
      </c>
      <c r="I1923" s="178"/>
      <c r="J1923" s="178"/>
      <c r="K1923" s="178"/>
      <c r="L1923" s="178"/>
      <c r="M1923" s="178">
        <v>0</v>
      </c>
      <c r="N1923" s="178">
        <v>15500</v>
      </c>
      <c r="O1923" s="178">
        <v>2932.09</v>
      </c>
      <c r="P1923" s="307">
        <f>T1923-N1923</f>
        <v>0</v>
      </c>
      <c r="Q1923" s="178">
        <v>15500</v>
      </c>
      <c r="R1923" s="178">
        <v>17500</v>
      </c>
      <c r="S1923" s="178">
        <v>15000</v>
      </c>
      <c r="T1923" s="266">
        <v>15500</v>
      </c>
      <c r="U1923" s="266"/>
      <c r="V1923" s="266">
        <v>15500</v>
      </c>
      <c r="W1923" s="266">
        <v>15500</v>
      </c>
      <c r="X1923" s="266">
        <v>15500</v>
      </c>
      <c r="Y1923" s="266">
        <v>0</v>
      </c>
      <c r="Z1923" s="266">
        <f t="shared" si="1127"/>
        <v>0</v>
      </c>
      <c r="AA1923" s="266">
        <f t="shared" si="1137"/>
        <v>-3200</v>
      </c>
      <c r="AB1923" s="266">
        <v>12300</v>
      </c>
      <c r="AC1923" s="266">
        <v>2383.44</v>
      </c>
      <c r="AD1923" s="266">
        <f t="shared" si="1115"/>
        <v>19.377560975609757</v>
      </c>
      <c r="AE1923" s="266">
        <f t="shared" si="1123"/>
        <v>900</v>
      </c>
      <c r="AF1923" s="266">
        <v>13200</v>
      </c>
      <c r="AG1923" s="266">
        <v>9500</v>
      </c>
      <c r="AH1923" s="266">
        <v>9500</v>
      </c>
      <c r="AI1923" s="266">
        <v>9500</v>
      </c>
      <c r="AJ1923" s="162" t="b">
        <f t="shared" si="1118"/>
        <v>0</v>
      </c>
      <c r="AK1923" s="162" t="str">
        <f t="shared" si="1119"/>
        <v>PUNO</v>
      </c>
      <c r="AL1923" s="165"/>
    </row>
    <row r="1924" spans="1:39" s="164" customFormat="1" ht="17.25" customHeight="1" x14ac:dyDescent="0.2">
      <c r="A1924" s="259"/>
      <c r="B1924" s="177"/>
      <c r="C1924" s="177"/>
      <c r="D1924" s="177"/>
      <c r="E1924" s="177">
        <v>3238</v>
      </c>
      <c r="F1924" s="265">
        <v>31</v>
      </c>
      <c r="G1924" s="265"/>
      <c r="H1924" s="16" t="s">
        <v>398</v>
      </c>
      <c r="I1924" s="178"/>
      <c r="J1924" s="178"/>
      <c r="K1924" s="178"/>
      <c r="L1924" s="178"/>
      <c r="M1924" s="178">
        <v>0</v>
      </c>
      <c r="N1924" s="178">
        <v>7000</v>
      </c>
      <c r="O1924" s="178">
        <v>4475.1000000000004</v>
      </c>
      <c r="P1924" s="307">
        <f>T1924-N1924</f>
        <v>0</v>
      </c>
      <c r="Q1924" s="178">
        <v>7000</v>
      </c>
      <c r="R1924" s="178">
        <v>2500</v>
      </c>
      <c r="S1924" s="178">
        <v>2500</v>
      </c>
      <c r="T1924" s="266">
        <v>7000</v>
      </c>
      <c r="U1924" s="266"/>
      <c r="V1924" s="266">
        <v>8000</v>
      </c>
      <c r="W1924" s="266">
        <v>8000</v>
      </c>
      <c r="X1924" s="266">
        <v>8000</v>
      </c>
      <c r="Y1924" s="266">
        <v>0</v>
      </c>
      <c r="Z1924" s="266">
        <f t="shared" si="1127"/>
        <v>0</v>
      </c>
      <c r="AA1924" s="266">
        <f t="shared" si="1137"/>
        <v>-1000</v>
      </c>
      <c r="AB1924" s="266">
        <v>7000</v>
      </c>
      <c r="AC1924" s="266">
        <v>2237.5</v>
      </c>
      <c r="AD1924" s="266">
        <f t="shared" si="1115"/>
        <v>31.964285714285712</v>
      </c>
      <c r="AE1924" s="266">
        <f t="shared" si="1123"/>
        <v>0</v>
      </c>
      <c r="AF1924" s="266">
        <v>7000</v>
      </c>
      <c r="AG1924" s="266">
        <v>7000</v>
      </c>
      <c r="AH1924" s="266">
        <v>7000</v>
      </c>
      <c r="AI1924" s="266">
        <v>7000</v>
      </c>
      <c r="AJ1924" s="162" t="b">
        <f t="shared" si="1118"/>
        <v>0</v>
      </c>
      <c r="AK1924" s="162" t="str">
        <f t="shared" si="1119"/>
        <v>PUNO</v>
      </c>
      <c r="AL1924" s="165"/>
    </row>
    <row r="1925" spans="1:39" s="164" customFormat="1" ht="18" customHeight="1" x14ac:dyDescent="0.2">
      <c r="A1925" s="259"/>
      <c r="B1925" s="177"/>
      <c r="C1925" s="177"/>
      <c r="D1925" s="177"/>
      <c r="E1925" s="177">
        <v>3239</v>
      </c>
      <c r="F1925" s="265">
        <v>31</v>
      </c>
      <c r="G1925" s="265"/>
      <c r="H1925" s="16" t="s">
        <v>529</v>
      </c>
      <c r="I1925" s="178"/>
      <c r="J1925" s="178"/>
      <c r="K1925" s="178"/>
      <c r="L1925" s="178"/>
      <c r="M1925" s="178"/>
      <c r="N1925" s="178"/>
      <c r="O1925" s="178"/>
      <c r="P1925" s="307"/>
      <c r="Q1925" s="178"/>
      <c r="R1925" s="178"/>
      <c r="S1925" s="178"/>
      <c r="T1925" s="266"/>
      <c r="U1925" s="266"/>
      <c r="V1925" s="266">
        <v>0</v>
      </c>
      <c r="W1925" s="266"/>
      <c r="X1925" s="266"/>
      <c r="Y1925" s="266">
        <v>0</v>
      </c>
      <c r="Z1925" s="266" t="e">
        <f t="shared" si="1127"/>
        <v>#DIV/0!</v>
      </c>
      <c r="AA1925" s="266">
        <f t="shared" si="1137"/>
        <v>1000</v>
      </c>
      <c r="AB1925" s="266">
        <v>1000</v>
      </c>
      <c r="AC1925" s="266">
        <v>0</v>
      </c>
      <c r="AD1925" s="266">
        <f t="shared" si="1115"/>
        <v>0</v>
      </c>
      <c r="AE1925" s="266">
        <f t="shared" si="1123"/>
        <v>5300</v>
      </c>
      <c r="AF1925" s="266">
        <v>6300</v>
      </c>
      <c r="AG1925" s="266"/>
      <c r="AH1925" s="266"/>
      <c r="AI1925" s="266"/>
      <c r="AJ1925" s="162" t="b">
        <f t="shared" si="1118"/>
        <v>0</v>
      </c>
      <c r="AK1925" s="162" t="str">
        <f t="shared" si="1119"/>
        <v>PUNO</v>
      </c>
      <c r="AL1925" s="165"/>
    </row>
    <row r="1926" spans="1:39" s="164" customFormat="1" ht="18.75" customHeight="1" x14ac:dyDescent="0.2">
      <c r="A1926" s="259"/>
      <c r="B1926" s="177"/>
      <c r="C1926" s="177"/>
      <c r="D1926" s="177">
        <v>329</v>
      </c>
      <c r="E1926" s="177"/>
      <c r="F1926" s="265"/>
      <c r="G1926" s="265"/>
      <c r="H1926" s="16" t="s">
        <v>531</v>
      </c>
      <c r="I1926" s="178">
        <f>SUM(I1927:I1928)</f>
        <v>3500</v>
      </c>
      <c r="J1926" s="178">
        <f>SUM(J1927:J1928)</f>
        <v>0</v>
      </c>
      <c r="K1926" s="178">
        <f>ROUND(J1926/I1926*100,2)</f>
        <v>0</v>
      </c>
      <c r="L1926" s="178">
        <f>M1926-I1926</f>
        <v>1275</v>
      </c>
      <c r="M1926" s="178">
        <f>SUM(M1927:M1928)</f>
        <v>4775</v>
      </c>
      <c r="N1926" s="178">
        <f>SUM(N1927:N1928)</f>
        <v>10500</v>
      </c>
      <c r="O1926" s="178">
        <f>SUM(O1927:O1928)</f>
        <v>1697.8</v>
      </c>
      <c r="P1926" s="307">
        <f>T1926-N1926</f>
        <v>3000</v>
      </c>
      <c r="Q1926" s="178">
        <f t="shared" ref="Q1926:Y1926" si="1140">SUM(Q1927:Q1928)</f>
        <v>10500</v>
      </c>
      <c r="R1926" s="178">
        <f t="shared" si="1140"/>
        <v>13000</v>
      </c>
      <c r="S1926" s="178">
        <f t="shared" si="1140"/>
        <v>15000</v>
      </c>
      <c r="T1926" s="266">
        <f t="shared" si="1140"/>
        <v>13500</v>
      </c>
      <c r="U1926" s="266">
        <f>SUM(U1927:U1928)</f>
        <v>0</v>
      </c>
      <c r="V1926" s="266">
        <f t="shared" si="1140"/>
        <v>18000</v>
      </c>
      <c r="W1926" s="266">
        <f t="shared" si="1140"/>
        <v>18000</v>
      </c>
      <c r="X1926" s="266">
        <f t="shared" si="1140"/>
        <v>18000</v>
      </c>
      <c r="Y1926" s="266">
        <f t="shared" si="1140"/>
        <v>0</v>
      </c>
      <c r="Z1926" s="266">
        <f t="shared" si="1127"/>
        <v>0</v>
      </c>
      <c r="AA1926" s="266">
        <f t="shared" si="1137"/>
        <v>-1500</v>
      </c>
      <c r="AB1926" s="266">
        <f>SUM(AB1927:AB1928)</f>
        <v>16500</v>
      </c>
      <c r="AC1926" s="266">
        <f>SUM(AC1927:AC1928)</f>
        <v>753.17000000000007</v>
      </c>
      <c r="AD1926" s="266">
        <f t="shared" si="1115"/>
        <v>4.5646666666666667</v>
      </c>
      <c r="AE1926" s="266">
        <f t="shared" si="1123"/>
        <v>-2500</v>
      </c>
      <c r="AF1926" s="266">
        <f>SUM(AF1927:AF1928)</f>
        <v>14000</v>
      </c>
      <c r="AG1926" s="266">
        <f>SUM(AG1927:AG1928)</f>
        <v>16500</v>
      </c>
      <c r="AH1926" s="266">
        <f>SUM(AH1927:AH1928)</f>
        <v>16500</v>
      </c>
      <c r="AI1926" s="266">
        <f>SUM(AI1927:AI1928)</f>
        <v>16500</v>
      </c>
      <c r="AJ1926" s="162" t="b">
        <f t="shared" si="1118"/>
        <v>1</v>
      </c>
      <c r="AK1926" s="162" t="str">
        <f t="shared" si="1119"/>
        <v>PRAZNO</v>
      </c>
      <c r="AL1926" s="165"/>
    </row>
    <row r="1927" spans="1:39" s="164" customFormat="1" ht="16.5" customHeight="1" x14ac:dyDescent="0.2">
      <c r="A1927" s="259"/>
      <c r="B1927" s="177"/>
      <c r="C1927" s="177"/>
      <c r="D1927" s="177"/>
      <c r="E1927" s="177">
        <v>3293</v>
      </c>
      <c r="F1927" s="265">
        <v>31</v>
      </c>
      <c r="G1927" s="265"/>
      <c r="H1927" s="16" t="s">
        <v>533</v>
      </c>
      <c r="I1927" s="178"/>
      <c r="J1927" s="178"/>
      <c r="K1927" s="178"/>
      <c r="L1927" s="178"/>
      <c r="M1927" s="178">
        <v>0</v>
      </c>
      <c r="N1927" s="178">
        <v>2500</v>
      </c>
      <c r="O1927" s="178">
        <v>202.44</v>
      </c>
      <c r="P1927" s="307">
        <f>T1927-N1927</f>
        <v>0</v>
      </c>
      <c r="Q1927" s="178">
        <v>2500</v>
      </c>
      <c r="R1927" s="178">
        <v>2000</v>
      </c>
      <c r="S1927" s="178">
        <v>2000</v>
      </c>
      <c r="T1927" s="266">
        <v>2500</v>
      </c>
      <c r="U1927" s="266"/>
      <c r="V1927" s="266">
        <v>2500</v>
      </c>
      <c r="W1927" s="266">
        <v>2500</v>
      </c>
      <c r="X1927" s="266">
        <v>2500</v>
      </c>
      <c r="Y1927" s="266">
        <v>0</v>
      </c>
      <c r="Z1927" s="266">
        <f t="shared" si="1127"/>
        <v>0</v>
      </c>
      <c r="AA1927" s="266">
        <f t="shared" si="1137"/>
        <v>-500</v>
      </c>
      <c r="AB1927" s="266">
        <v>2000</v>
      </c>
      <c r="AC1927" s="266">
        <v>353.17</v>
      </c>
      <c r="AD1927" s="266">
        <f t="shared" si="1115"/>
        <v>17.658500000000004</v>
      </c>
      <c r="AE1927" s="266">
        <f t="shared" si="1123"/>
        <v>0</v>
      </c>
      <c r="AF1927" s="266">
        <v>2000</v>
      </c>
      <c r="AG1927" s="266">
        <v>2000</v>
      </c>
      <c r="AH1927" s="266">
        <v>2000</v>
      </c>
      <c r="AI1927" s="266">
        <v>2000</v>
      </c>
      <c r="AJ1927" s="162" t="b">
        <f t="shared" si="1118"/>
        <v>0</v>
      </c>
      <c r="AK1927" s="162" t="str">
        <f t="shared" si="1119"/>
        <v>PUNO</v>
      </c>
      <c r="AL1927" s="165"/>
    </row>
    <row r="1928" spans="1:39" s="164" customFormat="1" ht="19.5" customHeight="1" x14ac:dyDescent="0.2">
      <c r="A1928" s="259"/>
      <c r="B1928" s="177"/>
      <c r="C1928" s="177"/>
      <c r="D1928" s="177"/>
      <c r="E1928" s="177">
        <v>3299</v>
      </c>
      <c r="F1928" s="265">
        <v>31</v>
      </c>
      <c r="G1928" s="265"/>
      <c r="H1928" s="16" t="s">
        <v>531</v>
      </c>
      <c r="I1928" s="178">
        <v>3500</v>
      </c>
      <c r="J1928" s="178">
        <v>0</v>
      </c>
      <c r="K1928" s="178">
        <f>ROUND(J1928/I1928*100,2)</f>
        <v>0</v>
      </c>
      <c r="L1928" s="178">
        <f>M1928-I1928</f>
        <v>1275</v>
      </c>
      <c r="M1928" s="178">
        <v>4775</v>
      </c>
      <c r="N1928" s="178">
        <v>8000</v>
      </c>
      <c r="O1928" s="178">
        <v>1495.36</v>
      </c>
      <c r="P1928" s="307">
        <f>T1928-N1928</f>
        <v>3000</v>
      </c>
      <c r="Q1928" s="178">
        <v>8000</v>
      </c>
      <c r="R1928" s="178">
        <v>11000</v>
      </c>
      <c r="S1928" s="178">
        <v>13000</v>
      </c>
      <c r="T1928" s="266">
        <v>11000</v>
      </c>
      <c r="U1928" s="266"/>
      <c r="V1928" s="266">
        <v>15500</v>
      </c>
      <c r="W1928" s="266">
        <v>15500</v>
      </c>
      <c r="X1928" s="266">
        <v>15500</v>
      </c>
      <c r="Y1928" s="266">
        <v>0</v>
      </c>
      <c r="Z1928" s="266">
        <f t="shared" si="1127"/>
        <v>0</v>
      </c>
      <c r="AA1928" s="266">
        <f t="shared" si="1137"/>
        <v>-1000</v>
      </c>
      <c r="AB1928" s="266">
        <v>14500</v>
      </c>
      <c r="AC1928" s="266">
        <v>400</v>
      </c>
      <c r="AD1928" s="266">
        <f t="shared" si="1115"/>
        <v>2.7586206896551726</v>
      </c>
      <c r="AE1928" s="266">
        <f t="shared" si="1123"/>
        <v>-2500</v>
      </c>
      <c r="AF1928" s="266">
        <v>12000</v>
      </c>
      <c r="AG1928" s="266">
        <v>14500</v>
      </c>
      <c r="AH1928" s="266">
        <v>14500</v>
      </c>
      <c r="AI1928" s="266">
        <v>14500</v>
      </c>
      <c r="AJ1928" s="162" t="b">
        <f t="shared" si="1118"/>
        <v>0</v>
      </c>
      <c r="AK1928" s="162" t="str">
        <f t="shared" si="1119"/>
        <v>PUNO</v>
      </c>
      <c r="AL1928" s="165"/>
    </row>
    <row r="1929" spans="1:39" s="453" customFormat="1" ht="15.75" x14ac:dyDescent="0.25">
      <c r="A1929" s="378"/>
      <c r="B1929" s="260"/>
      <c r="C1929" s="260"/>
      <c r="D1929" s="260"/>
      <c r="E1929" s="260"/>
      <c r="F1929" s="448"/>
      <c r="G1929" s="448"/>
      <c r="H1929" s="440" t="s">
        <v>825</v>
      </c>
      <c r="I1929" s="450"/>
      <c r="J1929" s="450"/>
      <c r="K1929" s="450"/>
      <c r="L1929" s="450"/>
      <c r="M1929" s="450"/>
      <c r="N1929" s="443"/>
      <c r="O1929" s="443"/>
      <c r="P1929" s="202"/>
      <c r="Q1929" s="443"/>
      <c r="R1929" s="443"/>
      <c r="S1929" s="443"/>
      <c r="T1929" s="444"/>
      <c r="U1929" s="444">
        <f t="shared" ref="U1929:AA1929" si="1141">U1930</f>
        <v>1364532.5899999999</v>
      </c>
      <c r="V1929" s="444">
        <f t="shared" si="1141"/>
        <v>1745600</v>
      </c>
      <c r="W1929" s="444">
        <f t="shared" si="1141"/>
        <v>1714600</v>
      </c>
      <c r="X1929" s="444">
        <f t="shared" si="1141"/>
        <v>1685300</v>
      </c>
      <c r="Y1929" s="444">
        <f t="shared" si="1141"/>
        <v>396673.11000000004</v>
      </c>
      <c r="Z1929" s="444">
        <f t="shared" si="1141"/>
        <v>440.53</v>
      </c>
      <c r="AA1929" s="444">
        <f t="shared" si="1141"/>
        <v>337600</v>
      </c>
      <c r="AB1929" s="444">
        <f>AB1930</f>
        <v>2083200</v>
      </c>
      <c r="AC1929" s="444">
        <f>AC1930</f>
        <v>846723.1</v>
      </c>
      <c r="AD1929" s="444">
        <f t="shared" si="1115"/>
        <v>40.645310099846391</v>
      </c>
      <c r="AE1929" s="444">
        <f t="shared" si="1123"/>
        <v>352986</v>
      </c>
      <c r="AF1929" s="444">
        <f>AF1930</f>
        <v>2436186</v>
      </c>
      <c r="AG1929" s="444">
        <f>AG1930</f>
        <v>2382504</v>
      </c>
      <c r="AH1929" s="444">
        <f>AH1930</f>
        <v>2315600</v>
      </c>
      <c r="AI1929" s="444">
        <f>AI1930</f>
        <v>2295100</v>
      </c>
      <c r="AJ1929" s="162" t="b">
        <f t="shared" ref="AJ1929:AJ1992" si="1142">ISBLANK(E1929)</f>
        <v>1</v>
      </c>
      <c r="AK1929" s="162" t="str">
        <f t="shared" ref="AK1929:AK1992" si="1143">IF(AJ1929,"PRAZNO","PUNO")</f>
        <v>PRAZNO</v>
      </c>
      <c r="AL1929" s="452"/>
      <c r="AM1929" s="287"/>
    </row>
    <row r="1930" spans="1:39" s="174" customFormat="1" ht="15.75" x14ac:dyDescent="0.2">
      <c r="A1930" s="259"/>
      <c r="B1930" s="172">
        <v>3</v>
      </c>
      <c r="C1930" s="172"/>
      <c r="D1930" s="172"/>
      <c r="E1930" s="172"/>
      <c r="F1930" s="220"/>
      <c r="G1930" s="220"/>
      <c r="H1930" s="14" t="s">
        <v>524</v>
      </c>
      <c r="I1930" s="185"/>
      <c r="J1930" s="185"/>
      <c r="K1930" s="185"/>
      <c r="L1930" s="185"/>
      <c r="M1930" s="185"/>
      <c r="N1930" s="184"/>
      <c r="O1930" s="184"/>
      <c r="P1930" s="55"/>
      <c r="Q1930" s="184"/>
      <c r="R1930" s="184"/>
      <c r="S1930" s="184"/>
      <c r="T1930" s="185"/>
      <c r="U1930" s="185">
        <f>U1931+U1940+U1984</f>
        <v>1364532.5899999999</v>
      </c>
      <c r="V1930" s="185">
        <f t="shared" ref="V1930:AA1930" si="1144">V1931+V1940+V1984</f>
        <v>1745600</v>
      </c>
      <c r="W1930" s="185">
        <f t="shared" si="1144"/>
        <v>1714600</v>
      </c>
      <c r="X1930" s="185">
        <f t="shared" si="1144"/>
        <v>1685300</v>
      </c>
      <c r="Y1930" s="185">
        <f t="shared" si="1144"/>
        <v>396673.11000000004</v>
      </c>
      <c r="Z1930" s="185">
        <f t="shared" si="1144"/>
        <v>440.53</v>
      </c>
      <c r="AA1930" s="185">
        <f t="shared" si="1144"/>
        <v>337600</v>
      </c>
      <c r="AB1930" s="185">
        <f>AB1931+AB1940+AB1984</f>
        <v>2083200</v>
      </c>
      <c r="AC1930" s="185">
        <f>AC1931+AC1940+AC1984</f>
        <v>846723.1</v>
      </c>
      <c r="AD1930" s="185">
        <f t="shared" si="1115"/>
        <v>40.645310099846391</v>
      </c>
      <c r="AE1930" s="185">
        <f t="shared" si="1123"/>
        <v>352986</v>
      </c>
      <c r="AF1930" s="185">
        <f>AF1931+AF1940+AF1984</f>
        <v>2436186</v>
      </c>
      <c r="AG1930" s="185">
        <f>AG1931+AG1940+AG1984</f>
        <v>2382504</v>
      </c>
      <c r="AH1930" s="185">
        <f>AH1931+AH1940+AH1984</f>
        <v>2315600</v>
      </c>
      <c r="AI1930" s="185">
        <f>AI1931+AI1940+AI1984</f>
        <v>2295100</v>
      </c>
      <c r="AJ1930" s="162" t="b">
        <f t="shared" si="1142"/>
        <v>1</v>
      </c>
      <c r="AK1930" s="162" t="str">
        <f t="shared" si="1143"/>
        <v>PRAZNO</v>
      </c>
      <c r="AL1930" s="173"/>
    </row>
    <row r="1931" spans="1:39" s="174" customFormat="1" ht="15.75" x14ac:dyDescent="0.2">
      <c r="A1931" s="259"/>
      <c r="B1931" s="306"/>
      <c r="C1931" s="306">
        <v>31</v>
      </c>
      <c r="D1931" s="306"/>
      <c r="E1931" s="306"/>
      <c r="F1931" s="306"/>
      <c r="G1931" s="306"/>
      <c r="H1931" s="629" t="s">
        <v>197</v>
      </c>
      <c r="I1931" s="343"/>
      <c r="J1931" s="343"/>
      <c r="K1931" s="343"/>
      <c r="L1931" s="343"/>
      <c r="M1931" s="343"/>
      <c r="N1931" s="343"/>
      <c r="O1931" s="343"/>
      <c r="P1931" s="204"/>
      <c r="Q1931" s="37"/>
      <c r="R1931" s="37"/>
      <c r="S1931" s="37"/>
      <c r="T1931" s="343"/>
      <c r="U1931" s="343">
        <f>U1932+U1935</f>
        <v>30256.02</v>
      </c>
      <c r="V1931" s="343">
        <f t="shared" ref="V1931:AA1931" si="1145">V1935+V1933</f>
        <v>33000</v>
      </c>
      <c r="W1931" s="343">
        <f t="shared" si="1145"/>
        <v>0</v>
      </c>
      <c r="X1931" s="343">
        <f t="shared" si="1145"/>
        <v>0</v>
      </c>
      <c r="Y1931" s="343">
        <f t="shared" si="1145"/>
        <v>15184.31</v>
      </c>
      <c r="Z1931" s="343">
        <f t="shared" si="1145"/>
        <v>90.77000000000001</v>
      </c>
      <c r="AA1931" s="343">
        <f t="shared" si="1145"/>
        <v>0</v>
      </c>
      <c r="AB1931" s="343">
        <f>AB1935+AB1933</f>
        <v>33000</v>
      </c>
      <c r="AC1931" s="343">
        <f>AC1935+AC1933</f>
        <v>18221.169999999998</v>
      </c>
      <c r="AD1931" s="343">
        <f t="shared" si="1115"/>
        <v>55.215666666666664</v>
      </c>
      <c r="AE1931" s="343">
        <f t="shared" si="1123"/>
        <v>-14774</v>
      </c>
      <c r="AF1931" s="343">
        <f>AF1935+AF1933</f>
        <v>18226</v>
      </c>
      <c r="AG1931" s="343">
        <f>AG1935+AG1933</f>
        <v>0</v>
      </c>
      <c r="AH1931" s="343">
        <f>AH1935+AH1933</f>
        <v>0</v>
      </c>
      <c r="AI1931" s="343">
        <f>AI1935+AI1933</f>
        <v>0</v>
      </c>
      <c r="AJ1931" s="162" t="b">
        <f t="shared" si="1142"/>
        <v>1</v>
      </c>
      <c r="AK1931" s="162" t="str">
        <f t="shared" si="1143"/>
        <v>PRAZNO</v>
      </c>
      <c r="AL1931" s="173"/>
      <c r="AM1931" s="164"/>
    </row>
    <row r="1932" spans="1:39" s="174" customFormat="1" ht="15.75" x14ac:dyDescent="0.2">
      <c r="A1932" s="259"/>
      <c r="B1932" s="175"/>
      <c r="C1932" s="175"/>
      <c r="D1932" s="175">
        <v>311</v>
      </c>
      <c r="E1932" s="175"/>
      <c r="F1932" s="176"/>
      <c r="G1932" s="176"/>
      <c r="H1932" s="23" t="s">
        <v>915</v>
      </c>
      <c r="I1932" s="203"/>
      <c r="J1932" s="203"/>
      <c r="K1932" s="203"/>
      <c r="L1932" s="203"/>
      <c r="M1932" s="203"/>
      <c r="N1932" s="203"/>
      <c r="O1932" s="203"/>
      <c r="P1932" s="204"/>
      <c r="Q1932" s="203"/>
      <c r="R1932" s="37"/>
      <c r="S1932" s="37"/>
      <c r="T1932" s="204"/>
      <c r="U1932" s="203">
        <f>U1933+U1934</f>
        <v>28653.22</v>
      </c>
      <c r="V1932" s="203">
        <f t="shared" ref="V1932:AA1932" si="1146">V1933</f>
        <v>28500</v>
      </c>
      <c r="W1932" s="203">
        <f t="shared" si="1146"/>
        <v>0</v>
      </c>
      <c r="X1932" s="203">
        <f t="shared" si="1146"/>
        <v>0</v>
      </c>
      <c r="Y1932" s="203">
        <f t="shared" si="1146"/>
        <v>13180.81</v>
      </c>
      <c r="Z1932" s="203">
        <f t="shared" si="1146"/>
        <v>46.25</v>
      </c>
      <c r="AA1932" s="203">
        <f t="shared" si="1146"/>
        <v>0</v>
      </c>
      <c r="AB1932" s="203">
        <f>AB1933</f>
        <v>28500</v>
      </c>
      <c r="AC1932" s="203">
        <f>AC1933</f>
        <v>15816.97</v>
      </c>
      <c r="AD1932" s="203">
        <f t="shared" si="1115"/>
        <v>55.498140350877193</v>
      </c>
      <c r="AE1932" s="203">
        <f t="shared" si="1123"/>
        <v>-12680</v>
      </c>
      <c r="AF1932" s="203">
        <f>AF1933</f>
        <v>15820</v>
      </c>
      <c r="AG1932" s="203">
        <f>AG1933</f>
        <v>0</v>
      </c>
      <c r="AH1932" s="203">
        <f>AH1933</f>
        <v>0</v>
      </c>
      <c r="AI1932" s="203">
        <f>AI1933</f>
        <v>0</v>
      </c>
      <c r="AJ1932" s="162" t="b">
        <f t="shared" si="1142"/>
        <v>1</v>
      </c>
      <c r="AK1932" s="162" t="str">
        <f t="shared" si="1143"/>
        <v>PRAZNO</v>
      </c>
      <c r="AL1932" s="173"/>
      <c r="AM1932" s="164"/>
    </row>
    <row r="1933" spans="1:39" s="164" customFormat="1" ht="15.75" x14ac:dyDescent="0.2">
      <c r="A1933" s="483"/>
      <c r="B1933" s="480"/>
      <c r="C1933" s="480"/>
      <c r="D1933" s="480"/>
      <c r="E1933" s="480">
        <v>3111</v>
      </c>
      <c r="F1933" s="265">
        <v>55</v>
      </c>
      <c r="G1933" s="265"/>
      <c r="H1933" s="629" t="s">
        <v>199</v>
      </c>
      <c r="I1933" s="343"/>
      <c r="J1933" s="343"/>
      <c r="K1933" s="343"/>
      <c r="L1933" s="343"/>
      <c r="M1933" s="343"/>
      <c r="N1933" s="343"/>
      <c r="O1933" s="343"/>
      <c r="P1933" s="343"/>
      <c r="Q1933" s="343"/>
      <c r="R1933" s="343"/>
      <c r="S1933" s="343"/>
      <c r="T1933" s="343"/>
      <c r="U1933" s="213"/>
      <c r="V1933" s="343">
        <v>28500</v>
      </c>
      <c r="W1933" s="343">
        <v>0</v>
      </c>
      <c r="X1933" s="343">
        <v>0</v>
      </c>
      <c r="Y1933" s="343">
        <v>13180.81</v>
      </c>
      <c r="Z1933" s="343">
        <f t="shared" ref="Z1933:Z2001" si="1147">ROUND(Y1933/V1933*100,2)</f>
        <v>46.25</v>
      </c>
      <c r="AA1933" s="343">
        <f t="shared" ref="AA1933:AA2004" si="1148">AB1933-V1933</f>
        <v>0</v>
      </c>
      <c r="AB1933" s="343">
        <v>28500</v>
      </c>
      <c r="AC1933" s="343">
        <v>15816.97</v>
      </c>
      <c r="AD1933" s="343">
        <f t="shared" ref="AD1933:AD2037" si="1149">AC1933/AB1933*100</f>
        <v>55.498140350877193</v>
      </c>
      <c r="AE1933" s="343">
        <f t="shared" si="1123"/>
        <v>-12680</v>
      </c>
      <c r="AF1933" s="343">
        <v>15820</v>
      </c>
      <c r="AG1933" s="690"/>
      <c r="AH1933" s="690"/>
      <c r="AI1933" s="690"/>
      <c r="AJ1933" s="162" t="b">
        <f t="shared" si="1142"/>
        <v>0</v>
      </c>
      <c r="AK1933" s="162" t="str">
        <f t="shared" si="1143"/>
        <v>PUNO</v>
      </c>
      <c r="AL1933" s="478"/>
    </row>
    <row r="1934" spans="1:39" s="164" customFormat="1" ht="15.75" x14ac:dyDescent="0.2">
      <c r="A1934" s="483"/>
      <c r="B1934" s="480"/>
      <c r="C1934" s="480"/>
      <c r="D1934" s="480"/>
      <c r="E1934" s="480">
        <v>3111</v>
      </c>
      <c r="F1934" s="265">
        <v>52</v>
      </c>
      <c r="G1934" s="265"/>
      <c r="H1934" s="629" t="s">
        <v>199</v>
      </c>
      <c r="I1934" s="343"/>
      <c r="J1934" s="343"/>
      <c r="K1934" s="343"/>
      <c r="L1934" s="343"/>
      <c r="M1934" s="343"/>
      <c r="N1934" s="343"/>
      <c r="O1934" s="343"/>
      <c r="P1934" s="343"/>
      <c r="Q1934" s="343"/>
      <c r="R1934" s="343"/>
      <c r="S1934" s="343"/>
      <c r="T1934" s="343"/>
      <c r="U1934" s="213">
        <v>28653.22</v>
      </c>
      <c r="V1934" s="343"/>
      <c r="W1934" s="343"/>
      <c r="X1934" s="343"/>
      <c r="Y1934" s="343"/>
      <c r="Z1934" s="343"/>
      <c r="AA1934" s="343"/>
      <c r="AB1934" s="343"/>
      <c r="AC1934" s="343"/>
      <c r="AD1934" s="343"/>
      <c r="AE1934" s="343"/>
      <c r="AF1934" s="343"/>
      <c r="AG1934" s="674"/>
      <c r="AH1934" s="674"/>
      <c r="AI1934" s="674"/>
      <c r="AJ1934" s="162" t="b">
        <f t="shared" si="1142"/>
        <v>0</v>
      </c>
      <c r="AK1934" s="162" t="str">
        <f t="shared" si="1143"/>
        <v>PUNO</v>
      </c>
      <c r="AL1934" s="478"/>
    </row>
    <row r="1935" spans="1:39" s="174" customFormat="1" ht="15.75" x14ac:dyDescent="0.2">
      <c r="A1935" s="259"/>
      <c r="B1935" s="175"/>
      <c r="C1935" s="175"/>
      <c r="D1935" s="175">
        <v>313</v>
      </c>
      <c r="E1935" s="175"/>
      <c r="F1935" s="265"/>
      <c r="G1935" s="265"/>
      <c r="H1935" s="23" t="s">
        <v>414</v>
      </c>
      <c r="I1935" s="213"/>
      <c r="J1935" s="213"/>
      <c r="K1935" s="213"/>
      <c r="L1935" s="213"/>
      <c r="M1935" s="213"/>
      <c r="N1935" s="213"/>
      <c r="O1935" s="213"/>
      <c r="P1935" s="343"/>
      <c r="Q1935" s="213"/>
      <c r="R1935" s="213"/>
      <c r="S1935" s="213"/>
      <c r="T1935" s="343"/>
      <c r="U1935" s="213">
        <f>SUM(U1936:U1939)</f>
        <v>1602.8</v>
      </c>
      <c r="V1935" s="343">
        <f>V1936+V1938</f>
        <v>4500</v>
      </c>
      <c r="W1935" s="343">
        <f>W1936+W1938</f>
        <v>0</v>
      </c>
      <c r="X1935" s="343">
        <f>X1936+X1938</f>
        <v>0</v>
      </c>
      <c r="Y1935" s="343">
        <f>Y1936+Y1938</f>
        <v>2003.5</v>
      </c>
      <c r="Z1935" s="343">
        <f t="shared" si="1147"/>
        <v>44.52</v>
      </c>
      <c r="AA1935" s="343">
        <f t="shared" si="1148"/>
        <v>0</v>
      </c>
      <c r="AB1935" s="343">
        <f>AB1936+AB1938</f>
        <v>4500</v>
      </c>
      <c r="AC1935" s="343">
        <f>AC1936+AC1938</f>
        <v>2404.2000000000003</v>
      </c>
      <c r="AD1935" s="343">
        <f t="shared" si="1149"/>
        <v>53.426666666666677</v>
      </c>
      <c r="AE1935" s="343">
        <f>AF1935-AB1935</f>
        <v>-2094</v>
      </c>
      <c r="AF1935" s="343">
        <f>AF1936+AF1938</f>
        <v>2406</v>
      </c>
      <c r="AG1935" s="343">
        <f>AG1936+AG1938</f>
        <v>0</v>
      </c>
      <c r="AH1935" s="343">
        <f>AH1936+AH1938</f>
        <v>0</v>
      </c>
      <c r="AI1935" s="343">
        <f>AI1936+AI1938</f>
        <v>0</v>
      </c>
      <c r="AJ1935" s="162" t="b">
        <f t="shared" si="1142"/>
        <v>1</v>
      </c>
      <c r="AK1935" s="162" t="str">
        <f t="shared" si="1143"/>
        <v>PRAZNO</v>
      </c>
      <c r="AL1935" s="173"/>
      <c r="AM1935" s="164"/>
    </row>
    <row r="1936" spans="1:39" s="164" customFormat="1" ht="15.75" x14ac:dyDescent="0.2">
      <c r="A1936" s="259"/>
      <c r="B1936" s="175"/>
      <c r="C1936" s="175"/>
      <c r="D1936" s="175"/>
      <c r="E1936" s="175">
        <v>3132</v>
      </c>
      <c r="F1936" s="265">
        <v>55</v>
      </c>
      <c r="G1936" s="265"/>
      <c r="H1936" s="23" t="s">
        <v>202</v>
      </c>
      <c r="I1936" s="213"/>
      <c r="J1936" s="213"/>
      <c r="K1936" s="213"/>
      <c r="L1936" s="213"/>
      <c r="M1936" s="213"/>
      <c r="N1936" s="213"/>
      <c r="O1936" s="213"/>
      <c r="P1936" s="343"/>
      <c r="Q1936" s="213"/>
      <c r="R1936" s="213"/>
      <c r="S1936" s="213"/>
      <c r="T1936" s="343"/>
      <c r="U1936" s="213"/>
      <c r="V1936" s="343">
        <v>4000</v>
      </c>
      <c r="W1936" s="343">
        <v>0</v>
      </c>
      <c r="X1936" s="343">
        <v>0</v>
      </c>
      <c r="Y1936" s="343">
        <v>1779.4</v>
      </c>
      <c r="Z1936" s="343">
        <f t="shared" si="1147"/>
        <v>44.49</v>
      </c>
      <c r="AA1936" s="343">
        <f t="shared" si="1148"/>
        <v>0</v>
      </c>
      <c r="AB1936" s="343">
        <v>4000</v>
      </c>
      <c r="AC1936" s="343">
        <v>2135.2800000000002</v>
      </c>
      <c r="AD1936" s="343">
        <f t="shared" si="1149"/>
        <v>53.382000000000005</v>
      </c>
      <c r="AE1936" s="343">
        <f>AF1936-AB1936</f>
        <v>-1864</v>
      </c>
      <c r="AF1936" s="343">
        <v>2136</v>
      </c>
      <c r="AG1936" s="690"/>
      <c r="AH1936" s="690"/>
      <c r="AI1936" s="690"/>
      <c r="AJ1936" s="162" t="b">
        <f t="shared" si="1142"/>
        <v>0</v>
      </c>
      <c r="AK1936" s="162" t="str">
        <f t="shared" si="1143"/>
        <v>PUNO</v>
      </c>
      <c r="AL1936" s="165"/>
    </row>
    <row r="1937" spans="1:39" s="164" customFormat="1" ht="15.75" x14ac:dyDescent="0.2">
      <c r="A1937" s="259"/>
      <c r="B1937" s="175"/>
      <c r="C1937" s="175"/>
      <c r="D1937" s="175"/>
      <c r="E1937" s="175">
        <v>3132</v>
      </c>
      <c r="F1937" s="265">
        <v>52</v>
      </c>
      <c r="G1937" s="265"/>
      <c r="H1937" s="23" t="s">
        <v>202</v>
      </c>
      <c r="I1937" s="213"/>
      <c r="J1937" s="213"/>
      <c r="K1937" s="213"/>
      <c r="L1937" s="213"/>
      <c r="M1937" s="213"/>
      <c r="N1937" s="213"/>
      <c r="O1937" s="213"/>
      <c r="P1937" s="343"/>
      <c r="Q1937" s="213"/>
      <c r="R1937" s="213"/>
      <c r="S1937" s="213"/>
      <c r="T1937" s="343"/>
      <c r="U1937" s="213">
        <v>1423.52</v>
      </c>
      <c r="V1937" s="343"/>
      <c r="W1937" s="343"/>
      <c r="X1937" s="343"/>
      <c r="Y1937" s="343"/>
      <c r="Z1937" s="343"/>
      <c r="AA1937" s="343"/>
      <c r="AB1937" s="343"/>
      <c r="AC1937" s="343"/>
      <c r="AD1937" s="343"/>
      <c r="AE1937" s="343"/>
      <c r="AF1937" s="343"/>
      <c r="AG1937" s="691"/>
      <c r="AH1937" s="691"/>
      <c r="AI1937" s="691"/>
      <c r="AJ1937" s="162" t="b">
        <f t="shared" si="1142"/>
        <v>0</v>
      </c>
      <c r="AK1937" s="162" t="str">
        <f t="shared" si="1143"/>
        <v>PUNO</v>
      </c>
      <c r="AL1937" s="165"/>
    </row>
    <row r="1938" spans="1:39" s="164" customFormat="1" ht="33" customHeight="1" x14ac:dyDescent="0.2">
      <c r="A1938" s="259"/>
      <c r="B1938" s="175"/>
      <c r="C1938" s="175"/>
      <c r="D1938" s="175"/>
      <c r="E1938" s="175">
        <v>3133</v>
      </c>
      <c r="F1938" s="265">
        <v>55</v>
      </c>
      <c r="G1938" s="265"/>
      <c r="H1938" s="23" t="s">
        <v>203</v>
      </c>
      <c r="I1938" s="213"/>
      <c r="J1938" s="213"/>
      <c r="K1938" s="213"/>
      <c r="L1938" s="213"/>
      <c r="M1938" s="213"/>
      <c r="N1938" s="213"/>
      <c r="O1938" s="213"/>
      <c r="P1938" s="343"/>
      <c r="Q1938" s="213"/>
      <c r="R1938" s="213"/>
      <c r="S1938" s="213"/>
      <c r="T1938" s="343"/>
      <c r="U1938" s="213"/>
      <c r="V1938" s="343">
        <v>500</v>
      </c>
      <c r="W1938" s="343">
        <v>0</v>
      </c>
      <c r="X1938" s="343">
        <v>0</v>
      </c>
      <c r="Y1938" s="343">
        <v>224.1</v>
      </c>
      <c r="Z1938" s="343">
        <f t="shared" si="1147"/>
        <v>44.82</v>
      </c>
      <c r="AA1938" s="343">
        <f t="shared" si="1148"/>
        <v>0</v>
      </c>
      <c r="AB1938" s="343">
        <v>500</v>
      </c>
      <c r="AC1938" s="343">
        <v>268.92</v>
      </c>
      <c r="AD1938" s="343">
        <f t="shared" si="1149"/>
        <v>53.783999999999999</v>
      </c>
      <c r="AE1938" s="343">
        <f>AF1938-AB1938</f>
        <v>-230</v>
      </c>
      <c r="AF1938" s="343">
        <v>270</v>
      </c>
      <c r="AG1938" s="690"/>
      <c r="AH1938" s="690"/>
      <c r="AI1938" s="690"/>
      <c r="AJ1938" s="162" t="b">
        <f t="shared" si="1142"/>
        <v>0</v>
      </c>
      <c r="AK1938" s="162" t="str">
        <f t="shared" si="1143"/>
        <v>PUNO</v>
      </c>
      <c r="AL1938" s="165"/>
    </row>
    <row r="1939" spans="1:39" s="164" customFormat="1" ht="33" customHeight="1" x14ac:dyDescent="0.2">
      <c r="A1939" s="259"/>
      <c r="B1939" s="175"/>
      <c r="C1939" s="175"/>
      <c r="D1939" s="175"/>
      <c r="E1939" s="175">
        <v>3133</v>
      </c>
      <c r="F1939" s="265">
        <v>52</v>
      </c>
      <c r="G1939" s="265"/>
      <c r="H1939" s="23" t="s">
        <v>202</v>
      </c>
      <c r="I1939" s="213"/>
      <c r="J1939" s="213"/>
      <c r="K1939" s="213"/>
      <c r="L1939" s="213"/>
      <c r="M1939" s="213"/>
      <c r="N1939" s="213"/>
      <c r="O1939" s="213"/>
      <c r="P1939" s="343"/>
      <c r="Q1939" s="213"/>
      <c r="R1939" s="213"/>
      <c r="S1939" s="213"/>
      <c r="T1939" s="343"/>
      <c r="U1939" s="213">
        <v>179.28</v>
      </c>
      <c r="V1939" s="343"/>
      <c r="W1939" s="343"/>
      <c r="X1939" s="343"/>
      <c r="Y1939" s="343"/>
      <c r="Z1939" s="343"/>
      <c r="AA1939" s="343"/>
      <c r="AB1939" s="343"/>
      <c r="AC1939" s="343"/>
      <c r="AD1939" s="343"/>
      <c r="AE1939" s="343"/>
      <c r="AF1939" s="343"/>
      <c r="AG1939" s="674"/>
      <c r="AH1939" s="674"/>
      <c r="AI1939" s="674"/>
      <c r="AJ1939" s="162" t="b">
        <f t="shared" si="1142"/>
        <v>0</v>
      </c>
      <c r="AK1939" s="162" t="str">
        <f t="shared" si="1143"/>
        <v>PUNO</v>
      </c>
      <c r="AL1939" s="165"/>
    </row>
    <row r="1940" spans="1:39" ht="30" x14ac:dyDescent="0.2">
      <c r="B1940" s="177"/>
      <c r="C1940" s="177">
        <v>32</v>
      </c>
      <c r="D1940" s="177"/>
      <c r="E1940" s="177"/>
      <c r="F1940" s="265"/>
      <c r="G1940" s="265"/>
      <c r="H1940" s="23" t="s">
        <v>203</v>
      </c>
      <c r="I1940" s="266"/>
      <c r="J1940" s="266"/>
      <c r="K1940" s="266"/>
      <c r="L1940" s="266"/>
      <c r="M1940" s="266"/>
      <c r="N1940" s="178"/>
      <c r="O1940" s="178"/>
      <c r="P1940" s="307"/>
      <c r="Q1940" s="178"/>
      <c r="R1940" s="178"/>
      <c r="S1940" s="178"/>
      <c r="T1940" s="266"/>
      <c r="U1940" s="216">
        <f t="shared" ref="U1940:AA1940" si="1150">U1941+U1947+U1960+U1977</f>
        <v>1331904.19</v>
      </c>
      <c r="V1940" s="266">
        <f t="shared" si="1150"/>
        <v>1694600</v>
      </c>
      <c r="W1940" s="266">
        <f t="shared" si="1150"/>
        <v>1698600</v>
      </c>
      <c r="X1940" s="266">
        <f t="shared" si="1150"/>
        <v>1669300</v>
      </c>
      <c r="Y1940" s="266">
        <f t="shared" si="1150"/>
        <v>381488.80000000005</v>
      </c>
      <c r="Z1940" s="266">
        <f t="shared" si="1150"/>
        <v>349.76</v>
      </c>
      <c r="AA1940" s="266">
        <f t="shared" si="1150"/>
        <v>336000</v>
      </c>
      <c r="AB1940" s="266">
        <f>AB1941+AB1947+AB1960+AB1977</f>
        <v>2030600</v>
      </c>
      <c r="AC1940" s="266">
        <f>AC1941+AC1947+AC1960+AC1977</f>
        <v>828204.52999999991</v>
      </c>
      <c r="AD1940" s="266">
        <f t="shared" si="1149"/>
        <v>40.786197675563869</v>
      </c>
      <c r="AE1940" s="266">
        <f>AF1940-AB1940</f>
        <v>367060</v>
      </c>
      <c r="AF1940" s="266">
        <f>AF1941+AF1947+AF1960+AF1977</f>
        <v>2397660</v>
      </c>
      <c r="AG1940" s="266">
        <f>AG1941+AG1947+AG1960+AG1977</f>
        <v>2373504</v>
      </c>
      <c r="AH1940" s="266">
        <f>AH1941+AH1947+AH1960+AH1977</f>
        <v>2307600</v>
      </c>
      <c r="AI1940" s="266">
        <f>AI1941+AI1947+AI1960+AI1977</f>
        <v>2279100</v>
      </c>
      <c r="AJ1940" s="162" t="b">
        <f t="shared" si="1142"/>
        <v>1</v>
      </c>
      <c r="AK1940" s="162" t="str">
        <f t="shared" si="1143"/>
        <v>PRAZNO</v>
      </c>
      <c r="AM1940" s="164"/>
    </row>
    <row r="1941" spans="1:39" ht="15.75" x14ac:dyDescent="0.2">
      <c r="B1941" s="177"/>
      <c r="C1941" s="177"/>
      <c r="D1941" s="177">
        <v>321</v>
      </c>
      <c r="E1941" s="177"/>
      <c r="F1941" s="265"/>
      <c r="G1941" s="265"/>
      <c r="H1941" s="16" t="s">
        <v>564</v>
      </c>
      <c r="I1941" s="266"/>
      <c r="J1941" s="266"/>
      <c r="K1941" s="266"/>
      <c r="L1941" s="266"/>
      <c r="M1941" s="266"/>
      <c r="N1941" s="178"/>
      <c r="O1941" s="178"/>
      <c r="P1941" s="307"/>
      <c r="Q1941" s="178"/>
      <c r="R1941" s="178"/>
      <c r="S1941" s="178"/>
      <c r="T1941" s="266"/>
      <c r="U1941" s="216">
        <f t="shared" ref="U1941:AA1941" si="1151">SUM(U1942:U1946)</f>
        <v>31945.78</v>
      </c>
      <c r="V1941" s="266">
        <f t="shared" si="1151"/>
        <v>60500</v>
      </c>
      <c r="W1941" s="266">
        <f t="shared" si="1151"/>
        <v>63100</v>
      </c>
      <c r="X1941" s="266">
        <f t="shared" si="1151"/>
        <v>74000</v>
      </c>
      <c r="Y1941" s="266">
        <f t="shared" si="1151"/>
        <v>14124.25</v>
      </c>
      <c r="Z1941" s="266">
        <f t="shared" si="1151"/>
        <v>67.289999999999992</v>
      </c>
      <c r="AA1941" s="266">
        <f t="shared" si="1151"/>
        <v>9900</v>
      </c>
      <c r="AB1941" s="266">
        <f>SUM(AB1942:AB1946)</f>
        <v>70400</v>
      </c>
      <c r="AC1941" s="266">
        <f>SUM(AC1942:AC1946)</f>
        <v>22034.65</v>
      </c>
      <c r="AD1941" s="266">
        <f t="shared" si="1149"/>
        <v>31.299218750000001</v>
      </c>
      <c r="AE1941" s="266">
        <f>AF1941-AB1941</f>
        <v>-5500</v>
      </c>
      <c r="AF1941" s="266">
        <f>SUM(AF1942:AF1946)</f>
        <v>64900</v>
      </c>
      <c r="AG1941" s="178">
        <f>SUM(AG1942:AG1946)</f>
        <v>57300</v>
      </c>
      <c r="AH1941" s="178">
        <f>SUM(AH1942:AH1946)</f>
        <v>60000</v>
      </c>
      <c r="AI1941" s="178">
        <f>SUM(AI1942:AI1946)</f>
        <v>62200</v>
      </c>
      <c r="AJ1941" s="162" t="b">
        <f t="shared" si="1142"/>
        <v>1</v>
      </c>
      <c r="AK1941" s="162" t="str">
        <f t="shared" si="1143"/>
        <v>PRAZNO</v>
      </c>
      <c r="AM1941" s="164"/>
    </row>
    <row r="1942" spans="1:39" s="164" customFormat="1" ht="19.5" customHeight="1" x14ac:dyDescent="0.2">
      <c r="A1942" s="259"/>
      <c r="B1942" s="175"/>
      <c r="C1942" s="175"/>
      <c r="D1942" s="175"/>
      <c r="E1942" s="175">
        <v>3211</v>
      </c>
      <c r="F1942" s="265">
        <v>55</v>
      </c>
      <c r="G1942" s="265" t="s">
        <v>1040</v>
      </c>
      <c r="H1942" s="16" t="s">
        <v>565</v>
      </c>
      <c r="I1942" s="183"/>
      <c r="J1942" s="183"/>
      <c r="K1942" s="183"/>
      <c r="L1942" s="183"/>
      <c r="M1942" s="183"/>
      <c r="N1942" s="183"/>
      <c r="O1942" s="183"/>
      <c r="P1942" s="307"/>
      <c r="Q1942" s="183"/>
      <c r="R1942" s="183"/>
      <c r="S1942" s="183"/>
      <c r="T1942" s="340"/>
      <c r="U1942" s="317"/>
      <c r="V1942" s="340">
        <v>46200</v>
      </c>
      <c r="W1942" s="340">
        <v>60800</v>
      </c>
      <c r="X1942" s="340">
        <v>56700</v>
      </c>
      <c r="Y1942" s="340">
        <v>6749.25</v>
      </c>
      <c r="Z1942" s="340">
        <f t="shared" si="1147"/>
        <v>14.61</v>
      </c>
      <c r="AA1942" s="340">
        <f t="shared" si="1148"/>
        <v>10200</v>
      </c>
      <c r="AB1942" s="340">
        <v>56400</v>
      </c>
      <c r="AC1942" s="340">
        <v>14659.65</v>
      </c>
      <c r="AD1942" s="340">
        <f t="shared" si="1149"/>
        <v>25.992287234042553</v>
      </c>
      <c r="AE1942" s="340">
        <f>AF1942-AB1942</f>
        <v>-9500</v>
      </c>
      <c r="AF1942" s="340">
        <v>46900</v>
      </c>
      <c r="AG1942" s="340">
        <f>12600+10000+21700</f>
        <v>44300</v>
      </c>
      <c r="AH1942" s="340">
        <f>58000</f>
        <v>58000</v>
      </c>
      <c r="AI1942" s="340">
        <v>55200</v>
      </c>
      <c r="AJ1942" s="162" t="b">
        <f t="shared" si="1142"/>
        <v>0</v>
      </c>
      <c r="AK1942" s="162" t="str">
        <f t="shared" si="1143"/>
        <v>PUNO</v>
      </c>
      <c r="AL1942" s="165"/>
    </row>
    <row r="1943" spans="1:39" s="164" customFormat="1" ht="18" customHeight="1" x14ac:dyDescent="0.2">
      <c r="A1943" s="259"/>
      <c r="B1943" s="175"/>
      <c r="C1943" s="175"/>
      <c r="D1943" s="175"/>
      <c r="E1943" s="175">
        <v>3211</v>
      </c>
      <c r="F1943" s="265">
        <v>52</v>
      </c>
      <c r="G1943" s="265"/>
      <c r="H1943" s="16" t="s">
        <v>565</v>
      </c>
      <c r="I1943" s="183"/>
      <c r="J1943" s="183"/>
      <c r="K1943" s="183"/>
      <c r="L1943" s="183"/>
      <c r="M1943" s="183"/>
      <c r="N1943" s="183"/>
      <c r="O1943" s="183"/>
      <c r="P1943" s="307"/>
      <c r="Q1943" s="183"/>
      <c r="R1943" s="183"/>
      <c r="S1943" s="183"/>
      <c r="T1943" s="340"/>
      <c r="U1943" s="317">
        <v>26966.78</v>
      </c>
      <c r="V1943" s="340"/>
      <c r="W1943" s="340"/>
      <c r="X1943" s="340"/>
      <c r="Y1943" s="340"/>
      <c r="Z1943" s="340"/>
      <c r="AA1943" s="340"/>
      <c r="AB1943" s="340"/>
      <c r="AC1943" s="340"/>
      <c r="AD1943" s="340"/>
      <c r="AE1943" s="340"/>
      <c r="AF1943" s="340"/>
      <c r="AG1943" s="340"/>
      <c r="AH1943" s="340"/>
      <c r="AI1943" s="340"/>
      <c r="AJ1943" s="162" t="b">
        <f t="shared" si="1142"/>
        <v>0</v>
      </c>
      <c r="AK1943" s="162" t="str">
        <f t="shared" si="1143"/>
        <v>PUNO</v>
      </c>
      <c r="AL1943" s="165"/>
    </row>
    <row r="1944" spans="1:39" s="164" customFormat="1" ht="18" customHeight="1" x14ac:dyDescent="0.2">
      <c r="A1944" s="259"/>
      <c r="B1944" s="175"/>
      <c r="C1944" s="175"/>
      <c r="D1944" s="175"/>
      <c r="E1944" s="175">
        <v>3213</v>
      </c>
      <c r="F1944" s="265">
        <v>55</v>
      </c>
      <c r="G1944" s="265" t="s">
        <v>1040</v>
      </c>
      <c r="H1944" s="16" t="s">
        <v>221</v>
      </c>
      <c r="I1944" s="183"/>
      <c r="J1944" s="183"/>
      <c r="K1944" s="183"/>
      <c r="L1944" s="183"/>
      <c r="M1944" s="183"/>
      <c r="N1944" s="183"/>
      <c r="O1944" s="183"/>
      <c r="P1944" s="307"/>
      <c r="Q1944" s="183"/>
      <c r="R1944" s="183"/>
      <c r="S1944" s="183"/>
      <c r="T1944" s="340"/>
      <c r="U1944" s="317"/>
      <c r="V1944" s="340">
        <v>14000</v>
      </c>
      <c r="W1944" s="340">
        <v>2000</v>
      </c>
      <c r="X1944" s="340">
        <v>17000</v>
      </c>
      <c r="Y1944" s="340">
        <v>7375</v>
      </c>
      <c r="Z1944" s="340">
        <f t="shared" si="1147"/>
        <v>52.68</v>
      </c>
      <c r="AA1944" s="340">
        <f t="shared" si="1148"/>
        <v>0</v>
      </c>
      <c r="AB1944" s="340">
        <v>14000</v>
      </c>
      <c r="AC1944" s="340">
        <v>7375</v>
      </c>
      <c r="AD1944" s="340">
        <f t="shared" si="1149"/>
        <v>52.678571428571431</v>
      </c>
      <c r="AE1944" s="340">
        <f>AF1944-AB1944</f>
        <v>4000</v>
      </c>
      <c r="AF1944" s="340">
        <v>18000</v>
      </c>
      <c r="AG1944" s="340">
        <f>2000+11000</f>
        <v>13000</v>
      </c>
      <c r="AH1944" s="340">
        <v>2000</v>
      </c>
      <c r="AI1944" s="340">
        <v>7000</v>
      </c>
      <c r="AJ1944" s="162" t="b">
        <f t="shared" si="1142"/>
        <v>0</v>
      </c>
      <c r="AK1944" s="162" t="str">
        <f t="shared" si="1143"/>
        <v>PUNO</v>
      </c>
      <c r="AL1944" s="165"/>
    </row>
    <row r="1945" spans="1:39" s="164" customFormat="1" ht="18" customHeight="1" x14ac:dyDescent="0.2">
      <c r="A1945" s="259"/>
      <c r="B1945" s="175"/>
      <c r="C1945" s="175"/>
      <c r="D1945" s="175"/>
      <c r="E1945" s="175">
        <v>3213</v>
      </c>
      <c r="F1945" s="265">
        <v>52</v>
      </c>
      <c r="G1945" s="265"/>
      <c r="H1945" s="16" t="s">
        <v>221</v>
      </c>
      <c r="I1945" s="183"/>
      <c r="J1945" s="183"/>
      <c r="K1945" s="183"/>
      <c r="L1945" s="183"/>
      <c r="M1945" s="183"/>
      <c r="N1945" s="183"/>
      <c r="O1945" s="183"/>
      <c r="P1945" s="307"/>
      <c r="Q1945" s="183"/>
      <c r="R1945" s="183"/>
      <c r="S1945" s="183"/>
      <c r="T1945" s="340"/>
      <c r="U1945" s="317">
        <v>4979</v>
      </c>
      <c r="V1945" s="340"/>
      <c r="W1945" s="340"/>
      <c r="X1945" s="340"/>
      <c r="Y1945" s="340"/>
      <c r="Z1945" s="340"/>
      <c r="AA1945" s="340"/>
      <c r="AB1945" s="340"/>
      <c r="AC1945" s="340"/>
      <c r="AD1945" s="340"/>
      <c r="AE1945" s="340"/>
      <c r="AF1945" s="340"/>
      <c r="AG1945" s="340"/>
      <c r="AH1945" s="340"/>
      <c r="AI1945" s="340"/>
      <c r="AJ1945" s="162" t="b">
        <f t="shared" si="1142"/>
        <v>0</v>
      </c>
      <c r="AK1945" s="162" t="str">
        <f t="shared" si="1143"/>
        <v>PUNO</v>
      </c>
      <c r="AL1945" s="165"/>
    </row>
    <row r="1946" spans="1:39" s="164" customFormat="1" ht="15.75" x14ac:dyDescent="0.2">
      <c r="A1946" s="259"/>
      <c r="B1946" s="175"/>
      <c r="C1946" s="175"/>
      <c r="D1946" s="175"/>
      <c r="E1946" s="175">
        <v>3214</v>
      </c>
      <c r="F1946" s="265">
        <v>55</v>
      </c>
      <c r="G1946" s="265"/>
      <c r="H1946" s="23" t="s">
        <v>852</v>
      </c>
      <c r="I1946" s="213"/>
      <c r="J1946" s="213"/>
      <c r="K1946" s="213"/>
      <c r="L1946" s="213"/>
      <c r="M1946" s="213"/>
      <c r="N1946" s="213"/>
      <c r="O1946" s="213"/>
      <c r="P1946" s="343"/>
      <c r="Q1946" s="213"/>
      <c r="R1946" s="213"/>
      <c r="S1946" s="213"/>
      <c r="T1946" s="343"/>
      <c r="U1946" s="213"/>
      <c r="V1946" s="213">
        <v>300</v>
      </c>
      <c r="W1946" s="213">
        <v>300</v>
      </c>
      <c r="X1946" s="213">
        <v>300</v>
      </c>
      <c r="Y1946" s="213">
        <v>0</v>
      </c>
      <c r="Z1946" s="213">
        <f t="shared" si="1147"/>
        <v>0</v>
      </c>
      <c r="AA1946" s="213">
        <f t="shared" si="1148"/>
        <v>-300</v>
      </c>
      <c r="AB1946" s="213">
        <v>0</v>
      </c>
      <c r="AC1946" s="213">
        <v>0</v>
      </c>
      <c r="AD1946" s="213" t="e">
        <f t="shared" si="1149"/>
        <v>#DIV/0!</v>
      </c>
      <c r="AE1946" s="213">
        <f>AF1946-AB1946</f>
        <v>0</v>
      </c>
      <c r="AF1946" s="213">
        <v>0</v>
      </c>
      <c r="AG1946" s="213">
        <v>0</v>
      </c>
      <c r="AH1946" s="213">
        <v>0</v>
      </c>
      <c r="AI1946" s="213">
        <v>0</v>
      </c>
      <c r="AJ1946" s="162" t="b">
        <f t="shared" si="1142"/>
        <v>0</v>
      </c>
      <c r="AK1946" s="162" t="str">
        <f t="shared" si="1143"/>
        <v>PUNO</v>
      </c>
      <c r="AL1946" s="165"/>
    </row>
    <row r="1947" spans="1:39" ht="15.75" x14ac:dyDescent="0.2">
      <c r="B1947" s="177"/>
      <c r="C1947" s="177"/>
      <c r="D1947" s="177">
        <v>322</v>
      </c>
      <c r="E1947" s="177"/>
      <c r="F1947" s="265"/>
      <c r="G1947" s="265"/>
      <c r="H1947" s="16" t="s">
        <v>547</v>
      </c>
      <c r="I1947" s="266"/>
      <c r="J1947" s="266">
        <f t="shared" ref="J1947:AA1947" si="1152">SUM(J1948:J1959)</f>
        <v>0</v>
      </c>
      <c r="K1947" s="266">
        <f t="shared" si="1152"/>
        <v>0</v>
      </c>
      <c r="L1947" s="266">
        <f t="shared" si="1152"/>
        <v>0</v>
      </c>
      <c r="M1947" s="266">
        <f t="shared" si="1152"/>
        <v>0</v>
      </c>
      <c r="N1947" s="266">
        <f t="shared" si="1152"/>
        <v>0</v>
      </c>
      <c r="O1947" s="266">
        <f t="shared" si="1152"/>
        <v>0</v>
      </c>
      <c r="P1947" s="266">
        <f t="shared" si="1152"/>
        <v>0</v>
      </c>
      <c r="Q1947" s="266">
        <f t="shared" si="1152"/>
        <v>0</v>
      </c>
      <c r="R1947" s="266">
        <f t="shared" si="1152"/>
        <v>0</v>
      </c>
      <c r="S1947" s="266">
        <f t="shared" si="1152"/>
        <v>0</v>
      </c>
      <c r="T1947" s="266">
        <f t="shared" si="1152"/>
        <v>0</v>
      </c>
      <c r="U1947" s="216">
        <f t="shared" si="1152"/>
        <v>654786.78</v>
      </c>
      <c r="V1947" s="266">
        <f t="shared" si="1152"/>
        <v>855900</v>
      </c>
      <c r="W1947" s="266">
        <f t="shared" si="1152"/>
        <v>920900</v>
      </c>
      <c r="X1947" s="266">
        <f t="shared" si="1152"/>
        <v>905100</v>
      </c>
      <c r="Y1947" s="266">
        <f t="shared" si="1152"/>
        <v>255324.68000000002</v>
      </c>
      <c r="Z1947" s="266">
        <f t="shared" si="1152"/>
        <v>139.45000000000002</v>
      </c>
      <c r="AA1947" s="266">
        <f t="shared" si="1152"/>
        <v>126100</v>
      </c>
      <c r="AB1947" s="266">
        <f>SUM(AB1948:AB1959)</f>
        <v>982000</v>
      </c>
      <c r="AC1947" s="266">
        <f>SUM(AC1948:AC1959)</f>
        <v>476141.5799999999</v>
      </c>
      <c r="AD1947" s="266">
        <f t="shared" si="1149"/>
        <v>48.48692260692463</v>
      </c>
      <c r="AE1947" s="266">
        <f>AF1947-AB1947</f>
        <v>113680</v>
      </c>
      <c r="AF1947" s="266">
        <f>SUM(AF1948:AF1959)</f>
        <v>1095680</v>
      </c>
      <c r="AG1947" s="178">
        <f>SUM(AG1948:AG1959)</f>
        <v>1243704</v>
      </c>
      <c r="AH1947" s="178">
        <f>SUM(AH1948:AH1959)</f>
        <v>1277900</v>
      </c>
      <c r="AI1947" s="178">
        <f>SUM(AI1948:AI1959)</f>
        <v>1272000</v>
      </c>
      <c r="AJ1947" s="162" t="b">
        <f t="shared" si="1142"/>
        <v>1</v>
      </c>
      <c r="AK1947" s="162" t="str">
        <f t="shared" si="1143"/>
        <v>PRAZNO</v>
      </c>
      <c r="AM1947" s="164"/>
    </row>
    <row r="1948" spans="1:39" s="164" customFormat="1" ht="15" customHeight="1" x14ac:dyDescent="0.2">
      <c r="A1948" s="259"/>
      <c r="B1948" s="177"/>
      <c r="C1948" s="177"/>
      <c r="D1948" s="177"/>
      <c r="E1948" s="177">
        <v>3221</v>
      </c>
      <c r="F1948" s="265">
        <v>55</v>
      </c>
      <c r="G1948" s="265" t="s">
        <v>1040</v>
      </c>
      <c r="H1948" s="16" t="s">
        <v>438</v>
      </c>
      <c r="I1948" s="178"/>
      <c r="J1948" s="178"/>
      <c r="K1948" s="178"/>
      <c r="L1948" s="178"/>
      <c r="M1948" s="178"/>
      <c r="N1948" s="178"/>
      <c r="O1948" s="178"/>
      <c r="P1948" s="307"/>
      <c r="Q1948" s="178"/>
      <c r="R1948" s="178"/>
      <c r="S1948" s="178"/>
      <c r="T1948" s="266"/>
      <c r="U1948" s="216"/>
      <c r="V1948" s="266">
        <v>47000</v>
      </c>
      <c r="W1948" s="266">
        <v>80700</v>
      </c>
      <c r="X1948" s="266">
        <v>60100</v>
      </c>
      <c r="Y1948" s="266">
        <v>11100.17</v>
      </c>
      <c r="Z1948" s="266">
        <f t="shared" si="1147"/>
        <v>23.62</v>
      </c>
      <c r="AA1948" s="266">
        <f t="shared" si="1148"/>
        <v>7700</v>
      </c>
      <c r="AB1948" s="266">
        <v>54700</v>
      </c>
      <c r="AC1948" s="266">
        <v>20890.919999999998</v>
      </c>
      <c r="AD1948" s="266">
        <f t="shared" si="1149"/>
        <v>38.191809872029246</v>
      </c>
      <c r="AE1948" s="266">
        <f>AF1948-AB1948</f>
        <v>24600</v>
      </c>
      <c r="AF1948" s="266">
        <v>79300</v>
      </c>
      <c r="AG1948" s="266">
        <f>20000+18500+6100+4100+8500</f>
        <v>57200</v>
      </c>
      <c r="AH1948" s="266">
        <f>2000+3000+13000+4000+40000+2500+14000</f>
        <v>78500</v>
      </c>
      <c r="AI1948" s="266">
        <f>2000+3000+13100+4000+20000+2500+14000</f>
        <v>58600</v>
      </c>
      <c r="AJ1948" s="162" t="b">
        <f t="shared" si="1142"/>
        <v>0</v>
      </c>
      <c r="AK1948" s="162" t="str">
        <f t="shared" si="1143"/>
        <v>PUNO</v>
      </c>
      <c r="AL1948" s="165"/>
    </row>
    <row r="1949" spans="1:39" s="164" customFormat="1" ht="15" customHeight="1" x14ac:dyDescent="0.2">
      <c r="A1949" s="259"/>
      <c r="B1949" s="177"/>
      <c r="C1949" s="177"/>
      <c r="D1949" s="177"/>
      <c r="E1949" s="177">
        <v>3221</v>
      </c>
      <c r="F1949" s="265">
        <v>52</v>
      </c>
      <c r="G1949" s="265" t="s">
        <v>1040</v>
      </c>
      <c r="H1949" s="16" t="s">
        <v>438</v>
      </c>
      <c r="I1949" s="178"/>
      <c r="J1949" s="178"/>
      <c r="K1949" s="178"/>
      <c r="L1949" s="178"/>
      <c r="M1949" s="178"/>
      <c r="N1949" s="178"/>
      <c r="O1949" s="178"/>
      <c r="P1949" s="307"/>
      <c r="Q1949" s="178"/>
      <c r="R1949" s="178"/>
      <c r="S1949" s="178"/>
      <c r="T1949" s="266"/>
      <c r="U1949" s="216">
        <v>46960.75</v>
      </c>
      <c r="V1949" s="266"/>
      <c r="W1949" s="266"/>
      <c r="X1949" s="266"/>
      <c r="Y1949" s="266"/>
      <c r="Z1949" s="266"/>
      <c r="AA1949" s="266"/>
      <c r="AB1949" s="266"/>
      <c r="AC1949" s="266"/>
      <c r="AD1949" s="266"/>
      <c r="AE1949" s="266"/>
      <c r="AF1949" s="266"/>
      <c r="AG1949" s="266"/>
      <c r="AH1949" s="266"/>
      <c r="AI1949" s="266"/>
      <c r="AJ1949" s="162" t="b">
        <f t="shared" si="1142"/>
        <v>0</v>
      </c>
      <c r="AK1949" s="162" t="str">
        <f t="shared" si="1143"/>
        <v>PUNO</v>
      </c>
      <c r="AL1949" s="165"/>
    </row>
    <row r="1950" spans="1:39" s="164" customFormat="1" ht="15.75" x14ac:dyDescent="0.2">
      <c r="A1950" s="259"/>
      <c r="B1950" s="177"/>
      <c r="C1950" s="177"/>
      <c r="D1950" s="177"/>
      <c r="E1950" s="177">
        <v>3222</v>
      </c>
      <c r="F1950" s="265">
        <v>55</v>
      </c>
      <c r="G1950" s="265" t="s">
        <v>1040</v>
      </c>
      <c r="H1950" s="16" t="s">
        <v>71</v>
      </c>
      <c r="I1950" s="178"/>
      <c r="J1950" s="178"/>
      <c r="K1950" s="178"/>
      <c r="L1950" s="178"/>
      <c r="M1950" s="178"/>
      <c r="N1950" s="178"/>
      <c r="O1950" s="178"/>
      <c r="P1950" s="307"/>
      <c r="Q1950" s="178"/>
      <c r="R1950" s="178"/>
      <c r="S1950" s="178"/>
      <c r="T1950" s="266"/>
      <c r="U1950" s="216"/>
      <c r="V1950" s="266">
        <v>622800</v>
      </c>
      <c r="W1950" s="266">
        <v>608800</v>
      </c>
      <c r="X1950" s="266">
        <v>671800</v>
      </c>
      <c r="Y1950" s="266">
        <v>193542.48</v>
      </c>
      <c r="Z1950" s="266">
        <f t="shared" si="1147"/>
        <v>31.08</v>
      </c>
      <c r="AA1950" s="266">
        <f t="shared" si="1148"/>
        <v>158000</v>
      </c>
      <c r="AB1950" s="266">
        <v>780800</v>
      </c>
      <c r="AC1950" s="266">
        <v>371661.61</v>
      </c>
      <c r="AD1950" s="266">
        <f t="shared" si="1149"/>
        <v>47.600103739754097</v>
      </c>
      <c r="AE1950" s="266">
        <f>AF1950-AB1950</f>
        <v>79580</v>
      </c>
      <c r="AF1950" s="266">
        <v>860380</v>
      </c>
      <c r="AG1950" s="266">
        <f>30000+20000+33600+50000+46700+400+21000+68200+55000+6000+27000+40000+50000+32000+28000+387000+141504+17000</f>
        <v>1053404</v>
      </c>
      <c r="AH1950" s="266">
        <f>30000+21000+33600+50000+46700+500+15000+68200+55000+27000+42000+50000+32000+28000+387000+140000+17000</f>
        <v>1043000</v>
      </c>
      <c r="AI1950" s="266">
        <f>30000+22000+33600+50000+46700+500+17000+68200+55000+27000+43000+55000+32000+28000+387000+140000+17000</f>
        <v>1052000</v>
      </c>
      <c r="AJ1950" s="162" t="b">
        <f t="shared" si="1142"/>
        <v>0</v>
      </c>
      <c r="AK1950" s="162" t="str">
        <f t="shared" si="1143"/>
        <v>PUNO</v>
      </c>
      <c r="AL1950" s="165"/>
    </row>
    <row r="1951" spans="1:39" s="164" customFormat="1" ht="15.75" x14ac:dyDescent="0.2">
      <c r="A1951" s="259"/>
      <c r="B1951" s="177"/>
      <c r="C1951" s="177"/>
      <c r="D1951" s="177"/>
      <c r="E1951" s="177">
        <v>3222</v>
      </c>
      <c r="F1951" s="265">
        <v>52</v>
      </c>
      <c r="G1951" s="265" t="s">
        <v>1040</v>
      </c>
      <c r="H1951" s="16" t="s">
        <v>71</v>
      </c>
      <c r="I1951" s="178"/>
      <c r="J1951" s="178"/>
      <c r="K1951" s="178"/>
      <c r="L1951" s="178"/>
      <c r="M1951" s="178"/>
      <c r="N1951" s="178"/>
      <c r="O1951" s="178"/>
      <c r="P1951" s="307"/>
      <c r="Q1951" s="178"/>
      <c r="R1951" s="178"/>
      <c r="S1951" s="178"/>
      <c r="T1951" s="266"/>
      <c r="U1951" s="216">
        <v>501158.08</v>
      </c>
      <c r="V1951" s="266"/>
      <c r="W1951" s="266"/>
      <c r="X1951" s="266"/>
      <c r="Y1951" s="266"/>
      <c r="Z1951" s="266"/>
      <c r="AA1951" s="266"/>
      <c r="AB1951" s="266"/>
      <c r="AC1951" s="266"/>
      <c r="AD1951" s="266"/>
      <c r="AE1951" s="266"/>
      <c r="AF1951" s="266"/>
      <c r="AG1951" s="266"/>
      <c r="AH1951" s="266"/>
      <c r="AI1951" s="266"/>
      <c r="AJ1951" s="162" t="b">
        <f t="shared" si="1142"/>
        <v>0</v>
      </c>
      <c r="AK1951" s="162" t="str">
        <f t="shared" si="1143"/>
        <v>PUNO</v>
      </c>
      <c r="AL1951" s="165"/>
    </row>
    <row r="1952" spans="1:39" s="164" customFormat="1" ht="15.75" x14ac:dyDescent="0.2">
      <c r="A1952" s="259"/>
      <c r="B1952" s="177"/>
      <c r="C1952" s="177"/>
      <c r="D1952" s="177"/>
      <c r="E1952" s="177">
        <v>3223</v>
      </c>
      <c r="F1952" s="265">
        <v>55</v>
      </c>
      <c r="G1952" s="265"/>
      <c r="H1952" s="16" t="s">
        <v>204</v>
      </c>
      <c r="I1952" s="178"/>
      <c r="J1952" s="178"/>
      <c r="K1952" s="178"/>
      <c r="L1952" s="178"/>
      <c r="M1952" s="178"/>
      <c r="N1952" s="178"/>
      <c r="O1952" s="178"/>
      <c r="P1952" s="307"/>
      <c r="Q1952" s="178"/>
      <c r="R1952" s="178"/>
      <c r="S1952" s="178"/>
      <c r="T1952" s="266"/>
      <c r="U1952" s="216"/>
      <c r="V1952" s="266">
        <v>60000</v>
      </c>
      <c r="W1952" s="266">
        <v>59500</v>
      </c>
      <c r="X1952" s="266">
        <v>60000</v>
      </c>
      <c r="Y1952" s="266">
        <v>45137.22</v>
      </c>
      <c r="Z1952" s="266">
        <f t="shared" si="1147"/>
        <v>75.23</v>
      </c>
      <c r="AA1952" s="266">
        <f t="shared" si="1148"/>
        <v>1000</v>
      </c>
      <c r="AB1952" s="266">
        <v>61000</v>
      </c>
      <c r="AC1952" s="266">
        <v>49417.16</v>
      </c>
      <c r="AD1952" s="266">
        <f t="shared" si="1149"/>
        <v>81.011737704918048</v>
      </c>
      <c r="AE1952" s="266">
        <f>AF1952-AB1952</f>
        <v>4300</v>
      </c>
      <c r="AF1952" s="266">
        <v>65300</v>
      </c>
      <c r="AG1952" s="266">
        <f>6000+40500+11000</f>
        <v>57500</v>
      </c>
      <c r="AH1952" s="266">
        <f>3500+45000</f>
        <v>48500</v>
      </c>
      <c r="AI1952" s="266">
        <f>3000+5000+45000</f>
        <v>53000</v>
      </c>
      <c r="AJ1952" s="162" t="b">
        <f t="shared" si="1142"/>
        <v>0</v>
      </c>
      <c r="AK1952" s="162" t="str">
        <f t="shared" si="1143"/>
        <v>PUNO</v>
      </c>
      <c r="AL1952" s="165"/>
    </row>
    <row r="1953" spans="1:38" s="164" customFormat="1" ht="15.75" x14ac:dyDescent="0.2">
      <c r="A1953" s="259"/>
      <c r="B1953" s="177"/>
      <c r="C1953" s="177"/>
      <c r="D1953" s="177"/>
      <c r="E1953" s="177">
        <v>3223</v>
      </c>
      <c r="F1953" s="265">
        <v>52</v>
      </c>
      <c r="G1953" s="265"/>
      <c r="H1953" s="16" t="s">
        <v>204</v>
      </c>
      <c r="I1953" s="178"/>
      <c r="J1953" s="178"/>
      <c r="K1953" s="178"/>
      <c r="L1953" s="178"/>
      <c r="M1953" s="178"/>
      <c r="N1953" s="178"/>
      <c r="O1953" s="178"/>
      <c r="P1953" s="307"/>
      <c r="Q1953" s="178"/>
      <c r="R1953" s="178"/>
      <c r="S1953" s="178"/>
      <c r="T1953" s="266"/>
      <c r="U1953" s="216">
        <v>44358.32</v>
      </c>
      <c r="V1953" s="266"/>
      <c r="W1953" s="266"/>
      <c r="X1953" s="266"/>
      <c r="Y1953" s="266"/>
      <c r="Z1953" s="266"/>
      <c r="AA1953" s="266"/>
      <c r="AB1953" s="266"/>
      <c r="AC1953" s="266"/>
      <c r="AD1953" s="266"/>
      <c r="AE1953" s="266"/>
      <c r="AF1953" s="266"/>
      <c r="AG1953" s="266"/>
      <c r="AH1953" s="266"/>
      <c r="AI1953" s="266"/>
      <c r="AJ1953" s="162" t="b">
        <f t="shared" si="1142"/>
        <v>0</v>
      </c>
      <c r="AK1953" s="162" t="str">
        <f t="shared" si="1143"/>
        <v>PUNO</v>
      </c>
      <c r="AL1953" s="165"/>
    </row>
    <row r="1954" spans="1:38" s="164" customFormat="1" ht="31.5" customHeight="1" x14ac:dyDescent="0.2">
      <c r="A1954" s="259"/>
      <c r="B1954" s="177"/>
      <c r="C1954" s="177"/>
      <c r="D1954" s="177"/>
      <c r="E1954" s="177">
        <v>3224</v>
      </c>
      <c r="F1954" s="265">
        <v>55</v>
      </c>
      <c r="G1954" s="265" t="s">
        <v>1040</v>
      </c>
      <c r="H1954" s="16" t="s">
        <v>853</v>
      </c>
      <c r="I1954" s="178"/>
      <c r="J1954" s="178"/>
      <c r="K1954" s="178"/>
      <c r="L1954" s="178"/>
      <c r="M1954" s="178"/>
      <c r="N1954" s="178"/>
      <c r="O1954" s="178"/>
      <c r="P1954" s="307"/>
      <c r="Q1954" s="178"/>
      <c r="R1954" s="178"/>
      <c r="S1954" s="178"/>
      <c r="T1954" s="266"/>
      <c r="U1954" s="216"/>
      <c r="V1954" s="266">
        <v>66100</v>
      </c>
      <c r="W1954" s="266">
        <v>126400</v>
      </c>
      <c r="X1954" s="266">
        <v>55400</v>
      </c>
      <c r="Y1954" s="266">
        <v>865</v>
      </c>
      <c r="Z1954" s="266">
        <f t="shared" si="1147"/>
        <v>1.31</v>
      </c>
      <c r="AA1954" s="266">
        <f t="shared" si="1148"/>
        <v>-32600</v>
      </c>
      <c r="AB1954" s="266">
        <v>33500</v>
      </c>
      <c r="AC1954" s="266">
        <v>11228.1</v>
      </c>
      <c r="AD1954" s="266">
        <f t="shared" si="1149"/>
        <v>33.516716417910445</v>
      </c>
      <c r="AE1954" s="266">
        <f>AF1954-AB1954</f>
        <v>7500</v>
      </c>
      <c r="AF1954" s="266">
        <v>41000</v>
      </c>
      <c r="AG1954" s="266">
        <f>9700+10900+4000</f>
        <v>24600</v>
      </c>
      <c r="AH1954" s="266">
        <f>2500+4000+900+50000+2000</f>
        <v>59400</v>
      </c>
      <c r="AI1954" s="266">
        <f>2500+4000+600+35000+5000+2000</f>
        <v>49100</v>
      </c>
      <c r="AJ1954" s="162" t="b">
        <f t="shared" si="1142"/>
        <v>0</v>
      </c>
      <c r="AK1954" s="162" t="str">
        <f t="shared" si="1143"/>
        <v>PUNO</v>
      </c>
      <c r="AL1954" s="165"/>
    </row>
    <row r="1955" spans="1:38" s="164" customFormat="1" ht="31.5" customHeight="1" x14ac:dyDescent="0.2">
      <c r="A1955" s="259"/>
      <c r="B1955" s="177"/>
      <c r="C1955" s="177"/>
      <c r="D1955" s="177"/>
      <c r="E1955" s="177">
        <v>3224</v>
      </c>
      <c r="F1955" s="265">
        <v>52</v>
      </c>
      <c r="G1955" s="265" t="s">
        <v>1040</v>
      </c>
      <c r="H1955" s="16" t="s">
        <v>853</v>
      </c>
      <c r="I1955" s="178"/>
      <c r="J1955" s="178"/>
      <c r="K1955" s="178"/>
      <c r="L1955" s="178"/>
      <c r="M1955" s="178"/>
      <c r="N1955" s="178"/>
      <c r="O1955" s="178"/>
      <c r="P1955" s="307"/>
      <c r="Q1955" s="178"/>
      <c r="R1955" s="178"/>
      <c r="S1955" s="178"/>
      <c r="T1955" s="266"/>
      <c r="U1955" s="216">
        <v>9403.92</v>
      </c>
      <c r="V1955" s="266"/>
      <c r="W1955" s="266"/>
      <c r="X1955" s="266"/>
      <c r="Y1955" s="266"/>
      <c r="Z1955" s="266"/>
      <c r="AA1955" s="266"/>
      <c r="AB1955" s="266"/>
      <c r="AC1955" s="266"/>
      <c r="AD1955" s="266"/>
      <c r="AE1955" s="266"/>
      <c r="AF1955" s="266"/>
      <c r="AG1955" s="266"/>
      <c r="AH1955" s="266"/>
      <c r="AI1955" s="266"/>
      <c r="AJ1955" s="162" t="b">
        <f t="shared" si="1142"/>
        <v>0</v>
      </c>
      <c r="AK1955" s="162" t="str">
        <f t="shared" si="1143"/>
        <v>PUNO</v>
      </c>
      <c r="AL1955" s="165"/>
    </row>
    <row r="1956" spans="1:38" s="164" customFormat="1" ht="15.75" x14ac:dyDescent="0.2">
      <c r="A1956" s="259"/>
      <c r="B1956" s="177"/>
      <c r="C1956" s="177"/>
      <c r="D1956" s="177"/>
      <c r="E1956" s="177">
        <v>3225</v>
      </c>
      <c r="F1956" s="265">
        <v>55</v>
      </c>
      <c r="G1956" s="265" t="s">
        <v>1040</v>
      </c>
      <c r="H1956" s="16" t="s">
        <v>642</v>
      </c>
      <c r="I1956" s="178"/>
      <c r="J1956" s="178"/>
      <c r="K1956" s="178"/>
      <c r="L1956" s="178"/>
      <c r="M1956" s="178"/>
      <c r="N1956" s="178"/>
      <c r="O1956" s="178"/>
      <c r="P1956" s="307"/>
      <c r="Q1956" s="178"/>
      <c r="R1956" s="178"/>
      <c r="S1956" s="178"/>
      <c r="T1956" s="266"/>
      <c r="U1956" s="216"/>
      <c r="V1956" s="266">
        <v>57000</v>
      </c>
      <c r="W1956" s="266">
        <v>45500</v>
      </c>
      <c r="X1956" s="266">
        <v>57800</v>
      </c>
      <c r="Y1956" s="266">
        <v>4679.8100000000004</v>
      </c>
      <c r="Z1956" s="266">
        <f t="shared" si="1147"/>
        <v>8.2100000000000009</v>
      </c>
      <c r="AA1956" s="266">
        <f t="shared" si="1148"/>
        <v>-10000</v>
      </c>
      <c r="AB1956" s="266">
        <v>47000</v>
      </c>
      <c r="AC1956" s="266">
        <v>19532.48</v>
      </c>
      <c r="AD1956" s="266">
        <f t="shared" si="1149"/>
        <v>41.558468085106384</v>
      </c>
      <c r="AE1956" s="266">
        <f>AF1956-AB1956</f>
        <v>-1300</v>
      </c>
      <c r="AF1956" s="266">
        <v>45700</v>
      </c>
      <c r="AG1956" s="266">
        <f>46000</f>
        <v>46000</v>
      </c>
      <c r="AH1956" s="266">
        <f>2000+1000+8000+10000+2500+20000+5000</f>
        <v>48500</v>
      </c>
      <c r="AI1956" s="266">
        <f>2000+1800+8000+10000+10000+2500+20000+5000</f>
        <v>59300</v>
      </c>
      <c r="AJ1956" s="162" t="b">
        <f t="shared" si="1142"/>
        <v>0</v>
      </c>
      <c r="AK1956" s="162" t="str">
        <f t="shared" si="1143"/>
        <v>PUNO</v>
      </c>
      <c r="AL1956" s="165"/>
    </row>
    <row r="1957" spans="1:38" s="164" customFormat="1" ht="15.75" x14ac:dyDescent="0.2">
      <c r="A1957" s="259"/>
      <c r="B1957" s="177"/>
      <c r="C1957" s="177"/>
      <c r="D1957" s="177"/>
      <c r="E1957" s="177">
        <v>3225</v>
      </c>
      <c r="F1957" s="265">
        <v>52</v>
      </c>
      <c r="G1957" s="265" t="s">
        <v>1040</v>
      </c>
      <c r="H1957" s="16" t="s">
        <v>642</v>
      </c>
      <c r="I1957" s="178"/>
      <c r="J1957" s="178"/>
      <c r="K1957" s="178"/>
      <c r="L1957" s="178"/>
      <c r="M1957" s="178"/>
      <c r="N1957" s="178"/>
      <c r="O1957" s="178"/>
      <c r="P1957" s="307"/>
      <c r="Q1957" s="178"/>
      <c r="R1957" s="178"/>
      <c r="S1957" s="178"/>
      <c r="T1957" s="266"/>
      <c r="U1957" s="216">
        <v>50761.84</v>
      </c>
      <c r="V1957" s="266"/>
      <c r="W1957" s="266"/>
      <c r="X1957" s="266"/>
      <c r="Y1957" s="266"/>
      <c r="Z1957" s="266"/>
      <c r="AA1957" s="266"/>
      <c r="AB1957" s="266"/>
      <c r="AC1957" s="266"/>
      <c r="AD1957" s="266"/>
      <c r="AE1957" s="266"/>
      <c r="AF1957" s="266"/>
      <c r="AG1957" s="266"/>
      <c r="AH1957" s="266"/>
      <c r="AI1957" s="266"/>
      <c r="AJ1957" s="162" t="b">
        <f t="shared" si="1142"/>
        <v>0</v>
      </c>
      <c r="AK1957" s="162" t="str">
        <f t="shared" si="1143"/>
        <v>PUNO</v>
      </c>
      <c r="AL1957" s="165"/>
    </row>
    <row r="1958" spans="1:38" s="164" customFormat="1" ht="15.75" x14ac:dyDescent="0.2">
      <c r="A1958" s="259"/>
      <c r="B1958" s="177"/>
      <c r="C1958" s="177"/>
      <c r="D1958" s="177"/>
      <c r="E1958" s="177">
        <v>3227</v>
      </c>
      <c r="F1958" s="265">
        <v>52</v>
      </c>
      <c r="G1958" s="265"/>
      <c r="H1958" s="16" t="s">
        <v>646</v>
      </c>
      <c r="I1958" s="178"/>
      <c r="J1958" s="178"/>
      <c r="K1958" s="178"/>
      <c r="L1958" s="178"/>
      <c r="M1958" s="178"/>
      <c r="N1958" s="178"/>
      <c r="O1958" s="178"/>
      <c r="P1958" s="307"/>
      <c r="Q1958" s="178"/>
      <c r="R1958" s="178"/>
      <c r="S1958" s="178"/>
      <c r="T1958" s="266"/>
      <c r="U1958" s="216">
        <v>2143.87</v>
      </c>
      <c r="V1958" s="266"/>
      <c r="W1958" s="266"/>
      <c r="X1958" s="266"/>
      <c r="Y1958" s="266"/>
      <c r="Z1958" s="266"/>
      <c r="AA1958" s="266"/>
      <c r="AB1958" s="266"/>
      <c r="AC1958" s="266"/>
      <c r="AD1958" s="266"/>
      <c r="AE1958" s="266"/>
      <c r="AF1958" s="266"/>
      <c r="AG1958" s="266"/>
      <c r="AH1958" s="266"/>
      <c r="AI1958" s="266"/>
      <c r="AJ1958" s="162" t="b">
        <f t="shared" si="1142"/>
        <v>0</v>
      </c>
      <c r="AK1958" s="162" t="str">
        <f t="shared" si="1143"/>
        <v>PUNO</v>
      </c>
      <c r="AL1958" s="165"/>
    </row>
    <row r="1959" spans="1:38" s="164" customFormat="1" ht="15.75" x14ac:dyDescent="0.2">
      <c r="A1959" s="259"/>
      <c r="B1959" s="177"/>
      <c r="C1959" s="177"/>
      <c r="D1959" s="177"/>
      <c r="E1959" s="177">
        <v>3227</v>
      </c>
      <c r="F1959" s="265">
        <v>55</v>
      </c>
      <c r="G1959" s="265"/>
      <c r="H1959" s="16" t="s">
        <v>646</v>
      </c>
      <c r="I1959" s="216"/>
      <c r="J1959" s="216"/>
      <c r="K1959" s="216"/>
      <c r="L1959" s="216"/>
      <c r="M1959" s="216"/>
      <c r="N1959" s="216"/>
      <c r="O1959" s="216"/>
      <c r="P1959" s="307"/>
      <c r="Q1959" s="216"/>
      <c r="R1959" s="216"/>
      <c r="S1959" s="216"/>
      <c r="T1959" s="344"/>
      <c r="U1959" s="216"/>
      <c r="V1959" s="344">
        <v>3000</v>
      </c>
      <c r="W1959" s="344">
        <v>0</v>
      </c>
      <c r="X1959" s="344">
        <v>0</v>
      </c>
      <c r="Y1959" s="344">
        <v>0</v>
      </c>
      <c r="Z1959" s="344">
        <f t="shared" si="1147"/>
        <v>0</v>
      </c>
      <c r="AA1959" s="344">
        <f t="shared" si="1148"/>
        <v>2000</v>
      </c>
      <c r="AB1959" s="344">
        <v>5000</v>
      </c>
      <c r="AC1959" s="344">
        <v>3411.31</v>
      </c>
      <c r="AD1959" s="344">
        <f t="shared" si="1149"/>
        <v>68.226200000000006</v>
      </c>
      <c r="AE1959" s="344">
        <f t="shared" ref="AE1959:AE2047" si="1153">AF1959-AB1959</f>
        <v>-1000</v>
      </c>
      <c r="AF1959" s="344">
        <v>4000</v>
      </c>
      <c r="AG1959" s="344">
        <v>5000</v>
      </c>
      <c r="AH1959" s="214"/>
      <c r="AI1959" s="214"/>
      <c r="AJ1959" s="162" t="b">
        <f t="shared" si="1142"/>
        <v>0</v>
      </c>
      <c r="AK1959" s="162" t="str">
        <f t="shared" si="1143"/>
        <v>PUNO</v>
      </c>
      <c r="AL1959" s="165"/>
    </row>
    <row r="1960" spans="1:38" s="264" customFormat="1" ht="21.75" customHeight="1" x14ac:dyDescent="0.2">
      <c r="A1960" s="259"/>
      <c r="B1960" s="177"/>
      <c r="C1960" s="177"/>
      <c r="D1960" s="177">
        <v>323</v>
      </c>
      <c r="E1960" s="177"/>
      <c r="F1960" s="265"/>
      <c r="G1960" s="265"/>
      <c r="H1960" s="16" t="s">
        <v>526</v>
      </c>
      <c r="I1960" s="178"/>
      <c r="J1960" s="178"/>
      <c r="K1960" s="178"/>
      <c r="L1960" s="178"/>
      <c r="M1960" s="178"/>
      <c r="N1960" s="178"/>
      <c r="O1960" s="178"/>
      <c r="P1960" s="307"/>
      <c r="Q1960" s="178"/>
      <c r="R1960" s="178"/>
      <c r="S1960" s="178"/>
      <c r="T1960" s="266"/>
      <c r="U1960" s="216">
        <f t="shared" ref="U1960:AA1960" si="1154">SUM(U1961:U1976)</f>
        <v>348436.42</v>
      </c>
      <c r="V1960" s="266">
        <f t="shared" si="1154"/>
        <v>539900</v>
      </c>
      <c r="W1960" s="266">
        <f t="shared" si="1154"/>
        <v>512300</v>
      </c>
      <c r="X1960" s="266">
        <f t="shared" si="1154"/>
        <v>485700</v>
      </c>
      <c r="Y1960" s="266">
        <f t="shared" si="1154"/>
        <v>74093.17</v>
      </c>
      <c r="Z1960" s="266">
        <f t="shared" si="1154"/>
        <v>77.31</v>
      </c>
      <c r="AA1960" s="266">
        <f t="shared" si="1154"/>
        <v>163900</v>
      </c>
      <c r="AB1960" s="266">
        <f>SUM(AB1961:AB1976)</f>
        <v>703800</v>
      </c>
      <c r="AC1960" s="266">
        <f>SUM(AC1961:AC1976)</f>
        <v>238973.7</v>
      </c>
      <c r="AD1960" s="266">
        <f t="shared" si="1149"/>
        <v>33.954774083546461</v>
      </c>
      <c r="AE1960" s="266">
        <f t="shared" si="1153"/>
        <v>236480</v>
      </c>
      <c r="AF1960" s="266">
        <f>SUM(AF1961:AF1976)</f>
        <v>940280</v>
      </c>
      <c r="AG1960" s="178">
        <f>SUM(AG1961:AG1976)</f>
        <v>846900</v>
      </c>
      <c r="AH1960" s="178">
        <f>SUM(AH1961:AH1976)</f>
        <v>774700</v>
      </c>
      <c r="AI1960" s="178">
        <f>SUM(AI1961:AI1976)</f>
        <v>747200</v>
      </c>
      <c r="AJ1960" s="162" t="b">
        <f t="shared" si="1142"/>
        <v>1</v>
      </c>
      <c r="AK1960" s="162" t="str">
        <f t="shared" si="1143"/>
        <v>PRAZNO</v>
      </c>
      <c r="AL1960" s="263"/>
    </row>
    <row r="1961" spans="1:38" s="164" customFormat="1" ht="15.75" x14ac:dyDescent="0.2">
      <c r="A1961" s="259"/>
      <c r="B1961" s="177"/>
      <c r="C1961" s="177"/>
      <c r="D1961" s="177"/>
      <c r="E1961" s="177">
        <v>3231</v>
      </c>
      <c r="F1961" s="265">
        <v>55</v>
      </c>
      <c r="G1961" s="265" t="s">
        <v>1040</v>
      </c>
      <c r="H1961" s="16" t="s">
        <v>206</v>
      </c>
      <c r="I1961" s="178"/>
      <c r="J1961" s="178"/>
      <c r="K1961" s="178"/>
      <c r="L1961" s="178"/>
      <c r="M1961" s="178"/>
      <c r="N1961" s="178"/>
      <c r="O1961" s="178"/>
      <c r="P1961" s="307"/>
      <c r="Q1961" s="178"/>
      <c r="R1961" s="178"/>
      <c r="S1961" s="178"/>
      <c r="T1961" s="266"/>
      <c r="U1961" s="216"/>
      <c r="V1961" s="266">
        <v>118300</v>
      </c>
      <c r="W1961" s="266">
        <v>118200</v>
      </c>
      <c r="X1961" s="266">
        <v>116300</v>
      </c>
      <c r="Y1961" s="266">
        <v>1035.8900000000001</v>
      </c>
      <c r="Z1961" s="266">
        <f t="shared" si="1147"/>
        <v>0.88</v>
      </c>
      <c r="AA1961" s="266">
        <f t="shared" si="1148"/>
        <v>11900</v>
      </c>
      <c r="AB1961" s="266">
        <v>130200</v>
      </c>
      <c r="AC1961" s="266">
        <v>74249.929999999993</v>
      </c>
      <c r="AD1961" s="266">
        <f t="shared" si="1149"/>
        <v>57.027596006144385</v>
      </c>
      <c r="AE1961" s="266">
        <f t="shared" si="1153"/>
        <v>-3400</v>
      </c>
      <c r="AF1961" s="266">
        <v>126800</v>
      </c>
      <c r="AG1961" s="266">
        <f>1500+5000+5000+2000+200+80000+23000+1500+8000</f>
        <v>126200</v>
      </c>
      <c r="AH1961" s="266">
        <f>1500+83000+23000+5000+1500+8000</f>
        <v>122000</v>
      </c>
      <c r="AI1961" s="266">
        <f>1700+83000+23000+3000+1500+8000</f>
        <v>120200</v>
      </c>
      <c r="AJ1961" s="162" t="b">
        <f t="shared" si="1142"/>
        <v>0</v>
      </c>
      <c r="AK1961" s="162" t="str">
        <f t="shared" si="1143"/>
        <v>PUNO</v>
      </c>
      <c r="AL1961" s="165"/>
    </row>
    <row r="1962" spans="1:38" s="164" customFormat="1" ht="15.75" x14ac:dyDescent="0.2">
      <c r="A1962" s="259"/>
      <c r="B1962" s="177"/>
      <c r="C1962" s="177"/>
      <c r="D1962" s="177"/>
      <c r="E1962" s="177">
        <v>3231</v>
      </c>
      <c r="F1962" s="265">
        <v>52</v>
      </c>
      <c r="G1962" s="265" t="s">
        <v>1040</v>
      </c>
      <c r="H1962" s="16" t="s">
        <v>206</v>
      </c>
      <c r="I1962" s="178"/>
      <c r="J1962" s="178"/>
      <c r="K1962" s="178"/>
      <c r="L1962" s="178"/>
      <c r="M1962" s="178"/>
      <c r="N1962" s="178"/>
      <c r="O1962" s="178"/>
      <c r="P1962" s="307"/>
      <c r="Q1962" s="178"/>
      <c r="R1962" s="178"/>
      <c r="S1962" s="178"/>
      <c r="T1962" s="266"/>
      <c r="U1962" s="216">
        <v>13986.95</v>
      </c>
      <c r="V1962" s="266"/>
      <c r="W1962" s="266"/>
      <c r="X1962" s="266"/>
      <c r="Y1962" s="266"/>
      <c r="Z1962" s="266"/>
      <c r="AA1962" s="266"/>
      <c r="AB1962" s="266"/>
      <c r="AC1962" s="266"/>
      <c r="AD1962" s="266"/>
      <c r="AE1962" s="266"/>
      <c r="AF1962" s="266"/>
      <c r="AG1962" s="266"/>
      <c r="AH1962" s="266"/>
      <c r="AI1962" s="266"/>
      <c r="AJ1962" s="162" t="b">
        <f t="shared" si="1142"/>
        <v>0</v>
      </c>
      <c r="AK1962" s="162" t="str">
        <f t="shared" si="1143"/>
        <v>PUNO</v>
      </c>
      <c r="AL1962" s="165"/>
    </row>
    <row r="1963" spans="1:38" s="164" customFormat="1" ht="15.75" x14ac:dyDescent="0.2">
      <c r="A1963" s="259"/>
      <c r="B1963" s="177"/>
      <c r="C1963" s="177"/>
      <c r="D1963" s="177"/>
      <c r="E1963" s="177">
        <v>3232</v>
      </c>
      <c r="F1963" s="265">
        <v>55</v>
      </c>
      <c r="G1963" s="265" t="s">
        <v>1040</v>
      </c>
      <c r="H1963" s="16" t="s">
        <v>207</v>
      </c>
      <c r="I1963" s="178"/>
      <c r="J1963" s="178"/>
      <c r="K1963" s="178"/>
      <c r="L1963" s="178"/>
      <c r="M1963" s="178"/>
      <c r="N1963" s="178"/>
      <c r="O1963" s="178"/>
      <c r="P1963" s="307"/>
      <c r="Q1963" s="178"/>
      <c r="R1963" s="178"/>
      <c r="S1963" s="178"/>
      <c r="T1963" s="266"/>
      <c r="U1963" s="216"/>
      <c r="V1963" s="266">
        <v>245500</v>
      </c>
      <c r="W1963" s="266">
        <v>189000</v>
      </c>
      <c r="X1963" s="266">
        <v>189100</v>
      </c>
      <c r="Y1963" s="266">
        <v>40103.54</v>
      </c>
      <c r="Z1963" s="266">
        <f t="shared" si="1147"/>
        <v>16.34</v>
      </c>
      <c r="AA1963" s="266">
        <f t="shared" si="1148"/>
        <v>151500</v>
      </c>
      <c r="AB1963" s="266">
        <v>397000</v>
      </c>
      <c r="AC1963" s="266">
        <v>84823.65</v>
      </c>
      <c r="AD1963" s="266">
        <f t="shared" si="1149"/>
        <v>21.36615869017632</v>
      </c>
      <c r="AE1963" s="266">
        <f t="shared" si="1153"/>
        <v>232770</v>
      </c>
      <c r="AF1963" s="266">
        <v>629770</v>
      </c>
      <c r="AG1963" s="266">
        <f>500+250000+30000+15000+190000+2000+500+10000+5000+500+3000+15000+5000+5000</f>
        <v>531500</v>
      </c>
      <c r="AH1963" s="266">
        <f>2000+3000+1100+100000+30000+40000+280000</f>
        <v>456100</v>
      </c>
      <c r="AI1963" s="266">
        <f>2000+3000+1100+100000+40000+290000</f>
        <v>436100</v>
      </c>
      <c r="AJ1963" s="162" t="b">
        <f t="shared" si="1142"/>
        <v>0</v>
      </c>
      <c r="AK1963" s="162" t="str">
        <f t="shared" si="1143"/>
        <v>PUNO</v>
      </c>
      <c r="AL1963" s="165"/>
    </row>
    <row r="1964" spans="1:38" s="164" customFormat="1" ht="25.5" customHeight="1" x14ac:dyDescent="0.2">
      <c r="A1964" s="259"/>
      <c r="B1964" s="177"/>
      <c r="C1964" s="177"/>
      <c r="D1964" s="177"/>
      <c r="E1964" s="177">
        <v>3232</v>
      </c>
      <c r="F1964" s="265">
        <v>52</v>
      </c>
      <c r="G1964" s="265" t="s">
        <v>1040</v>
      </c>
      <c r="H1964" s="16" t="s">
        <v>207</v>
      </c>
      <c r="I1964" s="178"/>
      <c r="J1964" s="178"/>
      <c r="K1964" s="178"/>
      <c r="L1964" s="178"/>
      <c r="M1964" s="178"/>
      <c r="N1964" s="178"/>
      <c r="O1964" s="178"/>
      <c r="P1964" s="307"/>
      <c r="Q1964" s="178"/>
      <c r="R1964" s="178"/>
      <c r="S1964" s="178"/>
      <c r="T1964" s="266"/>
      <c r="U1964" s="216">
        <v>230012.91</v>
      </c>
      <c r="V1964" s="266"/>
      <c r="W1964" s="266"/>
      <c r="X1964" s="266"/>
      <c r="Y1964" s="266"/>
      <c r="Z1964" s="266"/>
      <c r="AA1964" s="266"/>
      <c r="AB1964" s="266"/>
      <c r="AC1964" s="266"/>
      <c r="AD1964" s="266"/>
      <c r="AE1964" s="266"/>
      <c r="AF1964" s="266"/>
      <c r="AG1964" s="266"/>
      <c r="AH1964" s="266"/>
      <c r="AI1964" s="266"/>
      <c r="AJ1964" s="162" t="b">
        <f t="shared" si="1142"/>
        <v>0</v>
      </c>
      <c r="AK1964" s="162" t="str">
        <f t="shared" si="1143"/>
        <v>PUNO</v>
      </c>
      <c r="AL1964" s="165"/>
    </row>
    <row r="1965" spans="1:38" s="164" customFormat="1" ht="15.75" x14ac:dyDescent="0.2">
      <c r="A1965" s="259"/>
      <c r="B1965" s="177"/>
      <c r="C1965" s="177"/>
      <c r="D1965" s="177"/>
      <c r="E1965" s="177">
        <v>3233</v>
      </c>
      <c r="F1965" s="265">
        <v>55</v>
      </c>
      <c r="G1965" s="265" t="s">
        <v>1040</v>
      </c>
      <c r="H1965" s="16" t="s">
        <v>528</v>
      </c>
      <c r="I1965" s="178"/>
      <c r="J1965" s="178"/>
      <c r="K1965" s="178"/>
      <c r="L1965" s="178"/>
      <c r="M1965" s="178"/>
      <c r="N1965" s="178"/>
      <c r="O1965" s="178"/>
      <c r="P1965" s="307"/>
      <c r="Q1965" s="178"/>
      <c r="R1965" s="178"/>
      <c r="S1965" s="178"/>
      <c r="T1965" s="266"/>
      <c r="U1965" s="216"/>
      <c r="V1965" s="178">
        <v>0</v>
      </c>
      <c r="W1965" s="178">
        <v>0</v>
      </c>
      <c r="X1965" s="178">
        <v>0</v>
      </c>
      <c r="Y1965" s="178">
        <v>0</v>
      </c>
      <c r="Z1965" s="178"/>
      <c r="AA1965" s="178">
        <f t="shared" si="1148"/>
        <v>800</v>
      </c>
      <c r="AB1965" s="178">
        <v>800</v>
      </c>
      <c r="AC1965" s="178">
        <v>0</v>
      </c>
      <c r="AD1965" s="178">
        <f t="shared" si="1149"/>
        <v>0</v>
      </c>
      <c r="AE1965" s="178">
        <f t="shared" si="1153"/>
        <v>200</v>
      </c>
      <c r="AF1965" s="178">
        <v>1000</v>
      </c>
      <c r="AG1965" s="178"/>
      <c r="AH1965" s="178"/>
      <c r="AI1965" s="178"/>
      <c r="AJ1965" s="162" t="b">
        <f t="shared" si="1142"/>
        <v>0</v>
      </c>
      <c r="AK1965" s="162" t="str">
        <f t="shared" si="1143"/>
        <v>PUNO</v>
      </c>
      <c r="AL1965" s="165"/>
    </row>
    <row r="1966" spans="1:38" s="164" customFormat="1" ht="15.75" x14ac:dyDescent="0.2">
      <c r="A1966" s="259"/>
      <c r="B1966" s="177"/>
      <c r="C1966" s="177"/>
      <c r="D1966" s="177"/>
      <c r="E1966" s="177">
        <v>3234</v>
      </c>
      <c r="F1966" s="265">
        <v>55</v>
      </c>
      <c r="G1966" s="265"/>
      <c r="H1966" s="16" t="s">
        <v>238</v>
      </c>
      <c r="I1966" s="178"/>
      <c r="J1966" s="178"/>
      <c r="K1966" s="178"/>
      <c r="L1966" s="178"/>
      <c r="M1966" s="178"/>
      <c r="N1966" s="178"/>
      <c r="O1966" s="178"/>
      <c r="P1966" s="307"/>
      <c r="Q1966" s="178"/>
      <c r="R1966" s="178"/>
      <c r="S1966" s="178"/>
      <c r="T1966" s="266"/>
      <c r="U1966" s="216"/>
      <c r="V1966" s="266">
        <v>17800</v>
      </c>
      <c r="W1966" s="266">
        <v>17200</v>
      </c>
      <c r="X1966" s="266">
        <v>17500</v>
      </c>
      <c r="Y1966" s="266">
        <v>3655.64</v>
      </c>
      <c r="Z1966" s="266">
        <f t="shared" si="1147"/>
        <v>20.54</v>
      </c>
      <c r="AA1966" s="266">
        <f t="shared" si="1148"/>
        <v>-3300</v>
      </c>
      <c r="AB1966" s="266">
        <v>14500</v>
      </c>
      <c r="AC1966" s="266">
        <v>3655.64</v>
      </c>
      <c r="AD1966" s="266">
        <f t="shared" si="1149"/>
        <v>25.211310344827588</v>
      </c>
      <c r="AE1966" s="266">
        <f t="shared" si="1153"/>
        <v>12300</v>
      </c>
      <c r="AF1966" s="266">
        <v>26800</v>
      </c>
      <c r="AG1966" s="266">
        <f>5000+1000+1000+2000+5000+2000+2000+500</f>
        <v>18500</v>
      </c>
      <c r="AH1966" s="266">
        <f>3000+3000+2000+10000</f>
        <v>18000</v>
      </c>
      <c r="AI1966" s="266">
        <f>3000+4000+2000+10000</f>
        <v>19000</v>
      </c>
      <c r="AJ1966" s="162" t="b">
        <f t="shared" si="1142"/>
        <v>0</v>
      </c>
      <c r="AK1966" s="162" t="str">
        <f t="shared" si="1143"/>
        <v>PUNO</v>
      </c>
      <c r="AL1966" s="165"/>
    </row>
    <row r="1967" spans="1:38" s="164" customFormat="1" ht="15.75" x14ac:dyDescent="0.2">
      <c r="A1967" s="259"/>
      <c r="B1967" s="177"/>
      <c r="C1967" s="177"/>
      <c r="D1967" s="177"/>
      <c r="E1967" s="177">
        <v>3234</v>
      </c>
      <c r="F1967" s="265">
        <v>52</v>
      </c>
      <c r="G1967" s="265"/>
      <c r="H1967" s="16" t="s">
        <v>238</v>
      </c>
      <c r="I1967" s="178"/>
      <c r="J1967" s="178"/>
      <c r="K1967" s="178"/>
      <c r="L1967" s="178"/>
      <c r="M1967" s="178"/>
      <c r="N1967" s="178"/>
      <c r="O1967" s="178"/>
      <c r="P1967" s="307"/>
      <c r="Q1967" s="178"/>
      <c r="R1967" s="178"/>
      <c r="S1967" s="178"/>
      <c r="T1967" s="266"/>
      <c r="U1967" s="216">
        <v>15370.37</v>
      </c>
      <c r="V1967" s="266"/>
      <c r="W1967" s="266"/>
      <c r="X1967" s="266"/>
      <c r="Y1967" s="266"/>
      <c r="Z1967" s="266"/>
      <c r="AA1967" s="266"/>
      <c r="AB1967" s="266"/>
      <c r="AC1967" s="266"/>
      <c r="AD1967" s="266"/>
      <c r="AE1967" s="266"/>
      <c r="AF1967" s="266"/>
      <c r="AG1967" s="266"/>
      <c r="AH1967" s="266"/>
      <c r="AI1967" s="266"/>
      <c r="AJ1967" s="162" t="b">
        <f t="shared" si="1142"/>
        <v>0</v>
      </c>
      <c r="AK1967" s="162" t="str">
        <f t="shared" si="1143"/>
        <v>PUNO</v>
      </c>
      <c r="AL1967" s="165"/>
    </row>
    <row r="1968" spans="1:38" s="164" customFormat="1" ht="15.75" x14ac:dyDescent="0.2">
      <c r="A1968" s="259"/>
      <c r="B1968" s="177"/>
      <c r="C1968" s="177"/>
      <c r="D1968" s="177"/>
      <c r="E1968" s="177">
        <v>3235</v>
      </c>
      <c r="F1968" s="265">
        <v>55</v>
      </c>
      <c r="G1968" s="265" t="s">
        <v>1040</v>
      </c>
      <c r="H1968" s="16" t="s">
        <v>640</v>
      </c>
      <c r="I1968" s="178"/>
      <c r="J1968" s="178"/>
      <c r="K1968" s="178"/>
      <c r="L1968" s="178"/>
      <c r="M1968" s="178"/>
      <c r="N1968" s="178"/>
      <c r="O1968" s="178"/>
      <c r="P1968" s="307"/>
      <c r="Q1968" s="178"/>
      <c r="R1968" s="178"/>
      <c r="S1968" s="178"/>
      <c r="T1968" s="266"/>
      <c r="U1968" s="216"/>
      <c r="V1968" s="266">
        <v>500</v>
      </c>
      <c r="W1968" s="266">
        <v>0</v>
      </c>
      <c r="X1968" s="266">
        <v>500</v>
      </c>
      <c r="Y1968" s="266">
        <v>0</v>
      </c>
      <c r="Z1968" s="266">
        <f t="shared" si="1147"/>
        <v>0</v>
      </c>
      <c r="AA1968" s="266">
        <f t="shared" si="1148"/>
        <v>-500</v>
      </c>
      <c r="AB1968" s="266">
        <v>0</v>
      </c>
      <c r="AC1968" s="266">
        <v>0</v>
      </c>
      <c r="AD1968" s="266" t="e">
        <f t="shared" si="1149"/>
        <v>#DIV/0!</v>
      </c>
      <c r="AE1968" s="266">
        <f t="shared" si="1153"/>
        <v>0</v>
      </c>
      <c r="AF1968" s="266">
        <v>0</v>
      </c>
      <c r="AG1968" s="266">
        <v>0</v>
      </c>
      <c r="AH1968" s="266">
        <v>0</v>
      </c>
      <c r="AI1968" s="266">
        <v>0</v>
      </c>
      <c r="AJ1968" s="162" t="b">
        <f t="shared" si="1142"/>
        <v>0</v>
      </c>
      <c r="AK1968" s="162" t="str">
        <f t="shared" si="1143"/>
        <v>PUNO</v>
      </c>
      <c r="AL1968" s="165"/>
    </row>
    <row r="1969" spans="1:39" s="164" customFormat="1" ht="15.75" x14ac:dyDescent="0.2">
      <c r="A1969" s="259"/>
      <c r="B1969" s="177"/>
      <c r="C1969" s="177"/>
      <c r="D1969" s="177"/>
      <c r="E1969" s="177">
        <v>3236</v>
      </c>
      <c r="F1969" s="265">
        <v>55</v>
      </c>
      <c r="G1969" s="265"/>
      <c r="H1969" s="16" t="s">
        <v>843</v>
      </c>
      <c r="I1969" s="178"/>
      <c r="J1969" s="178"/>
      <c r="K1969" s="178"/>
      <c r="L1969" s="178"/>
      <c r="M1969" s="178"/>
      <c r="N1969" s="178"/>
      <c r="O1969" s="178"/>
      <c r="P1969" s="307"/>
      <c r="Q1969" s="178"/>
      <c r="R1969" s="178"/>
      <c r="S1969" s="178"/>
      <c r="T1969" s="266"/>
      <c r="U1969" s="216"/>
      <c r="V1969" s="266">
        <v>2500</v>
      </c>
      <c r="W1969" s="266">
        <v>0</v>
      </c>
      <c r="X1969" s="266">
        <v>0</v>
      </c>
      <c r="Y1969" s="266">
        <v>0</v>
      </c>
      <c r="Z1969" s="266">
        <f t="shared" si="1147"/>
        <v>0</v>
      </c>
      <c r="AA1969" s="266">
        <f t="shared" si="1148"/>
        <v>300</v>
      </c>
      <c r="AB1969" s="266">
        <v>2800</v>
      </c>
      <c r="AC1969" s="266">
        <v>0</v>
      </c>
      <c r="AD1969" s="266">
        <f t="shared" si="1149"/>
        <v>0</v>
      </c>
      <c r="AE1969" s="266">
        <f t="shared" si="1153"/>
        <v>9210</v>
      </c>
      <c r="AF1969" s="266">
        <v>12010</v>
      </c>
      <c r="AG1969" s="266">
        <f>2000+1000</f>
        <v>3000</v>
      </c>
      <c r="AH1969" s="266">
        <f>2000</f>
        <v>2000</v>
      </c>
      <c r="AI1969" s="266">
        <f>3000</f>
        <v>3000</v>
      </c>
      <c r="AJ1969" s="162" t="b">
        <f t="shared" si="1142"/>
        <v>0</v>
      </c>
      <c r="AK1969" s="162" t="str">
        <f t="shared" si="1143"/>
        <v>PUNO</v>
      </c>
      <c r="AL1969" s="165"/>
    </row>
    <row r="1970" spans="1:39" s="164" customFormat="1" ht="15.75" x14ac:dyDescent="0.2">
      <c r="A1970" s="259"/>
      <c r="B1970" s="177"/>
      <c r="C1970" s="177"/>
      <c r="D1970" s="177"/>
      <c r="E1970" s="177">
        <v>3236</v>
      </c>
      <c r="F1970" s="265">
        <v>52</v>
      </c>
      <c r="G1970" s="265"/>
      <c r="H1970" s="16" t="s">
        <v>843</v>
      </c>
      <c r="I1970" s="178"/>
      <c r="J1970" s="178"/>
      <c r="K1970" s="178"/>
      <c r="L1970" s="178"/>
      <c r="M1970" s="178"/>
      <c r="N1970" s="178"/>
      <c r="O1970" s="178"/>
      <c r="P1970" s="307"/>
      <c r="Q1970" s="178"/>
      <c r="R1970" s="680"/>
      <c r="S1970" s="178"/>
      <c r="T1970" s="266"/>
      <c r="U1970" s="216">
        <v>1199.24</v>
      </c>
      <c r="V1970" s="266"/>
      <c r="W1970" s="266"/>
      <c r="X1970" s="266"/>
      <c r="Y1970" s="266"/>
      <c r="Z1970" s="266"/>
      <c r="AA1970" s="266"/>
      <c r="AB1970" s="266"/>
      <c r="AC1970" s="266"/>
      <c r="AD1970" s="266"/>
      <c r="AE1970" s="266"/>
      <c r="AF1970" s="266"/>
      <c r="AG1970" s="266"/>
      <c r="AH1970" s="266"/>
      <c r="AI1970" s="266"/>
      <c r="AJ1970" s="162" t="b">
        <f t="shared" si="1142"/>
        <v>0</v>
      </c>
      <c r="AK1970" s="162" t="str">
        <f t="shared" si="1143"/>
        <v>PUNO</v>
      </c>
      <c r="AL1970" s="165"/>
    </row>
    <row r="1971" spans="1:39" s="164" customFormat="1" ht="15.75" x14ac:dyDescent="0.2">
      <c r="A1971" s="259"/>
      <c r="B1971" s="177"/>
      <c r="C1971" s="177"/>
      <c r="D1971" s="177"/>
      <c r="E1971" s="177">
        <v>3237</v>
      </c>
      <c r="F1971" s="265">
        <v>55</v>
      </c>
      <c r="G1971" s="265" t="s">
        <v>1040</v>
      </c>
      <c r="H1971" s="16" t="s">
        <v>566</v>
      </c>
      <c r="I1971" s="178"/>
      <c r="J1971" s="178"/>
      <c r="K1971" s="178"/>
      <c r="L1971" s="178"/>
      <c r="M1971" s="178"/>
      <c r="N1971" s="178"/>
      <c r="O1971" s="178"/>
      <c r="P1971" s="307"/>
      <c r="Q1971" s="178"/>
      <c r="R1971" s="481"/>
      <c r="S1971" s="178"/>
      <c r="T1971" s="266"/>
      <c r="U1971" s="216"/>
      <c r="V1971" s="266">
        <v>71800</v>
      </c>
      <c r="W1971" s="266">
        <v>80800</v>
      </c>
      <c r="X1971" s="266">
        <v>75800</v>
      </c>
      <c r="Y1971" s="266">
        <v>15104.35</v>
      </c>
      <c r="Z1971" s="266">
        <f t="shared" si="1147"/>
        <v>21.04</v>
      </c>
      <c r="AA1971" s="266">
        <f t="shared" si="1148"/>
        <v>-3700</v>
      </c>
      <c r="AB1971" s="266">
        <v>68100</v>
      </c>
      <c r="AC1971" s="266">
        <v>23355.279999999999</v>
      </c>
      <c r="AD1971" s="266">
        <f t="shared" si="1149"/>
        <v>34.295565345080767</v>
      </c>
      <c r="AE1971" s="266">
        <f t="shared" si="1153"/>
        <v>-15500</v>
      </c>
      <c r="AF1971" s="266">
        <v>52600</v>
      </c>
      <c r="AG1971" s="266">
        <f>1000+25000+10100+25700+2000+5000</f>
        <v>68800</v>
      </c>
      <c r="AH1971" s="266">
        <f>10000+25000+10100+10000+25700</f>
        <v>80800</v>
      </c>
      <c r="AI1971" s="266">
        <f>5000+25000+10100+10000+25700</f>
        <v>75800</v>
      </c>
      <c r="AJ1971" s="162" t="b">
        <f t="shared" si="1142"/>
        <v>0</v>
      </c>
      <c r="AK1971" s="162" t="str">
        <f t="shared" si="1143"/>
        <v>PUNO</v>
      </c>
      <c r="AL1971" s="165"/>
    </row>
    <row r="1972" spans="1:39" s="164" customFormat="1" ht="15.75" x14ac:dyDescent="0.2">
      <c r="A1972" s="259"/>
      <c r="B1972" s="177"/>
      <c r="C1972" s="177"/>
      <c r="D1972" s="177"/>
      <c r="E1972" s="177">
        <v>3237</v>
      </c>
      <c r="F1972" s="265">
        <v>52</v>
      </c>
      <c r="G1972" s="265" t="s">
        <v>1040</v>
      </c>
      <c r="H1972" s="16" t="s">
        <v>566</v>
      </c>
      <c r="I1972" s="178"/>
      <c r="J1972" s="178"/>
      <c r="K1972" s="178"/>
      <c r="L1972" s="178"/>
      <c r="M1972" s="178"/>
      <c r="N1972" s="178"/>
      <c r="O1972" s="178"/>
      <c r="P1972" s="307"/>
      <c r="Q1972" s="178"/>
      <c r="R1972" s="481"/>
      <c r="S1972" s="178"/>
      <c r="T1972" s="266"/>
      <c r="U1972" s="216">
        <v>58967.47</v>
      </c>
      <c r="V1972" s="266"/>
      <c r="W1972" s="266"/>
      <c r="X1972" s="266"/>
      <c r="Y1972" s="266"/>
      <c r="Z1972" s="266"/>
      <c r="AA1972" s="266"/>
      <c r="AB1972" s="266"/>
      <c r="AC1972" s="266"/>
      <c r="AD1972" s="266"/>
      <c r="AE1972" s="266"/>
      <c r="AF1972" s="266"/>
      <c r="AG1972" s="266"/>
      <c r="AH1972" s="266"/>
      <c r="AI1972" s="266"/>
      <c r="AJ1972" s="162" t="b">
        <f t="shared" si="1142"/>
        <v>0</v>
      </c>
      <c r="AK1972" s="162" t="str">
        <f t="shared" si="1143"/>
        <v>PUNO</v>
      </c>
      <c r="AL1972" s="165"/>
    </row>
    <row r="1973" spans="1:39" s="164" customFormat="1" ht="15.75" x14ac:dyDescent="0.2">
      <c r="A1973" s="259"/>
      <c r="B1973" s="177"/>
      <c r="C1973" s="177"/>
      <c r="D1973" s="177"/>
      <c r="E1973" s="177">
        <v>3238</v>
      </c>
      <c r="F1973" s="265">
        <v>55</v>
      </c>
      <c r="G1973" s="265" t="s">
        <v>1040</v>
      </c>
      <c r="H1973" s="16" t="s">
        <v>398</v>
      </c>
      <c r="I1973" s="178"/>
      <c r="J1973" s="178"/>
      <c r="K1973" s="178"/>
      <c r="L1973" s="178"/>
      <c r="M1973" s="178"/>
      <c r="N1973" s="178"/>
      <c r="O1973" s="178"/>
      <c r="P1973" s="307"/>
      <c r="Q1973" s="178"/>
      <c r="R1973" s="178"/>
      <c r="S1973" s="178"/>
      <c r="T1973" s="266"/>
      <c r="U1973" s="216"/>
      <c r="V1973" s="266">
        <v>6800</v>
      </c>
      <c r="W1973" s="266">
        <v>31800</v>
      </c>
      <c r="X1973" s="266">
        <v>31800</v>
      </c>
      <c r="Y1973" s="266">
        <v>0</v>
      </c>
      <c r="Z1973" s="266">
        <f t="shared" si="1147"/>
        <v>0</v>
      </c>
      <c r="AA1973" s="266">
        <f t="shared" si="1148"/>
        <v>400</v>
      </c>
      <c r="AB1973" s="266">
        <v>7200</v>
      </c>
      <c r="AC1973" s="266">
        <v>2699</v>
      </c>
      <c r="AD1973" s="266">
        <f t="shared" si="1149"/>
        <v>37.486111111111107</v>
      </c>
      <c r="AE1973" s="266">
        <f t="shared" si="1153"/>
        <v>2700</v>
      </c>
      <c r="AF1973" s="266">
        <v>9900</v>
      </c>
      <c r="AG1973" s="266">
        <f>5000+2500+1800</f>
        <v>9300</v>
      </c>
      <c r="AH1973" s="266">
        <f>1800+5000</f>
        <v>6800</v>
      </c>
      <c r="AI1973" s="266">
        <f>1800+4000+25000</f>
        <v>30800</v>
      </c>
      <c r="AJ1973" s="162" t="b">
        <f t="shared" si="1142"/>
        <v>0</v>
      </c>
      <c r="AK1973" s="162" t="str">
        <f t="shared" si="1143"/>
        <v>PUNO</v>
      </c>
      <c r="AL1973" s="165"/>
    </row>
    <row r="1974" spans="1:39" s="164" customFormat="1" ht="15.75" x14ac:dyDescent="0.2">
      <c r="A1974" s="259"/>
      <c r="B1974" s="177"/>
      <c r="C1974" s="177"/>
      <c r="D1974" s="177"/>
      <c r="E1974" s="177">
        <v>3238</v>
      </c>
      <c r="F1974" s="265">
        <v>52</v>
      </c>
      <c r="G1974" s="265" t="s">
        <v>1040</v>
      </c>
      <c r="H1974" s="16" t="s">
        <v>398</v>
      </c>
      <c r="I1974" s="178"/>
      <c r="J1974" s="178"/>
      <c r="K1974" s="178"/>
      <c r="L1974" s="178"/>
      <c r="M1974" s="178"/>
      <c r="N1974" s="178"/>
      <c r="O1974" s="178"/>
      <c r="P1974" s="307"/>
      <c r="Q1974" s="178"/>
      <c r="R1974" s="178"/>
      <c r="S1974" s="178"/>
      <c r="T1974" s="266"/>
      <c r="U1974" s="216">
        <v>675</v>
      </c>
      <c r="V1974" s="266"/>
      <c r="W1974" s="266"/>
      <c r="X1974" s="266"/>
      <c r="Y1974" s="266"/>
      <c r="Z1974" s="266"/>
      <c r="AA1974" s="266"/>
      <c r="AB1974" s="266"/>
      <c r="AC1974" s="266"/>
      <c r="AD1974" s="266"/>
      <c r="AE1974" s="266"/>
      <c r="AF1974" s="266"/>
      <c r="AG1974" s="266"/>
      <c r="AH1974" s="266"/>
      <c r="AI1974" s="266"/>
      <c r="AJ1974" s="162" t="b">
        <f t="shared" si="1142"/>
        <v>0</v>
      </c>
      <c r="AK1974" s="162" t="str">
        <f t="shared" si="1143"/>
        <v>PUNO</v>
      </c>
      <c r="AL1974" s="165"/>
    </row>
    <row r="1975" spans="1:39" s="164" customFormat="1" ht="15.75" x14ac:dyDescent="0.2">
      <c r="A1975" s="259"/>
      <c r="B1975" s="177"/>
      <c r="C1975" s="177"/>
      <c r="D1975" s="177"/>
      <c r="E1975" s="177">
        <v>3239</v>
      </c>
      <c r="F1975" s="265">
        <v>52</v>
      </c>
      <c r="G1975" s="265" t="s">
        <v>1040</v>
      </c>
      <c r="H1975" s="16" t="s">
        <v>529</v>
      </c>
      <c r="I1975" s="178"/>
      <c r="J1975" s="178"/>
      <c r="K1975" s="178"/>
      <c r="L1975" s="178"/>
      <c r="M1975" s="178"/>
      <c r="N1975" s="178"/>
      <c r="O1975" s="178"/>
      <c r="P1975" s="307"/>
      <c r="Q1975" s="178"/>
      <c r="R1975" s="178"/>
      <c r="S1975" s="178"/>
      <c r="T1975" s="266"/>
      <c r="U1975" s="216">
        <v>28224.48</v>
      </c>
      <c r="V1975" s="266"/>
      <c r="W1975" s="266"/>
      <c r="X1975" s="266"/>
      <c r="Y1975" s="266"/>
      <c r="Z1975" s="266"/>
      <c r="AA1975" s="266"/>
      <c r="AB1975" s="266"/>
      <c r="AC1975" s="266"/>
      <c r="AD1975" s="266"/>
      <c r="AE1975" s="266"/>
      <c r="AF1975" s="266"/>
      <c r="AG1975" s="266"/>
      <c r="AH1975" s="266"/>
      <c r="AI1975" s="266"/>
      <c r="AJ1975" s="162" t="b">
        <f t="shared" si="1142"/>
        <v>0</v>
      </c>
      <c r="AK1975" s="162" t="str">
        <f t="shared" si="1143"/>
        <v>PUNO</v>
      </c>
      <c r="AL1975" s="165"/>
    </row>
    <row r="1976" spans="1:39" s="164" customFormat="1" ht="15.75" x14ac:dyDescent="0.2">
      <c r="A1976" s="259"/>
      <c r="B1976" s="177"/>
      <c r="C1976" s="177"/>
      <c r="D1976" s="177"/>
      <c r="E1976" s="177">
        <v>3239</v>
      </c>
      <c r="F1976" s="265">
        <v>55</v>
      </c>
      <c r="G1976" s="265" t="s">
        <v>1040</v>
      </c>
      <c r="H1976" s="16" t="s">
        <v>529</v>
      </c>
      <c r="I1976" s="178"/>
      <c r="J1976" s="178"/>
      <c r="K1976" s="178"/>
      <c r="L1976" s="178"/>
      <c r="M1976" s="178"/>
      <c r="N1976" s="178"/>
      <c r="O1976" s="178"/>
      <c r="P1976" s="307"/>
      <c r="Q1976" s="178"/>
      <c r="R1976" s="178"/>
      <c r="S1976" s="178"/>
      <c r="T1976" s="266"/>
      <c r="U1976" s="216"/>
      <c r="V1976" s="266">
        <v>76700</v>
      </c>
      <c r="W1976" s="266">
        <v>75300</v>
      </c>
      <c r="X1976" s="266">
        <v>54700</v>
      </c>
      <c r="Y1976" s="266">
        <v>14193.75</v>
      </c>
      <c r="Z1976" s="266">
        <f t="shared" si="1147"/>
        <v>18.510000000000002</v>
      </c>
      <c r="AA1976" s="266">
        <f t="shared" si="1148"/>
        <v>6500</v>
      </c>
      <c r="AB1976" s="266">
        <v>83200</v>
      </c>
      <c r="AC1976" s="266">
        <v>50190.2</v>
      </c>
      <c r="AD1976" s="266">
        <f t="shared" si="1149"/>
        <v>60.324759615384615</v>
      </c>
      <c r="AE1976" s="266">
        <f t="shared" si="1153"/>
        <v>-1800</v>
      </c>
      <c r="AF1976" s="266">
        <v>81400</v>
      </c>
      <c r="AG1976" s="266">
        <f>8500+5500+16000+18000+7000+14000+100+3000+2000+3000+3000+8500+1000</f>
        <v>89600</v>
      </c>
      <c r="AH1976" s="266">
        <f>8500+5000+21000+25000+7000+8500+14000</f>
        <v>89000</v>
      </c>
      <c r="AI1976" s="266">
        <f>8500+4300+20000+7000+8500+14000</f>
        <v>62300</v>
      </c>
      <c r="AJ1976" s="162" t="b">
        <f t="shared" si="1142"/>
        <v>0</v>
      </c>
      <c r="AK1976" s="162" t="str">
        <f t="shared" si="1143"/>
        <v>PUNO</v>
      </c>
      <c r="AL1976" s="165"/>
    </row>
    <row r="1977" spans="1:39" ht="15.75" x14ac:dyDescent="0.2">
      <c r="B1977" s="177"/>
      <c r="C1977" s="177"/>
      <c r="D1977" s="177">
        <v>329</v>
      </c>
      <c r="E1977" s="177"/>
      <c r="F1977" s="265"/>
      <c r="G1977" s="265"/>
      <c r="H1977" s="16" t="s">
        <v>531</v>
      </c>
      <c r="I1977" s="266">
        <f t="shared" ref="I1977:AA1977" si="1155">SUM(I1978:I1983)</f>
        <v>0</v>
      </c>
      <c r="J1977" s="266">
        <f t="shared" si="1155"/>
        <v>0</v>
      </c>
      <c r="K1977" s="266">
        <f t="shared" si="1155"/>
        <v>0</v>
      </c>
      <c r="L1977" s="266">
        <f t="shared" si="1155"/>
        <v>0</v>
      </c>
      <c r="M1977" s="266">
        <f t="shared" si="1155"/>
        <v>0</v>
      </c>
      <c r="N1977" s="266">
        <f t="shared" si="1155"/>
        <v>0</v>
      </c>
      <c r="O1977" s="266">
        <f t="shared" si="1155"/>
        <v>0</v>
      </c>
      <c r="P1977" s="266">
        <f t="shared" si="1155"/>
        <v>0</v>
      </c>
      <c r="Q1977" s="266">
        <f t="shared" si="1155"/>
        <v>0</v>
      </c>
      <c r="R1977" s="266">
        <f t="shared" si="1155"/>
        <v>0</v>
      </c>
      <c r="S1977" s="266">
        <f t="shared" si="1155"/>
        <v>0</v>
      </c>
      <c r="T1977" s="266">
        <f t="shared" si="1155"/>
        <v>0</v>
      </c>
      <c r="U1977" s="216">
        <f t="shared" si="1155"/>
        <v>296735.20999999996</v>
      </c>
      <c r="V1977" s="266">
        <f t="shared" si="1155"/>
        <v>238300</v>
      </c>
      <c r="W1977" s="266">
        <f t="shared" si="1155"/>
        <v>202300</v>
      </c>
      <c r="X1977" s="266">
        <f t="shared" si="1155"/>
        <v>204500</v>
      </c>
      <c r="Y1977" s="266">
        <f t="shared" si="1155"/>
        <v>37946.699999999997</v>
      </c>
      <c r="Z1977" s="266">
        <f t="shared" si="1155"/>
        <v>65.710000000000008</v>
      </c>
      <c r="AA1977" s="266">
        <f t="shared" si="1155"/>
        <v>36100</v>
      </c>
      <c r="AB1977" s="266">
        <f>SUM(AB1978:AB1983)</f>
        <v>274400</v>
      </c>
      <c r="AC1977" s="266">
        <f>SUM(AC1978:AC1983)</f>
        <v>91054.599999999991</v>
      </c>
      <c r="AD1977" s="266">
        <f t="shared" si="1149"/>
        <v>33.183163265306121</v>
      </c>
      <c r="AE1977" s="266">
        <f t="shared" si="1153"/>
        <v>22400</v>
      </c>
      <c r="AF1977" s="266">
        <f>SUM(AF1978:AF1983)</f>
        <v>296800</v>
      </c>
      <c r="AG1977" s="178">
        <f>SUM(AG1978:AG1983)</f>
        <v>225600</v>
      </c>
      <c r="AH1977" s="178">
        <f>SUM(AH1978:AH1983)</f>
        <v>195000</v>
      </c>
      <c r="AI1977" s="178">
        <f>SUM(AI1978:AI1983)</f>
        <v>197700</v>
      </c>
      <c r="AJ1977" s="162" t="b">
        <f t="shared" si="1142"/>
        <v>1</v>
      </c>
      <c r="AK1977" s="162" t="str">
        <f t="shared" si="1143"/>
        <v>PRAZNO</v>
      </c>
      <c r="AM1977" s="164"/>
    </row>
    <row r="1978" spans="1:39" s="164" customFormat="1" ht="15.75" x14ac:dyDescent="0.2">
      <c r="A1978" s="259"/>
      <c r="B1978" s="177"/>
      <c r="C1978" s="177"/>
      <c r="D1978" s="177"/>
      <c r="E1978" s="177">
        <v>3293</v>
      </c>
      <c r="F1978" s="265">
        <v>55</v>
      </c>
      <c r="G1978" s="265" t="s">
        <v>1040</v>
      </c>
      <c r="H1978" s="16" t="s">
        <v>533</v>
      </c>
      <c r="I1978" s="178"/>
      <c r="J1978" s="178"/>
      <c r="K1978" s="178"/>
      <c r="L1978" s="178"/>
      <c r="M1978" s="178"/>
      <c r="N1978" s="178"/>
      <c r="O1978" s="178"/>
      <c r="P1978" s="307"/>
      <c r="Q1978" s="178"/>
      <c r="R1978" s="178"/>
      <c r="S1978" s="178"/>
      <c r="T1978" s="266"/>
      <c r="U1978" s="216"/>
      <c r="V1978" s="266">
        <v>23900</v>
      </c>
      <c r="W1978" s="266">
        <v>13600</v>
      </c>
      <c r="X1978" s="266">
        <v>23700</v>
      </c>
      <c r="Y1978" s="266">
        <v>9549.34</v>
      </c>
      <c r="Z1978" s="266">
        <f t="shared" si="1147"/>
        <v>39.96</v>
      </c>
      <c r="AA1978" s="266">
        <f t="shared" si="1148"/>
        <v>500</v>
      </c>
      <c r="AB1978" s="266">
        <v>24400</v>
      </c>
      <c r="AC1978" s="266">
        <v>13597.4</v>
      </c>
      <c r="AD1978" s="266">
        <f t="shared" si="1149"/>
        <v>55.727049180327867</v>
      </c>
      <c r="AE1978" s="266">
        <f t="shared" si="1153"/>
        <v>13100</v>
      </c>
      <c r="AF1978" s="266">
        <v>37500</v>
      </c>
      <c r="AG1978" s="266">
        <f>1000+5000+400+10000+10000</f>
        <v>26400</v>
      </c>
      <c r="AH1978" s="266">
        <f>1000+4000+100+8000</f>
        <v>13100</v>
      </c>
      <c r="AI1978" s="266">
        <f>1000+5000+400+8000+10000</f>
        <v>24400</v>
      </c>
      <c r="AJ1978" s="162" t="b">
        <f t="shared" si="1142"/>
        <v>0</v>
      </c>
      <c r="AK1978" s="162" t="str">
        <f t="shared" si="1143"/>
        <v>PUNO</v>
      </c>
      <c r="AL1978" s="165"/>
    </row>
    <row r="1979" spans="1:39" s="164" customFormat="1" ht="15.75" x14ac:dyDescent="0.2">
      <c r="A1979" s="259"/>
      <c r="B1979" s="177"/>
      <c r="C1979" s="177"/>
      <c r="D1979" s="177"/>
      <c r="E1979" s="177">
        <v>3293</v>
      </c>
      <c r="F1979" s="265">
        <v>52</v>
      </c>
      <c r="G1979" s="265" t="s">
        <v>1040</v>
      </c>
      <c r="H1979" s="16" t="s">
        <v>533</v>
      </c>
      <c r="I1979" s="178"/>
      <c r="J1979" s="178"/>
      <c r="K1979" s="178"/>
      <c r="L1979" s="178"/>
      <c r="M1979" s="178"/>
      <c r="N1979" s="178"/>
      <c r="O1979" s="178"/>
      <c r="P1979" s="307"/>
      <c r="Q1979" s="178"/>
      <c r="R1979" s="178"/>
      <c r="S1979" s="178"/>
      <c r="T1979" s="266"/>
      <c r="U1979" s="216">
        <v>9628.48</v>
      </c>
      <c r="V1979" s="266"/>
      <c r="W1979" s="266"/>
      <c r="X1979" s="266"/>
      <c r="Y1979" s="266"/>
      <c r="Z1979" s="266"/>
      <c r="AA1979" s="266"/>
      <c r="AB1979" s="266"/>
      <c r="AC1979" s="266"/>
      <c r="AD1979" s="266"/>
      <c r="AE1979" s="266"/>
      <c r="AF1979" s="266"/>
      <c r="AG1979" s="266"/>
      <c r="AH1979" s="266"/>
      <c r="AI1979" s="266"/>
      <c r="AJ1979" s="162" t="b">
        <f t="shared" si="1142"/>
        <v>0</v>
      </c>
      <c r="AK1979" s="162" t="str">
        <f t="shared" si="1143"/>
        <v>PUNO</v>
      </c>
      <c r="AL1979" s="165"/>
    </row>
    <row r="1980" spans="1:39" s="164" customFormat="1" ht="15.75" x14ac:dyDescent="0.2">
      <c r="A1980" s="259"/>
      <c r="B1980" s="177"/>
      <c r="C1980" s="177"/>
      <c r="D1980" s="177"/>
      <c r="E1980" s="177">
        <v>3294</v>
      </c>
      <c r="F1980" s="265">
        <v>52</v>
      </c>
      <c r="G1980" s="265" t="s">
        <v>1040</v>
      </c>
      <c r="H1980" s="16" t="s">
        <v>567</v>
      </c>
      <c r="I1980" s="178"/>
      <c r="J1980" s="178"/>
      <c r="K1980" s="178"/>
      <c r="L1980" s="178"/>
      <c r="M1980" s="178"/>
      <c r="N1980" s="178"/>
      <c r="O1980" s="178"/>
      <c r="P1980" s="307"/>
      <c r="Q1980" s="178"/>
      <c r="R1980" s="178"/>
      <c r="S1980" s="178"/>
      <c r="T1980" s="266"/>
      <c r="U1980" s="216">
        <v>250</v>
      </c>
      <c r="V1980" s="266"/>
      <c r="W1980" s="266"/>
      <c r="X1980" s="266"/>
      <c r="Y1980" s="266"/>
      <c r="Z1980" s="266"/>
      <c r="AA1980" s="266"/>
      <c r="AB1980" s="266"/>
      <c r="AC1980" s="266"/>
      <c r="AD1980" s="266"/>
      <c r="AE1980" s="266"/>
      <c r="AF1980" s="266"/>
      <c r="AG1980" s="266"/>
      <c r="AH1980" s="266"/>
      <c r="AI1980" s="266"/>
      <c r="AJ1980" s="162" t="b">
        <f t="shared" si="1142"/>
        <v>0</v>
      </c>
      <c r="AK1980" s="162" t="str">
        <f t="shared" si="1143"/>
        <v>PUNO</v>
      </c>
      <c r="AL1980" s="165"/>
    </row>
    <row r="1981" spans="1:39" s="164" customFormat="1" ht="15.75" x14ac:dyDescent="0.2">
      <c r="A1981" s="259"/>
      <c r="B1981" s="177"/>
      <c r="C1981" s="177"/>
      <c r="D1981" s="177"/>
      <c r="E1981" s="177">
        <v>3294</v>
      </c>
      <c r="F1981" s="265">
        <v>55</v>
      </c>
      <c r="G1981" s="265" t="s">
        <v>1040</v>
      </c>
      <c r="H1981" s="16" t="s">
        <v>567</v>
      </c>
      <c r="I1981" s="178"/>
      <c r="J1981" s="178"/>
      <c r="K1981" s="178"/>
      <c r="L1981" s="178"/>
      <c r="M1981" s="178"/>
      <c r="N1981" s="178"/>
      <c r="O1981" s="178"/>
      <c r="P1981" s="307"/>
      <c r="Q1981" s="178"/>
      <c r="R1981" s="178"/>
      <c r="S1981" s="178"/>
      <c r="T1981" s="266"/>
      <c r="U1981" s="216"/>
      <c r="V1981" s="266">
        <v>2000</v>
      </c>
      <c r="W1981" s="266">
        <v>0</v>
      </c>
      <c r="X1981" s="266">
        <v>1000</v>
      </c>
      <c r="Y1981" s="266">
        <v>250</v>
      </c>
      <c r="Z1981" s="266">
        <f t="shared" si="1147"/>
        <v>12.5</v>
      </c>
      <c r="AA1981" s="266">
        <f t="shared" si="1148"/>
        <v>1000</v>
      </c>
      <c r="AB1981" s="266">
        <v>3000</v>
      </c>
      <c r="AC1981" s="266">
        <v>500</v>
      </c>
      <c r="AD1981" s="266">
        <f t="shared" si="1149"/>
        <v>16.666666666666664</v>
      </c>
      <c r="AE1981" s="266">
        <f t="shared" si="1153"/>
        <v>-700</v>
      </c>
      <c r="AF1981" s="266">
        <v>2300</v>
      </c>
      <c r="AG1981" s="266">
        <f>2000</f>
        <v>2000</v>
      </c>
      <c r="AH1981" s="266">
        <v>0</v>
      </c>
      <c r="AI1981" s="266">
        <v>1000</v>
      </c>
      <c r="AJ1981" s="162" t="b">
        <f t="shared" si="1142"/>
        <v>0</v>
      </c>
      <c r="AK1981" s="162" t="str">
        <f t="shared" si="1143"/>
        <v>PUNO</v>
      </c>
      <c r="AL1981" s="165"/>
    </row>
    <row r="1982" spans="1:39" s="164" customFormat="1" ht="15.75" x14ac:dyDescent="0.2">
      <c r="A1982" s="259"/>
      <c r="B1982" s="177"/>
      <c r="C1982" s="177"/>
      <c r="D1982" s="177"/>
      <c r="E1982" s="177">
        <v>3299</v>
      </c>
      <c r="F1982" s="265">
        <v>52</v>
      </c>
      <c r="G1982" s="265" t="s">
        <v>1040</v>
      </c>
      <c r="H1982" s="16" t="s">
        <v>531</v>
      </c>
      <c r="I1982" s="178"/>
      <c r="J1982" s="178"/>
      <c r="K1982" s="178"/>
      <c r="L1982" s="178"/>
      <c r="M1982" s="178"/>
      <c r="N1982" s="178"/>
      <c r="O1982" s="178"/>
      <c r="P1982" s="307"/>
      <c r="Q1982" s="178"/>
      <c r="R1982" s="178"/>
      <c r="S1982" s="178"/>
      <c r="T1982" s="266"/>
      <c r="U1982" s="216">
        <v>286856.73</v>
      </c>
      <c r="V1982" s="266"/>
      <c r="W1982" s="266"/>
      <c r="X1982" s="266"/>
      <c r="Y1982" s="266"/>
      <c r="Z1982" s="266"/>
      <c r="AA1982" s="266"/>
      <c r="AB1982" s="266"/>
      <c r="AC1982" s="266"/>
      <c r="AD1982" s="266"/>
      <c r="AE1982" s="266"/>
      <c r="AF1982" s="266"/>
      <c r="AG1982" s="266"/>
      <c r="AH1982" s="266"/>
      <c r="AI1982" s="266"/>
      <c r="AJ1982" s="162" t="b">
        <f t="shared" si="1142"/>
        <v>0</v>
      </c>
      <c r="AK1982" s="162" t="str">
        <f t="shared" si="1143"/>
        <v>PUNO</v>
      </c>
      <c r="AL1982" s="165"/>
    </row>
    <row r="1983" spans="1:39" s="164" customFormat="1" ht="15.75" x14ac:dyDescent="0.2">
      <c r="A1983" s="259"/>
      <c r="B1983" s="177"/>
      <c r="C1983" s="177"/>
      <c r="D1983" s="177"/>
      <c r="E1983" s="177">
        <v>3299</v>
      </c>
      <c r="F1983" s="265">
        <v>55</v>
      </c>
      <c r="G1983" s="265" t="s">
        <v>1040</v>
      </c>
      <c r="H1983" s="16" t="s">
        <v>531</v>
      </c>
      <c r="I1983" s="178"/>
      <c r="J1983" s="178"/>
      <c r="K1983" s="178"/>
      <c r="L1983" s="178"/>
      <c r="M1983" s="178"/>
      <c r="N1983" s="178"/>
      <c r="O1983" s="178"/>
      <c r="P1983" s="307"/>
      <c r="Q1983" s="178"/>
      <c r="R1983" s="178"/>
      <c r="S1983" s="178"/>
      <c r="T1983" s="266"/>
      <c r="U1983" s="266"/>
      <c r="V1983" s="266">
        <v>212400</v>
      </c>
      <c r="W1983" s="266">
        <v>188700</v>
      </c>
      <c r="X1983" s="266">
        <v>179800</v>
      </c>
      <c r="Y1983" s="266">
        <v>28147.360000000001</v>
      </c>
      <c r="Z1983" s="266">
        <f t="shared" si="1147"/>
        <v>13.25</v>
      </c>
      <c r="AA1983" s="266">
        <f t="shared" si="1148"/>
        <v>34600</v>
      </c>
      <c r="AB1983" s="266">
        <v>247000</v>
      </c>
      <c r="AC1983" s="266">
        <v>76957.2</v>
      </c>
      <c r="AD1983" s="266">
        <f t="shared" si="1149"/>
        <v>31.15676113360324</v>
      </c>
      <c r="AE1983" s="266">
        <f t="shared" si="1153"/>
        <v>10000</v>
      </c>
      <c r="AF1983" s="266">
        <v>257000</v>
      </c>
      <c r="AG1983" s="266">
        <f>5000+7500+2300+25000+7000+5500+3000+15000+3000+20000+5000+12000+7000+21000+7400+10000+16500+25000</f>
        <v>197200</v>
      </c>
      <c r="AH1983" s="266">
        <f>5000+8500+2300+22000+13000+4100+3000+15000+3000+5000+13000+8000+11100+7400+20000+16500+25000</f>
        <v>181900</v>
      </c>
      <c r="AI1983" s="266">
        <f>5000+9500+2300+25000+7000+4500+3000+15000+3000+5000+13000+11100+7400+20000+16500+25000</f>
        <v>172300</v>
      </c>
      <c r="AJ1983" s="162" t="b">
        <f t="shared" si="1142"/>
        <v>0</v>
      </c>
      <c r="AK1983" s="162" t="str">
        <f t="shared" si="1143"/>
        <v>PUNO</v>
      </c>
      <c r="AL1983" s="165"/>
    </row>
    <row r="1984" spans="1:39" ht="15.75" x14ac:dyDescent="0.2">
      <c r="B1984" s="177"/>
      <c r="C1984" s="177">
        <v>34</v>
      </c>
      <c r="D1984" s="177"/>
      <c r="E1984" s="177"/>
      <c r="F1984" s="265"/>
      <c r="G1984" s="265"/>
      <c r="H1984" s="16" t="s">
        <v>208</v>
      </c>
      <c r="I1984" s="266"/>
      <c r="J1984" s="266"/>
      <c r="K1984" s="266"/>
      <c r="L1984" s="266"/>
      <c r="M1984" s="266"/>
      <c r="N1984" s="178"/>
      <c r="O1984" s="178"/>
      <c r="P1984" s="307"/>
      <c r="Q1984" s="178"/>
      <c r="R1984" s="178"/>
      <c r="S1984" s="178"/>
      <c r="T1984" s="266"/>
      <c r="U1984" s="266">
        <f t="shared" ref="U1984:AA1984" si="1156">U1985</f>
        <v>2372.38</v>
      </c>
      <c r="V1984" s="266">
        <f t="shared" si="1156"/>
        <v>18000</v>
      </c>
      <c r="W1984" s="266">
        <f t="shared" si="1156"/>
        <v>16000</v>
      </c>
      <c r="X1984" s="266">
        <f t="shared" si="1156"/>
        <v>16000</v>
      </c>
      <c r="Y1984" s="266">
        <f t="shared" si="1156"/>
        <v>0</v>
      </c>
      <c r="Z1984" s="266">
        <f t="shared" si="1156"/>
        <v>0</v>
      </c>
      <c r="AA1984" s="266">
        <f t="shared" si="1156"/>
        <v>1600</v>
      </c>
      <c r="AB1984" s="266">
        <f>AB1985</f>
        <v>19600</v>
      </c>
      <c r="AC1984" s="266">
        <f>AC1985</f>
        <v>297.39999999999998</v>
      </c>
      <c r="AD1984" s="266">
        <f t="shared" si="1149"/>
        <v>1.5173469387755101</v>
      </c>
      <c r="AE1984" s="266">
        <f t="shared" si="1153"/>
        <v>700</v>
      </c>
      <c r="AF1984" s="266">
        <f>AF1985</f>
        <v>20300</v>
      </c>
      <c r="AG1984" s="266">
        <f>AG1985</f>
        <v>9000</v>
      </c>
      <c r="AH1984" s="266">
        <f>AH1985</f>
        <v>8000</v>
      </c>
      <c r="AI1984" s="266">
        <f>AI1985</f>
        <v>16000</v>
      </c>
      <c r="AJ1984" s="162" t="b">
        <f t="shared" si="1142"/>
        <v>1</v>
      </c>
      <c r="AK1984" s="162" t="str">
        <f t="shared" si="1143"/>
        <v>PRAZNO</v>
      </c>
      <c r="AM1984" s="164"/>
    </row>
    <row r="1985" spans="1:39" ht="15.75" x14ac:dyDescent="0.2">
      <c r="B1985" s="177"/>
      <c r="C1985" s="177"/>
      <c r="D1985" s="177">
        <v>343</v>
      </c>
      <c r="E1985" s="177"/>
      <c r="F1985" s="265"/>
      <c r="G1985" s="265"/>
      <c r="H1985" s="16" t="s">
        <v>209</v>
      </c>
      <c r="I1985" s="266"/>
      <c r="J1985" s="266"/>
      <c r="K1985" s="266"/>
      <c r="L1985" s="266"/>
      <c r="M1985" s="266"/>
      <c r="N1985" s="178"/>
      <c r="O1985" s="178"/>
      <c r="P1985" s="307"/>
      <c r="Q1985" s="178"/>
      <c r="R1985" s="178"/>
      <c r="S1985" s="178"/>
      <c r="T1985" s="266"/>
      <c r="U1985" s="266">
        <f t="shared" ref="U1985:AA1985" si="1157">SUM(U1986:U1988)</f>
        <v>2372.38</v>
      </c>
      <c r="V1985" s="266">
        <f t="shared" si="1157"/>
        <v>18000</v>
      </c>
      <c r="W1985" s="266">
        <f t="shared" si="1157"/>
        <v>16000</v>
      </c>
      <c r="X1985" s="266">
        <f t="shared" si="1157"/>
        <v>16000</v>
      </c>
      <c r="Y1985" s="266">
        <f t="shared" si="1157"/>
        <v>0</v>
      </c>
      <c r="Z1985" s="266">
        <f t="shared" si="1157"/>
        <v>0</v>
      </c>
      <c r="AA1985" s="266">
        <f t="shared" si="1157"/>
        <v>1600</v>
      </c>
      <c r="AB1985" s="266">
        <f>SUM(AB1986:AB1988)</f>
        <v>19600</v>
      </c>
      <c r="AC1985" s="266">
        <f>SUM(AC1986:AC1988)</f>
        <v>297.39999999999998</v>
      </c>
      <c r="AD1985" s="266">
        <f t="shared" si="1149"/>
        <v>1.5173469387755101</v>
      </c>
      <c r="AE1985" s="266">
        <f t="shared" si="1153"/>
        <v>700</v>
      </c>
      <c r="AF1985" s="266">
        <f>SUM(AF1986:AF1988)</f>
        <v>20300</v>
      </c>
      <c r="AG1985" s="178">
        <f>SUM(AG1986:AG1988)</f>
        <v>9000</v>
      </c>
      <c r="AH1985" s="178">
        <f>SUM(AH1986:AH1988)</f>
        <v>8000</v>
      </c>
      <c r="AI1985" s="178">
        <f>SUM(AI1986:AI1988)</f>
        <v>16000</v>
      </c>
      <c r="AJ1985" s="162" t="b">
        <f t="shared" si="1142"/>
        <v>1</v>
      </c>
      <c r="AK1985" s="162" t="str">
        <f t="shared" si="1143"/>
        <v>PRAZNO</v>
      </c>
      <c r="AM1985" s="164"/>
    </row>
    <row r="1986" spans="1:39" s="164" customFormat="1" ht="15.75" x14ac:dyDescent="0.2">
      <c r="A1986" s="259"/>
      <c r="B1986" s="177"/>
      <c r="C1986" s="177"/>
      <c r="D1986" s="177"/>
      <c r="E1986" s="177">
        <v>3431</v>
      </c>
      <c r="F1986" s="177">
        <v>55</v>
      </c>
      <c r="G1986" s="177"/>
      <c r="H1986" s="16" t="s">
        <v>211</v>
      </c>
      <c r="I1986" s="181"/>
      <c r="J1986" s="181"/>
      <c r="K1986" s="181"/>
      <c r="L1986" s="181"/>
      <c r="M1986" s="181"/>
      <c r="N1986" s="181"/>
      <c r="O1986" s="181"/>
      <c r="P1986" s="307"/>
      <c r="Q1986" s="181"/>
      <c r="R1986" s="181"/>
      <c r="S1986" s="181"/>
      <c r="T1986" s="307"/>
      <c r="U1986" s="307"/>
      <c r="V1986" s="181">
        <v>3000</v>
      </c>
      <c r="W1986" s="181">
        <v>0</v>
      </c>
      <c r="X1986" s="181">
        <v>0</v>
      </c>
      <c r="Y1986" s="181">
        <v>0</v>
      </c>
      <c r="Z1986" s="181">
        <f t="shared" si="1147"/>
        <v>0</v>
      </c>
      <c r="AA1986" s="181">
        <f t="shared" si="1148"/>
        <v>1000</v>
      </c>
      <c r="AB1986" s="181">
        <v>4000</v>
      </c>
      <c r="AC1986" s="181">
        <v>297.39999999999998</v>
      </c>
      <c r="AD1986" s="181">
        <f t="shared" si="1149"/>
        <v>7.4349999999999996</v>
      </c>
      <c r="AE1986" s="181">
        <f t="shared" si="1153"/>
        <v>0</v>
      </c>
      <c r="AF1986" s="181">
        <v>4000</v>
      </c>
      <c r="AG1986" s="181">
        <v>4000</v>
      </c>
      <c r="AH1986" s="181">
        <v>0</v>
      </c>
      <c r="AI1986" s="181">
        <v>0</v>
      </c>
      <c r="AJ1986" s="162" t="b">
        <f t="shared" si="1142"/>
        <v>0</v>
      </c>
      <c r="AK1986" s="162" t="str">
        <f t="shared" si="1143"/>
        <v>PUNO</v>
      </c>
      <c r="AL1986" s="165"/>
    </row>
    <row r="1987" spans="1:39" s="164" customFormat="1" ht="15.75" x14ac:dyDescent="0.2">
      <c r="A1987" s="259"/>
      <c r="B1987" s="177"/>
      <c r="C1987" s="177"/>
      <c r="D1987" s="177"/>
      <c r="E1987" s="177">
        <v>3431</v>
      </c>
      <c r="F1987" s="177">
        <v>52</v>
      </c>
      <c r="G1987" s="177"/>
      <c r="H1987" s="16" t="s">
        <v>211</v>
      </c>
      <c r="I1987" s="181"/>
      <c r="J1987" s="181"/>
      <c r="K1987" s="181"/>
      <c r="L1987" s="181"/>
      <c r="M1987" s="181"/>
      <c r="N1987" s="181"/>
      <c r="O1987" s="181"/>
      <c r="P1987" s="307"/>
      <c r="Q1987" s="181"/>
      <c r="R1987" s="181"/>
      <c r="S1987" s="181"/>
      <c r="T1987" s="307"/>
      <c r="U1987" s="181">
        <v>2372.38</v>
      </c>
      <c r="V1987" s="181"/>
      <c r="W1987" s="181"/>
      <c r="X1987" s="181"/>
      <c r="Y1987" s="181"/>
      <c r="Z1987" s="181"/>
      <c r="AA1987" s="181"/>
      <c r="AB1987" s="181"/>
      <c r="AC1987" s="181"/>
      <c r="AD1987" s="181"/>
      <c r="AE1987" s="181"/>
      <c r="AF1987" s="181"/>
      <c r="AG1987" s="181"/>
      <c r="AH1987" s="181"/>
      <c r="AI1987" s="181"/>
      <c r="AJ1987" s="162" t="b">
        <f t="shared" si="1142"/>
        <v>0</v>
      </c>
      <c r="AK1987" s="162" t="str">
        <f t="shared" si="1143"/>
        <v>PUNO</v>
      </c>
      <c r="AL1987" s="165"/>
    </row>
    <row r="1988" spans="1:39" s="164" customFormat="1" ht="15.75" x14ac:dyDescent="0.2">
      <c r="A1988" s="259"/>
      <c r="B1988" s="177"/>
      <c r="C1988" s="177"/>
      <c r="D1988" s="177"/>
      <c r="E1988" s="177">
        <v>3434</v>
      </c>
      <c r="F1988" s="265">
        <v>55</v>
      </c>
      <c r="G1988" s="265" t="s">
        <v>1040</v>
      </c>
      <c r="H1988" s="16" t="s">
        <v>987</v>
      </c>
      <c r="I1988" s="178"/>
      <c r="J1988" s="178"/>
      <c r="K1988" s="178"/>
      <c r="L1988" s="178"/>
      <c r="M1988" s="178"/>
      <c r="N1988" s="178"/>
      <c r="O1988" s="178"/>
      <c r="P1988" s="307"/>
      <c r="Q1988" s="178"/>
      <c r="R1988" s="178"/>
      <c r="S1988" s="178"/>
      <c r="T1988" s="266"/>
      <c r="U1988" s="266"/>
      <c r="V1988" s="178">
        <v>15000</v>
      </c>
      <c r="W1988" s="178">
        <v>16000</v>
      </c>
      <c r="X1988" s="178">
        <v>16000</v>
      </c>
      <c r="Y1988" s="178">
        <v>0</v>
      </c>
      <c r="Z1988" s="178">
        <f t="shared" si="1147"/>
        <v>0</v>
      </c>
      <c r="AA1988" s="178">
        <f t="shared" si="1148"/>
        <v>600</v>
      </c>
      <c r="AB1988" s="178">
        <v>15600</v>
      </c>
      <c r="AC1988" s="178">
        <v>0</v>
      </c>
      <c r="AD1988" s="178">
        <f t="shared" si="1149"/>
        <v>0</v>
      </c>
      <c r="AE1988" s="178">
        <f t="shared" si="1153"/>
        <v>700</v>
      </c>
      <c r="AF1988" s="178">
        <v>16300</v>
      </c>
      <c r="AG1988" s="178">
        <v>5000</v>
      </c>
      <c r="AH1988" s="178">
        <v>8000</v>
      </c>
      <c r="AI1988" s="178">
        <v>16000</v>
      </c>
      <c r="AJ1988" s="162" t="b">
        <f t="shared" si="1142"/>
        <v>0</v>
      </c>
      <c r="AK1988" s="162" t="str">
        <f t="shared" si="1143"/>
        <v>PUNO</v>
      </c>
      <c r="AL1988" s="165"/>
    </row>
    <row r="1989" spans="1:39" s="171" customFormat="1" ht="31.5" x14ac:dyDescent="0.2">
      <c r="A1989" s="259"/>
      <c r="B1989" s="209"/>
      <c r="C1989" s="209"/>
      <c r="D1989" s="209"/>
      <c r="E1989" s="209"/>
      <c r="F1989" s="219"/>
      <c r="G1989" s="219"/>
      <c r="H1989" s="12" t="s">
        <v>609</v>
      </c>
      <c r="I1989" s="242"/>
      <c r="J1989" s="242"/>
      <c r="K1989" s="242"/>
      <c r="L1989" s="242"/>
      <c r="M1989" s="243" t="e">
        <f>M1991</f>
        <v>#REF!</v>
      </c>
      <c r="N1989" s="305">
        <f>N1991</f>
        <v>1966700</v>
      </c>
      <c r="O1989" s="305" t="e">
        <f>O1991</f>
        <v>#REF!</v>
      </c>
      <c r="P1989" s="303">
        <f>T1989-N1989</f>
        <v>-23010</v>
      </c>
      <c r="Q1989" s="243" t="e">
        <f t="shared" ref="Q1989:X1989" si="1158">Q1991</f>
        <v>#REF!</v>
      </c>
      <c r="R1989" s="243" t="e">
        <f t="shared" si="1158"/>
        <v>#REF!</v>
      </c>
      <c r="S1989" s="243" t="e">
        <f t="shared" si="1158"/>
        <v>#REF!</v>
      </c>
      <c r="T1989" s="305">
        <f>T1991</f>
        <v>1943690</v>
      </c>
      <c r="U1989" s="305">
        <f>U1991</f>
        <v>0</v>
      </c>
      <c r="V1989" s="305">
        <f>V1991</f>
        <v>2830000</v>
      </c>
      <c r="W1989" s="305" t="e">
        <f t="shared" si="1158"/>
        <v>#REF!</v>
      </c>
      <c r="X1989" s="305" t="e">
        <f t="shared" si="1158"/>
        <v>#REF!</v>
      </c>
      <c r="Y1989" s="305">
        <f>Y1991</f>
        <v>762302.15</v>
      </c>
      <c r="Z1989" s="305">
        <f t="shared" si="1147"/>
        <v>26.94</v>
      </c>
      <c r="AA1989" s="305">
        <f t="shared" si="1148"/>
        <v>0</v>
      </c>
      <c r="AB1989" s="305">
        <f>AB1991</f>
        <v>2830000</v>
      </c>
      <c r="AC1989" s="305">
        <f>AC1991</f>
        <v>2708548.08</v>
      </c>
      <c r="AD1989" s="305">
        <f t="shared" si="1149"/>
        <v>95.70841272084806</v>
      </c>
      <c r="AE1989" s="305">
        <f t="shared" si="1153"/>
        <v>0</v>
      </c>
      <c r="AF1989" s="305">
        <f>AF1991</f>
        <v>2830000</v>
      </c>
      <c r="AG1989" s="305">
        <f>AG1991</f>
        <v>4200000</v>
      </c>
      <c r="AH1989" s="305">
        <f>AH1991</f>
        <v>0</v>
      </c>
      <c r="AI1989" s="305">
        <f>AI1991</f>
        <v>0</v>
      </c>
      <c r="AJ1989" s="162" t="b">
        <f t="shared" si="1142"/>
        <v>1</v>
      </c>
      <c r="AK1989" s="162" t="str">
        <f t="shared" si="1143"/>
        <v>PRAZNO</v>
      </c>
      <c r="AL1989" s="170"/>
    </row>
    <row r="1990" spans="1:39" s="264" customFormat="1" ht="15.75" x14ac:dyDescent="0.2">
      <c r="A1990" s="259"/>
      <c r="B1990" s="177"/>
      <c r="C1990" s="177"/>
      <c r="D1990" s="177"/>
      <c r="E1990" s="177"/>
      <c r="F1990" s="265"/>
      <c r="G1990" s="265"/>
      <c r="H1990" s="441" t="s">
        <v>824</v>
      </c>
      <c r="I1990" s="178"/>
      <c r="J1990" s="178"/>
      <c r="K1990" s="178"/>
      <c r="L1990" s="178"/>
      <c r="M1990" s="266"/>
      <c r="N1990" s="430"/>
      <c r="O1990" s="430"/>
      <c r="P1990" s="445"/>
      <c r="Q1990" s="266"/>
      <c r="R1990" s="266"/>
      <c r="S1990" s="266"/>
      <c r="T1990" s="430">
        <f t="shared" ref="T1990:Y1990" si="1159">T1991</f>
        <v>1943690</v>
      </c>
      <c r="U1990" s="430">
        <f t="shared" si="1159"/>
        <v>0</v>
      </c>
      <c r="V1990" s="430">
        <f t="shared" si="1159"/>
        <v>2830000</v>
      </c>
      <c r="W1990" s="430" t="e">
        <f t="shared" si="1159"/>
        <v>#REF!</v>
      </c>
      <c r="X1990" s="430" t="e">
        <f t="shared" si="1159"/>
        <v>#REF!</v>
      </c>
      <c r="Y1990" s="430">
        <f t="shared" si="1159"/>
        <v>762302.15</v>
      </c>
      <c r="Z1990" s="430">
        <f t="shared" si="1147"/>
        <v>26.94</v>
      </c>
      <c r="AA1990" s="430">
        <f t="shared" si="1148"/>
        <v>0</v>
      </c>
      <c r="AB1990" s="430">
        <f>AB1991</f>
        <v>2830000</v>
      </c>
      <c r="AC1990" s="430">
        <f>AC1991</f>
        <v>2708548.08</v>
      </c>
      <c r="AD1990" s="430">
        <f t="shared" si="1149"/>
        <v>95.70841272084806</v>
      </c>
      <c r="AE1990" s="430">
        <f t="shared" si="1153"/>
        <v>0</v>
      </c>
      <c r="AF1990" s="430">
        <f>AF1991</f>
        <v>2830000</v>
      </c>
      <c r="AG1990" s="430">
        <f>AG1991</f>
        <v>4200000</v>
      </c>
      <c r="AH1990" s="430">
        <f>AH1991</f>
        <v>0</v>
      </c>
      <c r="AI1990" s="430">
        <f>AI1991</f>
        <v>0</v>
      </c>
      <c r="AJ1990" s="162" t="b">
        <f t="shared" si="1142"/>
        <v>1</v>
      </c>
      <c r="AK1990" s="162" t="str">
        <f t="shared" si="1143"/>
        <v>PRAZNO</v>
      </c>
      <c r="AL1990" s="263"/>
    </row>
    <row r="1991" spans="1:39" s="174" customFormat="1" ht="15.75" x14ac:dyDescent="0.2">
      <c r="A1991" s="259"/>
      <c r="B1991" s="172">
        <v>4</v>
      </c>
      <c r="C1991" s="172"/>
      <c r="D1991" s="172"/>
      <c r="E1991" s="172"/>
      <c r="F1991" s="172"/>
      <c r="G1991" s="172"/>
      <c r="H1991" s="14" t="s">
        <v>552</v>
      </c>
      <c r="I1991" s="184"/>
      <c r="J1991" s="184"/>
      <c r="K1991" s="184"/>
      <c r="L1991" s="184"/>
      <c r="M1991" s="185" t="e">
        <f t="shared" ref="M1991:AI1992" si="1160">M1992</f>
        <v>#REF!</v>
      </c>
      <c r="N1991" s="185">
        <f t="shared" si="1160"/>
        <v>1966700</v>
      </c>
      <c r="O1991" s="185" t="e">
        <f t="shared" si="1160"/>
        <v>#REF!</v>
      </c>
      <c r="P1991" s="55">
        <f t="shared" ref="P1991:P1996" si="1161">T1991-N1991</f>
        <v>-23010</v>
      </c>
      <c r="Q1991" s="185" t="e">
        <f t="shared" si="1160"/>
        <v>#REF!</v>
      </c>
      <c r="R1991" s="185" t="e">
        <f t="shared" si="1160"/>
        <v>#REF!</v>
      </c>
      <c r="S1991" s="185" t="e">
        <f t="shared" si="1160"/>
        <v>#REF!</v>
      </c>
      <c r="T1991" s="185">
        <f t="shared" si="1160"/>
        <v>1943690</v>
      </c>
      <c r="U1991" s="185">
        <f t="shared" si="1160"/>
        <v>0</v>
      </c>
      <c r="V1991" s="185">
        <f t="shared" si="1160"/>
        <v>2830000</v>
      </c>
      <c r="W1991" s="185" t="e">
        <f t="shared" si="1160"/>
        <v>#REF!</v>
      </c>
      <c r="X1991" s="185" t="e">
        <f t="shared" si="1160"/>
        <v>#REF!</v>
      </c>
      <c r="Y1991" s="185">
        <f t="shared" si="1160"/>
        <v>762302.15</v>
      </c>
      <c r="Z1991" s="185">
        <f t="shared" si="1147"/>
        <v>26.94</v>
      </c>
      <c r="AA1991" s="185">
        <f t="shared" si="1148"/>
        <v>0</v>
      </c>
      <c r="AB1991" s="185">
        <f t="shared" si="1160"/>
        <v>2830000</v>
      </c>
      <c r="AC1991" s="185">
        <f t="shared" si="1160"/>
        <v>2708548.08</v>
      </c>
      <c r="AD1991" s="185">
        <f t="shared" si="1149"/>
        <v>95.70841272084806</v>
      </c>
      <c r="AE1991" s="185">
        <f t="shared" si="1153"/>
        <v>0</v>
      </c>
      <c r="AF1991" s="185">
        <f t="shared" si="1160"/>
        <v>2830000</v>
      </c>
      <c r="AG1991" s="185">
        <f t="shared" si="1160"/>
        <v>4200000</v>
      </c>
      <c r="AH1991" s="185">
        <f t="shared" si="1160"/>
        <v>0</v>
      </c>
      <c r="AI1991" s="185">
        <f t="shared" si="1160"/>
        <v>0</v>
      </c>
      <c r="AJ1991" s="162" t="b">
        <f t="shared" si="1142"/>
        <v>1</v>
      </c>
      <c r="AK1991" s="162" t="str">
        <f t="shared" si="1143"/>
        <v>PRAZNO</v>
      </c>
      <c r="AL1991" s="173"/>
    </row>
    <row r="1992" spans="1:39" s="644" customFormat="1" ht="20.25" customHeight="1" x14ac:dyDescent="0.2">
      <c r="A1992" s="633"/>
      <c r="B1992" s="175"/>
      <c r="C1992" s="175">
        <v>42</v>
      </c>
      <c r="D1992" s="175"/>
      <c r="E1992" s="175"/>
      <c r="F1992" s="175"/>
      <c r="G1992" s="175"/>
      <c r="H1992" s="28" t="s">
        <v>212</v>
      </c>
      <c r="I1992" s="645"/>
      <c r="J1992" s="645"/>
      <c r="K1992" s="645"/>
      <c r="L1992" s="645"/>
      <c r="M1992" s="646" t="e">
        <f t="shared" si="1160"/>
        <v>#REF!</v>
      </c>
      <c r="N1992" s="646">
        <f t="shared" si="1160"/>
        <v>1966700</v>
      </c>
      <c r="O1992" s="646" t="e">
        <f t="shared" si="1160"/>
        <v>#REF!</v>
      </c>
      <c r="P1992" s="38">
        <f t="shared" si="1161"/>
        <v>-23010</v>
      </c>
      <c r="Q1992" s="646" t="e">
        <f t="shared" si="1160"/>
        <v>#REF!</v>
      </c>
      <c r="R1992" s="646" t="e">
        <f t="shared" si="1160"/>
        <v>#REF!</v>
      </c>
      <c r="S1992" s="646" t="e">
        <f t="shared" si="1160"/>
        <v>#REF!</v>
      </c>
      <c r="T1992" s="646">
        <f t="shared" si="1160"/>
        <v>1943690</v>
      </c>
      <c r="U1992" s="646">
        <f t="shared" si="1160"/>
        <v>0</v>
      </c>
      <c r="V1992" s="646">
        <f t="shared" si="1160"/>
        <v>2830000</v>
      </c>
      <c r="W1992" s="646" t="e">
        <f t="shared" si="1160"/>
        <v>#REF!</v>
      </c>
      <c r="X1992" s="646" t="e">
        <f t="shared" si="1160"/>
        <v>#REF!</v>
      </c>
      <c r="Y1992" s="646">
        <f t="shared" si="1160"/>
        <v>762302.15</v>
      </c>
      <c r="Z1992" s="646">
        <f t="shared" si="1147"/>
        <v>26.94</v>
      </c>
      <c r="AA1992" s="646">
        <f t="shared" si="1148"/>
        <v>0</v>
      </c>
      <c r="AB1992" s="646">
        <f t="shared" si="1160"/>
        <v>2830000</v>
      </c>
      <c r="AC1992" s="646">
        <f t="shared" si="1160"/>
        <v>2708548.08</v>
      </c>
      <c r="AD1992" s="646">
        <f t="shared" si="1149"/>
        <v>95.70841272084806</v>
      </c>
      <c r="AE1992" s="646">
        <f t="shared" si="1153"/>
        <v>0</v>
      </c>
      <c r="AF1992" s="646">
        <f t="shared" si="1160"/>
        <v>2830000</v>
      </c>
      <c r="AG1992" s="646">
        <f t="shared" si="1160"/>
        <v>4200000</v>
      </c>
      <c r="AH1992" s="646">
        <f t="shared" si="1160"/>
        <v>0</v>
      </c>
      <c r="AI1992" s="646">
        <f t="shared" si="1160"/>
        <v>0</v>
      </c>
      <c r="AJ1992" s="162" t="b">
        <f t="shared" si="1142"/>
        <v>1</v>
      </c>
      <c r="AK1992" s="162" t="str">
        <f t="shared" si="1143"/>
        <v>PRAZNO</v>
      </c>
      <c r="AL1992" s="643"/>
      <c r="AM1992" s="647"/>
    </row>
    <row r="1993" spans="1:39" ht="15.75" x14ac:dyDescent="0.2">
      <c r="B1993" s="177"/>
      <c r="C1993" s="177"/>
      <c r="D1993" s="177">
        <v>421</v>
      </c>
      <c r="E1993" s="177"/>
      <c r="F1993" s="177"/>
      <c r="G1993" s="177"/>
      <c r="H1993" s="16" t="s">
        <v>759</v>
      </c>
      <c r="I1993" s="18"/>
      <c r="J1993" s="18"/>
      <c r="K1993" s="18"/>
      <c r="L1993" s="18"/>
      <c r="M1993" s="27" t="e">
        <f>#REF!</f>
        <v>#REF!</v>
      </c>
      <c r="N1993" s="27">
        <f>N1994+N1995</f>
        <v>1966700</v>
      </c>
      <c r="O1993" s="27" t="e">
        <f>#REF!</f>
        <v>#REF!</v>
      </c>
      <c r="P1993" s="26">
        <f t="shared" si="1161"/>
        <v>-23010</v>
      </c>
      <c r="Q1993" s="27" t="e">
        <f>#REF!+Q1994</f>
        <v>#REF!</v>
      </c>
      <c r="R1993" s="27" t="e">
        <f>#REF!</f>
        <v>#REF!</v>
      </c>
      <c r="S1993" s="27" t="e">
        <f>#REF!</f>
        <v>#REF!</v>
      </c>
      <c r="T1993" s="27">
        <f>T1994</f>
        <v>1943690</v>
      </c>
      <c r="U1993" s="27">
        <f>U1994</f>
        <v>0</v>
      </c>
      <c r="V1993" s="27">
        <f>V1994</f>
        <v>2830000</v>
      </c>
      <c r="W1993" s="27" t="e">
        <f>#REF!+W1994</f>
        <v>#REF!</v>
      </c>
      <c r="X1993" s="27" t="e">
        <f>#REF!+X1994</f>
        <v>#REF!</v>
      </c>
      <c r="Y1993" s="27">
        <f>Y1994</f>
        <v>762302.15</v>
      </c>
      <c r="Z1993" s="27">
        <f t="shared" si="1147"/>
        <v>26.94</v>
      </c>
      <c r="AA1993" s="27">
        <f t="shared" si="1148"/>
        <v>0</v>
      </c>
      <c r="AB1993" s="27">
        <f>AB1994</f>
        <v>2830000</v>
      </c>
      <c r="AC1993" s="27">
        <f>AC1994</f>
        <v>2708548.08</v>
      </c>
      <c r="AD1993" s="27">
        <f t="shared" si="1149"/>
        <v>95.70841272084806</v>
      </c>
      <c r="AE1993" s="27">
        <f t="shared" si="1153"/>
        <v>0</v>
      </c>
      <c r="AF1993" s="27">
        <f>AF1994</f>
        <v>2830000</v>
      </c>
      <c r="AG1993" s="27">
        <f>AG1994</f>
        <v>4200000</v>
      </c>
      <c r="AH1993" s="27">
        <f>AH1994</f>
        <v>0</v>
      </c>
      <c r="AI1993" s="27">
        <f>AI1994</f>
        <v>0</v>
      </c>
      <c r="AJ1993" s="162" t="b">
        <f t="shared" ref="AJ1993:AJ2056" si="1162">ISBLANK(E1993)</f>
        <v>1</v>
      </c>
      <c r="AK1993" s="162" t="str">
        <f t="shared" ref="AK1993:AK2056" si="1163">IF(AJ1993,"PRAZNO","PUNO")</f>
        <v>PRAZNO</v>
      </c>
      <c r="AM1993" s="164"/>
    </row>
    <row r="1994" spans="1:39" ht="15.75" x14ac:dyDescent="0.2">
      <c r="B1994" s="177"/>
      <c r="C1994" s="177"/>
      <c r="D1994" s="177"/>
      <c r="E1994" s="177">
        <v>4212</v>
      </c>
      <c r="F1994" s="177">
        <v>14</v>
      </c>
      <c r="G1994" s="177"/>
      <c r="H1994" s="16" t="s">
        <v>649</v>
      </c>
      <c r="I1994" s="18"/>
      <c r="J1994" s="18"/>
      <c r="K1994" s="18"/>
      <c r="L1994" s="18"/>
      <c r="M1994" s="27"/>
      <c r="N1994" s="27">
        <v>52200</v>
      </c>
      <c r="O1994" s="27">
        <v>0</v>
      </c>
      <c r="P1994" s="26">
        <f t="shared" si="1161"/>
        <v>1891490</v>
      </c>
      <c r="Q1994" s="27">
        <v>52200</v>
      </c>
      <c r="R1994" s="27"/>
      <c r="S1994" s="27"/>
      <c r="T1994" s="266">
        <v>1943690</v>
      </c>
      <c r="U1994" s="266">
        <v>0</v>
      </c>
      <c r="V1994" s="266">
        <v>2830000</v>
      </c>
      <c r="W1994" s="266">
        <v>1500000</v>
      </c>
      <c r="X1994" s="266">
        <v>1300000</v>
      </c>
      <c r="Y1994" s="266">
        <v>762302.15</v>
      </c>
      <c r="Z1994" s="266">
        <f t="shared" si="1147"/>
        <v>26.94</v>
      </c>
      <c r="AA1994" s="266">
        <f t="shared" si="1148"/>
        <v>0</v>
      </c>
      <c r="AB1994" s="266">
        <v>2830000</v>
      </c>
      <c r="AC1994" s="266">
        <v>2708548.08</v>
      </c>
      <c r="AD1994" s="266">
        <f t="shared" si="1149"/>
        <v>95.70841272084806</v>
      </c>
      <c r="AE1994" s="266">
        <f t="shared" si="1153"/>
        <v>0</v>
      </c>
      <c r="AF1994" s="266">
        <v>2830000</v>
      </c>
      <c r="AG1994" s="266">
        <v>4200000</v>
      </c>
      <c r="AH1994" s="17"/>
      <c r="AI1994" s="266">
        <v>0</v>
      </c>
      <c r="AJ1994" s="162" t="b">
        <f t="shared" si="1162"/>
        <v>0</v>
      </c>
      <c r="AK1994" s="162" t="str">
        <f t="shared" si="1163"/>
        <v>PUNO</v>
      </c>
      <c r="AM1994" s="164"/>
    </row>
    <row r="1995" spans="1:39" ht="15.75" x14ac:dyDescent="0.2">
      <c r="B1995" s="177"/>
      <c r="C1995" s="177"/>
      <c r="D1995" s="177"/>
      <c r="E1995" s="177">
        <v>4212</v>
      </c>
      <c r="F1995" s="265">
        <v>54</v>
      </c>
      <c r="G1995" s="176"/>
      <c r="H1995" s="16" t="s">
        <v>649</v>
      </c>
      <c r="I1995" s="18"/>
      <c r="J1995" s="18"/>
      <c r="K1995" s="18"/>
      <c r="L1995" s="18"/>
      <c r="M1995" s="17"/>
      <c r="N1995" s="17">
        <v>1914500</v>
      </c>
      <c r="O1995" s="17">
        <v>0</v>
      </c>
      <c r="P1995" s="26">
        <f t="shared" si="1161"/>
        <v>-1914500</v>
      </c>
      <c r="Q1995" s="17"/>
      <c r="R1995" s="18"/>
      <c r="S1995" s="18"/>
      <c r="T1995" s="26">
        <v>0</v>
      </c>
      <c r="U1995" s="26">
        <v>0</v>
      </c>
      <c r="V1995" s="181">
        <v>0</v>
      </c>
      <c r="W1995" s="17">
        <v>0</v>
      </c>
      <c r="X1995" s="17">
        <v>0</v>
      </c>
      <c r="Y1995" s="181"/>
      <c r="Z1995" s="181" t="e">
        <f t="shared" si="1147"/>
        <v>#DIV/0!</v>
      </c>
      <c r="AA1995" s="181">
        <f t="shared" si="1148"/>
        <v>0</v>
      </c>
      <c r="AB1995" s="181">
        <v>0</v>
      </c>
      <c r="AC1995" s="181"/>
      <c r="AD1995" s="181"/>
      <c r="AE1995" s="181">
        <f t="shared" si="1153"/>
        <v>0</v>
      </c>
      <c r="AF1995" s="181">
        <v>0</v>
      </c>
      <c r="AG1995" s="181">
        <v>0</v>
      </c>
      <c r="AH1995" s="181">
        <v>0</v>
      </c>
      <c r="AI1995" s="181">
        <v>0</v>
      </c>
      <c r="AJ1995" s="162" t="b">
        <f t="shared" si="1162"/>
        <v>0</v>
      </c>
      <c r="AK1995" s="162" t="str">
        <f t="shared" si="1163"/>
        <v>PUNO</v>
      </c>
      <c r="AM1995" s="164"/>
    </row>
    <row r="1996" spans="1:39" s="171" customFormat="1" ht="31.5" x14ac:dyDescent="0.2">
      <c r="A1996" s="259"/>
      <c r="B1996" s="209"/>
      <c r="C1996" s="209"/>
      <c r="D1996" s="209"/>
      <c r="E1996" s="209"/>
      <c r="F1996" s="219"/>
      <c r="G1996" s="219"/>
      <c r="H1996" s="12" t="s">
        <v>611</v>
      </c>
      <c r="I1996" s="242"/>
      <c r="J1996" s="242"/>
      <c r="K1996" s="242"/>
      <c r="L1996" s="242"/>
      <c r="M1996" s="243">
        <f>M1998</f>
        <v>0</v>
      </c>
      <c r="N1996" s="305">
        <f>N1998</f>
        <v>125600</v>
      </c>
      <c r="O1996" s="305">
        <f>O1998</f>
        <v>77270.86</v>
      </c>
      <c r="P1996" s="303">
        <f t="shared" si="1161"/>
        <v>0</v>
      </c>
      <c r="Q1996" s="243">
        <f t="shared" ref="Q1996:X1996" si="1164">Q1998</f>
        <v>125600</v>
      </c>
      <c r="R1996" s="243">
        <f t="shared" si="1164"/>
        <v>500000</v>
      </c>
      <c r="S1996" s="243">
        <f t="shared" si="1164"/>
        <v>500000</v>
      </c>
      <c r="T1996" s="305">
        <f t="shared" si="1164"/>
        <v>125600</v>
      </c>
      <c r="U1996" s="305">
        <f>U1998</f>
        <v>0</v>
      </c>
      <c r="V1996" s="305">
        <f t="shared" si="1164"/>
        <v>100000</v>
      </c>
      <c r="W1996" s="305">
        <f t="shared" si="1164"/>
        <v>0</v>
      </c>
      <c r="X1996" s="305">
        <f t="shared" si="1164"/>
        <v>0</v>
      </c>
      <c r="Y1996" s="305">
        <f>Y1998</f>
        <v>0</v>
      </c>
      <c r="Z1996" s="305">
        <f t="shared" si="1147"/>
        <v>0</v>
      </c>
      <c r="AA1996" s="305">
        <f t="shared" si="1148"/>
        <v>-100000</v>
      </c>
      <c r="AB1996" s="305">
        <f>AB1998</f>
        <v>0</v>
      </c>
      <c r="AC1996" s="305">
        <f>AC1998</f>
        <v>0</v>
      </c>
      <c r="AD1996" s="305"/>
      <c r="AE1996" s="305">
        <f t="shared" si="1153"/>
        <v>0</v>
      </c>
      <c r="AF1996" s="305">
        <f>AF1998</f>
        <v>0</v>
      </c>
      <c r="AG1996" s="305">
        <f>AG1998</f>
        <v>0</v>
      </c>
      <c r="AH1996" s="305">
        <f>AH1998</f>
        <v>0</v>
      </c>
      <c r="AI1996" s="305">
        <f>AI1998</f>
        <v>0</v>
      </c>
      <c r="AJ1996" s="162" t="b">
        <f t="shared" si="1162"/>
        <v>1</v>
      </c>
      <c r="AK1996" s="162" t="str">
        <f t="shared" si="1163"/>
        <v>PRAZNO</v>
      </c>
      <c r="AL1996" s="170"/>
    </row>
    <row r="1997" spans="1:39" s="264" customFormat="1" ht="15.75" x14ac:dyDescent="0.2">
      <c r="A1997" s="259"/>
      <c r="B1997" s="177"/>
      <c r="C1997" s="177"/>
      <c r="D1997" s="177"/>
      <c r="E1997" s="177"/>
      <c r="F1997" s="265"/>
      <c r="G1997" s="265"/>
      <c r="H1997" s="441" t="s">
        <v>824</v>
      </c>
      <c r="I1997" s="178"/>
      <c r="J1997" s="178"/>
      <c r="K1997" s="178"/>
      <c r="L1997" s="178"/>
      <c r="M1997" s="266"/>
      <c r="N1997" s="430"/>
      <c r="O1997" s="430"/>
      <c r="P1997" s="445"/>
      <c r="Q1997" s="266"/>
      <c r="R1997" s="266"/>
      <c r="S1997" s="266"/>
      <c r="T1997" s="430"/>
      <c r="U1997" s="430"/>
      <c r="V1997" s="430">
        <f>V1998</f>
        <v>100000</v>
      </c>
      <c r="W1997" s="430">
        <f>W1998</f>
        <v>0</v>
      </c>
      <c r="X1997" s="430">
        <f>X1998</f>
        <v>0</v>
      </c>
      <c r="Y1997" s="430">
        <f>Y1998</f>
        <v>0</v>
      </c>
      <c r="Z1997" s="430">
        <f t="shared" si="1147"/>
        <v>0</v>
      </c>
      <c r="AA1997" s="430">
        <f t="shared" si="1148"/>
        <v>-100000</v>
      </c>
      <c r="AB1997" s="430">
        <f>AB1998</f>
        <v>0</v>
      </c>
      <c r="AC1997" s="430">
        <f>AC1998</f>
        <v>0</v>
      </c>
      <c r="AD1997" s="430"/>
      <c r="AE1997" s="430">
        <f t="shared" si="1153"/>
        <v>0</v>
      </c>
      <c r="AF1997" s="430">
        <f>AF1998</f>
        <v>0</v>
      </c>
      <c r="AG1997" s="430">
        <f>AG1998</f>
        <v>0</v>
      </c>
      <c r="AH1997" s="430">
        <f>AH1998</f>
        <v>0</v>
      </c>
      <c r="AI1997" s="430">
        <f>AI1998</f>
        <v>0</v>
      </c>
      <c r="AJ1997" s="162" t="b">
        <f t="shared" si="1162"/>
        <v>1</v>
      </c>
      <c r="AK1997" s="162" t="str">
        <f t="shared" si="1163"/>
        <v>PRAZNO</v>
      </c>
      <c r="AL1997" s="263"/>
    </row>
    <row r="1998" spans="1:39" s="174" customFormat="1" ht="15.75" x14ac:dyDescent="0.2">
      <c r="A1998" s="259"/>
      <c r="B1998" s="172">
        <v>4</v>
      </c>
      <c r="C1998" s="172"/>
      <c r="D1998" s="172"/>
      <c r="E1998" s="172"/>
      <c r="F1998" s="172"/>
      <c r="G1998" s="172"/>
      <c r="H1998" s="14" t="s">
        <v>552</v>
      </c>
      <c r="I1998" s="184"/>
      <c r="J1998" s="184"/>
      <c r="K1998" s="184"/>
      <c r="L1998" s="184"/>
      <c r="M1998" s="185">
        <f t="shared" ref="M1998:AI2000" si="1165">M1999</f>
        <v>0</v>
      </c>
      <c r="N1998" s="185">
        <f t="shared" si="1165"/>
        <v>125600</v>
      </c>
      <c r="O1998" s="185">
        <f t="shared" si="1165"/>
        <v>77270.86</v>
      </c>
      <c r="P1998" s="55">
        <f>T1998-N1998</f>
        <v>0</v>
      </c>
      <c r="Q1998" s="185">
        <f t="shared" si="1165"/>
        <v>125600</v>
      </c>
      <c r="R1998" s="185">
        <f t="shared" si="1165"/>
        <v>500000</v>
      </c>
      <c r="S1998" s="185">
        <f t="shared" si="1165"/>
        <v>500000</v>
      </c>
      <c r="T1998" s="185">
        <f t="shared" si="1165"/>
        <v>125600</v>
      </c>
      <c r="U1998" s="185">
        <f t="shared" si="1165"/>
        <v>0</v>
      </c>
      <c r="V1998" s="185">
        <f t="shared" si="1165"/>
        <v>100000</v>
      </c>
      <c r="W1998" s="185">
        <f t="shared" si="1165"/>
        <v>0</v>
      </c>
      <c r="X1998" s="185">
        <f t="shared" si="1165"/>
        <v>0</v>
      </c>
      <c r="Y1998" s="185">
        <f t="shared" si="1165"/>
        <v>0</v>
      </c>
      <c r="Z1998" s="185">
        <f t="shared" si="1147"/>
        <v>0</v>
      </c>
      <c r="AA1998" s="185">
        <f t="shared" si="1148"/>
        <v>-100000</v>
      </c>
      <c r="AB1998" s="185">
        <f t="shared" si="1165"/>
        <v>0</v>
      </c>
      <c r="AC1998" s="185">
        <f t="shared" si="1165"/>
        <v>0</v>
      </c>
      <c r="AD1998" s="185"/>
      <c r="AE1998" s="185">
        <f t="shared" si="1153"/>
        <v>0</v>
      </c>
      <c r="AF1998" s="185">
        <f t="shared" si="1165"/>
        <v>0</v>
      </c>
      <c r="AG1998" s="185">
        <f t="shared" si="1165"/>
        <v>0</v>
      </c>
      <c r="AH1998" s="185">
        <f t="shared" si="1165"/>
        <v>0</v>
      </c>
      <c r="AI1998" s="185">
        <f t="shared" si="1165"/>
        <v>0</v>
      </c>
      <c r="AJ1998" s="162" t="b">
        <f t="shared" si="1162"/>
        <v>1</v>
      </c>
      <c r="AK1998" s="162" t="str">
        <f t="shared" si="1163"/>
        <v>PRAZNO</v>
      </c>
      <c r="AL1998" s="173"/>
    </row>
    <row r="1999" spans="1:39" s="644" customFormat="1" ht="19.5" customHeight="1" x14ac:dyDescent="0.2">
      <c r="A1999" s="633"/>
      <c r="B1999" s="175"/>
      <c r="C1999" s="175">
        <v>42</v>
      </c>
      <c r="D1999" s="175"/>
      <c r="E1999" s="175"/>
      <c r="F1999" s="175"/>
      <c r="G1999" s="175"/>
      <c r="H1999" s="28" t="s">
        <v>212</v>
      </c>
      <c r="I1999" s="645"/>
      <c r="J1999" s="645"/>
      <c r="K1999" s="645"/>
      <c r="L1999" s="645"/>
      <c r="M1999" s="646">
        <f t="shared" si="1165"/>
        <v>0</v>
      </c>
      <c r="N1999" s="646">
        <f t="shared" si="1165"/>
        <v>125600</v>
      </c>
      <c r="O1999" s="646">
        <f t="shared" si="1165"/>
        <v>77270.86</v>
      </c>
      <c r="P1999" s="38">
        <f>T1999-N1999</f>
        <v>0</v>
      </c>
      <c r="Q1999" s="646">
        <f t="shared" si="1165"/>
        <v>125600</v>
      </c>
      <c r="R1999" s="646">
        <f t="shared" si="1165"/>
        <v>500000</v>
      </c>
      <c r="S1999" s="646">
        <f t="shared" si="1165"/>
        <v>500000</v>
      </c>
      <c r="T1999" s="646">
        <f t="shared" si="1165"/>
        <v>125600</v>
      </c>
      <c r="U1999" s="646">
        <f t="shared" si="1165"/>
        <v>0</v>
      </c>
      <c r="V1999" s="646">
        <f t="shared" si="1165"/>
        <v>100000</v>
      </c>
      <c r="W1999" s="646">
        <f t="shared" si="1165"/>
        <v>0</v>
      </c>
      <c r="X1999" s="646">
        <f t="shared" si="1165"/>
        <v>0</v>
      </c>
      <c r="Y1999" s="646">
        <f t="shared" si="1165"/>
        <v>0</v>
      </c>
      <c r="Z1999" s="646">
        <f t="shared" si="1147"/>
        <v>0</v>
      </c>
      <c r="AA1999" s="646">
        <f t="shared" si="1148"/>
        <v>-100000</v>
      </c>
      <c r="AB1999" s="646">
        <f t="shared" si="1165"/>
        <v>0</v>
      </c>
      <c r="AC1999" s="646">
        <f t="shared" si="1165"/>
        <v>0</v>
      </c>
      <c r="AD1999" s="646"/>
      <c r="AE1999" s="646">
        <f t="shared" si="1153"/>
        <v>0</v>
      </c>
      <c r="AF1999" s="646">
        <f t="shared" si="1165"/>
        <v>0</v>
      </c>
      <c r="AG1999" s="646">
        <f t="shared" si="1165"/>
        <v>0</v>
      </c>
      <c r="AH1999" s="646">
        <f t="shared" si="1165"/>
        <v>0</v>
      </c>
      <c r="AI1999" s="646">
        <f t="shared" si="1165"/>
        <v>0</v>
      </c>
      <c r="AJ1999" s="162" t="b">
        <f t="shared" si="1162"/>
        <v>1</v>
      </c>
      <c r="AK1999" s="162" t="str">
        <f t="shared" si="1163"/>
        <v>PRAZNO</v>
      </c>
      <c r="AL1999" s="643"/>
      <c r="AM1999" s="647"/>
    </row>
    <row r="2000" spans="1:39" ht="15.75" x14ac:dyDescent="0.2">
      <c r="B2000" s="177"/>
      <c r="C2000" s="177"/>
      <c r="D2000" s="177">
        <v>421</v>
      </c>
      <c r="E2000" s="177"/>
      <c r="F2000" s="177"/>
      <c r="G2000" s="177"/>
      <c r="H2000" s="16" t="s">
        <v>759</v>
      </c>
      <c r="I2000" s="18"/>
      <c r="J2000" s="18"/>
      <c r="K2000" s="18"/>
      <c r="L2000" s="18"/>
      <c r="M2000" s="27">
        <f t="shared" si="1165"/>
        <v>0</v>
      </c>
      <c r="N2000" s="27">
        <f t="shared" si="1165"/>
        <v>125600</v>
      </c>
      <c r="O2000" s="27">
        <f t="shared" si="1165"/>
        <v>77270.86</v>
      </c>
      <c r="P2000" s="26">
        <f>T2000-N2000</f>
        <v>0</v>
      </c>
      <c r="Q2000" s="27">
        <f t="shared" si="1165"/>
        <v>125600</v>
      </c>
      <c r="R2000" s="27">
        <f t="shared" si="1165"/>
        <v>500000</v>
      </c>
      <c r="S2000" s="27">
        <f t="shared" si="1165"/>
        <v>500000</v>
      </c>
      <c r="T2000" s="27">
        <f t="shared" si="1165"/>
        <v>125600</v>
      </c>
      <c r="U2000" s="27">
        <f t="shared" si="1165"/>
        <v>0</v>
      </c>
      <c r="V2000" s="27">
        <f>V2001+V2002</f>
        <v>100000</v>
      </c>
      <c r="W2000" s="27">
        <f>W2001+W2002</f>
        <v>0</v>
      </c>
      <c r="X2000" s="27">
        <f>X2001+X2002</f>
        <v>0</v>
      </c>
      <c r="Y2000" s="27">
        <f>Y2001+Y2002</f>
        <v>0</v>
      </c>
      <c r="Z2000" s="27">
        <f t="shared" si="1147"/>
        <v>0</v>
      </c>
      <c r="AA2000" s="27">
        <f t="shared" si="1148"/>
        <v>-100000</v>
      </c>
      <c r="AB2000" s="27">
        <f>AB2001+AB2002</f>
        <v>0</v>
      </c>
      <c r="AC2000" s="27">
        <f>AC2001+AC2002</f>
        <v>0</v>
      </c>
      <c r="AD2000" s="27"/>
      <c r="AE2000" s="27">
        <f t="shared" si="1153"/>
        <v>0</v>
      </c>
      <c r="AF2000" s="27">
        <f>AF2001+AF2002</f>
        <v>0</v>
      </c>
      <c r="AG2000" s="27">
        <f>AG2001+AG2002</f>
        <v>0</v>
      </c>
      <c r="AH2000" s="27">
        <f>AH2001+AH2002</f>
        <v>0</v>
      </c>
      <c r="AI2000" s="27">
        <f>AI2001+AI2002</f>
        <v>0</v>
      </c>
      <c r="AJ2000" s="162" t="b">
        <f t="shared" si="1162"/>
        <v>1</v>
      </c>
      <c r="AK2000" s="162" t="str">
        <f t="shared" si="1163"/>
        <v>PRAZNO</v>
      </c>
      <c r="AM2000" s="164"/>
    </row>
    <row r="2001" spans="1:39" ht="15.75" x14ac:dyDescent="0.2">
      <c r="B2001" s="177"/>
      <c r="C2001" s="177"/>
      <c r="D2001" s="177"/>
      <c r="E2001" s="177">
        <v>4212</v>
      </c>
      <c r="F2001" s="265">
        <v>14</v>
      </c>
      <c r="G2001" s="176"/>
      <c r="H2001" s="16" t="s">
        <v>649</v>
      </c>
      <c r="I2001" s="18"/>
      <c r="J2001" s="18"/>
      <c r="K2001" s="18"/>
      <c r="L2001" s="18"/>
      <c r="M2001" s="18"/>
      <c r="N2001" s="18">
        <v>125600</v>
      </c>
      <c r="O2001" s="18">
        <v>77270.86</v>
      </c>
      <c r="P2001" s="26">
        <f>T2001-N2001</f>
        <v>0</v>
      </c>
      <c r="Q2001" s="18">
        <v>125600</v>
      </c>
      <c r="R2001" s="18">
        <v>500000</v>
      </c>
      <c r="S2001" s="18">
        <v>500000</v>
      </c>
      <c r="T2001" s="27">
        <v>125600</v>
      </c>
      <c r="U2001" s="27">
        <v>0</v>
      </c>
      <c r="V2001" s="18">
        <v>100000</v>
      </c>
      <c r="W2001" s="18"/>
      <c r="X2001" s="18"/>
      <c r="Y2001" s="18">
        <v>0</v>
      </c>
      <c r="Z2001" s="18">
        <f t="shared" si="1147"/>
        <v>0</v>
      </c>
      <c r="AA2001" s="18">
        <f t="shared" si="1148"/>
        <v>-100000</v>
      </c>
      <c r="AB2001" s="18">
        <v>0</v>
      </c>
      <c r="AC2001" s="18">
        <v>0</v>
      </c>
      <c r="AD2001" s="18"/>
      <c r="AE2001" s="18">
        <f t="shared" si="1153"/>
        <v>0</v>
      </c>
      <c r="AF2001" s="18">
        <v>0</v>
      </c>
      <c r="AG2001" s="18">
        <v>0</v>
      </c>
      <c r="AH2001" s="18">
        <v>0</v>
      </c>
      <c r="AI2001" s="18">
        <v>0</v>
      </c>
      <c r="AJ2001" s="162" t="b">
        <f t="shared" si="1162"/>
        <v>0</v>
      </c>
      <c r="AK2001" s="162" t="str">
        <f t="shared" si="1163"/>
        <v>PUNO</v>
      </c>
      <c r="AM2001" s="164"/>
    </row>
    <row r="2002" spans="1:39" ht="15.75" x14ac:dyDescent="0.2">
      <c r="B2002" s="177"/>
      <c r="C2002" s="177"/>
      <c r="D2002" s="177"/>
      <c r="E2002" s="177">
        <v>4212</v>
      </c>
      <c r="F2002" s="176">
        <v>52</v>
      </c>
      <c r="G2002" s="176"/>
      <c r="H2002" s="16" t="s">
        <v>649</v>
      </c>
      <c r="I2002" s="18"/>
      <c r="J2002" s="18"/>
      <c r="K2002" s="18"/>
      <c r="L2002" s="18"/>
      <c r="M2002" s="18"/>
      <c r="N2002" s="18"/>
      <c r="O2002" s="18"/>
      <c r="P2002" s="26"/>
      <c r="Q2002" s="18"/>
      <c r="R2002" s="18"/>
      <c r="S2002" s="18"/>
      <c r="T2002" s="27">
        <v>0</v>
      </c>
      <c r="U2002" s="27">
        <v>0</v>
      </c>
      <c r="V2002" s="18">
        <v>0</v>
      </c>
      <c r="W2002" s="18">
        <v>0</v>
      </c>
      <c r="X2002" s="18">
        <v>0</v>
      </c>
      <c r="Y2002" s="18"/>
      <c r="Z2002" s="18" t="e">
        <f t="shared" ref="Z2002:Z2065" si="1166">ROUND(Y2002/V2002*100,2)</f>
        <v>#DIV/0!</v>
      </c>
      <c r="AA2002" s="18">
        <f t="shared" si="1148"/>
        <v>0</v>
      </c>
      <c r="AB2002" s="18">
        <v>0</v>
      </c>
      <c r="AC2002" s="18"/>
      <c r="AD2002" s="18"/>
      <c r="AE2002" s="18">
        <f t="shared" si="1153"/>
        <v>0</v>
      </c>
      <c r="AF2002" s="18">
        <v>0</v>
      </c>
      <c r="AG2002" s="18">
        <v>0</v>
      </c>
      <c r="AH2002" s="18">
        <v>0</v>
      </c>
      <c r="AI2002" s="18">
        <v>0</v>
      </c>
      <c r="AJ2002" s="162" t="b">
        <f t="shared" si="1162"/>
        <v>0</v>
      </c>
      <c r="AK2002" s="162" t="str">
        <f t="shared" si="1163"/>
        <v>PUNO</v>
      </c>
      <c r="AM2002" s="164"/>
    </row>
    <row r="2003" spans="1:39" s="171" customFormat="1" ht="31.5" x14ac:dyDescent="0.2">
      <c r="A2003" s="259"/>
      <c r="B2003" s="168"/>
      <c r="C2003" s="168"/>
      <c r="D2003" s="168"/>
      <c r="E2003" s="168"/>
      <c r="F2003" s="168"/>
      <c r="G2003" s="219"/>
      <c r="H2003" s="13" t="s">
        <v>451</v>
      </c>
      <c r="I2003" s="169">
        <f>I2005</f>
        <v>188000</v>
      </c>
      <c r="J2003" s="169">
        <f>J2005</f>
        <v>59040</v>
      </c>
      <c r="K2003" s="169">
        <f>ROUND(J2003/I2003*100,2)</f>
        <v>31.4</v>
      </c>
      <c r="L2003" s="169">
        <f>M2003-I2003</f>
        <v>-12050.410000000003</v>
      </c>
      <c r="M2003" s="19">
        <f>M2005</f>
        <v>175949.59</v>
      </c>
      <c r="N2003" s="19">
        <f>N2005</f>
        <v>149000</v>
      </c>
      <c r="O2003" s="19">
        <f>O2005</f>
        <v>39787.08</v>
      </c>
      <c r="P2003" s="303">
        <f>T2003-N2003</f>
        <v>0</v>
      </c>
      <c r="Q2003" s="19">
        <f t="shared" ref="Q2003:X2003" si="1167">Q2005</f>
        <v>149000</v>
      </c>
      <c r="R2003" s="19">
        <f t="shared" si="1167"/>
        <v>500000</v>
      </c>
      <c r="S2003" s="19">
        <f t="shared" si="1167"/>
        <v>700000</v>
      </c>
      <c r="T2003" s="53">
        <f t="shared" si="1167"/>
        <v>149000</v>
      </c>
      <c r="U2003" s="53">
        <f>U2005</f>
        <v>103297.57</v>
      </c>
      <c r="V2003" s="19">
        <f t="shared" si="1167"/>
        <v>100000</v>
      </c>
      <c r="W2003" s="19">
        <f t="shared" si="1167"/>
        <v>0</v>
      </c>
      <c r="X2003" s="19">
        <f t="shared" si="1167"/>
        <v>0</v>
      </c>
      <c r="Y2003" s="19">
        <f>Y2005</f>
        <v>49182.82</v>
      </c>
      <c r="Z2003" s="19">
        <f t="shared" si="1166"/>
        <v>49.18</v>
      </c>
      <c r="AA2003" s="19">
        <f t="shared" si="1148"/>
        <v>25000</v>
      </c>
      <c r="AB2003" s="19">
        <f>AB2005</f>
        <v>125000</v>
      </c>
      <c r="AC2003" s="19">
        <f>AC2005</f>
        <v>49182.82</v>
      </c>
      <c r="AD2003" s="19">
        <f t="shared" si="1149"/>
        <v>39.346256000000004</v>
      </c>
      <c r="AE2003" s="19">
        <f t="shared" si="1153"/>
        <v>0</v>
      </c>
      <c r="AF2003" s="19">
        <f>AF2005</f>
        <v>125000</v>
      </c>
      <c r="AG2003" s="19">
        <f>AG2005</f>
        <v>30000</v>
      </c>
      <c r="AH2003" s="19">
        <f>AH2005</f>
        <v>0</v>
      </c>
      <c r="AI2003" s="19">
        <f>AI2005</f>
        <v>0</v>
      </c>
      <c r="AJ2003" s="162" t="b">
        <f t="shared" si="1162"/>
        <v>1</v>
      </c>
      <c r="AK2003" s="162" t="str">
        <f t="shared" si="1163"/>
        <v>PRAZNO</v>
      </c>
      <c r="AL2003" s="170"/>
      <c r="AM2003" s="164"/>
    </row>
    <row r="2004" spans="1:39" s="264" customFormat="1" ht="15.75" x14ac:dyDescent="0.2">
      <c r="A2004" s="259"/>
      <c r="B2004" s="260"/>
      <c r="C2004" s="260"/>
      <c r="D2004" s="260"/>
      <c r="E2004" s="260"/>
      <c r="F2004" s="260"/>
      <c r="G2004" s="265"/>
      <c r="H2004" s="440" t="s">
        <v>824</v>
      </c>
      <c r="I2004" s="181"/>
      <c r="J2004" s="181"/>
      <c r="K2004" s="181"/>
      <c r="L2004" s="181"/>
      <c r="M2004" s="262"/>
      <c r="N2004" s="262"/>
      <c r="O2004" s="262"/>
      <c r="P2004" s="445"/>
      <c r="Q2004" s="262"/>
      <c r="R2004" s="262"/>
      <c r="S2004" s="262"/>
      <c r="T2004" s="342"/>
      <c r="U2004" s="342"/>
      <c r="V2004" s="262">
        <f>V2005</f>
        <v>100000</v>
      </c>
      <c r="W2004" s="262">
        <f>W2005</f>
        <v>0</v>
      </c>
      <c r="X2004" s="262">
        <f>X2005</f>
        <v>0</v>
      </c>
      <c r="Y2004" s="262">
        <f>Y2005</f>
        <v>49182.82</v>
      </c>
      <c r="Z2004" s="262">
        <f t="shared" si="1166"/>
        <v>49.18</v>
      </c>
      <c r="AA2004" s="262">
        <f t="shared" si="1148"/>
        <v>25000</v>
      </c>
      <c r="AB2004" s="262">
        <f>AB2005</f>
        <v>125000</v>
      </c>
      <c r="AC2004" s="262">
        <f>AC2005</f>
        <v>49182.82</v>
      </c>
      <c r="AD2004" s="262">
        <f t="shared" si="1149"/>
        <v>39.346256000000004</v>
      </c>
      <c r="AE2004" s="262">
        <f t="shared" si="1153"/>
        <v>0</v>
      </c>
      <c r="AF2004" s="262">
        <f>AF2005</f>
        <v>125000</v>
      </c>
      <c r="AG2004" s="262">
        <f>AG2005</f>
        <v>30000</v>
      </c>
      <c r="AH2004" s="262">
        <f>AH2005</f>
        <v>0</v>
      </c>
      <c r="AI2004" s="262">
        <f>AI2005</f>
        <v>0</v>
      </c>
      <c r="AJ2004" s="162" t="b">
        <f t="shared" si="1162"/>
        <v>1</v>
      </c>
      <c r="AK2004" s="162" t="str">
        <f t="shared" si="1163"/>
        <v>PRAZNO</v>
      </c>
      <c r="AL2004" s="263"/>
    </row>
    <row r="2005" spans="1:39" s="174" customFormat="1" ht="15.75" x14ac:dyDescent="0.2">
      <c r="A2005" s="259"/>
      <c r="B2005" s="172">
        <v>4</v>
      </c>
      <c r="C2005" s="172"/>
      <c r="D2005" s="172"/>
      <c r="E2005" s="172"/>
      <c r="F2005" s="172"/>
      <c r="G2005" s="172"/>
      <c r="H2005" s="14" t="s">
        <v>552</v>
      </c>
      <c r="I2005" s="20">
        <f t="shared" ref="I2005:AI2006" si="1168">I2006</f>
        <v>188000</v>
      </c>
      <c r="J2005" s="20">
        <f t="shared" si="1168"/>
        <v>59040</v>
      </c>
      <c r="K2005" s="20">
        <f>ROUND(J2005/I2005*100,2)</f>
        <v>31.4</v>
      </c>
      <c r="L2005" s="20">
        <f>M2005-I2005</f>
        <v>-12050.410000000003</v>
      </c>
      <c r="M2005" s="20">
        <f t="shared" si="1168"/>
        <v>175949.59</v>
      </c>
      <c r="N2005" s="20">
        <f t="shared" si="1168"/>
        <v>149000</v>
      </c>
      <c r="O2005" s="20">
        <f t="shared" si="1168"/>
        <v>39787.08</v>
      </c>
      <c r="P2005" s="55">
        <f t="shared" ref="P2005:P2010" si="1169">T2005-N2005</f>
        <v>0</v>
      </c>
      <c r="Q2005" s="20">
        <f t="shared" si="1168"/>
        <v>149000</v>
      </c>
      <c r="R2005" s="20">
        <f t="shared" si="1168"/>
        <v>500000</v>
      </c>
      <c r="S2005" s="20">
        <f t="shared" si="1168"/>
        <v>700000</v>
      </c>
      <c r="T2005" s="55">
        <f t="shared" si="1168"/>
        <v>149000</v>
      </c>
      <c r="U2005" s="55">
        <f t="shared" si="1168"/>
        <v>103297.57</v>
      </c>
      <c r="V2005" s="20">
        <f t="shared" si="1168"/>
        <v>100000</v>
      </c>
      <c r="W2005" s="20">
        <f t="shared" si="1168"/>
        <v>0</v>
      </c>
      <c r="X2005" s="20">
        <f t="shared" si="1168"/>
        <v>0</v>
      </c>
      <c r="Y2005" s="20">
        <f t="shared" si="1168"/>
        <v>49182.82</v>
      </c>
      <c r="Z2005" s="20">
        <f t="shared" si="1166"/>
        <v>49.18</v>
      </c>
      <c r="AA2005" s="20">
        <f t="shared" ref="AA2005:AA2068" si="1170">AB2005-V2005</f>
        <v>25000</v>
      </c>
      <c r="AB2005" s="20">
        <f t="shared" si="1168"/>
        <v>125000</v>
      </c>
      <c r="AC2005" s="20">
        <f t="shared" si="1168"/>
        <v>49182.82</v>
      </c>
      <c r="AD2005" s="20">
        <f t="shared" si="1149"/>
        <v>39.346256000000004</v>
      </c>
      <c r="AE2005" s="20">
        <f t="shared" si="1153"/>
        <v>0</v>
      </c>
      <c r="AF2005" s="20">
        <f t="shared" si="1168"/>
        <v>125000</v>
      </c>
      <c r="AG2005" s="20">
        <f t="shared" si="1168"/>
        <v>30000</v>
      </c>
      <c r="AH2005" s="20">
        <f t="shared" si="1168"/>
        <v>0</v>
      </c>
      <c r="AI2005" s="20">
        <f t="shared" si="1168"/>
        <v>0</v>
      </c>
      <c r="AJ2005" s="162" t="b">
        <f t="shared" si="1162"/>
        <v>1</v>
      </c>
      <c r="AK2005" s="162" t="str">
        <f t="shared" si="1163"/>
        <v>PRAZNO</v>
      </c>
      <c r="AL2005" s="173"/>
      <c r="AM2005" s="164"/>
    </row>
    <row r="2006" spans="1:39" s="644" customFormat="1" ht="15.75" x14ac:dyDescent="0.2">
      <c r="A2006" s="633"/>
      <c r="B2006" s="175"/>
      <c r="C2006" s="175">
        <v>42</v>
      </c>
      <c r="D2006" s="175"/>
      <c r="E2006" s="175"/>
      <c r="F2006" s="640"/>
      <c r="G2006" s="640"/>
      <c r="H2006" s="42" t="s">
        <v>212</v>
      </c>
      <c r="I2006" s="22">
        <f t="shared" si="1168"/>
        <v>188000</v>
      </c>
      <c r="J2006" s="22">
        <f t="shared" si="1168"/>
        <v>59040</v>
      </c>
      <c r="K2006" s="22">
        <f>ROUND(J2006/I2006*100,2)</f>
        <v>31.4</v>
      </c>
      <c r="L2006" s="22">
        <f>M2006-I2006</f>
        <v>-12050.410000000003</v>
      </c>
      <c r="M2006" s="22">
        <f t="shared" si="1168"/>
        <v>175949.59</v>
      </c>
      <c r="N2006" s="22">
        <f t="shared" si="1168"/>
        <v>149000</v>
      </c>
      <c r="O2006" s="22">
        <f t="shared" si="1168"/>
        <v>39787.08</v>
      </c>
      <c r="P2006" s="38">
        <f t="shared" si="1169"/>
        <v>0</v>
      </c>
      <c r="Q2006" s="22">
        <f t="shared" si="1168"/>
        <v>149000</v>
      </c>
      <c r="R2006" s="22">
        <f t="shared" si="1168"/>
        <v>500000</v>
      </c>
      <c r="S2006" s="22">
        <f t="shared" si="1168"/>
        <v>700000</v>
      </c>
      <c r="T2006" s="38">
        <f t="shared" si="1168"/>
        <v>149000</v>
      </c>
      <c r="U2006" s="38">
        <f t="shared" si="1168"/>
        <v>103297.57</v>
      </c>
      <c r="V2006" s="22">
        <f t="shared" si="1168"/>
        <v>100000</v>
      </c>
      <c r="W2006" s="22">
        <f t="shared" si="1168"/>
        <v>0</v>
      </c>
      <c r="X2006" s="22">
        <f t="shared" si="1168"/>
        <v>0</v>
      </c>
      <c r="Y2006" s="22">
        <f t="shared" si="1168"/>
        <v>49182.82</v>
      </c>
      <c r="Z2006" s="22">
        <f t="shared" si="1166"/>
        <v>49.18</v>
      </c>
      <c r="AA2006" s="22">
        <f t="shared" si="1170"/>
        <v>25000</v>
      </c>
      <c r="AB2006" s="22">
        <f t="shared" si="1168"/>
        <v>125000</v>
      </c>
      <c r="AC2006" s="22">
        <f t="shared" si="1168"/>
        <v>49182.82</v>
      </c>
      <c r="AD2006" s="22">
        <f t="shared" si="1149"/>
        <v>39.346256000000004</v>
      </c>
      <c r="AE2006" s="22">
        <f t="shared" si="1153"/>
        <v>0</v>
      </c>
      <c r="AF2006" s="22">
        <f t="shared" si="1168"/>
        <v>125000</v>
      </c>
      <c r="AG2006" s="22">
        <f t="shared" si="1168"/>
        <v>30000</v>
      </c>
      <c r="AH2006" s="22">
        <f t="shared" si="1168"/>
        <v>0</v>
      </c>
      <c r="AI2006" s="22">
        <f t="shared" si="1168"/>
        <v>0</v>
      </c>
      <c r="AJ2006" s="162" t="b">
        <f t="shared" si="1162"/>
        <v>1</v>
      </c>
      <c r="AK2006" s="162" t="str">
        <f t="shared" si="1163"/>
        <v>PRAZNO</v>
      </c>
      <c r="AL2006" s="643"/>
      <c r="AM2006" s="647"/>
    </row>
    <row r="2007" spans="1:39" ht="15.75" x14ac:dyDescent="0.2">
      <c r="B2007" s="177"/>
      <c r="C2007" s="177"/>
      <c r="D2007" s="177">
        <v>421</v>
      </c>
      <c r="E2007" s="177"/>
      <c r="F2007" s="176"/>
      <c r="G2007" s="176"/>
      <c r="H2007" s="41" t="s">
        <v>759</v>
      </c>
      <c r="I2007" s="17">
        <f>I2009</f>
        <v>188000</v>
      </c>
      <c r="J2007" s="17">
        <f>J2009</f>
        <v>59040</v>
      </c>
      <c r="K2007" s="17">
        <f>ROUND(J2007/I2007*100,2)</f>
        <v>31.4</v>
      </c>
      <c r="L2007" s="17">
        <f>M2007-I2007</f>
        <v>-12050.410000000003</v>
      </c>
      <c r="M2007" s="17">
        <f>M2009</f>
        <v>175949.59</v>
      </c>
      <c r="N2007" s="17">
        <f>N2009+N2008</f>
        <v>149000</v>
      </c>
      <c r="O2007" s="17">
        <f>O2008</f>
        <v>39787.08</v>
      </c>
      <c r="P2007" s="26">
        <f t="shared" si="1169"/>
        <v>0</v>
      </c>
      <c r="Q2007" s="17">
        <f t="shared" ref="Q2007:X2007" si="1171">Q2009+Q2008</f>
        <v>149000</v>
      </c>
      <c r="R2007" s="17">
        <f t="shared" si="1171"/>
        <v>500000</v>
      </c>
      <c r="S2007" s="17">
        <f t="shared" si="1171"/>
        <v>700000</v>
      </c>
      <c r="T2007" s="26">
        <f t="shared" si="1171"/>
        <v>149000</v>
      </c>
      <c r="U2007" s="26">
        <f>U2009+U2008</f>
        <v>103297.57</v>
      </c>
      <c r="V2007" s="17">
        <f t="shared" si="1171"/>
        <v>100000</v>
      </c>
      <c r="W2007" s="17">
        <f t="shared" si="1171"/>
        <v>0</v>
      </c>
      <c r="X2007" s="17">
        <f t="shared" si="1171"/>
        <v>0</v>
      </c>
      <c r="Y2007" s="17">
        <f>Y2009+Y2008</f>
        <v>49182.82</v>
      </c>
      <c r="Z2007" s="17">
        <f t="shared" si="1166"/>
        <v>49.18</v>
      </c>
      <c r="AA2007" s="17">
        <f t="shared" si="1170"/>
        <v>25000</v>
      </c>
      <c r="AB2007" s="17">
        <f>AB2009+AB2008</f>
        <v>125000</v>
      </c>
      <c r="AC2007" s="17">
        <f>AC2009+AC2008</f>
        <v>49182.82</v>
      </c>
      <c r="AD2007" s="17">
        <f t="shared" si="1149"/>
        <v>39.346256000000004</v>
      </c>
      <c r="AE2007" s="17">
        <f t="shared" si="1153"/>
        <v>0</v>
      </c>
      <c r="AF2007" s="17">
        <f>AF2009+AF2008</f>
        <v>125000</v>
      </c>
      <c r="AG2007" s="17">
        <f>AG2009+AG2008</f>
        <v>30000</v>
      </c>
      <c r="AH2007" s="17">
        <f>AH2009+AH2008</f>
        <v>0</v>
      </c>
      <c r="AI2007" s="17">
        <f>AI2009+AI2008</f>
        <v>0</v>
      </c>
      <c r="AJ2007" s="162" t="b">
        <f t="shared" si="1162"/>
        <v>1</v>
      </c>
      <c r="AK2007" s="162" t="str">
        <f t="shared" si="1163"/>
        <v>PRAZNO</v>
      </c>
      <c r="AM2007" s="164"/>
    </row>
    <row r="2008" spans="1:39" ht="30" x14ac:dyDescent="0.2">
      <c r="B2008" s="177"/>
      <c r="C2008" s="177"/>
      <c r="D2008" s="177"/>
      <c r="E2008" s="177">
        <v>4212</v>
      </c>
      <c r="F2008" s="176">
        <v>14</v>
      </c>
      <c r="G2008" s="176"/>
      <c r="H2008" s="41" t="s">
        <v>757</v>
      </c>
      <c r="I2008" s="17"/>
      <c r="J2008" s="17"/>
      <c r="K2008" s="17"/>
      <c r="L2008" s="17"/>
      <c r="M2008" s="17"/>
      <c r="N2008" s="17">
        <v>149000</v>
      </c>
      <c r="O2008" s="17">
        <v>39787.08</v>
      </c>
      <c r="P2008" s="26">
        <f t="shared" si="1169"/>
        <v>0</v>
      </c>
      <c r="Q2008" s="17">
        <v>149000</v>
      </c>
      <c r="R2008" s="17">
        <v>500000</v>
      </c>
      <c r="S2008" s="17">
        <f>500000+200000</f>
        <v>700000</v>
      </c>
      <c r="T2008" s="26">
        <v>149000</v>
      </c>
      <c r="U2008" s="26">
        <v>103297.57</v>
      </c>
      <c r="V2008" s="17">
        <v>100000</v>
      </c>
      <c r="W2008" s="17">
        <v>0</v>
      </c>
      <c r="X2008" s="17">
        <v>0</v>
      </c>
      <c r="Y2008" s="17">
        <v>49182.82</v>
      </c>
      <c r="Z2008" s="17">
        <f t="shared" si="1166"/>
        <v>49.18</v>
      </c>
      <c r="AA2008" s="17">
        <f t="shared" si="1170"/>
        <v>25000</v>
      </c>
      <c r="AB2008" s="17">
        <v>125000</v>
      </c>
      <c r="AC2008" s="17">
        <v>49182.82</v>
      </c>
      <c r="AD2008" s="17">
        <f t="shared" si="1149"/>
        <v>39.346256000000004</v>
      </c>
      <c r="AE2008" s="17">
        <f t="shared" si="1153"/>
        <v>0</v>
      </c>
      <c r="AF2008" s="17">
        <v>125000</v>
      </c>
      <c r="AG2008" s="17">
        <v>30000</v>
      </c>
      <c r="AH2008" s="17">
        <v>0</v>
      </c>
      <c r="AI2008" s="17">
        <v>0</v>
      </c>
      <c r="AJ2008" s="162" t="b">
        <f t="shared" si="1162"/>
        <v>0</v>
      </c>
      <c r="AK2008" s="162" t="str">
        <f t="shared" si="1163"/>
        <v>PUNO</v>
      </c>
      <c r="AM2008" s="164"/>
    </row>
    <row r="2009" spans="1:39" ht="30" x14ac:dyDescent="0.2">
      <c r="B2009" s="177"/>
      <c r="C2009" s="177"/>
      <c r="D2009" s="177"/>
      <c r="E2009" s="177">
        <v>4212</v>
      </c>
      <c r="F2009" s="176">
        <v>81</v>
      </c>
      <c r="G2009" s="176"/>
      <c r="H2009" s="41" t="s">
        <v>452</v>
      </c>
      <c r="I2009" s="17">
        <v>188000</v>
      </c>
      <c r="J2009" s="17">
        <v>59040</v>
      </c>
      <c r="K2009" s="17">
        <f>ROUND(J2009/I2009*100,2)</f>
        <v>31.4</v>
      </c>
      <c r="L2009" s="17">
        <f>M2009-I2009</f>
        <v>-12050.410000000003</v>
      </c>
      <c r="M2009" s="17">
        <v>175949.59</v>
      </c>
      <c r="N2009" s="17"/>
      <c r="O2009" s="17"/>
      <c r="P2009" s="26">
        <f t="shared" si="1169"/>
        <v>0</v>
      </c>
      <c r="Q2009" s="17"/>
      <c r="R2009" s="17"/>
      <c r="S2009" s="17"/>
      <c r="T2009" s="26"/>
      <c r="U2009" s="26"/>
      <c r="V2009" s="17"/>
      <c r="W2009" s="17"/>
      <c r="X2009" s="17"/>
      <c r="Y2009" s="17"/>
      <c r="Z2009" s="17" t="e">
        <f t="shared" si="1166"/>
        <v>#DIV/0!</v>
      </c>
      <c r="AA2009" s="17">
        <f t="shared" si="1170"/>
        <v>0</v>
      </c>
      <c r="AB2009" s="17"/>
      <c r="AC2009" s="17"/>
      <c r="AD2009" s="17"/>
      <c r="AE2009" s="17">
        <f t="shared" si="1153"/>
        <v>0</v>
      </c>
      <c r="AF2009" s="17"/>
      <c r="AG2009" s="17"/>
      <c r="AH2009" s="17"/>
      <c r="AI2009" s="17"/>
      <c r="AJ2009" s="162" t="b">
        <f t="shared" si="1162"/>
        <v>0</v>
      </c>
      <c r="AK2009" s="162" t="str">
        <f t="shared" si="1163"/>
        <v>PUNO</v>
      </c>
      <c r="AM2009" s="164"/>
    </row>
    <row r="2010" spans="1:39" s="171" customFormat="1" ht="15.75" x14ac:dyDescent="0.2">
      <c r="A2010" s="259"/>
      <c r="B2010" s="168"/>
      <c r="C2010" s="168"/>
      <c r="D2010" s="168"/>
      <c r="E2010" s="168"/>
      <c r="F2010" s="168"/>
      <c r="G2010" s="168"/>
      <c r="H2010" s="13" t="s">
        <v>45</v>
      </c>
      <c r="I2010" s="169" t="e">
        <f>I2038</f>
        <v>#REF!</v>
      </c>
      <c r="J2010" s="169" t="e">
        <f>J2038</f>
        <v>#REF!</v>
      </c>
      <c r="K2010" s="169" t="e">
        <f>ROUND(J2010/I2010*100,2)</f>
        <v>#REF!</v>
      </c>
      <c r="L2010" s="169" t="e">
        <f>M2010-I2010</f>
        <v>#REF!</v>
      </c>
      <c r="M2010" s="19" t="e">
        <f>M2038</f>
        <v>#REF!</v>
      </c>
      <c r="N2010" s="19" t="e">
        <f>N2038</f>
        <v>#REF!</v>
      </c>
      <c r="O2010" s="19" t="e">
        <f>O2038</f>
        <v>#REF!</v>
      </c>
      <c r="P2010" s="303" t="e">
        <f t="shared" si="1169"/>
        <v>#REF!</v>
      </c>
      <c r="Q2010" s="19" t="e">
        <f>Q2038</f>
        <v>#REF!</v>
      </c>
      <c r="R2010" s="19" t="e">
        <f>R2038</f>
        <v>#REF!</v>
      </c>
      <c r="S2010" s="19" t="e">
        <f>S2038</f>
        <v>#REF!</v>
      </c>
      <c r="T2010" s="19">
        <f t="shared" ref="T2010:Y2010" si="1172">T2038+T2012</f>
        <v>173400</v>
      </c>
      <c r="U2010" s="19">
        <f>U2011+U2018+U2025</f>
        <v>236401.68000000002</v>
      </c>
      <c r="V2010" s="19">
        <f t="shared" si="1172"/>
        <v>276000</v>
      </c>
      <c r="W2010" s="19" t="e">
        <f t="shared" si="1172"/>
        <v>#REF!</v>
      </c>
      <c r="X2010" s="19" t="e">
        <f t="shared" si="1172"/>
        <v>#REF!</v>
      </c>
      <c r="Y2010" s="19">
        <f t="shared" si="1172"/>
        <v>75722.709999999992</v>
      </c>
      <c r="Z2010" s="19">
        <f t="shared" si="1166"/>
        <v>27.44</v>
      </c>
      <c r="AA2010" s="19">
        <f t="shared" si="1170"/>
        <v>26500</v>
      </c>
      <c r="AB2010" s="19">
        <f>AB2038+AB2012</f>
        <v>302500</v>
      </c>
      <c r="AC2010" s="19">
        <f>AC2038+AC2012</f>
        <v>85701.459999999992</v>
      </c>
      <c r="AD2010" s="19">
        <f t="shared" si="1149"/>
        <v>28.331061157024788</v>
      </c>
      <c r="AE2010" s="19">
        <f t="shared" si="1153"/>
        <v>27100</v>
      </c>
      <c r="AF2010" s="19">
        <f>AF2038+AF2012</f>
        <v>329600</v>
      </c>
      <c r="AG2010" s="19">
        <f>AG2038+AG2012</f>
        <v>193600</v>
      </c>
      <c r="AH2010" s="19">
        <f>AH2038+AH2012</f>
        <v>222000</v>
      </c>
      <c r="AI2010" s="19">
        <f>AI2038+AI2012</f>
        <v>234000</v>
      </c>
      <c r="AJ2010" s="162" t="b">
        <f t="shared" si="1162"/>
        <v>1</v>
      </c>
      <c r="AK2010" s="162" t="str">
        <f t="shared" si="1163"/>
        <v>PRAZNO</v>
      </c>
      <c r="AL2010" s="218"/>
      <c r="AM2010" s="164"/>
    </row>
    <row r="2011" spans="1:39" s="447" customFormat="1" ht="15.75" x14ac:dyDescent="0.25">
      <c r="A2011" s="378"/>
      <c r="B2011" s="260"/>
      <c r="C2011" s="260"/>
      <c r="D2011" s="260"/>
      <c r="E2011" s="260"/>
      <c r="F2011" s="260"/>
      <c r="G2011" s="260"/>
      <c r="H2011" s="440" t="s">
        <v>15</v>
      </c>
      <c r="I2011" s="262"/>
      <c r="J2011" s="262"/>
      <c r="K2011" s="262"/>
      <c r="L2011" s="262"/>
      <c r="M2011" s="262"/>
      <c r="N2011" s="262"/>
      <c r="O2011" s="262"/>
      <c r="P2011" s="445"/>
      <c r="Q2011" s="262"/>
      <c r="R2011" s="262"/>
      <c r="S2011" s="262"/>
      <c r="T2011" s="342"/>
      <c r="U2011" s="342"/>
      <c r="V2011" s="262">
        <f>V2012</f>
        <v>47000</v>
      </c>
      <c r="W2011" s="262">
        <f t="shared" ref="W2011:X2013" si="1173">W2012</f>
        <v>46000</v>
      </c>
      <c r="X2011" s="262">
        <f t="shared" si="1173"/>
        <v>48000</v>
      </c>
      <c r="Y2011" s="262">
        <f>Y2012</f>
        <v>28087.510000000002</v>
      </c>
      <c r="Z2011" s="262">
        <f t="shared" si="1166"/>
        <v>59.76</v>
      </c>
      <c r="AA2011" s="262">
        <f t="shared" si="1170"/>
        <v>-2000</v>
      </c>
      <c r="AB2011" s="262">
        <f t="shared" ref="AB2011:AI2013" si="1174">AB2012</f>
        <v>45000</v>
      </c>
      <c r="AC2011" s="262">
        <f t="shared" si="1174"/>
        <v>34173.279999999999</v>
      </c>
      <c r="AD2011" s="262">
        <f t="shared" si="1149"/>
        <v>75.940622222222217</v>
      </c>
      <c r="AE2011" s="262">
        <f t="shared" si="1153"/>
        <v>1500</v>
      </c>
      <c r="AF2011" s="262">
        <f t="shared" si="1174"/>
        <v>46500</v>
      </c>
      <c r="AG2011" s="262">
        <f t="shared" si="1174"/>
        <v>45000</v>
      </c>
      <c r="AH2011" s="262">
        <f t="shared" si="1174"/>
        <v>45000</v>
      </c>
      <c r="AI2011" s="262">
        <f t="shared" si="1174"/>
        <v>45000</v>
      </c>
      <c r="AJ2011" s="162" t="b">
        <f t="shared" si="1162"/>
        <v>1</v>
      </c>
      <c r="AK2011" s="162" t="str">
        <f t="shared" si="1163"/>
        <v>PRAZNO</v>
      </c>
      <c r="AL2011" s="488"/>
    </row>
    <row r="2012" spans="1:39" s="174" customFormat="1" ht="15.75" x14ac:dyDescent="0.2">
      <c r="A2012" s="259"/>
      <c r="B2012" s="172">
        <v>4</v>
      </c>
      <c r="C2012" s="172"/>
      <c r="D2012" s="172"/>
      <c r="E2012" s="172"/>
      <c r="F2012" s="172"/>
      <c r="G2012" s="172"/>
      <c r="H2012" s="36" t="s">
        <v>552</v>
      </c>
      <c r="I2012" s="20"/>
      <c r="J2012" s="20"/>
      <c r="K2012" s="20"/>
      <c r="L2012" s="20"/>
      <c r="M2012" s="20"/>
      <c r="N2012" s="20"/>
      <c r="O2012" s="20"/>
      <c r="P2012" s="54"/>
      <c r="Q2012" s="20"/>
      <c r="R2012" s="20"/>
      <c r="S2012" s="20"/>
      <c r="T2012" s="55"/>
      <c r="U2012" s="55"/>
      <c r="V2012" s="20">
        <f>V2013</f>
        <v>47000</v>
      </c>
      <c r="W2012" s="20">
        <f t="shared" si="1173"/>
        <v>46000</v>
      </c>
      <c r="X2012" s="20">
        <f t="shared" si="1173"/>
        <v>48000</v>
      </c>
      <c r="Y2012" s="20">
        <f>Y2013</f>
        <v>28087.510000000002</v>
      </c>
      <c r="Z2012" s="20">
        <f t="shared" si="1166"/>
        <v>59.76</v>
      </c>
      <c r="AA2012" s="20">
        <f t="shared" si="1170"/>
        <v>-2000</v>
      </c>
      <c r="AB2012" s="20">
        <f t="shared" si="1174"/>
        <v>45000</v>
      </c>
      <c r="AC2012" s="20">
        <f t="shared" si="1174"/>
        <v>34173.279999999999</v>
      </c>
      <c r="AD2012" s="20">
        <f t="shared" si="1149"/>
        <v>75.940622222222217</v>
      </c>
      <c r="AE2012" s="20">
        <f t="shared" si="1153"/>
        <v>1500</v>
      </c>
      <c r="AF2012" s="20">
        <f t="shared" si="1174"/>
        <v>46500</v>
      </c>
      <c r="AG2012" s="20">
        <f t="shared" si="1174"/>
        <v>45000</v>
      </c>
      <c r="AH2012" s="20">
        <f t="shared" si="1174"/>
        <v>45000</v>
      </c>
      <c r="AI2012" s="20">
        <f t="shared" si="1174"/>
        <v>45000</v>
      </c>
      <c r="AJ2012" s="162" t="b">
        <f t="shared" si="1162"/>
        <v>1</v>
      </c>
      <c r="AK2012" s="162" t="str">
        <f t="shared" si="1163"/>
        <v>PRAZNO</v>
      </c>
      <c r="AL2012" s="487"/>
    </row>
    <row r="2013" spans="1:39" s="638" customFormat="1" ht="15.75" x14ac:dyDescent="0.2">
      <c r="A2013" s="633"/>
      <c r="B2013" s="175"/>
      <c r="C2013" s="175">
        <v>42</v>
      </c>
      <c r="D2013" s="175"/>
      <c r="E2013" s="175"/>
      <c r="F2013" s="175"/>
      <c r="G2013" s="175"/>
      <c r="H2013" s="39" t="s">
        <v>212</v>
      </c>
      <c r="I2013" s="183"/>
      <c r="J2013" s="183"/>
      <c r="K2013" s="183"/>
      <c r="L2013" s="183"/>
      <c r="M2013" s="183"/>
      <c r="N2013" s="183"/>
      <c r="O2013" s="183"/>
      <c r="P2013" s="341"/>
      <c r="Q2013" s="183"/>
      <c r="R2013" s="183"/>
      <c r="S2013" s="183"/>
      <c r="T2013" s="340"/>
      <c r="U2013" s="340"/>
      <c r="V2013" s="183">
        <f>V2014</f>
        <v>47000</v>
      </c>
      <c r="W2013" s="183">
        <f t="shared" si="1173"/>
        <v>46000</v>
      </c>
      <c r="X2013" s="183">
        <f t="shared" si="1173"/>
        <v>48000</v>
      </c>
      <c r="Y2013" s="183">
        <f>Y2014</f>
        <v>28087.510000000002</v>
      </c>
      <c r="Z2013" s="183">
        <f t="shared" si="1166"/>
        <v>59.76</v>
      </c>
      <c r="AA2013" s="183">
        <f t="shared" si="1170"/>
        <v>-2000</v>
      </c>
      <c r="AB2013" s="183">
        <f t="shared" si="1174"/>
        <v>45000</v>
      </c>
      <c r="AC2013" s="183">
        <f t="shared" si="1174"/>
        <v>34173.279999999999</v>
      </c>
      <c r="AD2013" s="183">
        <f t="shared" si="1149"/>
        <v>75.940622222222217</v>
      </c>
      <c r="AE2013" s="183">
        <f t="shared" si="1153"/>
        <v>1500</v>
      </c>
      <c r="AF2013" s="183">
        <f t="shared" si="1174"/>
        <v>46500</v>
      </c>
      <c r="AG2013" s="183">
        <f t="shared" si="1174"/>
        <v>45000</v>
      </c>
      <c r="AH2013" s="183">
        <f t="shared" si="1174"/>
        <v>45000</v>
      </c>
      <c r="AI2013" s="183">
        <f t="shared" si="1174"/>
        <v>45000</v>
      </c>
      <c r="AJ2013" s="162" t="b">
        <f t="shared" si="1162"/>
        <v>1</v>
      </c>
      <c r="AK2013" s="162" t="str">
        <f t="shared" si="1163"/>
        <v>PRAZNO</v>
      </c>
      <c r="AL2013" s="655"/>
    </row>
    <row r="2014" spans="1:39" s="264" customFormat="1" ht="15.75" x14ac:dyDescent="0.2">
      <c r="A2014" s="259"/>
      <c r="B2014" s="177"/>
      <c r="C2014" s="177"/>
      <c r="D2014" s="177">
        <v>422</v>
      </c>
      <c r="E2014" s="177"/>
      <c r="F2014" s="177"/>
      <c r="G2014" s="177"/>
      <c r="H2014" s="23" t="s">
        <v>555</v>
      </c>
      <c r="I2014" s="181"/>
      <c r="J2014" s="181"/>
      <c r="K2014" s="181"/>
      <c r="L2014" s="181"/>
      <c r="M2014" s="181"/>
      <c r="N2014" s="181"/>
      <c r="O2014" s="181"/>
      <c r="P2014" s="343"/>
      <c r="Q2014" s="181"/>
      <c r="R2014" s="181"/>
      <c r="S2014" s="181"/>
      <c r="T2014" s="307"/>
      <c r="U2014" s="307"/>
      <c r="V2014" s="181">
        <f>SUM(V2015:V2017)</f>
        <v>47000</v>
      </c>
      <c r="W2014" s="181">
        <f>SUM(W2015:W2017)</f>
        <v>46000</v>
      </c>
      <c r="X2014" s="181">
        <f>SUM(X2015:X2017)</f>
        <v>48000</v>
      </c>
      <c r="Y2014" s="181">
        <f>SUM(Y2015:Y2017)</f>
        <v>28087.510000000002</v>
      </c>
      <c r="Z2014" s="181">
        <f t="shared" si="1166"/>
        <v>59.76</v>
      </c>
      <c r="AA2014" s="181">
        <f t="shared" si="1170"/>
        <v>-2000</v>
      </c>
      <c r="AB2014" s="181">
        <f>SUM(AB2015:AB2017)</f>
        <v>45000</v>
      </c>
      <c r="AC2014" s="181">
        <f>SUM(AC2015:AC2017)</f>
        <v>34173.279999999999</v>
      </c>
      <c r="AD2014" s="181">
        <f t="shared" si="1149"/>
        <v>75.940622222222217</v>
      </c>
      <c r="AE2014" s="181">
        <f t="shared" si="1153"/>
        <v>1500</v>
      </c>
      <c r="AF2014" s="181">
        <f>SUM(AF2015:AF2017)</f>
        <v>46500</v>
      </c>
      <c r="AG2014" s="181">
        <f>SUM(AG2015:AG2017)</f>
        <v>45000</v>
      </c>
      <c r="AH2014" s="181">
        <f>SUM(AH2015:AH2017)</f>
        <v>45000</v>
      </c>
      <c r="AI2014" s="181">
        <f>SUM(AI2015:AI2017)</f>
        <v>45000</v>
      </c>
      <c r="AJ2014" s="162" t="b">
        <f t="shared" si="1162"/>
        <v>1</v>
      </c>
      <c r="AK2014" s="162" t="str">
        <f t="shared" si="1163"/>
        <v>PRAZNO</v>
      </c>
      <c r="AL2014" s="486"/>
    </row>
    <row r="2015" spans="1:39" s="164" customFormat="1" ht="15.75" x14ac:dyDescent="0.2">
      <c r="A2015" s="259"/>
      <c r="B2015" s="177"/>
      <c r="C2015" s="177"/>
      <c r="D2015" s="177"/>
      <c r="E2015" s="177">
        <v>4221</v>
      </c>
      <c r="F2015" s="265">
        <v>31</v>
      </c>
      <c r="G2015" s="265"/>
      <c r="H2015" s="16" t="s">
        <v>558</v>
      </c>
      <c r="I2015" s="178"/>
      <c r="J2015" s="178"/>
      <c r="K2015" s="178"/>
      <c r="L2015" s="178"/>
      <c r="M2015" s="178"/>
      <c r="N2015" s="178"/>
      <c r="O2015" s="178"/>
      <c r="P2015" s="307"/>
      <c r="Q2015" s="178"/>
      <c r="R2015" s="178"/>
      <c r="S2015" s="178"/>
      <c r="T2015" s="266"/>
      <c r="U2015" s="266"/>
      <c r="V2015" s="266">
        <v>30000</v>
      </c>
      <c r="W2015" s="266">
        <v>30000</v>
      </c>
      <c r="X2015" s="266">
        <v>30000</v>
      </c>
      <c r="Y2015" s="266">
        <v>19100</v>
      </c>
      <c r="Z2015" s="266">
        <f t="shared" si="1166"/>
        <v>63.67</v>
      </c>
      <c r="AA2015" s="266">
        <f t="shared" si="1170"/>
        <v>0</v>
      </c>
      <c r="AB2015" s="266">
        <v>30000</v>
      </c>
      <c r="AC2015" s="266">
        <v>21499</v>
      </c>
      <c r="AD2015" s="266">
        <f t="shared" si="1149"/>
        <v>71.663333333333341</v>
      </c>
      <c r="AE2015" s="266">
        <f t="shared" si="1153"/>
        <v>1500</v>
      </c>
      <c r="AF2015" s="266">
        <v>31500</v>
      </c>
      <c r="AG2015" s="266">
        <f>10000+25000</f>
        <v>35000</v>
      </c>
      <c r="AH2015" s="266">
        <f>35000</f>
        <v>35000</v>
      </c>
      <c r="AI2015" s="266">
        <v>35000</v>
      </c>
      <c r="AJ2015" s="162" t="b">
        <f t="shared" si="1162"/>
        <v>0</v>
      </c>
      <c r="AK2015" s="162" t="str">
        <f t="shared" si="1163"/>
        <v>PUNO</v>
      </c>
      <c r="AL2015" s="165"/>
    </row>
    <row r="2016" spans="1:39" s="164" customFormat="1" ht="15.75" x14ac:dyDescent="0.2">
      <c r="A2016" s="259"/>
      <c r="B2016" s="177"/>
      <c r="C2016" s="177"/>
      <c r="D2016" s="177"/>
      <c r="E2016" s="177">
        <v>4223</v>
      </c>
      <c r="F2016" s="265">
        <v>31</v>
      </c>
      <c r="G2016" s="265"/>
      <c r="H2016" s="16" t="s">
        <v>628</v>
      </c>
      <c r="I2016" s="178"/>
      <c r="J2016" s="178"/>
      <c r="K2016" s="178"/>
      <c r="L2016" s="178"/>
      <c r="M2016" s="178"/>
      <c r="N2016" s="178"/>
      <c r="O2016" s="178"/>
      <c r="P2016" s="307"/>
      <c r="Q2016" s="178"/>
      <c r="R2016" s="178"/>
      <c r="S2016" s="178"/>
      <c r="T2016" s="266"/>
      <c r="U2016" s="266"/>
      <c r="V2016" s="266">
        <v>7000</v>
      </c>
      <c r="W2016" s="266">
        <v>6000</v>
      </c>
      <c r="X2016" s="266">
        <v>8000</v>
      </c>
      <c r="Y2016" s="266">
        <v>5000</v>
      </c>
      <c r="Z2016" s="266">
        <f t="shared" si="1166"/>
        <v>71.430000000000007</v>
      </c>
      <c r="AA2016" s="266">
        <f t="shared" si="1170"/>
        <v>-2000</v>
      </c>
      <c r="AB2016" s="266">
        <v>5000</v>
      </c>
      <c r="AC2016" s="266">
        <v>5000</v>
      </c>
      <c r="AD2016" s="266">
        <f t="shared" si="1149"/>
        <v>100</v>
      </c>
      <c r="AE2016" s="266">
        <f t="shared" si="1153"/>
        <v>0</v>
      </c>
      <c r="AF2016" s="266">
        <v>5000</v>
      </c>
      <c r="AG2016" s="266">
        <v>0</v>
      </c>
      <c r="AH2016" s="266">
        <v>0</v>
      </c>
      <c r="AI2016" s="266">
        <v>0</v>
      </c>
      <c r="AJ2016" s="162" t="b">
        <f t="shared" si="1162"/>
        <v>0</v>
      </c>
      <c r="AK2016" s="162" t="str">
        <f t="shared" si="1163"/>
        <v>PUNO</v>
      </c>
      <c r="AL2016" s="165"/>
    </row>
    <row r="2017" spans="1:39" s="164" customFormat="1" ht="15.75" x14ac:dyDescent="0.2">
      <c r="A2017" s="259"/>
      <c r="B2017" s="177"/>
      <c r="C2017" s="177"/>
      <c r="D2017" s="177"/>
      <c r="E2017" s="177">
        <v>4227</v>
      </c>
      <c r="F2017" s="265">
        <v>31</v>
      </c>
      <c r="G2017" s="265"/>
      <c r="H2017" s="16" t="s">
        <v>413</v>
      </c>
      <c r="I2017" s="178"/>
      <c r="J2017" s="178"/>
      <c r="K2017" s="178"/>
      <c r="L2017" s="178"/>
      <c r="M2017" s="178"/>
      <c r="N2017" s="178"/>
      <c r="O2017" s="178"/>
      <c r="P2017" s="307"/>
      <c r="Q2017" s="178"/>
      <c r="R2017" s="178"/>
      <c r="S2017" s="178"/>
      <c r="T2017" s="266"/>
      <c r="U2017" s="266"/>
      <c r="V2017" s="266">
        <v>10000</v>
      </c>
      <c r="W2017" s="266">
        <v>10000</v>
      </c>
      <c r="X2017" s="266">
        <v>10000</v>
      </c>
      <c r="Y2017" s="266">
        <v>3987.51</v>
      </c>
      <c r="Z2017" s="266">
        <f t="shared" si="1166"/>
        <v>39.880000000000003</v>
      </c>
      <c r="AA2017" s="266">
        <f t="shared" si="1170"/>
        <v>0</v>
      </c>
      <c r="AB2017" s="266">
        <v>10000</v>
      </c>
      <c r="AC2017" s="266">
        <v>7674.28</v>
      </c>
      <c r="AD2017" s="266">
        <f t="shared" si="1149"/>
        <v>76.742800000000003</v>
      </c>
      <c r="AE2017" s="266">
        <f t="shared" si="1153"/>
        <v>0</v>
      </c>
      <c r="AF2017" s="266">
        <v>10000</v>
      </c>
      <c r="AG2017" s="266">
        <v>10000</v>
      </c>
      <c r="AH2017" s="266">
        <v>10000</v>
      </c>
      <c r="AI2017" s="266">
        <v>10000</v>
      </c>
      <c r="AJ2017" s="162" t="b">
        <f t="shared" si="1162"/>
        <v>0</v>
      </c>
      <c r="AK2017" s="162" t="str">
        <f t="shared" si="1163"/>
        <v>PUNO</v>
      </c>
      <c r="AL2017" s="165"/>
    </row>
    <row r="2018" spans="1:39" s="287" customFormat="1" ht="15.75" x14ac:dyDescent="0.25">
      <c r="A2018" s="378"/>
      <c r="B2018" s="260"/>
      <c r="C2018" s="260"/>
      <c r="D2018" s="260"/>
      <c r="E2018" s="260"/>
      <c r="F2018" s="442"/>
      <c r="G2018" s="442"/>
      <c r="H2018" s="440" t="s">
        <v>943</v>
      </c>
      <c r="I2018" s="443"/>
      <c r="J2018" s="443"/>
      <c r="K2018" s="443"/>
      <c r="L2018" s="443"/>
      <c r="M2018" s="443"/>
      <c r="N2018" s="443"/>
      <c r="O2018" s="443"/>
      <c r="P2018" s="342"/>
      <c r="Q2018" s="443"/>
      <c r="R2018" s="443"/>
      <c r="S2018" s="443"/>
      <c r="T2018" s="444"/>
      <c r="U2018" s="444">
        <f>U2019</f>
        <v>39639.22</v>
      </c>
      <c r="V2018" s="444"/>
      <c r="W2018" s="444"/>
      <c r="X2018" s="444"/>
      <c r="Y2018" s="444"/>
      <c r="Z2018" s="444"/>
      <c r="AA2018" s="444"/>
      <c r="AB2018" s="444"/>
      <c r="AC2018" s="444"/>
      <c r="AD2018" s="444"/>
      <c r="AE2018" s="444"/>
      <c r="AF2018" s="444"/>
      <c r="AG2018" s="444"/>
      <c r="AH2018" s="444"/>
      <c r="AI2018" s="444"/>
      <c r="AJ2018" s="162" t="b">
        <f t="shared" si="1162"/>
        <v>1</v>
      </c>
      <c r="AK2018" s="162" t="str">
        <f t="shared" si="1163"/>
        <v>PRAZNO</v>
      </c>
      <c r="AL2018" s="288"/>
    </row>
    <row r="2019" spans="1:39" s="174" customFormat="1" ht="15.75" x14ac:dyDescent="0.2">
      <c r="A2019" s="259"/>
      <c r="B2019" s="172">
        <v>4</v>
      </c>
      <c r="C2019" s="172"/>
      <c r="D2019" s="172"/>
      <c r="E2019" s="172"/>
      <c r="F2019" s="172"/>
      <c r="G2019" s="172"/>
      <c r="H2019" s="14" t="s">
        <v>552</v>
      </c>
      <c r="I2019" s="20"/>
      <c r="J2019" s="20"/>
      <c r="K2019" s="20"/>
      <c r="L2019" s="20"/>
      <c r="M2019" s="20"/>
      <c r="N2019" s="20"/>
      <c r="O2019" s="20"/>
      <c r="P2019" s="55"/>
      <c r="Q2019" s="20"/>
      <c r="R2019" s="20"/>
      <c r="S2019" s="20"/>
      <c r="T2019" s="20"/>
      <c r="U2019" s="20">
        <f>U2020</f>
        <v>39639.22</v>
      </c>
      <c r="V2019" s="20"/>
      <c r="W2019" s="20"/>
      <c r="X2019" s="20"/>
      <c r="Y2019" s="20"/>
      <c r="Z2019" s="20"/>
      <c r="AA2019" s="20"/>
      <c r="AB2019" s="20"/>
      <c r="AC2019" s="20"/>
      <c r="AD2019" s="20"/>
      <c r="AE2019" s="20"/>
      <c r="AF2019" s="20"/>
      <c r="AG2019" s="20"/>
      <c r="AH2019" s="20"/>
      <c r="AI2019" s="20"/>
      <c r="AJ2019" s="162" t="b">
        <f t="shared" si="1162"/>
        <v>1</v>
      </c>
      <c r="AK2019" s="162" t="str">
        <f t="shared" si="1163"/>
        <v>PRAZNO</v>
      </c>
      <c r="AL2019" s="173"/>
      <c r="AM2019" s="164"/>
    </row>
    <row r="2020" spans="1:39" s="164" customFormat="1" ht="15.75" x14ac:dyDescent="0.2">
      <c r="A2020" s="259"/>
      <c r="B2020" s="177"/>
      <c r="C2020" s="177">
        <v>42</v>
      </c>
      <c r="D2020" s="177"/>
      <c r="E2020" s="177"/>
      <c r="F2020" s="265"/>
      <c r="G2020" s="265"/>
      <c r="H2020" s="16" t="s">
        <v>212</v>
      </c>
      <c r="I2020" s="178"/>
      <c r="J2020" s="178"/>
      <c r="K2020" s="178"/>
      <c r="L2020" s="178"/>
      <c r="M2020" s="178"/>
      <c r="N2020" s="178"/>
      <c r="O2020" s="178"/>
      <c r="P2020" s="307"/>
      <c r="Q2020" s="178"/>
      <c r="R2020" s="178"/>
      <c r="S2020" s="178"/>
      <c r="T2020" s="266"/>
      <c r="U2020" s="266">
        <f>U2021</f>
        <v>39639.22</v>
      </c>
      <c r="V2020" s="266"/>
      <c r="W2020" s="266"/>
      <c r="X2020" s="266"/>
      <c r="Y2020" s="266"/>
      <c r="Z2020" s="266"/>
      <c r="AA2020" s="266"/>
      <c r="AB2020" s="266"/>
      <c r="AC2020" s="266"/>
      <c r="AD2020" s="266"/>
      <c r="AE2020" s="266"/>
      <c r="AF2020" s="266"/>
      <c r="AG2020" s="266"/>
      <c r="AH2020" s="266"/>
      <c r="AI2020" s="266"/>
      <c r="AJ2020" s="162" t="b">
        <f t="shared" si="1162"/>
        <v>1</v>
      </c>
      <c r="AK2020" s="162" t="str">
        <f t="shared" si="1163"/>
        <v>PRAZNO</v>
      </c>
      <c r="AL2020" s="165"/>
    </row>
    <row r="2021" spans="1:39" s="164" customFormat="1" ht="15.75" x14ac:dyDescent="0.2">
      <c r="A2021" s="259"/>
      <c r="B2021" s="177"/>
      <c r="C2021" s="177"/>
      <c r="D2021" s="177">
        <v>422</v>
      </c>
      <c r="E2021" s="177"/>
      <c r="F2021" s="265"/>
      <c r="G2021" s="265"/>
      <c r="H2021" s="16" t="s">
        <v>555</v>
      </c>
      <c r="I2021" s="178"/>
      <c r="J2021" s="178"/>
      <c r="K2021" s="178"/>
      <c r="L2021" s="178"/>
      <c r="M2021" s="178"/>
      <c r="N2021" s="178"/>
      <c r="O2021" s="178"/>
      <c r="P2021" s="307"/>
      <c r="Q2021" s="178"/>
      <c r="R2021" s="178"/>
      <c r="S2021" s="178"/>
      <c r="T2021" s="266"/>
      <c r="U2021" s="266">
        <f>SUM(U2022:U2024)</f>
        <v>39639.22</v>
      </c>
      <c r="V2021" s="266"/>
      <c r="W2021" s="266"/>
      <c r="X2021" s="266"/>
      <c r="Y2021" s="266"/>
      <c r="Z2021" s="266"/>
      <c r="AA2021" s="266"/>
      <c r="AB2021" s="266"/>
      <c r="AC2021" s="266"/>
      <c r="AD2021" s="266"/>
      <c r="AE2021" s="266"/>
      <c r="AF2021" s="266"/>
      <c r="AG2021" s="266"/>
      <c r="AH2021" s="266"/>
      <c r="AI2021" s="266"/>
      <c r="AJ2021" s="162" t="b">
        <f t="shared" si="1162"/>
        <v>1</v>
      </c>
      <c r="AK2021" s="162" t="str">
        <f t="shared" si="1163"/>
        <v>PRAZNO</v>
      </c>
      <c r="AL2021" s="165"/>
    </row>
    <row r="2022" spans="1:39" s="164" customFormat="1" ht="15.75" x14ac:dyDescent="0.2">
      <c r="A2022" s="259"/>
      <c r="B2022" s="177"/>
      <c r="C2022" s="177"/>
      <c r="D2022" s="177"/>
      <c r="E2022" s="177">
        <v>4221</v>
      </c>
      <c r="F2022" s="265">
        <v>17</v>
      </c>
      <c r="G2022" s="265"/>
      <c r="H2022" s="16" t="s">
        <v>558</v>
      </c>
      <c r="I2022" s="178"/>
      <c r="J2022" s="178"/>
      <c r="K2022" s="178"/>
      <c r="L2022" s="178"/>
      <c r="M2022" s="178"/>
      <c r="N2022" s="178"/>
      <c r="O2022" s="178"/>
      <c r="P2022" s="307"/>
      <c r="Q2022" s="178"/>
      <c r="R2022" s="178"/>
      <c r="S2022" s="178"/>
      <c r="T2022" s="266"/>
      <c r="U2022" s="266">
        <v>22479.5</v>
      </c>
      <c r="V2022" s="266"/>
      <c r="W2022" s="266"/>
      <c r="X2022" s="266"/>
      <c r="Y2022" s="266"/>
      <c r="Z2022" s="266"/>
      <c r="AA2022" s="266"/>
      <c r="AB2022" s="266"/>
      <c r="AC2022" s="266"/>
      <c r="AD2022" s="266"/>
      <c r="AE2022" s="266"/>
      <c r="AF2022" s="266"/>
      <c r="AG2022" s="266"/>
      <c r="AH2022" s="266"/>
      <c r="AI2022" s="266"/>
      <c r="AJ2022" s="162" t="b">
        <f t="shared" si="1162"/>
        <v>0</v>
      </c>
      <c r="AK2022" s="162" t="str">
        <f t="shared" si="1163"/>
        <v>PUNO</v>
      </c>
      <c r="AL2022" s="165"/>
    </row>
    <row r="2023" spans="1:39" s="164" customFormat="1" ht="15.75" x14ac:dyDescent="0.2">
      <c r="A2023" s="259"/>
      <c r="B2023" s="177"/>
      <c r="C2023" s="177"/>
      <c r="D2023" s="177"/>
      <c r="E2023" s="177">
        <v>4223</v>
      </c>
      <c r="F2023" s="265">
        <v>17</v>
      </c>
      <c r="G2023" s="265"/>
      <c r="H2023" s="16" t="s">
        <v>941</v>
      </c>
      <c r="I2023" s="178"/>
      <c r="J2023" s="178"/>
      <c r="K2023" s="178"/>
      <c r="L2023" s="178"/>
      <c r="M2023" s="178"/>
      <c r="N2023" s="178"/>
      <c r="O2023" s="178"/>
      <c r="P2023" s="307"/>
      <c r="Q2023" s="178"/>
      <c r="R2023" s="178"/>
      <c r="S2023" s="178"/>
      <c r="T2023" s="266"/>
      <c r="U2023" s="266">
        <v>7626.39</v>
      </c>
      <c r="V2023" s="266"/>
      <c r="W2023" s="266"/>
      <c r="X2023" s="266"/>
      <c r="Y2023" s="266"/>
      <c r="Z2023" s="266"/>
      <c r="AA2023" s="266"/>
      <c r="AB2023" s="266"/>
      <c r="AC2023" s="266"/>
      <c r="AD2023" s="266"/>
      <c r="AE2023" s="266"/>
      <c r="AF2023" s="266"/>
      <c r="AG2023" s="266"/>
      <c r="AH2023" s="266"/>
      <c r="AI2023" s="266"/>
      <c r="AJ2023" s="162" t="b">
        <f t="shared" si="1162"/>
        <v>0</v>
      </c>
      <c r="AK2023" s="162" t="str">
        <f t="shared" si="1163"/>
        <v>PUNO</v>
      </c>
      <c r="AL2023" s="165"/>
    </row>
    <row r="2024" spans="1:39" s="164" customFormat="1" ht="15.75" x14ac:dyDescent="0.2">
      <c r="A2024" s="259"/>
      <c r="B2024" s="177"/>
      <c r="C2024" s="177"/>
      <c r="D2024" s="177"/>
      <c r="E2024" s="177">
        <v>4227</v>
      </c>
      <c r="F2024" s="265">
        <v>17</v>
      </c>
      <c r="G2024" s="265"/>
      <c r="H2024" s="16" t="s">
        <v>413</v>
      </c>
      <c r="I2024" s="178"/>
      <c r="J2024" s="178"/>
      <c r="K2024" s="178"/>
      <c r="L2024" s="178"/>
      <c r="M2024" s="178"/>
      <c r="N2024" s="178"/>
      <c r="O2024" s="178"/>
      <c r="P2024" s="307"/>
      <c r="Q2024" s="178"/>
      <c r="R2024" s="178"/>
      <c r="S2024" s="178"/>
      <c r="T2024" s="266"/>
      <c r="U2024" s="266">
        <v>9533.33</v>
      </c>
      <c r="V2024" s="266"/>
      <c r="W2024" s="266"/>
      <c r="X2024" s="266"/>
      <c r="Y2024" s="266"/>
      <c r="Z2024" s="266"/>
      <c r="AA2024" s="266"/>
      <c r="AB2024" s="266"/>
      <c r="AC2024" s="266"/>
      <c r="AD2024" s="266"/>
      <c r="AE2024" s="266"/>
      <c r="AF2024" s="266"/>
      <c r="AG2024" s="266"/>
      <c r="AH2024" s="266"/>
      <c r="AI2024" s="266"/>
      <c r="AJ2024" s="162" t="b">
        <f t="shared" si="1162"/>
        <v>0</v>
      </c>
      <c r="AK2024" s="162" t="str">
        <f t="shared" si="1163"/>
        <v>PUNO</v>
      </c>
      <c r="AL2024" s="165"/>
    </row>
    <row r="2025" spans="1:39" s="164" customFormat="1" ht="15.75" x14ac:dyDescent="0.2">
      <c r="A2025" s="259"/>
      <c r="B2025" s="177"/>
      <c r="C2025" s="177"/>
      <c r="D2025" s="177"/>
      <c r="E2025" s="177"/>
      <c r="F2025" s="265"/>
      <c r="G2025" s="265"/>
      <c r="H2025" s="440" t="s">
        <v>825</v>
      </c>
      <c r="I2025" s="178"/>
      <c r="J2025" s="178"/>
      <c r="K2025" s="178"/>
      <c r="L2025" s="178"/>
      <c r="M2025" s="178"/>
      <c r="N2025" s="178"/>
      <c r="O2025" s="178"/>
      <c r="P2025" s="307"/>
      <c r="Q2025" s="178"/>
      <c r="R2025" s="178"/>
      <c r="S2025" s="178"/>
      <c r="T2025" s="266"/>
      <c r="U2025" s="444">
        <f>U2026</f>
        <v>196762.46000000002</v>
      </c>
      <c r="V2025" s="266"/>
      <c r="W2025" s="266"/>
      <c r="X2025" s="266"/>
      <c r="Y2025" s="266"/>
      <c r="Z2025" s="266"/>
      <c r="AA2025" s="266"/>
      <c r="AB2025" s="266"/>
      <c r="AC2025" s="266"/>
      <c r="AD2025" s="266"/>
      <c r="AE2025" s="266"/>
      <c r="AF2025" s="266"/>
      <c r="AG2025" s="266"/>
      <c r="AH2025" s="266"/>
      <c r="AI2025" s="266"/>
      <c r="AJ2025" s="162" t="b">
        <f t="shared" si="1162"/>
        <v>1</v>
      </c>
      <c r="AK2025" s="162" t="str">
        <f t="shared" si="1163"/>
        <v>PRAZNO</v>
      </c>
      <c r="AL2025" s="165"/>
    </row>
    <row r="2026" spans="1:39" s="164" customFormat="1" ht="15.75" x14ac:dyDescent="0.2">
      <c r="A2026" s="259"/>
      <c r="B2026" s="172">
        <v>4</v>
      </c>
      <c r="C2026" s="172"/>
      <c r="D2026" s="172"/>
      <c r="E2026" s="172"/>
      <c r="F2026" s="172"/>
      <c r="G2026" s="172"/>
      <c r="H2026" s="14" t="s">
        <v>552</v>
      </c>
      <c r="I2026" s="178"/>
      <c r="J2026" s="178"/>
      <c r="K2026" s="178"/>
      <c r="L2026" s="178"/>
      <c r="M2026" s="178"/>
      <c r="N2026" s="178"/>
      <c r="O2026" s="178"/>
      <c r="P2026" s="307"/>
      <c r="Q2026" s="178"/>
      <c r="R2026" s="178"/>
      <c r="S2026" s="178"/>
      <c r="T2026" s="266"/>
      <c r="U2026" s="20">
        <f>U2027</f>
        <v>196762.46000000002</v>
      </c>
      <c r="V2026" s="266"/>
      <c r="W2026" s="266"/>
      <c r="X2026" s="266"/>
      <c r="Y2026" s="266"/>
      <c r="Z2026" s="266"/>
      <c r="AA2026" s="266"/>
      <c r="AB2026" s="266"/>
      <c r="AC2026" s="266"/>
      <c r="AD2026" s="266"/>
      <c r="AE2026" s="266"/>
      <c r="AF2026" s="266"/>
      <c r="AG2026" s="266"/>
      <c r="AH2026" s="266"/>
      <c r="AI2026" s="266"/>
      <c r="AJ2026" s="162" t="b">
        <f t="shared" si="1162"/>
        <v>1</v>
      </c>
      <c r="AK2026" s="162" t="str">
        <f t="shared" si="1163"/>
        <v>PRAZNO</v>
      </c>
      <c r="AL2026" s="165"/>
    </row>
    <row r="2027" spans="1:39" s="164" customFormat="1" ht="15.75" x14ac:dyDescent="0.2">
      <c r="A2027" s="259"/>
      <c r="B2027" s="177"/>
      <c r="C2027" s="177">
        <v>42</v>
      </c>
      <c r="D2027" s="177"/>
      <c r="E2027" s="177"/>
      <c r="F2027" s="265"/>
      <c r="G2027" s="265"/>
      <c r="H2027" s="16" t="s">
        <v>212</v>
      </c>
      <c r="I2027" s="178"/>
      <c r="J2027" s="178"/>
      <c r="K2027" s="178"/>
      <c r="L2027" s="178"/>
      <c r="M2027" s="178"/>
      <c r="N2027" s="178"/>
      <c r="O2027" s="178"/>
      <c r="P2027" s="307"/>
      <c r="Q2027" s="178"/>
      <c r="R2027" s="178"/>
      <c r="S2027" s="178"/>
      <c r="T2027" s="266"/>
      <c r="U2027" s="266">
        <f>U2028+U2033</f>
        <v>196762.46000000002</v>
      </c>
      <c r="V2027" s="266"/>
      <c r="W2027" s="266"/>
      <c r="X2027" s="266"/>
      <c r="Y2027" s="266"/>
      <c r="Z2027" s="266"/>
      <c r="AA2027" s="266"/>
      <c r="AB2027" s="266"/>
      <c r="AC2027" s="266"/>
      <c r="AD2027" s="266"/>
      <c r="AE2027" s="266"/>
      <c r="AF2027" s="266"/>
      <c r="AG2027" s="266"/>
      <c r="AH2027" s="266"/>
      <c r="AI2027" s="266"/>
      <c r="AJ2027" s="162" t="b">
        <f t="shared" si="1162"/>
        <v>1</v>
      </c>
      <c r="AK2027" s="162" t="str">
        <f t="shared" si="1163"/>
        <v>PRAZNO</v>
      </c>
      <c r="AL2027" s="165"/>
    </row>
    <row r="2028" spans="1:39" s="164" customFormat="1" ht="15.75" x14ac:dyDescent="0.2">
      <c r="A2028" s="259"/>
      <c r="B2028" s="177"/>
      <c r="C2028" s="177"/>
      <c r="D2028" s="177">
        <v>422</v>
      </c>
      <c r="E2028" s="177"/>
      <c r="F2028" s="265"/>
      <c r="G2028" s="265"/>
      <c r="H2028" s="16" t="s">
        <v>555</v>
      </c>
      <c r="I2028" s="178"/>
      <c r="J2028" s="178"/>
      <c r="K2028" s="178"/>
      <c r="L2028" s="178"/>
      <c r="M2028" s="178"/>
      <c r="N2028" s="178"/>
      <c r="O2028" s="178"/>
      <c r="P2028" s="307"/>
      <c r="Q2028" s="178"/>
      <c r="R2028" s="178"/>
      <c r="S2028" s="178"/>
      <c r="T2028" s="266"/>
      <c r="U2028" s="266">
        <f>SUM(U2029:U2032)</f>
        <v>173367.2</v>
      </c>
      <c r="V2028" s="266"/>
      <c r="W2028" s="266"/>
      <c r="X2028" s="266"/>
      <c r="Y2028" s="266"/>
      <c r="Z2028" s="266"/>
      <c r="AA2028" s="266"/>
      <c r="AB2028" s="266"/>
      <c r="AC2028" s="266"/>
      <c r="AD2028" s="266"/>
      <c r="AE2028" s="266"/>
      <c r="AF2028" s="266"/>
      <c r="AG2028" s="266"/>
      <c r="AH2028" s="266"/>
      <c r="AI2028" s="266"/>
      <c r="AJ2028" s="162" t="b">
        <f t="shared" si="1162"/>
        <v>1</v>
      </c>
      <c r="AK2028" s="162" t="str">
        <f t="shared" si="1163"/>
        <v>PRAZNO</v>
      </c>
      <c r="AL2028" s="165"/>
    </row>
    <row r="2029" spans="1:39" s="164" customFormat="1" ht="15.75" x14ac:dyDescent="0.2">
      <c r="A2029" s="259"/>
      <c r="B2029" s="177"/>
      <c r="C2029" s="177"/>
      <c r="D2029" s="177"/>
      <c r="E2029" s="177">
        <v>4221</v>
      </c>
      <c r="F2029" s="265">
        <v>52</v>
      </c>
      <c r="G2029" s="265"/>
      <c r="H2029" s="16" t="s">
        <v>558</v>
      </c>
      <c r="I2029" s="178"/>
      <c r="J2029" s="178"/>
      <c r="K2029" s="178"/>
      <c r="L2029" s="178"/>
      <c r="M2029" s="178"/>
      <c r="N2029" s="178"/>
      <c r="O2029" s="178"/>
      <c r="P2029" s="307"/>
      <c r="Q2029" s="178"/>
      <c r="R2029" s="178"/>
      <c r="S2029" s="178"/>
      <c r="T2029" s="266"/>
      <c r="U2029" s="266">
        <v>54082.53</v>
      </c>
      <c r="V2029" s="266"/>
      <c r="W2029" s="266"/>
      <c r="X2029" s="266"/>
      <c r="Y2029" s="266"/>
      <c r="Z2029" s="266"/>
      <c r="AA2029" s="266"/>
      <c r="AB2029" s="266"/>
      <c r="AC2029" s="266"/>
      <c r="AD2029" s="266"/>
      <c r="AE2029" s="266"/>
      <c r="AF2029" s="266"/>
      <c r="AG2029" s="266"/>
      <c r="AH2029" s="266"/>
      <c r="AI2029" s="266"/>
      <c r="AJ2029" s="162" t="b">
        <f t="shared" si="1162"/>
        <v>0</v>
      </c>
      <c r="AK2029" s="162" t="str">
        <f t="shared" si="1163"/>
        <v>PUNO</v>
      </c>
      <c r="AL2029" s="165"/>
    </row>
    <row r="2030" spans="1:39" s="164" customFormat="1" ht="15.75" x14ac:dyDescent="0.2">
      <c r="A2030" s="259"/>
      <c r="B2030" s="177"/>
      <c r="C2030" s="177"/>
      <c r="D2030" s="177"/>
      <c r="E2030" s="177">
        <v>4223</v>
      </c>
      <c r="F2030" s="265">
        <v>52</v>
      </c>
      <c r="G2030" s="265"/>
      <c r="H2030" s="16" t="s">
        <v>941</v>
      </c>
      <c r="I2030" s="178"/>
      <c r="J2030" s="178"/>
      <c r="K2030" s="178"/>
      <c r="L2030" s="178"/>
      <c r="M2030" s="178"/>
      <c r="N2030" s="178"/>
      <c r="O2030" s="178"/>
      <c r="P2030" s="307"/>
      <c r="Q2030" s="178"/>
      <c r="R2030" s="178"/>
      <c r="S2030" s="178"/>
      <c r="T2030" s="266"/>
      <c r="U2030" s="266">
        <v>4457.2700000000004</v>
      </c>
      <c r="V2030" s="266"/>
      <c r="W2030" s="266"/>
      <c r="X2030" s="266"/>
      <c r="Y2030" s="266"/>
      <c r="Z2030" s="266"/>
      <c r="AA2030" s="266"/>
      <c r="AB2030" s="266"/>
      <c r="AC2030" s="266"/>
      <c r="AD2030" s="266"/>
      <c r="AE2030" s="266"/>
      <c r="AF2030" s="266"/>
      <c r="AG2030" s="266"/>
      <c r="AH2030" s="266"/>
      <c r="AI2030" s="266"/>
      <c r="AJ2030" s="162" t="b">
        <f t="shared" si="1162"/>
        <v>0</v>
      </c>
      <c r="AK2030" s="162" t="str">
        <f t="shared" si="1163"/>
        <v>PUNO</v>
      </c>
      <c r="AL2030" s="165"/>
    </row>
    <row r="2031" spans="1:39" s="164" customFormat="1" ht="15.75" x14ac:dyDescent="0.2">
      <c r="A2031" s="259"/>
      <c r="B2031" s="177"/>
      <c r="C2031" s="177"/>
      <c r="D2031" s="177"/>
      <c r="E2031" s="177">
        <v>4226</v>
      </c>
      <c r="F2031" s="265">
        <v>52</v>
      </c>
      <c r="G2031" s="265"/>
      <c r="H2031" s="16" t="s">
        <v>432</v>
      </c>
      <c r="I2031" s="178"/>
      <c r="J2031" s="178"/>
      <c r="K2031" s="178"/>
      <c r="L2031" s="178"/>
      <c r="M2031" s="178"/>
      <c r="N2031" s="178"/>
      <c r="O2031" s="178"/>
      <c r="P2031" s="307"/>
      <c r="Q2031" s="178"/>
      <c r="R2031" s="178"/>
      <c r="S2031" s="178"/>
      <c r="T2031" s="266"/>
      <c r="U2031" s="266">
        <v>45379.83</v>
      </c>
      <c r="V2031" s="266"/>
      <c r="W2031" s="266"/>
      <c r="X2031" s="266"/>
      <c r="Y2031" s="266"/>
      <c r="Z2031" s="266"/>
      <c r="AA2031" s="266"/>
      <c r="AB2031" s="266"/>
      <c r="AC2031" s="266"/>
      <c r="AD2031" s="266"/>
      <c r="AE2031" s="266"/>
      <c r="AF2031" s="266"/>
      <c r="AG2031" s="266"/>
      <c r="AH2031" s="266"/>
      <c r="AI2031" s="266"/>
      <c r="AJ2031" s="162" t="b">
        <f t="shared" si="1162"/>
        <v>0</v>
      </c>
      <c r="AK2031" s="162" t="str">
        <f t="shared" si="1163"/>
        <v>PUNO</v>
      </c>
      <c r="AL2031" s="165"/>
    </row>
    <row r="2032" spans="1:39" s="164" customFormat="1" ht="15.75" x14ac:dyDescent="0.2">
      <c r="A2032" s="259"/>
      <c r="B2032" s="177"/>
      <c r="C2032" s="177"/>
      <c r="D2032" s="177"/>
      <c r="E2032" s="177">
        <v>4227</v>
      </c>
      <c r="F2032" s="265">
        <v>52</v>
      </c>
      <c r="G2032" s="265"/>
      <c r="H2032" s="16" t="s">
        <v>413</v>
      </c>
      <c r="I2032" s="178"/>
      <c r="J2032" s="178"/>
      <c r="K2032" s="178"/>
      <c r="L2032" s="178"/>
      <c r="M2032" s="178"/>
      <c r="N2032" s="178"/>
      <c r="O2032" s="178"/>
      <c r="P2032" s="307"/>
      <c r="Q2032" s="178"/>
      <c r="R2032" s="178"/>
      <c r="S2032" s="178"/>
      <c r="T2032" s="266"/>
      <c r="U2032" s="266">
        <v>69447.570000000007</v>
      </c>
      <c r="V2032" s="266"/>
      <c r="W2032" s="266"/>
      <c r="X2032" s="266"/>
      <c r="Y2032" s="266"/>
      <c r="Z2032" s="266"/>
      <c r="AA2032" s="266"/>
      <c r="AB2032" s="266"/>
      <c r="AC2032" s="266"/>
      <c r="AD2032" s="266"/>
      <c r="AE2032" s="266"/>
      <c r="AF2032" s="266"/>
      <c r="AG2032" s="266"/>
      <c r="AH2032" s="266"/>
      <c r="AI2032" s="266"/>
      <c r="AJ2032" s="162" t="b">
        <f t="shared" si="1162"/>
        <v>0</v>
      </c>
      <c r="AK2032" s="162" t="str">
        <f t="shared" si="1163"/>
        <v>PUNO</v>
      </c>
      <c r="AL2032" s="165"/>
    </row>
    <row r="2033" spans="1:39" s="164" customFormat="1" ht="15.75" x14ac:dyDescent="0.2">
      <c r="A2033" s="259"/>
      <c r="B2033" s="177"/>
      <c r="C2033" s="177"/>
      <c r="D2033" s="177">
        <v>424</v>
      </c>
      <c r="E2033" s="177"/>
      <c r="F2033" s="265"/>
      <c r="G2033" s="265"/>
      <c r="H2033" s="16" t="s">
        <v>944</v>
      </c>
      <c r="I2033" s="178"/>
      <c r="J2033" s="178"/>
      <c r="K2033" s="178"/>
      <c r="L2033" s="178"/>
      <c r="M2033" s="178"/>
      <c r="N2033" s="178"/>
      <c r="O2033" s="178"/>
      <c r="P2033" s="307"/>
      <c r="Q2033" s="178"/>
      <c r="R2033" s="178"/>
      <c r="S2033" s="178"/>
      <c r="T2033" s="266"/>
      <c r="U2033" s="266">
        <f>U2034</f>
        <v>23395.26</v>
      </c>
      <c r="V2033" s="266"/>
      <c r="W2033" s="266"/>
      <c r="X2033" s="266"/>
      <c r="Y2033" s="266"/>
      <c r="Z2033" s="266"/>
      <c r="AA2033" s="266"/>
      <c r="AB2033" s="266"/>
      <c r="AC2033" s="266"/>
      <c r="AD2033" s="266"/>
      <c r="AE2033" s="266"/>
      <c r="AF2033" s="266"/>
      <c r="AG2033" s="266"/>
      <c r="AH2033" s="266"/>
      <c r="AI2033" s="266"/>
      <c r="AJ2033" s="162" t="b">
        <f t="shared" si="1162"/>
        <v>1</v>
      </c>
      <c r="AK2033" s="162" t="str">
        <f t="shared" si="1163"/>
        <v>PRAZNO</v>
      </c>
      <c r="AL2033" s="165"/>
    </row>
    <row r="2034" spans="1:39" s="164" customFormat="1" ht="15.75" x14ac:dyDescent="0.2">
      <c r="A2034" s="259"/>
      <c r="B2034" s="177"/>
      <c r="C2034" s="177"/>
      <c r="D2034" s="177"/>
      <c r="E2034" s="177">
        <v>4241</v>
      </c>
      <c r="F2034" s="265">
        <v>52</v>
      </c>
      <c r="G2034" s="265"/>
      <c r="H2034" s="16" t="s">
        <v>945</v>
      </c>
      <c r="I2034" s="178"/>
      <c r="J2034" s="178"/>
      <c r="K2034" s="178"/>
      <c r="L2034" s="178"/>
      <c r="M2034" s="178"/>
      <c r="N2034" s="178"/>
      <c r="O2034" s="178"/>
      <c r="P2034" s="307"/>
      <c r="Q2034" s="178"/>
      <c r="R2034" s="178"/>
      <c r="S2034" s="178"/>
      <c r="T2034" s="266"/>
      <c r="U2034" s="266">
        <v>23395.26</v>
      </c>
      <c r="V2034" s="266"/>
      <c r="W2034" s="266"/>
      <c r="X2034" s="266"/>
      <c r="Y2034" s="266"/>
      <c r="Z2034" s="266"/>
      <c r="AA2034" s="266"/>
      <c r="AB2034" s="266"/>
      <c r="AC2034" s="266"/>
      <c r="AD2034" s="266"/>
      <c r="AE2034" s="266"/>
      <c r="AF2034" s="266"/>
      <c r="AG2034" s="266"/>
      <c r="AH2034" s="266"/>
      <c r="AI2034" s="266"/>
      <c r="AJ2034" s="162" t="b">
        <f t="shared" si="1162"/>
        <v>0</v>
      </c>
      <c r="AK2034" s="162" t="str">
        <f t="shared" si="1163"/>
        <v>PUNO</v>
      </c>
      <c r="AL2034" s="165"/>
    </row>
    <row r="2035" spans="1:39" s="164" customFormat="1" ht="15.75" x14ac:dyDescent="0.2">
      <c r="A2035" s="259"/>
      <c r="B2035" s="177"/>
      <c r="C2035" s="177"/>
      <c r="D2035" s="177">
        <v>426</v>
      </c>
      <c r="E2035" s="177"/>
      <c r="F2035" s="265"/>
      <c r="G2035" s="265"/>
      <c r="H2035" s="16" t="s">
        <v>560</v>
      </c>
      <c r="I2035" s="178"/>
      <c r="J2035" s="178"/>
      <c r="K2035" s="178"/>
      <c r="L2035" s="178"/>
      <c r="M2035" s="178"/>
      <c r="N2035" s="178"/>
      <c r="O2035" s="178"/>
      <c r="P2035" s="307"/>
      <c r="Q2035" s="178"/>
      <c r="R2035" s="178"/>
      <c r="S2035" s="178"/>
      <c r="T2035" s="266"/>
      <c r="U2035" s="266">
        <f>U2036</f>
        <v>0</v>
      </c>
      <c r="V2035" s="266"/>
      <c r="W2035" s="266"/>
      <c r="X2035" s="266"/>
      <c r="Y2035" s="266"/>
      <c r="Z2035" s="266"/>
      <c r="AA2035" s="266"/>
      <c r="AB2035" s="266"/>
      <c r="AC2035" s="266"/>
      <c r="AD2035" s="266"/>
      <c r="AE2035" s="266"/>
      <c r="AF2035" s="266"/>
      <c r="AG2035" s="266"/>
      <c r="AH2035" s="266"/>
      <c r="AI2035" s="266"/>
      <c r="AJ2035" s="162" t="b">
        <f t="shared" si="1162"/>
        <v>1</v>
      </c>
      <c r="AK2035" s="162" t="str">
        <f t="shared" si="1163"/>
        <v>PRAZNO</v>
      </c>
      <c r="AL2035" s="165"/>
    </row>
    <row r="2036" spans="1:39" s="164" customFormat="1" ht="15.75" x14ac:dyDescent="0.2">
      <c r="A2036" s="259"/>
      <c r="B2036" s="177"/>
      <c r="C2036" s="177"/>
      <c r="D2036" s="177"/>
      <c r="E2036" s="177">
        <v>4262</v>
      </c>
      <c r="F2036" s="265">
        <v>52</v>
      </c>
      <c r="G2036" s="265"/>
      <c r="H2036" s="16" t="s">
        <v>561</v>
      </c>
      <c r="I2036" s="178"/>
      <c r="J2036" s="178"/>
      <c r="K2036" s="178"/>
      <c r="L2036" s="178"/>
      <c r="M2036" s="178"/>
      <c r="N2036" s="178"/>
      <c r="O2036" s="178"/>
      <c r="P2036" s="307"/>
      <c r="Q2036" s="178"/>
      <c r="R2036" s="178"/>
      <c r="S2036" s="178"/>
      <c r="T2036" s="266"/>
      <c r="U2036" s="266">
        <v>0</v>
      </c>
      <c r="V2036" s="266"/>
      <c r="W2036" s="266"/>
      <c r="X2036" s="266"/>
      <c r="Y2036" s="266"/>
      <c r="Z2036" s="266"/>
      <c r="AA2036" s="266"/>
      <c r="AB2036" s="266"/>
      <c r="AC2036" s="266"/>
      <c r="AD2036" s="266"/>
      <c r="AE2036" s="266"/>
      <c r="AF2036" s="266"/>
      <c r="AG2036" s="266"/>
      <c r="AH2036" s="266"/>
      <c r="AI2036" s="266"/>
      <c r="AJ2036" s="162" t="b">
        <f t="shared" si="1162"/>
        <v>0</v>
      </c>
      <c r="AK2036" s="162" t="str">
        <f t="shared" si="1163"/>
        <v>PUNO</v>
      </c>
      <c r="AL2036" s="165"/>
    </row>
    <row r="2037" spans="1:39" s="287" customFormat="1" ht="15.75" x14ac:dyDescent="0.25">
      <c r="A2037" s="378"/>
      <c r="B2037" s="260"/>
      <c r="C2037" s="260"/>
      <c r="D2037" s="260"/>
      <c r="E2037" s="260"/>
      <c r="F2037" s="442"/>
      <c r="G2037" s="442"/>
      <c r="H2037" s="440" t="s">
        <v>825</v>
      </c>
      <c r="I2037" s="443"/>
      <c r="J2037" s="443"/>
      <c r="K2037" s="443"/>
      <c r="L2037" s="443"/>
      <c r="M2037" s="443"/>
      <c r="N2037" s="443"/>
      <c r="O2037" s="443"/>
      <c r="P2037" s="342"/>
      <c r="Q2037" s="443"/>
      <c r="R2037" s="443"/>
      <c r="S2037" s="443"/>
      <c r="T2037" s="444"/>
      <c r="U2037" s="444"/>
      <c r="V2037" s="444">
        <f>V2038</f>
        <v>229000</v>
      </c>
      <c r="W2037" s="444" t="e">
        <f>W2038</f>
        <v>#REF!</v>
      </c>
      <c r="X2037" s="444" t="e">
        <f>X2038</f>
        <v>#REF!</v>
      </c>
      <c r="Y2037" s="444">
        <f>Y2038</f>
        <v>47635.199999999997</v>
      </c>
      <c r="Z2037" s="444">
        <f t="shared" si="1166"/>
        <v>20.8</v>
      </c>
      <c r="AA2037" s="444">
        <f t="shared" si="1170"/>
        <v>28500</v>
      </c>
      <c r="AB2037" s="444">
        <f>AB2038</f>
        <v>257500</v>
      </c>
      <c r="AC2037" s="444">
        <f>AC2038</f>
        <v>51528.179999999993</v>
      </c>
      <c r="AD2037" s="444">
        <f t="shared" si="1149"/>
        <v>20.010943689320385</v>
      </c>
      <c r="AE2037" s="444">
        <f t="shared" si="1153"/>
        <v>25600</v>
      </c>
      <c r="AF2037" s="444">
        <f>AF2038</f>
        <v>283100</v>
      </c>
      <c r="AG2037" s="444">
        <f>AG2038</f>
        <v>148600</v>
      </c>
      <c r="AH2037" s="444">
        <f>AH2038</f>
        <v>177000</v>
      </c>
      <c r="AI2037" s="444">
        <f>AI2038</f>
        <v>189000</v>
      </c>
      <c r="AJ2037" s="162" t="b">
        <f t="shared" si="1162"/>
        <v>1</v>
      </c>
      <c r="AK2037" s="162" t="str">
        <f t="shared" si="1163"/>
        <v>PRAZNO</v>
      </c>
      <c r="AL2037" s="288"/>
    </row>
    <row r="2038" spans="1:39" s="174" customFormat="1" ht="15.75" x14ac:dyDescent="0.2">
      <c r="A2038" s="259"/>
      <c r="B2038" s="172">
        <v>4</v>
      </c>
      <c r="C2038" s="172"/>
      <c r="D2038" s="172"/>
      <c r="E2038" s="172"/>
      <c r="F2038" s="172"/>
      <c r="G2038" s="172"/>
      <c r="H2038" s="14" t="s">
        <v>552</v>
      </c>
      <c r="I2038" s="20" t="e">
        <f t="shared" ref="I2038:AI2038" si="1175">I2039</f>
        <v>#REF!</v>
      </c>
      <c r="J2038" s="20" t="e">
        <f t="shared" si="1175"/>
        <v>#REF!</v>
      </c>
      <c r="K2038" s="20" t="e">
        <f t="shared" ref="K2038:K2051" si="1176">ROUND(J2038/I2038*100,2)</f>
        <v>#REF!</v>
      </c>
      <c r="L2038" s="20" t="e">
        <f t="shared" ref="L2038:L2068" si="1177">M2038-I2038</f>
        <v>#REF!</v>
      </c>
      <c r="M2038" s="20" t="e">
        <f t="shared" si="1175"/>
        <v>#REF!</v>
      </c>
      <c r="N2038" s="20" t="e">
        <f t="shared" si="1175"/>
        <v>#REF!</v>
      </c>
      <c r="O2038" s="20" t="e">
        <f t="shared" si="1175"/>
        <v>#REF!</v>
      </c>
      <c r="P2038" s="55" t="e">
        <f t="shared" ref="P2038:P2051" si="1178">T2038-N2038</f>
        <v>#REF!</v>
      </c>
      <c r="Q2038" s="20" t="e">
        <f t="shared" si="1175"/>
        <v>#REF!</v>
      </c>
      <c r="R2038" s="20" t="e">
        <f t="shared" si="1175"/>
        <v>#REF!</v>
      </c>
      <c r="S2038" s="20" t="e">
        <f t="shared" si="1175"/>
        <v>#REF!</v>
      </c>
      <c r="T2038" s="20">
        <f t="shared" si="1175"/>
        <v>173400</v>
      </c>
      <c r="U2038" s="20">
        <f t="shared" si="1175"/>
        <v>0</v>
      </c>
      <c r="V2038" s="20">
        <f>V2039+V2040</f>
        <v>229000</v>
      </c>
      <c r="W2038" s="20" t="e">
        <f t="shared" si="1175"/>
        <v>#REF!</v>
      </c>
      <c r="X2038" s="20" t="e">
        <f t="shared" si="1175"/>
        <v>#REF!</v>
      </c>
      <c r="Y2038" s="20">
        <f t="shared" si="1175"/>
        <v>47635.199999999997</v>
      </c>
      <c r="Z2038" s="20">
        <f t="shared" si="1166"/>
        <v>20.8</v>
      </c>
      <c r="AA2038" s="20">
        <f t="shared" si="1170"/>
        <v>28500</v>
      </c>
      <c r="AB2038" s="20">
        <f t="shared" si="1175"/>
        <v>257500</v>
      </c>
      <c r="AC2038" s="20">
        <f t="shared" si="1175"/>
        <v>51528.179999999993</v>
      </c>
      <c r="AD2038" s="20">
        <f t="shared" ref="AD2038:AD2103" si="1179">AC2038/AB2038*100</f>
        <v>20.010943689320385</v>
      </c>
      <c r="AE2038" s="20">
        <f t="shared" si="1153"/>
        <v>25600</v>
      </c>
      <c r="AF2038" s="20">
        <f t="shared" si="1175"/>
        <v>283100</v>
      </c>
      <c r="AG2038" s="20">
        <f t="shared" si="1175"/>
        <v>148600</v>
      </c>
      <c r="AH2038" s="20">
        <f t="shared" si="1175"/>
        <v>177000</v>
      </c>
      <c r="AI2038" s="20">
        <f t="shared" si="1175"/>
        <v>189000</v>
      </c>
      <c r="AJ2038" s="162" t="b">
        <f t="shared" si="1162"/>
        <v>1</v>
      </c>
      <c r="AK2038" s="162" t="str">
        <f t="shared" si="1163"/>
        <v>PRAZNO</v>
      </c>
      <c r="AL2038" s="173"/>
      <c r="AM2038" s="164"/>
    </row>
    <row r="2039" spans="1:39" s="644" customFormat="1" ht="15.75" customHeight="1" x14ac:dyDescent="0.2">
      <c r="A2039" s="633"/>
      <c r="B2039" s="175"/>
      <c r="C2039" s="175">
        <v>42</v>
      </c>
      <c r="D2039" s="175"/>
      <c r="E2039" s="175"/>
      <c r="F2039" s="175"/>
      <c r="G2039" s="175"/>
      <c r="H2039" s="28" t="s">
        <v>212</v>
      </c>
      <c r="I2039" s="22" t="e">
        <f>I2042+I2049+#REF!</f>
        <v>#REF!</v>
      </c>
      <c r="J2039" s="22" t="e">
        <f>J2042+J2049+#REF!</f>
        <v>#REF!</v>
      </c>
      <c r="K2039" s="22" t="e">
        <f t="shared" si="1176"/>
        <v>#REF!</v>
      </c>
      <c r="L2039" s="22" t="e">
        <f t="shared" si="1177"/>
        <v>#REF!</v>
      </c>
      <c r="M2039" s="22" t="e">
        <f>M2042+M2049+#REF!</f>
        <v>#REF!</v>
      </c>
      <c r="N2039" s="22" t="e">
        <f>N2042+N2049+#REF!</f>
        <v>#REF!</v>
      </c>
      <c r="O2039" s="22" t="e">
        <f>O2042+O2049+#REF!</f>
        <v>#REF!</v>
      </c>
      <c r="P2039" s="38" t="e">
        <f t="shared" si="1178"/>
        <v>#REF!</v>
      </c>
      <c r="Q2039" s="22" t="e">
        <f>Q2042+Q2049+#REF!</f>
        <v>#REF!</v>
      </c>
      <c r="R2039" s="22" t="e">
        <f>R2042+R2049+#REF!</f>
        <v>#REF!</v>
      </c>
      <c r="S2039" s="22" t="e">
        <f>S2042+S2049+#REF!</f>
        <v>#REF!</v>
      </c>
      <c r="T2039" s="315">
        <f>T2042+T2049</f>
        <v>173400</v>
      </c>
      <c r="U2039" s="315">
        <f>U2042+U2049</f>
        <v>0</v>
      </c>
      <c r="V2039" s="22">
        <f>V2042+V2049</f>
        <v>209000</v>
      </c>
      <c r="W2039" s="22" t="e">
        <f>W2042+W2049+#REF!+#REF!</f>
        <v>#REF!</v>
      </c>
      <c r="X2039" s="22" t="e">
        <f>X2042+X2049+#REF!+#REF!</f>
        <v>#REF!</v>
      </c>
      <c r="Y2039" s="315">
        <f>Y2042+Y2049</f>
        <v>47635.199999999997</v>
      </c>
      <c r="Z2039" s="315">
        <f t="shared" si="1166"/>
        <v>22.79</v>
      </c>
      <c r="AA2039" s="22">
        <f t="shared" si="1170"/>
        <v>48500</v>
      </c>
      <c r="AB2039" s="315">
        <f>AB2042+AB2049</f>
        <v>257500</v>
      </c>
      <c r="AC2039" s="315">
        <f>AC2042+AC2049</f>
        <v>51528.179999999993</v>
      </c>
      <c r="AD2039" s="315">
        <f t="shared" si="1179"/>
        <v>20.010943689320385</v>
      </c>
      <c r="AE2039" s="315">
        <f>AE2042+AE2049</f>
        <v>25600</v>
      </c>
      <c r="AF2039" s="315">
        <f>AF2042+AF2049</f>
        <v>283100</v>
      </c>
      <c r="AG2039" s="315">
        <f>AG2042+AG2049</f>
        <v>148600</v>
      </c>
      <c r="AH2039" s="315">
        <f>AH2042+AH2049</f>
        <v>177000</v>
      </c>
      <c r="AI2039" s="315">
        <f>AI2042+AI2049</f>
        <v>189000</v>
      </c>
      <c r="AJ2039" s="162" t="b">
        <f t="shared" si="1162"/>
        <v>1</v>
      </c>
      <c r="AK2039" s="162" t="str">
        <f t="shared" si="1163"/>
        <v>PRAZNO</v>
      </c>
      <c r="AL2039" s="643"/>
      <c r="AM2039" s="647"/>
    </row>
    <row r="2040" spans="1:39" s="644" customFormat="1" ht="15.75" customHeight="1" x14ac:dyDescent="0.2">
      <c r="A2040" s="633"/>
      <c r="B2040" s="175"/>
      <c r="C2040" s="175"/>
      <c r="D2040" s="175">
        <v>421</v>
      </c>
      <c r="E2040" s="175"/>
      <c r="F2040" s="175"/>
      <c r="G2040" s="175"/>
      <c r="H2040" s="28" t="s">
        <v>759</v>
      </c>
      <c r="I2040" s="22"/>
      <c r="J2040" s="22"/>
      <c r="K2040" s="22"/>
      <c r="L2040" s="22"/>
      <c r="M2040" s="22"/>
      <c r="N2040" s="22"/>
      <c r="O2040" s="22"/>
      <c r="P2040" s="38"/>
      <c r="Q2040" s="22"/>
      <c r="R2040" s="22"/>
      <c r="S2040" s="22"/>
      <c r="T2040" s="315"/>
      <c r="U2040" s="315"/>
      <c r="V2040" s="22">
        <f>V2041</f>
        <v>20000</v>
      </c>
      <c r="W2040" s="22"/>
      <c r="X2040" s="22"/>
      <c r="Y2040" s="315"/>
      <c r="Z2040" s="315"/>
      <c r="AA2040" s="22"/>
      <c r="AB2040" s="315"/>
      <c r="AC2040" s="315"/>
      <c r="AD2040" s="315"/>
      <c r="AE2040" s="315"/>
      <c r="AF2040" s="315"/>
      <c r="AG2040" s="315"/>
      <c r="AH2040" s="315"/>
      <c r="AI2040" s="315"/>
      <c r="AJ2040" s="162" t="b">
        <f t="shared" si="1162"/>
        <v>1</v>
      </c>
      <c r="AK2040" s="162" t="str">
        <f t="shared" si="1163"/>
        <v>PRAZNO</v>
      </c>
      <c r="AL2040" s="643"/>
      <c r="AM2040" s="647"/>
    </row>
    <row r="2041" spans="1:39" s="644" customFormat="1" ht="15.75" customHeight="1" x14ac:dyDescent="0.2">
      <c r="A2041" s="633"/>
      <c r="B2041" s="175"/>
      <c r="C2041" s="175"/>
      <c r="D2041" s="175"/>
      <c r="E2041" s="175">
        <v>4212</v>
      </c>
      <c r="F2041" s="175">
        <v>55</v>
      </c>
      <c r="G2041" s="175"/>
      <c r="H2041" s="28" t="s">
        <v>855</v>
      </c>
      <c r="I2041" s="22"/>
      <c r="J2041" s="22"/>
      <c r="K2041" s="22"/>
      <c r="L2041" s="22"/>
      <c r="M2041" s="22"/>
      <c r="N2041" s="22"/>
      <c r="O2041" s="22"/>
      <c r="P2041" s="38"/>
      <c r="Q2041" s="22"/>
      <c r="R2041" s="22"/>
      <c r="S2041" s="22"/>
      <c r="T2041" s="315"/>
      <c r="U2041" s="315"/>
      <c r="V2041" s="22">
        <v>20000</v>
      </c>
      <c r="W2041" s="22"/>
      <c r="X2041" s="22"/>
      <c r="Y2041" s="315"/>
      <c r="Z2041" s="315"/>
      <c r="AA2041" s="22"/>
      <c r="AB2041" s="315"/>
      <c r="AC2041" s="315"/>
      <c r="AD2041" s="315"/>
      <c r="AE2041" s="315"/>
      <c r="AF2041" s="315"/>
      <c r="AG2041" s="315"/>
      <c r="AH2041" s="315"/>
      <c r="AI2041" s="315"/>
      <c r="AJ2041" s="162" t="b">
        <f t="shared" si="1162"/>
        <v>0</v>
      </c>
      <c r="AK2041" s="162" t="str">
        <f t="shared" si="1163"/>
        <v>PUNO</v>
      </c>
      <c r="AL2041" s="643"/>
      <c r="AM2041" s="647"/>
    </row>
    <row r="2042" spans="1:39" ht="15.75" x14ac:dyDescent="0.2">
      <c r="B2042" s="177"/>
      <c r="C2042" s="177"/>
      <c r="D2042" s="177">
        <v>422</v>
      </c>
      <c r="E2042" s="177"/>
      <c r="F2042" s="177"/>
      <c r="G2042" s="177"/>
      <c r="H2042" s="16" t="s">
        <v>555</v>
      </c>
      <c r="I2042" s="17">
        <f>SUM(I2043:I2048)</f>
        <v>194100</v>
      </c>
      <c r="J2042" s="17">
        <f>SUM(J2043:J2048)</f>
        <v>49565.670000000006</v>
      </c>
      <c r="K2042" s="17">
        <f t="shared" si="1176"/>
        <v>25.54</v>
      </c>
      <c r="L2042" s="17">
        <f t="shared" si="1177"/>
        <v>17819.359999999986</v>
      </c>
      <c r="M2042" s="17">
        <f>SUM(M2043:M2048)</f>
        <v>211919.35999999999</v>
      </c>
      <c r="N2042" s="17">
        <f>SUM(N2043:N2048)</f>
        <v>107500</v>
      </c>
      <c r="O2042" s="17">
        <f>SUM(O2043:O2048)</f>
        <v>48815.41</v>
      </c>
      <c r="P2042" s="26">
        <f t="shared" si="1178"/>
        <v>29900</v>
      </c>
      <c r="Q2042" s="17">
        <f t="shared" ref="Q2042:Y2042" si="1180">SUM(Q2043:Q2048)</f>
        <v>107500</v>
      </c>
      <c r="R2042" s="17">
        <f t="shared" si="1180"/>
        <v>174500</v>
      </c>
      <c r="S2042" s="17">
        <f t="shared" si="1180"/>
        <v>156500</v>
      </c>
      <c r="T2042" s="26">
        <f t="shared" si="1180"/>
        <v>137400</v>
      </c>
      <c r="U2042" s="26">
        <f>SUM(U2043:U2048)</f>
        <v>0</v>
      </c>
      <c r="V2042" s="17">
        <f>SUM(V2043:V2048)</f>
        <v>178000</v>
      </c>
      <c r="W2042" s="17">
        <f t="shared" si="1180"/>
        <v>107000</v>
      </c>
      <c r="X2042" s="17">
        <f t="shared" si="1180"/>
        <v>156000</v>
      </c>
      <c r="Y2042" s="17">
        <f t="shared" si="1180"/>
        <v>46494</v>
      </c>
      <c r="Z2042" s="17">
        <f t="shared" si="1166"/>
        <v>26.12</v>
      </c>
      <c r="AA2042" s="17">
        <f t="shared" si="1170"/>
        <v>54700</v>
      </c>
      <c r="AB2042" s="17">
        <f>SUM(AB2043:AB2048)</f>
        <v>232700</v>
      </c>
      <c r="AC2042" s="17">
        <f>SUM(AC2043:AC2048)</f>
        <v>50080.979999999996</v>
      </c>
      <c r="AD2042" s="17">
        <f t="shared" si="1179"/>
        <v>21.521693167168028</v>
      </c>
      <c r="AE2042" s="17">
        <f t="shared" si="1153"/>
        <v>26000</v>
      </c>
      <c r="AF2042" s="17">
        <f>SUM(AF2043:AF2048)</f>
        <v>258700</v>
      </c>
      <c r="AG2042" s="181">
        <f>SUM(AG2043:AG2048)</f>
        <v>118600</v>
      </c>
      <c r="AH2042" s="181">
        <f>SUM(AH2043:AH2048)</f>
        <v>149000</v>
      </c>
      <c r="AI2042" s="181">
        <f>SUM(AI2043:AI2048)</f>
        <v>162000</v>
      </c>
      <c r="AJ2042" s="162" t="b">
        <f t="shared" si="1162"/>
        <v>1</v>
      </c>
      <c r="AK2042" s="162" t="str">
        <f t="shared" si="1163"/>
        <v>PRAZNO</v>
      </c>
      <c r="AM2042" s="164"/>
    </row>
    <row r="2043" spans="1:39" ht="24.75" customHeight="1" x14ac:dyDescent="0.2">
      <c r="B2043" s="177"/>
      <c r="C2043" s="177"/>
      <c r="D2043" s="177"/>
      <c r="E2043" s="177">
        <v>4221</v>
      </c>
      <c r="F2043" s="176">
        <v>55</v>
      </c>
      <c r="G2043" s="176" t="s">
        <v>1040</v>
      </c>
      <c r="H2043" s="16" t="s">
        <v>558</v>
      </c>
      <c r="I2043" s="18">
        <v>112700</v>
      </c>
      <c r="J2043" s="178">
        <v>0</v>
      </c>
      <c r="K2043" s="178">
        <f t="shared" si="1176"/>
        <v>0</v>
      </c>
      <c r="L2043" s="178">
        <f t="shared" si="1177"/>
        <v>-83167.679999999993</v>
      </c>
      <c r="M2043" s="178">
        <v>29532.32</v>
      </c>
      <c r="N2043" s="178">
        <v>57500</v>
      </c>
      <c r="O2043" s="178">
        <v>22872.83</v>
      </c>
      <c r="P2043" s="26">
        <f t="shared" si="1178"/>
        <v>13900</v>
      </c>
      <c r="Q2043" s="178">
        <v>57500</v>
      </c>
      <c r="R2043" s="178">
        <v>114500</v>
      </c>
      <c r="S2043" s="178">
        <v>84500</v>
      </c>
      <c r="T2043" s="266">
        <v>71400</v>
      </c>
      <c r="U2043" s="266"/>
      <c r="V2043" s="266">
        <v>122000</v>
      </c>
      <c r="W2043" s="266">
        <v>68000</v>
      </c>
      <c r="X2043" s="266">
        <v>109000</v>
      </c>
      <c r="Y2043" s="266">
        <v>36744</v>
      </c>
      <c r="Z2043" s="266">
        <f t="shared" si="1166"/>
        <v>30.12</v>
      </c>
      <c r="AA2043" s="266">
        <f t="shared" si="1170"/>
        <v>58400</v>
      </c>
      <c r="AB2043" s="266">
        <v>180400</v>
      </c>
      <c r="AC2043" s="266">
        <v>37063.93</v>
      </c>
      <c r="AD2043" s="266">
        <f t="shared" si="1179"/>
        <v>20.545415742793789</v>
      </c>
      <c r="AE2043" s="266">
        <f t="shared" si="1153"/>
        <v>-5000</v>
      </c>
      <c r="AF2043" s="266">
        <v>175400</v>
      </c>
      <c r="AG2043" s="266">
        <f>10000+14000+20000+10000+6000</f>
        <v>60000</v>
      </c>
      <c r="AH2043" s="266">
        <f>10000+58000+4000+32000</f>
        <v>104000</v>
      </c>
      <c r="AI2043" s="266">
        <f>10000+30000+31000+4000+30000</f>
        <v>105000</v>
      </c>
      <c r="AJ2043" s="162" t="b">
        <f t="shared" si="1162"/>
        <v>0</v>
      </c>
      <c r="AK2043" s="162" t="str">
        <f t="shared" si="1163"/>
        <v>PUNO</v>
      </c>
      <c r="AM2043" s="164"/>
    </row>
    <row r="2044" spans="1:39" s="264" customFormat="1" ht="15.75" x14ac:dyDescent="0.2">
      <c r="A2044" s="259"/>
      <c r="B2044" s="177"/>
      <c r="C2044" s="177"/>
      <c r="D2044" s="177"/>
      <c r="E2044" s="177">
        <v>4222</v>
      </c>
      <c r="F2044" s="265">
        <v>55</v>
      </c>
      <c r="G2044" s="265" t="s">
        <v>1040</v>
      </c>
      <c r="H2044" s="16" t="s">
        <v>559</v>
      </c>
      <c r="I2044" s="178">
        <v>8300</v>
      </c>
      <c r="J2044" s="178">
        <v>0</v>
      </c>
      <c r="K2044" s="178">
        <f t="shared" si="1176"/>
        <v>0</v>
      </c>
      <c r="L2044" s="178">
        <f t="shared" si="1177"/>
        <v>-8300</v>
      </c>
      <c r="M2044" s="178"/>
      <c r="N2044" s="178"/>
      <c r="O2044" s="178"/>
      <c r="P2044" s="307">
        <f t="shared" si="1178"/>
        <v>0</v>
      </c>
      <c r="Q2044" s="178"/>
      <c r="R2044" s="178"/>
      <c r="S2044" s="178"/>
      <c r="T2044" s="266"/>
      <c r="U2044" s="266"/>
      <c r="V2044" s="178"/>
      <c r="W2044" s="178"/>
      <c r="X2044" s="178"/>
      <c r="Y2044" s="178"/>
      <c r="Z2044" s="178" t="e">
        <f t="shared" si="1166"/>
        <v>#DIV/0!</v>
      </c>
      <c r="AA2044" s="178">
        <f t="shared" si="1170"/>
        <v>0</v>
      </c>
      <c r="AB2044" s="178"/>
      <c r="AC2044" s="178"/>
      <c r="AD2044" s="178"/>
      <c r="AE2044" s="178">
        <f t="shared" si="1153"/>
        <v>0</v>
      </c>
      <c r="AF2044" s="178"/>
      <c r="AG2044" s="178"/>
      <c r="AH2044" s="178"/>
      <c r="AI2044" s="178"/>
      <c r="AJ2044" s="162" t="b">
        <f t="shared" si="1162"/>
        <v>0</v>
      </c>
      <c r="AK2044" s="162" t="str">
        <f t="shared" si="1163"/>
        <v>PUNO</v>
      </c>
      <c r="AL2044" s="263"/>
    </row>
    <row r="2045" spans="1:39" s="264" customFormat="1" ht="15.75" x14ac:dyDescent="0.2">
      <c r="A2045" s="259"/>
      <c r="B2045" s="177"/>
      <c r="C2045" s="177"/>
      <c r="D2045" s="177"/>
      <c r="E2045" s="177">
        <v>4223</v>
      </c>
      <c r="F2045" s="265">
        <v>55</v>
      </c>
      <c r="G2045" s="265" t="s">
        <v>1040</v>
      </c>
      <c r="H2045" s="16" t="s">
        <v>628</v>
      </c>
      <c r="I2045" s="178">
        <v>4500</v>
      </c>
      <c r="J2045" s="178">
        <v>34723.800000000003</v>
      </c>
      <c r="K2045" s="178">
        <f t="shared" si="1176"/>
        <v>771.64</v>
      </c>
      <c r="L2045" s="178">
        <f t="shared" si="1177"/>
        <v>30223.800000000003</v>
      </c>
      <c r="M2045" s="178">
        <v>34723.800000000003</v>
      </c>
      <c r="N2045" s="178">
        <v>4500</v>
      </c>
      <c r="O2045" s="178">
        <v>2457.27</v>
      </c>
      <c r="P2045" s="307">
        <f t="shared" si="1178"/>
        <v>0</v>
      </c>
      <c r="Q2045" s="178">
        <v>4500</v>
      </c>
      <c r="R2045" s="178">
        <v>10000</v>
      </c>
      <c r="S2045" s="178">
        <v>22000</v>
      </c>
      <c r="T2045" s="266">
        <v>4500</v>
      </c>
      <c r="U2045" s="266"/>
      <c r="V2045" s="266">
        <v>9000</v>
      </c>
      <c r="W2045" s="266">
        <v>9000</v>
      </c>
      <c r="X2045" s="266">
        <v>17000</v>
      </c>
      <c r="Y2045" s="266">
        <v>0</v>
      </c>
      <c r="Z2045" s="266">
        <f t="shared" si="1166"/>
        <v>0</v>
      </c>
      <c r="AA2045" s="266">
        <f t="shared" si="1170"/>
        <v>500</v>
      </c>
      <c r="AB2045" s="266">
        <v>9500</v>
      </c>
      <c r="AC2045" s="266">
        <v>498.99</v>
      </c>
      <c r="AD2045" s="266">
        <f t="shared" si="1179"/>
        <v>5.2525263157894733</v>
      </c>
      <c r="AE2045" s="266">
        <f t="shared" si="1153"/>
        <v>0</v>
      </c>
      <c r="AF2045" s="266">
        <v>9500</v>
      </c>
      <c r="AG2045" s="266">
        <v>2000</v>
      </c>
      <c r="AH2045" s="266">
        <v>0</v>
      </c>
      <c r="AI2045" s="266">
        <v>12000</v>
      </c>
      <c r="AJ2045" s="162" t="b">
        <f t="shared" si="1162"/>
        <v>0</v>
      </c>
      <c r="AK2045" s="162" t="str">
        <f t="shared" si="1163"/>
        <v>PUNO</v>
      </c>
      <c r="AL2045" s="263"/>
    </row>
    <row r="2046" spans="1:39" s="264" customFormat="1" ht="15.75" x14ac:dyDescent="0.2">
      <c r="A2046" s="259"/>
      <c r="B2046" s="177"/>
      <c r="C2046" s="177"/>
      <c r="D2046" s="177"/>
      <c r="E2046" s="177">
        <v>4225</v>
      </c>
      <c r="F2046" s="265">
        <v>55</v>
      </c>
      <c r="G2046" s="265" t="s">
        <v>1040</v>
      </c>
      <c r="H2046" s="16" t="s">
        <v>844</v>
      </c>
      <c r="I2046" s="178">
        <v>4400</v>
      </c>
      <c r="J2046" s="178">
        <v>14841.87</v>
      </c>
      <c r="K2046" s="178">
        <f t="shared" si="1176"/>
        <v>337.32</v>
      </c>
      <c r="L2046" s="178">
        <f t="shared" si="1177"/>
        <v>10441.870000000001</v>
      </c>
      <c r="M2046" s="178">
        <v>14841.87</v>
      </c>
      <c r="N2046" s="178"/>
      <c r="O2046" s="178"/>
      <c r="P2046" s="307">
        <f t="shared" si="1178"/>
        <v>0</v>
      </c>
      <c r="Q2046" s="178"/>
      <c r="R2046" s="178"/>
      <c r="S2046" s="178"/>
      <c r="T2046" s="266">
        <v>0</v>
      </c>
      <c r="U2046" s="266">
        <v>0</v>
      </c>
      <c r="V2046" s="178">
        <v>0</v>
      </c>
      <c r="W2046" s="178">
        <v>10000</v>
      </c>
      <c r="X2046" s="178">
        <v>0</v>
      </c>
      <c r="Y2046" s="178"/>
      <c r="Z2046" s="178" t="e">
        <f t="shared" si="1166"/>
        <v>#DIV/0!</v>
      </c>
      <c r="AA2046" s="178">
        <f t="shared" si="1170"/>
        <v>0</v>
      </c>
      <c r="AB2046" s="178">
        <v>0</v>
      </c>
      <c r="AC2046" s="178"/>
      <c r="AD2046" s="178"/>
      <c r="AE2046" s="178">
        <f t="shared" si="1153"/>
        <v>19100</v>
      </c>
      <c r="AF2046" s="178">
        <v>19100</v>
      </c>
      <c r="AG2046" s="178">
        <v>4000</v>
      </c>
      <c r="AH2046" s="178">
        <v>10000</v>
      </c>
      <c r="AI2046" s="178">
        <v>0</v>
      </c>
      <c r="AJ2046" s="162" t="b">
        <f t="shared" si="1162"/>
        <v>0</v>
      </c>
      <c r="AK2046" s="162" t="str">
        <f t="shared" si="1163"/>
        <v>PUNO</v>
      </c>
      <c r="AL2046" s="263"/>
    </row>
    <row r="2047" spans="1:39" s="264" customFormat="1" ht="15.75" x14ac:dyDescent="0.2">
      <c r="A2047" s="259"/>
      <c r="B2047" s="177"/>
      <c r="C2047" s="177"/>
      <c r="D2047" s="177"/>
      <c r="E2047" s="177">
        <v>4226</v>
      </c>
      <c r="F2047" s="265">
        <v>55</v>
      </c>
      <c r="G2047" s="265" t="s">
        <v>1040</v>
      </c>
      <c r="H2047" s="16" t="s">
        <v>432</v>
      </c>
      <c r="I2047" s="178">
        <v>3000</v>
      </c>
      <c r="J2047" s="178">
        <v>0</v>
      </c>
      <c r="K2047" s="178">
        <f t="shared" si="1176"/>
        <v>0</v>
      </c>
      <c r="L2047" s="178">
        <f t="shared" si="1177"/>
        <v>-3000</v>
      </c>
      <c r="M2047" s="178">
        <v>0</v>
      </c>
      <c r="N2047" s="178"/>
      <c r="O2047" s="178"/>
      <c r="P2047" s="307">
        <f t="shared" si="1178"/>
        <v>0</v>
      </c>
      <c r="Q2047" s="178"/>
      <c r="R2047" s="178"/>
      <c r="S2047" s="178"/>
      <c r="T2047" s="266">
        <v>0</v>
      </c>
      <c r="U2047" s="266">
        <v>0</v>
      </c>
      <c r="V2047" s="178">
        <v>5000</v>
      </c>
      <c r="W2047" s="178">
        <v>0</v>
      </c>
      <c r="X2047" s="178">
        <v>0</v>
      </c>
      <c r="Y2047" s="178"/>
      <c r="Z2047" s="178">
        <f t="shared" si="1166"/>
        <v>0</v>
      </c>
      <c r="AA2047" s="178">
        <f t="shared" si="1170"/>
        <v>-5000</v>
      </c>
      <c r="AB2047" s="178">
        <v>0</v>
      </c>
      <c r="AC2047" s="178"/>
      <c r="AD2047" s="178"/>
      <c r="AE2047" s="178">
        <f t="shared" si="1153"/>
        <v>0</v>
      </c>
      <c r="AF2047" s="178">
        <v>0</v>
      </c>
      <c r="AG2047" s="178">
        <v>7600</v>
      </c>
      <c r="AH2047" s="178">
        <v>0</v>
      </c>
      <c r="AI2047" s="178">
        <v>0</v>
      </c>
      <c r="AJ2047" s="162" t="b">
        <f t="shared" si="1162"/>
        <v>0</v>
      </c>
      <c r="AK2047" s="162" t="str">
        <f t="shared" si="1163"/>
        <v>PUNO</v>
      </c>
      <c r="AL2047" s="263"/>
    </row>
    <row r="2048" spans="1:39" ht="15.75" x14ac:dyDescent="0.2">
      <c r="B2048" s="177"/>
      <c r="C2048" s="177"/>
      <c r="D2048" s="177"/>
      <c r="E2048" s="177">
        <v>4227</v>
      </c>
      <c r="F2048" s="176">
        <v>55</v>
      </c>
      <c r="G2048" s="176" t="s">
        <v>1040</v>
      </c>
      <c r="H2048" s="16" t="s">
        <v>413</v>
      </c>
      <c r="I2048" s="18">
        <v>61200</v>
      </c>
      <c r="J2048" s="178">
        <v>0</v>
      </c>
      <c r="K2048" s="178">
        <f t="shared" si="1176"/>
        <v>0</v>
      </c>
      <c r="L2048" s="178">
        <f t="shared" si="1177"/>
        <v>71621.37</v>
      </c>
      <c r="M2048" s="178">
        <v>132821.37</v>
      </c>
      <c r="N2048" s="178">
        <v>45500</v>
      </c>
      <c r="O2048" s="178">
        <v>23485.31</v>
      </c>
      <c r="P2048" s="26">
        <f t="shared" si="1178"/>
        <v>16000</v>
      </c>
      <c r="Q2048" s="178">
        <v>45500</v>
      </c>
      <c r="R2048" s="178">
        <v>50000</v>
      </c>
      <c r="S2048" s="178">
        <v>50000</v>
      </c>
      <c r="T2048" s="266">
        <v>61500</v>
      </c>
      <c r="U2048" s="266"/>
      <c r="V2048" s="266">
        <v>42000</v>
      </c>
      <c r="W2048" s="266">
        <v>20000</v>
      </c>
      <c r="X2048" s="266">
        <v>30000</v>
      </c>
      <c r="Y2048" s="266">
        <v>9750</v>
      </c>
      <c r="Z2048" s="266">
        <f t="shared" si="1166"/>
        <v>23.21</v>
      </c>
      <c r="AA2048" s="266">
        <f t="shared" si="1170"/>
        <v>800</v>
      </c>
      <c r="AB2048" s="266">
        <v>42800</v>
      </c>
      <c r="AC2048" s="266">
        <v>12518.06</v>
      </c>
      <c r="AD2048" s="266">
        <f t="shared" si="1179"/>
        <v>29.247803738317756</v>
      </c>
      <c r="AE2048" s="266">
        <f t="shared" ref="AE2048:AE2114" si="1181">AF2048-AB2048</f>
        <v>11900</v>
      </c>
      <c r="AF2048" s="266">
        <v>54700</v>
      </c>
      <c r="AG2048" s="266">
        <f>20000+10000+15000</f>
        <v>45000</v>
      </c>
      <c r="AH2048" s="266">
        <f>20000+15000</f>
        <v>35000</v>
      </c>
      <c r="AI2048" s="266">
        <f>20000+10000+15000</f>
        <v>45000</v>
      </c>
      <c r="AJ2048" s="162" t="b">
        <f t="shared" si="1162"/>
        <v>0</v>
      </c>
      <c r="AK2048" s="162" t="str">
        <f t="shared" si="1163"/>
        <v>PUNO</v>
      </c>
      <c r="AM2048" s="164"/>
    </row>
    <row r="2049" spans="1:39" ht="18.75" customHeight="1" x14ac:dyDescent="0.2">
      <c r="B2049" s="177"/>
      <c r="C2049" s="177"/>
      <c r="D2049" s="177">
        <v>424</v>
      </c>
      <c r="E2049" s="177"/>
      <c r="F2049" s="177"/>
      <c r="G2049" s="177"/>
      <c r="H2049" s="16" t="s">
        <v>447</v>
      </c>
      <c r="I2049" s="17" t="e">
        <f>#REF!+I2050</f>
        <v>#REF!</v>
      </c>
      <c r="J2049" s="181" t="e">
        <f>#REF!+J2050</f>
        <v>#REF!</v>
      </c>
      <c r="K2049" s="181" t="e">
        <f t="shared" si="1176"/>
        <v>#REF!</v>
      </c>
      <c r="L2049" s="181" t="e">
        <f t="shared" si="1177"/>
        <v>#REF!</v>
      </c>
      <c r="M2049" s="181" t="e">
        <f>#REF!+M2050</f>
        <v>#REF!</v>
      </c>
      <c r="N2049" s="181" t="e">
        <f>#REF!+N2050</f>
        <v>#REF!</v>
      </c>
      <c r="O2049" s="181" t="e">
        <f>#REF!+O2050</f>
        <v>#REF!</v>
      </c>
      <c r="P2049" s="26" t="e">
        <f t="shared" si="1178"/>
        <v>#REF!</v>
      </c>
      <c r="Q2049" s="181" t="e">
        <f>#REF!+Q2050</f>
        <v>#REF!</v>
      </c>
      <c r="R2049" s="181" t="e">
        <f>#REF!+R2050</f>
        <v>#REF!</v>
      </c>
      <c r="S2049" s="181" t="e">
        <f>#REF!+S2050</f>
        <v>#REF!</v>
      </c>
      <c r="T2049" s="181">
        <f>T2050</f>
        <v>36000</v>
      </c>
      <c r="U2049" s="181">
        <f>U2050</f>
        <v>0</v>
      </c>
      <c r="V2049" s="181">
        <f>V2050</f>
        <v>31000</v>
      </c>
      <c r="W2049" s="181" t="e">
        <f>#REF!+W2050</f>
        <v>#REF!</v>
      </c>
      <c r="X2049" s="181" t="e">
        <f>#REF!+X2050</f>
        <v>#REF!</v>
      </c>
      <c r="Y2049" s="181">
        <f>Y2050</f>
        <v>1141.2</v>
      </c>
      <c r="Z2049" s="181">
        <f t="shared" si="1166"/>
        <v>3.68</v>
      </c>
      <c r="AA2049" s="181">
        <f t="shared" si="1170"/>
        <v>-6200</v>
      </c>
      <c r="AB2049" s="181">
        <f>AB2050</f>
        <v>24800</v>
      </c>
      <c r="AC2049" s="181">
        <f>AC2050</f>
        <v>1447.2</v>
      </c>
      <c r="AD2049" s="181">
        <f t="shared" si="1179"/>
        <v>5.8354838709677423</v>
      </c>
      <c r="AE2049" s="181">
        <f>AE2050</f>
        <v>-400</v>
      </c>
      <c r="AF2049" s="181">
        <f>AF2050</f>
        <v>24400</v>
      </c>
      <c r="AG2049" s="181">
        <f>AG2050</f>
        <v>30000</v>
      </c>
      <c r="AH2049" s="181">
        <f>AH2050</f>
        <v>28000</v>
      </c>
      <c r="AI2049" s="181">
        <f>AI2050</f>
        <v>27000</v>
      </c>
      <c r="AJ2049" s="162" t="b">
        <f t="shared" si="1162"/>
        <v>1</v>
      </c>
      <c r="AK2049" s="162" t="str">
        <f t="shared" si="1163"/>
        <v>PRAZNO</v>
      </c>
      <c r="AM2049" s="164"/>
    </row>
    <row r="2050" spans="1:39" ht="15.75" x14ac:dyDescent="0.2">
      <c r="B2050" s="177"/>
      <c r="C2050" s="177"/>
      <c r="D2050" s="177"/>
      <c r="E2050" s="177">
        <v>4241</v>
      </c>
      <c r="F2050" s="176">
        <v>55</v>
      </c>
      <c r="G2050" s="176" t="s">
        <v>1040</v>
      </c>
      <c r="H2050" s="16" t="s">
        <v>437</v>
      </c>
      <c r="I2050" s="18">
        <v>21200</v>
      </c>
      <c r="J2050" s="178">
        <v>2442</v>
      </c>
      <c r="K2050" s="178">
        <f t="shared" si="1176"/>
        <v>11.52</v>
      </c>
      <c r="L2050" s="178">
        <f t="shared" si="1177"/>
        <v>-6858.2099999999991</v>
      </c>
      <c r="M2050" s="178">
        <v>14341.79</v>
      </c>
      <c r="N2050" s="178">
        <v>35000</v>
      </c>
      <c r="O2050" s="178">
        <v>18241</v>
      </c>
      <c r="P2050" s="26">
        <f t="shared" si="1178"/>
        <v>1000</v>
      </c>
      <c r="Q2050" s="178">
        <v>35000</v>
      </c>
      <c r="R2050" s="178">
        <v>34000</v>
      </c>
      <c r="S2050" s="178">
        <v>31000</v>
      </c>
      <c r="T2050" s="266">
        <v>36000</v>
      </c>
      <c r="U2050" s="266"/>
      <c r="V2050" s="266">
        <v>31000</v>
      </c>
      <c r="W2050" s="266">
        <v>29500</v>
      </c>
      <c r="X2050" s="266">
        <v>40000</v>
      </c>
      <c r="Y2050" s="266">
        <v>1141.2</v>
      </c>
      <c r="Z2050" s="266">
        <f t="shared" si="1166"/>
        <v>3.68</v>
      </c>
      <c r="AA2050" s="266">
        <f t="shared" si="1170"/>
        <v>-6200</v>
      </c>
      <c r="AB2050" s="266">
        <v>24800</v>
      </c>
      <c r="AC2050" s="266">
        <v>1447.2</v>
      </c>
      <c r="AD2050" s="266">
        <f t="shared" si="1179"/>
        <v>5.8354838709677423</v>
      </c>
      <c r="AE2050" s="266">
        <f t="shared" si="1181"/>
        <v>-400</v>
      </c>
      <c r="AF2050" s="266">
        <v>24400</v>
      </c>
      <c r="AG2050" s="266">
        <f>4000+6000+3000+5000+2000+10000</f>
        <v>30000</v>
      </c>
      <c r="AH2050" s="266">
        <f>4000+5000+7000+2000+10000</f>
        <v>28000</v>
      </c>
      <c r="AI2050" s="266">
        <f>4000+6000+5000+2000+10000</f>
        <v>27000</v>
      </c>
      <c r="AJ2050" s="162" t="b">
        <f t="shared" si="1162"/>
        <v>0</v>
      </c>
      <c r="AK2050" s="162" t="str">
        <f t="shared" si="1163"/>
        <v>PUNO</v>
      </c>
      <c r="AM2050" s="164"/>
    </row>
    <row r="2051" spans="1:39" s="171" customFormat="1" ht="15.75" x14ac:dyDescent="0.2">
      <c r="A2051" s="259"/>
      <c r="B2051" s="168"/>
      <c r="C2051" s="168"/>
      <c r="D2051" s="168"/>
      <c r="E2051" s="168"/>
      <c r="F2051" s="168"/>
      <c r="G2051" s="168"/>
      <c r="H2051" s="13" t="s">
        <v>614</v>
      </c>
      <c r="I2051" s="169">
        <f>I2053</f>
        <v>200000</v>
      </c>
      <c r="J2051" s="169">
        <f>J2053</f>
        <v>8507.7999999999993</v>
      </c>
      <c r="K2051" s="169">
        <f t="shared" si="1176"/>
        <v>4.25</v>
      </c>
      <c r="L2051" s="169">
        <f t="shared" si="1177"/>
        <v>-192650.09</v>
      </c>
      <c r="M2051" s="19">
        <f>M2053</f>
        <v>7349.91</v>
      </c>
      <c r="N2051" s="19">
        <f>N2053</f>
        <v>223500</v>
      </c>
      <c r="O2051" s="19">
        <f>O2053</f>
        <v>0</v>
      </c>
      <c r="P2051" s="303">
        <f t="shared" si="1178"/>
        <v>0</v>
      </c>
      <c r="Q2051" s="19">
        <f t="shared" ref="Q2051:X2051" si="1182">Q2053</f>
        <v>223500</v>
      </c>
      <c r="R2051" s="19">
        <f t="shared" si="1182"/>
        <v>362500</v>
      </c>
      <c r="S2051" s="19">
        <f t="shared" si="1182"/>
        <v>362500</v>
      </c>
      <c r="T2051" s="53">
        <f t="shared" si="1182"/>
        <v>223500</v>
      </c>
      <c r="U2051" s="53">
        <f>U2053</f>
        <v>50182.5</v>
      </c>
      <c r="V2051" s="19">
        <f t="shared" si="1182"/>
        <v>500000</v>
      </c>
      <c r="W2051" s="19">
        <f t="shared" si="1182"/>
        <v>300000</v>
      </c>
      <c r="X2051" s="19">
        <f t="shared" si="1182"/>
        <v>0</v>
      </c>
      <c r="Y2051" s="19">
        <f>Y2053</f>
        <v>38750</v>
      </c>
      <c r="Z2051" s="19">
        <f t="shared" si="1166"/>
        <v>7.75</v>
      </c>
      <c r="AA2051" s="19">
        <f t="shared" si="1170"/>
        <v>-458000</v>
      </c>
      <c r="AB2051" s="19">
        <f>AB2053</f>
        <v>42000</v>
      </c>
      <c r="AC2051" s="19">
        <f>AC2053</f>
        <v>38750</v>
      </c>
      <c r="AD2051" s="19">
        <f t="shared" si="1179"/>
        <v>92.261904761904773</v>
      </c>
      <c r="AE2051" s="19">
        <f t="shared" si="1181"/>
        <v>181000</v>
      </c>
      <c r="AF2051" s="19">
        <f>AF2053</f>
        <v>223000</v>
      </c>
      <c r="AG2051" s="19">
        <f>AG2053</f>
        <v>513000</v>
      </c>
      <c r="AH2051" s="19">
        <f>AH2053</f>
        <v>500000</v>
      </c>
      <c r="AI2051" s="19">
        <f>AI2053</f>
        <v>500000</v>
      </c>
      <c r="AJ2051" s="162" t="b">
        <f t="shared" si="1162"/>
        <v>1</v>
      </c>
      <c r="AK2051" s="162" t="str">
        <f t="shared" si="1163"/>
        <v>PRAZNO</v>
      </c>
      <c r="AL2051" s="170"/>
      <c r="AM2051" s="164"/>
    </row>
    <row r="2052" spans="1:39" s="264" customFormat="1" ht="15.75" x14ac:dyDescent="0.2">
      <c r="A2052" s="259"/>
      <c r="B2052" s="260"/>
      <c r="C2052" s="260"/>
      <c r="D2052" s="260"/>
      <c r="E2052" s="260"/>
      <c r="F2052" s="260"/>
      <c r="G2052" s="260"/>
      <c r="H2052" s="440" t="s">
        <v>825</v>
      </c>
      <c r="I2052" s="181"/>
      <c r="J2052" s="181"/>
      <c r="K2052" s="181"/>
      <c r="L2052" s="181"/>
      <c r="M2052" s="262"/>
      <c r="N2052" s="262"/>
      <c r="O2052" s="262"/>
      <c r="P2052" s="445"/>
      <c r="Q2052" s="262"/>
      <c r="R2052" s="262"/>
      <c r="S2052" s="262"/>
      <c r="T2052" s="342"/>
      <c r="U2052" s="262">
        <f t="shared" ref="U2052:AA2052" si="1183">U2053</f>
        <v>50182.5</v>
      </c>
      <c r="V2052" s="262">
        <f t="shared" si="1183"/>
        <v>500000</v>
      </c>
      <c r="W2052" s="262">
        <f t="shared" si="1183"/>
        <v>300000</v>
      </c>
      <c r="X2052" s="262">
        <f t="shared" si="1183"/>
        <v>0</v>
      </c>
      <c r="Y2052" s="262">
        <f t="shared" si="1183"/>
        <v>38750</v>
      </c>
      <c r="Z2052" s="262">
        <f t="shared" si="1183"/>
        <v>7.75</v>
      </c>
      <c r="AA2052" s="262">
        <f t="shared" si="1183"/>
        <v>-458000</v>
      </c>
      <c r="AB2052" s="262">
        <f>AB2053</f>
        <v>42000</v>
      </c>
      <c r="AC2052" s="262">
        <f>AC2053</f>
        <v>38750</v>
      </c>
      <c r="AD2052" s="262">
        <f t="shared" si="1179"/>
        <v>92.261904761904773</v>
      </c>
      <c r="AE2052" s="262">
        <f t="shared" si="1181"/>
        <v>181000</v>
      </c>
      <c r="AF2052" s="262">
        <f>AF2053</f>
        <v>223000</v>
      </c>
      <c r="AG2052" s="262">
        <f>AG2053</f>
        <v>513000</v>
      </c>
      <c r="AH2052" s="262">
        <f>AH2053</f>
        <v>500000</v>
      </c>
      <c r="AI2052" s="262">
        <f>AI2053</f>
        <v>500000</v>
      </c>
      <c r="AJ2052" s="162" t="b">
        <f t="shared" si="1162"/>
        <v>1</v>
      </c>
      <c r="AK2052" s="162" t="str">
        <f t="shared" si="1163"/>
        <v>PRAZNO</v>
      </c>
      <c r="AL2052" s="263"/>
    </row>
    <row r="2053" spans="1:39" s="174" customFormat="1" ht="15.75" x14ac:dyDescent="0.2">
      <c r="A2053" s="259"/>
      <c r="B2053" s="172">
        <v>4</v>
      </c>
      <c r="C2053" s="172"/>
      <c r="D2053" s="172"/>
      <c r="E2053" s="172"/>
      <c r="F2053" s="172"/>
      <c r="G2053" s="172"/>
      <c r="H2053" s="14" t="s">
        <v>552</v>
      </c>
      <c r="I2053" s="20">
        <f t="shared" ref="I2053:AI2055" si="1184">I2054</f>
        <v>200000</v>
      </c>
      <c r="J2053" s="20">
        <f t="shared" si="1184"/>
        <v>8507.7999999999993</v>
      </c>
      <c r="K2053" s="20">
        <f>ROUND(J2053/I2053*100,2)</f>
        <v>4.25</v>
      </c>
      <c r="L2053" s="20">
        <f t="shared" si="1177"/>
        <v>-192650.09</v>
      </c>
      <c r="M2053" s="20">
        <f t="shared" si="1184"/>
        <v>7349.91</v>
      </c>
      <c r="N2053" s="20">
        <f t="shared" si="1184"/>
        <v>223500</v>
      </c>
      <c r="O2053" s="20">
        <f t="shared" si="1184"/>
        <v>0</v>
      </c>
      <c r="P2053" s="55">
        <f>T2053-N2053</f>
        <v>0</v>
      </c>
      <c r="Q2053" s="20">
        <f t="shared" si="1184"/>
        <v>223500</v>
      </c>
      <c r="R2053" s="20">
        <f t="shared" si="1184"/>
        <v>362500</v>
      </c>
      <c r="S2053" s="20">
        <f t="shared" si="1184"/>
        <v>362500</v>
      </c>
      <c r="T2053" s="55">
        <f t="shared" si="1184"/>
        <v>223500</v>
      </c>
      <c r="U2053" s="55">
        <f t="shared" si="1184"/>
        <v>50182.5</v>
      </c>
      <c r="V2053" s="20">
        <f t="shared" si="1184"/>
        <v>500000</v>
      </c>
      <c r="W2053" s="20">
        <f t="shared" si="1184"/>
        <v>300000</v>
      </c>
      <c r="X2053" s="20">
        <f t="shared" si="1184"/>
        <v>0</v>
      </c>
      <c r="Y2053" s="20">
        <f t="shared" si="1184"/>
        <v>38750</v>
      </c>
      <c r="Z2053" s="20">
        <f t="shared" si="1166"/>
        <v>7.75</v>
      </c>
      <c r="AA2053" s="20">
        <f t="shared" si="1170"/>
        <v>-458000</v>
      </c>
      <c r="AB2053" s="20">
        <f t="shared" si="1184"/>
        <v>42000</v>
      </c>
      <c r="AC2053" s="20">
        <f t="shared" si="1184"/>
        <v>38750</v>
      </c>
      <c r="AD2053" s="20">
        <f t="shared" si="1179"/>
        <v>92.261904761904773</v>
      </c>
      <c r="AE2053" s="20">
        <f t="shared" si="1181"/>
        <v>181000</v>
      </c>
      <c r="AF2053" s="20">
        <f t="shared" si="1184"/>
        <v>223000</v>
      </c>
      <c r="AG2053" s="20">
        <f t="shared" si="1184"/>
        <v>513000</v>
      </c>
      <c r="AH2053" s="20">
        <f t="shared" si="1184"/>
        <v>500000</v>
      </c>
      <c r="AI2053" s="20">
        <f t="shared" si="1184"/>
        <v>500000</v>
      </c>
      <c r="AJ2053" s="162" t="b">
        <f t="shared" si="1162"/>
        <v>1</v>
      </c>
      <c r="AK2053" s="162" t="str">
        <f t="shared" si="1163"/>
        <v>PRAZNO</v>
      </c>
      <c r="AL2053" s="173"/>
      <c r="AM2053" s="164"/>
    </row>
    <row r="2054" spans="1:39" ht="27.75" customHeight="1" x14ac:dyDescent="0.2">
      <c r="B2054" s="175"/>
      <c r="C2054" s="175">
        <v>45</v>
      </c>
      <c r="D2054" s="175"/>
      <c r="E2054" s="175"/>
      <c r="F2054" s="175"/>
      <c r="G2054" s="175"/>
      <c r="H2054" s="630" t="s">
        <v>808</v>
      </c>
      <c r="I2054" s="22">
        <f t="shared" si="1184"/>
        <v>200000</v>
      </c>
      <c r="J2054" s="22">
        <f t="shared" si="1184"/>
        <v>8507.7999999999993</v>
      </c>
      <c r="K2054" s="22">
        <f>ROUND(J2054/I2054*100,2)</f>
        <v>4.25</v>
      </c>
      <c r="L2054" s="22">
        <f t="shared" si="1177"/>
        <v>-192650.09</v>
      </c>
      <c r="M2054" s="22">
        <f t="shared" si="1184"/>
        <v>7349.91</v>
      </c>
      <c r="N2054" s="22">
        <f t="shared" si="1184"/>
        <v>223500</v>
      </c>
      <c r="O2054" s="22">
        <f t="shared" si="1184"/>
        <v>0</v>
      </c>
      <c r="P2054" s="26">
        <f>T2054-N2054</f>
        <v>0</v>
      </c>
      <c r="Q2054" s="22">
        <f t="shared" si="1184"/>
        <v>223500</v>
      </c>
      <c r="R2054" s="22">
        <f t="shared" si="1184"/>
        <v>362500</v>
      </c>
      <c r="S2054" s="22">
        <f t="shared" si="1184"/>
        <v>362500</v>
      </c>
      <c r="T2054" s="38">
        <f t="shared" si="1184"/>
        <v>223500</v>
      </c>
      <c r="U2054" s="38">
        <f t="shared" si="1184"/>
        <v>50182.5</v>
      </c>
      <c r="V2054" s="22">
        <f t="shared" si="1184"/>
        <v>500000</v>
      </c>
      <c r="W2054" s="22">
        <f t="shared" si="1184"/>
        <v>300000</v>
      </c>
      <c r="X2054" s="22">
        <f t="shared" si="1184"/>
        <v>0</v>
      </c>
      <c r="Y2054" s="203">
        <f t="shared" si="1184"/>
        <v>38750</v>
      </c>
      <c r="Z2054" s="203">
        <f t="shared" si="1166"/>
        <v>7.75</v>
      </c>
      <c r="AA2054" s="22">
        <f t="shared" si="1170"/>
        <v>-458000</v>
      </c>
      <c r="AB2054" s="203">
        <f t="shared" si="1184"/>
        <v>42000</v>
      </c>
      <c r="AC2054" s="203">
        <f t="shared" si="1184"/>
        <v>38750</v>
      </c>
      <c r="AD2054" s="203">
        <f t="shared" si="1179"/>
        <v>92.261904761904773</v>
      </c>
      <c r="AE2054" s="203">
        <f t="shared" si="1181"/>
        <v>181000</v>
      </c>
      <c r="AF2054" s="203">
        <f t="shared" si="1184"/>
        <v>223000</v>
      </c>
      <c r="AG2054" s="203">
        <f t="shared" si="1184"/>
        <v>513000</v>
      </c>
      <c r="AH2054" s="203">
        <f t="shared" si="1184"/>
        <v>500000</v>
      </c>
      <c r="AI2054" s="203">
        <f t="shared" si="1184"/>
        <v>500000</v>
      </c>
      <c r="AJ2054" s="162" t="b">
        <f t="shared" si="1162"/>
        <v>1</v>
      </c>
      <c r="AK2054" s="162" t="str">
        <f t="shared" si="1163"/>
        <v>PRAZNO</v>
      </c>
      <c r="AM2054" s="164"/>
    </row>
    <row r="2055" spans="1:39" ht="15.75" x14ac:dyDescent="0.2">
      <c r="B2055" s="177"/>
      <c r="C2055" s="177"/>
      <c r="D2055" s="177">
        <v>451</v>
      </c>
      <c r="E2055" s="177"/>
      <c r="F2055" s="177"/>
      <c r="G2055" s="177"/>
      <c r="H2055" s="16" t="s">
        <v>809</v>
      </c>
      <c r="I2055" s="17">
        <f t="shared" si="1184"/>
        <v>200000</v>
      </c>
      <c r="J2055" s="17">
        <f t="shared" si="1184"/>
        <v>8507.7999999999993</v>
      </c>
      <c r="K2055" s="17">
        <f>ROUND(J2055/I2055*100,2)</f>
        <v>4.25</v>
      </c>
      <c r="L2055" s="17">
        <f t="shared" si="1177"/>
        <v>-192650.09</v>
      </c>
      <c r="M2055" s="17">
        <f t="shared" si="1184"/>
        <v>7349.91</v>
      </c>
      <c r="N2055" s="17">
        <f t="shared" si="1184"/>
        <v>223500</v>
      </c>
      <c r="O2055" s="17">
        <f t="shared" si="1184"/>
        <v>0</v>
      </c>
      <c r="P2055" s="26">
        <f>T2055-N2055</f>
        <v>0</v>
      </c>
      <c r="Q2055" s="17">
        <f t="shared" si="1184"/>
        <v>223500</v>
      </c>
      <c r="R2055" s="17">
        <f t="shared" si="1184"/>
        <v>362500</v>
      </c>
      <c r="S2055" s="17">
        <f t="shared" si="1184"/>
        <v>362500</v>
      </c>
      <c r="T2055" s="26">
        <f t="shared" si="1184"/>
        <v>223500</v>
      </c>
      <c r="U2055" s="26">
        <f t="shared" si="1184"/>
        <v>50182.5</v>
      </c>
      <c r="V2055" s="17">
        <f t="shared" si="1184"/>
        <v>500000</v>
      </c>
      <c r="W2055" s="17">
        <f t="shared" si="1184"/>
        <v>300000</v>
      </c>
      <c r="X2055" s="17">
        <f t="shared" si="1184"/>
        <v>0</v>
      </c>
      <c r="Y2055" s="17">
        <f t="shared" si="1184"/>
        <v>38750</v>
      </c>
      <c r="Z2055" s="203">
        <f t="shared" si="1166"/>
        <v>7.75</v>
      </c>
      <c r="AA2055" s="17">
        <f t="shared" si="1170"/>
        <v>-458000</v>
      </c>
      <c r="AB2055" s="203">
        <f t="shared" si="1184"/>
        <v>42000</v>
      </c>
      <c r="AC2055" s="203">
        <f t="shared" si="1184"/>
        <v>38750</v>
      </c>
      <c r="AD2055" s="203">
        <f t="shared" si="1179"/>
        <v>92.261904761904773</v>
      </c>
      <c r="AE2055" s="203">
        <f t="shared" si="1181"/>
        <v>181000</v>
      </c>
      <c r="AF2055" s="203">
        <f t="shared" si="1184"/>
        <v>223000</v>
      </c>
      <c r="AG2055" s="203">
        <f t="shared" si="1184"/>
        <v>513000</v>
      </c>
      <c r="AH2055" s="203">
        <f t="shared" si="1184"/>
        <v>500000</v>
      </c>
      <c r="AI2055" s="203">
        <f t="shared" si="1184"/>
        <v>500000</v>
      </c>
      <c r="AJ2055" s="162" t="b">
        <f t="shared" si="1162"/>
        <v>1</v>
      </c>
      <c r="AK2055" s="162" t="str">
        <f t="shared" si="1163"/>
        <v>PRAZNO</v>
      </c>
      <c r="AM2055" s="164"/>
    </row>
    <row r="2056" spans="1:39" ht="15.75" x14ac:dyDescent="0.2">
      <c r="B2056" s="177"/>
      <c r="C2056" s="177"/>
      <c r="D2056" s="177"/>
      <c r="E2056" s="177">
        <v>4511</v>
      </c>
      <c r="F2056" s="176">
        <v>55</v>
      </c>
      <c r="G2056" s="176" t="s">
        <v>1040</v>
      </c>
      <c r="H2056" s="16" t="s">
        <v>809</v>
      </c>
      <c r="I2056" s="18">
        <v>200000</v>
      </c>
      <c r="J2056" s="18">
        <v>8507.7999999999993</v>
      </c>
      <c r="K2056" s="18">
        <f>ROUND(J2056/I2056*100,2)</f>
        <v>4.25</v>
      </c>
      <c r="L2056" s="18">
        <f t="shared" si="1177"/>
        <v>-192650.09</v>
      </c>
      <c r="M2056" s="18">
        <v>7349.91</v>
      </c>
      <c r="N2056" s="18">
        <v>223500</v>
      </c>
      <c r="O2056" s="18">
        <v>0</v>
      </c>
      <c r="P2056" s="26">
        <f>T2056-N2056</f>
        <v>0</v>
      </c>
      <c r="Q2056" s="18">
        <v>223500</v>
      </c>
      <c r="R2056" s="18">
        <v>362500</v>
      </c>
      <c r="S2056" s="18">
        <v>362500</v>
      </c>
      <c r="T2056" s="27">
        <v>223500</v>
      </c>
      <c r="U2056" s="27">
        <v>50182.5</v>
      </c>
      <c r="V2056" s="27">
        <v>500000</v>
      </c>
      <c r="W2056" s="27">
        <v>300000</v>
      </c>
      <c r="X2056" s="27">
        <v>0</v>
      </c>
      <c r="Y2056" s="27">
        <v>38750</v>
      </c>
      <c r="Z2056" s="214">
        <f t="shared" si="1166"/>
        <v>7.75</v>
      </c>
      <c r="AA2056" s="27">
        <f t="shared" si="1170"/>
        <v>-458000</v>
      </c>
      <c r="AB2056" s="214">
        <f>1022000-680000-300000</f>
        <v>42000</v>
      </c>
      <c r="AC2056" s="214">
        <v>38750</v>
      </c>
      <c r="AD2056" s="214">
        <f t="shared" si="1179"/>
        <v>92.261904761904773</v>
      </c>
      <c r="AE2056" s="214">
        <f t="shared" si="1181"/>
        <v>181000</v>
      </c>
      <c r="AF2056" s="214">
        <v>223000</v>
      </c>
      <c r="AG2056" s="668">
        <f>200000+29000+284000</f>
        <v>513000</v>
      </c>
      <c r="AH2056" s="668">
        <f>200000+300000</f>
        <v>500000</v>
      </c>
      <c r="AI2056" s="668">
        <f>200000+300000</f>
        <v>500000</v>
      </c>
      <c r="AJ2056" s="162" t="b">
        <f t="shared" si="1162"/>
        <v>0</v>
      </c>
      <c r="AK2056" s="162" t="str">
        <f t="shared" si="1163"/>
        <v>PUNO</v>
      </c>
      <c r="AM2056" s="164"/>
    </row>
    <row r="2057" spans="1:39" s="171" customFormat="1" ht="30" customHeight="1" x14ac:dyDescent="0.2">
      <c r="A2057" s="259"/>
      <c r="B2057" s="168"/>
      <c r="C2057" s="168"/>
      <c r="D2057" s="168"/>
      <c r="E2057" s="168"/>
      <c r="F2057" s="168"/>
      <c r="G2057" s="168"/>
      <c r="H2057" s="13" t="s">
        <v>977</v>
      </c>
      <c r="I2057" s="169">
        <f>I2059</f>
        <v>900000</v>
      </c>
      <c r="J2057" s="169">
        <f>J2059</f>
        <v>500000</v>
      </c>
      <c r="K2057" s="169">
        <f>ROUND(J2057/I2057*100,2)</f>
        <v>55.56</v>
      </c>
      <c r="L2057" s="169">
        <f t="shared" si="1177"/>
        <v>0</v>
      </c>
      <c r="M2057" s="19">
        <f>M2059</f>
        <v>900000</v>
      </c>
      <c r="N2057" s="19">
        <f>N2059</f>
        <v>980000</v>
      </c>
      <c r="O2057" s="19">
        <f>O2059</f>
        <v>0</v>
      </c>
      <c r="P2057" s="303">
        <f>T2057-N2057</f>
        <v>0</v>
      </c>
      <c r="Q2057" s="19">
        <f t="shared" ref="Q2057:X2057" si="1185">Q2059</f>
        <v>980000</v>
      </c>
      <c r="R2057" s="19">
        <f t="shared" si="1185"/>
        <v>0</v>
      </c>
      <c r="S2057" s="19">
        <f t="shared" si="1185"/>
        <v>0</v>
      </c>
      <c r="T2057" s="53">
        <f t="shared" si="1185"/>
        <v>980000</v>
      </c>
      <c r="U2057" s="53">
        <f>U2059</f>
        <v>980000</v>
      </c>
      <c r="V2057" s="19">
        <f t="shared" si="1185"/>
        <v>400000</v>
      </c>
      <c r="W2057" s="19">
        <f t="shared" si="1185"/>
        <v>0</v>
      </c>
      <c r="X2057" s="19">
        <f t="shared" si="1185"/>
        <v>0</v>
      </c>
      <c r="Y2057" s="19">
        <f>Y2059</f>
        <v>400000</v>
      </c>
      <c r="Z2057" s="19">
        <f t="shared" si="1166"/>
        <v>100</v>
      </c>
      <c r="AA2057" s="19">
        <f t="shared" si="1170"/>
        <v>0</v>
      </c>
      <c r="AB2057" s="19">
        <f>AB2059</f>
        <v>400000</v>
      </c>
      <c r="AC2057" s="19">
        <f>AC2059</f>
        <v>400000</v>
      </c>
      <c r="AD2057" s="19">
        <f t="shared" si="1179"/>
        <v>100</v>
      </c>
      <c r="AE2057" s="19">
        <f t="shared" si="1181"/>
        <v>0</v>
      </c>
      <c r="AF2057" s="19">
        <f>AF2059</f>
        <v>400000</v>
      </c>
      <c r="AG2057" s="19">
        <f>AG2059</f>
        <v>0</v>
      </c>
      <c r="AH2057" s="19">
        <f>AH2059</f>
        <v>0</v>
      </c>
      <c r="AI2057" s="19">
        <f>AI2059</f>
        <v>0</v>
      </c>
      <c r="AJ2057" s="162" t="b">
        <f t="shared" ref="AJ2057:AJ2120" si="1186">ISBLANK(E2057)</f>
        <v>1</v>
      </c>
      <c r="AK2057" s="162" t="str">
        <f t="shared" ref="AK2057:AK2120" si="1187">IF(AJ2057,"PRAZNO","PUNO")</f>
        <v>PRAZNO</v>
      </c>
      <c r="AL2057" s="170"/>
      <c r="AM2057" s="164"/>
    </row>
    <row r="2058" spans="1:39" s="264" customFormat="1" ht="15.75" x14ac:dyDescent="0.2">
      <c r="A2058" s="259"/>
      <c r="B2058" s="260"/>
      <c r="C2058" s="260"/>
      <c r="D2058" s="260"/>
      <c r="E2058" s="260"/>
      <c r="F2058" s="260"/>
      <c r="G2058" s="260"/>
      <c r="H2058" s="440" t="s">
        <v>824</v>
      </c>
      <c r="I2058" s="181"/>
      <c r="J2058" s="181"/>
      <c r="K2058" s="181"/>
      <c r="L2058" s="181"/>
      <c r="M2058" s="262"/>
      <c r="N2058" s="262"/>
      <c r="O2058" s="262"/>
      <c r="P2058" s="445"/>
      <c r="Q2058" s="262"/>
      <c r="R2058" s="262"/>
      <c r="S2058" s="262"/>
      <c r="T2058" s="342"/>
      <c r="U2058" s="262">
        <f t="shared" ref="U2058:AA2058" si="1188">U2059</f>
        <v>980000</v>
      </c>
      <c r="V2058" s="262">
        <f t="shared" si="1188"/>
        <v>400000</v>
      </c>
      <c r="W2058" s="262">
        <f t="shared" si="1188"/>
        <v>0</v>
      </c>
      <c r="X2058" s="262">
        <f t="shared" si="1188"/>
        <v>0</v>
      </c>
      <c r="Y2058" s="262">
        <f t="shared" si="1188"/>
        <v>400000</v>
      </c>
      <c r="Z2058" s="262">
        <f t="shared" si="1188"/>
        <v>100</v>
      </c>
      <c r="AA2058" s="262">
        <f t="shared" si="1188"/>
        <v>0</v>
      </c>
      <c r="AB2058" s="262">
        <f>AB2059</f>
        <v>400000</v>
      </c>
      <c r="AC2058" s="262">
        <f>AC2059</f>
        <v>400000</v>
      </c>
      <c r="AD2058" s="262">
        <f t="shared" si="1179"/>
        <v>100</v>
      </c>
      <c r="AE2058" s="262">
        <f t="shared" si="1181"/>
        <v>0</v>
      </c>
      <c r="AF2058" s="262">
        <f>AF2059</f>
        <v>400000</v>
      </c>
      <c r="AG2058" s="262">
        <f>AG2059</f>
        <v>0</v>
      </c>
      <c r="AH2058" s="262">
        <f>AH2059</f>
        <v>0</v>
      </c>
      <c r="AI2058" s="262">
        <f>AI2059</f>
        <v>0</v>
      </c>
      <c r="AJ2058" s="162" t="b">
        <f t="shared" si="1186"/>
        <v>1</v>
      </c>
      <c r="AK2058" s="162" t="str">
        <f t="shared" si="1187"/>
        <v>PRAZNO</v>
      </c>
      <c r="AL2058" s="263"/>
    </row>
    <row r="2059" spans="1:39" s="174" customFormat="1" ht="15.75" x14ac:dyDescent="0.2">
      <c r="A2059" s="259"/>
      <c r="B2059" s="172">
        <v>3</v>
      </c>
      <c r="C2059" s="172"/>
      <c r="D2059" s="172"/>
      <c r="E2059" s="172"/>
      <c r="F2059" s="172"/>
      <c r="G2059" s="172"/>
      <c r="H2059" s="14" t="s">
        <v>524</v>
      </c>
      <c r="I2059" s="20">
        <f t="shared" ref="I2059:AI2060" si="1189">I2060</f>
        <v>900000</v>
      </c>
      <c r="J2059" s="20">
        <f t="shared" si="1189"/>
        <v>500000</v>
      </c>
      <c r="K2059" s="20">
        <f t="shared" ref="K2059:K2068" si="1190">ROUND(J2059/I2059*100,2)</f>
        <v>55.56</v>
      </c>
      <c r="L2059" s="20">
        <f t="shared" si="1177"/>
        <v>0</v>
      </c>
      <c r="M2059" s="20">
        <f t="shared" si="1189"/>
        <v>900000</v>
      </c>
      <c r="N2059" s="20">
        <f t="shared" si="1189"/>
        <v>980000</v>
      </c>
      <c r="O2059" s="20">
        <f t="shared" si="1189"/>
        <v>0</v>
      </c>
      <c r="P2059" s="55">
        <f t="shared" ref="P2059:P2069" si="1191">T2059-N2059</f>
        <v>0</v>
      </c>
      <c r="Q2059" s="20">
        <f t="shared" si="1189"/>
        <v>980000</v>
      </c>
      <c r="R2059" s="20">
        <f t="shared" si="1189"/>
        <v>0</v>
      </c>
      <c r="S2059" s="20">
        <f t="shared" si="1189"/>
        <v>0</v>
      </c>
      <c r="T2059" s="55">
        <f t="shared" si="1189"/>
        <v>980000</v>
      </c>
      <c r="U2059" s="55">
        <f t="shared" si="1189"/>
        <v>980000</v>
      </c>
      <c r="V2059" s="20">
        <f t="shared" si="1189"/>
        <v>400000</v>
      </c>
      <c r="W2059" s="20">
        <f t="shared" si="1189"/>
        <v>0</v>
      </c>
      <c r="X2059" s="20">
        <f t="shared" si="1189"/>
        <v>0</v>
      </c>
      <c r="Y2059" s="20">
        <f t="shared" si="1189"/>
        <v>400000</v>
      </c>
      <c r="Z2059" s="20">
        <f t="shared" si="1166"/>
        <v>100</v>
      </c>
      <c r="AA2059" s="20">
        <f t="shared" si="1170"/>
        <v>0</v>
      </c>
      <c r="AB2059" s="20">
        <f t="shared" si="1189"/>
        <v>400000</v>
      </c>
      <c r="AC2059" s="20">
        <f t="shared" si="1189"/>
        <v>400000</v>
      </c>
      <c r="AD2059" s="20">
        <f t="shared" si="1179"/>
        <v>100</v>
      </c>
      <c r="AE2059" s="20">
        <f t="shared" si="1181"/>
        <v>0</v>
      </c>
      <c r="AF2059" s="20">
        <f t="shared" si="1189"/>
        <v>400000</v>
      </c>
      <c r="AG2059" s="20">
        <f t="shared" si="1189"/>
        <v>0</v>
      </c>
      <c r="AH2059" s="20">
        <f t="shared" si="1189"/>
        <v>0</v>
      </c>
      <c r="AI2059" s="20">
        <f t="shared" si="1189"/>
        <v>0</v>
      </c>
      <c r="AJ2059" s="162" t="b">
        <f t="shared" si="1186"/>
        <v>1</v>
      </c>
      <c r="AK2059" s="162" t="str">
        <f t="shared" si="1187"/>
        <v>PRAZNO</v>
      </c>
      <c r="AL2059" s="173"/>
      <c r="AM2059" s="164"/>
    </row>
    <row r="2060" spans="1:39" ht="15.75" x14ac:dyDescent="0.2">
      <c r="B2060" s="175"/>
      <c r="C2060" s="175">
        <v>36</v>
      </c>
      <c r="D2060" s="175"/>
      <c r="E2060" s="175"/>
      <c r="F2060" s="177"/>
      <c r="G2060" s="177"/>
      <c r="H2060" s="141" t="s">
        <v>751</v>
      </c>
      <c r="I2060" s="22">
        <f t="shared" si="1189"/>
        <v>900000</v>
      </c>
      <c r="J2060" s="22">
        <f t="shared" si="1189"/>
        <v>500000</v>
      </c>
      <c r="K2060" s="22">
        <f t="shared" si="1190"/>
        <v>55.56</v>
      </c>
      <c r="L2060" s="22">
        <f t="shared" si="1177"/>
        <v>0</v>
      </c>
      <c r="M2060" s="22">
        <f t="shared" si="1189"/>
        <v>900000</v>
      </c>
      <c r="N2060" s="22">
        <f t="shared" si="1189"/>
        <v>980000</v>
      </c>
      <c r="O2060" s="22">
        <f t="shared" si="1189"/>
        <v>0</v>
      </c>
      <c r="P2060" s="26">
        <f t="shared" si="1191"/>
        <v>0</v>
      </c>
      <c r="Q2060" s="22">
        <f t="shared" si="1189"/>
        <v>980000</v>
      </c>
      <c r="R2060" s="22">
        <f t="shared" si="1189"/>
        <v>0</v>
      </c>
      <c r="S2060" s="22">
        <f t="shared" si="1189"/>
        <v>0</v>
      </c>
      <c r="T2060" s="38">
        <f t="shared" si="1189"/>
        <v>980000</v>
      </c>
      <c r="U2060" s="38">
        <f t="shared" si="1189"/>
        <v>980000</v>
      </c>
      <c r="V2060" s="22">
        <f t="shared" si="1189"/>
        <v>400000</v>
      </c>
      <c r="W2060" s="22">
        <f t="shared" si="1189"/>
        <v>0</v>
      </c>
      <c r="X2060" s="22">
        <f t="shared" si="1189"/>
        <v>0</v>
      </c>
      <c r="Y2060" s="22">
        <f t="shared" si="1189"/>
        <v>400000</v>
      </c>
      <c r="Z2060" s="22">
        <f t="shared" si="1166"/>
        <v>100</v>
      </c>
      <c r="AA2060" s="22">
        <f t="shared" si="1170"/>
        <v>0</v>
      </c>
      <c r="AB2060" s="22">
        <f t="shared" si="1189"/>
        <v>400000</v>
      </c>
      <c r="AC2060" s="22">
        <f t="shared" si="1189"/>
        <v>400000</v>
      </c>
      <c r="AD2060" s="22">
        <f t="shared" si="1179"/>
        <v>100</v>
      </c>
      <c r="AE2060" s="22">
        <f t="shared" si="1181"/>
        <v>0</v>
      </c>
      <c r="AF2060" s="22">
        <f t="shared" si="1189"/>
        <v>400000</v>
      </c>
      <c r="AG2060" s="22">
        <f t="shared" si="1189"/>
        <v>0</v>
      </c>
      <c r="AH2060" s="22">
        <f t="shared" si="1189"/>
        <v>0</v>
      </c>
      <c r="AI2060" s="22">
        <f t="shared" si="1189"/>
        <v>0</v>
      </c>
      <c r="AJ2060" s="162" t="b">
        <f t="shared" si="1186"/>
        <v>1</v>
      </c>
      <c r="AK2060" s="162" t="str">
        <f t="shared" si="1187"/>
        <v>PRAZNO</v>
      </c>
      <c r="AM2060" s="164"/>
    </row>
    <row r="2061" spans="1:39" ht="15.75" x14ac:dyDescent="0.2">
      <c r="B2061" s="177"/>
      <c r="C2061" s="177"/>
      <c r="D2061" s="177">
        <v>363</v>
      </c>
      <c r="E2061" s="177"/>
      <c r="F2061" s="177"/>
      <c r="G2061" s="177"/>
      <c r="H2061" s="16" t="s">
        <v>536</v>
      </c>
      <c r="I2061" s="17">
        <f>SUM(I2062:I2063)</f>
        <v>900000</v>
      </c>
      <c r="J2061" s="17">
        <f>SUM(J2062:J2063)</f>
        <v>500000</v>
      </c>
      <c r="K2061" s="17">
        <f t="shared" si="1190"/>
        <v>55.56</v>
      </c>
      <c r="L2061" s="17">
        <f t="shared" si="1177"/>
        <v>0</v>
      </c>
      <c r="M2061" s="17">
        <f>SUM(M2062:M2063)</f>
        <v>900000</v>
      </c>
      <c r="N2061" s="17">
        <f>SUM(N2062:N2063)</f>
        <v>980000</v>
      </c>
      <c r="O2061" s="17">
        <f>SUM(O2062:O2063)</f>
        <v>0</v>
      </c>
      <c r="P2061" s="26">
        <f t="shared" si="1191"/>
        <v>0</v>
      </c>
      <c r="Q2061" s="17">
        <f t="shared" ref="Q2061:X2061" si="1192">SUM(Q2062:Q2063)</f>
        <v>980000</v>
      </c>
      <c r="R2061" s="17">
        <f t="shared" si="1192"/>
        <v>0</v>
      </c>
      <c r="S2061" s="17">
        <f t="shared" si="1192"/>
        <v>0</v>
      </c>
      <c r="T2061" s="26">
        <f t="shared" si="1192"/>
        <v>980000</v>
      </c>
      <c r="U2061" s="26">
        <f>SUM(U2062:U2063)</f>
        <v>980000</v>
      </c>
      <c r="V2061" s="17">
        <f t="shared" si="1192"/>
        <v>400000</v>
      </c>
      <c r="W2061" s="17">
        <f t="shared" si="1192"/>
        <v>0</v>
      </c>
      <c r="X2061" s="17">
        <f t="shared" si="1192"/>
        <v>0</v>
      </c>
      <c r="Y2061" s="17">
        <f>SUM(Y2062:Y2063)</f>
        <v>400000</v>
      </c>
      <c r="Z2061" s="17">
        <f t="shared" si="1166"/>
        <v>100</v>
      </c>
      <c r="AA2061" s="17">
        <f t="shared" si="1170"/>
        <v>0</v>
      </c>
      <c r="AB2061" s="17">
        <f>SUM(AB2062:AB2063)</f>
        <v>400000</v>
      </c>
      <c r="AC2061" s="17">
        <f>SUM(AC2062:AC2063)</f>
        <v>400000</v>
      </c>
      <c r="AD2061" s="17">
        <f t="shared" si="1179"/>
        <v>100</v>
      </c>
      <c r="AE2061" s="17">
        <f t="shared" si="1181"/>
        <v>0</v>
      </c>
      <c r="AF2061" s="17">
        <f>SUM(AF2062:AF2063)</f>
        <v>400000</v>
      </c>
      <c r="AG2061" s="17">
        <f>SUM(AG2062:AG2063)</f>
        <v>0</v>
      </c>
      <c r="AH2061" s="17">
        <f>SUM(AH2062:AH2063)</f>
        <v>0</v>
      </c>
      <c r="AI2061" s="17">
        <f>SUM(AI2062:AI2063)</f>
        <v>0</v>
      </c>
      <c r="AJ2061" s="162" t="b">
        <f t="shared" si="1186"/>
        <v>1</v>
      </c>
      <c r="AK2061" s="162" t="str">
        <f t="shared" si="1187"/>
        <v>PRAZNO</v>
      </c>
      <c r="AM2061" s="164"/>
    </row>
    <row r="2062" spans="1:39" ht="30" x14ac:dyDescent="0.2">
      <c r="B2062" s="177"/>
      <c r="C2062" s="177"/>
      <c r="D2062" s="177"/>
      <c r="E2062" s="177">
        <v>3632</v>
      </c>
      <c r="F2062" s="176">
        <v>14</v>
      </c>
      <c r="G2062" s="176"/>
      <c r="H2062" s="16" t="s">
        <v>390</v>
      </c>
      <c r="I2062" s="18">
        <v>400000</v>
      </c>
      <c r="J2062" s="18">
        <v>0</v>
      </c>
      <c r="K2062" s="18">
        <f t="shared" si="1190"/>
        <v>0</v>
      </c>
      <c r="L2062" s="18">
        <f t="shared" si="1177"/>
        <v>0</v>
      </c>
      <c r="M2062" s="18">
        <v>400000</v>
      </c>
      <c r="N2062" s="18">
        <v>780000</v>
      </c>
      <c r="O2062" s="18">
        <v>0</v>
      </c>
      <c r="P2062" s="26">
        <f t="shared" si="1191"/>
        <v>130000</v>
      </c>
      <c r="Q2062" s="18">
        <v>980000</v>
      </c>
      <c r="R2062" s="18">
        <v>0</v>
      </c>
      <c r="S2062" s="18">
        <v>0</v>
      </c>
      <c r="T2062" s="27">
        <v>910000</v>
      </c>
      <c r="U2062" s="27">
        <v>910000</v>
      </c>
      <c r="V2062" s="18">
        <v>400000</v>
      </c>
      <c r="W2062" s="18">
        <v>0</v>
      </c>
      <c r="X2062" s="18">
        <v>0</v>
      </c>
      <c r="Y2062" s="18">
        <v>400000</v>
      </c>
      <c r="Z2062" s="18">
        <f t="shared" si="1166"/>
        <v>100</v>
      </c>
      <c r="AA2062" s="18">
        <f t="shared" si="1170"/>
        <v>0</v>
      </c>
      <c r="AB2062" s="18">
        <v>400000</v>
      </c>
      <c r="AC2062" s="18">
        <v>400000</v>
      </c>
      <c r="AD2062" s="18">
        <f t="shared" si="1179"/>
        <v>100</v>
      </c>
      <c r="AE2062" s="18">
        <f t="shared" si="1181"/>
        <v>0</v>
      </c>
      <c r="AF2062" s="18">
        <v>400000</v>
      </c>
      <c r="AG2062" s="18">
        <v>0</v>
      </c>
      <c r="AH2062" s="18">
        <v>0</v>
      </c>
      <c r="AI2062" s="18">
        <v>0</v>
      </c>
      <c r="AJ2062" s="162" t="b">
        <f t="shared" si="1186"/>
        <v>0</v>
      </c>
      <c r="AK2062" s="162" t="str">
        <f t="shared" si="1187"/>
        <v>PUNO</v>
      </c>
      <c r="AL2062" s="263"/>
      <c r="AM2062" s="164"/>
    </row>
    <row r="2063" spans="1:39" ht="33" customHeight="1" x14ac:dyDescent="0.2">
      <c r="B2063" s="177"/>
      <c r="C2063" s="177"/>
      <c r="D2063" s="177"/>
      <c r="E2063" s="177">
        <v>3632</v>
      </c>
      <c r="F2063" s="176">
        <v>71</v>
      </c>
      <c r="G2063" s="176" t="s">
        <v>1040</v>
      </c>
      <c r="H2063" s="16" t="s">
        <v>396</v>
      </c>
      <c r="I2063" s="18">
        <v>500000</v>
      </c>
      <c r="J2063" s="18">
        <v>500000</v>
      </c>
      <c r="K2063" s="18">
        <f t="shared" si="1190"/>
        <v>100</v>
      </c>
      <c r="L2063" s="18">
        <f t="shared" si="1177"/>
        <v>0</v>
      </c>
      <c r="M2063" s="18">
        <v>500000</v>
      </c>
      <c r="N2063" s="18">
        <v>200000</v>
      </c>
      <c r="O2063" s="18">
        <v>0</v>
      </c>
      <c r="P2063" s="26">
        <f t="shared" si="1191"/>
        <v>-130000</v>
      </c>
      <c r="Q2063" s="18">
        <v>0</v>
      </c>
      <c r="R2063" s="18">
        <v>0</v>
      </c>
      <c r="S2063" s="18">
        <v>0</v>
      </c>
      <c r="T2063" s="27">
        <v>70000</v>
      </c>
      <c r="U2063" s="27">
        <v>70000</v>
      </c>
      <c r="V2063" s="18">
        <v>0</v>
      </c>
      <c r="W2063" s="18"/>
      <c r="X2063" s="18"/>
      <c r="Y2063" s="18"/>
      <c r="Z2063" s="18" t="e">
        <f t="shared" si="1166"/>
        <v>#DIV/0!</v>
      </c>
      <c r="AA2063" s="18">
        <f t="shared" si="1170"/>
        <v>0</v>
      </c>
      <c r="AB2063" s="18">
        <v>0</v>
      </c>
      <c r="AC2063" s="18"/>
      <c r="AD2063" s="18"/>
      <c r="AE2063" s="18">
        <f t="shared" si="1181"/>
        <v>0</v>
      </c>
      <c r="AF2063" s="18">
        <v>0</v>
      </c>
      <c r="AG2063" s="18">
        <v>0</v>
      </c>
      <c r="AH2063" s="18">
        <v>0</v>
      </c>
      <c r="AI2063" s="18">
        <v>0</v>
      </c>
      <c r="AJ2063" s="162" t="b">
        <f t="shared" si="1186"/>
        <v>0</v>
      </c>
      <c r="AK2063" s="162" t="str">
        <f t="shared" si="1187"/>
        <v>PUNO</v>
      </c>
      <c r="AL2063" s="263"/>
      <c r="AM2063" s="164"/>
    </row>
    <row r="2064" spans="1:39" s="171" customFormat="1" ht="31.5" x14ac:dyDescent="0.2">
      <c r="A2064" s="259"/>
      <c r="B2064" s="168"/>
      <c r="C2064" s="168"/>
      <c r="D2064" s="168"/>
      <c r="E2064" s="168"/>
      <c r="F2064" s="168"/>
      <c r="G2064" s="168"/>
      <c r="H2064" s="13" t="s">
        <v>450</v>
      </c>
      <c r="I2064" s="169">
        <f t="shared" ref="I2064:AI2067" si="1193">I2065</f>
        <v>0</v>
      </c>
      <c r="J2064" s="169">
        <f t="shared" si="1193"/>
        <v>0</v>
      </c>
      <c r="K2064" s="169" t="e">
        <f t="shared" si="1190"/>
        <v>#DIV/0!</v>
      </c>
      <c r="L2064" s="169">
        <f t="shared" si="1177"/>
        <v>0</v>
      </c>
      <c r="M2064" s="19">
        <f t="shared" si="1193"/>
        <v>0</v>
      </c>
      <c r="N2064" s="19">
        <f t="shared" si="1193"/>
        <v>0</v>
      </c>
      <c r="O2064" s="19">
        <f t="shared" si="1193"/>
        <v>0</v>
      </c>
      <c r="P2064" s="205">
        <f t="shared" si="1191"/>
        <v>0</v>
      </c>
      <c r="Q2064" s="19">
        <f t="shared" si="1193"/>
        <v>0</v>
      </c>
      <c r="R2064" s="19">
        <f t="shared" si="1193"/>
        <v>0</v>
      </c>
      <c r="S2064" s="19">
        <f t="shared" si="1193"/>
        <v>0</v>
      </c>
      <c r="T2064" s="53">
        <f t="shared" si="1193"/>
        <v>0</v>
      </c>
      <c r="U2064" s="53">
        <f t="shared" si="1193"/>
        <v>0</v>
      </c>
      <c r="V2064" s="19">
        <f t="shared" si="1193"/>
        <v>0</v>
      </c>
      <c r="W2064" s="19">
        <f t="shared" si="1193"/>
        <v>0</v>
      </c>
      <c r="X2064" s="19">
        <f t="shared" si="1193"/>
        <v>0</v>
      </c>
      <c r="Y2064" s="19">
        <f t="shared" si="1193"/>
        <v>0</v>
      </c>
      <c r="Z2064" s="19" t="e">
        <f t="shared" si="1166"/>
        <v>#DIV/0!</v>
      </c>
      <c r="AA2064" s="19">
        <f t="shared" si="1170"/>
        <v>0</v>
      </c>
      <c r="AB2064" s="19">
        <f t="shared" si="1193"/>
        <v>0</v>
      </c>
      <c r="AC2064" s="19">
        <f t="shared" si="1193"/>
        <v>0</v>
      </c>
      <c r="AD2064" s="19"/>
      <c r="AE2064" s="19">
        <f t="shared" si="1181"/>
        <v>0</v>
      </c>
      <c r="AF2064" s="19">
        <f t="shared" si="1193"/>
        <v>0</v>
      </c>
      <c r="AG2064" s="19">
        <f t="shared" si="1193"/>
        <v>0</v>
      </c>
      <c r="AH2064" s="19">
        <f t="shared" si="1193"/>
        <v>0</v>
      </c>
      <c r="AI2064" s="19">
        <f t="shared" si="1193"/>
        <v>0</v>
      </c>
      <c r="AJ2064" s="162" t="b">
        <f t="shared" si="1186"/>
        <v>1</v>
      </c>
      <c r="AK2064" s="162" t="str">
        <f t="shared" si="1187"/>
        <v>PRAZNO</v>
      </c>
      <c r="AL2064" s="263"/>
      <c r="AM2064" s="164"/>
    </row>
    <row r="2065" spans="1:39" s="174" customFormat="1" ht="15.75" x14ac:dyDescent="0.2">
      <c r="A2065" s="259"/>
      <c r="B2065" s="172">
        <v>3</v>
      </c>
      <c r="C2065" s="172"/>
      <c r="D2065" s="172"/>
      <c r="E2065" s="172"/>
      <c r="F2065" s="172"/>
      <c r="G2065" s="172"/>
      <c r="H2065" s="14" t="s">
        <v>524</v>
      </c>
      <c r="I2065" s="20">
        <f t="shared" si="1193"/>
        <v>0</v>
      </c>
      <c r="J2065" s="20">
        <f t="shared" si="1193"/>
        <v>0</v>
      </c>
      <c r="K2065" s="20" t="e">
        <f t="shared" si="1190"/>
        <v>#DIV/0!</v>
      </c>
      <c r="L2065" s="20">
        <f t="shared" si="1177"/>
        <v>0</v>
      </c>
      <c r="M2065" s="20">
        <f t="shared" si="1193"/>
        <v>0</v>
      </c>
      <c r="N2065" s="20">
        <f t="shared" si="1193"/>
        <v>0</v>
      </c>
      <c r="O2065" s="20">
        <f t="shared" si="1193"/>
        <v>0</v>
      </c>
      <c r="P2065" s="55">
        <f t="shared" si="1191"/>
        <v>0</v>
      </c>
      <c r="Q2065" s="20">
        <f t="shared" si="1193"/>
        <v>0</v>
      </c>
      <c r="R2065" s="20">
        <f t="shared" si="1193"/>
        <v>0</v>
      </c>
      <c r="S2065" s="20">
        <f t="shared" si="1193"/>
        <v>0</v>
      </c>
      <c r="T2065" s="55">
        <f t="shared" si="1193"/>
        <v>0</v>
      </c>
      <c r="U2065" s="55">
        <f t="shared" si="1193"/>
        <v>0</v>
      </c>
      <c r="V2065" s="20">
        <f t="shared" si="1193"/>
        <v>0</v>
      </c>
      <c r="W2065" s="20">
        <f t="shared" si="1193"/>
        <v>0</v>
      </c>
      <c r="X2065" s="20">
        <f t="shared" si="1193"/>
        <v>0</v>
      </c>
      <c r="Y2065" s="20">
        <f t="shared" si="1193"/>
        <v>0</v>
      </c>
      <c r="Z2065" s="20" t="e">
        <f t="shared" si="1166"/>
        <v>#DIV/0!</v>
      </c>
      <c r="AA2065" s="20">
        <f t="shared" si="1170"/>
        <v>0</v>
      </c>
      <c r="AB2065" s="20">
        <f t="shared" si="1193"/>
        <v>0</v>
      </c>
      <c r="AC2065" s="20">
        <f t="shared" si="1193"/>
        <v>0</v>
      </c>
      <c r="AD2065" s="20"/>
      <c r="AE2065" s="20">
        <f t="shared" si="1181"/>
        <v>0</v>
      </c>
      <c r="AF2065" s="20">
        <f t="shared" si="1193"/>
        <v>0</v>
      </c>
      <c r="AG2065" s="20">
        <f t="shared" si="1193"/>
        <v>0</v>
      </c>
      <c r="AH2065" s="20">
        <f t="shared" si="1193"/>
        <v>0</v>
      </c>
      <c r="AI2065" s="20">
        <f t="shared" si="1193"/>
        <v>0</v>
      </c>
      <c r="AJ2065" s="162" t="b">
        <f t="shared" si="1186"/>
        <v>1</v>
      </c>
      <c r="AK2065" s="162" t="str">
        <f t="shared" si="1187"/>
        <v>PRAZNO</v>
      </c>
      <c r="AL2065" s="263"/>
      <c r="AM2065" s="164"/>
    </row>
    <row r="2066" spans="1:39" ht="15.75" x14ac:dyDescent="0.2">
      <c r="B2066" s="177"/>
      <c r="C2066" s="177">
        <v>36</v>
      </c>
      <c r="D2066" s="177"/>
      <c r="E2066" s="177"/>
      <c r="F2066" s="176"/>
      <c r="G2066" s="176"/>
      <c r="H2066" s="141" t="s">
        <v>751</v>
      </c>
      <c r="I2066" s="17">
        <f t="shared" si="1193"/>
        <v>0</v>
      </c>
      <c r="J2066" s="17">
        <f t="shared" si="1193"/>
        <v>0</v>
      </c>
      <c r="K2066" s="17" t="e">
        <f t="shared" si="1190"/>
        <v>#DIV/0!</v>
      </c>
      <c r="L2066" s="17">
        <f t="shared" si="1177"/>
        <v>0</v>
      </c>
      <c r="M2066" s="17">
        <f t="shared" si="1193"/>
        <v>0</v>
      </c>
      <c r="N2066" s="17">
        <f t="shared" si="1193"/>
        <v>0</v>
      </c>
      <c r="O2066" s="17">
        <f t="shared" si="1193"/>
        <v>0</v>
      </c>
      <c r="P2066" s="26">
        <f t="shared" si="1191"/>
        <v>0</v>
      </c>
      <c r="Q2066" s="17">
        <f t="shared" si="1193"/>
        <v>0</v>
      </c>
      <c r="R2066" s="17">
        <f t="shared" si="1193"/>
        <v>0</v>
      </c>
      <c r="S2066" s="17">
        <f t="shared" si="1193"/>
        <v>0</v>
      </c>
      <c r="T2066" s="26">
        <f t="shared" si="1193"/>
        <v>0</v>
      </c>
      <c r="U2066" s="26">
        <f t="shared" si="1193"/>
        <v>0</v>
      </c>
      <c r="V2066" s="17">
        <f t="shared" si="1193"/>
        <v>0</v>
      </c>
      <c r="W2066" s="17">
        <f t="shared" si="1193"/>
        <v>0</v>
      </c>
      <c r="X2066" s="17">
        <f t="shared" si="1193"/>
        <v>0</v>
      </c>
      <c r="Y2066" s="17">
        <f t="shared" si="1193"/>
        <v>0</v>
      </c>
      <c r="Z2066" s="17" t="e">
        <f t="shared" ref="Z2066:Z2129" si="1194">ROUND(Y2066/V2066*100,2)</f>
        <v>#DIV/0!</v>
      </c>
      <c r="AA2066" s="17">
        <f t="shared" si="1170"/>
        <v>0</v>
      </c>
      <c r="AB2066" s="17">
        <f t="shared" si="1193"/>
        <v>0</v>
      </c>
      <c r="AC2066" s="17">
        <f t="shared" si="1193"/>
        <v>0</v>
      </c>
      <c r="AD2066" s="17"/>
      <c r="AE2066" s="17">
        <f t="shared" si="1181"/>
        <v>0</v>
      </c>
      <c r="AF2066" s="17">
        <f t="shared" si="1193"/>
        <v>0</v>
      </c>
      <c r="AG2066" s="17">
        <f t="shared" si="1193"/>
        <v>0</v>
      </c>
      <c r="AH2066" s="17">
        <f t="shared" si="1193"/>
        <v>0</v>
      </c>
      <c r="AI2066" s="17">
        <f t="shared" si="1193"/>
        <v>0</v>
      </c>
      <c r="AJ2066" s="162" t="b">
        <f t="shared" si="1186"/>
        <v>1</v>
      </c>
      <c r="AK2066" s="162" t="str">
        <f t="shared" si="1187"/>
        <v>PRAZNO</v>
      </c>
      <c r="AL2066" s="263"/>
      <c r="AM2066" s="164"/>
    </row>
    <row r="2067" spans="1:39" ht="15.75" x14ac:dyDescent="0.2">
      <c r="B2067" s="177"/>
      <c r="C2067" s="177"/>
      <c r="D2067" s="177">
        <v>363</v>
      </c>
      <c r="E2067" s="177"/>
      <c r="F2067" s="176"/>
      <c r="G2067" s="176"/>
      <c r="H2067" s="16" t="s">
        <v>536</v>
      </c>
      <c r="I2067" s="17">
        <f t="shared" si="1193"/>
        <v>0</v>
      </c>
      <c r="J2067" s="17">
        <f t="shared" si="1193"/>
        <v>0</v>
      </c>
      <c r="K2067" s="17" t="e">
        <f t="shared" si="1190"/>
        <v>#DIV/0!</v>
      </c>
      <c r="L2067" s="17">
        <f t="shared" si="1177"/>
        <v>0</v>
      </c>
      <c r="M2067" s="17">
        <f t="shared" si="1193"/>
        <v>0</v>
      </c>
      <c r="N2067" s="17">
        <f t="shared" si="1193"/>
        <v>0</v>
      </c>
      <c r="O2067" s="17">
        <f t="shared" si="1193"/>
        <v>0</v>
      </c>
      <c r="P2067" s="26">
        <f t="shared" si="1191"/>
        <v>0</v>
      </c>
      <c r="Q2067" s="17">
        <f t="shared" si="1193"/>
        <v>0</v>
      </c>
      <c r="R2067" s="17">
        <f t="shared" si="1193"/>
        <v>0</v>
      </c>
      <c r="S2067" s="17">
        <f t="shared" si="1193"/>
        <v>0</v>
      </c>
      <c r="T2067" s="26">
        <f t="shared" si="1193"/>
        <v>0</v>
      </c>
      <c r="U2067" s="26">
        <f t="shared" si="1193"/>
        <v>0</v>
      </c>
      <c r="V2067" s="17">
        <f t="shared" si="1193"/>
        <v>0</v>
      </c>
      <c r="W2067" s="17">
        <f t="shared" si="1193"/>
        <v>0</v>
      </c>
      <c r="X2067" s="17">
        <f t="shared" si="1193"/>
        <v>0</v>
      </c>
      <c r="Y2067" s="17">
        <f t="shared" si="1193"/>
        <v>0</v>
      </c>
      <c r="Z2067" s="17" t="e">
        <f t="shared" si="1194"/>
        <v>#DIV/0!</v>
      </c>
      <c r="AA2067" s="17">
        <f t="shared" si="1170"/>
        <v>0</v>
      </c>
      <c r="AB2067" s="17">
        <f t="shared" si="1193"/>
        <v>0</v>
      </c>
      <c r="AC2067" s="17">
        <f t="shared" si="1193"/>
        <v>0</v>
      </c>
      <c r="AD2067" s="17"/>
      <c r="AE2067" s="17">
        <f t="shared" si="1181"/>
        <v>0</v>
      </c>
      <c r="AF2067" s="17">
        <f t="shared" si="1193"/>
        <v>0</v>
      </c>
      <c r="AG2067" s="17">
        <f t="shared" si="1193"/>
        <v>0</v>
      </c>
      <c r="AH2067" s="17">
        <f t="shared" si="1193"/>
        <v>0</v>
      </c>
      <c r="AI2067" s="17">
        <f t="shared" si="1193"/>
        <v>0</v>
      </c>
      <c r="AJ2067" s="162" t="b">
        <f t="shared" si="1186"/>
        <v>1</v>
      </c>
      <c r="AK2067" s="162" t="str">
        <f t="shared" si="1187"/>
        <v>PRAZNO</v>
      </c>
      <c r="AL2067" s="263"/>
      <c r="AM2067" s="164"/>
    </row>
    <row r="2068" spans="1:39" ht="15.75" x14ac:dyDescent="0.2">
      <c r="B2068" s="177"/>
      <c r="C2068" s="177"/>
      <c r="D2068" s="177"/>
      <c r="E2068" s="177">
        <v>3632</v>
      </c>
      <c r="F2068" s="176" t="s">
        <v>449</v>
      </c>
      <c r="G2068" s="176"/>
      <c r="H2068" s="41" t="s">
        <v>227</v>
      </c>
      <c r="I2068" s="17">
        <v>0</v>
      </c>
      <c r="J2068" s="17"/>
      <c r="K2068" s="17" t="e">
        <f t="shared" si="1190"/>
        <v>#DIV/0!</v>
      </c>
      <c r="L2068" s="17">
        <f t="shared" si="1177"/>
        <v>0</v>
      </c>
      <c r="M2068" s="17"/>
      <c r="N2068" s="17"/>
      <c r="O2068" s="17"/>
      <c r="P2068" s="26">
        <f t="shared" si="1191"/>
        <v>0</v>
      </c>
      <c r="Q2068" s="17"/>
      <c r="R2068" s="17"/>
      <c r="S2068" s="17"/>
      <c r="T2068" s="26"/>
      <c r="U2068" s="26"/>
      <c r="V2068" s="17"/>
      <c r="W2068" s="17"/>
      <c r="X2068" s="17"/>
      <c r="Y2068" s="17"/>
      <c r="Z2068" s="17" t="e">
        <f t="shared" si="1194"/>
        <v>#DIV/0!</v>
      </c>
      <c r="AA2068" s="17">
        <f t="shared" si="1170"/>
        <v>0</v>
      </c>
      <c r="AB2068" s="17"/>
      <c r="AC2068" s="17"/>
      <c r="AD2068" s="17"/>
      <c r="AE2068" s="17">
        <f t="shared" si="1181"/>
        <v>0</v>
      </c>
      <c r="AF2068" s="17"/>
      <c r="AG2068" s="17"/>
      <c r="AH2068" s="17"/>
      <c r="AI2068" s="17"/>
      <c r="AJ2068" s="162" t="b">
        <f t="shared" si="1186"/>
        <v>0</v>
      </c>
      <c r="AK2068" s="162" t="str">
        <f t="shared" si="1187"/>
        <v>PUNO</v>
      </c>
      <c r="AL2068" s="263"/>
      <c r="AM2068" s="164"/>
    </row>
    <row r="2069" spans="1:39" s="171" customFormat="1" ht="36" customHeight="1" x14ac:dyDescent="0.2">
      <c r="A2069" s="259"/>
      <c r="B2069" s="168"/>
      <c r="C2069" s="168"/>
      <c r="D2069" s="168"/>
      <c r="E2069" s="168"/>
      <c r="F2069" s="168"/>
      <c r="G2069" s="168"/>
      <c r="H2069" s="13" t="s">
        <v>615</v>
      </c>
      <c r="I2069" s="169"/>
      <c r="J2069" s="169"/>
      <c r="K2069" s="169"/>
      <c r="L2069" s="169"/>
      <c r="M2069" s="205">
        <f>M2071</f>
        <v>0</v>
      </c>
      <c r="N2069" s="303">
        <f>N2071</f>
        <v>770000</v>
      </c>
      <c r="O2069" s="303">
        <f>O2071</f>
        <v>0</v>
      </c>
      <c r="P2069" s="303">
        <f t="shared" si="1191"/>
        <v>0</v>
      </c>
      <c r="Q2069" s="205">
        <f t="shared" ref="Q2069:X2069" si="1195">Q2071</f>
        <v>770000</v>
      </c>
      <c r="R2069" s="205">
        <f t="shared" si="1195"/>
        <v>1800000</v>
      </c>
      <c r="S2069" s="205">
        <f t="shared" si="1195"/>
        <v>0</v>
      </c>
      <c r="T2069" s="303">
        <f t="shared" si="1195"/>
        <v>770000</v>
      </c>
      <c r="U2069" s="303">
        <f>U2071</f>
        <v>0</v>
      </c>
      <c r="V2069" s="303">
        <f t="shared" si="1195"/>
        <v>1500000</v>
      </c>
      <c r="W2069" s="303">
        <f t="shared" si="1195"/>
        <v>1000000</v>
      </c>
      <c r="X2069" s="303">
        <f t="shared" si="1195"/>
        <v>1200000</v>
      </c>
      <c r="Y2069" s="303">
        <f>Y2071</f>
        <v>0</v>
      </c>
      <c r="Z2069" s="303">
        <f t="shared" si="1194"/>
        <v>0</v>
      </c>
      <c r="AA2069" s="303">
        <f t="shared" ref="AA2069:AA2132" si="1196">AB2069-V2069</f>
        <v>250000</v>
      </c>
      <c r="AB2069" s="303">
        <f>AB2071+AB2075</f>
        <v>1750000</v>
      </c>
      <c r="AC2069" s="303">
        <f>AC2071+AC2075</f>
        <v>0</v>
      </c>
      <c r="AD2069" s="303">
        <f t="shared" si="1179"/>
        <v>0</v>
      </c>
      <c r="AE2069" s="303">
        <f t="shared" si="1181"/>
        <v>0</v>
      </c>
      <c r="AF2069" s="303">
        <f>AF2071+AF2075</f>
        <v>1750000</v>
      </c>
      <c r="AG2069" s="303">
        <f>AG2071+AG2075</f>
        <v>4200000</v>
      </c>
      <c r="AH2069" s="303">
        <f>AH2071+AH2075</f>
        <v>2000000</v>
      </c>
      <c r="AI2069" s="303">
        <f>AI2071+AI2075</f>
        <v>0</v>
      </c>
      <c r="AJ2069" s="162" t="b">
        <f t="shared" si="1186"/>
        <v>1</v>
      </c>
      <c r="AK2069" s="162" t="str">
        <f t="shared" si="1187"/>
        <v>PRAZNO</v>
      </c>
      <c r="AL2069" s="263"/>
    </row>
    <row r="2070" spans="1:39" s="264" customFormat="1" ht="15.75" x14ac:dyDescent="0.2">
      <c r="A2070" s="259"/>
      <c r="B2070" s="260"/>
      <c r="C2070" s="260"/>
      <c r="D2070" s="260"/>
      <c r="E2070" s="260"/>
      <c r="F2070" s="260"/>
      <c r="G2070" s="260"/>
      <c r="H2070" s="440" t="s">
        <v>824</v>
      </c>
      <c r="I2070" s="181"/>
      <c r="J2070" s="181"/>
      <c r="K2070" s="181"/>
      <c r="L2070" s="181"/>
      <c r="M2070" s="307"/>
      <c r="N2070" s="445"/>
      <c r="O2070" s="445"/>
      <c r="P2070" s="445"/>
      <c r="Q2070" s="307"/>
      <c r="R2070" s="307"/>
      <c r="S2070" s="307"/>
      <c r="T2070" s="445"/>
      <c r="U2070" s="445"/>
      <c r="V2070" s="445">
        <f>V2071</f>
        <v>1500000</v>
      </c>
      <c r="W2070" s="445">
        <f>W2071</f>
        <v>1000000</v>
      </c>
      <c r="X2070" s="445">
        <f>X2071</f>
        <v>1200000</v>
      </c>
      <c r="Y2070" s="445">
        <f>Y2071</f>
        <v>0</v>
      </c>
      <c r="Z2070" s="445">
        <f t="shared" si="1194"/>
        <v>0</v>
      </c>
      <c r="AA2070" s="445">
        <f t="shared" si="1196"/>
        <v>250000</v>
      </c>
      <c r="AB2070" s="445">
        <f>AB2071</f>
        <v>1750000</v>
      </c>
      <c r="AC2070" s="445">
        <f>AC2071</f>
        <v>0</v>
      </c>
      <c r="AD2070" s="445">
        <f t="shared" si="1179"/>
        <v>0</v>
      </c>
      <c r="AE2070" s="445">
        <f t="shared" si="1181"/>
        <v>0</v>
      </c>
      <c r="AF2070" s="445">
        <f>AF2071</f>
        <v>1750000</v>
      </c>
      <c r="AG2070" s="445">
        <f>AG2071</f>
        <v>4200000</v>
      </c>
      <c r="AH2070" s="445">
        <f>AH2071</f>
        <v>2000000</v>
      </c>
      <c r="AI2070" s="445">
        <f>AI2071</f>
        <v>0</v>
      </c>
      <c r="AJ2070" s="162" t="b">
        <f t="shared" si="1186"/>
        <v>1</v>
      </c>
      <c r="AK2070" s="162" t="str">
        <f t="shared" si="1187"/>
        <v>PRAZNO</v>
      </c>
      <c r="AL2070" s="263"/>
    </row>
    <row r="2071" spans="1:39" s="174" customFormat="1" ht="15.75" x14ac:dyDescent="0.2">
      <c r="A2071" s="259"/>
      <c r="B2071" s="172">
        <v>4</v>
      </c>
      <c r="C2071" s="172"/>
      <c r="D2071" s="172"/>
      <c r="E2071" s="172"/>
      <c r="F2071" s="172"/>
      <c r="G2071" s="172"/>
      <c r="H2071" s="14" t="s">
        <v>552</v>
      </c>
      <c r="I2071" s="20"/>
      <c r="J2071" s="20"/>
      <c r="K2071" s="20"/>
      <c r="L2071" s="20"/>
      <c r="M2071" s="55">
        <f t="shared" ref="M2071:AI2073" si="1197">M2072</f>
        <v>0</v>
      </c>
      <c r="N2071" s="55">
        <f t="shared" si="1197"/>
        <v>770000</v>
      </c>
      <c r="O2071" s="55">
        <f t="shared" si="1197"/>
        <v>0</v>
      </c>
      <c r="P2071" s="55">
        <f>T2071-N2071</f>
        <v>0</v>
      </c>
      <c r="Q2071" s="55">
        <f t="shared" si="1197"/>
        <v>770000</v>
      </c>
      <c r="R2071" s="55">
        <f t="shared" si="1197"/>
        <v>1800000</v>
      </c>
      <c r="S2071" s="55">
        <f t="shared" si="1197"/>
        <v>0</v>
      </c>
      <c r="T2071" s="55">
        <f t="shared" si="1197"/>
        <v>770000</v>
      </c>
      <c r="U2071" s="55">
        <f t="shared" si="1197"/>
        <v>0</v>
      </c>
      <c r="V2071" s="55">
        <f t="shared" si="1197"/>
        <v>1500000</v>
      </c>
      <c r="W2071" s="55">
        <f t="shared" si="1197"/>
        <v>1000000</v>
      </c>
      <c r="X2071" s="55">
        <f t="shared" si="1197"/>
        <v>1200000</v>
      </c>
      <c r="Y2071" s="55">
        <f t="shared" si="1197"/>
        <v>0</v>
      </c>
      <c r="Z2071" s="55">
        <f t="shared" si="1194"/>
        <v>0</v>
      </c>
      <c r="AA2071" s="55">
        <f t="shared" si="1196"/>
        <v>250000</v>
      </c>
      <c r="AB2071" s="55">
        <f t="shared" si="1197"/>
        <v>1750000</v>
      </c>
      <c r="AC2071" s="55">
        <f t="shared" si="1197"/>
        <v>0</v>
      </c>
      <c r="AD2071" s="55">
        <f t="shared" si="1179"/>
        <v>0</v>
      </c>
      <c r="AE2071" s="55">
        <f t="shared" si="1181"/>
        <v>0</v>
      </c>
      <c r="AF2071" s="55">
        <f t="shared" si="1197"/>
        <v>1750000</v>
      </c>
      <c r="AG2071" s="55">
        <f t="shared" si="1197"/>
        <v>4200000</v>
      </c>
      <c r="AH2071" s="55">
        <f t="shared" si="1197"/>
        <v>2000000</v>
      </c>
      <c r="AI2071" s="55">
        <f t="shared" si="1197"/>
        <v>0</v>
      </c>
      <c r="AJ2071" s="162" t="b">
        <f t="shared" si="1186"/>
        <v>1</v>
      </c>
      <c r="AK2071" s="162" t="str">
        <f t="shared" si="1187"/>
        <v>PRAZNO</v>
      </c>
      <c r="AL2071" s="263"/>
    </row>
    <row r="2072" spans="1:39" ht="15.75" x14ac:dyDescent="0.2">
      <c r="B2072" s="177"/>
      <c r="C2072" s="177">
        <v>42</v>
      </c>
      <c r="D2072" s="177"/>
      <c r="E2072" s="177"/>
      <c r="F2072" s="177"/>
      <c r="G2072" s="177"/>
      <c r="H2072" s="41" t="s">
        <v>212</v>
      </c>
      <c r="I2072" s="17"/>
      <c r="J2072" s="17"/>
      <c r="K2072" s="17"/>
      <c r="L2072" s="17"/>
      <c r="M2072" s="26">
        <f t="shared" si="1197"/>
        <v>0</v>
      </c>
      <c r="N2072" s="26">
        <f t="shared" si="1197"/>
        <v>770000</v>
      </c>
      <c r="O2072" s="26">
        <f t="shared" si="1197"/>
        <v>0</v>
      </c>
      <c r="P2072" s="26">
        <f>T2072-N2072</f>
        <v>0</v>
      </c>
      <c r="Q2072" s="26">
        <f t="shared" si="1197"/>
        <v>770000</v>
      </c>
      <c r="R2072" s="26">
        <f t="shared" si="1197"/>
        <v>1800000</v>
      </c>
      <c r="S2072" s="26">
        <f t="shared" si="1197"/>
        <v>0</v>
      </c>
      <c r="T2072" s="26">
        <f t="shared" si="1197"/>
        <v>770000</v>
      </c>
      <c r="U2072" s="26">
        <f t="shared" si="1197"/>
        <v>0</v>
      </c>
      <c r="V2072" s="26">
        <f t="shared" si="1197"/>
        <v>1500000</v>
      </c>
      <c r="W2072" s="26">
        <f t="shared" si="1197"/>
        <v>1000000</v>
      </c>
      <c r="X2072" s="26">
        <f t="shared" si="1197"/>
        <v>1200000</v>
      </c>
      <c r="Y2072" s="26">
        <f t="shared" si="1197"/>
        <v>0</v>
      </c>
      <c r="Z2072" s="26">
        <f t="shared" si="1194"/>
        <v>0</v>
      </c>
      <c r="AA2072" s="26">
        <f t="shared" si="1196"/>
        <v>250000</v>
      </c>
      <c r="AB2072" s="26">
        <f t="shared" si="1197"/>
        <v>1750000</v>
      </c>
      <c r="AC2072" s="26">
        <f t="shared" si="1197"/>
        <v>0</v>
      </c>
      <c r="AD2072" s="26">
        <f t="shared" si="1179"/>
        <v>0</v>
      </c>
      <c r="AE2072" s="26">
        <f t="shared" si="1181"/>
        <v>0</v>
      </c>
      <c r="AF2072" s="26">
        <f t="shared" si="1197"/>
        <v>1750000</v>
      </c>
      <c r="AG2072" s="26">
        <f t="shared" si="1197"/>
        <v>4200000</v>
      </c>
      <c r="AH2072" s="26">
        <f t="shared" si="1197"/>
        <v>2000000</v>
      </c>
      <c r="AI2072" s="26">
        <f t="shared" si="1197"/>
        <v>0</v>
      </c>
      <c r="AJ2072" s="162" t="b">
        <f t="shared" si="1186"/>
        <v>1</v>
      </c>
      <c r="AK2072" s="162" t="str">
        <f t="shared" si="1187"/>
        <v>PRAZNO</v>
      </c>
      <c r="AL2072" s="263"/>
      <c r="AM2072" s="164"/>
    </row>
    <row r="2073" spans="1:39" ht="15.75" x14ac:dyDescent="0.2">
      <c r="B2073" s="177"/>
      <c r="C2073" s="177"/>
      <c r="D2073" s="177">
        <v>421</v>
      </c>
      <c r="E2073" s="177"/>
      <c r="F2073" s="177"/>
      <c r="G2073" s="177"/>
      <c r="H2073" s="41" t="s">
        <v>759</v>
      </c>
      <c r="I2073" s="17"/>
      <c r="J2073" s="17"/>
      <c r="K2073" s="17"/>
      <c r="L2073" s="17"/>
      <c r="M2073" s="26">
        <f t="shared" si="1197"/>
        <v>0</v>
      </c>
      <c r="N2073" s="26">
        <f t="shared" si="1197"/>
        <v>770000</v>
      </c>
      <c r="O2073" s="26">
        <f t="shared" si="1197"/>
        <v>0</v>
      </c>
      <c r="P2073" s="26">
        <f>T2073-N2073</f>
        <v>0</v>
      </c>
      <c r="Q2073" s="26">
        <f t="shared" si="1197"/>
        <v>770000</v>
      </c>
      <c r="R2073" s="26">
        <f t="shared" si="1197"/>
        <v>1800000</v>
      </c>
      <c r="S2073" s="26">
        <f t="shared" si="1197"/>
        <v>0</v>
      </c>
      <c r="T2073" s="26">
        <f t="shared" si="1197"/>
        <v>770000</v>
      </c>
      <c r="U2073" s="26">
        <f t="shared" si="1197"/>
        <v>0</v>
      </c>
      <c r="V2073" s="26">
        <f t="shared" si="1197"/>
        <v>1500000</v>
      </c>
      <c r="W2073" s="26">
        <f t="shared" si="1197"/>
        <v>1000000</v>
      </c>
      <c r="X2073" s="26">
        <f t="shared" si="1197"/>
        <v>1200000</v>
      </c>
      <c r="Y2073" s="26">
        <f t="shared" si="1197"/>
        <v>0</v>
      </c>
      <c r="Z2073" s="26">
        <f t="shared" si="1194"/>
        <v>0</v>
      </c>
      <c r="AA2073" s="26">
        <f t="shared" si="1196"/>
        <v>250000</v>
      </c>
      <c r="AB2073" s="26">
        <f t="shared" si="1197"/>
        <v>1750000</v>
      </c>
      <c r="AC2073" s="26">
        <f t="shared" si="1197"/>
        <v>0</v>
      </c>
      <c r="AD2073" s="26">
        <f t="shared" si="1179"/>
        <v>0</v>
      </c>
      <c r="AE2073" s="26">
        <f t="shared" si="1181"/>
        <v>0</v>
      </c>
      <c r="AF2073" s="26">
        <f t="shared" si="1197"/>
        <v>1750000</v>
      </c>
      <c r="AG2073" s="26">
        <f t="shared" si="1197"/>
        <v>4200000</v>
      </c>
      <c r="AH2073" s="26">
        <f t="shared" si="1197"/>
        <v>2000000</v>
      </c>
      <c r="AI2073" s="26">
        <f t="shared" si="1197"/>
        <v>0</v>
      </c>
      <c r="AJ2073" s="162" t="b">
        <f t="shared" si="1186"/>
        <v>1</v>
      </c>
      <c r="AK2073" s="162" t="str">
        <f t="shared" si="1187"/>
        <v>PRAZNO</v>
      </c>
      <c r="AL2073" s="263"/>
      <c r="AM2073" s="164"/>
    </row>
    <row r="2074" spans="1:39" ht="15.75" x14ac:dyDescent="0.2">
      <c r="B2074" s="177"/>
      <c r="C2074" s="177"/>
      <c r="D2074" s="177"/>
      <c r="E2074" s="177">
        <v>4212</v>
      </c>
      <c r="F2074" s="176">
        <v>14</v>
      </c>
      <c r="G2074" s="176"/>
      <c r="H2074" s="41" t="s">
        <v>649</v>
      </c>
      <c r="I2074" s="17"/>
      <c r="J2074" s="17"/>
      <c r="K2074" s="17"/>
      <c r="L2074" s="17"/>
      <c r="M2074" s="17"/>
      <c r="N2074" s="17">
        <v>770000</v>
      </c>
      <c r="O2074" s="17">
        <v>0</v>
      </c>
      <c r="P2074" s="26">
        <f>T2074-N2074</f>
        <v>0</v>
      </c>
      <c r="Q2074" s="17">
        <v>770000</v>
      </c>
      <c r="R2074" s="17">
        <v>1800000</v>
      </c>
      <c r="S2074" s="17">
        <v>0</v>
      </c>
      <c r="T2074" s="26">
        <v>770000</v>
      </c>
      <c r="U2074" s="26">
        <v>0</v>
      </c>
      <c r="V2074" s="17">
        <v>1500000</v>
      </c>
      <c r="W2074" s="17">
        <v>1000000</v>
      </c>
      <c r="X2074" s="17">
        <v>1200000</v>
      </c>
      <c r="Y2074" s="17">
        <v>0</v>
      </c>
      <c r="Z2074" s="17">
        <f t="shared" si="1194"/>
        <v>0</v>
      </c>
      <c r="AA2074" s="17">
        <f t="shared" si="1196"/>
        <v>250000</v>
      </c>
      <c r="AB2074" s="17">
        <f>1500000+250000</f>
        <v>1750000</v>
      </c>
      <c r="AC2074" s="17">
        <v>0</v>
      </c>
      <c r="AD2074" s="17">
        <f t="shared" si="1179"/>
        <v>0</v>
      </c>
      <c r="AE2074" s="17">
        <f t="shared" si="1181"/>
        <v>0</v>
      </c>
      <c r="AF2074" s="17">
        <f>1500000+250000</f>
        <v>1750000</v>
      </c>
      <c r="AG2074" s="696">
        <v>4200000</v>
      </c>
      <c r="AH2074" s="17">
        <f>2000000</f>
        <v>2000000</v>
      </c>
      <c r="AI2074" s="17"/>
      <c r="AJ2074" s="162" t="b">
        <f t="shared" si="1186"/>
        <v>0</v>
      </c>
      <c r="AK2074" s="162" t="str">
        <f t="shared" si="1187"/>
        <v>PUNO</v>
      </c>
      <c r="AL2074" s="263"/>
      <c r="AM2074" s="164"/>
    </row>
    <row r="2075" spans="1:39" ht="15.75" x14ac:dyDescent="0.2">
      <c r="B2075" s="177"/>
      <c r="C2075" s="177"/>
      <c r="D2075" s="177"/>
      <c r="E2075" s="177"/>
      <c r="F2075" s="176"/>
      <c r="G2075" s="176"/>
      <c r="H2075" s="477" t="s">
        <v>825</v>
      </c>
      <c r="I2075" s="17"/>
      <c r="J2075" s="17"/>
      <c r="K2075" s="17"/>
      <c r="L2075" s="17"/>
      <c r="M2075" s="17"/>
      <c r="N2075" s="17"/>
      <c r="O2075" s="17"/>
      <c r="P2075" s="26"/>
      <c r="Q2075" s="17"/>
      <c r="R2075" s="17"/>
      <c r="S2075" s="17"/>
      <c r="T2075" s="26"/>
      <c r="U2075" s="26"/>
      <c r="V2075" s="17">
        <f>V2076</f>
        <v>0</v>
      </c>
      <c r="W2075" s="17"/>
      <c r="X2075" s="17"/>
      <c r="Y2075" s="17">
        <v>0</v>
      </c>
      <c r="Z2075" s="17" t="e">
        <f t="shared" si="1194"/>
        <v>#DIV/0!</v>
      </c>
      <c r="AA2075" s="17">
        <f t="shared" si="1196"/>
        <v>0</v>
      </c>
      <c r="AB2075" s="17">
        <f t="shared" ref="AB2075:AI2078" si="1198">AB2076</f>
        <v>0</v>
      </c>
      <c r="AC2075" s="17">
        <f t="shared" si="1198"/>
        <v>0</v>
      </c>
      <c r="AD2075" s="17"/>
      <c r="AE2075" s="17">
        <f t="shared" si="1181"/>
        <v>0</v>
      </c>
      <c r="AF2075" s="17">
        <f t="shared" si="1198"/>
        <v>0</v>
      </c>
      <c r="AG2075" s="17">
        <f t="shared" si="1198"/>
        <v>0</v>
      </c>
      <c r="AH2075" s="17">
        <f t="shared" si="1198"/>
        <v>0</v>
      </c>
      <c r="AI2075" s="17">
        <f t="shared" si="1198"/>
        <v>0</v>
      </c>
      <c r="AJ2075" s="162" t="b">
        <f t="shared" si="1186"/>
        <v>1</v>
      </c>
      <c r="AK2075" s="162" t="str">
        <f t="shared" si="1187"/>
        <v>PRAZNO</v>
      </c>
      <c r="AL2075" s="263"/>
      <c r="AM2075" s="164"/>
    </row>
    <row r="2076" spans="1:39" ht="16.5" customHeight="1" x14ac:dyDescent="0.2">
      <c r="B2076" s="172">
        <v>4</v>
      </c>
      <c r="C2076" s="172"/>
      <c r="D2076" s="172"/>
      <c r="E2076" s="172"/>
      <c r="F2076" s="220"/>
      <c r="G2076" s="220"/>
      <c r="H2076" s="605" t="s">
        <v>552</v>
      </c>
      <c r="I2076" s="20"/>
      <c r="J2076" s="20"/>
      <c r="K2076" s="20"/>
      <c r="L2076" s="20"/>
      <c r="M2076" s="20"/>
      <c r="N2076" s="20"/>
      <c r="O2076" s="20"/>
      <c r="P2076" s="55"/>
      <c r="Q2076" s="20"/>
      <c r="R2076" s="20"/>
      <c r="S2076" s="20"/>
      <c r="T2076" s="55"/>
      <c r="U2076" s="55"/>
      <c r="V2076" s="20">
        <f>V2077</f>
        <v>0</v>
      </c>
      <c r="W2076" s="20"/>
      <c r="X2076" s="20"/>
      <c r="Y2076" s="20">
        <v>0</v>
      </c>
      <c r="Z2076" s="20" t="e">
        <f t="shared" si="1194"/>
        <v>#DIV/0!</v>
      </c>
      <c r="AA2076" s="20">
        <f t="shared" si="1196"/>
        <v>0</v>
      </c>
      <c r="AB2076" s="20">
        <f t="shared" si="1198"/>
        <v>0</v>
      </c>
      <c r="AC2076" s="20">
        <f t="shared" si="1198"/>
        <v>0</v>
      </c>
      <c r="AD2076" s="20"/>
      <c r="AE2076" s="20">
        <f t="shared" si="1181"/>
        <v>0</v>
      </c>
      <c r="AF2076" s="20">
        <f t="shared" si="1198"/>
        <v>0</v>
      </c>
      <c r="AG2076" s="20">
        <f t="shared" si="1198"/>
        <v>0</v>
      </c>
      <c r="AH2076" s="20">
        <f t="shared" si="1198"/>
        <v>0</v>
      </c>
      <c r="AI2076" s="20">
        <f t="shared" si="1198"/>
        <v>0</v>
      </c>
      <c r="AJ2076" s="162" t="b">
        <f t="shared" si="1186"/>
        <v>1</v>
      </c>
      <c r="AK2076" s="162" t="str">
        <f t="shared" si="1187"/>
        <v>PRAZNO</v>
      </c>
      <c r="AL2076" s="263"/>
      <c r="AM2076" s="164"/>
    </row>
    <row r="2077" spans="1:39" ht="15.75" x14ac:dyDescent="0.2">
      <c r="B2077" s="177"/>
      <c r="C2077" s="177">
        <v>42</v>
      </c>
      <c r="D2077" s="177"/>
      <c r="E2077" s="177"/>
      <c r="F2077" s="176"/>
      <c r="G2077" s="176"/>
      <c r="H2077" s="146" t="s">
        <v>212</v>
      </c>
      <c r="I2077" s="17"/>
      <c r="J2077" s="17"/>
      <c r="K2077" s="17"/>
      <c r="L2077" s="17"/>
      <c r="M2077" s="17"/>
      <c r="N2077" s="17"/>
      <c r="O2077" s="17"/>
      <c r="P2077" s="26"/>
      <c r="Q2077" s="17"/>
      <c r="R2077" s="17"/>
      <c r="S2077" s="17"/>
      <c r="T2077" s="26"/>
      <c r="U2077" s="26"/>
      <c r="V2077" s="17">
        <f>V2078</f>
        <v>0</v>
      </c>
      <c r="W2077" s="17"/>
      <c r="X2077" s="17"/>
      <c r="Y2077" s="17">
        <v>0</v>
      </c>
      <c r="Z2077" s="17" t="e">
        <f t="shared" si="1194"/>
        <v>#DIV/0!</v>
      </c>
      <c r="AA2077" s="17">
        <f t="shared" si="1196"/>
        <v>0</v>
      </c>
      <c r="AB2077" s="17">
        <f t="shared" si="1198"/>
        <v>0</v>
      </c>
      <c r="AC2077" s="17">
        <f t="shared" si="1198"/>
        <v>0</v>
      </c>
      <c r="AD2077" s="17"/>
      <c r="AE2077" s="17">
        <f t="shared" si="1181"/>
        <v>0</v>
      </c>
      <c r="AF2077" s="17">
        <f t="shared" si="1198"/>
        <v>0</v>
      </c>
      <c r="AG2077" s="17">
        <f t="shared" si="1198"/>
        <v>0</v>
      </c>
      <c r="AH2077" s="17">
        <f t="shared" si="1198"/>
        <v>0</v>
      </c>
      <c r="AI2077" s="17">
        <f t="shared" si="1198"/>
        <v>0</v>
      </c>
      <c r="AJ2077" s="162" t="b">
        <f t="shared" si="1186"/>
        <v>1</v>
      </c>
      <c r="AK2077" s="162" t="str">
        <f t="shared" si="1187"/>
        <v>PRAZNO</v>
      </c>
      <c r="AL2077" s="263"/>
      <c r="AM2077" s="164"/>
    </row>
    <row r="2078" spans="1:39" ht="15.75" x14ac:dyDescent="0.2">
      <c r="B2078" s="177"/>
      <c r="C2078" s="177"/>
      <c r="D2078" s="177">
        <v>421</v>
      </c>
      <c r="E2078" s="177"/>
      <c r="F2078" s="176"/>
      <c r="G2078" s="176"/>
      <c r="H2078" s="41" t="s">
        <v>759</v>
      </c>
      <c r="I2078" s="17"/>
      <c r="J2078" s="17"/>
      <c r="K2078" s="17"/>
      <c r="L2078" s="17"/>
      <c r="M2078" s="17"/>
      <c r="N2078" s="17"/>
      <c r="O2078" s="17"/>
      <c r="P2078" s="26"/>
      <c r="Q2078" s="17"/>
      <c r="R2078" s="17"/>
      <c r="S2078" s="17"/>
      <c r="T2078" s="26"/>
      <c r="U2078" s="26"/>
      <c r="V2078" s="17">
        <f>V2079</f>
        <v>0</v>
      </c>
      <c r="W2078" s="17"/>
      <c r="X2078" s="17"/>
      <c r="Y2078" s="17">
        <v>0</v>
      </c>
      <c r="Z2078" s="17" t="e">
        <f t="shared" si="1194"/>
        <v>#DIV/0!</v>
      </c>
      <c r="AA2078" s="17">
        <f t="shared" si="1196"/>
        <v>0</v>
      </c>
      <c r="AB2078" s="17">
        <f t="shared" si="1198"/>
        <v>0</v>
      </c>
      <c r="AC2078" s="17">
        <f t="shared" si="1198"/>
        <v>0</v>
      </c>
      <c r="AD2078" s="17"/>
      <c r="AE2078" s="17">
        <f t="shared" si="1181"/>
        <v>0</v>
      </c>
      <c r="AF2078" s="17">
        <f t="shared" si="1198"/>
        <v>0</v>
      </c>
      <c r="AG2078" s="17">
        <f t="shared" si="1198"/>
        <v>0</v>
      </c>
      <c r="AH2078" s="17">
        <f t="shared" si="1198"/>
        <v>0</v>
      </c>
      <c r="AI2078" s="17">
        <f t="shared" si="1198"/>
        <v>0</v>
      </c>
      <c r="AJ2078" s="162" t="b">
        <f t="shared" si="1186"/>
        <v>1</v>
      </c>
      <c r="AK2078" s="162" t="str">
        <f t="shared" si="1187"/>
        <v>PRAZNO</v>
      </c>
      <c r="AL2078" s="263"/>
      <c r="AM2078" s="164"/>
    </row>
    <row r="2079" spans="1:39" ht="15.75" x14ac:dyDescent="0.2">
      <c r="B2079" s="177"/>
      <c r="C2079" s="177"/>
      <c r="D2079" s="177"/>
      <c r="E2079" s="177">
        <v>4212</v>
      </c>
      <c r="F2079" s="176"/>
      <c r="G2079" s="176"/>
      <c r="H2079" s="41" t="s">
        <v>649</v>
      </c>
      <c r="I2079" s="17"/>
      <c r="J2079" s="17"/>
      <c r="K2079" s="17"/>
      <c r="L2079" s="17"/>
      <c r="M2079" s="17"/>
      <c r="N2079" s="17"/>
      <c r="O2079" s="17"/>
      <c r="P2079" s="26"/>
      <c r="Q2079" s="17"/>
      <c r="R2079" s="17"/>
      <c r="S2079" s="17"/>
      <c r="T2079" s="26"/>
      <c r="U2079" s="26"/>
      <c r="V2079" s="17">
        <v>0</v>
      </c>
      <c r="W2079" s="17"/>
      <c r="X2079" s="17"/>
      <c r="Y2079" s="17">
        <v>0</v>
      </c>
      <c r="Z2079" s="17" t="e">
        <f t="shared" si="1194"/>
        <v>#DIV/0!</v>
      </c>
      <c r="AA2079" s="17">
        <f t="shared" si="1196"/>
        <v>0</v>
      </c>
      <c r="AB2079" s="17">
        <v>0</v>
      </c>
      <c r="AC2079" s="17"/>
      <c r="AD2079" s="17"/>
      <c r="AE2079" s="17">
        <f t="shared" si="1181"/>
        <v>0</v>
      </c>
      <c r="AF2079" s="17">
        <v>0</v>
      </c>
      <c r="AG2079" s="17">
        <v>0</v>
      </c>
      <c r="AH2079" s="17">
        <v>0</v>
      </c>
      <c r="AI2079" s="17">
        <v>0</v>
      </c>
      <c r="AJ2079" s="162" t="b">
        <f t="shared" si="1186"/>
        <v>0</v>
      </c>
      <c r="AK2079" s="162" t="str">
        <f t="shared" si="1187"/>
        <v>PUNO</v>
      </c>
      <c r="AL2079" s="263"/>
      <c r="AM2079" s="164"/>
    </row>
    <row r="2080" spans="1:39" s="171" customFormat="1" ht="31.5" x14ac:dyDescent="0.2">
      <c r="A2080" s="259"/>
      <c r="B2080" s="168"/>
      <c r="C2080" s="168"/>
      <c r="D2080" s="168"/>
      <c r="E2080" s="168"/>
      <c r="F2080" s="168"/>
      <c r="G2080" s="168"/>
      <c r="H2080" s="13" t="s">
        <v>616</v>
      </c>
      <c r="I2080" s="302"/>
      <c r="J2080" s="302"/>
      <c r="K2080" s="302"/>
      <c r="L2080" s="302"/>
      <c r="M2080" s="303">
        <f>M2082</f>
        <v>0</v>
      </c>
      <c r="N2080" s="303">
        <f>N2082</f>
        <v>1900000</v>
      </c>
      <c r="O2080" s="303">
        <f>O2082</f>
        <v>0</v>
      </c>
      <c r="P2080" s="303">
        <f>T2080-N2080</f>
        <v>0</v>
      </c>
      <c r="Q2080" s="205">
        <f>Q2082</f>
        <v>1900000</v>
      </c>
      <c r="R2080" s="205">
        <f>R2082</f>
        <v>1450000</v>
      </c>
      <c r="S2080" s="205">
        <f>S2082</f>
        <v>500000</v>
      </c>
      <c r="T2080" s="303">
        <f>T2082</f>
        <v>1900000</v>
      </c>
      <c r="U2080" s="303">
        <f>U2082+U2089</f>
        <v>453057.24</v>
      </c>
      <c r="V2080" s="303">
        <f>V2082+V2094</f>
        <v>3850000</v>
      </c>
      <c r="W2080" s="303">
        <f>W2082+W2094</f>
        <v>970000</v>
      </c>
      <c r="X2080" s="303">
        <f>X2082+X2094</f>
        <v>0</v>
      </c>
      <c r="Y2080" s="303">
        <f>Y2082+Y2094</f>
        <v>710615.61</v>
      </c>
      <c r="Z2080" s="303">
        <f t="shared" si="1194"/>
        <v>18.46</v>
      </c>
      <c r="AA2080" s="303">
        <f t="shared" si="1196"/>
        <v>400000</v>
      </c>
      <c r="AB2080" s="303">
        <f>AB2082+AB2094</f>
        <v>4250000</v>
      </c>
      <c r="AC2080" s="303">
        <f>AC2082+AC2094</f>
        <v>2585846.5700000003</v>
      </c>
      <c r="AD2080" s="303">
        <f t="shared" si="1179"/>
        <v>60.843448705882366</v>
      </c>
      <c r="AE2080" s="303">
        <f t="shared" si="1181"/>
        <v>191978.63999999966</v>
      </c>
      <c r="AF2080" s="303">
        <f>AF2081+AF2093</f>
        <v>4441978.6399999997</v>
      </c>
      <c r="AG2080" s="303">
        <f>AG2082+AG2094</f>
        <v>160021.35999999999</v>
      </c>
      <c r="AH2080" s="303">
        <f>AH2082+AH2094</f>
        <v>0</v>
      </c>
      <c r="AI2080" s="303">
        <f>AI2082+AI2094</f>
        <v>0</v>
      </c>
      <c r="AJ2080" s="162" t="b">
        <f t="shared" si="1186"/>
        <v>1</v>
      </c>
      <c r="AK2080" s="162" t="str">
        <f t="shared" si="1187"/>
        <v>PRAZNO</v>
      </c>
      <c r="AL2080" s="263"/>
    </row>
    <row r="2081" spans="1:39" s="264" customFormat="1" ht="15.75" x14ac:dyDescent="0.2">
      <c r="A2081" s="259"/>
      <c r="B2081" s="260"/>
      <c r="C2081" s="260"/>
      <c r="D2081" s="260"/>
      <c r="E2081" s="260"/>
      <c r="F2081" s="260"/>
      <c r="G2081" s="260"/>
      <c r="H2081" s="440" t="s">
        <v>824</v>
      </c>
      <c r="I2081" s="406"/>
      <c r="J2081" s="406"/>
      <c r="K2081" s="406"/>
      <c r="L2081" s="406"/>
      <c r="M2081" s="445"/>
      <c r="N2081" s="445"/>
      <c r="O2081" s="445"/>
      <c r="P2081" s="445"/>
      <c r="Q2081" s="307"/>
      <c r="R2081" s="307"/>
      <c r="S2081" s="307"/>
      <c r="T2081" s="445"/>
      <c r="U2081" s="445"/>
      <c r="V2081" s="445">
        <f t="shared" ref="V2081:Y2084" si="1199">V2082</f>
        <v>3050000</v>
      </c>
      <c r="W2081" s="445">
        <f t="shared" si="1199"/>
        <v>670000</v>
      </c>
      <c r="X2081" s="445">
        <f t="shared" si="1199"/>
        <v>0</v>
      </c>
      <c r="Y2081" s="445">
        <f t="shared" si="1199"/>
        <v>452866.97</v>
      </c>
      <c r="Z2081" s="445">
        <f t="shared" si="1194"/>
        <v>14.85</v>
      </c>
      <c r="AA2081" s="445">
        <f t="shared" si="1196"/>
        <v>400000</v>
      </c>
      <c r="AB2081" s="445">
        <f>AB2082</f>
        <v>3450000</v>
      </c>
      <c r="AC2081" s="445">
        <f>AC2082</f>
        <v>2328097.9300000002</v>
      </c>
      <c r="AD2081" s="445">
        <f t="shared" si="1179"/>
        <v>67.481099420289866</v>
      </c>
      <c r="AE2081" s="445">
        <f t="shared" si="1181"/>
        <v>352000</v>
      </c>
      <c r="AF2081" s="445">
        <f t="shared" ref="AF2081:AI2084" si="1200">AF2082</f>
        <v>3802000</v>
      </c>
      <c r="AG2081" s="445">
        <f t="shared" si="1200"/>
        <v>0</v>
      </c>
      <c r="AH2081" s="445">
        <f t="shared" si="1200"/>
        <v>0</v>
      </c>
      <c r="AI2081" s="445">
        <f t="shared" si="1200"/>
        <v>0</v>
      </c>
      <c r="AJ2081" s="162" t="b">
        <f t="shared" si="1186"/>
        <v>1</v>
      </c>
      <c r="AK2081" s="162" t="str">
        <f t="shared" si="1187"/>
        <v>PRAZNO</v>
      </c>
      <c r="AL2081" s="263"/>
    </row>
    <row r="2082" spans="1:39" s="174" customFormat="1" ht="15.75" x14ac:dyDescent="0.2">
      <c r="A2082" s="259"/>
      <c r="B2082" s="172">
        <v>4</v>
      </c>
      <c r="C2082" s="172"/>
      <c r="D2082" s="172"/>
      <c r="E2082" s="172"/>
      <c r="F2082" s="172"/>
      <c r="G2082" s="172"/>
      <c r="H2082" s="14" t="s">
        <v>552</v>
      </c>
      <c r="I2082" s="20"/>
      <c r="J2082" s="20"/>
      <c r="K2082" s="20"/>
      <c r="L2082" s="20"/>
      <c r="M2082" s="55">
        <f t="shared" ref="M2082:O2084" si="1201">M2083</f>
        <v>0</v>
      </c>
      <c r="N2082" s="55">
        <f t="shared" si="1201"/>
        <v>1900000</v>
      </c>
      <c r="O2082" s="55">
        <f t="shared" si="1201"/>
        <v>0</v>
      </c>
      <c r="P2082" s="55">
        <f>T2082-N2082</f>
        <v>0</v>
      </c>
      <c r="Q2082" s="55">
        <f t="shared" ref="Q2082:U2083" si="1202">Q2083</f>
        <v>1900000</v>
      </c>
      <c r="R2082" s="55">
        <f t="shared" si="1202"/>
        <v>1450000</v>
      </c>
      <c r="S2082" s="55">
        <f t="shared" si="1202"/>
        <v>500000</v>
      </c>
      <c r="T2082" s="55">
        <f t="shared" si="1202"/>
        <v>1900000</v>
      </c>
      <c r="U2082" s="55">
        <f t="shared" si="1202"/>
        <v>376797.24</v>
      </c>
      <c r="V2082" s="55">
        <f t="shared" si="1199"/>
        <v>3050000</v>
      </c>
      <c r="W2082" s="55">
        <f t="shared" si="1199"/>
        <v>670000</v>
      </c>
      <c r="X2082" s="55">
        <f t="shared" si="1199"/>
        <v>0</v>
      </c>
      <c r="Y2082" s="55">
        <f t="shared" si="1199"/>
        <v>452866.97</v>
      </c>
      <c r="Z2082" s="55">
        <f t="shared" si="1194"/>
        <v>14.85</v>
      </c>
      <c r="AA2082" s="55">
        <f t="shared" si="1196"/>
        <v>400000</v>
      </c>
      <c r="AB2082" s="55">
        <f>AB2083</f>
        <v>3450000</v>
      </c>
      <c r="AC2082" s="55">
        <f>AC2083</f>
        <v>2328097.9300000002</v>
      </c>
      <c r="AD2082" s="55">
        <f t="shared" si="1179"/>
        <v>67.481099420289866</v>
      </c>
      <c r="AE2082" s="55">
        <f t="shared" si="1181"/>
        <v>352000</v>
      </c>
      <c r="AF2082" s="55">
        <f t="shared" si="1200"/>
        <v>3802000</v>
      </c>
      <c r="AG2082" s="55">
        <f t="shared" si="1200"/>
        <v>0</v>
      </c>
      <c r="AH2082" s="55">
        <f t="shared" si="1200"/>
        <v>0</v>
      </c>
      <c r="AI2082" s="55">
        <f t="shared" si="1200"/>
        <v>0</v>
      </c>
      <c r="AJ2082" s="162" t="b">
        <f t="shared" si="1186"/>
        <v>1</v>
      </c>
      <c r="AK2082" s="162" t="str">
        <f t="shared" si="1187"/>
        <v>PRAZNO</v>
      </c>
      <c r="AL2082" s="263"/>
    </row>
    <row r="2083" spans="1:39" ht="15.75" x14ac:dyDescent="0.2">
      <c r="B2083" s="177"/>
      <c r="C2083" s="177">
        <v>42</v>
      </c>
      <c r="D2083" s="177"/>
      <c r="E2083" s="177"/>
      <c r="F2083" s="177"/>
      <c r="G2083" s="177"/>
      <c r="H2083" s="41" t="s">
        <v>212</v>
      </c>
      <c r="I2083" s="17"/>
      <c r="J2083" s="17"/>
      <c r="K2083" s="17"/>
      <c r="L2083" s="17"/>
      <c r="M2083" s="26">
        <f t="shared" si="1201"/>
        <v>0</v>
      </c>
      <c r="N2083" s="26">
        <f t="shared" si="1201"/>
        <v>1900000</v>
      </c>
      <c r="O2083" s="26">
        <f t="shared" si="1201"/>
        <v>0</v>
      </c>
      <c r="P2083" s="26">
        <f>T2083-N2083</f>
        <v>0</v>
      </c>
      <c r="Q2083" s="26">
        <f t="shared" si="1202"/>
        <v>1900000</v>
      </c>
      <c r="R2083" s="26">
        <f t="shared" si="1202"/>
        <v>1450000</v>
      </c>
      <c r="S2083" s="26">
        <f t="shared" si="1202"/>
        <v>500000</v>
      </c>
      <c r="T2083" s="26">
        <f t="shared" si="1202"/>
        <v>1900000</v>
      </c>
      <c r="U2083" s="26">
        <f t="shared" si="1202"/>
        <v>376797.24</v>
      </c>
      <c r="V2083" s="26">
        <f t="shared" si="1199"/>
        <v>3050000</v>
      </c>
      <c r="W2083" s="26">
        <f t="shared" si="1199"/>
        <v>670000</v>
      </c>
      <c r="X2083" s="26">
        <f t="shared" si="1199"/>
        <v>0</v>
      </c>
      <c r="Y2083" s="26">
        <f t="shared" si="1199"/>
        <v>452866.97</v>
      </c>
      <c r="Z2083" s="26">
        <f t="shared" si="1194"/>
        <v>14.85</v>
      </c>
      <c r="AA2083" s="26">
        <f t="shared" si="1196"/>
        <v>400000</v>
      </c>
      <c r="AB2083" s="26">
        <f>AB2084+AB2086</f>
        <v>3450000</v>
      </c>
      <c r="AC2083" s="26">
        <f>AC2084+AC2086</f>
        <v>2328097.9300000002</v>
      </c>
      <c r="AD2083" s="26">
        <f t="shared" si="1179"/>
        <v>67.481099420289866</v>
      </c>
      <c r="AE2083" s="26">
        <f t="shared" si="1181"/>
        <v>352000</v>
      </c>
      <c r="AF2083" s="26">
        <f>AF2084+AF2086</f>
        <v>3802000</v>
      </c>
      <c r="AG2083" s="26">
        <f t="shared" si="1200"/>
        <v>0</v>
      </c>
      <c r="AH2083" s="26">
        <f t="shared" si="1200"/>
        <v>0</v>
      </c>
      <c r="AI2083" s="26">
        <f t="shared" si="1200"/>
        <v>0</v>
      </c>
      <c r="AJ2083" s="162" t="b">
        <f t="shared" si="1186"/>
        <v>1</v>
      </c>
      <c r="AK2083" s="162" t="str">
        <f t="shared" si="1187"/>
        <v>PRAZNO</v>
      </c>
      <c r="AL2083" s="263"/>
      <c r="AM2083" s="164"/>
    </row>
    <row r="2084" spans="1:39" ht="15.75" x14ac:dyDescent="0.2">
      <c r="B2084" s="177"/>
      <c r="C2084" s="177"/>
      <c r="D2084" s="177">
        <v>421</v>
      </c>
      <c r="E2084" s="177"/>
      <c r="F2084" s="177"/>
      <c r="G2084" s="177"/>
      <c r="H2084" s="41" t="s">
        <v>759</v>
      </c>
      <c r="I2084" s="17"/>
      <c r="J2084" s="17"/>
      <c r="K2084" s="17"/>
      <c r="L2084" s="17"/>
      <c r="M2084" s="26">
        <f t="shared" si="1201"/>
        <v>0</v>
      </c>
      <c r="N2084" s="26">
        <f t="shared" si="1201"/>
        <v>1900000</v>
      </c>
      <c r="O2084" s="26">
        <f t="shared" si="1201"/>
        <v>0</v>
      </c>
      <c r="P2084" s="26">
        <f>T2084-N2084</f>
        <v>0</v>
      </c>
      <c r="Q2084" s="26">
        <f>Q2085</f>
        <v>1900000</v>
      </c>
      <c r="R2084" s="26">
        <f>R2085</f>
        <v>1450000</v>
      </c>
      <c r="S2084" s="26">
        <f>S2085</f>
        <v>500000</v>
      </c>
      <c r="T2084" s="26">
        <f>T2085+T2097</f>
        <v>1900000</v>
      </c>
      <c r="U2084" s="26">
        <f>U2085+U2097</f>
        <v>376797.24</v>
      </c>
      <c r="V2084" s="26">
        <f t="shared" si="1199"/>
        <v>3050000</v>
      </c>
      <c r="W2084" s="26">
        <f t="shared" si="1199"/>
        <v>670000</v>
      </c>
      <c r="X2084" s="26">
        <f t="shared" si="1199"/>
        <v>0</v>
      </c>
      <c r="Y2084" s="26">
        <f t="shared" si="1199"/>
        <v>452866.97</v>
      </c>
      <c r="Z2084" s="26">
        <f t="shared" si="1194"/>
        <v>14.85</v>
      </c>
      <c r="AA2084" s="26">
        <f t="shared" si="1196"/>
        <v>400000</v>
      </c>
      <c r="AB2084" s="26">
        <f>AB2085</f>
        <v>3450000</v>
      </c>
      <c r="AC2084" s="26">
        <f>AC2085</f>
        <v>2328097.9300000002</v>
      </c>
      <c r="AD2084" s="26">
        <f t="shared" si="1179"/>
        <v>67.481099420289866</v>
      </c>
      <c r="AE2084" s="26">
        <f t="shared" si="1181"/>
        <v>265000</v>
      </c>
      <c r="AF2084" s="26">
        <f>AF2085</f>
        <v>3715000</v>
      </c>
      <c r="AG2084" s="26">
        <f t="shared" si="1200"/>
        <v>0</v>
      </c>
      <c r="AH2084" s="26">
        <f t="shared" si="1200"/>
        <v>0</v>
      </c>
      <c r="AI2084" s="26">
        <f t="shared" si="1200"/>
        <v>0</v>
      </c>
      <c r="AJ2084" s="162" t="b">
        <f t="shared" si="1186"/>
        <v>1</v>
      </c>
      <c r="AK2084" s="162" t="str">
        <f t="shared" si="1187"/>
        <v>PRAZNO</v>
      </c>
      <c r="AL2084" s="263"/>
      <c r="AM2084" s="164"/>
    </row>
    <row r="2085" spans="1:39" ht="15.75" x14ac:dyDescent="0.2">
      <c r="B2085" s="177"/>
      <c r="C2085" s="177"/>
      <c r="D2085" s="177"/>
      <c r="E2085" s="177">
        <v>4212</v>
      </c>
      <c r="F2085" s="176">
        <v>14</v>
      </c>
      <c r="G2085" s="176"/>
      <c r="H2085" s="41" t="s">
        <v>649</v>
      </c>
      <c r="I2085" s="17"/>
      <c r="J2085" s="17"/>
      <c r="K2085" s="17"/>
      <c r="L2085" s="17"/>
      <c r="M2085" s="17"/>
      <c r="N2085" s="17">
        <v>1900000</v>
      </c>
      <c r="O2085" s="17">
        <v>0</v>
      </c>
      <c r="P2085" s="26">
        <f>T2085-N2085</f>
        <v>-500000</v>
      </c>
      <c r="Q2085" s="17">
        <v>1900000</v>
      </c>
      <c r="R2085" s="17">
        <f>1950000-500000</f>
        <v>1450000</v>
      </c>
      <c r="S2085" s="17">
        <v>500000</v>
      </c>
      <c r="T2085" s="26">
        <v>1400000</v>
      </c>
      <c r="U2085" s="26">
        <v>376797.24</v>
      </c>
      <c r="V2085" s="17">
        <f>3850000-800000</f>
        <v>3050000</v>
      </c>
      <c r="W2085" s="17">
        <v>670000</v>
      </c>
      <c r="X2085" s="17">
        <v>0</v>
      </c>
      <c r="Y2085" s="17">
        <f>708845.61-255978.64</f>
        <v>452866.97</v>
      </c>
      <c r="Z2085" s="17">
        <f t="shared" si="1194"/>
        <v>14.85</v>
      </c>
      <c r="AA2085" s="17">
        <f t="shared" si="1196"/>
        <v>400000</v>
      </c>
      <c r="AB2085" s="17">
        <v>3450000</v>
      </c>
      <c r="AC2085" s="17">
        <v>2328097.9300000002</v>
      </c>
      <c r="AD2085" s="17">
        <f t="shared" si="1179"/>
        <v>67.481099420289866</v>
      </c>
      <c r="AE2085" s="17">
        <f t="shared" si="1181"/>
        <v>265000</v>
      </c>
      <c r="AF2085" s="17">
        <v>3715000</v>
      </c>
      <c r="AG2085" s="17"/>
      <c r="AH2085" s="17"/>
      <c r="AI2085" s="17"/>
      <c r="AJ2085" s="162" t="b">
        <f t="shared" si="1186"/>
        <v>0</v>
      </c>
      <c r="AK2085" s="162" t="str">
        <f t="shared" si="1187"/>
        <v>PUNO</v>
      </c>
      <c r="AL2085" s="263"/>
      <c r="AM2085" s="164"/>
    </row>
    <row r="2086" spans="1:39" ht="15.75" x14ac:dyDescent="0.2">
      <c r="B2086" s="177"/>
      <c r="C2086" s="177"/>
      <c r="D2086" s="177">
        <v>422</v>
      </c>
      <c r="E2086" s="177"/>
      <c r="F2086" s="176"/>
      <c r="G2086" s="176"/>
      <c r="H2086" s="41" t="s">
        <v>555</v>
      </c>
      <c r="I2086" s="17"/>
      <c r="J2086" s="17"/>
      <c r="K2086" s="17"/>
      <c r="L2086" s="17"/>
      <c r="M2086" s="17"/>
      <c r="N2086" s="17"/>
      <c r="O2086" s="17"/>
      <c r="P2086" s="26"/>
      <c r="Q2086" s="17"/>
      <c r="R2086" s="17"/>
      <c r="S2086" s="17"/>
      <c r="T2086" s="26"/>
      <c r="U2086" s="26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>
        <f t="shared" si="1181"/>
        <v>87000</v>
      </c>
      <c r="AF2086" s="17">
        <f>AF2087</f>
        <v>87000</v>
      </c>
      <c r="AG2086" s="17"/>
      <c r="AH2086" s="17"/>
      <c r="AI2086" s="17"/>
      <c r="AJ2086" s="162" t="b">
        <f t="shared" si="1186"/>
        <v>1</v>
      </c>
      <c r="AK2086" s="162" t="str">
        <f t="shared" si="1187"/>
        <v>PRAZNO</v>
      </c>
      <c r="AL2086" s="263"/>
      <c r="AM2086" s="164"/>
    </row>
    <row r="2087" spans="1:39" ht="15.75" x14ac:dyDescent="0.2">
      <c r="B2087" s="177"/>
      <c r="C2087" s="177"/>
      <c r="D2087" s="177"/>
      <c r="E2087" s="177">
        <v>4227</v>
      </c>
      <c r="F2087" s="176">
        <v>14</v>
      </c>
      <c r="G2087" s="176"/>
      <c r="H2087" s="41" t="s">
        <v>413</v>
      </c>
      <c r="I2087" s="17"/>
      <c r="J2087" s="17"/>
      <c r="K2087" s="17"/>
      <c r="L2087" s="17"/>
      <c r="M2087" s="17"/>
      <c r="N2087" s="17"/>
      <c r="O2087" s="17"/>
      <c r="P2087" s="26"/>
      <c r="Q2087" s="17"/>
      <c r="R2087" s="17"/>
      <c r="S2087" s="17"/>
      <c r="T2087" s="26"/>
      <c r="U2087" s="26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>
        <f t="shared" si="1181"/>
        <v>87000</v>
      </c>
      <c r="AF2087" s="17">
        <v>87000</v>
      </c>
      <c r="AG2087" s="17"/>
      <c r="AH2087" s="17"/>
      <c r="AI2087" s="17"/>
      <c r="AJ2087" s="162" t="b">
        <f t="shared" si="1186"/>
        <v>0</v>
      </c>
      <c r="AK2087" s="162" t="str">
        <f t="shared" si="1187"/>
        <v>PUNO</v>
      </c>
      <c r="AL2087" s="263"/>
      <c r="AM2087" s="164"/>
    </row>
    <row r="2088" spans="1:39" ht="15.75" x14ac:dyDescent="0.2">
      <c r="B2088" s="177"/>
      <c r="C2088" s="177"/>
      <c r="D2088" s="177"/>
      <c r="E2088" s="177"/>
      <c r="F2088" s="176"/>
      <c r="G2088" s="176"/>
      <c r="H2088" s="489" t="s">
        <v>825</v>
      </c>
      <c r="I2088" s="17"/>
      <c r="J2088" s="17"/>
      <c r="K2088" s="17"/>
      <c r="L2088" s="17"/>
      <c r="M2088" s="17"/>
      <c r="N2088" s="17"/>
      <c r="O2088" s="17"/>
      <c r="P2088" s="26"/>
      <c r="Q2088" s="17"/>
      <c r="R2088" s="17"/>
      <c r="S2088" s="17"/>
      <c r="T2088" s="26"/>
      <c r="U2088" s="26">
        <f>U2089</f>
        <v>76260</v>
      </c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62" t="b">
        <f t="shared" si="1186"/>
        <v>1</v>
      </c>
      <c r="AK2088" s="162" t="str">
        <f t="shared" si="1187"/>
        <v>PRAZNO</v>
      </c>
      <c r="AL2088" s="263"/>
      <c r="AM2088" s="164"/>
    </row>
    <row r="2089" spans="1:39" s="174" customFormat="1" ht="22.5" customHeight="1" x14ac:dyDescent="0.2">
      <c r="A2089" s="259"/>
      <c r="B2089" s="172">
        <v>4</v>
      </c>
      <c r="C2089" s="172"/>
      <c r="D2089" s="172"/>
      <c r="E2089" s="172"/>
      <c r="F2089" s="220"/>
      <c r="G2089" s="220"/>
      <c r="H2089" s="490" t="s">
        <v>552</v>
      </c>
      <c r="I2089" s="20"/>
      <c r="J2089" s="20"/>
      <c r="K2089" s="20"/>
      <c r="L2089" s="20"/>
      <c r="M2089" s="20"/>
      <c r="N2089" s="20"/>
      <c r="O2089" s="20"/>
      <c r="P2089" s="55"/>
      <c r="Q2089" s="20"/>
      <c r="R2089" s="20"/>
      <c r="S2089" s="20"/>
      <c r="T2089" s="55"/>
      <c r="U2089" s="55">
        <f>U2090</f>
        <v>76260</v>
      </c>
      <c r="V2089" s="20"/>
      <c r="W2089" s="20"/>
      <c r="X2089" s="20"/>
      <c r="Y2089" s="20"/>
      <c r="Z2089" s="20"/>
      <c r="AA2089" s="20"/>
      <c r="AB2089" s="20"/>
      <c r="AC2089" s="20"/>
      <c r="AD2089" s="20"/>
      <c r="AE2089" s="20"/>
      <c r="AF2089" s="20"/>
      <c r="AG2089" s="20"/>
      <c r="AH2089" s="20"/>
      <c r="AI2089" s="20"/>
      <c r="AJ2089" s="162" t="b">
        <f t="shared" si="1186"/>
        <v>1</v>
      </c>
      <c r="AK2089" s="162" t="str">
        <f t="shared" si="1187"/>
        <v>PRAZNO</v>
      </c>
      <c r="AL2089" s="263"/>
    </row>
    <row r="2090" spans="1:39" ht="15.75" x14ac:dyDescent="0.2">
      <c r="B2090" s="177"/>
      <c r="C2090" s="177">
        <v>42</v>
      </c>
      <c r="D2090" s="177"/>
      <c r="E2090" s="177"/>
      <c r="F2090" s="176"/>
      <c r="G2090" s="176"/>
      <c r="H2090" s="41" t="s">
        <v>212</v>
      </c>
      <c r="I2090" s="17"/>
      <c r="J2090" s="17"/>
      <c r="K2090" s="17"/>
      <c r="L2090" s="17"/>
      <c r="M2090" s="17"/>
      <c r="N2090" s="17"/>
      <c r="O2090" s="17"/>
      <c r="P2090" s="26"/>
      <c r="Q2090" s="17"/>
      <c r="R2090" s="17"/>
      <c r="S2090" s="17"/>
      <c r="T2090" s="26"/>
      <c r="U2090" s="26">
        <f>U2091</f>
        <v>76260</v>
      </c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62" t="b">
        <f t="shared" si="1186"/>
        <v>1</v>
      </c>
      <c r="AK2090" s="162" t="str">
        <f t="shared" si="1187"/>
        <v>PRAZNO</v>
      </c>
      <c r="AL2090" s="263"/>
      <c r="AM2090" s="164"/>
    </row>
    <row r="2091" spans="1:39" ht="15.75" x14ac:dyDescent="0.2">
      <c r="B2091" s="177"/>
      <c r="C2091" s="177"/>
      <c r="D2091" s="177">
        <v>421</v>
      </c>
      <c r="E2091" s="177"/>
      <c r="F2091" s="176"/>
      <c r="G2091" s="176"/>
      <c r="H2091" s="41" t="s">
        <v>759</v>
      </c>
      <c r="I2091" s="17"/>
      <c r="J2091" s="17"/>
      <c r="K2091" s="17"/>
      <c r="L2091" s="17"/>
      <c r="M2091" s="17"/>
      <c r="N2091" s="17"/>
      <c r="O2091" s="17"/>
      <c r="P2091" s="26"/>
      <c r="Q2091" s="17"/>
      <c r="R2091" s="17"/>
      <c r="S2091" s="17"/>
      <c r="T2091" s="26"/>
      <c r="U2091" s="26">
        <f>U2092</f>
        <v>76260</v>
      </c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62" t="b">
        <f t="shared" si="1186"/>
        <v>1</v>
      </c>
      <c r="AK2091" s="162" t="str">
        <f t="shared" si="1187"/>
        <v>PRAZNO</v>
      </c>
      <c r="AL2091" s="263"/>
      <c r="AM2091" s="164"/>
    </row>
    <row r="2092" spans="1:39" ht="15.75" x14ac:dyDescent="0.2">
      <c r="B2092" s="177"/>
      <c r="C2092" s="177"/>
      <c r="D2092" s="177"/>
      <c r="E2092" s="177">
        <v>4212</v>
      </c>
      <c r="F2092" s="325">
        <v>52</v>
      </c>
      <c r="G2092" s="176"/>
      <c r="H2092" s="41" t="s">
        <v>649</v>
      </c>
      <c r="I2092" s="17"/>
      <c r="J2092" s="17"/>
      <c r="K2092" s="17"/>
      <c r="L2092" s="17"/>
      <c r="M2092" s="17"/>
      <c r="N2092" s="17"/>
      <c r="O2092" s="17"/>
      <c r="P2092" s="26"/>
      <c r="Q2092" s="17"/>
      <c r="R2092" s="17"/>
      <c r="S2092" s="17"/>
      <c r="T2092" s="26"/>
      <c r="U2092" s="26">
        <v>76260</v>
      </c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62" t="b">
        <f t="shared" si="1186"/>
        <v>0</v>
      </c>
      <c r="AK2092" s="162" t="str">
        <f t="shared" si="1187"/>
        <v>PUNO</v>
      </c>
      <c r="AL2092" s="263"/>
      <c r="AM2092" s="164"/>
    </row>
    <row r="2093" spans="1:39" s="453" customFormat="1" ht="15.75" x14ac:dyDescent="0.25">
      <c r="A2093" s="378"/>
      <c r="B2093" s="260"/>
      <c r="C2093" s="260"/>
      <c r="D2093" s="260"/>
      <c r="E2093" s="260"/>
      <c r="F2093" s="448"/>
      <c r="G2093" s="448"/>
      <c r="H2093" s="489" t="s">
        <v>825</v>
      </c>
      <c r="I2093" s="201"/>
      <c r="J2093" s="201"/>
      <c r="K2093" s="201"/>
      <c r="L2093" s="201"/>
      <c r="M2093" s="201"/>
      <c r="N2093" s="201"/>
      <c r="O2093" s="201"/>
      <c r="P2093" s="202"/>
      <c r="Q2093" s="201"/>
      <c r="R2093" s="201"/>
      <c r="S2093" s="201"/>
      <c r="T2093" s="202"/>
      <c r="U2093" s="202"/>
      <c r="V2093" s="201">
        <f t="shared" ref="V2093:AI2096" si="1203">V2094</f>
        <v>800000</v>
      </c>
      <c r="W2093" s="201">
        <f t="shared" si="1203"/>
        <v>300000</v>
      </c>
      <c r="X2093" s="201">
        <f t="shared" si="1203"/>
        <v>0</v>
      </c>
      <c r="Y2093" s="201">
        <f t="shared" si="1203"/>
        <v>257748.64</v>
      </c>
      <c r="Z2093" s="201">
        <f t="shared" si="1194"/>
        <v>32.22</v>
      </c>
      <c r="AA2093" s="201">
        <f t="shared" si="1196"/>
        <v>0</v>
      </c>
      <c r="AB2093" s="201">
        <f t="shared" si="1203"/>
        <v>800000</v>
      </c>
      <c r="AC2093" s="201">
        <f t="shared" si="1203"/>
        <v>257748.64</v>
      </c>
      <c r="AD2093" s="201">
        <f t="shared" si="1179"/>
        <v>32.218580000000003</v>
      </c>
      <c r="AE2093" s="201">
        <f t="shared" si="1181"/>
        <v>-160021.35999999999</v>
      </c>
      <c r="AF2093" s="201">
        <f t="shared" si="1203"/>
        <v>639978.64</v>
      </c>
      <c r="AG2093" s="201">
        <f t="shared" si="1203"/>
        <v>160021.35999999999</v>
      </c>
      <c r="AH2093" s="201">
        <f t="shared" si="1203"/>
        <v>0</v>
      </c>
      <c r="AI2093" s="201">
        <f t="shared" si="1203"/>
        <v>0</v>
      </c>
      <c r="AJ2093" s="162" t="b">
        <f t="shared" si="1186"/>
        <v>1</v>
      </c>
      <c r="AK2093" s="162" t="str">
        <f t="shared" si="1187"/>
        <v>PRAZNO</v>
      </c>
      <c r="AL2093" s="446"/>
      <c r="AM2093" s="287"/>
    </row>
    <row r="2094" spans="1:39" s="174" customFormat="1" ht="22.5" customHeight="1" x14ac:dyDescent="0.2">
      <c r="A2094" s="259"/>
      <c r="B2094" s="172">
        <v>4</v>
      </c>
      <c r="C2094" s="172"/>
      <c r="D2094" s="172"/>
      <c r="E2094" s="172"/>
      <c r="F2094" s="220"/>
      <c r="G2094" s="220"/>
      <c r="H2094" s="490" t="s">
        <v>552</v>
      </c>
      <c r="I2094" s="20"/>
      <c r="J2094" s="20"/>
      <c r="K2094" s="20"/>
      <c r="L2094" s="20"/>
      <c r="M2094" s="20"/>
      <c r="N2094" s="20"/>
      <c r="O2094" s="20"/>
      <c r="P2094" s="55"/>
      <c r="Q2094" s="20"/>
      <c r="R2094" s="20"/>
      <c r="S2094" s="20"/>
      <c r="T2094" s="55"/>
      <c r="U2094" s="55"/>
      <c r="V2094" s="20">
        <f t="shared" si="1203"/>
        <v>800000</v>
      </c>
      <c r="W2094" s="20">
        <f t="shared" si="1203"/>
        <v>300000</v>
      </c>
      <c r="X2094" s="20">
        <f t="shared" si="1203"/>
        <v>0</v>
      </c>
      <c r="Y2094" s="20">
        <f t="shared" si="1203"/>
        <v>257748.64</v>
      </c>
      <c r="Z2094" s="20">
        <f t="shared" si="1194"/>
        <v>32.22</v>
      </c>
      <c r="AA2094" s="20">
        <f t="shared" si="1196"/>
        <v>0</v>
      </c>
      <c r="AB2094" s="20">
        <f t="shared" si="1203"/>
        <v>800000</v>
      </c>
      <c r="AC2094" s="20">
        <f t="shared" si="1203"/>
        <v>257748.64</v>
      </c>
      <c r="AD2094" s="20">
        <f t="shared" si="1179"/>
        <v>32.218580000000003</v>
      </c>
      <c r="AE2094" s="20">
        <f t="shared" si="1181"/>
        <v>-160021.35999999999</v>
      </c>
      <c r="AF2094" s="20">
        <f t="shared" si="1203"/>
        <v>639978.64</v>
      </c>
      <c r="AG2094" s="20">
        <f t="shared" si="1203"/>
        <v>160021.35999999999</v>
      </c>
      <c r="AH2094" s="20">
        <f t="shared" si="1203"/>
        <v>0</v>
      </c>
      <c r="AI2094" s="20">
        <f t="shared" si="1203"/>
        <v>0</v>
      </c>
      <c r="AJ2094" s="162" t="b">
        <f t="shared" si="1186"/>
        <v>1</v>
      </c>
      <c r="AK2094" s="162" t="str">
        <f t="shared" si="1187"/>
        <v>PRAZNO</v>
      </c>
      <c r="AL2094" s="263"/>
    </row>
    <row r="2095" spans="1:39" ht="15.75" x14ac:dyDescent="0.2">
      <c r="B2095" s="177"/>
      <c r="C2095" s="177">
        <v>42</v>
      </c>
      <c r="D2095" s="177"/>
      <c r="E2095" s="177"/>
      <c r="F2095" s="176"/>
      <c r="G2095" s="176"/>
      <c r="H2095" s="41" t="s">
        <v>212</v>
      </c>
      <c r="I2095" s="17"/>
      <c r="J2095" s="17"/>
      <c r="K2095" s="17"/>
      <c r="L2095" s="17"/>
      <c r="M2095" s="17"/>
      <c r="N2095" s="17"/>
      <c r="O2095" s="17"/>
      <c r="P2095" s="26"/>
      <c r="Q2095" s="17"/>
      <c r="R2095" s="17"/>
      <c r="S2095" s="17"/>
      <c r="T2095" s="26"/>
      <c r="U2095" s="26"/>
      <c r="V2095" s="17">
        <f t="shared" si="1203"/>
        <v>800000</v>
      </c>
      <c r="W2095" s="17">
        <f t="shared" si="1203"/>
        <v>300000</v>
      </c>
      <c r="X2095" s="17">
        <f t="shared" si="1203"/>
        <v>0</v>
      </c>
      <c r="Y2095" s="17">
        <f t="shared" si="1203"/>
        <v>257748.64</v>
      </c>
      <c r="Z2095" s="17">
        <f t="shared" si="1194"/>
        <v>32.22</v>
      </c>
      <c r="AA2095" s="17">
        <f t="shared" si="1196"/>
        <v>0</v>
      </c>
      <c r="AB2095" s="17">
        <f t="shared" si="1203"/>
        <v>800000</v>
      </c>
      <c r="AC2095" s="17">
        <f t="shared" si="1203"/>
        <v>257748.64</v>
      </c>
      <c r="AD2095" s="17">
        <f t="shared" si="1179"/>
        <v>32.218580000000003</v>
      </c>
      <c r="AE2095" s="17">
        <f t="shared" si="1181"/>
        <v>-160021.35999999999</v>
      </c>
      <c r="AF2095" s="17">
        <f t="shared" si="1203"/>
        <v>639978.64</v>
      </c>
      <c r="AG2095" s="17">
        <f t="shared" si="1203"/>
        <v>160021.35999999999</v>
      </c>
      <c r="AH2095" s="17">
        <f t="shared" si="1203"/>
        <v>0</v>
      </c>
      <c r="AI2095" s="17">
        <f t="shared" si="1203"/>
        <v>0</v>
      </c>
      <c r="AJ2095" s="162" t="b">
        <f t="shared" si="1186"/>
        <v>1</v>
      </c>
      <c r="AK2095" s="162" t="str">
        <f t="shared" si="1187"/>
        <v>PRAZNO</v>
      </c>
      <c r="AL2095" s="263"/>
      <c r="AM2095" s="164"/>
    </row>
    <row r="2096" spans="1:39" ht="15.75" x14ac:dyDescent="0.2">
      <c r="B2096" s="177"/>
      <c r="C2096" s="177"/>
      <c r="D2096" s="177">
        <v>421</v>
      </c>
      <c r="E2096" s="177"/>
      <c r="F2096" s="176"/>
      <c r="G2096" s="176"/>
      <c r="H2096" s="41" t="s">
        <v>759</v>
      </c>
      <c r="I2096" s="17"/>
      <c r="J2096" s="17"/>
      <c r="K2096" s="17"/>
      <c r="L2096" s="17"/>
      <c r="M2096" s="17"/>
      <c r="N2096" s="17"/>
      <c r="O2096" s="17"/>
      <c r="P2096" s="26"/>
      <c r="Q2096" s="17"/>
      <c r="R2096" s="17"/>
      <c r="S2096" s="17"/>
      <c r="T2096" s="26"/>
      <c r="U2096" s="26"/>
      <c r="V2096" s="17">
        <f t="shared" si="1203"/>
        <v>800000</v>
      </c>
      <c r="W2096" s="17">
        <f t="shared" si="1203"/>
        <v>300000</v>
      </c>
      <c r="X2096" s="17">
        <f t="shared" si="1203"/>
        <v>0</v>
      </c>
      <c r="Y2096" s="17">
        <f t="shared" si="1203"/>
        <v>257748.64</v>
      </c>
      <c r="Z2096" s="17">
        <f t="shared" si="1194"/>
        <v>32.22</v>
      </c>
      <c r="AA2096" s="17">
        <f t="shared" si="1196"/>
        <v>0</v>
      </c>
      <c r="AB2096" s="17">
        <f t="shared" si="1203"/>
        <v>800000</v>
      </c>
      <c r="AC2096" s="17">
        <f t="shared" si="1203"/>
        <v>257748.64</v>
      </c>
      <c r="AD2096" s="17">
        <f t="shared" si="1179"/>
        <v>32.218580000000003</v>
      </c>
      <c r="AE2096" s="17">
        <f t="shared" si="1181"/>
        <v>-160021.35999999999</v>
      </c>
      <c r="AF2096" s="17">
        <f t="shared" si="1203"/>
        <v>639978.64</v>
      </c>
      <c r="AG2096" s="17">
        <f t="shared" si="1203"/>
        <v>160021.35999999999</v>
      </c>
      <c r="AH2096" s="17">
        <f t="shared" si="1203"/>
        <v>0</v>
      </c>
      <c r="AI2096" s="17">
        <f t="shared" si="1203"/>
        <v>0</v>
      </c>
      <c r="AJ2096" s="162" t="b">
        <f t="shared" si="1186"/>
        <v>1</v>
      </c>
      <c r="AK2096" s="162" t="str">
        <f t="shared" si="1187"/>
        <v>PRAZNO</v>
      </c>
      <c r="AL2096" s="263"/>
      <c r="AM2096" s="164"/>
    </row>
    <row r="2097" spans="1:39" ht="15.75" x14ac:dyDescent="0.2">
      <c r="B2097" s="177"/>
      <c r="C2097" s="177"/>
      <c r="D2097" s="177"/>
      <c r="E2097" s="177">
        <v>4212</v>
      </c>
      <c r="F2097" s="325">
        <v>55</v>
      </c>
      <c r="G2097" s="176"/>
      <c r="H2097" s="41" t="s">
        <v>649</v>
      </c>
      <c r="I2097" s="17"/>
      <c r="J2097" s="17"/>
      <c r="K2097" s="17"/>
      <c r="L2097" s="17"/>
      <c r="M2097" s="17"/>
      <c r="N2097" s="17">
        <v>0</v>
      </c>
      <c r="O2097" s="17">
        <v>0</v>
      </c>
      <c r="P2097" s="26">
        <f>T2097-N2097</f>
        <v>500000</v>
      </c>
      <c r="Q2097" s="17"/>
      <c r="R2097" s="17"/>
      <c r="S2097" s="17"/>
      <c r="T2097" s="26">
        <v>500000</v>
      </c>
      <c r="U2097" s="26"/>
      <c r="V2097" s="17">
        <v>800000</v>
      </c>
      <c r="W2097" s="17">
        <v>300000</v>
      </c>
      <c r="X2097" s="17">
        <v>0</v>
      </c>
      <c r="Y2097" s="17">
        <f>1770+255978.64</f>
        <v>257748.64</v>
      </c>
      <c r="Z2097" s="17">
        <f t="shared" si="1194"/>
        <v>32.22</v>
      </c>
      <c r="AA2097" s="17">
        <f t="shared" si="1196"/>
        <v>0</v>
      </c>
      <c r="AB2097" s="17">
        <v>800000</v>
      </c>
      <c r="AC2097" s="17">
        <v>257748.64</v>
      </c>
      <c r="AD2097" s="17">
        <f t="shared" si="1179"/>
        <v>32.218580000000003</v>
      </c>
      <c r="AE2097" s="17">
        <f t="shared" si="1181"/>
        <v>-160021.35999999999</v>
      </c>
      <c r="AF2097" s="17">
        <v>639978.64</v>
      </c>
      <c r="AG2097" s="696">
        <v>160021.35999999999</v>
      </c>
      <c r="AH2097" s="17"/>
      <c r="AI2097" s="17"/>
      <c r="AJ2097" s="162" t="b">
        <f t="shared" si="1186"/>
        <v>0</v>
      </c>
      <c r="AK2097" s="162" t="str">
        <f t="shared" si="1187"/>
        <v>PUNO</v>
      </c>
      <c r="AL2097" s="263"/>
      <c r="AM2097" s="164"/>
    </row>
    <row r="2098" spans="1:39" s="171" customFormat="1" ht="31.5" x14ac:dyDescent="0.2">
      <c r="A2098" s="259"/>
      <c r="B2098" s="209"/>
      <c r="C2098" s="209"/>
      <c r="D2098" s="209"/>
      <c r="E2098" s="209"/>
      <c r="F2098" s="219"/>
      <c r="G2098" s="219"/>
      <c r="H2098" s="244" t="s">
        <v>617</v>
      </c>
      <c r="I2098" s="302"/>
      <c r="J2098" s="302"/>
      <c r="K2098" s="302"/>
      <c r="L2098" s="302"/>
      <c r="M2098" s="302">
        <f>M2100</f>
        <v>0</v>
      </c>
      <c r="N2098" s="302">
        <f>N2100</f>
        <v>2300000</v>
      </c>
      <c r="O2098" s="302">
        <f>O2100</f>
        <v>101285.4</v>
      </c>
      <c r="P2098" s="303">
        <f>T2098-N2098</f>
        <v>-1781500</v>
      </c>
      <c r="Q2098" s="169" t="e">
        <f t="shared" ref="Q2098:X2098" si="1204">Q2100</f>
        <v>#REF!</v>
      </c>
      <c r="R2098" s="169" t="e">
        <f t="shared" si="1204"/>
        <v>#REF!</v>
      </c>
      <c r="S2098" s="169" t="e">
        <f t="shared" si="1204"/>
        <v>#REF!</v>
      </c>
      <c r="T2098" s="303">
        <f t="shared" si="1204"/>
        <v>518500</v>
      </c>
      <c r="U2098" s="303">
        <f>U2100</f>
        <v>0</v>
      </c>
      <c r="V2098" s="302">
        <f t="shared" si="1204"/>
        <v>2000000</v>
      </c>
      <c r="W2098" s="302">
        <f t="shared" si="1204"/>
        <v>1600000</v>
      </c>
      <c r="X2098" s="302">
        <f t="shared" si="1204"/>
        <v>2300000</v>
      </c>
      <c r="Y2098" s="302">
        <f>Y2100</f>
        <v>381.52</v>
      </c>
      <c r="Z2098" s="302">
        <f t="shared" si="1194"/>
        <v>0.02</v>
      </c>
      <c r="AA2098" s="302">
        <f t="shared" si="1196"/>
        <v>-750000</v>
      </c>
      <c r="AB2098" s="302">
        <f>AB2100</f>
        <v>1250000</v>
      </c>
      <c r="AC2098" s="302">
        <f>AC2100</f>
        <v>8221.9699999999993</v>
      </c>
      <c r="AD2098" s="302">
        <f t="shared" si="1179"/>
        <v>0.65775759999999994</v>
      </c>
      <c r="AE2098" s="302">
        <f t="shared" si="1181"/>
        <v>50000</v>
      </c>
      <c r="AF2098" s="302">
        <f>AF2100</f>
        <v>1300000</v>
      </c>
      <c r="AG2098" s="302">
        <f>AG2100</f>
        <v>1700000</v>
      </c>
      <c r="AH2098" s="302">
        <f>AH2100</f>
        <v>0</v>
      </c>
      <c r="AI2098" s="302">
        <f>AI2100</f>
        <v>0</v>
      </c>
      <c r="AJ2098" s="162" t="b">
        <f t="shared" si="1186"/>
        <v>1</v>
      </c>
      <c r="AK2098" s="162" t="str">
        <f t="shared" si="1187"/>
        <v>PRAZNO</v>
      </c>
      <c r="AL2098" s="263"/>
    </row>
    <row r="2099" spans="1:39" s="264" customFormat="1" ht="15.75" x14ac:dyDescent="0.2">
      <c r="A2099" s="259"/>
      <c r="B2099" s="177"/>
      <c r="C2099" s="177"/>
      <c r="D2099" s="177"/>
      <c r="E2099" s="177"/>
      <c r="F2099" s="265"/>
      <c r="G2099" s="265"/>
      <c r="H2099" s="477" t="s">
        <v>824</v>
      </c>
      <c r="I2099" s="406"/>
      <c r="J2099" s="406"/>
      <c r="K2099" s="406"/>
      <c r="L2099" s="406"/>
      <c r="M2099" s="406"/>
      <c r="N2099" s="406"/>
      <c r="O2099" s="406"/>
      <c r="P2099" s="445"/>
      <c r="Q2099" s="181"/>
      <c r="R2099" s="181"/>
      <c r="S2099" s="181"/>
      <c r="T2099" s="445"/>
      <c r="U2099" s="445"/>
      <c r="V2099" s="406">
        <f>V2100</f>
        <v>2000000</v>
      </c>
      <c r="W2099" s="406">
        <f>W2100</f>
        <v>1600000</v>
      </c>
      <c r="X2099" s="406">
        <f>X2100</f>
        <v>2300000</v>
      </c>
      <c r="Y2099" s="406">
        <f>Y2100</f>
        <v>381.52</v>
      </c>
      <c r="Z2099" s="406">
        <f t="shared" si="1194"/>
        <v>0.02</v>
      </c>
      <c r="AA2099" s="406">
        <f t="shared" si="1196"/>
        <v>-750000</v>
      </c>
      <c r="AB2099" s="406">
        <f>AB2100</f>
        <v>1250000</v>
      </c>
      <c r="AC2099" s="406">
        <f>AC2100</f>
        <v>8221.9699999999993</v>
      </c>
      <c r="AD2099" s="406">
        <f t="shared" si="1179"/>
        <v>0.65775759999999994</v>
      </c>
      <c r="AE2099" s="406">
        <f t="shared" si="1181"/>
        <v>50000</v>
      </c>
      <c r="AF2099" s="406">
        <f>AF2100</f>
        <v>1300000</v>
      </c>
      <c r="AG2099" s="406">
        <f>AG2100</f>
        <v>1700000</v>
      </c>
      <c r="AH2099" s="406">
        <f>AH2100</f>
        <v>0</v>
      </c>
      <c r="AI2099" s="406">
        <f>AI2100</f>
        <v>0</v>
      </c>
      <c r="AJ2099" s="162" t="b">
        <f t="shared" si="1186"/>
        <v>1</v>
      </c>
      <c r="AK2099" s="162" t="str">
        <f t="shared" si="1187"/>
        <v>PRAZNO</v>
      </c>
      <c r="AL2099" s="263"/>
    </row>
    <row r="2100" spans="1:39" s="174" customFormat="1" ht="15.75" x14ac:dyDescent="0.2">
      <c r="A2100" s="259"/>
      <c r="B2100" s="172">
        <v>4</v>
      </c>
      <c r="C2100" s="172"/>
      <c r="D2100" s="172"/>
      <c r="E2100" s="172"/>
      <c r="F2100" s="220"/>
      <c r="G2100" s="220"/>
      <c r="H2100" s="14" t="s">
        <v>552</v>
      </c>
      <c r="I2100" s="20"/>
      <c r="J2100" s="20"/>
      <c r="K2100" s="20"/>
      <c r="L2100" s="20"/>
      <c r="M2100" s="20">
        <f>M2101</f>
        <v>0</v>
      </c>
      <c r="N2100" s="20">
        <f t="shared" ref="N2100:AI2102" si="1205">N2101</f>
        <v>2300000</v>
      </c>
      <c r="O2100" s="20">
        <f t="shared" si="1205"/>
        <v>101285.4</v>
      </c>
      <c r="P2100" s="55">
        <f>T2100-N2100</f>
        <v>-1781500</v>
      </c>
      <c r="Q2100" s="20" t="e">
        <f t="shared" si="1205"/>
        <v>#REF!</v>
      </c>
      <c r="R2100" s="20" t="e">
        <f t="shared" si="1205"/>
        <v>#REF!</v>
      </c>
      <c r="S2100" s="20" t="e">
        <f t="shared" si="1205"/>
        <v>#REF!</v>
      </c>
      <c r="T2100" s="55">
        <f t="shared" si="1205"/>
        <v>518500</v>
      </c>
      <c r="U2100" s="55">
        <f t="shared" si="1205"/>
        <v>0</v>
      </c>
      <c r="V2100" s="20">
        <f t="shared" si="1205"/>
        <v>2000000</v>
      </c>
      <c r="W2100" s="20">
        <f t="shared" si="1205"/>
        <v>1600000</v>
      </c>
      <c r="X2100" s="20">
        <f t="shared" si="1205"/>
        <v>2300000</v>
      </c>
      <c r="Y2100" s="20">
        <f t="shared" si="1205"/>
        <v>381.52</v>
      </c>
      <c r="Z2100" s="20">
        <f t="shared" si="1194"/>
        <v>0.02</v>
      </c>
      <c r="AA2100" s="20">
        <f t="shared" si="1196"/>
        <v>-750000</v>
      </c>
      <c r="AB2100" s="20">
        <f t="shared" si="1205"/>
        <v>1250000</v>
      </c>
      <c r="AC2100" s="20">
        <f t="shared" si="1205"/>
        <v>8221.9699999999993</v>
      </c>
      <c r="AD2100" s="20">
        <f t="shared" si="1179"/>
        <v>0.65775759999999994</v>
      </c>
      <c r="AE2100" s="20">
        <f t="shared" si="1181"/>
        <v>50000</v>
      </c>
      <c r="AF2100" s="20">
        <f t="shared" si="1205"/>
        <v>1300000</v>
      </c>
      <c r="AG2100" s="20">
        <f t="shared" si="1205"/>
        <v>1700000</v>
      </c>
      <c r="AH2100" s="20">
        <f t="shared" si="1205"/>
        <v>0</v>
      </c>
      <c r="AI2100" s="20">
        <f t="shared" si="1205"/>
        <v>0</v>
      </c>
      <c r="AJ2100" s="162" t="b">
        <f t="shared" si="1186"/>
        <v>1</v>
      </c>
      <c r="AK2100" s="162" t="str">
        <f t="shared" si="1187"/>
        <v>PRAZNO</v>
      </c>
      <c r="AL2100" s="263"/>
    </row>
    <row r="2101" spans="1:39" ht="15.75" x14ac:dyDescent="0.2">
      <c r="B2101" s="177"/>
      <c r="C2101" s="177">
        <v>42</v>
      </c>
      <c r="D2101" s="177"/>
      <c r="E2101" s="177"/>
      <c r="F2101" s="176"/>
      <c r="G2101" s="176"/>
      <c r="H2101" s="41" t="s">
        <v>212</v>
      </c>
      <c r="I2101" s="17"/>
      <c r="J2101" s="17"/>
      <c r="K2101" s="17"/>
      <c r="L2101" s="17"/>
      <c r="M2101" s="17">
        <f>M2102</f>
        <v>0</v>
      </c>
      <c r="N2101" s="17">
        <f t="shared" si="1205"/>
        <v>2300000</v>
      </c>
      <c r="O2101" s="17">
        <f t="shared" si="1205"/>
        <v>101285.4</v>
      </c>
      <c r="P2101" s="26">
        <f>T2101-N2101</f>
        <v>-1781500</v>
      </c>
      <c r="Q2101" s="17" t="e">
        <f t="shared" si="1205"/>
        <v>#REF!</v>
      </c>
      <c r="R2101" s="17" t="e">
        <f t="shared" si="1205"/>
        <v>#REF!</v>
      </c>
      <c r="S2101" s="17" t="e">
        <f>S2102</f>
        <v>#REF!</v>
      </c>
      <c r="T2101" s="26">
        <f t="shared" si="1205"/>
        <v>518500</v>
      </c>
      <c r="U2101" s="26">
        <f t="shared" si="1205"/>
        <v>0</v>
      </c>
      <c r="V2101" s="17">
        <f t="shared" si="1205"/>
        <v>2000000</v>
      </c>
      <c r="W2101" s="17">
        <f t="shared" si="1205"/>
        <v>1600000</v>
      </c>
      <c r="X2101" s="17">
        <f t="shared" si="1205"/>
        <v>2300000</v>
      </c>
      <c r="Y2101" s="17">
        <f t="shared" si="1205"/>
        <v>381.52</v>
      </c>
      <c r="Z2101" s="17">
        <f t="shared" si="1194"/>
        <v>0.02</v>
      </c>
      <c r="AA2101" s="17">
        <f t="shared" si="1196"/>
        <v>-750000</v>
      </c>
      <c r="AB2101" s="17">
        <f t="shared" si="1205"/>
        <v>1250000</v>
      </c>
      <c r="AC2101" s="17">
        <f t="shared" si="1205"/>
        <v>8221.9699999999993</v>
      </c>
      <c r="AD2101" s="17">
        <f t="shared" si="1179"/>
        <v>0.65775759999999994</v>
      </c>
      <c r="AE2101" s="17">
        <f t="shared" si="1181"/>
        <v>50000</v>
      </c>
      <c r="AF2101" s="17">
        <f t="shared" si="1205"/>
        <v>1300000</v>
      </c>
      <c r="AG2101" s="17">
        <f t="shared" si="1205"/>
        <v>1700000</v>
      </c>
      <c r="AH2101" s="17">
        <f t="shared" si="1205"/>
        <v>0</v>
      </c>
      <c r="AI2101" s="17">
        <f t="shared" si="1205"/>
        <v>0</v>
      </c>
      <c r="AJ2101" s="162" t="b">
        <f t="shared" si="1186"/>
        <v>1</v>
      </c>
      <c r="AK2101" s="162" t="str">
        <f t="shared" si="1187"/>
        <v>PRAZNO</v>
      </c>
      <c r="AL2101" s="263"/>
      <c r="AM2101" s="164"/>
    </row>
    <row r="2102" spans="1:39" ht="15.75" x14ac:dyDescent="0.2">
      <c r="B2102" s="177"/>
      <c r="C2102" s="177"/>
      <c r="D2102" s="177">
        <v>421</v>
      </c>
      <c r="E2102" s="177"/>
      <c r="F2102" s="176"/>
      <c r="G2102" s="176"/>
      <c r="H2102" s="41" t="s">
        <v>759</v>
      </c>
      <c r="I2102" s="26" t="e">
        <f>#REF!+#REF!</f>
        <v>#REF!</v>
      </c>
      <c r="J2102" s="26" t="e">
        <f>#REF!+#REF!</f>
        <v>#REF!</v>
      </c>
      <c r="K2102" s="26" t="e">
        <f>#REF!+#REF!</f>
        <v>#REF!</v>
      </c>
      <c r="L2102" s="26" t="e">
        <f>#REF!+#REF!</f>
        <v>#REF!</v>
      </c>
      <c r="M2102" s="26">
        <f>M2103</f>
        <v>0</v>
      </c>
      <c r="N2102" s="26">
        <f>N2103</f>
        <v>2300000</v>
      </c>
      <c r="O2102" s="26">
        <f>O2103</f>
        <v>101285.4</v>
      </c>
      <c r="P2102" s="26">
        <f>T2102-N2102</f>
        <v>-1781500</v>
      </c>
      <c r="Q2102" s="17" t="e">
        <f>#REF!</f>
        <v>#REF!</v>
      </c>
      <c r="R2102" s="17" t="e">
        <f>#REF!</f>
        <v>#REF!</v>
      </c>
      <c r="S2102" s="17" t="e">
        <f>#REF!</f>
        <v>#REF!</v>
      </c>
      <c r="T2102" s="26">
        <f>T2103</f>
        <v>518500</v>
      </c>
      <c r="U2102" s="26">
        <f>U2103</f>
        <v>0</v>
      </c>
      <c r="V2102" s="26">
        <f t="shared" si="1205"/>
        <v>2000000</v>
      </c>
      <c r="W2102" s="26">
        <f t="shared" si="1205"/>
        <v>1600000</v>
      </c>
      <c r="X2102" s="26">
        <f t="shared" si="1205"/>
        <v>2300000</v>
      </c>
      <c r="Y2102" s="26">
        <f t="shared" si="1205"/>
        <v>381.52</v>
      </c>
      <c r="Z2102" s="26">
        <f t="shared" si="1194"/>
        <v>0.02</v>
      </c>
      <c r="AA2102" s="26">
        <f t="shared" si="1196"/>
        <v>-750000</v>
      </c>
      <c r="AB2102" s="26">
        <f t="shared" si="1205"/>
        <v>1250000</v>
      </c>
      <c r="AC2102" s="26">
        <f t="shared" si="1205"/>
        <v>8221.9699999999993</v>
      </c>
      <c r="AD2102" s="26">
        <f t="shared" si="1179"/>
        <v>0.65775759999999994</v>
      </c>
      <c r="AE2102" s="26">
        <f t="shared" si="1181"/>
        <v>50000</v>
      </c>
      <c r="AF2102" s="26">
        <f t="shared" si="1205"/>
        <v>1300000</v>
      </c>
      <c r="AG2102" s="26">
        <f t="shared" si="1205"/>
        <v>1700000</v>
      </c>
      <c r="AH2102" s="26">
        <f t="shared" si="1205"/>
        <v>0</v>
      </c>
      <c r="AI2102" s="26">
        <f t="shared" si="1205"/>
        <v>0</v>
      </c>
      <c r="AJ2102" s="162" t="b">
        <f t="shared" si="1186"/>
        <v>1</v>
      </c>
      <c r="AK2102" s="162" t="str">
        <f t="shared" si="1187"/>
        <v>PRAZNO</v>
      </c>
      <c r="AL2102" s="263"/>
      <c r="AM2102" s="164"/>
    </row>
    <row r="2103" spans="1:39" ht="15.75" x14ac:dyDescent="0.2">
      <c r="B2103" s="177"/>
      <c r="C2103" s="177"/>
      <c r="D2103" s="177"/>
      <c r="E2103" s="177">
        <v>4212</v>
      </c>
      <c r="F2103" s="176">
        <v>14</v>
      </c>
      <c r="G2103" s="176"/>
      <c r="H2103" s="41" t="s">
        <v>649</v>
      </c>
      <c r="I2103" s="17"/>
      <c r="J2103" s="17"/>
      <c r="K2103" s="17"/>
      <c r="L2103" s="17"/>
      <c r="M2103" s="17">
        <v>0</v>
      </c>
      <c r="N2103" s="17">
        <v>2300000</v>
      </c>
      <c r="O2103" s="17">
        <v>101285.4</v>
      </c>
      <c r="P2103" s="26">
        <f>T2103-N2103</f>
        <v>-1781500</v>
      </c>
      <c r="Q2103" s="17"/>
      <c r="R2103" s="17"/>
      <c r="S2103" s="17"/>
      <c r="T2103" s="307">
        <f>452000+66500</f>
        <v>518500</v>
      </c>
      <c r="U2103" s="307">
        <v>0</v>
      </c>
      <c r="V2103" s="17">
        <v>2000000</v>
      </c>
      <c r="W2103" s="17">
        <v>1600000</v>
      </c>
      <c r="X2103" s="17">
        <v>2300000</v>
      </c>
      <c r="Y2103" s="17">
        <v>381.52</v>
      </c>
      <c r="Z2103" s="17">
        <f t="shared" si="1194"/>
        <v>0.02</v>
      </c>
      <c r="AA2103" s="17">
        <f t="shared" si="1196"/>
        <v>-750000</v>
      </c>
      <c r="AB2103" s="17">
        <v>1250000</v>
      </c>
      <c r="AC2103" s="17">
        <v>8221.9699999999993</v>
      </c>
      <c r="AD2103" s="17">
        <f t="shared" si="1179"/>
        <v>0.65775759999999994</v>
      </c>
      <c r="AE2103" s="17">
        <f t="shared" si="1181"/>
        <v>50000</v>
      </c>
      <c r="AF2103" s="17">
        <v>1300000</v>
      </c>
      <c r="AG2103" s="17">
        <v>1700000</v>
      </c>
      <c r="AH2103" s="17">
        <v>0</v>
      </c>
      <c r="AI2103" s="17">
        <v>0</v>
      </c>
      <c r="AJ2103" s="162" t="b">
        <f t="shared" si="1186"/>
        <v>0</v>
      </c>
      <c r="AK2103" s="162" t="str">
        <f t="shared" si="1187"/>
        <v>PUNO</v>
      </c>
      <c r="AL2103" s="263"/>
      <c r="AM2103" s="164"/>
    </row>
    <row r="2104" spans="1:39" s="207" customFormat="1" ht="31.5" x14ac:dyDescent="0.25">
      <c r="A2104" s="378"/>
      <c r="B2104" s="168"/>
      <c r="C2104" s="168"/>
      <c r="D2104" s="168"/>
      <c r="E2104" s="168"/>
      <c r="F2104" s="168"/>
      <c r="G2104" s="322"/>
      <c r="H2104" s="13" t="s">
        <v>145</v>
      </c>
      <c r="I2104" s="19">
        <f>I2106</f>
        <v>0</v>
      </c>
      <c r="J2104" s="19">
        <f>J2106</f>
        <v>0</v>
      </c>
      <c r="K2104" s="19" t="e">
        <f>ROUND(J2104/I2104*100,2)</f>
        <v>#DIV/0!</v>
      </c>
      <c r="L2104" s="19">
        <f>M2104-I2104</f>
        <v>0</v>
      </c>
      <c r="M2104" s="19">
        <f>M2106</f>
        <v>0</v>
      </c>
      <c r="N2104" s="19">
        <f>N2106</f>
        <v>0</v>
      </c>
      <c r="O2104" s="19">
        <f>O2106</f>
        <v>0</v>
      </c>
      <c r="P2104" s="53">
        <f>T2104-N2104</f>
        <v>0</v>
      </c>
      <c r="Q2104" s="19">
        <f t="shared" ref="Q2104:X2104" si="1206">Q2106</f>
        <v>0</v>
      </c>
      <c r="R2104" s="19">
        <f t="shared" si="1206"/>
        <v>0</v>
      </c>
      <c r="S2104" s="19">
        <f t="shared" si="1206"/>
        <v>0</v>
      </c>
      <c r="T2104" s="53">
        <f t="shared" si="1206"/>
        <v>0</v>
      </c>
      <c r="U2104" s="53">
        <f>U2106</f>
        <v>0</v>
      </c>
      <c r="V2104" s="19">
        <f t="shared" si="1206"/>
        <v>0</v>
      </c>
      <c r="W2104" s="19">
        <f t="shared" si="1206"/>
        <v>0</v>
      </c>
      <c r="X2104" s="19">
        <f t="shared" si="1206"/>
        <v>1000000</v>
      </c>
      <c r="Y2104" s="19">
        <f>Y2106</f>
        <v>0</v>
      </c>
      <c r="Z2104" s="19" t="e">
        <f t="shared" si="1194"/>
        <v>#DIV/0!</v>
      </c>
      <c r="AA2104" s="19">
        <f t="shared" si="1196"/>
        <v>0</v>
      </c>
      <c r="AB2104" s="19">
        <f>AB2106</f>
        <v>0</v>
      </c>
      <c r="AC2104" s="19">
        <f>AC2106</f>
        <v>0</v>
      </c>
      <c r="AD2104" s="19"/>
      <c r="AE2104" s="19">
        <f t="shared" si="1181"/>
        <v>0</v>
      </c>
      <c r="AF2104" s="19">
        <f>AF2106</f>
        <v>0</v>
      </c>
      <c r="AG2104" s="19">
        <f>AG2106</f>
        <v>0</v>
      </c>
      <c r="AH2104" s="19">
        <f>AH2106</f>
        <v>100000</v>
      </c>
      <c r="AI2104" s="19">
        <f>AI2106</f>
        <v>500000</v>
      </c>
      <c r="AJ2104" s="162" t="b">
        <f t="shared" si="1186"/>
        <v>1</v>
      </c>
      <c r="AK2104" s="162" t="str">
        <f t="shared" si="1187"/>
        <v>PRAZNO</v>
      </c>
      <c r="AL2104" s="446"/>
      <c r="AM2104" s="287"/>
    </row>
    <row r="2105" spans="1:39" s="447" customFormat="1" ht="15.75" x14ac:dyDescent="0.25">
      <c r="A2105" s="378"/>
      <c r="B2105" s="260"/>
      <c r="C2105" s="260"/>
      <c r="D2105" s="260"/>
      <c r="E2105" s="260"/>
      <c r="F2105" s="260"/>
      <c r="G2105" s="442"/>
      <c r="H2105" s="440" t="s">
        <v>824</v>
      </c>
      <c r="I2105" s="262"/>
      <c r="J2105" s="262"/>
      <c r="K2105" s="262"/>
      <c r="L2105" s="262"/>
      <c r="M2105" s="262"/>
      <c r="N2105" s="262"/>
      <c r="O2105" s="262"/>
      <c r="P2105" s="342"/>
      <c r="Q2105" s="262"/>
      <c r="R2105" s="262"/>
      <c r="S2105" s="262"/>
      <c r="T2105" s="342"/>
      <c r="U2105" s="342"/>
      <c r="V2105" s="262">
        <f>V2106</f>
        <v>0</v>
      </c>
      <c r="W2105" s="262">
        <f>W2106</f>
        <v>0</v>
      </c>
      <c r="X2105" s="262">
        <f>X2106</f>
        <v>1000000</v>
      </c>
      <c r="Y2105" s="262">
        <f>Y2106</f>
        <v>0</v>
      </c>
      <c r="Z2105" s="262" t="e">
        <f t="shared" si="1194"/>
        <v>#DIV/0!</v>
      </c>
      <c r="AA2105" s="262">
        <f t="shared" si="1196"/>
        <v>0</v>
      </c>
      <c r="AB2105" s="262">
        <f>AB2106</f>
        <v>0</v>
      </c>
      <c r="AC2105" s="262">
        <f>AC2106</f>
        <v>0</v>
      </c>
      <c r="AD2105" s="262"/>
      <c r="AE2105" s="262">
        <f t="shared" si="1181"/>
        <v>0</v>
      </c>
      <c r="AF2105" s="262">
        <f>AF2106</f>
        <v>0</v>
      </c>
      <c r="AG2105" s="262">
        <f>AG2106</f>
        <v>0</v>
      </c>
      <c r="AH2105" s="262">
        <f>AH2106</f>
        <v>100000</v>
      </c>
      <c r="AI2105" s="262">
        <f>AI2106</f>
        <v>500000</v>
      </c>
      <c r="AJ2105" s="162" t="b">
        <f t="shared" si="1186"/>
        <v>1</v>
      </c>
      <c r="AK2105" s="162" t="str">
        <f t="shared" si="1187"/>
        <v>PRAZNO</v>
      </c>
      <c r="AL2105" s="446"/>
    </row>
    <row r="2106" spans="1:39" s="174" customFormat="1" ht="15.75" x14ac:dyDescent="0.2">
      <c r="A2106" s="259"/>
      <c r="B2106" s="172">
        <v>4</v>
      </c>
      <c r="C2106" s="172"/>
      <c r="D2106" s="172"/>
      <c r="E2106" s="172"/>
      <c r="F2106" s="172"/>
      <c r="G2106" s="172"/>
      <c r="H2106" s="14" t="s">
        <v>552</v>
      </c>
      <c r="I2106" s="20">
        <f t="shared" ref="I2106:AI2108" si="1207">I2107</f>
        <v>0</v>
      </c>
      <c r="J2106" s="20">
        <f t="shared" si="1207"/>
        <v>0</v>
      </c>
      <c r="K2106" s="20" t="e">
        <f>ROUND(J2106/I2106*100,2)</f>
        <v>#DIV/0!</v>
      </c>
      <c r="L2106" s="20">
        <f>M2106-I2106</f>
        <v>0</v>
      </c>
      <c r="M2106" s="20">
        <f t="shared" si="1207"/>
        <v>0</v>
      </c>
      <c r="N2106" s="20">
        <f t="shared" si="1207"/>
        <v>0</v>
      </c>
      <c r="O2106" s="20">
        <f t="shared" si="1207"/>
        <v>0</v>
      </c>
      <c r="P2106" s="55">
        <f t="shared" ref="P2106:P2112" si="1208">T2106-N2106</f>
        <v>0</v>
      </c>
      <c r="Q2106" s="20">
        <f t="shared" si="1207"/>
        <v>0</v>
      </c>
      <c r="R2106" s="20">
        <f t="shared" si="1207"/>
        <v>0</v>
      </c>
      <c r="S2106" s="20">
        <f t="shared" si="1207"/>
        <v>0</v>
      </c>
      <c r="T2106" s="55">
        <f t="shared" si="1207"/>
        <v>0</v>
      </c>
      <c r="U2106" s="55">
        <f t="shared" si="1207"/>
        <v>0</v>
      </c>
      <c r="V2106" s="20">
        <f t="shared" si="1207"/>
        <v>0</v>
      </c>
      <c r="W2106" s="20">
        <f t="shared" si="1207"/>
        <v>0</v>
      </c>
      <c r="X2106" s="20">
        <f t="shared" si="1207"/>
        <v>1000000</v>
      </c>
      <c r="Y2106" s="20">
        <f t="shared" si="1207"/>
        <v>0</v>
      </c>
      <c r="Z2106" s="20" t="e">
        <f t="shared" si="1194"/>
        <v>#DIV/0!</v>
      </c>
      <c r="AA2106" s="20">
        <f t="shared" si="1196"/>
        <v>0</v>
      </c>
      <c r="AB2106" s="20">
        <f t="shared" si="1207"/>
        <v>0</v>
      </c>
      <c r="AC2106" s="20">
        <f t="shared" si="1207"/>
        <v>0</v>
      </c>
      <c r="AD2106" s="20"/>
      <c r="AE2106" s="20">
        <f t="shared" si="1181"/>
        <v>0</v>
      </c>
      <c r="AF2106" s="20">
        <f t="shared" si="1207"/>
        <v>0</v>
      </c>
      <c r="AG2106" s="20">
        <f t="shared" si="1207"/>
        <v>0</v>
      </c>
      <c r="AH2106" s="20">
        <f t="shared" si="1207"/>
        <v>100000</v>
      </c>
      <c r="AI2106" s="20">
        <f t="shared" si="1207"/>
        <v>500000</v>
      </c>
      <c r="AJ2106" s="162" t="b">
        <f t="shared" si="1186"/>
        <v>1</v>
      </c>
      <c r="AK2106" s="162" t="str">
        <f t="shared" si="1187"/>
        <v>PRAZNO</v>
      </c>
      <c r="AL2106" s="263"/>
      <c r="AM2106" s="164"/>
    </row>
    <row r="2107" spans="1:39" ht="15.75" x14ac:dyDescent="0.2">
      <c r="B2107" s="177"/>
      <c r="C2107" s="177">
        <v>42</v>
      </c>
      <c r="D2107" s="177"/>
      <c r="E2107" s="177"/>
      <c r="F2107" s="176"/>
      <c r="G2107" s="176"/>
      <c r="H2107" s="141" t="s">
        <v>212</v>
      </c>
      <c r="I2107" s="17">
        <f t="shared" si="1207"/>
        <v>0</v>
      </c>
      <c r="J2107" s="17">
        <f t="shared" si="1207"/>
        <v>0</v>
      </c>
      <c r="K2107" s="17" t="e">
        <f>ROUND(J2107/I2107*100,2)</f>
        <v>#DIV/0!</v>
      </c>
      <c r="L2107" s="17">
        <f>M2107-I2107</f>
        <v>0</v>
      </c>
      <c r="M2107" s="17">
        <f t="shared" si="1207"/>
        <v>0</v>
      </c>
      <c r="N2107" s="17">
        <f t="shared" si="1207"/>
        <v>0</v>
      </c>
      <c r="O2107" s="17">
        <f t="shared" si="1207"/>
        <v>0</v>
      </c>
      <c r="P2107" s="26">
        <f t="shared" si="1208"/>
        <v>0</v>
      </c>
      <c r="Q2107" s="17">
        <f t="shared" si="1207"/>
        <v>0</v>
      </c>
      <c r="R2107" s="17">
        <f t="shared" si="1207"/>
        <v>0</v>
      </c>
      <c r="S2107" s="17">
        <f t="shared" si="1207"/>
        <v>0</v>
      </c>
      <c r="T2107" s="26">
        <f t="shared" si="1207"/>
        <v>0</v>
      </c>
      <c r="U2107" s="26">
        <f t="shared" si="1207"/>
        <v>0</v>
      </c>
      <c r="V2107" s="17">
        <f t="shared" si="1207"/>
        <v>0</v>
      </c>
      <c r="W2107" s="17">
        <f t="shared" si="1207"/>
        <v>0</v>
      </c>
      <c r="X2107" s="17">
        <f t="shared" si="1207"/>
        <v>1000000</v>
      </c>
      <c r="Y2107" s="17">
        <f t="shared" si="1207"/>
        <v>0</v>
      </c>
      <c r="Z2107" s="17" t="e">
        <f t="shared" si="1194"/>
        <v>#DIV/0!</v>
      </c>
      <c r="AA2107" s="17">
        <f t="shared" si="1196"/>
        <v>0</v>
      </c>
      <c r="AB2107" s="17">
        <f t="shared" si="1207"/>
        <v>0</v>
      </c>
      <c r="AC2107" s="17">
        <f t="shared" si="1207"/>
        <v>0</v>
      </c>
      <c r="AD2107" s="17"/>
      <c r="AE2107" s="17">
        <f t="shared" si="1181"/>
        <v>0</v>
      </c>
      <c r="AF2107" s="17">
        <f t="shared" si="1207"/>
        <v>0</v>
      </c>
      <c r="AG2107" s="17">
        <f t="shared" si="1207"/>
        <v>0</v>
      </c>
      <c r="AH2107" s="17">
        <f t="shared" si="1207"/>
        <v>100000</v>
      </c>
      <c r="AI2107" s="17">
        <f t="shared" si="1207"/>
        <v>500000</v>
      </c>
      <c r="AJ2107" s="162" t="b">
        <f t="shared" si="1186"/>
        <v>1</v>
      </c>
      <c r="AK2107" s="162" t="str">
        <f t="shared" si="1187"/>
        <v>PRAZNO</v>
      </c>
      <c r="AL2107" s="263"/>
      <c r="AM2107" s="164"/>
    </row>
    <row r="2108" spans="1:39" ht="15.75" x14ac:dyDescent="0.2">
      <c r="B2108" s="177"/>
      <c r="C2108" s="177"/>
      <c r="D2108" s="177">
        <v>421</v>
      </c>
      <c r="E2108" s="177"/>
      <c r="F2108" s="176"/>
      <c r="G2108" s="176"/>
      <c r="H2108" s="16" t="s">
        <v>759</v>
      </c>
      <c r="I2108" s="17">
        <f>I2109</f>
        <v>0</v>
      </c>
      <c r="J2108" s="17">
        <f>J2109</f>
        <v>0</v>
      </c>
      <c r="K2108" s="17" t="e">
        <f>ROUND(J2108/I2108*100,2)</f>
        <v>#DIV/0!</v>
      </c>
      <c r="L2108" s="17">
        <f>M2108-I2108</f>
        <v>0</v>
      </c>
      <c r="M2108" s="17">
        <f>M2109</f>
        <v>0</v>
      </c>
      <c r="N2108" s="17">
        <f>N2109</f>
        <v>0</v>
      </c>
      <c r="O2108" s="17">
        <f>O2109</f>
        <v>0</v>
      </c>
      <c r="P2108" s="26">
        <f t="shared" si="1208"/>
        <v>0</v>
      </c>
      <c r="Q2108" s="17">
        <f t="shared" si="1207"/>
        <v>0</v>
      </c>
      <c r="R2108" s="17">
        <f t="shared" si="1207"/>
        <v>0</v>
      </c>
      <c r="S2108" s="17">
        <f t="shared" si="1207"/>
        <v>0</v>
      </c>
      <c r="T2108" s="26">
        <f t="shared" si="1207"/>
        <v>0</v>
      </c>
      <c r="U2108" s="26">
        <f t="shared" si="1207"/>
        <v>0</v>
      </c>
      <c r="V2108" s="17">
        <f t="shared" si="1207"/>
        <v>0</v>
      </c>
      <c r="W2108" s="17">
        <f t="shared" si="1207"/>
        <v>0</v>
      </c>
      <c r="X2108" s="17">
        <f t="shared" si="1207"/>
        <v>1000000</v>
      </c>
      <c r="Y2108" s="17">
        <f t="shared" si="1207"/>
        <v>0</v>
      </c>
      <c r="Z2108" s="17" t="e">
        <f t="shared" si="1194"/>
        <v>#DIV/0!</v>
      </c>
      <c r="AA2108" s="17">
        <f t="shared" si="1196"/>
        <v>0</v>
      </c>
      <c r="AB2108" s="17">
        <f t="shared" si="1207"/>
        <v>0</v>
      </c>
      <c r="AC2108" s="17">
        <f t="shared" si="1207"/>
        <v>0</v>
      </c>
      <c r="AD2108" s="17"/>
      <c r="AE2108" s="17">
        <f t="shared" si="1181"/>
        <v>0</v>
      </c>
      <c r="AF2108" s="17">
        <f t="shared" si="1207"/>
        <v>0</v>
      </c>
      <c r="AG2108" s="17">
        <f t="shared" si="1207"/>
        <v>0</v>
      </c>
      <c r="AH2108" s="17">
        <f t="shared" si="1207"/>
        <v>100000</v>
      </c>
      <c r="AI2108" s="17">
        <f t="shared" si="1207"/>
        <v>500000</v>
      </c>
      <c r="AJ2108" s="162" t="b">
        <f t="shared" si="1186"/>
        <v>1</v>
      </c>
      <c r="AK2108" s="162" t="str">
        <f t="shared" si="1187"/>
        <v>PRAZNO</v>
      </c>
      <c r="AL2108" s="263"/>
      <c r="AM2108" s="164"/>
    </row>
    <row r="2109" spans="1:39" ht="15.75" x14ac:dyDescent="0.2">
      <c r="B2109" s="177"/>
      <c r="C2109" s="177"/>
      <c r="D2109" s="177"/>
      <c r="E2109" s="177">
        <v>4212</v>
      </c>
      <c r="F2109" s="176">
        <v>14</v>
      </c>
      <c r="G2109" s="176"/>
      <c r="H2109" s="41" t="s">
        <v>649</v>
      </c>
      <c r="I2109" s="17">
        <v>0</v>
      </c>
      <c r="J2109" s="17"/>
      <c r="K2109" s="17" t="e">
        <f>ROUND(J2109/I2109*100,2)</f>
        <v>#DIV/0!</v>
      </c>
      <c r="L2109" s="17">
        <f>M2109-I2109</f>
        <v>0</v>
      </c>
      <c r="M2109" s="17">
        <v>0</v>
      </c>
      <c r="N2109" s="17">
        <v>0</v>
      </c>
      <c r="O2109" s="17">
        <v>0</v>
      </c>
      <c r="P2109" s="26">
        <f t="shared" si="1208"/>
        <v>0</v>
      </c>
      <c r="Q2109" s="17"/>
      <c r="R2109" s="17"/>
      <c r="S2109" s="17"/>
      <c r="T2109" s="26">
        <v>0</v>
      </c>
      <c r="U2109" s="26"/>
      <c r="V2109" s="17">
        <v>0</v>
      </c>
      <c r="W2109" s="181">
        <v>0</v>
      </c>
      <c r="X2109" s="181">
        <v>1000000</v>
      </c>
      <c r="Y2109" s="17"/>
      <c r="Z2109" s="17" t="e">
        <f t="shared" si="1194"/>
        <v>#DIV/0!</v>
      </c>
      <c r="AA2109" s="17">
        <f t="shared" si="1196"/>
        <v>0</v>
      </c>
      <c r="AB2109" s="17">
        <v>0</v>
      </c>
      <c r="AC2109" s="17"/>
      <c r="AD2109" s="17"/>
      <c r="AE2109" s="17">
        <f t="shared" si="1181"/>
        <v>0</v>
      </c>
      <c r="AF2109" s="17">
        <v>0</v>
      </c>
      <c r="AG2109" s="17">
        <v>0</v>
      </c>
      <c r="AH2109" s="17">
        <v>100000</v>
      </c>
      <c r="AI2109" s="17">
        <v>500000</v>
      </c>
      <c r="AJ2109" s="162" t="b">
        <f t="shared" si="1186"/>
        <v>0</v>
      </c>
      <c r="AK2109" s="162" t="str">
        <f t="shared" si="1187"/>
        <v>PUNO</v>
      </c>
      <c r="AL2109" s="263"/>
      <c r="AM2109" s="164"/>
    </row>
    <row r="2110" spans="1:39" ht="31.5" x14ac:dyDescent="0.2">
      <c r="B2110" s="168"/>
      <c r="C2110" s="168"/>
      <c r="D2110" s="168"/>
      <c r="E2110" s="168"/>
      <c r="F2110" s="322"/>
      <c r="G2110" s="322"/>
      <c r="H2110" s="13" t="s">
        <v>397</v>
      </c>
      <c r="I2110" s="308"/>
      <c r="J2110" s="308"/>
      <c r="K2110" s="308"/>
      <c r="L2110" s="308"/>
      <c r="M2110" s="308"/>
      <c r="N2110" s="308"/>
      <c r="O2110" s="308"/>
      <c r="P2110" s="303">
        <f t="shared" si="1208"/>
        <v>0</v>
      </c>
      <c r="Q2110" s="308"/>
      <c r="R2110" s="308"/>
      <c r="S2110" s="308"/>
      <c r="T2110" s="323">
        <f t="shared" ref="T2110:AI2112" si="1209">T2111</f>
        <v>0</v>
      </c>
      <c r="U2110" s="323">
        <f t="shared" si="1209"/>
        <v>0</v>
      </c>
      <c r="V2110" s="323">
        <f t="shared" si="1209"/>
        <v>0</v>
      </c>
      <c r="W2110" s="323">
        <f t="shared" si="1209"/>
        <v>0</v>
      </c>
      <c r="X2110" s="323">
        <f t="shared" si="1209"/>
        <v>0</v>
      </c>
      <c r="Y2110" s="323">
        <f t="shared" si="1209"/>
        <v>0</v>
      </c>
      <c r="Z2110" s="323" t="e">
        <f t="shared" si="1194"/>
        <v>#DIV/0!</v>
      </c>
      <c r="AA2110" s="323">
        <f t="shared" si="1196"/>
        <v>0</v>
      </c>
      <c r="AB2110" s="323">
        <f t="shared" si="1209"/>
        <v>0</v>
      </c>
      <c r="AC2110" s="323">
        <f t="shared" si="1209"/>
        <v>0</v>
      </c>
      <c r="AD2110" s="323"/>
      <c r="AE2110" s="323">
        <f t="shared" si="1181"/>
        <v>0</v>
      </c>
      <c r="AF2110" s="323">
        <f t="shared" si="1209"/>
        <v>0</v>
      </c>
      <c r="AG2110" s="323">
        <f t="shared" si="1209"/>
        <v>0</v>
      </c>
      <c r="AH2110" s="323">
        <f t="shared" si="1209"/>
        <v>0</v>
      </c>
      <c r="AI2110" s="323">
        <f t="shared" si="1209"/>
        <v>0</v>
      </c>
      <c r="AJ2110" s="162" t="b">
        <f t="shared" si="1186"/>
        <v>1</v>
      </c>
      <c r="AK2110" s="162" t="str">
        <f t="shared" si="1187"/>
        <v>PRAZNO</v>
      </c>
      <c r="AL2110" s="263"/>
      <c r="AM2110" s="164"/>
    </row>
    <row r="2111" spans="1:39" ht="15.75" x14ac:dyDescent="0.2">
      <c r="B2111" s="177">
        <v>3</v>
      </c>
      <c r="C2111" s="177"/>
      <c r="D2111" s="177"/>
      <c r="E2111" s="177"/>
      <c r="F2111" s="176"/>
      <c r="G2111" s="176"/>
      <c r="H2111" s="16" t="s">
        <v>524</v>
      </c>
      <c r="I2111" s="18"/>
      <c r="J2111" s="18"/>
      <c r="K2111" s="18"/>
      <c r="L2111" s="18"/>
      <c r="M2111" s="18"/>
      <c r="N2111" s="18"/>
      <c r="O2111" s="18"/>
      <c r="P2111" s="26">
        <f t="shared" si="1208"/>
        <v>0</v>
      </c>
      <c r="Q2111" s="18"/>
      <c r="R2111" s="18"/>
      <c r="S2111" s="18"/>
      <c r="T2111" s="27">
        <f t="shared" si="1209"/>
        <v>0</v>
      </c>
      <c r="U2111" s="27">
        <f t="shared" si="1209"/>
        <v>0</v>
      </c>
      <c r="V2111" s="27">
        <f t="shared" si="1209"/>
        <v>0</v>
      </c>
      <c r="W2111" s="27">
        <f t="shared" si="1209"/>
        <v>0</v>
      </c>
      <c r="X2111" s="27">
        <f t="shared" si="1209"/>
        <v>0</v>
      </c>
      <c r="Y2111" s="27">
        <f t="shared" si="1209"/>
        <v>0</v>
      </c>
      <c r="Z2111" s="27" t="e">
        <f t="shared" si="1194"/>
        <v>#DIV/0!</v>
      </c>
      <c r="AA2111" s="27">
        <f t="shared" si="1196"/>
        <v>0</v>
      </c>
      <c r="AB2111" s="27">
        <f t="shared" si="1209"/>
        <v>0</v>
      </c>
      <c r="AC2111" s="27">
        <f t="shared" si="1209"/>
        <v>0</v>
      </c>
      <c r="AD2111" s="27"/>
      <c r="AE2111" s="27">
        <f t="shared" si="1181"/>
        <v>0</v>
      </c>
      <c r="AF2111" s="27">
        <f t="shared" si="1209"/>
        <v>0</v>
      </c>
      <c r="AG2111" s="27">
        <f t="shared" si="1209"/>
        <v>0</v>
      </c>
      <c r="AH2111" s="27">
        <f t="shared" si="1209"/>
        <v>0</v>
      </c>
      <c r="AI2111" s="27">
        <f t="shared" si="1209"/>
        <v>0</v>
      </c>
      <c r="AJ2111" s="162" t="b">
        <f t="shared" si="1186"/>
        <v>1</v>
      </c>
      <c r="AK2111" s="162" t="str">
        <f t="shared" si="1187"/>
        <v>PRAZNO</v>
      </c>
      <c r="AL2111" s="263"/>
      <c r="AM2111" s="164"/>
    </row>
    <row r="2112" spans="1:39" ht="15.75" x14ac:dyDescent="0.2">
      <c r="B2112" s="177"/>
      <c r="C2112" s="177">
        <v>32</v>
      </c>
      <c r="D2112" s="177"/>
      <c r="E2112" s="177"/>
      <c r="F2112" s="176"/>
      <c r="G2112" s="176"/>
      <c r="H2112" s="16" t="s">
        <v>564</v>
      </c>
      <c r="I2112" s="18"/>
      <c r="J2112" s="18"/>
      <c r="K2112" s="18"/>
      <c r="L2112" s="18"/>
      <c r="M2112" s="18"/>
      <c r="N2112" s="18"/>
      <c r="O2112" s="18"/>
      <c r="P2112" s="26">
        <f t="shared" si="1208"/>
        <v>0</v>
      </c>
      <c r="Q2112" s="18"/>
      <c r="R2112" s="18"/>
      <c r="S2112" s="18"/>
      <c r="T2112" s="27">
        <f t="shared" si="1209"/>
        <v>0</v>
      </c>
      <c r="U2112" s="27">
        <f t="shared" si="1209"/>
        <v>0</v>
      </c>
      <c r="V2112" s="27">
        <f t="shared" si="1209"/>
        <v>0</v>
      </c>
      <c r="W2112" s="27">
        <f t="shared" si="1209"/>
        <v>0</v>
      </c>
      <c r="X2112" s="27">
        <f t="shared" si="1209"/>
        <v>0</v>
      </c>
      <c r="Y2112" s="27">
        <f t="shared" si="1209"/>
        <v>0</v>
      </c>
      <c r="Z2112" s="27" t="e">
        <f t="shared" si="1194"/>
        <v>#DIV/0!</v>
      </c>
      <c r="AA2112" s="27">
        <f t="shared" si="1196"/>
        <v>0</v>
      </c>
      <c r="AB2112" s="27">
        <f t="shared" si="1209"/>
        <v>0</v>
      </c>
      <c r="AC2112" s="27">
        <f t="shared" si="1209"/>
        <v>0</v>
      </c>
      <c r="AD2112" s="27"/>
      <c r="AE2112" s="27">
        <f t="shared" si="1181"/>
        <v>0</v>
      </c>
      <c r="AF2112" s="27">
        <f t="shared" si="1209"/>
        <v>0</v>
      </c>
      <c r="AG2112" s="27">
        <f t="shared" si="1209"/>
        <v>0</v>
      </c>
      <c r="AH2112" s="27">
        <f t="shared" si="1209"/>
        <v>0</v>
      </c>
      <c r="AI2112" s="27">
        <f t="shared" si="1209"/>
        <v>0</v>
      </c>
      <c r="AJ2112" s="162" t="b">
        <f t="shared" si="1186"/>
        <v>1</v>
      </c>
      <c r="AK2112" s="162" t="str">
        <f t="shared" si="1187"/>
        <v>PRAZNO</v>
      </c>
      <c r="AL2112" s="263"/>
      <c r="AM2112" s="164"/>
    </row>
    <row r="2113" spans="1:39" ht="15.75" x14ac:dyDescent="0.2">
      <c r="B2113" s="177"/>
      <c r="C2113" s="177"/>
      <c r="D2113" s="177">
        <v>321</v>
      </c>
      <c r="E2113" s="177">
        <v>3212</v>
      </c>
      <c r="F2113" s="176">
        <v>54</v>
      </c>
      <c r="G2113" s="176"/>
      <c r="H2113" s="16" t="s">
        <v>220</v>
      </c>
      <c r="I2113" s="18"/>
      <c r="J2113" s="18"/>
      <c r="K2113" s="18"/>
      <c r="L2113" s="18"/>
      <c r="M2113" s="18"/>
      <c r="N2113" s="18"/>
      <c r="O2113" s="18"/>
      <c r="P2113" s="26">
        <v>0</v>
      </c>
      <c r="Q2113" s="18"/>
      <c r="R2113" s="18"/>
      <c r="S2113" s="18"/>
      <c r="T2113" s="27">
        <v>0</v>
      </c>
      <c r="U2113" s="27"/>
      <c r="V2113" s="18">
        <v>0</v>
      </c>
      <c r="W2113" s="18">
        <v>0</v>
      </c>
      <c r="X2113" s="18">
        <v>0</v>
      </c>
      <c r="Y2113" s="18"/>
      <c r="Z2113" s="18" t="e">
        <f t="shared" si="1194"/>
        <v>#DIV/0!</v>
      </c>
      <c r="AA2113" s="18">
        <f t="shared" si="1196"/>
        <v>0</v>
      </c>
      <c r="AB2113" s="18">
        <v>0</v>
      </c>
      <c r="AC2113" s="18"/>
      <c r="AD2113" s="18"/>
      <c r="AE2113" s="18">
        <f t="shared" si="1181"/>
        <v>0</v>
      </c>
      <c r="AF2113" s="18">
        <v>0</v>
      </c>
      <c r="AG2113" s="18">
        <v>0</v>
      </c>
      <c r="AH2113" s="18">
        <v>0</v>
      </c>
      <c r="AI2113" s="18">
        <v>0</v>
      </c>
      <c r="AJ2113" s="162" t="b">
        <f t="shared" si="1186"/>
        <v>0</v>
      </c>
      <c r="AK2113" s="162" t="str">
        <f t="shared" si="1187"/>
        <v>PUNO</v>
      </c>
      <c r="AL2113" s="263"/>
      <c r="AM2113" s="164"/>
    </row>
    <row r="2114" spans="1:39" s="207" customFormat="1" ht="31.5" x14ac:dyDescent="0.25">
      <c r="A2114" s="378"/>
      <c r="B2114" s="168"/>
      <c r="C2114" s="168"/>
      <c r="D2114" s="168"/>
      <c r="E2114" s="168"/>
      <c r="F2114" s="322"/>
      <c r="G2114" s="322"/>
      <c r="H2114" s="13" t="s">
        <v>407</v>
      </c>
      <c r="I2114" s="308"/>
      <c r="J2114" s="308"/>
      <c r="K2114" s="308"/>
      <c r="L2114" s="308"/>
      <c r="M2114" s="308"/>
      <c r="N2114" s="308"/>
      <c r="O2114" s="308"/>
      <c r="P2114" s="53"/>
      <c r="Q2114" s="308"/>
      <c r="R2114" s="308"/>
      <c r="S2114" s="308"/>
      <c r="T2114" s="323"/>
      <c r="U2114" s="323"/>
      <c r="V2114" s="308">
        <f>V2116</f>
        <v>1000000</v>
      </c>
      <c r="W2114" s="308">
        <f>W2116</f>
        <v>0</v>
      </c>
      <c r="X2114" s="308">
        <f>X2116</f>
        <v>0</v>
      </c>
      <c r="Y2114" s="308">
        <f>Y2116</f>
        <v>0</v>
      </c>
      <c r="Z2114" s="308">
        <f t="shared" si="1194"/>
        <v>0</v>
      </c>
      <c r="AA2114" s="308">
        <f t="shared" si="1196"/>
        <v>-600000</v>
      </c>
      <c r="AB2114" s="308">
        <f>AB2116</f>
        <v>400000</v>
      </c>
      <c r="AC2114" s="308">
        <f>AC2116</f>
        <v>0</v>
      </c>
      <c r="AD2114" s="308">
        <f t="shared" ref="AD2114:AD2177" si="1210">AC2114/AB2114*100</f>
        <v>0</v>
      </c>
      <c r="AE2114" s="308">
        <f t="shared" si="1181"/>
        <v>0</v>
      </c>
      <c r="AF2114" s="308">
        <f>AF2116</f>
        <v>400000</v>
      </c>
      <c r="AG2114" s="308">
        <f>AG2116</f>
        <v>500000</v>
      </c>
      <c r="AH2114" s="308">
        <f>AH2116</f>
        <v>500000</v>
      </c>
      <c r="AI2114" s="308">
        <f>AI2116</f>
        <v>0</v>
      </c>
      <c r="AJ2114" s="162" t="b">
        <f t="shared" si="1186"/>
        <v>1</v>
      </c>
      <c r="AK2114" s="162" t="str">
        <f t="shared" si="1187"/>
        <v>PRAZNO</v>
      </c>
      <c r="AL2114" s="446"/>
    </row>
    <row r="2115" spans="1:39" s="447" customFormat="1" ht="15.75" x14ac:dyDescent="0.25">
      <c r="A2115" s="378"/>
      <c r="B2115" s="260"/>
      <c r="C2115" s="260"/>
      <c r="D2115" s="260"/>
      <c r="E2115" s="260"/>
      <c r="F2115" s="442"/>
      <c r="G2115" s="442"/>
      <c r="H2115" s="440" t="s">
        <v>824</v>
      </c>
      <c r="I2115" s="443"/>
      <c r="J2115" s="443"/>
      <c r="K2115" s="443"/>
      <c r="L2115" s="443"/>
      <c r="M2115" s="443"/>
      <c r="N2115" s="443"/>
      <c r="O2115" s="443"/>
      <c r="P2115" s="342"/>
      <c r="Q2115" s="443"/>
      <c r="R2115" s="443"/>
      <c r="S2115" s="443"/>
      <c r="T2115" s="444"/>
      <c r="U2115" s="444"/>
      <c r="V2115" s="443">
        <f>V2116</f>
        <v>1000000</v>
      </c>
      <c r="W2115" s="443">
        <f>W2116</f>
        <v>0</v>
      </c>
      <c r="X2115" s="443">
        <f>X2116</f>
        <v>0</v>
      </c>
      <c r="Y2115" s="443">
        <f>Y2116</f>
        <v>0</v>
      </c>
      <c r="Z2115" s="443">
        <f t="shared" si="1194"/>
        <v>0</v>
      </c>
      <c r="AA2115" s="443">
        <f t="shared" si="1196"/>
        <v>-600000</v>
      </c>
      <c r="AB2115" s="443">
        <f t="shared" ref="AB2115:AI2118" si="1211">AB2116</f>
        <v>400000</v>
      </c>
      <c r="AC2115" s="443">
        <f t="shared" si="1211"/>
        <v>0</v>
      </c>
      <c r="AD2115" s="443">
        <f t="shared" si="1210"/>
        <v>0</v>
      </c>
      <c r="AE2115" s="443">
        <f t="shared" ref="AE2115:AE2178" si="1212">AF2115-AB2115</f>
        <v>0</v>
      </c>
      <c r="AF2115" s="443">
        <f t="shared" si="1211"/>
        <v>400000</v>
      </c>
      <c r="AG2115" s="443">
        <f t="shared" si="1211"/>
        <v>500000</v>
      </c>
      <c r="AH2115" s="443">
        <f t="shared" si="1211"/>
        <v>500000</v>
      </c>
      <c r="AI2115" s="443">
        <f t="shared" si="1211"/>
        <v>0</v>
      </c>
      <c r="AJ2115" s="162" t="b">
        <f t="shared" si="1186"/>
        <v>1</v>
      </c>
      <c r="AK2115" s="162" t="str">
        <f t="shared" si="1187"/>
        <v>PRAZNO</v>
      </c>
      <c r="AL2115" s="446"/>
    </row>
    <row r="2116" spans="1:39" s="174" customFormat="1" ht="15.75" x14ac:dyDescent="0.2">
      <c r="A2116" s="259"/>
      <c r="B2116" s="172">
        <v>3</v>
      </c>
      <c r="C2116" s="172"/>
      <c r="D2116" s="172"/>
      <c r="E2116" s="172"/>
      <c r="F2116" s="220"/>
      <c r="G2116" s="220"/>
      <c r="H2116" s="14" t="s">
        <v>524</v>
      </c>
      <c r="I2116" s="184"/>
      <c r="J2116" s="184"/>
      <c r="K2116" s="184"/>
      <c r="L2116" s="184"/>
      <c r="M2116" s="184"/>
      <c r="N2116" s="184"/>
      <c r="O2116" s="184"/>
      <c r="P2116" s="55"/>
      <c r="Q2116" s="184"/>
      <c r="R2116" s="184"/>
      <c r="S2116" s="184"/>
      <c r="T2116" s="185"/>
      <c r="U2116" s="185"/>
      <c r="V2116" s="184">
        <f>V2117</f>
        <v>1000000</v>
      </c>
      <c r="W2116" s="184">
        <f t="shared" ref="W2116:X2118" si="1213">W2117</f>
        <v>0</v>
      </c>
      <c r="X2116" s="184">
        <f t="shared" si="1213"/>
        <v>0</v>
      </c>
      <c r="Y2116" s="184">
        <f>Y2117</f>
        <v>0</v>
      </c>
      <c r="Z2116" s="184">
        <f t="shared" si="1194"/>
        <v>0</v>
      </c>
      <c r="AA2116" s="184">
        <f t="shared" si="1196"/>
        <v>-600000</v>
      </c>
      <c r="AB2116" s="184">
        <f t="shared" si="1211"/>
        <v>400000</v>
      </c>
      <c r="AC2116" s="184">
        <f t="shared" si="1211"/>
        <v>0</v>
      </c>
      <c r="AD2116" s="184">
        <f t="shared" si="1210"/>
        <v>0</v>
      </c>
      <c r="AE2116" s="184">
        <f t="shared" si="1212"/>
        <v>0</v>
      </c>
      <c r="AF2116" s="184">
        <f t="shared" si="1211"/>
        <v>400000</v>
      </c>
      <c r="AG2116" s="184">
        <f t="shared" si="1211"/>
        <v>500000</v>
      </c>
      <c r="AH2116" s="184">
        <f t="shared" si="1211"/>
        <v>500000</v>
      </c>
      <c r="AI2116" s="184">
        <f t="shared" si="1211"/>
        <v>0</v>
      </c>
      <c r="AJ2116" s="162" t="b">
        <f t="shared" si="1186"/>
        <v>1</v>
      </c>
      <c r="AK2116" s="162" t="str">
        <f t="shared" si="1187"/>
        <v>PRAZNO</v>
      </c>
      <c r="AL2116" s="173"/>
    </row>
    <row r="2117" spans="1:39" ht="15.75" x14ac:dyDescent="0.2">
      <c r="B2117" s="177"/>
      <c r="C2117" s="177">
        <v>36</v>
      </c>
      <c r="D2117" s="177"/>
      <c r="E2117" s="177"/>
      <c r="F2117" s="176"/>
      <c r="G2117" s="176"/>
      <c r="H2117" s="16" t="s">
        <v>751</v>
      </c>
      <c r="I2117" s="18"/>
      <c r="J2117" s="18"/>
      <c r="K2117" s="18"/>
      <c r="L2117" s="18"/>
      <c r="M2117" s="18"/>
      <c r="N2117" s="18"/>
      <c r="O2117" s="18"/>
      <c r="P2117" s="26"/>
      <c r="Q2117" s="18"/>
      <c r="R2117" s="18"/>
      <c r="S2117" s="18"/>
      <c r="T2117" s="27"/>
      <c r="U2117" s="27"/>
      <c r="V2117" s="18">
        <f>V2118</f>
        <v>1000000</v>
      </c>
      <c r="W2117" s="18">
        <f t="shared" si="1213"/>
        <v>0</v>
      </c>
      <c r="X2117" s="18">
        <f t="shared" si="1213"/>
        <v>0</v>
      </c>
      <c r="Y2117" s="18">
        <f>Y2118</f>
        <v>0</v>
      </c>
      <c r="Z2117" s="18">
        <f t="shared" si="1194"/>
        <v>0</v>
      </c>
      <c r="AA2117" s="18">
        <f t="shared" si="1196"/>
        <v>-600000</v>
      </c>
      <c r="AB2117" s="18">
        <f t="shared" si="1211"/>
        <v>400000</v>
      </c>
      <c r="AC2117" s="18">
        <f t="shared" si="1211"/>
        <v>0</v>
      </c>
      <c r="AD2117" s="18">
        <f t="shared" si="1210"/>
        <v>0</v>
      </c>
      <c r="AE2117" s="18">
        <f t="shared" si="1212"/>
        <v>0</v>
      </c>
      <c r="AF2117" s="18">
        <f t="shared" si="1211"/>
        <v>400000</v>
      </c>
      <c r="AG2117" s="18">
        <f t="shared" si="1211"/>
        <v>500000</v>
      </c>
      <c r="AH2117" s="18">
        <f t="shared" si="1211"/>
        <v>500000</v>
      </c>
      <c r="AI2117" s="18">
        <f t="shared" si="1211"/>
        <v>0</v>
      </c>
      <c r="AJ2117" s="162" t="b">
        <f t="shared" si="1186"/>
        <v>1</v>
      </c>
      <c r="AK2117" s="162" t="str">
        <f t="shared" si="1187"/>
        <v>PRAZNO</v>
      </c>
      <c r="AM2117" s="164"/>
    </row>
    <row r="2118" spans="1:39" ht="15.75" x14ac:dyDescent="0.2">
      <c r="B2118" s="177"/>
      <c r="C2118" s="177"/>
      <c r="D2118" s="177">
        <v>363</v>
      </c>
      <c r="E2118" s="177"/>
      <c r="F2118" s="176"/>
      <c r="G2118" s="176"/>
      <c r="H2118" s="16" t="s">
        <v>536</v>
      </c>
      <c r="I2118" s="18"/>
      <c r="J2118" s="18"/>
      <c r="K2118" s="18"/>
      <c r="L2118" s="18"/>
      <c r="M2118" s="18"/>
      <c r="N2118" s="18"/>
      <c r="O2118" s="18"/>
      <c r="P2118" s="26"/>
      <c r="Q2118" s="18"/>
      <c r="R2118" s="18"/>
      <c r="S2118" s="18"/>
      <c r="T2118" s="27"/>
      <c r="U2118" s="27"/>
      <c r="V2118" s="18">
        <f>V2119</f>
        <v>1000000</v>
      </c>
      <c r="W2118" s="18">
        <f t="shared" si="1213"/>
        <v>0</v>
      </c>
      <c r="X2118" s="18">
        <f t="shared" si="1213"/>
        <v>0</v>
      </c>
      <c r="Y2118" s="18">
        <f>Y2119</f>
        <v>0</v>
      </c>
      <c r="Z2118" s="18">
        <f t="shared" si="1194"/>
        <v>0</v>
      </c>
      <c r="AA2118" s="18">
        <f t="shared" si="1196"/>
        <v>-600000</v>
      </c>
      <c r="AB2118" s="18">
        <f t="shared" si="1211"/>
        <v>400000</v>
      </c>
      <c r="AC2118" s="18">
        <f t="shared" si="1211"/>
        <v>0</v>
      </c>
      <c r="AD2118" s="18">
        <f t="shared" si="1210"/>
        <v>0</v>
      </c>
      <c r="AE2118" s="18">
        <f t="shared" si="1212"/>
        <v>0</v>
      </c>
      <c r="AF2118" s="18">
        <f t="shared" si="1211"/>
        <v>400000</v>
      </c>
      <c r="AG2118" s="18">
        <f t="shared" si="1211"/>
        <v>500000</v>
      </c>
      <c r="AH2118" s="18">
        <f t="shared" si="1211"/>
        <v>500000</v>
      </c>
      <c r="AI2118" s="18">
        <f t="shared" si="1211"/>
        <v>0</v>
      </c>
      <c r="AJ2118" s="162" t="b">
        <f t="shared" si="1186"/>
        <v>1</v>
      </c>
      <c r="AK2118" s="162" t="str">
        <f t="shared" si="1187"/>
        <v>PRAZNO</v>
      </c>
      <c r="AM2118" s="164"/>
    </row>
    <row r="2119" spans="1:39" ht="15.75" x14ac:dyDescent="0.2">
      <c r="B2119" s="177"/>
      <c r="C2119" s="177"/>
      <c r="D2119" s="177"/>
      <c r="E2119" s="177">
        <v>3632</v>
      </c>
      <c r="F2119" s="176">
        <v>14</v>
      </c>
      <c r="G2119" s="176"/>
      <c r="H2119" s="16" t="s">
        <v>227</v>
      </c>
      <c r="I2119" s="18"/>
      <c r="J2119" s="18"/>
      <c r="K2119" s="18"/>
      <c r="L2119" s="18"/>
      <c r="M2119" s="18"/>
      <c r="N2119" s="18"/>
      <c r="O2119" s="18"/>
      <c r="P2119" s="26"/>
      <c r="Q2119" s="18"/>
      <c r="R2119" s="18"/>
      <c r="S2119" s="18"/>
      <c r="T2119" s="27"/>
      <c r="U2119" s="27"/>
      <c r="V2119" s="18">
        <v>1000000</v>
      </c>
      <c r="W2119" s="18">
        <v>0</v>
      </c>
      <c r="X2119" s="18">
        <v>0</v>
      </c>
      <c r="Y2119" s="18">
        <v>0</v>
      </c>
      <c r="Z2119" s="18">
        <f t="shared" si="1194"/>
        <v>0</v>
      </c>
      <c r="AA2119" s="18">
        <f t="shared" si="1196"/>
        <v>-600000</v>
      </c>
      <c r="AB2119" s="18">
        <v>400000</v>
      </c>
      <c r="AC2119" s="18">
        <v>0</v>
      </c>
      <c r="AD2119" s="18">
        <f t="shared" si="1210"/>
        <v>0</v>
      </c>
      <c r="AE2119" s="18">
        <f t="shared" si="1212"/>
        <v>0</v>
      </c>
      <c r="AF2119" s="18">
        <v>400000</v>
      </c>
      <c r="AG2119" s="18">
        <v>500000</v>
      </c>
      <c r="AH2119" s="18">
        <v>500000</v>
      </c>
      <c r="AI2119" s="18">
        <v>0</v>
      </c>
      <c r="AJ2119" s="162" t="b">
        <f t="shared" si="1186"/>
        <v>0</v>
      </c>
      <c r="AK2119" s="162" t="str">
        <f t="shared" si="1187"/>
        <v>PUNO</v>
      </c>
      <c r="AM2119" s="164"/>
    </row>
    <row r="2120" spans="1:39" s="207" customFormat="1" ht="31.5" x14ac:dyDescent="0.25">
      <c r="A2120" s="378"/>
      <c r="B2120" s="168"/>
      <c r="C2120" s="168"/>
      <c r="D2120" s="168"/>
      <c r="E2120" s="168"/>
      <c r="F2120" s="322"/>
      <c r="G2120" s="322"/>
      <c r="H2120" s="13" t="s">
        <v>408</v>
      </c>
      <c r="I2120" s="308"/>
      <c r="J2120" s="308"/>
      <c r="K2120" s="308"/>
      <c r="L2120" s="308"/>
      <c r="M2120" s="308"/>
      <c r="N2120" s="308"/>
      <c r="O2120" s="308"/>
      <c r="P2120" s="53"/>
      <c r="Q2120" s="308"/>
      <c r="R2120" s="308"/>
      <c r="S2120" s="308"/>
      <c r="T2120" s="323"/>
      <c r="U2120" s="323"/>
      <c r="V2120" s="308">
        <f>V2122</f>
        <v>100000</v>
      </c>
      <c r="W2120" s="308">
        <f>W2122</f>
        <v>0</v>
      </c>
      <c r="X2120" s="308">
        <f>X2122</f>
        <v>0</v>
      </c>
      <c r="Y2120" s="308">
        <f>Y2122</f>
        <v>0</v>
      </c>
      <c r="Z2120" s="308">
        <f t="shared" si="1194"/>
        <v>0</v>
      </c>
      <c r="AA2120" s="308">
        <f t="shared" si="1196"/>
        <v>-100000</v>
      </c>
      <c r="AB2120" s="308">
        <f>AB2122</f>
        <v>0</v>
      </c>
      <c r="AC2120" s="308">
        <f>AC2122</f>
        <v>0</v>
      </c>
      <c r="AD2120" s="308"/>
      <c r="AE2120" s="308">
        <f t="shared" si="1212"/>
        <v>0</v>
      </c>
      <c r="AF2120" s="308">
        <f>AF2122</f>
        <v>0</v>
      </c>
      <c r="AG2120" s="308">
        <f>AG2122</f>
        <v>0</v>
      </c>
      <c r="AH2120" s="308">
        <f>AH2122</f>
        <v>0</v>
      </c>
      <c r="AI2120" s="308">
        <f>AI2122</f>
        <v>0</v>
      </c>
      <c r="AJ2120" s="162" t="b">
        <f t="shared" si="1186"/>
        <v>1</v>
      </c>
      <c r="AK2120" s="162" t="str">
        <f t="shared" si="1187"/>
        <v>PRAZNO</v>
      </c>
      <c r="AL2120" s="206"/>
    </row>
    <row r="2121" spans="1:39" s="447" customFormat="1" ht="15.75" x14ac:dyDescent="0.25">
      <c r="A2121" s="378"/>
      <c r="B2121" s="260"/>
      <c r="C2121" s="260"/>
      <c r="D2121" s="260"/>
      <c r="E2121" s="260"/>
      <c r="F2121" s="442"/>
      <c r="G2121" s="442"/>
      <c r="H2121" s="440" t="s">
        <v>824</v>
      </c>
      <c r="I2121" s="443"/>
      <c r="J2121" s="443"/>
      <c r="K2121" s="443"/>
      <c r="L2121" s="443"/>
      <c r="M2121" s="443"/>
      <c r="N2121" s="443"/>
      <c r="O2121" s="443"/>
      <c r="P2121" s="342"/>
      <c r="Q2121" s="443"/>
      <c r="R2121" s="443"/>
      <c r="S2121" s="443"/>
      <c r="T2121" s="444"/>
      <c r="U2121" s="444"/>
      <c r="V2121" s="443">
        <f>V2122</f>
        <v>100000</v>
      </c>
      <c r="W2121" s="443">
        <f>W2122</f>
        <v>0</v>
      </c>
      <c r="X2121" s="443">
        <f>X2122</f>
        <v>0</v>
      </c>
      <c r="Y2121" s="443">
        <f>Y2122</f>
        <v>0</v>
      </c>
      <c r="Z2121" s="443">
        <f t="shared" si="1194"/>
        <v>0</v>
      </c>
      <c r="AA2121" s="443">
        <f t="shared" si="1196"/>
        <v>-100000</v>
      </c>
      <c r="AB2121" s="443">
        <f>AB2122</f>
        <v>0</v>
      </c>
      <c r="AC2121" s="443">
        <f>AC2122</f>
        <v>0</v>
      </c>
      <c r="AD2121" s="443"/>
      <c r="AE2121" s="443">
        <f t="shared" si="1212"/>
        <v>0</v>
      </c>
      <c r="AF2121" s="443">
        <f>AF2122</f>
        <v>0</v>
      </c>
      <c r="AG2121" s="443">
        <f>AG2122</f>
        <v>0</v>
      </c>
      <c r="AH2121" s="443">
        <f>AH2122</f>
        <v>0</v>
      </c>
      <c r="AI2121" s="443">
        <f>AI2122</f>
        <v>0</v>
      </c>
      <c r="AJ2121" s="162" t="b">
        <f t="shared" ref="AJ2121:AJ2184" si="1214">ISBLANK(E2121)</f>
        <v>1</v>
      </c>
      <c r="AK2121" s="162" t="str">
        <f t="shared" ref="AK2121:AK2184" si="1215">IF(AJ2121,"PRAZNO","PUNO")</f>
        <v>PRAZNO</v>
      </c>
      <c r="AL2121" s="446"/>
    </row>
    <row r="2122" spans="1:39" s="174" customFormat="1" ht="15.75" x14ac:dyDescent="0.2">
      <c r="A2122" s="259"/>
      <c r="B2122" s="172">
        <v>4</v>
      </c>
      <c r="C2122" s="172"/>
      <c r="D2122" s="172"/>
      <c r="E2122" s="172"/>
      <c r="F2122" s="220"/>
      <c r="G2122" s="220"/>
      <c r="H2122" s="14" t="s">
        <v>552</v>
      </c>
      <c r="I2122" s="184"/>
      <c r="J2122" s="184"/>
      <c r="K2122" s="184"/>
      <c r="L2122" s="184"/>
      <c r="M2122" s="184"/>
      <c r="N2122" s="184"/>
      <c r="O2122" s="184"/>
      <c r="P2122" s="55"/>
      <c r="Q2122" s="184"/>
      <c r="R2122" s="184"/>
      <c r="S2122" s="184"/>
      <c r="T2122" s="185"/>
      <c r="U2122" s="185"/>
      <c r="V2122" s="184">
        <f t="shared" ref="V2122:AI2124" si="1216">V2123</f>
        <v>100000</v>
      </c>
      <c r="W2122" s="184">
        <f t="shared" si="1216"/>
        <v>0</v>
      </c>
      <c r="X2122" s="184">
        <f t="shared" si="1216"/>
        <v>0</v>
      </c>
      <c r="Y2122" s="184">
        <f t="shared" si="1216"/>
        <v>0</v>
      </c>
      <c r="Z2122" s="184">
        <f t="shared" si="1194"/>
        <v>0</v>
      </c>
      <c r="AA2122" s="184">
        <f t="shared" si="1196"/>
        <v>-100000</v>
      </c>
      <c r="AB2122" s="184">
        <f t="shared" si="1216"/>
        <v>0</v>
      </c>
      <c r="AC2122" s="184">
        <f t="shared" si="1216"/>
        <v>0</v>
      </c>
      <c r="AD2122" s="184"/>
      <c r="AE2122" s="184">
        <f t="shared" si="1212"/>
        <v>0</v>
      </c>
      <c r="AF2122" s="184">
        <f t="shared" si="1216"/>
        <v>0</v>
      </c>
      <c r="AG2122" s="184">
        <f t="shared" si="1216"/>
        <v>0</v>
      </c>
      <c r="AH2122" s="184">
        <f t="shared" si="1216"/>
        <v>0</v>
      </c>
      <c r="AI2122" s="184">
        <f t="shared" si="1216"/>
        <v>0</v>
      </c>
      <c r="AJ2122" s="162" t="b">
        <f t="shared" si="1214"/>
        <v>1</v>
      </c>
      <c r="AK2122" s="162" t="str">
        <f t="shared" si="1215"/>
        <v>PRAZNO</v>
      </c>
      <c r="AL2122" s="173"/>
    </row>
    <row r="2123" spans="1:39" s="264" customFormat="1" ht="15.75" x14ac:dyDescent="0.2">
      <c r="A2123" s="259"/>
      <c r="B2123" s="177"/>
      <c r="C2123" s="177">
        <v>42</v>
      </c>
      <c r="D2123" s="177"/>
      <c r="E2123" s="177"/>
      <c r="F2123" s="265"/>
      <c r="G2123" s="265"/>
      <c r="H2123" s="16" t="s">
        <v>212</v>
      </c>
      <c r="I2123" s="178"/>
      <c r="J2123" s="178"/>
      <c r="K2123" s="178"/>
      <c r="L2123" s="178"/>
      <c r="M2123" s="178"/>
      <c r="N2123" s="178"/>
      <c r="O2123" s="178"/>
      <c r="P2123" s="307"/>
      <c r="Q2123" s="178"/>
      <c r="R2123" s="178"/>
      <c r="S2123" s="178"/>
      <c r="T2123" s="266"/>
      <c r="U2123" s="266"/>
      <c r="V2123" s="178">
        <f t="shared" si="1216"/>
        <v>100000</v>
      </c>
      <c r="W2123" s="178">
        <f t="shared" si="1216"/>
        <v>0</v>
      </c>
      <c r="X2123" s="178">
        <f t="shared" si="1216"/>
        <v>0</v>
      </c>
      <c r="Y2123" s="178">
        <f t="shared" si="1216"/>
        <v>0</v>
      </c>
      <c r="Z2123" s="178">
        <f t="shared" si="1194"/>
        <v>0</v>
      </c>
      <c r="AA2123" s="178">
        <f t="shared" si="1196"/>
        <v>-100000</v>
      </c>
      <c r="AB2123" s="178">
        <f t="shared" si="1216"/>
        <v>0</v>
      </c>
      <c r="AC2123" s="178">
        <f t="shared" si="1216"/>
        <v>0</v>
      </c>
      <c r="AD2123" s="178"/>
      <c r="AE2123" s="178">
        <f t="shared" si="1212"/>
        <v>0</v>
      </c>
      <c r="AF2123" s="178">
        <f t="shared" si="1216"/>
        <v>0</v>
      </c>
      <c r="AG2123" s="178">
        <f t="shared" si="1216"/>
        <v>0</v>
      </c>
      <c r="AH2123" s="178">
        <f t="shared" si="1216"/>
        <v>0</v>
      </c>
      <c r="AI2123" s="178">
        <f t="shared" si="1216"/>
        <v>0</v>
      </c>
      <c r="AJ2123" s="162" t="b">
        <f t="shared" si="1214"/>
        <v>1</v>
      </c>
      <c r="AK2123" s="162" t="str">
        <f t="shared" si="1215"/>
        <v>PRAZNO</v>
      </c>
      <c r="AL2123" s="263"/>
    </row>
    <row r="2124" spans="1:39" ht="15.75" x14ac:dyDescent="0.2">
      <c r="B2124" s="177"/>
      <c r="C2124" s="177"/>
      <c r="D2124" s="177">
        <v>421</v>
      </c>
      <c r="E2124" s="177"/>
      <c r="F2124" s="176"/>
      <c r="G2124" s="176"/>
      <c r="H2124" s="16" t="s">
        <v>759</v>
      </c>
      <c r="I2124" s="18"/>
      <c r="J2124" s="18"/>
      <c r="K2124" s="18"/>
      <c r="L2124" s="18"/>
      <c r="M2124" s="18"/>
      <c r="N2124" s="18"/>
      <c r="O2124" s="18"/>
      <c r="P2124" s="26"/>
      <c r="Q2124" s="18"/>
      <c r="R2124" s="18"/>
      <c r="S2124" s="18"/>
      <c r="T2124" s="27"/>
      <c r="U2124" s="27"/>
      <c r="V2124" s="18">
        <f t="shared" si="1216"/>
        <v>100000</v>
      </c>
      <c r="W2124" s="18">
        <f t="shared" si="1216"/>
        <v>0</v>
      </c>
      <c r="X2124" s="18">
        <f t="shared" si="1216"/>
        <v>0</v>
      </c>
      <c r="Y2124" s="18">
        <f t="shared" si="1216"/>
        <v>0</v>
      </c>
      <c r="Z2124" s="18">
        <f t="shared" si="1194"/>
        <v>0</v>
      </c>
      <c r="AA2124" s="18">
        <f t="shared" si="1196"/>
        <v>-100000</v>
      </c>
      <c r="AB2124" s="18">
        <f t="shared" si="1216"/>
        <v>0</v>
      </c>
      <c r="AC2124" s="18">
        <f t="shared" si="1216"/>
        <v>0</v>
      </c>
      <c r="AD2124" s="18"/>
      <c r="AE2124" s="18">
        <f t="shared" si="1212"/>
        <v>0</v>
      </c>
      <c r="AF2124" s="18">
        <f t="shared" si="1216"/>
        <v>0</v>
      </c>
      <c r="AG2124" s="18">
        <f t="shared" si="1216"/>
        <v>0</v>
      </c>
      <c r="AH2124" s="18">
        <f t="shared" si="1216"/>
        <v>0</v>
      </c>
      <c r="AI2124" s="18">
        <f t="shared" si="1216"/>
        <v>0</v>
      </c>
      <c r="AJ2124" s="162" t="b">
        <f t="shared" si="1214"/>
        <v>1</v>
      </c>
      <c r="AK2124" s="162" t="str">
        <f t="shared" si="1215"/>
        <v>PRAZNO</v>
      </c>
      <c r="AM2124" s="164"/>
    </row>
    <row r="2125" spans="1:39" ht="15.75" x14ac:dyDescent="0.2">
      <c r="B2125" s="177"/>
      <c r="C2125" s="177"/>
      <c r="D2125" s="177"/>
      <c r="E2125" s="177">
        <v>4212</v>
      </c>
      <c r="F2125" s="176">
        <v>14</v>
      </c>
      <c r="G2125" s="176"/>
      <c r="H2125" s="16" t="s">
        <v>649</v>
      </c>
      <c r="I2125" s="18"/>
      <c r="J2125" s="18"/>
      <c r="K2125" s="18"/>
      <c r="L2125" s="18"/>
      <c r="M2125" s="18"/>
      <c r="N2125" s="18"/>
      <c r="O2125" s="18"/>
      <c r="P2125" s="26"/>
      <c r="Q2125" s="18"/>
      <c r="R2125" s="18"/>
      <c r="S2125" s="18"/>
      <c r="T2125" s="27"/>
      <c r="U2125" s="27"/>
      <c r="V2125" s="18">
        <v>100000</v>
      </c>
      <c r="W2125" s="18">
        <v>0</v>
      </c>
      <c r="X2125" s="18">
        <v>0</v>
      </c>
      <c r="Y2125" s="18">
        <v>0</v>
      </c>
      <c r="Z2125" s="18">
        <f t="shared" si="1194"/>
        <v>0</v>
      </c>
      <c r="AA2125" s="18">
        <f t="shared" si="1196"/>
        <v>-100000</v>
      </c>
      <c r="AB2125" s="18"/>
      <c r="AC2125" s="18"/>
      <c r="AD2125" s="18"/>
      <c r="AE2125" s="18">
        <f t="shared" si="1212"/>
        <v>0</v>
      </c>
      <c r="AF2125" s="18">
        <v>0</v>
      </c>
      <c r="AG2125" s="18">
        <v>0</v>
      </c>
      <c r="AH2125" s="18">
        <v>0</v>
      </c>
      <c r="AI2125" s="18">
        <v>0</v>
      </c>
      <c r="AJ2125" s="162" t="b">
        <f t="shared" si="1214"/>
        <v>0</v>
      </c>
      <c r="AK2125" s="162" t="str">
        <f t="shared" si="1215"/>
        <v>PUNO</v>
      </c>
      <c r="AM2125" s="164"/>
    </row>
    <row r="2126" spans="1:39" s="207" customFormat="1" ht="31.5" x14ac:dyDescent="0.25">
      <c r="A2126" s="378"/>
      <c r="B2126" s="168"/>
      <c r="C2126" s="168"/>
      <c r="D2126" s="168"/>
      <c r="E2126" s="168"/>
      <c r="F2126" s="322"/>
      <c r="G2126" s="322"/>
      <c r="H2126" s="13" t="s">
        <v>291</v>
      </c>
      <c r="I2126" s="308"/>
      <c r="J2126" s="308"/>
      <c r="K2126" s="308"/>
      <c r="L2126" s="308"/>
      <c r="M2126" s="308"/>
      <c r="N2126" s="308"/>
      <c r="O2126" s="308"/>
      <c r="P2126" s="53"/>
      <c r="Q2126" s="308"/>
      <c r="R2126" s="308"/>
      <c r="S2126" s="308"/>
      <c r="T2126" s="323"/>
      <c r="U2126" s="323"/>
      <c r="V2126" s="308">
        <f>V2128</f>
        <v>100000</v>
      </c>
      <c r="W2126" s="308">
        <f>W2128</f>
        <v>0</v>
      </c>
      <c r="X2126" s="308">
        <f>X2128</f>
        <v>0</v>
      </c>
      <c r="Y2126" s="308">
        <f>Y2128</f>
        <v>0</v>
      </c>
      <c r="Z2126" s="308">
        <f t="shared" si="1194"/>
        <v>0</v>
      </c>
      <c r="AA2126" s="308">
        <f t="shared" si="1196"/>
        <v>-100000</v>
      </c>
      <c r="AB2126" s="308">
        <f>AB2128</f>
        <v>0</v>
      </c>
      <c r="AC2126" s="308">
        <f>AC2128</f>
        <v>0</v>
      </c>
      <c r="AD2126" s="308"/>
      <c r="AE2126" s="308">
        <f t="shared" si="1212"/>
        <v>0</v>
      </c>
      <c r="AF2126" s="308">
        <f>AF2128</f>
        <v>0</v>
      </c>
      <c r="AG2126" s="308">
        <f>AG2128</f>
        <v>0</v>
      </c>
      <c r="AH2126" s="308">
        <f>AH2128</f>
        <v>0</v>
      </c>
      <c r="AI2126" s="308">
        <f>AI2128</f>
        <v>0</v>
      </c>
      <c r="AJ2126" s="162" t="b">
        <f t="shared" si="1214"/>
        <v>1</v>
      </c>
      <c r="AK2126" s="162" t="str">
        <f t="shared" si="1215"/>
        <v>PRAZNO</v>
      </c>
      <c r="AL2126" s="206"/>
    </row>
    <row r="2127" spans="1:39" s="447" customFormat="1" ht="15.75" x14ac:dyDescent="0.25">
      <c r="A2127" s="378"/>
      <c r="B2127" s="260"/>
      <c r="C2127" s="260"/>
      <c r="D2127" s="260"/>
      <c r="E2127" s="260"/>
      <c r="F2127" s="442"/>
      <c r="G2127" s="442"/>
      <c r="H2127" s="440" t="s">
        <v>824</v>
      </c>
      <c r="I2127" s="443"/>
      <c r="J2127" s="443"/>
      <c r="K2127" s="443"/>
      <c r="L2127" s="443"/>
      <c r="M2127" s="443"/>
      <c r="N2127" s="443"/>
      <c r="O2127" s="443"/>
      <c r="P2127" s="342"/>
      <c r="Q2127" s="443"/>
      <c r="R2127" s="443"/>
      <c r="S2127" s="443"/>
      <c r="T2127" s="444"/>
      <c r="U2127" s="444"/>
      <c r="V2127" s="443">
        <f>V2128</f>
        <v>100000</v>
      </c>
      <c r="W2127" s="443">
        <f>W2128</f>
        <v>0</v>
      </c>
      <c r="X2127" s="443">
        <f>X2128</f>
        <v>0</v>
      </c>
      <c r="Y2127" s="443">
        <f>Y2128</f>
        <v>0</v>
      </c>
      <c r="Z2127" s="443">
        <f t="shared" si="1194"/>
        <v>0</v>
      </c>
      <c r="AA2127" s="443">
        <f t="shared" si="1196"/>
        <v>-100000</v>
      </c>
      <c r="AB2127" s="443">
        <f t="shared" ref="AB2127:AI2130" si="1217">AB2128</f>
        <v>0</v>
      </c>
      <c r="AC2127" s="443">
        <f t="shared" si="1217"/>
        <v>0</v>
      </c>
      <c r="AD2127" s="443"/>
      <c r="AE2127" s="443">
        <f t="shared" si="1212"/>
        <v>0</v>
      </c>
      <c r="AF2127" s="443">
        <f t="shared" si="1217"/>
        <v>0</v>
      </c>
      <c r="AG2127" s="443">
        <f t="shared" si="1217"/>
        <v>0</v>
      </c>
      <c r="AH2127" s="443">
        <f t="shared" si="1217"/>
        <v>0</v>
      </c>
      <c r="AI2127" s="443">
        <f t="shared" si="1217"/>
        <v>0</v>
      </c>
      <c r="AJ2127" s="162" t="b">
        <f t="shared" si="1214"/>
        <v>1</v>
      </c>
      <c r="AK2127" s="162" t="str">
        <f t="shared" si="1215"/>
        <v>PRAZNO</v>
      </c>
      <c r="AL2127" s="446"/>
    </row>
    <row r="2128" spans="1:39" s="174" customFormat="1" ht="15.75" x14ac:dyDescent="0.2">
      <c r="A2128" s="259"/>
      <c r="B2128" s="172">
        <v>4</v>
      </c>
      <c r="C2128" s="172"/>
      <c r="D2128" s="172"/>
      <c r="E2128" s="172"/>
      <c r="F2128" s="220"/>
      <c r="G2128" s="220"/>
      <c r="H2128" s="14" t="s">
        <v>552</v>
      </c>
      <c r="I2128" s="184"/>
      <c r="J2128" s="184"/>
      <c r="K2128" s="184"/>
      <c r="L2128" s="184"/>
      <c r="M2128" s="184"/>
      <c r="N2128" s="184"/>
      <c r="O2128" s="184"/>
      <c r="P2128" s="55"/>
      <c r="Q2128" s="184"/>
      <c r="R2128" s="184"/>
      <c r="S2128" s="184"/>
      <c r="T2128" s="185"/>
      <c r="U2128" s="185"/>
      <c r="V2128" s="184">
        <f>V2129</f>
        <v>100000</v>
      </c>
      <c r="W2128" s="184">
        <f t="shared" ref="W2128:X2130" si="1218">W2129</f>
        <v>0</v>
      </c>
      <c r="X2128" s="184">
        <f t="shared" si="1218"/>
        <v>0</v>
      </c>
      <c r="Y2128" s="184">
        <f>Y2129</f>
        <v>0</v>
      </c>
      <c r="Z2128" s="184">
        <f t="shared" si="1194"/>
        <v>0</v>
      </c>
      <c r="AA2128" s="184">
        <f t="shared" si="1196"/>
        <v>-100000</v>
      </c>
      <c r="AB2128" s="184">
        <f t="shared" si="1217"/>
        <v>0</v>
      </c>
      <c r="AC2128" s="184">
        <f t="shared" si="1217"/>
        <v>0</v>
      </c>
      <c r="AD2128" s="184"/>
      <c r="AE2128" s="184">
        <f t="shared" si="1212"/>
        <v>0</v>
      </c>
      <c r="AF2128" s="184">
        <f t="shared" si="1217"/>
        <v>0</v>
      </c>
      <c r="AG2128" s="184">
        <f t="shared" si="1217"/>
        <v>0</v>
      </c>
      <c r="AH2128" s="184">
        <f t="shared" si="1217"/>
        <v>0</v>
      </c>
      <c r="AI2128" s="184">
        <f t="shared" si="1217"/>
        <v>0</v>
      </c>
      <c r="AJ2128" s="162" t="b">
        <f t="shared" si="1214"/>
        <v>1</v>
      </c>
      <c r="AK2128" s="162" t="str">
        <f t="shared" si="1215"/>
        <v>PRAZNO</v>
      </c>
      <c r="AL2128" s="173"/>
    </row>
    <row r="2129" spans="1:39" ht="15.75" x14ac:dyDescent="0.2">
      <c r="B2129" s="177"/>
      <c r="C2129" s="177">
        <v>42</v>
      </c>
      <c r="D2129" s="177"/>
      <c r="E2129" s="177"/>
      <c r="F2129" s="176"/>
      <c r="G2129" s="176"/>
      <c r="H2129" s="16" t="s">
        <v>212</v>
      </c>
      <c r="I2129" s="18"/>
      <c r="J2129" s="18"/>
      <c r="K2129" s="18"/>
      <c r="L2129" s="18"/>
      <c r="M2129" s="18"/>
      <c r="N2129" s="18"/>
      <c r="O2129" s="18"/>
      <c r="P2129" s="26"/>
      <c r="Q2129" s="18"/>
      <c r="R2129" s="18"/>
      <c r="S2129" s="18"/>
      <c r="T2129" s="27"/>
      <c r="U2129" s="27"/>
      <c r="V2129" s="18">
        <f>V2130</f>
        <v>100000</v>
      </c>
      <c r="W2129" s="18">
        <f t="shared" si="1218"/>
        <v>0</v>
      </c>
      <c r="X2129" s="18">
        <f t="shared" si="1218"/>
        <v>0</v>
      </c>
      <c r="Y2129" s="18">
        <f>Y2130</f>
        <v>0</v>
      </c>
      <c r="Z2129" s="18">
        <f t="shared" si="1194"/>
        <v>0</v>
      </c>
      <c r="AA2129" s="18">
        <f t="shared" si="1196"/>
        <v>-100000</v>
      </c>
      <c r="AB2129" s="18">
        <f t="shared" si="1217"/>
        <v>0</v>
      </c>
      <c r="AC2129" s="18">
        <f t="shared" si="1217"/>
        <v>0</v>
      </c>
      <c r="AD2129" s="18"/>
      <c r="AE2129" s="18">
        <f t="shared" si="1212"/>
        <v>0</v>
      </c>
      <c r="AF2129" s="18">
        <f t="shared" si="1217"/>
        <v>0</v>
      </c>
      <c r="AG2129" s="18">
        <f t="shared" si="1217"/>
        <v>0</v>
      </c>
      <c r="AH2129" s="18">
        <f t="shared" si="1217"/>
        <v>0</v>
      </c>
      <c r="AI2129" s="18">
        <f t="shared" si="1217"/>
        <v>0</v>
      </c>
      <c r="AJ2129" s="162" t="b">
        <f t="shared" si="1214"/>
        <v>1</v>
      </c>
      <c r="AK2129" s="162" t="str">
        <f t="shared" si="1215"/>
        <v>PRAZNO</v>
      </c>
      <c r="AM2129" s="164"/>
    </row>
    <row r="2130" spans="1:39" ht="15.75" x14ac:dyDescent="0.2">
      <c r="B2130" s="177"/>
      <c r="C2130" s="177"/>
      <c r="D2130" s="177">
        <v>421</v>
      </c>
      <c r="E2130" s="177"/>
      <c r="F2130" s="176"/>
      <c r="G2130" s="176"/>
      <c r="H2130" s="16" t="s">
        <v>759</v>
      </c>
      <c r="I2130" s="18"/>
      <c r="J2130" s="18"/>
      <c r="K2130" s="18"/>
      <c r="L2130" s="18"/>
      <c r="M2130" s="18"/>
      <c r="N2130" s="18"/>
      <c r="O2130" s="18"/>
      <c r="P2130" s="26"/>
      <c r="Q2130" s="18"/>
      <c r="R2130" s="18"/>
      <c r="S2130" s="18"/>
      <c r="T2130" s="27"/>
      <c r="U2130" s="27"/>
      <c r="V2130" s="18">
        <f>V2131</f>
        <v>100000</v>
      </c>
      <c r="W2130" s="18">
        <f t="shared" si="1218"/>
        <v>0</v>
      </c>
      <c r="X2130" s="18">
        <f t="shared" si="1218"/>
        <v>0</v>
      </c>
      <c r="Y2130" s="18">
        <f>Y2131</f>
        <v>0</v>
      </c>
      <c r="Z2130" s="18">
        <f t="shared" ref="Z2130:Z2207" si="1219">ROUND(Y2130/V2130*100,2)</f>
        <v>0</v>
      </c>
      <c r="AA2130" s="18">
        <f t="shared" si="1196"/>
        <v>-100000</v>
      </c>
      <c r="AB2130" s="18">
        <f t="shared" si="1217"/>
        <v>0</v>
      </c>
      <c r="AC2130" s="18">
        <f t="shared" si="1217"/>
        <v>0</v>
      </c>
      <c r="AD2130" s="18"/>
      <c r="AE2130" s="18">
        <f t="shared" si="1212"/>
        <v>0</v>
      </c>
      <c r="AF2130" s="18">
        <f t="shared" si="1217"/>
        <v>0</v>
      </c>
      <c r="AG2130" s="18">
        <f t="shared" si="1217"/>
        <v>0</v>
      </c>
      <c r="AH2130" s="18">
        <f t="shared" si="1217"/>
        <v>0</v>
      </c>
      <c r="AI2130" s="18">
        <f t="shared" si="1217"/>
        <v>0</v>
      </c>
      <c r="AJ2130" s="162" t="b">
        <f t="shared" si="1214"/>
        <v>1</v>
      </c>
      <c r="AK2130" s="162" t="str">
        <f t="shared" si="1215"/>
        <v>PRAZNO</v>
      </c>
      <c r="AM2130" s="164"/>
    </row>
    <row r="2131" spans="1:39" ht="15.75" x14ac:dyDescent="0.2">
      <c r="B2131" s="177"/>
      <c r="C2131" s="177"/>
      <c r="D2131" s="177"/>
      <c r="E2131" s="177">
        <v>4212</v>
      </c>
      <c r="F2131" s="176">
        <v>14</v>
      </c>
      <c r="G2131" s="176"/>
      <c r="H2131" s="16" t="s">
        <v>649</v>
      </c>
      <c r="I2131" s="18"/>
      <c r="J2131" s="18"/>
      <c r="K2131" s="18"/>
      <c r="L2131" s="18"/>
      <c r="M2131" s="18"/>
      <c r="N2131" s="18"/>
      <c r="O2131" s="18"/>
      <c r="P2131" s="26"/>
      <c r="Q2131" s="18"/>
      <c r="R2131" s="18"/>
      <c r="S2131" s="18"/>
      <c r="T2131" s="27"/>
      <c r="U2131" s="27"/>
      <c r="V2131" s="182">
        <v>100000</v>
      </c>
      <c r="W2131" s="182">
        <v>0</v>
      </c>
      <c r="X2131" s="429">
        <v>0</v>
      </c>
      <c r="Y2131" s="182">
        <v>0</v>
      </c>
      <c r="Z2131" s="182">
        <f t="shared" si="1219"/>
        <v>0</v>
      </c>
      <c r="AA2131" s="182">
        <f t="shared" si="1196"/>
        <v>-100000</v>
      </c>
      <c r="AB2131" s="182"/>
      <c r="AC2131" s="182"/>
      <c r="AD2131" s="182"/>
      <c r="AE2131" s="182">
        <f t="shared" si="1212"/>
        <v>0</v>
      </c>
      <c r="AF2131" s="182">
        <v>0</v>
      </c>
      <c r="AG2131" s="182"/>
      <c r="AH2131" s="182"/>
      <c r="AI2131" s="182"/>
      <c r="AJ2131" s="162" t="b">
        <f t="shared" si="1214"/>
        <v>0</v>
      </c>
      <c r="AK2131" s="162" t="str">
        <f t="shared" si="1215"/>
        <v>PUNO</v>
      </c>
      <c r="AM2131" s="164"/>
    </row>
    <row r="2132" spans="1:39" s="207" customFormat="1" ht="31.5" x14ac:dyDescent="0.25">
      <c r="A2132" s="378"/>
      <c r="B2132" s="168"/>
      <c r="C2132" s="168"/>
      <c r="D2132" s="168"/>
      <c r="E2132" s="168"/>
      <c r="F2132" s="322"/>
      <c r="G2132" s="322"/>
      <c r="H2132" s="13" t="s">
        <v>957</v>
      </c>
      <c r="I2132" s="308"/>
      <c r="J2132" s="308"/>
      <c r="K2132" s="308"/>
      <c r="L2132" s="308"/>
      <c r="M2132" s="308"/>
      <c r="N2132" s="308"/>
      <c r="O2132" s="308"/>
      <c r="P2132" s="53"/>
      <c r="Q2132" s="308"/>
      <c r="R2132" s="308"/>
      <c r="S2132" s="308"/>
      <c r="T2132" s="323"/>
      <c r="U2132" s="323"/>
      <c r="V2132" s="438">
        <f>V2134</f>
        <v>100000</v>
      </c>
      <c r="W2132" s="438">
        <f>W2134</f>
        <v>0</v>
      </c>
      <c r="X2132" s="438">
        <f>X2134</f>
        <v>0</v>
      </c>
      <c r="Y2132" s="438">
        <f>Y2134</f>
        <v>0</v>
      </c>
      <c r="Z2132" s="438">
        <f t="shared" si="1219"/>
        <v>0</v>
      </c>
      <c r="AA2132" s="438">
        <f t="shared" si="1196"/>
        <v>-80000</v>
      </c>
      <c r="AB2132" s="438">
        <f>AB2134</f>
        <v>20000</v>
      </c>
      <c r="AC2132" s="438">
        <f>AC2134</f>
        <v>0</v>
      </c>
      <c r="AD2132" s="438">
        <f t="shared" si="1210"/>
        <v>0</v>
      </c>
      <c r="AE2132" s="438">
        <f t="shared" si="1212"/>
        <v>0</v>
      </c>
      <c r="AF2132" s="438">
        <f>AF2134</f>
        <v>20000</v>
      </c>
      <c r="AG2132" s="438">
        <f>AG2134</f>
        <v>0</v>
      </c>
      <c r="AH2132" s="438">
        <f>AH2134</f>
        <v>0</v>
      </c>
      <c r="AI2132" s="438">
        <f>AI2134</f>
        <v>0</v>
      </c>
      <c r="AJ2132" s="162" t="b">
        <f t="shared" si="1214"/>
        <v>1</v>
      </c>
      <c r="AK2132" s="162" t="str">
        <f t="shared" si="1215"/>
        <v>PRAZNO</v>
      </c>
      <c r="AL2132" s="206"/>
    </row>
    <row r="2133" spans="1:39" s="447" customFormat="1" ht="15.75" x14ac:dyDescent="0.25">
      <c r="A2133" s="378"/>
      <c r="B2133" s="260"/>
      <c r="C2133" s="260"/>
      <c r="D2133" s="260"/>
      <c r="E2133" s="260"/>
      <c r="F2133" s="442"/>
      <c r="G2133" s="442"/>
      <c r="H2133" s="440" t="s">
        <v>824</v>
      </c>
      <c r="I2133" s="443"/>
      <c r="J2133" s="443"/>
      <c r="K2133" s="443"/>
      <c r="L2133" s="443"/>
      <c r="M2133" s="443"/>
      <c r="N2133" s="443"/>
      <c r="O2133" s="443"/>
      <c r="P2133" s="342"/>
      <c r="Q2133" s="443"/>
      <c r="R2133" s="443"/>
      <c r="S2133" s="443"/>
      <c r="T2133" s="444"/>
      <c r="U2133" s="444"/>
      <c r="V2133" s="491">
        <f>V2134</f>
        <v>100000</v>
      </c>
      <c r="W2133" s="491">
        <f>W2134</f>
        <v>0</v>
      </c>
      <c r="X2133" s="491">
        <f>X2134</f>
        <v>0</v>
      </c>
      <c r="Y2133" s="491">
        <f>Y2134</f>
        <v>0</v>
      </c>
      <c r="Z2133" s="491">
        <f t="shared" si="1219"/>
        <v>0</v>
      </c>
      <c r="AA2133" s="491">
        <f t="shared" ref="AA2133:AA2208" si="1220">AB2133-V2133</f>
        <v>-80000</v>
      </c>
      <c r="AB2133" s="491">
        <f t="shared" ref="AB2133:AI2136" si="1221">AB2134</f>
        <v>20000</v>
      </c>
      <c r="AC2133" s="491">
        <f t="shared" si="1221"/>
        <v>0</v>
      </c>
      <c r="AD2133" s="491">
        <f t="shared" si="1210"/>
        <v>0</v>
      </c>
      <c r="AE2133" s="491">
        <f t="shared" si="1212"/>
        <v>0</v>
      </c>
      <c r="AF2133" s="491">
        <f t="shared" si="1221"/>
        <v>20000</v>
      </c>
      <c r="AG2133" s="491">
        <f t="shared" si="1221"/>
        <v>0</v>
      </c>
      <c r="AH2133" s="491">
        <f t="shared" si="1221"/>
        <v>0</v>
      </c>
      <c r="AI2133" s="491">
        <f t="shared" si="1221"/>
        <v>0</v>
      </c>
      <c r="AJ2133" s="162" t="b">
        <f t="shared" si="1214"/>
        <v>1</v>
      </c>
      <c r="AK2133" s="162" t="str">
        <f t="shared" si="1215"/>
        <v>PRAZNO</v>
      </c>
      <c r="AL2133" s="446"/>
    </row>
    <row r="2134" spans="1:39" s="174" customFormat="1" ht="15.75" x14ac:dyDescent="0.2">
      <c r="A2134" s="259"/>
      <c r="B2134" s="172">
        <v>4</v>
      </c>
      <c r="C2134" s="172"/>
      <c r="D2134" s="172"/>
      <c r="E2134" s="172"/>
      <c r="F2134" s="220"/>
      <c r="G2134" s="220"/>
      <c r="H2134" s="14" t="s">
        <v>956</v>
      </c>
      <c r="I2134" s="184"/>
      <c r="J2134" s="184"/>
      <c r="K2134" s="184"/>
      <c r="L2134" s="184"/>
      <c r="M2134" s="184"/>
      <c r="N2134" s="184"/>
      <c r="O2134" s="184"/>
      <c r="P2134" s="55"/>
      <c r="Q2134" s="184"/>
      <c r="R2134" s="184"/>
      <c r="S2134" s="184"/>
      <c r="T2134" s="185"/>
      <c r="U2134" s="185"/>
      <c r="V2134" s="439">
        <f>V2135</f>
        <v>100000</v>
      </c>
      <c r="W2134" s="439">
        <f t="shared" ref="W2134:X2136" si="1222">W2135</f>
        <v>0</v>
      </c>
      <c r="X2134" s="439">
        <f t="shared" si="1222"/>
        <v>0</v>
      </c>
      <c r="Y2134" s="439">
        <f>Y2135</f>
        <v>0</v>
      </c>
      <c r="Z2134" s="439">
        <f t="shared" si="1219"/>
        <v>0</v>
      </c>
      <c r="AA2134" s="439">
        <f t="shared" si="1220"/>
        <v>-80000</v>
      </c>
      <c r="AB2134" s="439">
        <f t="shared" si="1221"/>
        <v>20000</v>
      </c>
      <c r="AC2134" s="439">
        <f t="shared" si="1221"/>
        <v>0</v>
      </c>
      <c r="AD2134" s="439">
        <f t="shared" si="1210"/>
        <v>0</v>
      </c>
      <c r="AE2134" s="439">
        <f t="shared" si="1212"/>
        <v>0</v>
      </c>
      <c r="AF2134" s="439">
        <f t="shared" si="1221"/>
        <v>20000</v>
      </c>
      <c r="AG2134" s="439">
        <f t="shared" si="1221"/>
        <v>0</v>
      </c>
      <c r="AH2134" s="439">
        <f t="shared" si="1221"/>
        <v>0</v>
      </c>
      <c r="AI2134" s="439">
        <f t="shared" si="1221"/>
        <v>0</v>
      </c>
      <c r="AJ2134" s="162" t="b">
        <f t="shared" si="1214"/>
        <v>1</v>
      </c>
      <c r="AK2134" s="162" t="str">
        <f t="shared" si="1215"/>
        <v>PRAZNO</v>
      </c>
      <c r="AL2134" s="173"/>
    </row>
    <row r="2135" spans="1:39" ht="15.75" x14ac:dyDescent="0.2">
      <c r="B2135" s="177"/>
      <c r="C2135" s="177">
        <v>42</v>
      </c>
      <c r="D2135" s="177"/>
      <c r="E2135" s="177"/>
      <c r="F2135" s="176"/>
      <c r="G2135" s="176"/>
      <c r="H2135" s="16" t="s">
        <v>212</v>
      </c>
      <c r="I2135" s="18"/>
      <c r="J2135" s="18"/>
      <c r="K2135" s="18"/>
      <c r="L2135" s="18"/>
      <c r="M2135" s="18"/>
      <c r="N2135" s="18"/>
      <c r="O2135" s="18"/>
      <c r="P2135" s="26"/>
      <c r="Q2135" s="18"/>
      <c r="R2135" s="18"/>
      <c r="S2135" s="18"/>
      <c r="T2135" s="27"/>
      <c r="U2135" s="27"/>
      <c r="V2135" s="182">
        <f>V2136</f>
        <v>100000</v>
      </c>
      <c r="W2135" s="182">
        <f t="shared" si="1222"/>
        <v>0</v>
      </c>
      <c r="X2135" s="182">
        <f t="shared" si="1222"/>
        <v>0</v>
      </c>
      <c r="Y2135" s="182">
        <f>Y2136</f>
        <v>0</v>
      </c>
      <c r="Z2135" s="182">
        <f t="shared" si="1219"/>
        <v>0</v>
      </c>
      <c r="AA2135" s="182">
        <f t="shared" si="1220"/>
        <v>-80000</v>
      </c>
      <c r="AB2135" s="182">
        <f t="shared" si="1221"/>
        <v>20000</v>
      </c>
      <c r="AC2135" s="182">
        <f t="shared" si="1221"/>
        <v>0</v>
      </c>
      <c r="AD2135" s="182">
        <f t="shared" si="1210"/>
        <v>0</v>
      </c>
      <c r="AE2135" s="182">
        <f t="shared" si="1212"/>
        <v>0</v>
      </c>
      <c r="AF2135" s="182">
        <f t="shared" si="1221"/>
        <v>20000</v>
      </c>
      <c r="AG2135" s="182">
        <f t="shared" si="1221"/>
        <v>0</v>
      </c>
      <c r="AH2135" s="182">
        <f t="shared" si="1221"/>
        <v>0</v>
      </c>
      <c r="AI2135" s="182">
        <f t="shared" si="1221"/>
        <v>0</v>
      </c>
      <c r="AJ2135" s="162" t="b">
        <f t="shared" si="1214"/>
        <v>1</v>
      </c>
      <c r="AK2135" s="162" t="str">
        <f t="shared" si="1215"/>
        <v>PRAZNO</v>
      </c>
      <c r="AM2135" s="164"/>
    </row>
    <row r="2136" spans="1:39" ht="15.75" x14ac:dyDescent="0.2">
      <c r="B2136" s="177"/>
      <c r="C2136" s="177"/>
      <c r="D2136" s="177">
        <v>421</v>
      </c>
      <c r="E2136" s="177"/>
      <c r="F2136" s="176"/>
      <c r="G2136" s="176"/>
      <c r="H2136" s="16" t="s">
        <v>759</v>
      </c>
      <c r="I2136" s="18"/>
      <c r="J2136" s="18"/>
      <c r="K2136" s="18"/>
      <c r="L2136" s="18"/>
      <c r="M2136" s="18"/>
      <c r="N2136" s="18"/>
      <c r="O2136" s="18"/>
      <c r="P2136" s="26"/>
      <c r="Q2136" s="18"/>
      <c r="R2136" s="18"/>
      <c r="S2136" s="18"/>
      <c r="T2136" s="27"/>
      <c r="U2136" s="27"/>
      <c r="V2136" s="182">
        <f>V2137</f>
        <v>100000</v>
      </c>
      <c r="W2136" s="182">
        <f t="shared" si="1222"/>
        <v>0</v>
      </c>
      <c r="X2136" s="182">
        <f t="shared" si="1222"/>
        <v>0</v>
      </c>
      <c r="Y2136" s="182">
        <f>Y2137</f>
        <v>0</v>
      </c>
      <c r="Z2136" s="182">
        <f t="shared" si="1219"/>
        <v>0</v>
      </c>
      <c r="AA2136" s="182">
        <f t="shared" si="1220"/>
        <v>-80000</v>
      </c>
      <c r="AB2136" s="182">
        <f t="shared" si="1221"/>
        <v>20000</v>
      </c>
      <c r="AC2136" s="182">
        <f t="shared" si="1221"/>
        <v>0</v>
      </c>
      <c r="AD2136" s="182">
        <f t="shared" si="1210"/>
        <v>0</v>
      </c>
      <c r="AE2136" s="182">
        <f t="shared" si="1212"/>
        <v>0</v>
      </c>
      <c r="AF2136" s="182">
        <f t="shared" si="1221"/>
        <v>20000</v>
      </c>
      <c r="AG2136" s="182">
        <f t="shared" si="1221"/>
        <v>0</v>
      </c>
      <c r="AH2136" s="182">
        <f t="shared" si="1221"/>
        <v>0</v>
      </c>
      <c r="AI2136" s="182">
        <f t="shared" si="1221"/>
        <v>0</v>
      </c>
      <c r="AJ2136" s="162" t="b">
        <f t="shared" si="1214"/>
        <v>1</v>
      </c>
      <c r="AK2136" s="162" t="str">
        <f t="shared" si="1215"/>
        <v>PRAZNO</v>
      </c>
      <c r="AM2136" s="164"/>
    </row>
    <row r="2137" spans="1:39" ht="15.75" x14ac:dyDescent="0.2">
      <c r="B2137" s="177"/>
      <c r="C2137" s="177"/>
      <c r="D2137" s="177"/>
      <c r="E2137" s="177">
        <v>4212</v>
      </c>
      <c r="F2137" s="176">
        <v>14</v>
      </c>
      <c r="G2137" s="176"/>
      <c r="H2137" s="16" t="s">
        <v>649</v>
      </c>
      <c r="I2137" s="18"/>
      <c r="J2137" s="18"/>
      <c r="K2137" s="18"/>
      <c r="L2137" s="18"/>
      <c r="M2137" s="18"/>
      <c r="N2137" s="18"/>
      <c r="O2137" s="18"/>
      <c r="P2137" s="26"/>
      <c r="Q2137" s="18"/>
      <c r="R2137" s="18"/>
      <c r="S2137" s="18"/>
      <c r="T2137" s="27"/>
      <c r="U2137" s="27"/>
      <c r="V2137" s="182">
        <v>100000</v>
      </c>
      <c r="W2137" s="182">
        <v>0</v>
      </c>
      <c r="X2137" s="182">
        <v>0</v>
      </c>
      <c r="Y2137" s="182">
        <v>0</v>
      </c>
      <c r="Z2137" s="182">
        <f t="shared" si="1219"/>
        <v>0</v>
      </c>
      <c r="AA2137" s="182">
        <f t="shared" si="1220"/>
        <v>-80000</v>
      </c>
      <c r="AB2137" s="182">
        <v>20000</v>
      </c>
      <c r="AC2137" s="182">
        <v>0</v>
      </c>
      <c r="AD2137" s="182">
        <f t="shared" si="1210"/>
        <v>0</v>
      </c>
      <c r="AE2137" s="182">
        <f t="shared" si="1212"/>
        <v>0</v>
      </c>
      <c r="AF2137" s="182">
        <v>20000</v>
      </c>
      <c r="AG2137" s="182"/>
      <c r="AH2137" s="182"/>
      <c r="AI2137" s="182"/>
      <c r="AJ2137" s="162" t="b">
        <f t="shared" si="1214"/>
        <v>0</v>
      </c>
      <c r="AK2137" s="162" t="str">
        <f t="shared" si="1215"/>
        <v>PUNO</v>
      </c>
      <c r="AM2137" s="164"/>
    </row>
    <row r="2138" spans="1:39" ht="31.5" x14ac:dyDescent="0.25">
      <c r="B2138" s="168"/>
      <c r="C2138" s="168"/>
      <c r="D2138" s="168"/>
      <c r="E2138" s="168"/>
      <c r="F2138" s="322"/>
      <c r="G2138" s="322"/>
      <c r="H2138" s="13" t="s">
        <v>316</v>
      </c>
      <c r="I2138" s="18"/>
      <c r="J2138" s="18"/>
      <c r="K2138" s="18"/>
      <c r="L2138" s="18"/>
      <c r="M2138" s="18"/>
      <c r="N2138" s="18"/>
      <c r="O2138" s="18"/>
      <c r="P2138" s="26"/>
      <c r="Q2138" s="18"/>
      <c r="R2138" s="18"/>
      <c r="S2138" s="18"/>
      <c r="T2138" s="27"/>
      <c r="U2138" s="27"/>
      <c r="V2138" s="182"/>
      <c r="W2138" s="182"/>
      <c r="X2138" s="182"/>
      <c r="Y2138" s="182"/>
      <c r="Z2138" s="182"/>
      <c r="AA2138" s="182"/>
      <c r="AB2138" s="438">
        <f>AB2140</f>
        <v>0</v>
      </c>
      <c r="AC2138" s="438">
        <f>AC2140</f>
        <v>0</v>
      </c>
      <c r="AD2138" s="438"/>
      <c r="AE2138" s="438">
        <f t="shared" si="1212"/>
        <v>0</v>
      </c>
      <c r="AF2138" s="438">
        <f>AF2140</f>
        <v>0</v>
      </c>
      <c r="AG2138" s="438">
        <f>AG2140</f>
        <v>0</v>
      </c>
      <c r="AH2138" s="438">
        <f>AH2140</f>
        <v>100000</v>
      </c>
      <c r="AI2138" s="438">
        <f>AI2140</f>
        <v>896676</v>
      </c>
      <c r="AJ2138" s="162" t="b">
        <f t="shared" si="1214"/>
        <v>1</v>
      </c>
      <c r="AK2138" s="162" t="str">
        <f t="shared" si="1215"/>
        <v>PRAZNO</v>
      </c>
      <c r="AM2138" s="164"/>
    </row>
    <row r="2139" spans="1:39" ht="15.75" x14ac:dyDescent="0.25">
      <c r="B2139" s="260"/>
      <c r="C2139" s="260"/>
      <c r="D2139" s="260"/>
      <c r="E2139" s="260"/>
      <c r="F2139" s="442"/>
      <c r="G2139" s="442"/>
      <c r="H2139" s="440" t="s">
        <v>824</v>
      </c>
      <c r="I2139" s="18"/>
      <c r="J2139" s="18"/>
      <c r="K2139" s="18"/>
      <c r="L2139" s="18"/>
      <c r="M2139" s="18"/>
      <c r="N2139" s="18"/>
      <c r="O2139" s="18"/>
      <c r="P2139" s="26"/>
      <c r="Q2139" s="18"/>
      <c r="R2139" s="18"/>
      <c r="S2139" s="18"/>
      <c r="T2139" s="27"/>
      <c r="U2139" s="27"/>
      <c r="V2139" s="182"/>
      <c r="W2139" s="182"/>
      <c r="X2139" s="182"/>
      <c r="Y2139" s="182"/>
      <c r="Z2139" s="182"/>
      <c r="AA2139" s="182"/>
      <c r="AB2139" s="491">
        <f t="shared" ref="AB2139:AI2142" si="1223">AB2140</f>
        <v>0</v>
      </c>
      <c r="AC2139" s="491">
        <f t="shared" si="1223"/>
        <v>0</v>
      </c>
      <c r="AD2139" s="491"/>
      <c r="AE2139" s="491">
        <f t="shared" si="1212"/>
        <v>0</v>
      </c>
      <c r="AF2139" s="491">
        <f t="shared" si="1223"/>
        <v>0</v>
      </c>
      <c r="AG2139" s="491">
        <f t="shared" si="1223"/>
        <v>0</v>
      </c>
      <c r="AH2139" s="491">
        <f t="shared" si="1223"/>
        <v>100000</v>
      </c>
      <c r="AI2139" s="491">
        <f t="shared" si="1223"/>
        <v>896676</v>
      </c>
      <c r="AJ2139" s="162" t="b">
        <f t="shared" si="1214"/>
        <v>1</v>
      </c>
      <c r="AK2139" s="162" t="str">
        <f t="shared" si="1215"/>
        <v>PRAZNO</v>
      </c>
      <c r="AM2139" s="164"/>
    </row>
    <row r="2140" spans="1:39" ht="15.75" x14ac:dyDescent="0.2">
      <c r="B2140" s="172">
        <v>4</v>
      </c>
      <c r="C2140" s="172"/>
      <c r="D2140" s="172"/>
      <c r="E2140" s="172"/>
      <c r="F2140" s="220"/>
      <c r="G2140" s="220"/>
      <c r="H2140" s="14" t="s">
        <v>956</v>
      </c>
      <c r="I2140" s="18"/>
      <c r="J2140" s="18"/>
      <c r="K2140" s="18"/>
      <c r="L2140" s="18"/>
      <c r="M2140" s="18"/>
      <c r="N2140" s="18"/>
      <c r="O2140" s="18"/>
      <c r="P2140" s="26"/>
      <c r="Q2140" s="18"/>
      <c r="R2140" s="18"/>
      <c r="S2140" s="18"/>
      <c r="T2140" s="27"/>
      <c r="U2140" s="27"/>
      <c r="V2140" s="182"/>
      <c r="W2140" s="182"/>
      <c r="X2140" s="182"/>
      <c r="Y2140" s="182"/>
      <c r="Z2140" s="182"/>
      <c r="AA2140" s="182"/>
      <c r="AB2140" s="439">
        <f t="shared" si="1223"/>
        <v>0</v>
      </c>
      <c r="AC2140" s="439">
        <f t="shared" si="1223"/>
        <v>0</v>
      </c>
      <c r="AD2140" s="439"/>
      <c r="AE2140" s="439">
        <f t="shared" si="1212"/>
        <v>0</v>
      </c>
      <c r="AF2140" s="439">
        <f t="shared" si="1223"/>
        <v>0</v>
      </c>
      <c r="AG2140" s="439">
        <f t="shared" si="1223"/>
        <v>0</v>
      </c>
      <c r="AH2140" s="439">
        <f t="shared" si="1223"/>
        <v>100000</v>
      </c>
      <c r="AI2140" s="439">
        <f t="shared" si="1223"/>
        <v>896676</v>
      </c>
      <c r="AJ2140" s="162" t="b">
        <f t="shared" si="1214"/>
        <v>1</v>
      </c>
      <c r="AK2140" s="162" t="str">
        <f t="shared" si="1215"/>
        <v>PRAZNO</v>
      </c>
      <c r="AM2140" s="164"/>
    </row>
    <row r="2141" spans="1:39" ht="15.75" x14ac:dyDescent="0.2">
      <c r="B2141" s="177"/>
      <c r="C2141" s="177">
        <v>42</v>
      </c>
      <c r="D2141" s="177"/>
      <c r="E2141" s="177"/>
      <c r="F2141" s="176"/>
      <c r="G2141" s="176"/>
      <c r="H2141" s="16" t="s">
        <v>212</v>
      </c>
      <c r="I2141" s="18"/>
      <c r="J2141" s="18"/>
      <c r="K2141" s="18"/>
      <c r="L2141" s="18"/>
      <c r="M2141" s="18"/>
      <c r="N2141" s="18"/>
      <c r="O2141" s="18"/>
      <c r="P2141" s="26"/>
      <c r="Q2141" s="18"/>
      <c r="R2141" s="18"/>
      <c r="S2141" s="18"/>
      <c r="T2141" s="27"/>
      <c r="U2141" s="27"/>
      <c r="V2141" s="182"/>
      <c r="W2141" s="182"/>
      <c r="X2141" s="182"/>
      <c r="Y2141" s="182"/>
      <c r="Z2141" s="182"/>
      <c r="AA2141" s="182"/>
      <c r="AB2141" s="182">
        <f t="shared" si="1223"/>
        <v>0</v>
      </c>
      <c r="AC2141" s="182">
        <f t="shared" si="1223"/>
        <v>0</v>
      </c>
      <c r="AD2141" s="182"/>
      <c r="AE2141" s="182">
        <f t="shared" si="1212"/>
        <v>0</v>
      </c>
      <c r="AF2141" s="182">
        <f t="shared" si="1223"/>
        <v>0</v>
      </c>
      <c r="AG2141" s="182">
        <f t="shared" si="1223"/>
        <v>0</v>
      </c>
      <c r="AH2141" s="182">
        <f t="shared" si="1223"/>
        <v>100000</v>
      </c>
      <c r="AI2141" s="182">
        <f t="shared" si="1223"/>
        <v>896676</v>
      </c>
      <c r="AJ2141" s="162" t="b">
        <f t="shared" si="1214"/>
        <v>1</v>
      </c>
      <c r="AK2141" s="162" t="str">
        <f t="shared" si="1215"/>
        <v>PRAZNO</v>
      </c>
      <c r="AM2141" s="164"/>
    </row>
    <row r="2142" spans="1:39" ht="15.75" x14ac:dyDescent="0.2">
      <c r="B2142" s="177"/>
      <c r="C2142" s="177"/>
      <c r="D2142" s="177">
        <v>421</v>
      </c>
      <c r="E2142" s="177"/>
      <c r="F2142" s="176"/>
      <c r="G2142" s="176"/>
      <c r="H2142" s="16" t="s">
        <v>759</v>
      </c>
      <c r="I2142" s="18"/>
      <c r="J2142" s="18"/>
      <c r="K2142" s="18"/>
      <c r="L2142" s="18"/>
      <c r="M2142" s="18"/>
      <c r="N2142" s="18"/>
      <c r="O2142" s="18"/>
      <c r="P2142" s="26"/>
      <c r="Q2142" s="18"/>
      <c r="R2142" s="18"/>
      <c r="S2142" s="18"/>
      <c r="T2142" s="27"/>
      <c r="U2142" s="27"/>
      <c r="V2142" s="182"/>
      <c r="W2142" s="182"/>
      <c r="X2142" s="182"/>
      <c r="Y2142" s="182"/>
      <c r="Z2142" s="182"/>
      <c r="AA2142" s="182"/>
      <c r="AB2142" s="182">
        <f t="shared" si="1223"/>
        <v>0</v>
      </c>
      <c r="AC2142" s="182">
        <f t="shared" si="1223"/>
        <v>0</v>
      </c>
      <c r="AD2142" s="182"/>
      <c r="AE2142" s="182">
        <f t="shared" si="1212"/>
        <v>0</v>
      </c>
      <c r="AF2142" s="182">
        <f t="shared" si="1223"/>
        <v>0</v>
      </c>
      <c r="AG2142" s="182">
        <f t="shared" si="1223"/>
        <v>0</v>
      </c>
      <c r="AH2142" s="182">
        <f t="shared" si="1223"/>
        <v>100000</v>
      </c>
      <c r="AI2142" s="182">
        <f t="shared" si="1223"/>
        <v>896676</v>
      </c>
      <c r="AJ2142" s="162" t="b">
        <f t="shared" si="1214"/>
        <v>1</v>
      </c>
      <c r="AK2142" s="162" t="str">
        <f t="shared" si="1215"/>
        <v>PRAZNO</v>
      </c>
      <c r="AM2142" s="164"/>
    </row>
    <row r="2143" spans="1:39" ht="15.75" x14ac:dyDescent="0.2">
      <c r="B2143" s="177"/>
      <c r="C2143" s="177"/>
      <c r="D2143" s="177"/>
      <c r="E2143" s="177">
        <v>4212</v>
      </c>
      <c r="F2143" s="176">
        <v>14</v>
      </c>
      <c r="G2143" s="176"/>
      <c r="H2143" s="16" t="s">
        <v>649</v>
      </c>
      <c r="I2143" s="18"/>
      <c r="J2143" s="18"/>
      <c r="K2143" s="18"/>
      <c r="L2143" s="18"/>
      <c r="M2143" s="18"/>
      <c r="N2143" s="18"/>
      <c r="O2143" s="18"/>
      <c r="P2143" s="26"/>
      <c r="Q2143" s="18"/>
      <c r="R2143" s="18"/>
      <c r="S2143" s="18"/>
      <c r="T2143" s="27"/>
      <c r="U2143" s="27"/>
      <c r="V2143" s="182"/>
      <c r="W2143" s="182"/>
      <c r="X2143" s="182"/>
      <c r="Y2143" s="182"/>
      <c r="Z2143" s="182"/>
      <c r="AA2143" s="182"/>
      <c r="AB2143" s="182"/>
      <c r="AC2143" s="182"/>
      <c r="AD2143" s="182"/>
      <c r="AE2143" s="182">
        <f t="shared" si="1212"/>
        <v>0</v>
      </c>
      <c r="AF2143" s="182"/>
      <c r="AG2143" s="182"/>
      <c r="AH2143" s="182">
        <v>100000</v>
      </c>
      <c r="AI2143" s="182">
        <f>500000+396676</f>
        <v>896676</v>
      </c>
      <c r="AJ2143" s="162" t="b">
        <f t="shared" si="1214"/>
        <v>0</v>
      </c>
      <c r="AK2143" s="162" t="str">
        <f t="shared" si="1215"/>
        <v>PUNO</v>
      </c>
      <c r="AM2143" s="164"/>
    </row>
    <row r="2144" spans="1:39" ht="31.5" x14ac:dyDescent="0.25">
      <c r="B2144" s="168"/>
      <c r="C2144" s="168"/>
      <c r="D2144" s="168"/>
      <c r="E2144" s="168"/>
      <c r="F2144" s="322"/>
      <c r="G2144" s="322"/>
      <c r="H2144" s="693" t="s">
        <v>115</v>
      </c>
      <c r="I2144" s="18"/>
      <c r="J2144" s="18"/>
      <c r="K2144" s="18"/>
      <c r="L2144" s="18"/>
      <c r="M2144" s="18"/>
      <c r="N2144" s="18"/>
      <c r="O2144" s="18"/>
      <c r="P2144" s="26"/>
      <c r="Q2144" s="18"/>
      <c r="R2144" s="18"/>
      <c r="S2144" s="18"/>
      <c r="T2144" s="27"/>
      <c r="U2144" s="438">
        <f t="shared" ref="U2144:AF2144" si="1224">U2146</f>
        <v>0</v>
      </c>
      <c r="V2144" s="438">
        <f t="shared" si="1224"/>
        <v>0</v>
      </c>
      <c r="W2144" s="438">
        <f t="shared" si="1224"/>
        <v>0</v>
      </c>
      <c r="X2144" s="438">
        <f t="shared" si="1224"/>
        <v>0</v>
      </c>
      <c r="Y2144" s="438">
        <f t="shared" si="1224"/>
        <v>0</v>
      </c>
      <c r="Z2144" s="438">
        <f t="shared" si="1224"/>
        <v>0</v>
      </c>
      <c r="AA2144" s="438">
        <f t="shared" si="1224"/>
        <v>0</v>
      </c>
      <c r="AB2144" s="438">
        <f t="shared" si="1224"/>
        <v>0</v>
      </c>
      <c r="AC2144" s="438">
        <f t="shared" si="1224"/>
        <v>0</v>
      </c>
      <c r="AD2144" s="438">
        <f t="shared" si="1224"/>
        <v>0</v>
      </c>
      <c r="AE2144" s="438">
        <f t="shared" si="1224"/>
        <v>0</v>
      </c>
      <c r="AF2144" s="438">
        <f t="shared" si="1224"/>
        <v>0</v>
      </c>
      <c r="AG2144" s="438">
        <f>AG2146</f>
        <v>50000</v>
      </c>
      <c r="AH2144" s="438">
        <f>AH2146</f>
        <v>1000000</v>
      </c>
      <c r="AI2144" s="438">
        <f>AI2146</f>
        <v>2000000</v>
      </c>
      <c r="AJ2144" s="162" t="b">
        <f t="shared" si="1214"/>
        <v>1</v>
      </c>
      <c r="AK2144" s="162" t="str">
        <f t="shared" si="1215"/>
        <v>PRAZNO</v>
      </c>
      <c r="AM2144" s="164"/>
    </row>
    <row r="2145" spans="1:39" ht="15.75" x14ac:dyDescent="0.25">
      <c r="B2145" s="260"/>
      <c r="C2145" s="260"/>
      <c r="D2145" s="260"/>
      <c r="E2145" s="260"/>
      <c r="F2145" s="442"/>
      <c r="G2145" s="442"/>
      <c r="H2145" s="440" t="s">
        <v>824</v>
      </c>
      <c r="I2145" s="18"/>
      <c r="J2145" s="18"/>
      <c r="K2145" s="18"/>
      <c r="L2145" s="18"/>
      <c r="M2145" s="18"/>
      <c r="N2145" s="18"/>
      <c r="O2145" s="18"/>
      <c r="P2145" s="26"/>
      <c r="Q2145" s="18"/>
      <c r="R2145" s="18"/>
      <c r="S2145" s="18"/>
      <c r="T2145" s="27"/>
      <c r="U2145" s="491">
        <f t="shared" ref="U2145:AI2148" si="1225">U2146</f>
        <v>0</v>
      </c>
      <c r="V2145" s="491">
        <f t="shared" si="1225"/>
        <v>0</v>
      </c>
      <c r="W2145" s="491">
        <f t="shared" si="1225"/>
        <v>0</v>
      </c>
      <c r="X2145" s="491">
        <f t="shared" si="1225"/>
        <v>0</v>
      </c>
      <c r="Y2145" s="491">
        <f t="shared" si="1225"/>
        <v>0</v>
      </c>
      <c r="Z2145" s="491">
        <f t="shared" si="1225"/>
        <v>0</v>
      </c>
      <c r="AA2145" s="491">
        <f t="shared" si="1225"/>
        <v>0</v>
      </c>
      <c r="AB2145" s="491">
        <f t="shared" si="1225"/>
        <v>0</v>
      </c>
      <c r="AC2145" s="491">
        <f t="shared" si="1225"/>
        <v>0</v>
      </c>
      <c r="AD2145" s="491">
        <f t="shared" si="1225"/>
        <v>0</v>
      </c>
      <c r="AE2145" s="491">
        <f t="shared" si="1225"/>
        <v>0</v>
      </c>
      <c r="AF2145" s="491">
        <f t="shared" si="1225"/>
        <v>0</v>
      </c>
      <c r="AG2145" s="491">
        <f t="shared" si="1225"/>
        <v>50000</v>
      </c>
      <c r="AH2145" s="491">
        <f t="shared" si="1225"/>
        <v>1000000</v>
      </c>
      <c r="AI2145" s="491">
        <f t="shared" si="1225"/>
        <v>2000000</v>
      </c>
      <c r="AJ2145" s="162" t="b">
        <f t="shared" si="1214"/>
        <v>1</v>
      </c>
      <c r="AK2145" s="162" t="str">
        <f t="shared" si="1215"/>
        <v>PRAZNO</v>
      </c>
      <c r="AM2145" s="164"/>
    </row>
    <row r="2146" spans="1:39" ht="15.75" x14ac:dyDescent="0.2">
      <c r="B2146" s="172">
        <v>4</v>
      </c>
      <c r="C2146" s="172"/>
      <c r="D2146" s="172"/>
      <c r="E2146" s="172"/>
      <c r="F2146" s="220"/>
      <c r="G2146" s="220"/>
      <c r="H2146" s="14" t="s">
        <v>956</v>
      </c>
      <c r="I2146" s="18"/>
      <c r="J2146" s="18"/>
      <c r="K2146" s="18"/>
      <c r="L2146" s="18"/>
      <c r="M2146" s="18"/>
      <c r="N2146" s="18"/>
      <c r="O2146" s="18"/>
      <c r="P2146" s="26"/>
      <c r="Q2146" s="18"/>
      <c r="R2146" s="18"/>
      <c r="S2146" s="18"/>
      <c r="T2146" s="27"/>
      <c r="U2146" s="439">
        <f t="shared" si="1225"/>
        <v>0</v>
      </c>
      <c r="V2146" s="439">
        <f t="shared" si="1225"/>
        <v>0</v>
      </c>
      <c r="W2146" s="439">
        <f t="shared" si="1225"/>
        <v>0</v>
      </c>
      <c r="X2146" s="439">
        <f t="shared" si="1225"/>
        <v>0</v>
      </c>
      <c r="Y2146" s="439">
        <f t="shared" si="1225"/>
        <v>0</v>
      </c>
      <c r="Z2146" s="439">
        <f t="shared" si="1225"/>
        <v>0</v>
      </c>
      <c r="AA2146" s="439">
        <f t="shared" si="1225"/>
        <v>0</v>
      </c>
      <c r="AB2146" s="439">
        <f t="shared" si="1225"/>
        <v>0</v>
      </c>
      <c r="AC2146" s="439">
        <f t="shared" si="1225"/>
        <v>0</v>
      </c>
      <c r="AD2146" s="439">
        <f t="shared" si="1225"/>
        <v>0</v>
      </c>
      <c r="AE2146" s="439">
        <f t="shared" si="1225"/>
        <v>0</v>
      </c>
      <c r="AF2146" s="439">
        <f t="shared" si="1225"/>
        <v>0</v>
      </c>
      <c r="AG2146" s="439">
        <f t="shared" si="1225"/>
        <v>50000</v>
      </c>
      <c r="AH2146" s="439">
        <f t="shared" si="1225"/>
        <v>1000000</v>
      </c>
      <c r="AI2146" s="439">
        <f t="shared" si="1225"/>
        <v>2000000</v>
      </c>
      <c r="AJ2146" s="162" t="b">
        <f t="shared" si="1214"/>
        <v>1</v>
      </c>
      <c r="AK2146" s="162" t="str">
        <f t="shared" si="1215"/>
        <v>PRAZNO</v>
      </c>
      <c r="AM2146" s="164"/>
    </row>
    <row r="2147" spans="1:39" ht="15.75" x14ac:dyDescent="0.2">
      <c r="B2147" s="177"/>
      <c r="C2147" s="177">
        <v>42</v>
      </c>
      <c r="D2147" s="177"/>
      <c r="E2147" s="177"/>
      <c r="F2147" s="176"/>
      <c r="G2147" s="176"/>
      <c r="H2147" s="16" t="s">
        <v>212</v>
      </c>
      <c r="I2147" s="18"/>
      <c r="J2147" s="18"/>
      <c r="K2147" s="18"/>
      <c r="L2147" s="18"/>
      <c r="M2147" s="18"/>
      <c r="N2147" s="18"/>
      <c r="O2147" s="18"/>
      <c r="P2147" s="26"/>
      <c r="Q2147" s="18"/>
      <c r="R2147" s="18"/>
      <c r="S2147" s="18"/>
      <c r="T2147" s="27"/>
      <c r="U2147" s="182">
        <f t="shared" si="1225"/>
        <v>0</v>
      </c>
      <c r="V2147" s="182">
        <f t="shared" si="1225"/>
        <v>0</v>
      </c>
      <c r="W2147" s="182">
        <f t="shared" si="1225"/>
        <v>0</v>
      </c>
      <c r="X2147" s="182">
        <f t="shared" si="1225"/>
        <v>0</v>
      </c>
      <c r="Y2147" s="182">
        <f t="shared" si="1225"/>
        <v>0</v>
      </c>
      <c r="Z2147" s="182">
        <f t="shared" si="1225"/>
        <v>0</v>
      </c>
      <c r="AA2147" s="182">
        <f t="shared" si="1225"/>
        <v>0</v>
      </c>
      <c r="AB2147" s="182">
        <f t="shared" si="1225"/>
        <v>0</v>
      </c>
      <c r="AC2147" s="182">
        <f t="shared" si="1225"/>
        <v>0</v>
      </c>
      <c r="AD2147" s="182">
        <f t="shared" si="1225"/>
        <v>0</v>
      </c>
      <c r="AE2147" s="182">
        <f t="shared" si="1225"/>
        <v>0</v>
      </c>
      <c r="AF2147" s="182">
        <f t="shared" si="1225"/>
        <v>0</v>
      </c>
      <c r="AG2147" s="182">
        <f t="shared" si="1225"/>
        <v>50000</v>
      </c>
      <c r="AH2147" s="182">
        <f t="shared" si="1225"/>
        <v>1000000</v>
      </c>
      <c r="AI2147" s="182">
        <f t="shared" si="1225"/>
        <v>2000000</v>
      </c>
      <c r="AJ2147" s="162" t="b">
        <f t="shared" si="1214"/>
        <v>1</v>
      </c>
      <c r="AK2147" s="162" t="str">
        <f t="shared" si="1215"/>
        <v>PRAZNO</v>
      </c>
      <c r="AM2147" s="164"/>
    </row>
    <row r="2148" spans="1:39" ht="15.75" x14ac:dyDescent="0.2">
      <c r="B2148" s="177"/>
      <c r="C2148" s="177"/>
      <c r="D2148" s="177">
        <v>421</v>
      </c>
      <c r="E2148" s="177"/>
      <c r="F2148" s="176"/>
      <c r="G2148" s="176"/>
      <c r="H2148" s="16" t="s">
        <v>759</v>
      </c>
      <c r="I2148" s="18"/>
      <c r="J2148" s="18"/>
      <c r="K2148" s="18"/>
      <c r="L2148" s="18"/>
      <c r="M2148" s="18"/>
      <c r="N2148" s="18"/>
      <c r="O2148" s="18"/>
      <c r="P2148" s="26"/>
      <c r="Q2148" s="18"/>
      <c r="R2148" s="18"/>
      <c r="S2148" s="18"/>
      <c r="T2148" s="27"/>
      <c r="U2148" s="182">
        <f t="shared" si="1225"/>
        <v>0</v>
      </c>
      <c r="V2148" s="182">
        <f t="shared" si="1225"/>
        <v>0</v>
      </c>
      <c r="W2148" s="182">
        <f t="shared" si="1225"/>
        <v>0</v>
      </c>
      <c r="X2148" s="182">
        <f t="shared" si="1225"/>
        <v>0</v>
      </c>
      <c r="Y2148" s="182">
        <f t="shared" si="1225"/>
        <v>0</v>
      </c>
      <c r="Z2148" s="182">
        <f t="shared" si="1225"/>
        <v>0</v>
      </c>
      <c r="AA2148" s="182">
        <f t="shared" si="1225"/>
        <v>0</v>
      </c>
      <c r="AB2148" s="182">
        <f t="shared" si="1225"/>
        <v>0</v>
      </c>
      <c r="AC2148" s="182">
        <f t="shared" si="1225"/>
        <v>0</v>
      </c>
      <c r="AD2148" s="182">
        <f t="shared" si="1225"/>
        <v>0</v>
      </c>
      <c r="AE2148" s="182">
        <f t="shared" si="1225"/>
        <v>0</v>
      </c>
      <c r="AF2148" s="182">
        <f t="shared" si="1225"/>
        <v>0</v>
      </c>
      <c r="AG2148" s="182">
        <f t="shared" si="1225"/>
        <v>50000</v>
      </c>
      <c r="AH2148" s="182">
        <f t="shared" si="1225"/>
        <v>1000000</v>
      </c>
      <c r="AI2148" s="182">
        <f t="shared" si="1225"/>
        <v>2000000</v>
      </c>
      <c r="AJ2148" s="162" t="b">
        <f t="shared" si="1214"/>
        <v>1</v>
      </c>
      <c r="AK2148" s="162" t="str">
        <f t="shared" si="1215"/>
        <v>PRAZNO</v>
      </c>
      <c r="AM2148" s="164"/>
    </row>
    <row r="2149" spans="1:39" ht="15.75" x14ac:dyDescent="0.2">
      <c r="B2149" s="177"/>
      <c r="C2149" s="177"/>
      <c r="D2149" s="177"/>
      <c r="E2149" s="177">
        <v>4212</v>
      </c>
      <c r="F2149" s="176">
        <v>14</v>
      </c>
      <c r="G2149" s="176"/>
      <c r="H2149" s="16" t="s">
        <v>649</v>
      </c>
      <c r="I2149" s="18"/>
      <c r="J2149" s="18"/>
      <c r="K2149" s="18"/>
      <c r="L2149" s="18"/>
      <c r="M2149" s="18"/>
      <c r="N2149" s="18"/>
      <c r="O2149" s="18"/>
      <c r="P2149" s="26"/>
      <c r="Q2149" s="18"/>
      <c r="R2149" s="18"/>
      <c r="S2149" s="18"/>
      <c r="T2149" s="27"/>
      <c r="U2149" s="27"/>
      <c r="V2149" s="182"/>
      <c r="W2149" s="182"/>
      <c r="X2149" s="182"/>
      <c r="Y2149" s="182"/>
      <c r="Z2149" s="182"/>
      <c r="AA2149" s="182"/>
      <c r="AB2149" s="182"/>
      <c r="AC2149" s="182"/>
      <c r="AD2149" s="182"/>
      <c r="AE2149" s="182">
        <f t="shared" si="1212"/>
        <v>0</v>
      </c>
      <c r="AF2149" s="182"/>
      <c r="AG2149" s="182">
        <v>50000</v>
      </c>
      <c r="AH2149" s="182">
        <v>1000000</v>
      </c>
      <c r="AI2149" s="673">
        <v>2000000</v>
      </c>
      <c r="AJ2149" s="162" t="b">
        <f t="shared" si="1214"/>
        <v>0</v>
      </c>
      <c r="AK2149" s="162" t="str">
        <f t="shared" si="1215"/>
        <v>PUNO</v>
      </c>
      <c r="AM2149" s="164"/>
    </row>
    <row r="2150" spans="1:39" s="164" customFormat="1" ht="15.75" x14ac:dyDescent="0.2">
      <c r="A2150" s="259"/>
      <c r="B2150" s="194"/>
      <c r="C2150" s="194"/>
      <c r="D2150" s="194"/>
      <c r="E2150" s="194"/>
      <c r="F2150" s="159"/>
      <c r="G2150" s="159"/>
      <c r="H2150" s="24" t="s">
        <v>472</v>
      </c>
      <c r="I2150" s="196" t="e">
        <f>I2152</f>
        <v>#REF!</v>
      </c>
      <c r="J2150" s="196" t="e">
        <f>J2152</f>
        <v>#REF!</v>
      </c>
      <c r="K2150" s="196" t="e">
        <f>ROUND(J2150/I2150*100,2)</f>
        <v>#REF!</v>
      </c>
      <c r="L2150" s="196" t="e">
        <f>M2150-I2150</f>
        <v>#REF!</v>
      </c>
      <c r="M2150" s="195" t="e">
        <f>M2152</f>
        <v>#REF!</v>
      </c>
      <c r="N2150" s="195" t="e">
        <f>N2152</f>
        <v>#REF!</v>
      </c>
      <c r="O2150" s="195" t="e">
        <f>O2152</f>
        <v>#REF!</v>
      </c>
      <c r="P2150" s="351" t="e">
        <f>T2150-N2150</f>
        <v>#REF!</v>
      </c>
      <c r="Q2150" s="195" t="e">
        <f t="shared" ref="Q2150:X2150" si="1226">Q2152</f>
        <v>#REF!</v>
      </c>
      <c r="R2150" s="195" t="e">
        <f t="shared" si="1226"/>
        <v>#REF!</v>
      </c>
      <c r="S2150" s="195" t="e">
        <f t="shared" si="1226"/>
        <v>#REF!</v>
      </c>
      <c r="T2150" s="195">
        <f>T2152</f>
        <v>28036400</v>
      </c>
      <c r="U2150" s="195">
        <f>U2152</f>
        <v>29884101.920000002</v>
      </c>
      <c r="V2150" s="195">
        <f>V2152</f>
        <v>41722375</v>
      </c>
      <c r="W2150" s="195" t="e">
        <f t="shared" si="1226"/>
        <v>#REF!</v>
      </c>
      <c r="X2150" s="195" t="e">
        <f t="shared" si="1226"/>
        <v>#REF!</v>
      </c>
      <c r="Y2150" s="195">
        <f>Y2152</f>
        <v>17738265.039999999</v>
      </c>
      <c r="Z2150" s="195">
        <f t="shared" si="1219"/>
        <v>42.51</v>
      </c>
      <c r="AA2150" s="195">
        <f t="shared" si="1220"/>
        <v>783169</v>
      </c>
      <c r="AB2150" s="195">
        <f>AB2152</f>
        <v>42505544</v>
      </c>
      <c r="AC2150" s="195">
        <f>AC2152</f>
        <v>26285380.289999999</v>
      </c>
      <c r="AD2150" s="195">
        <f t="shared" si="1210"/>
        <v>61.839886792179385</v>
      </c>
      <c r="AE2150" s="195">
        <f t="shared" si="1212"/>
        <v>662063</v>
      </c>
      <c r="AF2150" s="195">
        <f>AF2152</f>
        <v>43167607</v>
      </c>
      <c r="AG2150" s="195">
        <f>AG2152</f>
        <v>38912708</v>
      </c>
      <c r="AH2150" s="195">
        <f>AH2152</f>
        <v>34288569</v>
      </c>
      <c r="AI2150" s="195">
        <f>AI2152</f>
        <v>34234469</v>
      </c>
      <c r="AJ2150" s="162" t="b">
        <f t="shared" si="1214"/>
        <v>1</v>
      </c>
      <c r="AK2150" s="162" t="str">
        <f t="shared" si="1215"/>
        <v>PRAZNO</v>
      </c>
      <c r="AL2150" s="165"/>
    </row>
    <row r="2151" spans="1:39" s="164" customFormat="1" ht="15.75" x14ac:dyDescent="0.2">
      <c r="A2151" s="259"/>
      <c r="B2151" s="194"/>
      <c r="C2151" s="194"/>
      <c r="D2151" s="194"/>
      <c r="E2151" s="194"/>
      <c r="F2151" s="159"/>
      <c r="G2151" s="159"/>
      <c r="H2151" s="11" t="s">
        <v>654</v>
      </c>
      <c r="I2151" s="196"/>
      <c r="J2151" s="196"/>
      <c r="K2151" s="196" t="e">
        <f>ROUND(J2151/I2151*100,2)</f>
        <v>#DIV/0!</v>
      </c>
      <c r="L2151" s="196"/>
      <c r="M2151" s="195"/>
      <c r="N2151" s="195"/>
      <c r="O2151" s="195"/>
      <c r="P2151" s="353"/>
      <c r="Q2151" s="195"/>
      <c r="R2151" s="195"/>
      <c r="S2151" s="195"/>
      <c r="T2151" s="195"/>
      <c r="U2151" s="195"/>
      <c r="V2151" s="195"/>
      <c r="W2151" s="195"/>
      <c r="X2151" s="195"/>
      <c r="Y2151" s="195"/>
      <c r="Z2151" s="195"/>
      <c r="AA2151" s="195"/>
      <c r="AB2151" s="195"/>
      <c r="AC2151" s="195"/>
      <c r="AD2151" s="195"/>
      <c r="AE2151" s="195">
        <f t="shared" si="1212"/>
        <v>0</v>
      </c>
      <c r="AF2151" s="195"/>
      <c r="AG2151" s="195"/>
      <c r="AH2151" s="195"/>
      <c r="AI2151" s="195"/>
      <c r="AJ2151" s="162" t="b">
        <f t="shared" si="1214"/>
        <v>1</v>
      </c>
      <c r="AK2151" s="162" t="str">
        <f t="shared" si="1215"/>
        <v>PRAZNO</v>
      </c>
      <c r="AL2151" s="165"/>
    </row>
    <row r="2152" spans="1:39" s="171" customFormat="1" ht="15.75" x14ac:dyDescent="0.2">
      <c r="A2152" s="259"/>
      <c r="B2152" s="168"/>
      <c r="C2152" s="168"/>
      <c r="D2152" s="168"/>
      <c r="E2152" s="168"/>
      <c r="F2152" s="168"/>
      <c r="G2152" s="168"/>
      <c r="H2152" s="13" t="s">
        <v>473</v>
      </c>
      <c r="I2152" s="169" t="e">
        <f>I2154+I2233</f>
        <v>#REF!</v>
      </c>
      <c r="J2152" s="169" t="e">
        <f>J2154+J2233</f>
        <v>#REF!</v>
      </c>
      <c r="K2152" s="169" t="e">
        <f>ROUND(J2152/I2152*100,2)</f>
        <v>#REF!</v>
      </c>
      <c r="L2152" s="169" t="e">
        <f>M2152-I2152</f>
        <v>#REF!</v>
      </c>
      <c r="M2152" s="19" t="e">
        <f>M2154+M2233</f>
        <v>#REF!</v>
      </c>
      <c r="N2152" s="19" t="e">
        <f>N2154+N2233</f>
        <v>#REF!</v>
      </c>
      <c r="O2152" s="19" t="e">
        <f>O2154+O2233</f>
        <v>#REF!</v>
      </c>
      <c r="P2152" s="303" t="e">
        <f t="shared" ref="P2152:P2221" si="1227">T2152-N2152</f>
        <v>#REF!</v>
      </c>
      <c r="Q2152" s="19" t="e">
        <f t="shared" ref="Q2152:Y2152" si="1228">Q2154+Q2233</f>
        <v>#REF!</v>
      </c>
      <c r="R2152" s="19" t="e">
        <f t="shared" si="1228"/>
        <v>#REF!</v>
      </c>
      <c r="S2152" s="19" t="e">
        <f t="shared" si="1228"/>
        <v>#REF!</v>
      </c>
      <c r="T2152" s="19">
        <f t="shared" si="1228"/>
        <v>28036400</v>
      </c>
      <c r="U2152" s="19">
        <f t="shared" si="1228"/>
        <v>29884101.920000002</v>
      </c>
      <c r="V2152" s="19">
        <f t="shared" si="1228"/>
        <v>41722375</v>
      </c>
      <c r="W2152" s="19" t="e">
        <f t="shared" si="1228"/>
        <v>#REF!</v>
      </c>
      <c r="X2152" s="19" t="e">
        <f t="shared" si="1228"/>
        <v>#REF!</v>
      </c>
      <c r="Y2152" s="19">
        <f t="shared" si="1228"/>
        <v>17738265.039999999</v>
      </c>
      <c r="Z2152" s="19">
        <f t="shared" si="1219"/>
        <v>42.51</v>
      </c>
      <c r="AA2152" s="19">
        <f t="shared" si="1220"/>
        <v>783169</v>
      </c>
      <c r="AB2152" s="19">
        <f>AB2154+AB2233</f>
        <v>42505544</v>
      </c>
      <c r="AC2152" s="19">
        <f>AC2154+AC2233</f>
        <v>26285380.289999999</v>
      </c>
      <c r="AD2152" s="19">
        <f t="shared" si="1210"/>
        <v>61.839886792179385</v>
      </c>
      <c r="AE2152" s="19">
        <f t="shared" si="1212"/>
        <v>662063</v>
      </c>
      <c r="AF2152" s="19">
        <f>AF2154+AF2233</f>
        <v>43167607</v>
      </c>
      <c r="AG2152" s="19">
        <f>AG2154+AG2233</f>
        <v>38912708</v>
      </c>
      <c r="AH2152" s="19">
        <f>AH2154+AH2233</f>
        <v>34288569</v>
      </c>
      <c r="AI2152" s="19">
        <f>AI2154+AI2233</f>
        <v>34234469</v>
      </c>
      <c r="AJ2152" s="162" t="b">
        <f t="shared" si="1214"/>
        <v>1</v>
      </c>
      <c r="AK2152" s="162" t="str">
        <f t="shared" si="1215"/>
        <v>PRAZNO</v>
      </c>
      <c r="AL2152" s="170"/>
      <c r="AM2152" s="164"/>
    </row>
    <row r="2153" spans="1:39" s="171" customFormat="1" ht="31.5" x14ac:dyDescent="0.2">
      <c r="A2153" s="259"/>
      <c r="B2153" s="168"/>
      <c r="C2153" s="168"/>
      <c r="D2153" s="168"/>
      <c r="E2153" s="168"/>
      <c r="F2153" s="168"/>
      <c r="G2153" s="168"/>
      <c r="H2153" s="13" t="s">
        <v>306</v>
      </c>
      <c r="I2153" s="169"/>
      <c r="J2153" s="169"/>
      <c r="K2153" s="169"/>
      <c r="L2153" s="169"/>
      <c r="M2153" s="19"/>
      <c r="N2153" s="19"/>
      <c r="O2153" s="19"/>
      <c r="P2153" s="205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19">
        <f t="shared" si="1212"/>
        <v>0</v>
      </c>
      <c r="AF2153" s="19"/>
      <c r="AG2153" s="19"/>
      <c r="AH2153" s="19"/>
      <c r="AI2153" s="19"/>
      <c r="AJ2153" s="162" t="b">
        <f t="shared" si="1214"/>
        <v>1</v>
      </c>
      <c r="AK2153" s="162" t="str">
        <f t="shared" si="1215"/>
        <v>PRAZNO</v>
      </c>
      <c r="AL2153" s="170"/>
      <c r="AM2153" s="164"/>
    </row>
    <row r="2154" spans="1:39" s="171" customFormat="1" ht="15.75" x14ac:dyDescent="0.2">
      <c r="A2154" s="259"/>
      <c r="B2154" s="270"/>
      <c r="C2154" s="270"/>
      <c r="D2154" s="270"/>
      <c r="E2154" s="270"/>
      <c r="F2154" s="270"/>
      <c r="G2154" s="270"/>
      <c r="H2154" s="274" t="s">
        <v>103</v>
      </c>
      <c r="I2154" s="273" t="e">
        <f>I2155+I2214+I2222+I2202+#REF!+I2208</f>
        <v>#REF!</v>
      </c>
      <c r="J2154" s="273" t="e">
        <f>J2155+J2214+J2222+J2202+#REF!+J2208</f>
        <v>#REF!</v>
      </c>
      <c r="K2154" s="273" t="e">
        <f t="shared" ref="K2154:K2162" si="1229">ROUND(J2154/I2154*100,2)</f>
        <v>#REF!</v>
      </c>
      <c r="L2154" s="273" t="e">
        <f>M2154-I2154</f>
        <v>#REF!</v>
      </c>
      <c r="M2154" s="272" t="e">
        <f>M2155+M2214+M2222+M2202+#REF!+M2208</f>
        <v>#REF!</v>
      </c>
      <c r="N2154" s="272" t="e">
        <f>N2155+N2214+N2222+N2202+#REF!+N2208</f>
        <v>#REF!</v>
      </c>
      <c r="O2154" s="272" t="e">
        <f>O2155+O2214+O2222+O2202+#REF!+O2208</f>
        <v>#REF!</v>
      </c>
      <c r="P2154" s="336" t="e">
        <f t="shared" si="1227"/>
        <v>#REF!</v>
      </c>
      <c r="Q2154" s="272" t="e">
        <f>Q2155+Q2214+Q2222+Q2202+#REF!+Q2208</f>
        <v>#REF!</v>
      </c>
      <c r="R2154" s="272" t="e">
        <f>R2155+R2214+R2222+R2202+#REF!+R2208</f>
        <v>#REF!</v>
      </c>
      <c r="S2154" s="272" t="e">
        <f>S2155+S2214+S2222+S2202+#REF!+S2208</f>
        <v>#REF!</v>
      </c>
      <c r="T2154" s="275">
        <f>T2155+T2202+T2208+T2214+T2222</f>
        <v>10774100</v>
      </c>
      <c r="U2154" s="275">
        <f>U2155+U2202+U2208+U2214+U2222</f>
        <v>18532394.220000003</v>
      </c>
      <c r="V2154" s="275">
        <f>V2155+V2202+V2208+V2214+V2222</f>
        <v>9620800</v>
      </c>
      <c r="W2154" s="275" t="e">
        <f>W2155+W2214+W2222+W2202+#REF!+W2208</f>
        <v>#REF!</v>
      </c>
      <c r="X2154" s="275" t="e">
        <f>X2155+X2214+X2222+X2202+#REF!+X2208</f>
        <v>#REF!</v>
      </c>
      <c r="Y2154" s="275">
        <f>Y2155+Y2202+Y2208+Y2214+Y2222</f>
        <v>5311017.3600000013</v>
      </c>
      <c r="Z2154" s="275">
        <f t="shared" si="1219"/>
        <v>55.2</v>
      </c>
      <c r="AA2154" s="275">
        <f t="shared" si="1220"/>
        <v>81069</v>
      </c>
      <c r="AB2154" s="275">
        <f>AB2155+AB2202+AB2208+AB2214+AB2222</f>
        <v>9701869</v>
      </c>
      <c r="AC2154" s="275">
        <f>AC2155+AC2202+AC2208+AC2214+AC2222</f>
        <v>7660859.3699999992</v>
      </c>
      <c r="AD2154" s="275">
        <f t="shared" si="1210"/>
        <v>78.962717080595496</v>
      </c>
      <c r="AE2154" s="275">
        <f t="shared" si="1212"/>
        <v>0</v>
      </c>
      <c r="AF2154" s="275">
        <f>AF2155+AF2202+AF2208+AF2214+AF2222</f>
        <v>9701869</v>
      </c>
      <c r="AG2154" s="275">
        <f>AG2155+AG2202+AG2208+AG2214+AG2222</f>
        <v>9701869</v>
      </c>
      <c r="AH2154" s="275">
        <f>AH2155+AH2202+AH2208+AH2214+AH2222</f>
        <v>9701869</v>
      </c>
      <c r="AI2154" s="275">
        <f>AI2155+AI2202+AI2208+AI2214+AI2222</f>
        <v>9701869</v>
      </c>
      <c r="AJ2154" s="162" t="b">
        <f t="shared" si="1214"/>
        <v>1</v>
      </c>
      <c r="AK2154" s="162" t="str">
        <f t="shared" si="1215"/>
        <v>PRAZNO</v>
      </c>
      <c r="AL2154" s="170"/>
      <c r="AM2154" s="164"/>
    </row>
    <row r="2155" spans="1:39" s="171" customFormat="1" ht="31.5" x14ac:dyDescent="0.2">
      <c r="A2155" s="259"/>
      <c r="B2155" s="168"/>
      <c r="C2155" s="168"/>
      <c r="D2155" s="168"/>
      <c r="E2155" s="168"/>
      <c r="F2155" s="168"/>
      <c r="G2155" s="168"/>
      <c r="H2155" s="13" t="s">
        <v>859</v>
      </c>
      <c r="I2155" s="169" t="e">
        <f>I2157</f>
        <v>#REF!</v>
      </c>
      <c r="J2155" s="169" t="e">
        <f>J2157</f>
        <v>#REF!</v>
      </c>
      <c r="K2155" s="169" t="e">
        <f t="shared" si="1229"/>
        <v>#REF!</v>
      </c>
      <c r="L2155" s="169" t="e">
        <f>M2155-I2155</f>
        <v>#REF!</v>
      </c>
      <c r="M2155" s="19" t="e">
        <f>M2157</f>
        <v>#REF!</v>
      </c>
      <c r="N2155" s="19" t="e">
        <f>N2157</f>
        <v>#REF!</v>
      </c>
      <c r="O2155" s="19" t="e">
        <f>O2157</f>
        <v>#REF!</v>
      </c>
      <c r="P2155" s="303" t="e">
        <f t="shared" si="1227"/>
        <v>#REF!</v>
      </c>
      <c r="Q2155" s="19" t="e">
        <f t="shared" ref="Q2155:X2155" si="1230">Q2157</f>
        <v>#REF!</v>
      </c>
      <c r="R2155" s="19" t="e">
        <f t="shared" si="1230"/>
        <v>#REF!</v>
      </c>
      <c r="S2155" s="19" t="e">
        <f t="shared" si="1230"/>
        <v>#REF!</v>
      </c>
      <c r="T2155" s="19">
        <f>T2157</f>
        <v>9591200</v>
      </c>
      <c r="U2155" s="19">
        <f>U2157</f>
        <v>17294062.220000003</v>
      </c>
      <c r="V2155" s="19">
        <f t="shared" si="1230"/>
        <v>8993600</v>
      </c>
      <c r="W2155" s="19" t="e">
        <f t="shared" si="1230"/>
        <v>#REF!</v>
      </c>
      <c r="X2155" s="19" t="e">
        <f t="shared" si="1230"/>
        <v>#REF!</v>
      </c>
      <c r="Y2155" s="19">
        <f>Y2157</f>
        <v>4924571.9200000009</v>
      </c>
      <c r="Z2155" s="19">
        <f t="shared" si="1219"/>
        <v>54.76</v>
      </c>
      <c r="AA2155" s="19">
        <f t="shared" si="1220"/>
        <v>96069</v>
      </c>
      <c r="AB2155" s="19">
        <f>AB2157</f>
        <v>9089669</v>
      </c>
      <c r="AC2155" s="19">
        <f>AC2157</f>
        <v>7070577.8899999997</v>
      </c>
      <c r="AD2155" s="19">
        <f t="shared" si="1210"/>
        <v>77.786967710265358</v>
      </c>
      <c r="AE2155" s="19">
        <f t="shared" si="1212"/>
        <v>0</v>
      </c>
      <c r="AF2155" s="19">
        <f>AF2157</f>
        <v>9089669</v>
      </c>
      <c r="AG2155" s="19">
        <f>AG2157</f>
        <v>9089669</v>
      </c>
      <c r="AH2155" s="19">
        <f>AH2157</f>
        <v>9089669</v>
      </c>
      <c r="AI2155" s="19">
        <f>AI2157</f>
        <v>9089669</v>
      </c>
      <c r="AJ2155" s="162" t="b">
        <f t="shared" si="1214"/>
        <v>1</v>
      </c>
      <c r="AK2155" s="162" t="str">
        <f t="shared" si="1215"/>
        <v>PRAZNO</v>
      </c>
      <c r="AL2155" s="170"/>
      <c r="AM2155" s="164"/>
    </row>
    <row r="2156" spans="1:39" s="264" customFormat="1" ht="31.5" x14ac:dyDescent="0.2">
      <c r="A2156" s="259"/>
      <c r="B2156" s="260"/>
      <c r="C2156" s="260"/>
      <c r="D2156" s="260"/>
      <c r="E2156" s="260"/>
      <c r="F2156" s="260"/>
      <c r="G2156" s="260"/>
      <c r="H2156" s="440" t="s">
        <v>831</v>
      </c>
      <c r="I2156" s="181"/>
      <c r="J2156" s="181"/>
      <c r="K2156" s="181"/>
      <c r="L2156" s="181"/>
      <c r="M2156" s="262"/>
      <c r="N2156" s="262"/>
      <c r="O2156" s="262"/>
      <c r="P2156" s="445"/>
      <c r="Q2156" s="262"/>
      <c r="R2156" s="262"/>
      <c r="S2156" s="262"/>
      <c r="T2156" s="262">
        <f t="shared" ref="T2156:Y2156" si="1231">T2157</f>
        <v>9591200</v>
      </c>
      <c r="U2156" s="262">
        <f t="shared" si="1231"/>
        <v>17294062.220000003</v>
      </c>
      <c r="V2156" s="262">
        <f t="shared" si="1231"/>
        <v>8993600</v>
      </c>
      <c r="W2156" s="262" t="e">
        <f t="shared" si="1231"/>
        <v>#REF!</v>
      </c>
      <c r="X2156" s="262" t="e">
        <f t="shared" si="1231"/>
        <v>#REF!</v>
      </c>
      <c r="Y2156" s="262">
        <f t="shared" si="1231"/>
        <v>4924571.9200000009</v>
      </c>
      <c r="Z2156" s="262">
        <f t="shared" si="1219"/>
        <v>54.76</v>
      </c>
      <c r="AA2156" s="262">
        <f t="shared" si="1220"/>
        <v>96069</v>
      </c>
      <c r="AB2156" s="262">
        <f>AB2157</f>
        <v>9089669</v>
      </c>
      <c r="AC2156" s="262">
        <f>AC2157</f>
        <v>7070577.8899999997</v>
      </c>
      <c r="AD2156" s="262">
        <f t="shared" si="1210"/>
        <v>77.786967710265358</v>
      </c>
      <c r="AE2156" s="262">
        <f t="shared" si="1212"/>
        <v>0</v>
      </c>
      <c r="AF2156" s="262">
        <f>AF2157</f>
        <v>9089669</v>
      </c>
      <c r="AG2156" s="262">
        <f>AG2157</f>
        <v>9089669</v>
      </c>
      <c r="AH2156" s="262">
        <f>AH2157</f>
        <v>9089669</v>
      </c>
      <c r="AI2156" s="262">
        <f>AI2157</f>
        <v>9089669</v>
      </c>
      <c r="AJ2156" s="162" t="b">
        <f t="shared" si="1214"/>
        <v>1</v>
      </c>
      <c r="AK2156" s="162" t="str">
        <f t="shared" si="1215"/>
        <v>PRAZNO</v>
      </c>
      <c r="AL2156" s="263"/>
    </row>
    <row r="2157" spans="1:39" s="174" customFormat="1" ht="15.75" x14ac:dyDescent="0.2">
      <c r="A2157" s="259"/>
      <c r="B2157" s="172">
        <v>3</v>
      </c>
      <c r="C2157" s="172"/>
      <c r="D2157" s="172"/>
      <c r="E2157" s="172"/>
      <c r="F2157" s="172"/>
      <c r="G2157" s="172"/>
      <c r="H2157" s="14" t="s">
        <v>524</v>
      </c>
      <c r="I2157" s="20" t="e">
        <f>+#REF!+I2197+I2158</f>
        <v>#REF!</v>
      </c>
      <c r="J2157" s="20" t="e">
        <f>+#REF!+J2197+J2158</f>
        <v>#REF!</v>
      </c>
      <c r="K2157" s="20" t="e">
        <f t="shared" si="1229"/>
        <v>#REF!</v>
      </c>
      <c r="L2157" s="20" t="e">
        <f t="shared" ref="L2157:L2165" si="1232">M2157-I2157</f>
        <v>#REF!</v>
      </c>
      <c r="M2157" s="20" t="e">
        <f>+#REF!+M2197+M2158</f>
        <v>#REF!</v>
      </c>
      <c r="N2157" s="20" t="e">
        <f>+#REF!+N2197+N2158</f>
        <v>#REF!</v>
      </c>
      <c r="O2157" s="20" t="e">
        <f>+#REF!+O2197+O2158</f>
        <v>#REF!</v>
      </c>
      <c r="P2157" s="55" t="e">
        <f t="shared" si="1227"/>
        <v>#REF!</v>
      </c>
      <c r="Q2157" s="20" t="e">
        <f>+#REF!+Q2197+Q2158</f>
        <v>#REF!</v>
      </c>
      <c r="R2157" s="20" t="e">
        <f>+#REF!+R2197+R2158</f>
        <v>#REF!</v>
      </c>
      <c r="S2157" s="20" t="e">
        <f>+#REF!+S2197+S2158</f>
        <v>#REF!</v>
      </c>
      <c r="T2157" s="20">
        <f>T2158+T2197</f>
        <v>9591200</v>
      </c>
      <c r="U2157" s="20">
        <f>U2158+U2197</f>
        <v>17294062.220000003</v>
      </c>
      <c r="V2157" s="20">
        <f>V2158+V2197</f>
        <v>8993600</v>
      </c>
      <c r="W2157" s="20" t="e">
        <f>+#REF!+W2197+W2158</f>
        <v>#REF!</v>
      </c>
      <c r="X2157" s="20" t="e">
        <f>+#REF!+X2197+X2158</f>
        <v>#REF!</v>
      </c>
      <c r="Y2157" s="20">
        <f>Y2158+Y2197</f>
        <v>4924571.9200000009</v>
      </c>
      <c r="Z2157" s="20">
        <f t="shared" si="1219"/>
        <v>54.76</v>
      </c>
      <c r="AA2157" s="20">
        <f t="shared" si="1220"/>
        <v>96069</v>
      </c>
      <c r="AB2157" s="20">
        <f>AB2158+AB2197</f>
        <v>9089669</v>
      </c>
      <c r="AC2157" s="20">
        <f>AC2158+AC2197</f>
        <v>7070577.8899999997</v>
      </c>
      <c r="AD2157" s="20">
        <f t="shared" si="1210"/>
        <v>77.786967710265358</v>
      </c>
      <c r="AE2157" s="20">
        <f t="shared" si="1212"/>
        <v>0</v>
      </c>
      <c r="AF2157" s="20">
        <f>AF2158+AF2197</f>
        <v>9089669</v>
      </c>
      <c r="AG2157" s="20">
        <f>AG2158+AG2197</f>
        <v>9089669</v>
      </c>
      <c r="AH2157" s="20">
        <f>AH2158+AH2197</f>
        <v>9089669</v>
      </c>
      <c r="AI2157" s="20">
        <f>AI2158+AI2197</f>
        <v>9089669</v>
      </c>
      <c r="AJ2157" s="162" t="b">
        <f t="shared" si="1214"/>
        <v>1</v>
      </c>
      <c r="AK2157" s="162" t="str">
        <f t="shared" si="1215"/>
        <v>PRAZNO</v>
      </c>
      <c r="AL2157" s="173"/>
      <c r="AM2157" s="164"/>
    </row>
    <row r="2158" spans="1:39" ht="15.75" x14ac:dyDescent="0.2">
      <c r="B2158" s="175"/>
      <c r="C2158" s="175">
        <v>32</v>
      </c>
      <c r="D2158" s="175"/>
      <c r="E2158" s="175"/>
      <c r="F2158" s="175"/>
      <c r="G2158" s="175"/>
      <c r="H2158" s="15" t="s">
        <v>525</v>
      </c>
      <c r="I2158" s="22">
        <f>I2159+I2164+I2175+I2189</f>
        <v>6954200</v>
      </c>
      <c r="J2158" s="22">
        <f>J2159+J2164+J2175+J2189</f>
        <v>4858032.4700000007</v>
      </c>
      <c r="K2158" s="22">
        <f t="shared" si="1229"/>
        <v>69.86</v>
      </c>
      <c r="L2158" s="22">
        <f t="shared" si="1232"/>
        <v>396850.5</v>
      </c>
      <c r="M2158" s="22">
        <f>M2159+M2164+M2175+M2189</f>
        <v>7351050.5</v>
      </c>
      <c r="N2158" s="22">
        <f>N2159+N2164+N2175+N2189</f>
        <v>9485000</v>
      </c>
      <c r="O2158" s="22">
        <f>O2159+O2164+O2175+O2189</f>
        <v>6200020.4199999999</v>
      </c>
      <c r="P2158" s="26">
        <f t="shared" si="1227"/>
        <v>45500</v>
      </c>
      <c r="Q2158" s="22">
        <f t="shared" ref="Q2158:Y2158" si="1233">Q2159+Q2164+Q2175+Q2189</f>
        <v>9485000</v>
      </c>
      <c r="R2158" s="22">
        <f t="shared" si="1233"/>
        <v>9562700</v>
      </c>
      <c r="S2158" s="22">
        <f t="shared" si="1233"/>
        <v>9614100</v>
      </c>
      <c r="T2158" s="38">
        <f t="shared" si="1233"/>
        <v>9530500</v>
      </c>
      <c r="U2158" s="38">
        <f t="shared" si="1233"/>
        <v>17232773.730000004</v>
      </c>
      <c r="V2158" s="183">
        <f t="shared" si="1233"/>
        <v>8935600</v>
      </c>
      <c r="W2158" s="183">
        <f t="shared" si="1233"/>
        <v>8709500</v>
      </c>
      <c r="X2158" s="183">
        <f t="shared" si="1233"/>
        <v>8881600</v>
      </c>
      <c r="Y2158" s="183">
        <f t="shared" si="1233"/>
        <v>4897837.1300000008</v>
      </c>
      <c r="Z2158" s="183">
        <f t="shared" si="1219"/>
        <v>54.81</v>
      </c>
      <c r="AA2158" s="183">
        <f t="shared" si="1220"/>
        <v>98069</v>
      </c>
      <c r="AB2158" s="183">
        <f>AB2159+AB2164+AB2175+AB2189</f>
        <v>9033669</v>
      </c>
      <c r="AC2158" s="183">
        <f>AC2159+AC2164+AC2175+AC2189</f>
        <v>7025955.3999999994</v>
      </c>
      <c r="AD2158" s="183">
        <f t="shared" si="1210"/>
        <v>77.775214035404659</v>
      </c>
      <c r="AE2158" s="183">
        <f t="shared" si="1212"/>
        <v>-1900</v>
      </c>
      <c r="AF2158" s="183">
        <f>AF2159+AF2164+AF2175+AF2189</f>
        <v>9031769</v>
      </c>
      <c r="AG2158" s="183">
        <f>AG2159+AG2164+AG2175+AG2189</f>
        <v>9031869</v>
      </c>
      <c r="AH2158" s="183">
        <f>AH2159+AH2164+AH2175+AH2189</f>
        <v>9031869</v>
      </c>
      <c r="AI2158" s="183">
        <f>AI2159+AI2164+AI2175+AI2189</f>
        <v>9031869</v>
      </c>
      <c r="AJ2158" s="162" t="b">
        <f t="shared" si="1214"/>
        <v>1</v>
      </c>
      <c r="AK2158" s="162" t="str">
        <f t="shared" si="1215"/>
        <v>PRAZNO</v>
      </c>
      <c r="AM2158" s="164"/>
    </row>
    <row r="2159" spans="1:39" ht="15.75" x14ac:dyDescent="0.2">
      <c r="B2159" s="177"/>
      <c r="C2159" s="177"/>
      <c r="D2159" s="177">
        <v>321</v>
      </c>
      <c r="E2159" s="177"/>
      <c r="F2159" s="177"/>
      <c r="G2159" s="177"/>
      <c r="H2159" s="29" t="s">
        <v>564</v>
      </c>
      <c r="I2159" s="17">
        <f>SUM(I2160:I2163)</f>
        <v>3834700</v>
      </c>
      <c r="J2159" s="17">
        <f>SUM(J2160:J2163)</f>
        <v>2550099.4400000004</v>
      </c>
      <c r="K2159" s="17">
        <f t="shared" si="1229"/>
        <v>66.5</v>
      </c>
      <c r="L2159" s="17">
        <f t="shared" si="1232"/>
        <v>-305623.9700000002</v>
      </c>
      <c r="M2159" s="17">
        <f>SUM(M2160:M2163)</f>
        <v>3529076.03</v>
      </c>
      <c r="N2159" s="17">
        <f>SUM(N2160:N2163)</f>
        <v>3550300</v>
      </c>
      <c r="O2159" s="17">
        <f>SUM(O2160:O2163)</f>
        <v>2222131.8600000003</v>
      </c>
      <c r="P2159" s="26">
        <f t="shared" si="1227"/>
        <v>23400</v>
      </c>
      <c r="Q2159" s="17">
        <f t="shared" ref="Q2159:X2159" si="1234">SUM(Q2160:Q2163)</f>
        <v>3550300</v>
      </c>
      <c r="R2159" s="17">
        <f t="shared" si="1234"/>
        <v>3557500</v>
      </c>
      <c r="S2159" s="17">
        <f t="shared" si="1234"/>
        <v>3563000</v>
      </c>
      <c r="T2159" s="26">
        <f t="shared" si="1234"/>
        <v>3573700</v>
      </c>
      <c r="U2159" s="26">
        <f>SUM(U2160:U2163)</f>
        <v>3531024.13</v>
      </c>
      <c r="V2159" s="181">
        <f t="shared" si="1234"/>
        <v>3323500</v>
      </c>
      <c r="W2159" s="181">
        <f t="shared" si="1234"/>
        <v>3550300</v>
      </c>
      <c r="X2159" s="181">
        <f t="shared" si="1234"/>
        <v>3656000</v>
      </c>
      <c r="Y2159" s="181">
        <f>SUM(Y2160:Y2163)</f>
        <v>1754896.12</v>
      </c>
      <c r="Z2159" s="181">
        <f t="shared" si="1219"/>
        <v>52.8</v>
      </c>
      <c r="AA2159" s="181">
        <f t="shared" si="1220"/>
        <v>12700</v>
      </c>
      <c r="AB2159" s="181">
        <f>SUM(AB2160:AB2163)</f>
        <v>3336200</v>
      </c>
      <c r="AC2159" s="181">
        <f>SUM(AC2160:AC2163)</f>
        <v>2724475.61</v>
      </c>
      <c r="AD2159" s="181">
        <f t="shared" si="1210"/>
        <v>81.664037227983926</v>
      </c>
      <c r="AE2159" s="181">
        <f t="shared" si="1212"/>
        <v>66600</v>
      </c>
      <c r="AF2159" s="181">
        <f>SUM(AF2160:AF2163)</f>
        <v>3402800</v>
      </c>
      <c r="AG2159" s="181">
        <f>SUM(AG2160:AG2163)</f>
        <v>3434000</v>
      </c>
      <c r="AH2159" s="181">
        <f>SUM(AH2160:AH2163)</f>
        <v>3434000</v>
      </c>
      <c r="AI2159" s="181">
        <f>SUM(AI2160:AI2163)</f>
        <v>3434000</v>
      </c>
      <c r="AJ2159" s="162" t="b">
        <f t="shared" si="1214"/>
        <v>1</v>
      </c>
      <c r="AK2159" s="162" t="str">
        <f t="shared" si="1215"/>
        <v>PRAZNO</v>
      </c>
      <c r="AM2159" s="164"/>
    </row>
    <row r="2160" spans="1:39" ht="15.75" x14ac:dyDescent="0.2">
      <c r="B2160" s="177"/>
      <c r="C2160" s="177"/>
      <c r="D2160" s="177"/>
      <c r="E2160" s="177">
        <v>3211</v>
      </c>
      <c r="F2160" s="176">
        <v>12</v>
      </c>
      <c r="G2160" s="176"/>
      <c r="H2160" s="29" t="s">
        <v>565</v>
      </c>
      <c r="I2160" s="18">
        <v>195800</v>
      </c>
      <c r="J2160" s="178">
        <v>135727.35</v>
      </c>
      <c r="K2160" s="178">
        <f t="shared" si="1229"/>
        <v>69.319999999999993</v>
      </c>
      <c r="L2160" s="178">
        <f t="shared" si="1232"/>
        <v>-2445.7399999999907</v>
      </c>
      <c r="M2160" s="178">
        <v>193354.26</v>
      </c>
      <c r="N2160" s="178">
        <v>144400</v>
      </c>
      <c r="O2160" s="178">
        <v>104566.39</v>
      </c>
      <c r="P2160" s="26">
        <f t="shared" si="1227"/>
        <v>29500</v>
      </c>
      <c r="Q2160" s="178">
        <v>144400</v>
      </c>
      <c r="R2160" s="178">
        <v>150000</v>
      </c>
      <c r="S2160" s="178">
        <v>155000</v>
      </c>
      <c r="T2160" s="266">
        <v>173900</v>
      </c>
      <c r="U2160" s="266">
        <v>176871.05</v>
      </c>
      <c r="V2160" s="266">
        <v>152100</v>
      </c>
      <c r="W2160" s="266">
        <v>144400</v>
      </c>
      <c r="X2160" s="266">
        <v>148000</v>
      </c>
      <c r="Y2160" s="266">
        <v>65979.600000000006</v>
      </c>
      <c r="Z2160" s="266">
        <f t="shared" si="1219"/>
        <v>43.38</v>
      </c>
      <c r="AA2160" s="266">
        <f t="shared" si="1220"/>
        <v>11500</v>
      </c>
      <c r="AB2160" s="266">
        <v>163600</v>
      </c>
      <c r="AC2160" s="266">
        <v>103856.52</v>
      </c>
      <c r="AD2160" s="266">
        <f t="shared" si="1210"/>
        <v>63.481980440097807</v>
      </c>
      <c r="AE2160" s="266">
        <f t="shared" si="1212"/>
        <v>-200</v>
      </c>
      <c r="AF2160" s="266">
        <v>163400</v>
      </c>
      <c r="AG2160" s="266">
        <v>148600</v>
      </c>
      <c r="AH2160" s="266">
        <v>148600</v>
      </c>
      <c r="AI2160" s="266">
        <v>148600</v>
      </c>
      <c r="AJ2160" s="162" t="b">
        <f t="shared" si="1214"/>
        <v>0</v>
      </c>
      <c r="AK2160" s="162" t="str">
        <f t="shared" si="1215"/>
        <v>PUNO</v>
      </c>
      <c r="AM2160" s="164"/>
    </row>
    <row r="2161" spans="2:39" ht="15.75" x14ac:dyDescent="0.2">
      <c r="B2161" s="177"/>
      <c r="C2161" s="177"/>
      <c r="D2161" s="177"/>
      <c r="E2161" s="177">
        <v>3212</v>
      </c>
      <c r="F2161" s="176">
        <v>12</v>
      </c>
      <c r="G2161" s="176" t="s">
        <v>1040</v>
      </c>
      <c r="H2161" s="16" t="s">
        <v>220</v>
      </c>
      <c r="I2161" s="178">
        <v>3591500</v>
      </c>
      <c r="J2161" s="178">
        <v>2394528.9900000002</v>
      </c>
      <c r="K2161" s="178">
        <f t="shared" si="1229"/>
        <v>66.67</v>
      </c>
      <c r="L2161" s="178">
        <f t="shared" si="1232"/>
        <v>-285227.83000000007</v>
      </c>
      <c r="M2161" s="178">
        <v>3306272.17</v>
      </c>
      <c r="N2161" s="178">
        <v>3368900</v>
      </c>
      <c r="O2161" s="178">
        <v>2096987.17</v>
      </c>
      <c r="P2161" s="26">
        <f t="shared" si="1227"/>
        <v>-3200</v>
      </c>
      <c r="Q2161" s="178">
        <v>3368900</v>
      </c>
      <c r="R2161" s="178">
        <v>3370000</v>
      </c>
      <c r="S2161" s="178">
        <v>3370000</v>
      </c>
      <c r="T2161" s="266">
        <v>3365700</v>
      </c>
      <c r="U2161" s="266">
        <v>3319068.58</v>
      </c>
      <c r="V2161" s="266">
        <v>3138300</v>
      </c>
      <c r="W2161" s="266">
        <v>3368900</v>
      </c>
      <c r="X2161" s="266">
        <v>3470000</v>
      </c>
      <c r="Y2161" s="266">
        <v>1674847.72</v>
      </c>
      <c r="Z2161" s="266">
        <f t="shared" si="1219"/>
        <v>53.37</v>
      </c>
      <c r="AA2161" s="266">
        <f t="shared" si="1220"/>
        <v>1000</v>
      </c>
      <c r="AB2161" s="266">
        <v>3139300</v>
      </c>
      <c r="AC2161" s="266">
        <v>2560797.38</v>
      </c>
      <c r="AD2161" s="266">
        <f t="shared" si="1210"/>
        <v>81.572241582518387</v>
      </c>
      <c r="AE2161" s="266">
        <f t="shared" si="1212"/>
        <v>69400</v>
      </c>
      <c r="AF2161" s="266">
        <v>3208700</v>
      </c>
      <c r="AG2161" s="266">
        <v>3244000</v>
      </c>
      <c r="AH2161" s="266">
        <v>3251100</v>
      </c>
      <c r="AI2161" s="266">
        <v>3251100</v>
      </c>
      <c r="AJ2161" s="162" t="b">
        <f t="shared" si="1214"/>
        <v>0</v>
      </c>
      <c r="AK2161" s="162" t="str">
        <f t="shared" si="1215"/>
        <v>PUNO</v>
      </c>
      <c r="AM2161" s="164"/>
    </row>
    <row r="2162" spans="2:39" ht="15.75" x14ac:dyDescent="0.2">
      <c r="B2162" s="177"/>
      <c r="C2162" s="177"/>
      <c r="D2162" s="177"/>
      <c r="E2162" s="177">
        <v>3213</v>
      </c>
      <c r="F2162" s="176">
        <v>54</v>
      </c>
      <c r="G2162" s="176"/>
      <c r="H2162" s="29" t="s">
        <v>221</v>
      </c>
      <c r="I2162" s="18">
        <v>47400</v>
      </c>
      <c r="J2162" s="178">
        <v>19843.099999999999</v>
      </c>
      <c r="K2162" s="178">
        <f t="shared" si="1229"/>
        <v>41.86</v>
      </c>
      <c r="L2162" s="178">
        <f t="shared" si="1232"/>
        <v>-18010.400000000001</v>
      </c>
      <c r="M2162" s="178">
        <v>29389.599999999999</v>
      </c>
      <c r="N2162" s="178">
        <v>31400</v>
      </c>
      <c r="O2162" s="178">
        <v>17293.099999999999</v>
      </c>
      <c r="P2162" s="26">
        <f t="shared" si="1227"/>
        <v>-2300</v>
      </c>
      <c r="Q2162" s="178">
        <v>31400</v>
      </c>
      <c r="R2162" s="178">
        <v>31800</v>
      </c>
      <c r="S2162" s="178">
        <v>32000</v>
      </c>
      <c r="T2162" s="266">
        <v>29100</v>
      </c>
      <c r="U2162" s="266">
        <v>30052.1</v>
      </c>
      <c r="V2162" s="266">
        <v>28900</v>
      </c>
      <c r="W2162" s="266">
        <v>31400</v>
      </c>
      <c r="X2162" s="266">
        <v>32300</v>
      </c>
      <c r="Y2162" s="266">
        <v>11104.8</v>
      </c>
      <c r="Z2162" s="266">
        <f t="shared" si="1219"/>
        <v>38.42</v>
      </c>
      <c r="AA2162" s="266">
        <f t="shared" si="1220"/>
        <v>-1000</v>
      </c>
      <c r="AB2162" s="266">
        <v>27900</v>
      </c>
      <c r="AC2162" s="266">
        <v>55467.71</v>
      </c>
      <c r="AD2162" s="266">
        <f t="shared" si="1210"/>
        <v>198.80899641577062</v>
      </c>
      <c r="AE2162" s="266">
        <f t="shared" si="1212"/>
        <v>-3100</v>
      </c>
      <c r="AF2162" s="266">
        <v>24800</v>
      </c>
      <c r="AG2162" s="266">
        <v>35000</v>
      </c>
      <c r="AH2162" s="266">
        <v>27900</v>
      </c>
      <c r="AI2162" s="266">
        <v>27900</v>
      </c>
      <c r="AJ2162" s="162" t="b">
        <f t="shared" si="1214"/>
        <v>0</v>
      </c>
      <c r="AK2162" s="162" t="str">
        <f t="shared" si="1215"/>
        <v>PUNO</v>
      </c>
      <c r="AM2162" s="164"/>
    </row>
    <row r="2163" spans="2:39" ht="15.75" x14ac:dyDescent="0.2">
      <c r="B2163" s="177"/>
      <c r="C2163" s="177"/>
      <c r="D2163" s="177"/>
      <c r="E2163" s="177">
        <v>3214</v>
      </c>
      <c r="F2163" s="176">
        <v>12</v>
      </c>
      <c r="G2163" s="176"/>
      <c r="H2163" s="29" t="s">
        <v>852</v>
      </c>
      <c r="I2163" s="18">
        <v>0</v>
      </c>
      <c r="J2163" s="178">
        <v>0</v>
      </c>
      <c r="K2163" s="178"/>
      <c r="L2163" s="178">
        <f t="shared" si="1232"/>
        <v>60</v>
      </c>
      <c r="M2163" s="178">
        <v>60</v>
      </c>
      <c r="N2163" s="178">
        <v>5600</v>
      </c>
      <c r="O2163" s="178">
        <v>3285.2</v>
      </c>
      <c r="P2163" s="26">
        <f t="shared" si="1227"/>
        <v>-600</v>
      </c>
      <c r="Q2163" s="178">
        <v>5600</v>
      </c>
      <c r="R2163" s="178">
        <v>5700</v>
      </c>
      <c r="S2163" s="178">
        <v>6000</v>
      </c>
      <c r="T2163" s="266">
        <v>5000</v>
      </c>
      <c r="U2163" s="266">
        <v>5032.3999999999996</v>
      </c>
      <c r="V2163" s="266">
        <v>4200</v>
      </c>
      <c r="W2163" s="266">
        <v>5600</v>
      </c>
      <c r="X2163" s="266">
        <v>5700</v>
      </c>
      <c r="Y2163" s="266">
        <v>2964</v>
      </c>
      <c r="Z2163" s="266">
        <f t="shared" si="1219"/>
        <v>70.569999999999993</v>
      </c>
      <c r="AA2163" s="266">
        <f t="shared" si="1220"/>
        <v>1200</v>
      </c>
      <c r="AB2163" s="266">
        <v>5400</v>
      </c>
      <c r="AC2163" s="266">
        <v>4354</v>
      </c>
      <c r="AD2163" s="266">
        <f t="shared" si="1210"/>
        <v>80.629629629629633</v>
      </c>
      <c r="AE2163" s="266">
        <f t="shared" si="1212"/>
        <v>500</v>
      </c>
      <c r="AF2163" s="266">
        <v>5900</v>
      </c>
      <c r="AG2163" s="266">
        <v>6400</v>
      </c>
      <c r="AH2163" s="266">
        <v>6400</v>
      </c>
      <c r="AI2163" s="266">
        <v>6400</v>
      </c>
      <c r="AJ2163" s="162" t="b">
        <f t="shared" si="1214"/>
        <v>0</v>
      </c>
      <c r="AK2163" s="162" t="str">
        <f t="shared" si="1215"/>
        <v>PUNO</v>
      </c>
      <c r="AM2163" s="164"/>
    </row>
    <row r="2164" spans="2:39" ht="15.75" x14ac:dyDescent="0.2">
      <c r="B2164" s="177"/>
      <c r="C2164" s="177"/>
      <c r="D2164" s="177">
        <v>322</v>
      </c>
      <c r="E2164" s="177"/>
      <c r="F2164" s="177"/>
      <c r="G2164" s="177"/>
      <c r="H2164" s="29" t="s">
        <v>547</v>
      </c>
      <c r="I2164" s="17">
        <f>SUM(I2165:I2174)</f>
        <v>1136500</v>
      </c>
      <c r="J2164" s="17">
        <f>SUM(J2165:J2174)</f>
        <v>797261.34</v>
      </c>
      <c r="K2164" s="17">
        <f>ROUND(J2164/I2164*100,2)</f>
        <v>70.150000000000006</v>
      </c>
      <c r="L2164" s="17">
        <f t="shared" si="1232"/>
        <v>484829.79000000004</v>
      </c>
      <c r="M2164" s="17">
        <f>SUM(M2165:M2174)</f>
        <v>1621329.79</v>
      </c>
      <c r="N2164" s="17">
        <f>SUM(N2165:N2174)</f>
        <v>4027300</v>
      </c>
      <c r="O2164" s="17">
        <f>SUM(O2165:O2174)</f>
        <v>2726348.2199999997</v>
      </c>
      <c r="P2164" s="26">
        <f t="shared" si="1227"/>
        <v>58300</v>
      </c>
      <c r="Q2164" s="17">
        <f t="shared" ref="Q2164:X2164" si="1235">SUM(Q2165:Q2174)</f>
        <v>4027300</v>
      </c>
      <c r="R2164" s="17">
        <f t="shared" si="1235"/>
        <v>4058800</v>
      </c>
      <c r="S2164" s="17">
        <f t="shared" si="1235"/>
        <v>4080900</v>
      </c>
      <c r="T2164" s="26">
        <f t="shared" si="1235"/>
        <v>4085600</v>
      </c>
      <c r="U2164" s="26">
        <f>SUM(U2165:U2174)</f>
        <v>5030918.0599999996</v>
      </c>
      <c r="V2164" s="181">
        <f t="shared" si="1235"/>
        <v>3891800</v>
      </c>
      <c r="W2164" s="181">
        <f t="shared" si="1235"/>
        <v>3447900</v>
      </c>
      <c r="X2164" s="181">
        <f t="shared" si="1235"/>
        <v>3419400</v>
      </c>
      <c r="Y2164" s="181">
        <f>SUM(Y2165:Y2174)</f>
        <v>2455495.6800000002</v>
      </c>
      <c r="Z2164" s="181">
        <f t="shared" si="1219"/>
        <v>63.09</v>
      </c>
      <c r="AA2164" s="181">
        <f t="shared" si="1220"/>
        <v>60769</v>
      </c>
      <c r="AB2164" s="181">
        <f>SUM(AB2165:AB2174)</f>
        <v>3952569</v>
      </c>
      <c r="AC2164" s="181">
        <f>SUM(AC2165:AC2174)</f>
        <v>3082677.59</v>
      </c>
      <c r="AD2164" s="181">
        <f t="shared" si="1210"/>
        <v>77.991746380645083</v>
      </c>
      <c r="AE2164" s="181">
        <f t="shared" si="1212"/>
        <v>-84200</v>
      </c>
      <c r="AF2164" s="181">
        <f>SUM(AF2165:AF2174)</f>
        <v>3868369</v>
      </c>
      <c r="AG2164" s="181">
        <f>SUM(AG2165:AG2174)</f>
        <v>3916239</v>
      </c>
      <c r="AH2164" s="181">
        <f>SUM(AH2165:AH2174)</f>
        <v>3916239</v>
      </c>
      <c r="AI2164" s="181">
        <f>SUM(AI2165:AI2174)</f>
        <v>3916239</v>
      </c>
      <c r="AJ2164" s="162" t="b">
        <f t="shared" si="1214"/>
        <v>1</v>
      </c>
      <c r="AK2164" s="162" t="str">
        <f t="shared" si="1215"/>
        <v>PRAZNO</v>
      </c>
      <c r="AM2164" s="164"/>
    </row>
    <row r="2165" spans="2:39" ht="15.75" x14ac:dyDescent="0.2">
      <c r="B2165" s="177"/>
      <c r="C2165" s="177"/>
      <c r="D2165" s="177"/>
      <c r="E2165" s="177">
        <v>3221</v>
      </c>
      <c r="F2165" s="176">
        <v>54</v>
      </c>
      <c r="G2165" s="176"/>
      <c r="H2165" s="29" t="s">
        <v>548</v>
      </c>
      <c r="I2165" s="18">
        <v>889000</v>
      </c>
      <c r="J2165" s="178">
        <v>646133.86</v>
      </c>
      <c r="K2165" s="178">
        <f>ROUND(J2165/I2165*100,2)</f>
        <v>72.680000000000007</v>
      </c>
      <c r="L2165" s="178">
        <f t="shared" si="1232"/>
        <v>46501.800000000047</v>
      </c>
      <c r="M2165" s="178">
        <v>935501.8</v>
      </c>
      <c r="N2165" s="178">
        <v>789600</v>
      </c>
      <c r="O2165" s="178">
        <v>506067.96</v>
      </c>
      <c r="P2165" s="26">
        <f t="shared" si="1227"/>
        <v>19600</v>
      </c>
      <c r="Q2165" s="178">
        <v>789600</v>
      </c>
      <c r="R2165" s="178">
        <v>810500</v>
      </c>
      <c r="S2165" s="178">
        <v>820000</v>
      </c>
      <c r="T2165" s="266">
        <v>809200</v>
      </c>
      <c r="U2165" s="266">
        <v>813722.82</v>
      </c>
      <c r="V2165" s="266">
        <v>784900</v>
      </c>
      <c r="W2165" s="266">
        <v>789600</v>
      </c>
      <c r="X2165" s="178">
        <v>813300</v>
      </c>
      <c r="Y2165" s="266">
        <v>401089.33</v>
      </c>
      <c r="Z2165" s="266">
        <f t="shared" si="1219"/>
        <v>51.1</v>
      </c>
      <c r="AA2165" s="266">
        <f t="shared" si="1220"/>
        <v>-2400</v>
      </c>
      <c r="AB2165" s="266">
        <v>782500</v>
      </c>
      <c r="AC2165" s="266">
        <v>566352.1</v>
      </c>
      <c r="AD2165" s="266">
        <f t="shared" si="1210"/>
        <v>72.377265175718847</v>
      </c>
      <c r="AE2165" s="266">
        <f t="shared" si="1212"/>
        <v>-39400</v>
      </c>
      <c r="AF2165" s="266">
        <v>743100</v>
      </c>
      <c r="AG2165" s="266">
        <v>752170</v>
      </c>
      <c r="AH2165" s="266">
        <v>752170</v>
      </c>
      <c r="AI2165" s="266">
        <v>752170</v>
      </c>
      <c r="AJ2165" s="162" t="b">
        <f t="shared" si="1214"/>
        <v>0</v>
      </c>
      <c r="AK2165" s="162" t="str">
        <f t="shared" si="1215"/>
        <v>PUNO</v>
      </c>
      <c r="AM2165" s="164"/>
    </row>
    <row r="2166" spans="2:39" ht="15.75" x14ac:dyDescent="0.2">
      <c r="B2166" s="177"/>
      <c r="C2166" s="177"/>
      <c r="D2166" s="177"/>
      <c r="E2166" s="177">
        <v>3222</v>
      </c>
      <c r="F2166" s="265">
        <v>54</v>
      </c>
      <c r="G2166" s="176"/>
      <c r="H2166" s="29" t="s">
        <v>474</v>
      </c>
      <c r="I2166" s="18"/>
      <c r="J2166" s="178"/>
      <c r="K2166" s="178"/>
      <c r="L2166" s="178"/>
      <c r="M2166" s="178"/>
      <c r="N2166" s="178"/>
      <c r="O2166" s="178"/>
      <c r="P2166" s="26"/>
      <c r="Q2166" s="178"/>
      <c r="R2166" s="178"/>
      <c r="S2166" s="178"/>
      <c r="T2166" s="266"/>
      <c r="U2166" s="266">
        <v>374224.41</v>
      </c>
      <c r="V2166" s="266"/>
      <c r="W2166" s="266"/>
      <c r="X2166" s="178"/>
      <c r="Y2166" s="266"/>
      <c r="Z2166" s="266"/>
      <c r="AA2166" s="266"/>
      <c r="AB2166" s="266"/>
      <c r="AC2166" s="266"/>
      <c r="AD2166" s="266"/>
      <c r="AE2166" s="266"/>
      <c r="AF2166" s="266"/>
      <c r="AG2166" s="266"/>
      <c r="AH2166" s="266"/>
      <c r="AI2166" s="266"/>
      <c r="AJ2166" s="162" t="b">
        <f t="shared" si="1214"/>
        <v>0</v>
      </c>
      <c r="AK2166" s="162" t="str">
        <f t="shared" si="1215"/>
        <v>PUNO</v>
      </c>
      <c r="AM2166" s="164"/>
    </row>
    <row r="2167" spans="2:39" ht="15.75" x14ac:dyDescent="0.2">
      <c r="B2167" s="177"/>
      <c r="C2167" s="177"/>
      <c r="D2167" s="177"/>
      <c r="E2167" s="177">
        <v>3222</v>
      </c>
      <c r="F2167" s="265">
        <v>12</v>
      </c>
      <c r="G2167" s="176"/>
      <c r="H2167" s="29" t="s">
        <v>474</v>
      </c>
      <c r="I2167" s="18"/>
      <c r="J2167" s="178"/>
      <c r="K2167" s="178"/>
      <c r="L2167" s="178"/>
      <c r="M2167" s="178"/>
      <c r="N2167" s="178"/>
      <c r="O2167" s="178"/>
      <c r="P2167" s="26">
        <f>T2167-N2167</f>
        <v>41200</v>
      </c>
      <c r="Q2167" s="178"/>
      <c r="R2167" s="178"/>
      <c r="S2167" s="178"/>
      <c r="T2167" s="266">
        <v>41200</v>
      </c>
      <c r="U2167" s="266">
        <v>41772.42</v>
      </c>
      <c r="V2167" s="266">
        <v>413500</v>
      </c>
      <c r="W2167" s="266">
        <v>287800</v>
      </c>
      <c r="X2167" s="266">
        <v>363700</v>
      </c>
      <c r="Y2167" s="266">
        <v>196488.32000000001</v>
      </c>
      <c r="Z2167" s="266">
        <f t="shared" si="1219"/>
        <v>47.52</v>
      </c>
      <c r="AA2167" s="266">
        <f t="shared" si="1220"/>
        <v>0</v>
      </c>
      <c r="AB2167" s="266">
        <v>413500</v>
      </c>
      <c r="AC2167" s="266">
        <v>299792.59999999998</v>
      </c>
      <c r="AD2167" s="266">
        <f t="shared" si="1210"/>
        <v>72.50123337363965</v>
      </c>
      <c r="AE2167" s="266">
        <f t="shared" si="1212"/>
        <v>0</v>
      </c>
      <c r="AF2167" s="266">
        <v>413500</v>
      </c>
      <c r="AG2167" s="266">
        <v>413500</v>
      </c>
      <c r="AH2167" s="266">
        <v>413500</v>
      </c>
      <c r="AI2167" s="266">
        <v>413500</v>
      </c>
      <c r="AJ2167" s="162" t="b">
        <f t="shared" si="1214"/>
        <v>0</v>
      </c>
      <c r="AK2167" s="162" t="str">
        <f t="shared" si="1215"/>
        <v>PUNO</v>
      </c>
      <c r="AM2167" s="164"/>
    </row>
    <row r="2168" spans="2:39" ht="15.75" x14ac:dyDescent="0.2">
      <c r="B2168" s="177"/>
      <c r="C2168" s="177"/>
      <c r="D2168" s="177"/>
      <c r="E2168" s="177">
        <v>3223</v>
      </c>
      <c r="F2168" s="265">
        <v>54</v>
      </c>
      <c r="G2168" s="176"/>
      <c r="H2168" s="29" t="s">
        <v>204</v>
      </c>
      <c r="I2168" s="18">
        <v>0</v>
      </c>
      <c r="J2168" s="178">
        <v>0</v>
      </c>
      <c r="K2168" s="178" t="e">
        <f>ROUND(J2168/I2168*100,2)</f>
        <v>#DIV/0!</v>
      </c>
      <c r="L2168" s="178">
        <f>M2168-I2168</f>
        <v>437486.01</v>
      </c>
      <c r="M2168" s="178">
        <v>437486.01</v>
      </c>
      <c r="N2168" s="178">
        <v>2980400</v>
      </c>
      <c r="O2168" s="178">
        <v>2093863.94</v>
      </c>
      <c r="P2168" s="26">
        <f>T2168-N2168</f>
        <v>0</v>
      </c>
      <c r="Q2168" s="178">
        <v>2980400</v>
      </c>
      <c r="R2168" s="178">
        <v>2990500</v>
      </c>
      <c r="S2168" s="178">
        <v>3000000</v>
      </c>
      <c r="T2168" s="266">
        <v>2980400</v>
      </c>
      <c r="U2168" s="266">
        <v>2980425.32</v>
      </c>
      <c r="V2168" s="266">
        <v>2452400</v>
      </c>
      <c r="W2168" s="266">
        <f>2980400-200000-389395-277805</f>
        <v>2113200</v>
      </c>
      <c r="X2168" s="266">
        <f>2980400-200000-389395+55495-469000</f>
        <v>1977500</v>
      </c>
      <c r="Y2168" s="266">
        <v>1774472.72</v>
      </c>
      <c r="Z2168" s="266">
        <f t="shared" si="1219"/>
        <v>72.36</v>
      </c>
      <c r="AA2168" s="266">
        <f t="shared" si="1220"/>
        <v>69769</v>
      </c>
      <c r="AB2168" s="266">
        <f>2522100+69</f>
        <v>2522169</v>
      </c>
      <c r="AC2168" s="266">
        <v>2034857.16</v>
      </c>
      <c r="AD2168" s="266">
        <f t="shared" si="1210"/>
        <v>80.678858553887551</v>
      </c>
      <c r="AE2168" s="266">
        <f t="shared" si="1212"/>
        <v>-21800</v>
      </c>
      <c r="AF2168" s="266">
        <v>2500369</v>
      </c>
      <c r="AG2168" s="266">
        <f>2522100+69</f>
        <v>2522169</v>
      </c>
      <c r="AH2168" s="266">
        <f>2522100+69</f>
        <v>2522169</v>
      </c>
      <c r="AI2168" s="266">
        <f>2522100+69</f>
        <v>2522169</v>
      </c>
      <c r="AJ2168" s="162" t="b">
        <f t="shared" si="1214"/>
        <v>0</v>
      </c>
      <c r="AK2168" s="162" t="str">
        <f t="shared" si="1215"/>
        <v>PUNO</v>
      </c>
      <c r="AM2168" s="164"/>
    </row>
    <row r="2169" spans="2:39" ht="15.75" x14ac:dyDescent="0.2">
      <c r="B2169" s="177"/>
      <c r="C2169" s="177"/>
      <c r="D2169" s="177"/>
      <c r="E2169" s="177">
        <v>3223</v>
      </c>
      <c r="F2169" s="265">
        <v>11</v>
      </c>
      <c r="G2169" s="176"/>
      <c r="H2169" s="29" t="s">
        <v>204</v>
      </c>
      <c r="I2169" s="18"/>
      <c r="J2169" s="178"/>
      <c r="K2169" s="178"/>
      <c r="L2169" s="178"/>
      <c r="M2169" s="178"/>
      <c r="N2169" s="178"/>
      <c r="O2169" s="178"/>
      <c r="P2169" s="26"/>
      <c r="Q2169" s="178"/>
      <c r="R2169" s="178"/>
      <c r="S2169" s="178"/>
      <c r="T2169" s="266"/>
      <c r="U2169" s="266">
        <v>559826.88</v>
      </c>
      <c r="V2169" s="266"/>
      <c r="W2169" s="266"/>
      <c r="X2169" s="266"/>
      <c r="Y2169" s="266"/>
      <c r="Z2169" s="266"/>
      <c r="AA2169" s="266"/>
      <c r="AB2169" s="266"/>
      <c r="AC2169" s="266"/>
      <c r="AD2169" s="266"/>
      <c r="AE2169" s="266"/>
      <c r="AF2169" s="266"/>
      <c r="AG2169" s="266"/>
      <c r="AH2169" s="266"/>
      <c r="AI2169" s="266"/>
      <c r="AJ2169" s="162" t="b">
        <f t="shared" si="1214"/>
        <v>0</v>
      </c>
      <c r="AK2169" s="162" t="str">
        <f t="shared" si="1215"/>
        <v>PUNO</v>
      </c>
      <c r="AM2169" s="164"/>
    </row>
    <row r="2170" spans="2:39" ht="15.75" x14ac:dyDescent="0.2">
      <c r="B2170" s="177"/>
      <c r="C2170" s="177"/>
      <c r="D2170" s="177"/>
      <c r="E2170" s="177">
        <v>3223</v>
      </c>
      <c r="F2170" s="265">
        <v>12</v>
      </c>
      <c r="G2170" s="176"/>
      <c r="H2170" s="29" t="s">
        <v>204</v>
      </c>
      <c r="I2170" s="18"/>
      <c r="J2170" s="178"/>
      <c r="K2170" s="178"/>
      <c r="L2170" s="178"/>
      <c r="M2170" s="178"/>
      <c r="N2170" s="178"/>
      <c r="O2170" s="178"/>
      <c r="P2170" s="26"/>
      <c r="Q2170" s="178"/>
      <c r="R2170" s="178"/>
      <c r="S2170" s="178"/>
      <c r="T2170" s="266"/>
      <c r="U2170" s="266"/>
      <c r="V2170" s="266"/>
      <c r="W2170" s="266"/>
      <c r="X2170" s="266"/>
      <c r="Y2170" s="266"/>
      <c r="Z2170" s="266"/>
      <c r="AA2170" s="266"/>
      <c r="AB2170" s="266"/>
      <c r="AC2170" s="266"/>
      <c r="AD2170" s="266"/>
      <c r="AE2170" s="266"/>
      <c r="AF2170" s="266"/>
      <c r="AG2170" s="266"/>
      <c r="AH2170" s="266"/>
      <c r="AI2170" s="266"/>
      <c r="AJ2170" s="162" t="b">
        <f t="shared" si="1214"/>
        <v>0</v>
      </c>
      <c r="AK2170" s="162" t="str">
        <f t="shared" si="1215"/>
        <v>PUNO</v>
      </c>
      <c r="AM2170" s="164"/>
    </row>
    <row r="2171" spans="2:39" ht="19.5" customHeight="1" x14ac:dyDescent="0.2">
      <c r="B2171" s="177"/>
      <c r="C2171" s="177"/>
      <c r="D2171" s="177"/>
      <c r="E2171" s="177">
        <v>3224</v>
      </c>
      <c r="F2171" s="265">
        <v>12</v>
      </c>
      <c r="G2171" s="176" t="s">
        <v>1040</v>
      </c>
      <c r="H2171" s="16" t="s">
        <v>853</v>
      </c>
      <c r="I2171" s="18">
        <v>172500</v>
      </c>
      <c r="J2171" s="178">
        <v>97902.14</v>
      </c>
      <c r="K2171" s="178">
        <f>ROUND(J2171/I2171*100,2)</f>
        <v>56.75</v>
      </c>
      <c r="L2171" s="178">
        <f>M2171-I2171</f>
        <v>-3181.8699999999953</v>
      </c>
      <c r="M2171" s="178">
        <v>169318.13</v>
      </c>
      <c r="N2171" s="178">
        <v>169200</v>
      </c>
      <c r="O2171" s="178">
        <v>79793.14</v>
      </c>
      <c r="P2171" s="26">
        <f t="shared" si="1227"/>
        <v>3000</v>
      </c>
      <c r="Q2171" s="178">
        <v>169200</v>
      </c>
      <c r="R2171" s="178">
        <v>169600</v>
      </c>
      <c r="S2171" s="178">
        <v>170000</v>
      </c>
      <c r="T2171" s="266">
        <v>172200</v>
      </c>
      <c r="U2171" s="266">
        <v>174105.54</v>
      </c>
      <c r="V2171" s="266">
        <v>162800</v>
      </c>
      <c r="W2171" s="266">
        <v>169200</v>
      </c>
      <c r="X2171" s="178">
        <v>174200</v>
      </c>
      <c r="Y2171" s="266">
        <v>43564.15</v>
      </c>
      <c r="Z2171" s="266">
        <f t="shared" si="1219"/>
        <v>26.76</v>
      </c>
      <c r="AA2171" s="266">
        <f t="shared" si="1220"/>
        <v>-8300</v>
      </c>
      <c r="AB2171" s="266">
        <v>154500</v>
      </c>
      <c r="AC2171" s="266">
        <v>86584.63</v>
      </c>
      <c r="AD2171" s="266">
        <f t="shared" si="1210"/>
        <v>56.041831715210357</v>
      </c>
      <c r="AE2171" s="266">
        <f t="shared" si="1212"/>
        <v>-16400</v>
      </c>
      <c r="AF2171" s="266">
        <v>138100</v>
      </c>
      <c r="AG2171" s="266">
        <v>154500</v>
      </c>
      <c r="AH2171" s="266">
        <v>154500</v>
      </c>
      <c r="AI2171" s="266">
        <v>154500</v>
      </c>
      <c r="AJ2171" s="162" t="b">
        <f t="shared" si="1214"/>
        <v>0</v>
      </c>
      <c r="AK2171" s="162" t="str">
        <f t="shared" si="1215"/>
        <v>PUNO</v>
      </c>
      <c r="AM2171" s="164"/>
    </row>
    <row r="2172" spans="2:39" ht="15.75" x14ac:dyDescent="0.2">
      <c r="B2172" s="177"/>
      <c r="C2172" s="177"/>
      <c r="D2172" s="177"/>
      <c r="E2172" s="177">
        <v>3225</v>
      </c>
      <c r="F2172" s="265">
        <v>12</v>
      </c>
      <c r="G2172" s="176" t="s">
        <v>1040</v>
      </c>
      <c r="H2172" s="16" t="s">
        <v>205</v>
      </c>
      <c r="I2172" s="18">
        <v>75000</v>
      </c>
      <c r="J2172" s="178">
        <v>53225.34</v>
      </c>
      <c r="K2172" s="178">
        <f t="shared" ref="K2172:K2213" si="1236">ROUND(J2172/I2172*100,2)</f>
        <v>70.97</v>
      </c>
      <c r="L2172" s="178">
        <f>M2172-I2172</f>
        <v>2770.8500000000058</v>
      </c>
      <c r="M2172" s="178">
        <v>77770.850000000006</v>
      </c>
      <c r="N2172" s="178">
        <v>77700</v>
      </c>
      <c r="O2172" s="178">
        <v>41603.15</v>
      </c>
      <c r="P2172" s="26">
        <f t="shared" si="1227"/>
        <v>-6300</v>
      </c>
      <c r="Q2172" s="178">
        <v>77700</v>
      </c>
      <c r="R2172" s="178">
        <v>77800</v>
      </c>
      <c r="S2172" s="178">
        <v>80000</v>
      </c>
      <c r="T2172" s="266">
        <v>71400</v>
      </c>
      <c r="U2172" s="266">
        <v>78377.8</v>
      </c>
      <c r="V2172" s="266">
        <v>66100</v>
      </c>
      <c r="W2172" s="266">
        <v>77700</v>
      </c>
      <c r="X2172" s="178">
        <v>80000</v>
      </c>
      <c r="Y2172" s="266">
        <v>37040.660000000003</v>
      </c>
      <c r="Z2172" s="266">
        <f t="shared" si="1219"/>
        <v>56.04</v>
      </c>
      <c r="AA2172" s="266">
        <f t="shared" si="1220"/>
        <v>-10400</v>
      </c>
      <c r="AB2172" s="266">
        <v>55700</v>
      </c>
      <c r="AC2172" s="266">
        <v>78810.350000000006</v>
      </c>
      <c r="AD2172" s="266">
        <f t="shared" si="1210"/>
        <v>141.49075403949732</v>
      </c>
      <c r="AE2172" s="266">
        <f t="shared" si="1212"/>
        <v>10300</v>
      </c>
      <c r="AF2172" s="266">
        <v>66000</v>
      </c>
      <c r="AG2172" s="266">
        <v>55700</v>
      </c>
      <c r="AH2172" s="266">
        <v>55700</v>
      </c>
      <c r="AI2172" s="266">
        <v>55700</v>
      </c>
      <c r="AJ2172" s="162" t="b">
        <f t="shared" si="1214"/>
        <v>0</v>
      </c>
      <c r="AK2172" s="162" t="str">
        <f t="shared" si="1215"/>
        <v>PUNO</v>
      </c>
      <c r="AM2172" s="164"/>
    </row>
    <row r="2173" spans="2:39" ht="15.75" x14ac:dyDescent="0.2">
      <c r="B2173" s="177"/>
      <c r="C2173" s="177"/>
      <c r="D2173" s="177"/>
      <c r="E2173" s="177">
        <v>3225</v>
      </c>
      <c r="F2173" s="265">
        <v>54</v>
      </c>
      <c r="G2173" s="176"/>
      <c r="H2173" s="16" t="s">
        <v>205</v>
      </c>
      <c r="I2173" s="18"/>
      <c r="J2173" s="178"/>
      <c r="K2173" s="178"/>
      <c r="L2173" s="178"/>
      <c r="M2173" s="178"/>
      <c r="N2173" s="178"/>
      <c r="O2173" s="178"/>
      <c r="P2173" s="26"/>
      <c r="Q2173" s="178"/>
      <c r="R2173" s="178"/>
      <c r="S2173" s="178"/>
      <c r="T2173" s="266"/>
      <c r="U2173" s="266"/>
      <c r="V2173" s="266">
        <v>0</v>
      </c>
      <c r="W2173" s="266"/>
      <c r="X2173" s="178"/>
      <c r="Y2173" s="266">
        <v>0</v>
      </c>
      <c r="Z2173" s="266" t="e">
        <f t="shared" si="1219"/>
        <v>#DIV/0!</v>
      </c>
      <c r="AA2173" s="266">
        <f t="shared" si="1220"/>
        <v>13400</v>
      </c>
      <c r="AB2173" s="266">
        <v>13400</v>
      </c>
      <c r="AC2173" s="266">
        <v>13400</v>
      </c>
      <c r="AD2173" s="266">
        <f t="shared" si="1210"/>
        <v>100</v>
      </c>
      <c r="AE2173" s="266">
        <f t="shared" si="1212"/>
        <v>-13400</v>
      </c>
      <c r="AF2173" s="266">
        <v>0</v>
      </c>
      <c r="AG2173" s="266">
        <v>13400</v>
      </c>
      <c r="AH2173" s="266">
        <v>13400</v>
      </c>
      <c r="AI2173" s="266">
        <v>13400</v>
      </c>
      <c r="AJ2173" s="162" t="b">
        <f t="shared" si="1214"/>
        <v>0</v>
      </c>
      <c r="AK2173" s="162" t="str">
        <f t="shared" si="1215"/>
        <v>PUNO</v>
      </c>
      <c r="AM2173" s="164"/>
    </row>
    <row r="2174" spans="2:39" ht="15.75" x14ac:dyDescent="0.2">
      <c r="B2174" s="177"/>
      <c r="C2174" s="177"/>
      <c r="D2174" s="177"/>
      <c r="E2174" s="177">
        <v>3227</v>
      </c>
      <c r="F2174" s="265">
        <v>12</v>
      </c>
      <c r="G2174" s="176"/>
      <c r="H2174" s="16" t="s">
        <v>845</v>
      </c>
      <c r="I2174" s="18">
        <v>0</v>
      </c>
      <c r="J2174" s="178">
        <v>0</v>
      </c>
      <c r="K2174" s="178" t="e">
        <f t="shared" si="1236"/>
        <v>#DIV/0!</v>
      </c>
      <c r="L2174" s="178">
        <f t="shared" ref="L2174:L2180" si="1237">M2174-I2174</f>
        <v>1253</v>
      </c>
      <c r="M2174" s="178">
        <v>1253</v>
      </c>
      <c r="N2174" s="178">
        <v>10400</v>
      </c>
      <c r="O2174" s="178">
        <v>5020.03</v>
      </c>
      <c r="P2174" s="26">
        <f t="shared" si="1227"/>
        <v>800</v>
      </c>
      <c r="Q2174" s="178">
        <v>10400</v>
      </c>
      <c r="R2174" s="178">
        <v>10400</v>
      </c>
      <c r="S2174" s="178">
        <v>10900</v>
      </c>
      <c r="T2174" s="266">
        <v>11200</v>
      </c>
      <c r="U2174" s="266">
        <v>8462.8700000000008</v>
      </c>
      <c r="V2174" s="266">
        <v>12100</v>
      </c>
      <c r="W2174" s="266">
        <v>10400</v>
      </c>
      <c r="X2174" s="178">
        <v>10700</v>
      </c>
      <c r="Y2174" s="266">
        <v>2840.5</v>
      </c>
      <c r="Z2174" s="266">
        <f t="shared" si="1219"/>
        <v>23.48</v>
      </c>
      <c r="AA2174" s="266">
        <f t="shared" si="1220"/>
        <v>-1300</v>
      </c>
      <c r="AB2174" s="266">
        <v>10800</v>
      </c>
      <c r="AC2174" s="266">
        <v>2880.75</v>
      </c>
      <c r="AD2174" s="266">
        <f t="shared" si="1210"/>
        <v>26.673611111111111</v>
      </c>
      <c r="AE2174" s="266">
        <f t="shared" si="1212"/>
        <v>-3500</v>
      </c>
      <c r="AF2174" s="266">
        <v>7300</v>
      </c>
      <c r="AG2174" s="266">
        <v>4800</v>
      </c>
      <c r="AH2174" s="266">
        <v>4800</v>
      </c>
      <c r="AI2174" s="266">
        <v>4800</v>
      </c>
      <c r="AJ2174" s="162" t="b">
        <f t="shared" si="1214"/>
        <v>0</v>
      </c>
      <c r="AK2174" s="162" t="str">
        <f t="shared" si="1215"/>
        <v>PUNO</v>
      </c>
      <c r="AM2174" s="164"/>
    </row>
    <row r="2175" spans="2:39" ht="15.75" x14ac:dyDescent="0.2">
      <c r="B2175" s="177"/>
      <c r="C2175" s="177"/>
      <c r="D2175" s="177">
        <v>323</v>
      </c>
      <c r="E2175" s="177"/>
      <c r="F2175" s="177"/>
      <c r="G2175" s="177"/>
      <c r="H2175" s="16" t="s">
        <v>526</v>
      </c>
      <c r="I2175" s="17">
        <f>SUM(I2176:I2188)</f>
        <v>1850200</v>
      </c>
      <c r="J2175" s="17">
        <f>SUM(J2176:J2188)</f>
        <v>1412148.5100000002</v>
      </c>
      <c r="K2175" s="17">
        <f t="shared" si="1236"/>
        <v>76.319999999999993</v>
      </c>
      <c r="L2175" s="17">
        <f t="shared" si="1237"/>
        <v>211202.34999999986</v>
      </c>
      <c r="M2175" s="17">
        <f>SUM(M2176:M2188)</f>
        <v>2061402.3499999999</v>
      </c>
      <c r="N2175" s="17">
        <f>SUM(N2176:N2188)</f>
        <v>1752000</v>
      </c>
      <c r="O2175" s="17">
        <f>SUM(O2176:O2188)</f>
        <v>1154673.0899999999</v>
      </c>
      <c r="P2175" s="26">
        <f t="shared" si="1227"/>
        <v>-26600</v>
      </c>
      <c r="Q2175" s="17">
        <f t="shared" ref="Q2175:X2175" si="1238">SUM(Q2176:Q2188)</f>
        <v>1752000</v>
      </c>
      <c r="R2175" s="17">
        <f t="shared" si="1238"/>
        <v>1788200</v>
      </c>
      <c r="S2175" s="17">
        <f t="shared" si="1238"/>
        <v>1807500</v>
      </c>
      <c r="T2175" s="26">
        <f t="shared" si="1238"/>
        <v>1725400</v>
      </c>
      <c r="U2175" s="26">
        <f>SUM(U2176:U2188)</f>
        <v>8528356.870000001</v>
      </c>
      <c r="V2175" s="181">
        <f t="shared" si="1238"/>
        <v>1580000</v>
      </c>
      <c r="W2175" s="181">
        <f t="shared" si="1238"/>
        <v>1561900</v>
      </c>
      <c r="X2175" s="181">
        <f t="shared" si="1238"/>
        <v>1654000</v>
      </c>
      <c r="Y2175" s="181">
        <f>SUM(Y2176:Y2188)</f>
        <v>626665.76</v>
      </c>
      <c r="Z2175" s="181">
        <f t="shared" si="1219"/>
        <v>39.659999999999997</v>
      </c>
      <c r="AA2175" s="181">
        <f t="shared" si="1220"/>
        <v>30400</v>
      </c>
      <c r="AB2175" s="181">
        <f>SUM(AB2176:AB2188)</f>
        <v>1610400</v>
      </c>
      <c r="AC2175" s="181">
        <f>SUM(AC2176:AC2188)</f>
        <v>1127834.8400000001</v>
      </c>
      <c r="AD2175" s="181">
        <f t="shared" si="1210"/>
        <v>70.034453551912577</v>
      </c>
      <c r="AE2175" s="181">
        <f t="shared" si="1212"/>
        <v>23500</v>
      </c>
      <c r="AF2175" s="181">
        <f>SUM(AF2176:AF2188)</f>
        <v>1633900</v>
      </c>
      <c r="AG2175" s="181">
        <f>SUM(AG2176:AG2188)</f>
        <v>1567430</v>
      </c>
      <c r="AH2175" s="181">
        <f>SUM(AH2176:AH2188)</f>
        <v>1567430</v>
      </c>
      <c r="AI2175" s="181">
        <f>SUM(AI2176:AI2188)</f>
        <v>1567430</v>
      </c>
      <c r="AJ2175" s="162" t="b">
        <f t="shared" si="1214"/>
        <v>1</v>
      </c>
      <c r="AK2175" s="162" t="str">
        <f t="shared" si="1215"/>
        <v>PRAZNO</v>
      </c>
      <c r="AM2175" s="164"/>
    </row>
    <row r="2176" spans="2:39" ht="15.75" x14ac:dyDescent="0.2">
      <c r="B2176" s="177"/>
      <c r="C2176" s="177"/>
      <c r="D2176" s="177"/>
      <c r="E2176" s="177">
        <v>3231</v>
      </c>
      <c r="F2176" s="265">
        <v>12</v>
      </c>
      <c r="G2176" s="176" t="s">
        <v>1040</v>
      </c>
      <c r="H2176" s="16" t="s">
        <v>475</v>
      </c>
      <c r="I2176" s="18">
        <v>275400</v>
      </c>
      <c r="J2176" s="178">
        <v>185022.35</v>
      </c>
      <c r="K2176" s="178">
        <f t="shared" si="1236"/>
        <v>67.180000000000007</v>
      </c>
      <c r="L2176" s="178">
        <f t="shared" si="1237"/>
        <v>-13833.690000000002</v>
      </c>
      <c r="M2176" s="178">
        <v>261566.31</v>
      </c>
      <c r="N2176" s="178">
        <v>235000</v>
      </c>
      <c r="O2176" s="178">
        <v>150647.96</v>
      </c>
      <c r="P2176" s="26">
        <f t="shared" si="1227"/>
        <v>-4900</v>
      </c>
      <c r="Q2176" s="178">
        <v>235000</v>
      </c>
      <c r="R2176" s="178">
        <v>248700</v>
      </c>
      <c r="S2176" s="178">
        <v>250000</v>
      </c>
      <c r="T2176" s="266">
        <v>230100</v>
      </c>
      <c r="U2176" s="266">
        <v>242938.01</v>
      </c>
      <c r="V2176" s="266">
        <v>217100</v>
      </c>
      <c r="W2176" s="266">
        <v>235000</v>
      </c>
      <c r="X2176" s="178">
        <v>242000</v>
      </c>
      <c r="Y2176" s="266">
        <v>89344.17</v>
      </c>
      <c r="Z2176" s="266">
        <f t="shared" si="1219"/>
        <v>41.15</v>
      </c>
      <c r="AA2176" s="266">
        <f t="shared" si="1220"/>
        <v>-1200</v>
      </c>
      <c r="AB2176" s="266">
        <v>215900</v>
      </c>
      <c r="AC2176" s="266">
        <v>157553.04</v>
      </c>
      <c r="AD2176" s="266">
        <f t="shared" si="1210"/>
        <v>72.975006947660958</v>
      </c>
      <c r="AE2176" s="266">
        <f t="shared" si="1212"/>
        <v>-500</v>
      </c>
      <c r="AF2176" s="266">
        <v>215400</v>
      </c>
      <c r="AG2176" s="266">
        <v>210900</v>
      </c>
      <c r="AH2176" s="266">
        <v>210900</v>
      </c>
      <c r="AI2176" s="266">
        <v>210900</v>
      </c>
      <c r="AJ2176" s="162" t="b">
        <f t="shared" si="1214"/>
        <v>0</v>
      </c>
      <c r="AK2176" s="162" t="str">
        <f t="shared" si="1215"/>
        <v>PUNO</v>
      </c>
      <c r="AM2176" s="164"/>
    </row>
    <row r="2177" spans="2:39" ht="15.75" x14ac:dyDescent="0.2">
      <c r="B2177" s="177"/>
      <c r="C2177" s="177"/>
      <c r="D2177" s="177"/>
      <c r="E2177" s="177">
        <v>3232</v>
      </c>
      <c r="F2177" s="265">
        <v>54</v>
      </c>
      <c r="G2177" s="176" t="s">
        <v>1040</v>
      </c>
      <c r="H2177" s="16" t="s">
        <v>207</v>
      </c>
      <c r="I2177" s="18">
        <v>578000</v>
      </c>
      <c r="J2177" s="18">
        <v>564503.93999999994</v>
      </c>
      <c r="K2177" s="18">
        <f t="shared" si="1236"/>
        <v>97.67</v>
      </c>
      <c r="L2177" s="18">
        <f t="shared" si="1237"/>
        <v>209551.77000000002</v>
      </c>
      <c r="M2177" s="18">
        <v>787551.77</v>
      </c>
      <c r="N2177" s="18">
        <v>560300</v>
      </c>
      <c r="O2177" s="18">
        <v>288481.77</v>
      </c>
      <c r="P2177" s="26">
        <f t="shared" si="1227"/>
        <v>-53900</v>
      </c>
      <c r="Q2177" s="18">
        <v>560300</v>
      </c>
      <c r="R2177" s="18">
        <v>569000</v>
      </c>
      <c r="S2177" s="18">
        <v>570000</v>
      </c>
      <c r="T2177" s="27">
        <v>506400</v>
      </c>
      <c r="U2177" s="27">
        <v>534979.75</v>
      </c>
      <c r="V2177" s="266">
        <v>498200</v>
      </c>
      <c r="W2177" s="266">
        <v>500000</v>
      </c>
      <c r="X2177" s="178">
        <v>578000</v>
      </c>
      <c r="Y2177" s="266">
        <v>122414.54</v>
      </c>
      <c r="Z2177" s="266">
        <f t="shared" si="1219"/>
        <v>24.57</v>
      </c>
      <c r="AA2177" s="266">
        <f t="shared" si="1220"/>
        <v>33000</v>
      </c>
      <c r="AB2177" s="266">
        <v>531200</v>
      </c>
      <c r="AC2177" s="266">
        <v>335685.9</v>
      </c>
      <c r="AD2177" s="266">
        <f t="shared" si="1210"/>
        <v>63.193881777108437</v>
      </c>
      <c r="AE2177" s="266">
        <f t="shared" si="1212"/>
        <v>-1800</v>
      </c>
      <c r="AF2177" s="266">
        <v>529400</v>
      </c>
      <c r="AG2177" s="266">
        <v>513030</v>
      </c>
      <c r="AH2177" s="266">
        <v>513030</v>
      </c>
      <c r="AI2177" s="266">
        <v>513030</v>
      </c>
      <c r="AJ2177" s="162" t="b">
        <f t="shared" si="1214"/>
        <v>0</v>
      </c>
      <c r="AK2177" s="162" t="str">
        <f t="shared" si="1215"/>
        <v>PUNO</v>
      </c>
      <c r="AM2177" s="164"/>
    </row>
    <row r="2178" spans="2:39" ht="15.75" x14ac:dyDescent="0.2">
      <c r="B2178" s="177"/>
      <c r="C2178" s="177"/>
      <c r="D2178" s="177"/>
      <c r="E2178" s="177">
        <v>3233</v>
      </c>
      <c r="F2178" s="265">
        <v>54</v>
      </c>
      <c r="G2178" s="176" t="s">
        <v>1040</v>
      </c>
      <c r="H2178" s="16" t="s">
        <v>528</v>
      </c>
      <c r="I2178" s="18">
        <v>11700</v>
      </c>
      <c r="J2178" s="18">
        <v>5200</v>
      </c>
      <c r="K2178" s="18">
        <f t="shared" si="1236"/>
        <v>44.44</v>
      </c>
      <c r="L2178" s="18">
        <f t="shared" si="1237"/>
        <v>-5060</v>
      </c>
      <c r="M2178" s="18">
        <v>6640</v>
      </c>
      <c r="N2178" s="18">
        <v>6900</v>
      </c>
      <c r="O2178" s="18">
        <v>4000</v>
      </c>
      <c r="P2178" s="26">
        <f t="shared" si="1227"/>
        <v>-100</v>
      </c>
      <c r="Q2178" s="18">
        <v>6900</v>
      </c>
      <c r="R2178" s="18">
        <v>7000</v>
      </c>
      <c r="S2178" s="18">
        <v>7000</v>
      </c>
      <c r="T2178" s="27">
        <v>6800</v>
      </c>
      <c r="U2178" s="27">
        <v>5857.5</v>
      </c>
      <c r="V2178" s="266">
        <v>5700</v>
      </c>
      <c r="W2178" s="266">
        <v>6900</v>
      </c>
      <c r="X2178" s="178">
        <v>7100</v>
      </c>
      <c r="Y2178" s="266">
        <v>2400</v>
      </c>
      <c r="Z2178" s="266">
        <f t="shared" si="1219"/>
        <v>42.11</v>
      </c>
      <c r="AA2178" s="266">
        <f t="shared" si="1220"/>
        <v>0</v>
      </c>
      <c r="AB2178" s="266">
        <v>5700</v>
      </c>
      <c r="AC2178" s="266">
        <v>4160</v>
      </c>
      <c r="AD2178" s="266">
        <f t="shared" ref="AD2178:AD2259" si="1239">AC2178/AB2178*100</f>
        <v>72.982456140350877</v>
      </c>
      <c r="AE2178" s="266">
        <f t="shared" si="1212"/>
        <v>-100</v>
      </c>
      <c r="AF2178" s="266">
        <v>5600</v>
      </c>
      <c r="AG2178" s="266">
        <v>5500</v>
      </c>
      <c r="AH2178" s="266">
        <v>5500</v>
      </c>
      <c r="AI2178" s="266">
        <v>5500</v>
      </c>
      <c r="AJ2178" s="162" t="b">
        <f t="shared" si="1214"/>
        <v>0</v>
      </c>
      <c r="AK2178" s="162" t="str">
        <f t="shared" si="1215"/>
        <v>PUNO</v>
      </c>
      <c r="AM2178" s="164"/>
    </row>
    <row r="2179" spans="2:39" ht="15.75" x14ac:dyDescent="0.2">
      <c r="B2179" s="177"/>
      <c r="C2179" s="177"/>
      <c r="D2179" s="177"/>
      <c r="E2179" s="177">
        <v>3234</v>
      </c>
      <c r="F2179" s="265">
        <v>11</v>
      </c>
      <c r="G2179" s="176" t="s">
        <v>1040</v>
      </c>
      <c r="H2179" s="16" t="s">
        <v>238</v>
      </c>
      <c r="I2179" s="18"/>
      <c r="J2179" s="18"/>
      <c r="K2179" s="18"/>
      <c r="L2179" s="18"/>
      <c r="M2179" s="18"/>
      <c r="N2179" s="18"/>
      <c r="O2179" s="18"/>
      <c r="P2179" s="26"/>
      <c r="Q2179" s="18"/>
      <c r="R2179" s="18"/>
      <c r="S2179" s="18"/>
      <c r="T2179" s="27"/>
      <c r="U2179" s="27">
        <v>184822.88</v>
      </c>
      <c r="V2179" s="266"/>
      <c r="W2179" s="266"/>
      <c r="X2179" s="178"/>
      <c r="Y2179" s="266"/>
      <c r="Z2179" s="266"/>
      <c r="AA2179" s="266"/>
      <c r="AB2179" s="266"/>
      <c r="AC2179" s="266"/>
      <c r="AD2179" s="266"/>
      <c r="AE2179" s="266"/>
      <c r="AF2179" s="266"/>
      <c r="AG2179" s="266"/>
      <c r="AH2179" s="266"/>
      <c r="AI2179" s="266"/>
      <c r="AJ2179" s="162" t="b">
        <f t="shared" si="1214"/>
        <v>0</v>
      </c>
      <c r="AK2179" s="162" t="str">
        <f t="shared" si="1215"/>
        <v>PUNO</v>
      </c>
      <c r="AM2179" s="164"/>
    </row>
    <row r="2180" spans="2:39" ht="15.75" x14ac:dyDescent="0.2">
      <c r="B2180" s="177"/>
      <c r="C2180" s="177"/>
      <c r="D2180" s="177"/>
      <c r="E2180" s="177">
        <v>3234</v>
      </c>
      <c r="F2180" s="265">
        <v>54</v>
      </c>
      <c r="G2180" s="176" t="s">
        <v>1040</v>
      </c>
      <c r="H2180" s="16" t="s">
        <v>238</v>
      </c>
      <c r="I2180" s="18">
        <v>726200</v>
      </c>
      <c r="J2180" s="178">
        <v>527915.06000000006</v>
      </c>
      <c r="K2180" s="178">
        <f t="shared" si="1236"/>
        <v>72.7</v>
      </c>
      <c r="L2180" s="178">
        <f t="shared" si="1237"/>
        <v>52998.420000000042</v>
      </c>
      <c r="M2180" s="178">
        <v>779198.42</v>
      </c>
      <c r="N2180" s="178">
        <v>709000</v>
      </c>
      <c r="O2180" s="178">
        <v>564592.44999999995</v>
      </c>
      <c r="P2180" s="26">
        <f t="shared" si="1227"/>
        <v>30100</v>
      </c>
      <c r="Q2180" s="178">
        <v>709000</v>
      </c>
      <c r="R2180" s="178">
        <v>722000</v>
      </c>
      <c r="S2180" s="178">
        <v>735000</v>
      </c>
      <c r="T2180" s="266">
        <v>739100</v>
      </c>
      <c r="U2180" s="266">
        <v>717069.61</v>
      </c>
      <c r="V2180" s="266">
        <v>649000</v>
      </c>
      <c r="W2180" s="266">
        <f>709000-100000</f>
        <v>609000</v>
      </c>
      <c r="X2180" s="266">
        <f>709000-100000</f>
        <v>609000</v>
      </c>
      <c r="Y2180" s="266">
        <v>320319.27</v>
      </c>
      <c r="Z2180" s="266">
        <f t="shared" si="1219"/>
        <v>49.36</v>
      </c>
      <c r="AA2180" s="266">
        <f t="shared" si="1220"/>
        <v>5700</v>
      </c>
      <c r="AB2180" s="266">
        <v>654700</v>
      </c>
      <c r="AC2180" s="266">
        <v>496951.7</v>
      </c>
      <c r="AD2180" s="266">
        <f t="shared" si="1239"/>
        <v>75.905254314953424</v>
      </c>
      <c r="AE2180" s="266">
        <f t="shared" ref="AE2180:AE2230" si="1240">AF2180-AB2180</f>
        <v>19800</v>
      </c>
      <c r="AF2180" s="266">
        <v>674500</v>
      </c>
      <c r="AG2180" s="266">
        <v>654700</v>
      </c>
      <c r="AH2180" s="266">
        <v>654700</v>
      </c>
      <c r="AI2180" s="266">
        <v>654700</v>
      </c>
      <c r="AJ2180" s="162" t="b">
        <f t="shared" si="1214"/>
        <v>0</v>
      </c>
      <c r="AK2180" s="162" t="str">
        <f t="shared" si="1215"/>
        <v>PUNO</v>
      </c>
      <c r="AM2180" s="164"/>
    </row>
    <row r="2181" spans="2:39" ht="15.75" x14ac:dyDescent="0.2">
      <c r="B2181" s="177"/>
      <c r="C2181" s="177"/>
      <c r="D2181" s="177"/>
      <c r="E2181" s="177">
        <v>3235</v>
      </c>
      <c r="F2181" s="265">
        <v>11</v>
      </c>
      <c r="G2181" s="176"/>
      <c r="H2181" s="16" t="s">
        <v>640</v>
      </c>
      <c r="I2181" s="18"/>
      <c r="J2181" s="178"/>
      <c r="K2181" s="178"/>
      <c r="L2181" s="178"/>
      <c r="M2181" s="178"/>
      <c r="N2181" s="178"/>
      <c r="O2181" s="178"/>
      <c r="P2181" s="26"/>
      <c r="Q2181" s="178"/>
      <c r="R2181" s="178"/>
      <c r="S2181" s="178"/>
      <c r="T2181" s="266"/>
      <c r="U2181" s="266">
        <v>2751011.34</v>
      </c>
      <c r="V2181" s="266"/>
      <c r="W2181" s="266"/>
      <c r="X2181" s="266"/>
      <c r="Y2181" s="266"/>
      <c r="Z2181" s="266"/>
      <c r="AA2181" s="266"/>
      <c r="AB2181" s="266"/>
      <c r="AC2181" s="266"/>
      <c r="AD2181" s="266"/>
      <c r="AE2181" s="266"/>
      <c r="AF2181" s="266"/>
      <c r="AG2181" s="266"/>
      <c r="AH2181" s="266"/>
      <c r="AI2181" s="266"/>
      <c r="AJ2181" s="162" t="b">
        <f t="shared" si="1214"/>
        <v>0</v>
      </c>
      <c r="AK2181" s="162" t="str">
        <f t="shared" si="1215"/>
        <v>PUNO</v>
      </c>
      <c r="AM2181" s="164"/>
    </row>
    <row r="2182" spans="2:39" ht="15.75" x14ac:dyDescent="0.2">
      <c r="B2182" s="177"/>
      <c r="C2182" s="177"/>
      <c r="D2182" s="177"/>
      <c r="E2182" s="177">
        <v>3235</v>
      </c>
      <c r="F2182" s="265">
        <v>14</v>
      </c>
      <c r="G2182" s="176"/>
      <c r="H2182" s="16" t="s">
        <v>640</v>
      </c>
      <c r="I2182" s="18"/>
      <c r="J2182" s="178"/>
      <c r="K2182" s="178"/>
      <c r="L2182" s="178"/>
      <c r="M2182" s="178"/>
      <c r="N2182" s="178"/>
      <c r="O2182" s="178"/>
      <c r="P2182" s="26"/>
      <c r="Q2182" s="178"/>
      <c r="R2182" s="178"/>
      <c r="S2182" s="178"/>
      <c r="T2182" s="266"/>
      <c r="U2182" s="266">
        <v>3844859.12</v>
      </c>
      <c r="V2182" s="266"/>
      <c r="W2182" s="266"/>
      <c r="X2182" s="266"/>
      <c r="Y2182" s="266"/>
      <c r="Z2182" s="266"/>
      <c r="AA2182" s="266"/>
      <c r="AB2182" s="266"/>
      <c r="AC2182" s="266"/>
      <c r="AD2182" s="266"/>
      <c r="AE2182" s="266"/>
      <c r="AF2182" s="266"/>
      <c r="AG2182" s="266"/>
      <c r="AH2182" s="266"/>
      <c r="AI2182" s="266"/>
      <c r="AJ2182" s="162" t="b">
        <f t="shared" si="1214"/>
        <v>0</v>
      </c>
      <c r="AK2182" s="162" t="str">
        <f t="shared" si="1215"/>
        <v>PUNO</v>
      </c>
      <c r="AM2182" s="164"/>
    </row>
    <row r="2183" spans="2:39" ht="14.25" customHeight="1" x14ac:dyDescent="0.2">
      <c r="B2183" s="177"/>
      <c r="C2183" s="177"/>
      <c r="D2183" s="177"/>
      <c r="E2183" s="177">
        <v>3235</v>
      </c>
      <c r="F2183" s="265">
        <v>12</v>
      </c>
      <c r="G2183" s="176"/>
      <c r="H2183" s="16" t="s">
        <v>640</v>
      </c>
      <c r="I2183" s="178"/>
      <c r="J2183" s="178"/>
      <c r="K2183" s="178"/>
      <c r="L2183" s="178"/>
      <c r="M2183" s="178"/>
      <c r="N2183" s="178">
        <v>0</v>
      </c>
      <c r="O2183" s="178">
        <v>4000</v>
      </c>
      <c r="P2183" s="26">
        <f t="shared" si="1227"/>
        <v>4000</v>
      </c>
      <c r="Q2183" s="178"/>
      <c r="R2183" s="178"/>
      <c r="S2183" s="178"/>
      <c r="T2183" s="266">
        <v>4000</v>
      </c>
      <c r="U2183" s="266">
        <v>4000</v>
      </c>
      <c r="V2183" s="266">
        <v>0</v>
      </c>
      <c r="W2183" s="266">
        <v>0</v>
      </c>
      <c r="X2183" s="266">
        <v>0</v>
      </c>
      <c r="Y2183" s="266"/>
      <c r="Z2183" s="266" t="e">
        <f t="shared" si="1219"/>
        <v>#DIV/0!</v>
      </c>
      <c r="AA2183" s="266">
        <f t="shared" si="1220"/>
        <v>0</v>
      </c>
      <c r="AB2183" s="266">
        <v>0</v>
      </c>
      <c r="AC2183" s="266"/>
      <c r="AD2183" s="266"/>
      <c r="AE2183" s="266">
        <f t="shared" si="1240"/>
        <v>0</v>
      </c>
      <c r="AF2183" s="266">
        <v>0</v>
      </c>
      <c r="AG2183" s="266">
        <v>0</v>
      </c>
      <c r="AH2183" s="266">
        <v>0</v>
      </c>
      <c r="AI2183" s="266">
        <v>0</v>
      </c>
      <c r="AJ2183" s="162" t="b">
        <f t="shared" si="1214"/>
        <v>0</v>
      </c>
      <c r="AK2183" s="162" t="str">
        <f t="shared" si="1215"/>
        <v>PUNO</v>
      </c>
      <c r="AM2183" s="164"/>
    </row>
    <row r="2184" spans="2:39" ht="14.25" customHeight="1" x14ac:dyDescent="0.2">
      <c r="B2184" s="177"/>
      <c r="C2184" s="177"/>
      <c r="D2184" s="177"/>
      <c r="E2184" s="177">
        <v>3235</v>
      </c>
      <c r="F2184" s="265">
        <v>54</v>
      </c>
      <c r="G2184" s="176"/>
      <c r="H2184" s="16" t="s">
        <v>640</v>
      </c>
      <c r="I2184" s="178"/>
      <c r="J2184" s="178"/>
      <c r="K2184" s="178"/>
      <c r="L2184" s="178"/>
      <c r="M2184" s="178"/>
      <c r="N2184" s="178"/>
      <c r="O2184" s="178"/>
      <c r="P2184" s="26"/>
      <c r="Q2184" s="178"/>
      <c r="R2184" s="178"/>
      <c r="S2184" s="178"/>
      <c r="T2184" s="266"/>
      <c r="U2184" s="266"/>
      <c r="V2184" s="266">
        <v>0</v>
      </c>
      <c r="W2184" s="266"/>
      <c r="X2184" s="266"/>
      <c r="Y2184" s="266">
        <v>0</v>
      </c>
      <c r="Z2184" s="266"/>
      <c r="AA2184" s="266">
        <f t="shared" si="1220"/>
        <v>4000</v>
      </c>
      <c r="AB2184" s="266">
        <v>4000</v>
      </c>
      <c r="AC2184" s="266">
        <v>0</v>
      </c>
      <c r="AD2184" s="266">
        <f t="shared" si="1239"/>
        <v>0</v>
      </c>
      <c r="AE2184" s="266">
        <f t="shared" si="1240"/>
        <v>0</v>
      </c>
      <c r="AF2184" s="266">
        <v>4000</v>
      </c>
      <c r="AG2184" s="266">
        <v>4000</v>
      </c>
      <c r="AH2184" s="266">
        <v>4000</v>
      </c>
      <c r="AI2184" s="266">
        <v>4000</v>
      </c>
      <c r="AJ2184" s="162" t="b">
        <f t="shared" si="1214"/>
        <v>0</v>
      </c>
      <c r="AK2184" s="162" t="str">
        <f t="shared" si="1215"/>
        <v>PUNO</v>
      </c>
      <c r="AM2184" s="164"/>
    </row>
    <row r="2185" spans="2:39" ht="15.75" x14ac:dyDescent="0.2">
      <c r="B2185" s="177"/>
      <c r="C2185" s="177"/>
      <c r="D2185" s="177"/>
      <c r="E2185" s="177">
        <v>3236</v>
      </c>
      <c r="F2185" s="176">
        <v>12</v>
      </c>
      <c r="G2185" s="176" t="s">
        <v>1040</v>
      </c>
      <c r="H2185" s="16" t="s">
        <v>843</v>
      </c>
      <c r="I2185" s="18">
        <v>77400</v>
      </c>
      <c r="J2185" s="18">
        <v>18058.080000000002</v>
      </c>
      <c r="K2185" s="18">
        <f t="shared" si="1236"/>
        <v>23.33</v>
      </c>
      <c r="L2185" s="18">
        <f t="shared" ref="L2185:L2191" si="1241">M2185-I2185</f>
        <v>-14156.720000000001</v>
      </c>
      <c r="M2185" s="18">
        <v>63243.28</v>
      </c>
      <c r="N2185" s="18">
        <v>63800</v>
      </c>
      <c r="O2185" s="18">
        <v>15900.64</v>
      </c>
      <c r="P2185" s="26">
        <f t="shared" si="1227"/>
        <v>-9500</v>
      </c>
      <c r="Q2185" s="18">
        <v>63800</v>
      </c>
      <c r="R2185" s="18">
        <v>64000</v>
      </c>
      <c r="S2185" s="18">
        <v>65000</v>
      </c>
      <c r="T2185" s="27">
        <v>54300</v>
      </c>
      <c r="U2185" s="27">
        <v>65228.84</v>
      </c>
      <c r="V2185" s="266">
        <v>51800</v>
      </c>
      <c r="W2185" s="266">
        <v>54000</v>
      </c>
      <c r="X2185" s="178">
        <v>55700</v>
      </c>
      <c r="Y2185" s="266">
        <v>25099.279999999999</v>
      </c>
      <c r="Z2185" s="266">
        <f t="shared" si="1219"/>
        <v>48.45</v>
      </c>
      <c r="AA2185" s="266">
        <f t="shared" si="1220"/>
        <v>7500</v>
      </c>
      <c r="AB2185" s="266">
        <v>59300</v>
      </c>
      <c r="AC2185" s="266">
        <v>29543.68</v>
      </c>
      <c r="AD2185" s="266">
        <f t="shared" si="1239"/>
        <v>49.820708263069143</v>
      </c>
      <c r="AE2185" s="266">
        <f t="shared" si="1240"/>
        <v>-1400</v>
      </c>
      <c r="AF2185" s="266">
        <v>57900</v>
      </c>
      <c r="AG2185" s="266">
        <v>40300</v>
      </c>
      <c r="AH2185" s="266">
        <v>40300</v>
      </c>
      <c r="AI2185" s="266">
        <v>40300</v>
      </c>
      <c r="AJ2185" s="162" t="b">
        <f t="shared" ref="AJ2185:AJ2248" si="1242">ISBLANK(E2185)</f>
        <v>0</v>
      </c>
      <c r="AK2185" s="162" t="str">
        <f t="shared" ref="AK2185:AK2248" si="1243">IF(AJ2185,"PRAZNO","PUNO")</f>
        <v>PUNO</v>
      </c>
      <c r="AM2185" s="164"/>
    </row>
    <row r="2186" spans="2:39" ht="15.75" x14ac:dyDescent="0.2">
      <c r="B2186" s="177"/>
      <c r="C2186" s="177"/>
      <c r="D2186" s="177"/>
      <c r="E2186" s="177">
        <v>3237</v>
      </c>
      <c r="F2186" s="176">
        <v>54</v>
      </c>
      <c r="G2186" s="176" t="s">
        <v>1040</v>
      </c>
      <c r="H2186" s="16" t="s">
        <v>566</v>
      </c>
      <c r="I2186" s="18">
        <v>10000</v>
      </c>
      <c r="J2186" s="18">
        <v>1410.2</v>
      </c>
      <c r="K2186" s="18">
        <f t="shared" si="1236"/>
        <v>14.1</v>
      </c>
      <c r="L2186" s="18">
        <f t="shared" si="1241"/>
        <v>-7359.8</v>
      </c>
      <c r="M2186" s="18">
        <v>2640.2</v>
      </c>
      <c r="N2186" s="18">
        <v>5400</v>
      </c>
      <c r="O2186" s="18">
        <v>1875</v>
      </c>
      <c r="P2186" s="26">
        <f t="shared" si="1227"/>
        <v>2900</v>
      </c>
      <c r="Q2186" s="18">
        <v>5400</v>
      </c>
      <c r="R2186" s="18">
        <v>5500</v>
      </c>
      <c r="S2186" s="18">
        <v>5500</v>
      </c>
      <c r="T2186" s="27">
        <v>8300</v>
      </c>
      <c r="U2186" s="27">
        <v>2500</v>
      </c>
      <c r="V2186" s="266">
        <v>6600</v>
      </c>
      <c r="W2186" s="266">
        <v>5400</v>
      </c>
      <c r="X2186" s="178">
        <v>5500</v>
      </c>
      <c r="Y2186" s="266">
        <v>0</v>
      </c>
      <c r="Z2186" s="266">
        <f t="shared" si="1219"/>
        <v>0</v>
      </c>
      <c r="AA2186" s="266">
        <f t="shared" si="1220"/>
        <v>0</v>
      </c>
      <c r="AB2186" s="266">
        <v>6600</v>
      </c>
      <c r="AC2186" s="266">
        <v>4500</v>
      </c>
      <c r="AD2186" s="266">
        <f t="shared" si="1239"/>
        <v>68.181818181818173</v>
      </c>
      <c r="AE2186" s="266">
        <f t="shared" si="1240"/>
        <v>7000</v>
      </c>
      <c r="AF2186" s="266">
        <v>13600</v>
      </c>
      <c r="AG2186" s="266">
        <v>6000</v>
      </c>
      <c r="AH2186" s="266">
        <v>6000</v>
      </c>
      <c r="AI2186" s="266">
        <v>6000</v>
      </c>
      <c r="AJ2186" s="162" t="b">
        <f t="shared" si="1242"/>
        <v>0</v>
      </c>
      <c r="AK2186" s="162" t="str">
        <f t="shared" si="1243"/>
        <v>PUNO</v>
      </c>
      <c r="AM2186" s="164"/>
    </row>
    <row r="2187" spans="2:39" ht="15.75" x14ac:dyDescent="0.2">
      <c r="B2187" s="177"/>
      <c r="C2187" s="177"/>
      <c r="D2187" s="177"/>
      <c r="E2187" s="177">
        <v>3238</v>
      </c>
      <c r="F2187" s="176">
        <v>54</v>
      </c>
      <c r="G2187" s="176" t="s">
        <v>1040</v>
      </c>
      <c r="H2187" s="16" t="s">
        <v>398</v>
      </c>
      <c r="I2187" s="18">
        <v>55000</v>
      </c>
      <c r="J2187" s="178">
        <v>29158.05</v>
      </c>
      <c r="K2187" s="178">
        <f t="shared" si="1236"/>
        <v>53.01</v>
      </c>
      <c r="L2187" s="178">
        <f t="shared" si="1241"/>
        <v>-1430.8399999999965</v>
      </c>
      <c r="M2187" s="178">
        <v>53569.16</v>
      </c>
      <c r="N2187" s="178">
        <v>45700</v>
      </c>
      <c r="O2187" s="178">
        <v>33016.81</v>
      </c>
      <c r="P2187" s="26">
        <f t="shared" si="1227"/>
        <v>5200</v>
      </c>
      <c r="Q2187" s="178">
        <v>45700</v>
      </c>
      <c r="R2187" s="178">
        <v>46000</v>
      </c>
      <c r="S2187" s="178">
        <v>47000</v>
      </c>
      <c r="T2187" s="266">
        <v>50900</v>
      </c>
      <c r="U2187" s="266">
        <v>49596.1</v>
      </c>
      <c r="V2187" s="266">
        <v>45700</v>
      </c>
      <c r="W2187" s="266">
        <v>45700</v>
      </c>
      <c r="X2187" s="178">
        <v>47000</v>
      </c>
      <c r="Y2187" s="266">
        <v>15190.11</v>
      </c>
      <c r="Z2187" s="266">
        <f t="shared" si="1219"/>
        <v>33.24</v>
      </c>
      <c r="AA2187" s="266">
        <f t="shared" si="1220"/>
        <v>-2200</v>
      </c>
      <c r="AB2187" s="266">
        <v>43500</v>
      </c>
      <c r="AC2187" s="266">
        <v>28006.6</v>
      </c>
      <c r="AD2187" s="266">
        <f t="shared" si="1239"/>
        <v>64.382988505747122</v>
      </c>
      <c r="AE2187" s="266">
        <f t="shared" si="1240"/>
        <v>-4500</v>
      </c>
      <c r="AF2187" s="266">
        <v>39000</v>
      </c>
      <c r="AG2187" s="266">
        <v>43500</v>
      </c>
      <c r="AH2187" s="266">
        <v>43500</v>
      </c>
      <c r="AI2187" s="266">
        <v>43500</v>
      </c>
      <c r="AJ2187" s="162" t="b">
        <f t="shared" si="1242"/>
        <v>0</v>
      </c>
      <c r="AK2187" s="162" t="str">
        <f t="shared" si="1243"/>
        <v>PUNO</v>
      </c>
      <c r="AM2187" s="164"/>
    </row>
    <row r="2188" spans="2:39" ht="15.75" x14ac:dyDescent="0.2">
      <c r="B2188" s="177"/>
      <c r="C2188" s="177"/>
      <c r="D2188" s="177"/>
      <c r="E2188" s="177">
        <v>3239</v>
      </c>
      <c r="F2188" s="176">
        <v>54</v>
      </c>
      <c r="G2188" s="176" t="s">
        <v>1040</v>
      </c>
      <c r="H2188" s="16" t="s">
        <v>529</v>
      </c>
      <c r="I2188" s="18">
        <v>116500</v>
      </c>
      <c r="J2188" s="178">
        <v>80880.83</v>
      </c>
      <c r="K2188" s="178">
        <f t="shared" si="1236"/>
        <v>69.430000000000007</v>
      </c>
      <c r="L2188" s="178">
        <f t="shared" si="1241"/>
        <v>-9506.7899999999936</v>
      </c>
      <c r="M2188" s="178">
        <v>106993.21</v>
      </c>
      <c r="N2188" s="178">
        <v>125900</v>
      </c>
      <c r="O2188" s="178">
        <v>92158.46</v>
      </c>
      <c r="P2188" s="26">
        <f t="shared" si="1227"/>
        <v>-400</v>
      </c>
      <c r="Q2188" s="178">
        <v>125900</v>
      </c>
      <c r="R2188" s="178">
        <v>126000</v>
      </c>
      <c r="S2188" s="178">
        <v>128000</v>
      </c>
      <c r="T2188" s="266">
        <v>125500</v>
      </c>
      <c r="U2188" s="266">
        <v>125493.72</v>
      </c>
      <c r="V2188" s="266">
        <f>125900-20000</f>
        <v>105900</v>
      </c>
      <c r="W2188" s="266">
        <f>125900-20000</f>
        <v>105900</v>
      </c>
      <c r="X2188" s="178">
        <v>109700</v>
      </c>
      <c r="Y2188" s="266">
        <v>51898.39</v>
      </c>
      <c r="Z2188" s="266">
        <f t="shared" si="1219"/>
        <v>49.01</v>
      </c>
      <c r="AA2188" s="266">
        <f t="shared" si="1220"/>
        <v>-16400</v>
      </c>
      <c r="AB2188" s="266">
        <v>89500</v>
      </c>
      <c r="AC2188" s="266">
        <v>71433.919999999998</v>
      </c>
      <c r="AD2188" s="266">
        <f t="shared" si="1239"/>
        <v>79.814435754189944</v>
      </c>
      <c r="AE2188" s="266">
        <f t="shared" si="1240"/>
        <v>5000</v>
      </c>
      <c r="AF2188" s="266">
        <v>94500</v>
      </c>
      <c r="AG2188" s="266">
        <v>89500</v>
      </c>
      <c r="AH2188" s="266">
        <v>89500</v>
      </c>
      <c r="AI2188" s="266">
        <v>89500</v>
      </c>
      <c r="AJ2188" s="162" t="b">
        <f t="shared" si="1242"/>
        <v>0</v>
      </c>
      <c r="AK2188" s="162" t="str">
        <f t="shared" si="1243"/>
        <v>PUNO</v>
      </c>
      <c r="AM2188" s="164"/>
    </row>
    <row r="2189" spans="2:39" ht="15.75" x14ac:dyDescent="0.2">
      <c r="B2189" s="177"/>
      <c r="C2189" s="177"/>
      <c r="D2189" s="177">
        <v>329</v>
      </c>
      <c r="E2189" s="177"/>
      <c r="F2189" s="177"/>
      <c r="G2189" s="177"/>
      <c r="H2189" s="16" t="s">
        <v>531</v>
      </c>
      <c r="I2189" s="17">
        <f>SUM(I2190:I2196)</f>
        <v>132800</v>
      </c>
      <c r="J2189" s="17">
        <f>SUM(J2190:J2196)</f>
        <v>98523.180000000008</v>
      </c>
      <c r="K2189" s="17">
        <f t="shared" si="1236"/>
        <v>74.19</v>
      </c>
      <c r="L2189" s="17">
        <f t="shared" si="1241"/>
        <v>6442.3299999999872</v>
      </c>
      <c r="M2189" s="17">
        <f>SUM(M2190:M2196)</f>
        <v>139242.32999999999</v>
      </c>
      <c r="N2189" s="17">
        <f>SUM(N2190:N2196)</f>
        <v>155400</v>
      </c>
      <c r="O2189" s="17">
        <f>SUM(O2190:O2196)</f>
        <v>96867.25</v>
      </c>
      <c r="P2189" s="26">
        <f t="shared" si="1227"/>
        <v>-9600</v>
      </c>
      <c r="Q2189" s="17">
        <f t="shared" ref="Q2189:X2189" si="1244">SUM(Q2190:Q2196)</f>
        <v>155400</v>
      </c>
      <c r="R2189" s="17">
        <f t="shared" si="1244"/>
        <v>158200</v>
      </c>
      <c r="S2189" s="17">
        <f t="shared" si="1244"/>
        <v>162700</v>
      </c>
      <c r="T2189" s="26">
        <f t="shared" si="1244"/>
        <v>145800</v>
      </c>
      <c r="U2189" s="26">
        <f>SUM(U2190:U2196)</f>
        <v>142474.67000000001</v>
      </c>
      <c r="V2189" s="181">
        <f t="shared" si="1244"/>
        <v>140300</v>
      </c>
      <c r="W2189" s="181">
        <f t="shared" si="1244"/>
        <v>149400</v>
      </c>
      <c r="X2189" s="181">
        <f t="shared" si="1244"/>
        <v>152200</v>
      </c>
      <c r="Y2189" s="181">
        <f>SUM(Y2190:Y2196)</f>
        <v>60779.569999999992</v>
      </c>
      <c r="Z2189" s="181">
        <f t="shared" si="1219"/>
        <v>43.32</v>
      </c>
      <c r="AA2189" s="181">
        <f t="shared" si="1220"/>
        <v>-5800</v>
      </c>
      <c r="AB2189" s="181">
        <f>SUM(AB2190:AB2196)</f>
        <v>134500</v>
      </c>
      <c r="AC2189" s="181">
        <f>SUM(AC2190:AC2196)</f>
        <v>90967.360000000001</v>
      </c>
      <c r="AD2189" s="181">
        <f t="shared" si="1239"/>
        <v>67.633724907063197</v>
      </c>
      <c r="AE2189" s="181">
        <f t="shared" si="1240"/>
        <v>-7800</v>
      </c>
      <c r="AF2189" s="181">
        <f>SUM(AF2190:AF2196)</f>
        <v>126700</v>
      </c>
      <c r="AG2189" s="181">
        <f>SUM(AG2190:AG2196)</f>
        <v>114200</v>
      </c>
      <c r="AH2189" s="181">
        <f>SUM(AH2190:AH2196)</f>
        <v>114200</v>
      </c>
      <c r="AI2189" s="181">
        <f>SUM(AI2190:AI2196)</f>
        <v>114200</v>
      </c>
      <c r="AJ2189" s="162" t="b">
        <f t="shared" si="1242"/>
        <v>1</v>
      </c>
      <c r="AK2189" s="162" t="str">
        <f t="shared" si="1243"/>
        <v>PRAZNO</v>
      </c>
      <c r="AM2189" s="164"/>
    </row>
    <row r="2190" spans="2:39" ht="15.75" x14ac:dyDescent="0.2">
      <c r="B2190" s="177"/>
      <c r="C2190" s="177"/>
      <c r="D2190" s="177"/>
      <c r="E2190" s="177">
        <v>3292</v>
      </c>
      <c r="F2190" s="176">
        <v>54</v>
      </c>
      <c r="G2190" s="176" t="s">
        <v>1040</v>
      </c>
      <c r="H2190" s="16" t="s">
        <v>399</v>
      </c>
      <c r="I2190" s="18">
        <v>75500</v>
      </c>
      <c r="J2190" s="178">
        <v>54987.58</v>
      </c>
      <c r="K2190" s="178">
        <f t="shared" si="1236"/>
        <v>72.83</v>
      </c>
      <c r="L2190" s="178">
        <f t="shared" si="1241"/>
        <v>-1759.7200000000012</v>
      </c>
      <c r="M2190" s="178">
        <v>73740.28</v>
      </c>
      <c r="N2190" s="178">
        <v>86000</v>
      </c>
      <c r="O2190" s="178">
        <v>51893.46</v>
      </c>
      <c r="P2190" s="26">
        <f t="shared" si="1227"/>
        <v>-5300</v>
      </c>
      <c r="Q2190" s="178">
        <v>86000</v>
      </c>
      <c r="R2190" s="178">
        <v>88000</v>
      </c>
      <c r="S2190" s="178">
        <v>90000</v>
      </c>
      <c r="T2190" s="266">
        <v>80700</v>
      </c>
      <c r="U2190" s="266">
        <v>80205.16</v>
      </c>
      <c r="V2190" s="266">
        <v>80700</v>
      </c>
      <c r="W2190" s="266">
        <v>80000</v>
      </c>
      <c r="X2190" s="178">
        <v>80600</v>
      </c>
      <c r="Y2190" s="266">
        <v>40752.019999999997</v>
      </c>
      <c r="Z2190" s="266">
        <f t="shared" si="1219"/>
        <v>50.5</v>
      </c>
      <c r="AA2190" s="266">
        <f t="shared" si="1220"/>
        <v>1300</v>
      </c>
      <c r="AB2190" s="266">
        <v>82000</v>
      </c>
      <c r="AC2190" s="266">
        <v>62564.6</v>
      </c>
      <c r="AD2190" s="266">
        <f t="shared" si="1239"/>
        <v>76.298292682926828</v>
      </c>
      <c r="AE2190" s="266">
        <f t="shared" si="1240"/>
        <v>-1300</v>
      </c>
      <c r="AF2190" s="266">
        <v>80700</v>
      </c>
      <c r="AG2190" s="266">
        <v>82000</v>
      </c>
      <c r="AH2190" s="266">
        <v>82000</v>
      </c>
      <c r="AI2190" s="266">
        <v>82000</v>
      </c>
      <c r="AJ2190" s="162" t="b">
        <f t="shared" si="1242"/>
        <v>0</v>
      </c>
      <c r="AK2190" s="162" t="str">
        <f t="shared" si="1243"/>
        <v>PUNO</v>
      </c>
      <c r="AM2190" s="164"/>
    </row>
    <row r="2191" spans="2:39" ht="15.75" x14ac:dyDescent="0.2">
      <c r="B2191" s="177"/>
      <c r="C2191" s="177"/>
      <c r="D2191" s="177"/>
      <c r="E2191" s="177">
        <v>3293</v>
      </c>
      <c r="F2191" s="176">
        <v>54</v>
      </c>
      <c r="G2191" s="176" t="s">
        <v>1040</v>
      </c>
      <c r="H2191" s="16" t="s">
        <v>533</v>
      </c>
      <c r="I2191" s="18">
        <v>25000</v>
      </c>
      <c r="J2191" s="178">
        <v>19003.77</v>
      </c>
      <c r="K2191" s="178">
        <f t="shared" si="1236"/>
        <v>76.02</v>
      </c>
      <c r="L2191" s="178">
        <f t="shared" si="1241"/>
        <v>-162.15000000000146</v>
      </c>
      <c r="M2191" s="178">
        <v>24837.85</v>
      </c>
      <c r="N2191" s="178">
        <v>24100</v>
      </c>
      <c r="O2191" s="178">
        <v>15031.77</v>
      </c>
      <c r="P2191" s="26">
        <f t="shared" si="1227"/>
        <v>-1000</v>
      </c>
      <c r="Q2191" s="178">
        <v>24100</v>
      </c>
      <c r="R2191" s="178">
        <v>24500</v>
      </c>
      <c r="S2191" s="178">
        <v>25000</v>
      </c>
      <c r="T2191" s="266">
        <v>23100</v>
      </c>
      <c r="U2191" s="266">
        <v>24120.35</v>
      </c>
      <c r="V2191" s="266">
        <v>21000</v>
      </c>
      <c r="W2191" s="266">
        <v>24100</v>
      </c>
      <c r="X2191" s="178">
        <v>25000</v>
      </c>
      <c r="Y2191" s="266">
        <v>10630.05</v>
      </c>
      <c r="Z2191" s="266">
        <f t="shared" si="1219"/>
        <v>50.62</v>
      </c>
      <c r="AA2191" s="266">
        <f t="shared" si="1220"/>
        <v>-700</v>
      </c>
      <c r="AB2191" s="266">
        <v>20300</v>
      </c>
      <c r="AC2191" s="266">
        <v>14413.84</v>
      </c>
      <c r="AD2191" s="266">
        <f t="shared" si="1239"/>
        <v>71.004137931034478</v>
      </c>
      <c r="AE2191" s="266">
        <f t="shared" si="1240"/>
        <v>-100</v>
      </c>
      <c r="AF2191" s="266">
        <v>20200</v>
      </c>
      <c r="AG2191" s="266">
        <v>15000</v>
      </c>
      <c r="AH2191" s="266">
        <v>15000</v>
      </c>
      <c r="AI2191" s="266">
        <v>15000</v>
      </c>
      <c r="AJ2191" s="162" t="b">
        <f t="shared" si="1242"/>
        <v>0</v>
      </c>
      <c r="AK2191" s="162" t="str">
        <f t="shared" si="1243"/>
        <v>PUNO</v>
      </c>
      <c r="AM2191" s="164"/>
    </row>
    <row r="2192" spans="2:39" ht="15.75" x14ac:dyDescent="0.2">
      <c r="B2192" s="177"/>
      <c r="C2192" s="177"/>
      <c r="D2192" s="177"/>
      <c r="E2192" s="177">
        <v>3293</v>
      </c>
      <c r="F2192" s="176">
        <v>12</v>
      </c>
      <c r="G2192" s="176"/>
      <c r="H2192" s="16" t="s">
        <v>533</v>
      </c>
      <c r="I2192" s="18"/>
      <c r="J2192" s="178"/>
      <c r="K2192" s="178"/>
      <c r="L2192" s="178"/>
      <c r="M2192" s="178">
        <v>2131.6799999999998</v>
      </c>
      <c r="N2192" s="178"/>
      <c r="O2192" s="178"/>
      <c r="P2192" s="26">
        <f t="shared" si="1227"/>
        <v>0</v>
      </c>
      <c r="Q2192" s="178"/>
      <c r="R2192" s="178"/>
      <c r="S2192" s="178"/>
      <c r="T2192" s="266"/>
      <c r="U2192" s="266"/>
      <c r="V2192" s="178"/>
      <c r="W2192" s="178"/>
      <c r="X2192" s="178"/>
      <c r="Y2192" s="178"/>
      <c r="Z2192" s="178" t="e">
        <f t="shared" si="1219"/>
        <v>#DIV/0!</v>
      </c>
      <c r="AA2192" s="178">
        <f t="shared" si="1220"/>
        <v>0</v>
      </c>
      <c r="AB2192" s="178"/>
      <c r="AC2192" s="178"/>
      <c r="AD2192" s="178"/>
      <c r="AE2192" s="178">
        <f t="shared" si="1240"/>
        <v>0</v>
      </c>
      <c r="AF2192" s="178"/>
      <c r="AG2192" s="178"/>
      <c r="AH2192" s="178"/>
      <c r="AI2192" s="178"/>
      <c r="AJ2192" s="162" t="b">
        <f t="shared" si="1242"/>
        <v>0</v>
      </c>
      <c r="AK2192" s="162" t="str">
        <f t="shared" si="1243"/>
        <v>PUNO</v>
      </c>
      <c r="AM2192" s="164"/>
    </row>
    <row r="2193" spans="1:39" ht="15.75" x14ac:dyDescent="0.2">
      <c r="B2193" s="177"/>
      <c r="C2193" s="177"/>
      <c r="D2193" s="177"/>
      <c r="E2193" s="177">
        <v>3294</v>
      </c>
      <c r="F2193" s="176">
        <v>12</v>
      </c>
      <c r="G2193" s="176"/>
      <c r="H2193" s="16" t="s">
        <v>567</v>
      </c>
      <c r="I2193" s="18"/>
      <c r="J2193" s="178"/>
      <c r="K2193" s="178"/>
      <c r="L2193" s="178"/>
      <c r="M2193" s="178">
        <v>8326.5</v>
      </c>
      <c r="N2193" s="178"/>
      <c r="O2193" s="178"/>
      <c r="P2193" s="26">
        <f t="shared" si="1227"/>
        <v>0</v>
      </c>
      <c r="Q2193" s="178"/>
      <c r="R2193" s="178"/>
      <c r="S2193" s="178"/>
      <c r="T2193" s="266"/>
      <c r="U2193" s="266"/>
      <c r="V2193" s="178"/>
      <c r="W2193" s="178"/>
      <c r="X2193" s="178"/>
      <c r="Y2193" s="178"/>
      <c r="Z2193" s="178" t="e">
        <f t="shared" si="1219"/>
        <v>#DIV/0!</v>
      </c>
      <c r="AA2193" s="178">
        <f t="shared" si="1220"/>
        <v>0</v>
      </c>
      <c r="AB2193" s="178"/>
      <c r="AC2193" s="178"/>
      <c r="AD2193" s="178"/>
      <c r="AE2193" s="178">
        <f t="shared" si="1240"/>
        <v>0</v>
      </c>
      <c r="AF2193" s="178"/>
      <c r="AG2193" s="178"/>
      <c r="AH2193" s="178"/>
      <c r="AI2193" s="178"/>
      <c r="AJ2193" s="162" t="b">
        <f t="shared" si="1242"/>
        <v>0</v>
      </c>
      <c r="AK2193" s="162" t="str">
        <f t="shared" si="1243"/>
        <v>PUNO</v>
      </c>
      <c r="AM2193" s="164"/>
    </row>
    <row r="2194" spans="1:39" ht="15.75" x14ac:dyDescent="0.2">
      <c r="B2194" s="177"/>
      <c r="C2194" s="177"/>
      <c r="D2194" s="177"/>
      <c r="E2194" s="177">
        <v>3294</v>
      </c>
      <c r="F2194" s="176">
        <v>54</v>
      </c>
      <c r="G2194" s="176" t="s">
        <v>1040</v>
      </c>
      <c r="H2194" s="16" t="s">
        <v>567</v>
      </c>
      <c r="I2194" s="18">
        <v>5000</v>
      </c>
      <c r="J2194" s="18">
        <v>5600</v>
      </c>
      <c r="K2194" s="18">
        <f t="shared" si="1236"/>
        <v>112</v>
      </c>
      <c r="L2194" s="18">
        <f t="shared" ref="L2194:L2202" si="1245">M2194-I2194</f>
        <v>-5000</v>
      </c>
      <c r="M2194" s="18"/>
      <c r="N2194" s="18">
        <v>11700</v>
      </c>
      <c r="O2194" s="18">
        <v>6148</v>
      </c>
      <c r="P2194" s="26">
        <f t="shared" si="1227"/>
        <v>-2300</v>
      </c>
      <c r="Q2194" s="18">
        <v>11700</v>
      </c>
      <c r="R2194" s="18">
        <v>11700</v>
      </c>
      <c r="S2194" s="18">
        <v>11700</v>
      </c>
      <c r="T2194" s="27">
        <v>9400</v>
      </c>
      <c r="U2194" s="27">
        <v>9633</v>
      </c>
      <c r="V2194" s="266">
        <v>9400</v>
      </c>
      <c r="W2194" s="266">
        <v>11700</v>
      </c>
      <c r="X2194" s="178">
        <v>12000</v>
      </c>
      <c r="Y2194" s="266">
        <v>2892.5</v>
      </c>
      <c r="Z2194" s="266">
        <f t="shared" si="1219"/>
        <v>30.77</v>
      </c>
      <c r="AA2194" s="266">
        <f t="shared" si="1220"/>
        <v>-500</v>
      </c>
      <c r="AB2194" s="266">
        <v>8900</v>
      </c>
      <c r="AC2194" s="266">
        <v>3890</v>
      </c>
      <c r="AD2194" s="266">
        <f t="shared" si="1239"/>
        <v>43.707865168539328</v>
      </c>
      <c r="AE2194" s="266">
        <f t="shared" si="1240"/>
        <v>-1400</v>
      </c>
      <c r="AF2194" s="266">
        <v>7500</v>
      </c>
      <c r="AG2194" s="266">
        <v>4900</v>
      </c>
      <c r="AH2194" s="266">
        <v>4900</v>
      </c>
      <c r="AI2194" s="266">
        <v>4900</v>
      </c>
      <c r="AJ2194" s="162" t="b">
        <f t="shared" si="1242"/>
        <v>0</v>
      </c>
      <c r="AK2194" s="162" t="str">
        <f t="shared" si="1243"/>
        <v>PUNO</v>
      </c>
      <c r="AM2194" s="164"/>
    </row>
    <row r="2195" spans="1:39" ht="15.75" x14ac:dyDescent="0.2">
      <c r="B2195" s="177"/>
      <c r="C2195" s="177"/>
      <c r="D2195" s="177"/>
      <c r="E2195" s="177">
        <v>3295</v>
      </c>
      <c r="F2195" s="176">
        <v>54</v>
      </c>
      <c r="G2195" s="176"/>
      <c r="H2195" s="16" t="s">
        <v>400</v>
      </c>
      <c r="I2195" s="18">
        <v>0</v>
      </c>
      <c r="J2195" s="18">
        <v>0</v>
      </c>
      <c r="K2195" s="18" t="e">
        <f t="shared" si="1236"/>
        <v>#DIV/0!</v>
      </c>
      <c r="L2195" s="18">
        <f t="shared" si="1245"/>
        <v>250</v>
      </c>
      <c r="M2195" s="18">
        <v>250</v>
      </c>
      <c r="N2195" s="18">
        <v>1000</v>
      </c>
      <c r="O2195" s="18">
        <v>370</v>
      </c>
      <c r="P2195" s="26">
        <f t="shared" si="1227"/>
        <v>0</v>
      </c>
      <c r="Q2195" s="18">
        <v>1000</v>
      </c>
      <c r="R2195" s="18">
        <v>1000</v>
      </c>
      <c r="S2195" s="18">
        <v>1000</v>
      </c>
      <c r="T2195" s="27">
        <v>1000</v>
      </c>
      <c r="U2195" s="27">
        <v>615</v>
      </c>
      <c r="V2195" s="266">
        <v>1000</v>
      </c>
      <c r="W2195" s="266">
        <v>1000</v>
      </c>
      <c r="X2195" s="178">
        <v>1000</v>
      </c>
      <c r="Y2195" s="266">
        <v>317.5</v>
      </c>
      <c r="Z2195" s="266">
        <f t="shared" si="1219"/>
        <v>31.75</v>
      </c>
      <c r="AA2195" s="266">
        <f t="shared" si="1220"/>
        <v>0</v>
      </c>
      <c r="AB2195" s="266">
        <v>1000</v>
      </c>
      <c r="AC2195" s="266">
        <v>317.5</v>
      </c>
      <c r="AD2195" s="266">
        <f t="shared" si="1239"/>
        <v>31.75</v>
      </c>
      <c r="AE2195" s="266">
        <f t="shared" si="1240"/>
        <v>0</v>
      </c>
      <c r="AF2195" s="266">
        <v>1000</v>
      </c>
      <c r="AG2195" s="266">
        <v>1000</v>
      </c>
      <c r="AH2195" s="266">
        <v>1000</v>
      </c>
      <c r="AI2195" s="266">
        <v>1000</v>
      </c>
      <c r="AJ2195" s="162" t="b">
        <f t="shared" si="1242"/>
        <v>0</v>
      </c>
      <c r="AK2195" s="162" t="str">
        <f t="shared" si="1243"/>
        <v>PUNO</v>
      </c>
      <c r="AM2195" s="164"/>
    </row>
    <row r="2196" spans="1:39" ht="15.75" x14ac:dyDescent="0.2">
      <c r="B2196" s="177"/>
      <c r="C2196" s="177"/>
      <c r="D2196" s="177"/>
      <c r="E2196" s="177">
        <v>3299</v>
      </c>
      <c r="F2196" s="176">
        <v>54</v>
      </c>
      <c r="G2196" s="176" t="s">
        <v>1040</v>
      </c>
      <c r="H2196" s="16" t="s">
        <v>531</v>
      </c>
      <c r="I2196" s="18">
        <v>27300</v>
      </c>
      <c r="J2196" s="178">
        <v>18931.830000000002</v>
      </c>
      <c r="K2196" s="178">
        <f t="shared" si="1236"/>
        <v>69.349999999999994</v>
      </c>
      <c r="L2196" s="178">
        <f t="shared" si="1245"/>
        <v>2656.0200000000004</v>
      </c>
      <c r="M2196" s="178">
        <v>29956.02</v>
      </c>
      <c r="N2196" s="178">
        <v>32600</v>
      </c>
      <c r="O2196" s="178">
        <v>23424.02</v>
      </c>
      <c r="P2196" s="26">
        <f t="shared" si="1227"/>
        <v>-1000</v>
      </c>
      <c r="Q2196" s="178">
        <v>32600</v>
      </c>
      <c r="R2196" s="178">
        <v>33000</v>
      </c>
      <c r="S2196" s="178">
        <v>35000</v>
      </c>
      <c r="T2196" s="266">
        <v>31600</v>
      </c>
      <c r="U2196" s="266">
        <v>27901.16</v>
      </c>
      <c r="V2196" s="266">
        <v>28200</v>
      </c>
      <c r="W2196" s="266">
        <v>32600</v>
      </c>
      <c r="X2196" s="178">
        <v>33600</v>
      </c>
      <c r="Y2196" s="266">
        <v>6187.5</v>
      </c>
      <c r="Z2196" s="266">
        <f t="shared" si="1219"/>
        <v>21.94</v>
      </c>
      <c r="AA2196" s="266">
        <f t="shared" si="1220"/>
        <v>-5900</v>
      </c>
      <c r="AB2196" s="266">
        <v>22300</v>
      </c>
      <c r="AC2196" s="266">
        <v>9781.42</v>
      </c>
      <c r="AD2196" s="266">
        <f t="shared" si="1239"/>
        <v>43.862869955156953</v>
      </c>
      <c r="AE2196" s="266">
        <f t="shared" si="1240"/>
        <v>-5000</v>
      </c>
      <c r="AF2196" s="266">
        <v>17300</v>
      </c>
      <c r="AG2196" s="266">
        <v>11300</v>
      </c>
      <c r="AH2196" s="266">
        <v>11300</v>
      </c>
      <c r="AI2196" s="266">
        <v>11300</v>
      </c>
      <c r="AJ2196" s="162" t="b">
        <f t="shared" si="1242"/>
        <v>0</v>
      </c>
      <c r="AK2196" s="162" t="str">
        <f t="shared" si="1243"/>
        <v>PUNO</v>
      </c>
      <c r="AM2196" s="164"/>
    </row>
    <row r="2197" spans="1:39" ht="15.75" x14ac:dyDescent="0.2">
      <c r="B2197" s="175"/>
      <c r="C2197" s="175">
        <v>34</v>
      </c>
      <c r="D2197" s="175"/>
      <c r="E2197" s="175"/>
      <c r="F2197" s="175"/>
      <c r="G2197" s="175"/>
      <c r="H2197" s="15" t="s">
        <v>208</v>
      </c>
      <c r="I2197" s="22">
        <f>I2198</f>
        <v>54000</v>
      </c>
      <c r="J2197" s="22">
        <f>J2198</f>
        <v>34673.660000000003</v>
      </c>
      <c r="K2197" s="22">
        <f t="shared" si="1236"/>
        <v>64.209999999999994</v>
      </c>
      <c r="L2197" s="22">
        <f t="shared" si="1245"/>
        <v>1972.5200000000041</v>
      </c>
      <c r="M2197" s="22">
        <f>M2198</f>
        <v>55972.520000000004</v>
      </c>
      <c r="N2197" s="22">
        <f>N2198</f>
        <v>61000</v>
      </c>
      <c r="O2197" s="22">
        <f>O2198</f>
        <v>35552.42</v>
      </c>
      <c r="P2197" s="26">
        <f t="shared" si="1227"/>
        <v>-300</v>
      </c>
      <c r="Q2197" s="22">
        <f t="shared" ref="Q2197:AI2197" si="1246">Q2198</f>
        <v>61000</v>
      </c>
      <c r="R2197" s="22">
        <f t="shared" si="1246"/>
        <v>61200</v>
      </c>
      <c r="S2197" s="22">
        <f t="shared" si="1246"/>
        <v>61900</v>
      </c>
      <c r="T2197" s="38">
        <f t="shared" si="1246"/>
        <v>60700</v>
      </c>
      <c r="U2197" s="38">
        <f t="shared" si="1246"/>
        <v>61288.49</v>
      </c>
      <c r="V2197" s="183">
        <f t="shared" si="1246"/>
        <v>58000</v>
      </c>
      <c r="W2197" s="183">
        <f t="shared" si="1246"/>
        <v>61000</v>
      </c>
      <c r="X2197" s="183">
        <f t="shared" si="1246"/>
        <v>61500</v>
      </c>
      <c r="Y2197" s="183">
        <f t="shared" si="1246"/>
        <v>26734.79</v>
      </c>
      <c r="Z2197" s="183">
        <f t="shared" si="1219"/>
        <v>46.09</v>
      </c>
      <c r="AA2197" s="183">
        <f t="shared" si="1220"/>
        <v>-2000</v>
      </c>
      <c r="AB2197" s="183">
        <f t="shared" si="1246"/>
        <v>56000</v>
      </c>
      <c r="AC2197" s="183">
        <f t="shared" si="1246"/>
        <v>44622.49</v>
      </c>
      <c r="AD2197" s="183">
        <f t="shared" si="1239"/>
        <v>79.683017857142858</v>
      </c>
      <c r="AE2197" s="183">
        <f t="shared" si="1240"/>
        <v>1900</v>
      </c>
      <c r="AF2197" s="183">
        <f t="shared" si="1246"/>
        <v>57900</v>
      </c>
      <c r="AG2197" s="183">
        <f t="shared" si="1246"/>
        <v>57800</v>
      </c>
      <c r="AH2197" s="183">
        <f t="shared" si="1246"/>
        <v>57800</v>
      </c>
      <c r="AI2197" s="183">
        <f t="shared" si="1246"/>
        <v>57800</v>
      </c>
      <c r="AJ2197" s="162" t="b">
        <f t="shared" si="1242"/>
        <v>1</v>
      </c>
      <c r="AK2197" s="162" t="str">
        <f t="shared" si="1243"/>
        <v>PRAZNO</v>
      </c>
      <c r="AM2197" s="164"/>
    </row>
    <row r="2198" spans="1:39" ht="15.75" x14ac:dyDescent="0.2">
      <c r="B2198" s="177"/>
      <c r="C2198" s="177"/>
      <c r="D2198" s="177">
        <v>343</v>
      </c>
      <c r="E2198" s="177"/>
      <c r="F2198" s="177"/>
      <c r="G2198" s="177"/>
      <c r="H2198" s="16" t="s">
        <v>209</v>
      </c>
      <c r="I2198" s="17">
        <f>SUM(I2199:I2201)</f>
        <v>54000</v>
      </c>
      <c r="J2198" s="17">
        <f>SUM(J2199:J2201)</f>
        <v>34673.660000000003</v>
      </c>
      <c r="K2198" s="17">
        <f t="shared" si="1236"/>
        <v>64.209999999999994</v>
      </c>
      <c r="L2198" s="17">
        <f t="shared" si="1245"/>
        <v>1972.5200000000041</v>
      </c>
      <c r="M2198" s="17">
        <f>SUM(M2199:M2201)</f>
        <v>55972.520000000004</v>
      </c>
      <c r="N2198" s="17">
        <f>SUM(N2199:N2201)</f>
        <v>61000</v>
      </c>
      <c r="O2198" s="17">
        <f>SUM(O2199:O2201)</f>
        <v>35552.42</v>
      </c>
      <c r="P2198" s="26">
        <f t="shared" si="1227"/>
        <v>-300</v>
      </c>
      <c r="Q2198" s="17">
        <f t="shared" ref="Q2198:X2198" si="1247">SUM(Q2199:Q2201)</f>
        <v>61000</v>
      </c>
      <c r="R2198" s="17">
        <f t="shared" si="1247"/>
        <v>61200</v>
      </c>
      <c r="S2198" s="17">
        <f t="shared" si="1247"/>
        <v>61900</v>
      </c>
      <c r="T2198" s="26">
        <f t="shared" si="1247"/>
        <v>60700</v>
      </c>
      <c r="U2198" s="26">
        <f>SUM(U2199:U2201)</f>
        <v>61288.49</v>
      </c>
      <c r="V2198" s="181">
        <f t="shared" si="1247"/>
        <v>58000</v>
      </c>
      <c r="W2198" s="181">
        <f t="shared" si="1247"/>
        <v>61000</v>
      </c>
      <c r="X2198" s="181">
        <f t="shared" si="1247"/>
        <v>61500</v>
      </c>
      <c r="Y2198" s="181">
        <f>SUM(Y2199:Y2201)</f>
        <v>26734.79</v>
      </c>
      <c r="Z2198" s="181">
        <f t="shared" si="1219"/>
        <v>46.09</v>
      </c>
      <c r="AA2198" s="181">
        <f t="shared" si="1220"/>
        <v>-2000</v>
      </c>
      <c r="AB2198" s="181">
        <f>SUM(AB2199:AB2201)</f>
        <v>56000</v>
      </c>
      <c r="AC2198" s="181">
        <f>SUM(AC2199:AC2201)</f>
        <v>44622.49</v>
      </c>
      <c r="AD2198" s="181">
        <f t="shared" si="1239"/>
        <v>79.683017857142858</v>
      </c>
      <c r="AE2198" s="181">
        <f t="shared" si="1240"/>
        <v>1900</v>
      </c>
      <c r="AF2198" s="181">
        <f>SUM(AF2199:AF2201)</f>
        <v>57900</v>
      </c>
      <c r="AG2198" s="181">
        <f>SUM(AG2199:AG2201)</f>
        <v>57800</v>
      </c>
      <c r="AH2198" s="181">
        <f>SUM(AH2199:AH2201)</f>
        <v>57800</v>
      </c>
      <c r="AI2198" s="181">
        <f>SUM(AI2199:AI2201)</f>
        <v>57800</v>
      </c>
      <c r="AJ2198" s="162" t="b">
        <f t="shared" si="1242"/>
        <v>1</v>
      </c>
      <c r="AK2198" s="162" t="str">
        <f t="shared" si="1243"/>
        <v>PRAZNO</v>
      </c>
      <c r="AM2198" s="164"/>
    </row>
    <row r="2199" spans="1:39" ht="15.75" x14ac:dyDescent="0.2">
      <c r="B2199" s="177"/>
      <c r="C2199" s="177"/>
      <c r="D2199" s="177"/>
      <c r="E2199" s="177">
        <v>3431</v>
      </c>
      <c r="F2199" s="176">
        <v>54</v>
      </c>
      <c r="G2199" s="176" t="s">
        <v>1040</v>
      </c>
      <c r="H2199" s="16" t="s">
        <v>211</v>
      </c>
      <c r="I2199" s="18">
        <v>51100</v>
      </c>
      <c r="J2199" s="178">
        <v>34337.72</v>
      </c>
      <c r="K2199" s="178">
        <f t="shared" si="1236"/>
        <v>67.2</v>
      </c>
      <c r="L2199" s="178">
        <f t="shared" si="1245"/>
        <v>-654.80999999999767</v>
      </c>
      <c r="M2199" s="178">
        <v>50445.19</v>
      </c>
      <c r="N2199" s="178">
        <v>52300</v>
      </c>
      <c r="O2199" s="178">
        <v>34300</v>
      </c>
      <c r="P2199" s="26">
        <f t="shared" si="1227"/>
        <v>1500</v>
      </c>
      <c r="Q2199" s="178">
        <v>52300</v>
      </c>
      <c r="R2199" s="178">
        <v>52400</v>
      </c>
      <c r="S2199" s="178">
        <v>53000</v>
      </c>
      <c r="T2199" s="266">
        <v>53800</v>
      </c>
      <c r="U2199" s="266">
        <v>54669.55</v>
      </c>
      <c r="V2199" s="266">
        <v>49900</v>
      </c>
      <c r="W2199" s="266">
        <v>52300</v>
      </c>
      <c r="X2199" s="178">
        <v>52500</v>
      </c>
      <c r="Y2199" s="266">
        <v>20634.79</v>
      </c>
      <c r="Z2199" s="266">
        <f t="shared" si="1219"/>
        <v>41.35</v>
      </c>
      <c r="AA2199" s="266">
        <f t="shared" si="1220"/>
        <v>-3200</v>
      </c>
      <c r="AB2199" s="266">
        <v>46700</v>
      </c>
      <c r="AC2199" s="266">
        <v>37449.93</v>
      </c>
      <c r="AD2199" s="266">
        <f t="shared" si="1239"/>
        <v>80.192569593147752</v>
      </c>
      <c r="AE2199" s="266">
        <f t="shared" si="1240"/>
        <v>2400</v>
      </c>
      <c r="AF2199" s="266">
        <v>49100</v>
      </c>
      <c r="AG2199" s="266">
        <v>48500</v>
      </c>
      <c r="AH2199" s="266">
        <v>48500</v>
      </c>
      <c r="AI2199" s="266">
        <v>48500</v>
      </c>
      <c r="AJ2199" s="162" t="b">
        <f t="shared" si="1242"/>
        <v>0</v>
      </c>
      <c r="AK2199" s="162" t="str">
        <f t="shared" si="1243"/>
        <v>PUNO</v>
      </c>
      <c r="AM2199" s="164"/>
    </row>
    <row r="2200" spans="1:39" ht="15.75" x14ac:dyDescent="0.2">
      <c r="B2200" s="177"/>
      <c r="C2200" s="177"/>
      <c r="D2200" s="177"/>
      <c r="E2200" s="177">
        <v>3433</v>
      </c>
      <c r="F2200" s="176">
        <v>54</v>
      </c>
      <c r="G2200" s="176" t="s">
        <v>1040</v>
      </c>
      <c r="H2200" s="16" t="s">
        <v>402</v>
      </c>
      <c r="I2200" s="18">
        <v>1200</v>
      </c>
      <c r="J2200" s="18">
        <v>212.94</v>
      </c>
      <c r="K2200" s="18">
        <f t="shared" si="1236"/>
        <v>17.75</v>
      </c>
      <c r="L2200" s="18">
        <f t="shared" si="1245"/>
        <v>4204.33</v>
      </c>
      <c r="M2200" s="18">
        <v>5404.33</v>
      </c>
      <c r="N2200" s="18">
        <v>6900</v>
      </c>
      <c r="O2200" s="18">
        <v>1127.42</v>
      </c>
      <c r="P2200" s="26">
        <f t="shared" si="1227"/>
        <v>-1200</v>
      </c>
      <c r="Q2200" s="18">
        <v>6900</v>
      </c>
      <c r="R2200" s="18">
        <v>7000</v>
      </c>
      <c r="S2200" s="18">
        <v>7000</v>
      </c>
      <c r="T2200" s="27">
        <v>5700</v>
      </c>
      <c r="U2200" s="27">
        <v>6348.31</v>
      </c>
      <c r="V2200" s="266">
        <v>6900</v>
      </c>
      <c r="W2200" s="266">
        <v>6900</v>
      </c>
      <c r="X2200" s="178">
        <v>7000</v>
      </c>
      <c r="Y2200" s="266">
        <v>6100</v>
      </c>
      <c r="Z2200" s="266">
        <f t="shared" si="1219"/>
        <v>88.41</v>
      </c>
      <c r="AA2200" s="266">
        <f t="shared" si="1220"/>
        <v>1200</v>
      </c>
      <c r="AB2200" s="266">
        <v>8100</v>
      </c>
      <c r="AC2200" s="266">
        <v>6309.96</v>
      </c>
      <c r="AD2200" s="266">
        <f t="shared" si="1239"/>
        <v>77.90074074074073</v>
      </c>
      <c r="AE2200" s="266">
        <f t="shared" si="1240"/>
        <v>-500</v>
      </c>
      <c r="AF2200" s="266">
        <v>7600</v>
      </c>
      <c r="AG2200" s="266">
        <v>8100</v>
      </c>
      <c r="AH2200" s="266">
        <v>8100</v>
      </c>
      <c r="AI2200" s="266">
        <v>8100</v>
      </c>
      <c r="AJ2200" s="162" t="b">
        <f t="shared" si="1242"/>
        <v>0</v>
      </c>
      <c r="AK2200" s="162" t="str">
        <f t="shared" si="1243"/>
        <v>PUNO</v>
      </c>
      <c r="AM2200" s="164"/>
    </row>
    <row r="2201" spans="1:39" ht="15.75" x14ac:dyDescent="0.2">
      <c r="B2201" s="177"/>
      <c r="C2201" s="177"/>
      <c r="D2201" s="177"/>
      <c r="E2201" s="177">
        <v>3434</v>
      </c>
      <c r="F2201" s="176">
        <v>54</v>
      </c>
      <c r="G2201" s="176" t="s">
        <v>1040</v>
      </c>
      <c r="H2201" s="16" t="s">
        <v>403</v>
      </c>
      <c r="I2201" s="18">
        <v>1700</v>
      </c>
      <c r="J2201" s="18">
        <v>123</v>
      </c>
      <c r="K2201" s="18">
        <f t="shared" si="1236"/>
        <v>7.24</v>
      </c>
      <c r="L2201" s="18">
        <f t="shared" si="1245"/>
        <v>-1577</v>
      </c>
      <c r="M2201" s="18">
        <v>123</v>
      </c>
      <c r="N2201" s="18">
        <v>1800</v>
      </c>
      <c r="O2201" s="18">
        <v>125</v>
      </c>
      <c r="P2201" s="26">
        <f t="shared" si="1227"/>
        <v>-600</v>
      </c>
      <c r="Q2201" s="18">
        <v>1800</v>
      </c>
      <c r="R2201" s="18">
        <v>1800</v>
      </c>
      <c r="S2201" s="18">
        <v>1900</v>
      </c>
      <c r="T2201" s="27">
        <v>1200</v>
      </c>
      <c r="U2201" s="27">
        <v>270.63</v>
      </c>
      <c r="V2201" s="266">
        <v>1200</v>
      </c>
      <c r="W2201" s="266">
        <v>1800</v>
      </c>
      <c r="X2201" s="178">
        <v>2000</v>
      </c>
      <c r="Y2201" s="266">
        <v>0</v>
      </c>
      <c r="Z2201" s="266">
        <f t="shared" si="1219"/>
        <v>0</v>
      </c>
      <c r="AA2201" s="266">
        <f t="shared" si="1220"/>
        <v>0</v>
      </c>
      <c r="AB2201" s="266">
        <v>1200</v>
      </c>
      <c r="AC2201" s="266">
        <v>862.6</v>
      </c>
      <c r="AD2201" s="266">
        <f t="shared" si="1239"/>
        <v>71.883333333333326</v>
      </c>
      <c r="AE2201" s="266">
        <f t="shared" si="1240"/>
        <v>0</v>
      </c>
      <c r="AF2201" s="266">
        <v>1200</v>
      </c>
      <c r="AG2201" s="266">
        <v>1200</v>
      </c>
      <c r="AH2201" s="266">
        <v>1200</v>
      </c>
      <c r="AI2201" s="266">
        <v>1200</v>
      </c>
      <c r="AJ2201" s="162" t="b">
        <f t="shared" si="1242"/>
        <v>0</v>
      </c>
      <c r="AK2201" s="162" t="str">
        <f t="shared" si="1243"/>
        <v>PUNO</v>
      </c>
      <c r="AM2201" s="164"/>
    </row>
    <row r="2202" spans="1:39" s="171" customFormat="1" ht="47.25" x14ac:dyDescent="0.2">
      <c r="A2202" s="259"/>
      <c r="B2202" s="168"/>
      <c r="C2202" s="168"/>
      <c r="D2202" s="168"/>
      <c r="E2202" s="168"/>
      <c r="F2202" s="168"/>
      <c r="G2202" s="168"/>
      <c r="H2202" s="31" t="s">
        <v>862</v>
      </c>
      <c r="I2202" s="169">
        <f>I2204</f>
        <v>360000</v>
      </c>
      <c r="J2202" s="169">
        <f>J2204</f>
        <v>289059.8</v>
      </c>
      <c r="K2202" s="169">
        <f t="shared" si="1236"/>
        <v>80.290000000000006</v>
      </c>
      <c r="L2202" s="169">
        <f t="shared" si="1245"/>
        <v>16700</v>
      </c>
      <c r="M2202" s="19">
        <f>M2204</f>
        <v>376700</v>
      </c>
      <c r="N2202" s="19">
        <f>N2204</f>
        <v>339000</v>
      </c>
      <c r="O2202" s="19">
        <f>O2204</f>
        <v>211537.54</v>
      </c>
      <c r="P2202" s="303">
        <f t="shared" si="1227"/>
        <v>0</v>
      </c>
      <c r="Q2202" s="19">
        <f t="shared" ref="Q2202:X2202" si="1248">Q2204</f>
        <v>339000</v>
      </c>
      <c r="R2202" s="19">
        <f t="shared" si="1248"/>
        <v>378500</v>
      </c>
      <c r="S2202" s="19">
        <f t="shared" si="1248"/>
        <v>380200</v>
      </c>
      <c r="T2202" s="53">
        <f t="shared" si="1248"/>
        <v>339000</v>
      </c>
      <c r="U2202" s="53">
        <f>U2204</f>
        <v>339000</v>
      </c>
      <c r="V2202" s="19">
        <f t="shared" si="1248"/>
        <v>320400</v>
      </c>
      <c r="W2202" s="19">
        <f t="shared" si="1248"/>
        <v>309000</v>
      </c>
      <c r="X2202" s="19">
        <f t="shared" si="1248"/>
        <v>319000</v>
      </c>
      <c r="Y2202" s="19">
        <f>Y2204</f>
        <v>207418.28</v>
      </c>
      <c r="Z2202" s="19">
        <f t="shared" si="1219"/>
        <v>64.739999999999995</v>
      </c>
      <c r="AA2202" s="19">
        <f t="shared" si="1220"/>
        <v>0</v>
      </c>
      <c r="AB2202" s="19">
        <f>AB2204</f>
        <v>320400</v>
      </c>
      <c r="AC2202" s="19">
        <f>AC2204</f>
        <v>316406.48</v>
      </c>
      <c r="AD2202" s="19">
        <f t="shared" si="1239"/>
        <v>98.753583021223463</v>
      </c>
      <c r="AE2202" s="19">
        <f t="shared" si="1240"/>
        <v>0</v>
      </c>
      <c r="AF2202" s="19">
        <f>AF2204</f>
        <v>320400</v>
      </c>
      <c r="AG2202" s="19">
        <f>AG2204</f>
        <v>320400</v>
      </c>
      <c r="AH2202" s="19">
        <f>AH2204</f>
        <v>320400</v>
      </c>
      <c r="AI2202" s="19">
        <f>AI2204</f>
        <v>320400</v>
      </c>
      <c r="AJ2202" s="162" t="b">
        <f t="shared" si="1242"/>
        <v>1</v>
      </c>
      <c r="AK2202" s="162" t="str">
        <f t="shared" si="1243"/>
        <v>PRAZNO</v>
      </c>
      <c r="AL2202" s="170"/>
      <c r="AM2202" s="164"/>
    </row>
    <row r="2203" spans="1:39" s="264" customFormat="1" ht="20.25" customHeight="1" x14ac:dyDescent="0.2">
      <c r="A2203" s="259"/>
      <c r="B2203" s="260"/>
      <c r="C2203" s="260"/>
      <c r="D2203" s="260"/>
      <c r="E2203" s="260"/>
      <c r="F2203" s="260"/>
      <c r="G2203" s="260"/>
      <c r="H2203" s="471" t="s">
        <v>830</v>
      </c>
      <c r="I2203" s="181"/>
      <c r="J2203" s="181"/>
      <c r="K2203" s="181"/>
      <c r="L2203" s="181"/>
      <c r="M2203" s="262"/>
      <c r="N2203" s="262"/>
      <c r="O2203" s="262"/>
      <c r="P2203" s="445"/>
      <c r="Q2203" s="262"/>
      <c r="R2203" s="262"/>
      <c r="S2203" s="262"/>
      <c r="T2203" s="342"/>
      <c r="U2203" s="342"/>
      <c r="V2203" s="262">
        <f>V2204</f>
        <v>320400</v>
      </c>
      <c r="W2203" s="262">
        <f>W2204</f>
        <v>309000</v>
      </c>
      <c r="X2203" s="262">
        <f>X2204</f>
        <v>319000</v>
      </c>
      <c r="Y2203" s="262">
        <f>Y2204</f>
        <v>207418.28</v>
      </c>
      <c r="Z2203" s="262">
        <f t="shared" si="1219"/>
        <v>64.739999999999995</v>
      </c>
      <c r="AA2203" s="262">
        <f t="shared" si="1220"/>
        <v>0</v>
      </c>
      <c r="AB2203" s="262">
        <f>AB2204</f>
        <v>320400</v>
      </c>
      <c r="AC2203" s="262">
        <f>AC2204</f>
        <v>316406.48</v>
      </c>
      <c r="AD2203" s="262">
        <f t="shared" si="1239"/>
        <v>98.753583021223463</v>
      </c>
      <c r="AE2203" s="262">
        <f t="shared" si="1240"/>
        <v>0</v>
      </c>
      <c r="AF2203" s="262">
        <f>AF2204</f>
        <v>320400</v>
      </c>
      <c r="AG2203" s="262">
        <f>AG2204</f>
        <v>320400</v>
      </c>
      <c r="AH2203" s="262">
        <f>AH2204</f>
        <v>320400</v>
      </c>
      <c r="AI2203" s="262">
        <f>AI2204</f>
        <v>320400</v>
      </c>
      <c r="AJ2203" s="162" t="b">
        <f t="shared" si="1242"/>
        <v>1</v>
      </c>
      <c r="AK2203" s="162" t="str">
        <f t="shared" si="1243"/>
        <v>PRAZNO</v>
      </c>
      <c r="AL2203" s="263"/>
    </row>
    <row r="2204" spans="1:39" s="174" customFormat="1" ht="15.75" x14ac:dyDescent="0.2">
      <c r="A2204" s="259"/>
      <c r="B2204" s="172">
        <v>3</v>
      </c>
      <c r="C2204" s="172"/>
      <c r="D2204" s="172"/>
      <c r="E2204" s="172"/>
      <c r="F2204" s="172"/>
      <c r="G2204" s="172"/>
      <c r="H2204" s="14" t="s">
        <v>524</v>
      </c>
      <c r="I2204" s="20">
        <f t="shared" ref="I2204:AI2206" si="1249">I2205</f>
        <v>360000</v>
      </c>
      <c r="J2204" s="20">
        <f t="shared" si="1249"/>
        <v>289059.8</v>
      </c>
      <c r="K2204" s="20">
        <f t="shared" si="1236"/>
        <v>80.290000000000006</v>
      </c>
      <c r="L2204" s="20">
        <f>M2204-I2204</f>
        <v>16700</v>
      </c>
      <c r="M2204" s="20">
        <f t="shared" si="1249"/>
        <v>376700</v>
      </c>
      <c r="N2204" s="20">
        <f t="shared" si="1249"/>
        <v>339000</v>
      </c>
      <c r="O2204" s="20">
        <f t="shared" si="1249"/>
        <v>211537.54</v>
      </c>
      <c r="P2204" s="55">
        <f t="shared" si="1227"/>
        <v>0</v>
      </c>
      <c r="Q2204" s="20">
        <f t="shared" si="1249"/>
        <v>339000</v>
      </c>
      <c r="R2204" s="20">
        <f t="shared" si="1249"/>
        <v>378500</v>
      </c>
      <c r="S2204" s="20">
        <f t="shared" si="1249"/>
        <v>380200</v>
      </c>
      <c r="T2204" s="55">
        <f t="shared" si="1249"/>
        <v>339000</v>
      </c>
      <c r="U2204" s="55">
        <f t="shared" si="1249"/>
        <v>339000</v>
      </c>
      <c r="V2204" s="20">
        <f t="shared" si="1249"/>
        <v>320400</v>
      </c>
      <c r="W2204" s="20">
        <f t="shared" si="1249"/>
        <v>309000</v>
      </c>
      <c r="X2204" s="20">
        <f t="shared" si="1249"/>
        <v>319000</v>
      </c>
      <c r="Y2204" s="20">
        <f t="shared" si="1249"/>
        <v>207418.28</v>
      </c>
      <c r="Z2204" s="20">
        <f t="shared" si="1219"/>
        <v>64.739999999999995</v>
      </c>
      <c r="AA2204" s="20">
        <f t="shared" si="1220"/>
        <v>0</v>
      </c>
      <c r="AB2204" s="20">
        <f t="shared" si="1249"/>
        <v>320400</v>
      </c>
      <c r="AC2204" s="20">
        <f t="shared" si="1249"/>
        <v>316406.48</v>
      </c>
      <c r="AD2204" s="20">
        <f t="shared" si="1239"/>
        <v>98.753583021223463</v>
      </c>
      <c r="AE2204" s="20">
        <f t="shared" si="1240"/>
        <v>0</v>
      </c>
      <c r="AF2204" s="20">
        <f t="shared" si="1249"/>
        <v>320400</v>
      </c>
      <c r="AG2204" s="20">
        <f t="shared" si="1249"/>
        <v>320400</v>
      </c>
      <c r="AH2204" s="20">
        <f t="shared" si="1249"/>
        <v>320400</v>
      </c>
      <c r="AI2204" s="20">
        <f t="shared" si="1249"/>
        <v>320400</v>
      </c>
      <c r="AJ2204" s="162" t="b">
        <f t="shared" si="1242"/>
        <v>1</v>
      </c>
      <c r="AK2204" s="162" t="str">
        <f t="shared" si="1243"/>
        <v>PRAZNO</v>
      </c>
      <c r="AL2204" s="173"/>
      <c r="AM2204" s="164"/>
    </row>
    <row r="2205" spans="1:39" ht="15.75" x14ac:dyDescent="0.2">
      <c r="B2205" s="177"/>
      <c r="C2205" s="177">
        <v>32</v>
      </c>
      <c r="D2205" s="177"/>
      <c r="E2205" s="177"/>
      <c r="F2205" s="176"/>
      <c r="G2205" s="176"/>
      <c r="H2205" s="16" t="s">
        <v>525</v>
      </c>
      <c r="I2205" s="18">
        <f t="shared" si="1249"/>
        <v>360000</v>
      </c>
      <c r="J2205" s="18">
        <f t="shared" si="1249"/>
        <v>289059.8</v>
      </c>
      <c r="K2205" s="18">
        <f t="shared" si="1236"/>
        <v>80.290000000000006</v>
      </c>
      <c r="L2205" s="18">
        <f>M2205-I2205</f>
        <v>16700</v>
      </c>
      <c r="M2205" s="18">
        <f t="shared" si="1249"/>
        <v>376700</v>
      </c>
      <c r="N2205" s="18">
        <f t="shared" si="1249"/>
        <v>339000</v>
      </c>
      <c r="O2205" s="18">
        <f t="shared" si="1249"/>
        <v>211537.54</v>
      </c>
      <c r="P2205" s="26">
        <f t="shared" si="1227"/>
        <v>0</v>
      </c>
      <c r="Q2205" s="18">
        <f t="shared" si="1249"/>
        <v>339000</v>
      </c>
      <c r="R2205" s="18">
        <f t="shared" si="1249"/>
        <v>378500</v>
      </c>
      <c r="S2205" s="18">
        <f t="shared" si="1249"/>
        <v>380200</v>
      </c>
      <c r="T2205" s="27">
        <f t="shared" si="1249"/>
        <v>339000</v>
      </c>
      <c r="U2205" s="27">
        <f t="shared" si="1249"/>
        <v>339000</v>
      </c>
      <c r="V2205" s="18">
        <f t="shared" si="1249"/>
        <v>320400</v>
      </c>
      <c r="W2205" s="18">
        <f t="shared" si="1249"/>
        <v>309000</v>
      </c>
      <c r="X2205" s="18">
        <f t="shared" si="1249"/>
        <v>319000</v>
      </c>
      <c r="Y2205" s="18">
        <f t="shared" si="1249"/>
        <v>207418.28</v>
      </c>
      <c r="Z2205" s="18">
        <f t="shared" si="1219"/>
        <v>64.739999999999995</v>
      </c>
      <c r="AA2205" s="18">
        <f t="shared" si="1220"/>
        <v>0</v>
      </c>
      <c r="AB2205" s="18">
        <f t="shared" si="1249"/>
        <v>320400</v>
      </c>
      <c r="AC2205" s="18">
        <f t="shared" si="1249"/>
        <v>316406.48</v>
      </c>
      <c r="AD2205" s="18">
        <f t="shared" si="1239"/>
        <v>98.753583021223463</v>
      </c>
      <c r="AE2205" s="18">
        <f t="shared" si="1240"/>
        <v>0</v>
      </c>
      <c r="AF2205" s="18">
        <f t="shared" si="1249"/>
        <v>320400</v>
      </c>
      <c r="AG2205" s="18">
        <f t="shared" si="1249"/>
        <v>320400</v>
      </c>
      <c r="AH2205" s="18">
        <f t="shared" si="1249"/>
        <v>320400</v>
      </c>
      <c r="AI2205" s="18">
        <f t="shared" si="1249"/>
        <v>320400</v>
      </c>
      <c r="AJ2205" s="162" t="b">
        <f t="shared" si="1242"/>
        <v>1</v>
      </c>
      <c r="AK2205" s="162" t="str">
        <f t="shared" si="1243"/>
        <v>PRAZNO</v>
      </c>
      <c r="AM2205" s="164"/>
    </row>
    <row r="2206" spans="1:39" ht="15.75" x14ac:dyDescent="0.2">
      <c r="B2206" s="177"/>
      <c r="C2206" s="177"/>
      <c r="D2206" s="177">
        <v>321</v>
      </c>
      <c r="E2206" s="177"/>
      <c r="F2206" s="176"/>
      <c r="G2206" s="176"/>
      <c r="H2206" s="16" t="s">
        <v>564</v>
      </c>
      <c r="I2206" s="18">
        <f>I2207</f>
        <v>360000</v>
      </c>
      <c r="J2206" s="18">
        <f>J2207</f>
        <v>289059.8</v>
      </c>
      <c r="K2206" s="18">
        <f t="shared" si="1236"/>
        <v>80.290000000000006</v>
      </c>
      <c r="L2206" s="18">
        <f>M2206-I2206</f>
        <v>16700</v>
      </c>
      <c r="M2206" s="18">
        <f>M2207</f>
        <v>376700</v>
      </c>
      <c r="N2206" s="18">
        <f>N2207</f>
        <v>339000</v>
      </c>
      <c r="O2206" s="18">
        <f>O2207</f>
        <v>211537.54</v>
      </c>
      <c r="P2206" s="26">
        <f t="shared" si="1227"/>
        <v>0</v>
      </c>
      <c r="Q2206" s="18">
        <f t="shared" si="1249"/>
        <v>339000</v>
      </c>
      <c r="R2206" s="18">
        <f t="shared" si="1249"/>
        <v>378500</v>
      </c>
      <c r="S2206" s="18">
        <f t="shared" si="1249"/>
        <v>380200</v>
      </c>
      <c r="T2206" s="27">
        <f t="shared" si="1249"/>
        <v>339000</v>
      </c>
      <c r="U2206" s="27">
        <f t="shared" si="1249"/>
        <v>339000</v>
      </c>
      <c r="V2206" s="178">
        <f t="shared" si="1249"/>
        <v>320400</v>
      </c>
      <c r="W2206" s="178">
        <f t="shared" si="1249"/>
        <v>309000</v>
      </c>
      <c r="X2206" s="178">
        <f t="shared" si="1249"/>
        <v>319000</v>
      </c>
      <c r="Y2206" s="178">
        <f t="shared" si="1249"/>
        <v>207418.28</v>
      </c>
      <c r="Z2206" s="178">
        <f t="shared" si="1219"/>
        <v>64.739999999999995</v>
      </c>
      <c r="AA2206" s="178">
        <f t="shared" si="1220"/>
        <v>0</v>
      </c>
      <c r="AB2206" s="178">
        <f t="shared" si="1249"/>
        <v>320400</v>
      </c>
      <c r="AC2206" s="178">
        <f t="shared" si="1249"/>
        <v>316406.48</v>
      </c>
      <c r="AD2206" s="178">
        <f t="shared" si="1239"/>
        <v>98.753583021223463</v>
      </c>
      <c r="AE2206" s="178">
        <f t="shared" si="1240"/>
        <v>0</v>
      </c>
      <c r="AF2206" s="178">
        <f t="shared" si="1249"/>
        <v>320400</v>
      </c>
      <c r="AG2206" s="178">
        <f t="shared" si="1249"/>
        <v>320400</v>
      </c>
      <c r="AH2206" s="178">
        <f t="shared" si="1249"/>
        <v>320400</v>
      </c>
      <c r="AI2206" s="178">
        <f t="shared" si="1249"/>
        <v>320400</v>
      </c>
      <c r="AJ2206" s="162" t="b">
        <f t="shared" si="1242"/>
        <v>1</v>
      </c>
      <c r="AK2206" s="162" t="str">
        <f t="shared" si="1243"/>
        <v>PRAZNO</v>
      </c>
      <c r="AM2206" s="164"/>
    </row>
    <row r="2207" spans="1:39" ht="15.75" x14ac:dyDescent="0.2">
      <c r="B2207" s="177"/>
      <c r="C2207" s="177"/>
      <c r="D2207" s="177"/>
      <c r="E2207" s="177">
        <v>3212</v>
      </c>
      <c r="F2207" s="176">
        <v>54</v>
      </c>
      <c r="G2207" s="176"/>
      <c r="H2207" s="16" t="s">
        <v>220</v>
      </c>
      <c r="I2207" s="18">
        <v>360000</v>
      </c>
      <c r="J2207" s="18">
        <v>289059.8</v>
      </c>
      <c r="K2207" s="18">
        <f t="shared" si="1236"/>
        <v>80.290000000000006</v>
      </c>
      <c r="L2207" s="18">
        <f>M2207-I2207</f>
        <v>16700</v>
      </c>
      <c r="M2207" s="18">
        <v>376700</v>
      </c>
      <c r="N2207" s="18">
        <v>339000</v>
      </c>
      <c r="O2207" s="18">
        <v>211537.54</v>
      </c>
      <c r="P2207" s="26">
        <f t="shared" si="1227"/>
        <v>0</v>
      </c>
      <c r="Q2207" s="18">
        <v>339000</v>
      </c>
      <c r="R2207" s="18">
        <v>378500</v>
      </c>
      <c r="S2207" s="18">
        <v>380200</v>
      </c>
      <c r="T2207" s="27">
        <v>339000</v>
      </c>
      <c r="U2207" s="27">
        <v>339000</v>
      </c>
      <c r="V2207" s="266">
        <v>320400</v>
      </c>
      <c r="W2207" s="266">
        <v>309000</v>
      </c>
      <c r="X2207" s="178">
        <v>319000</v>
      </c>
      <c r="Y2207" s="266">
        <v>207418.28</v>
      </c>
      <c r="Z2207" s="266">
        <f t="shared" si="1219"/>
        <v>64.739999999999995</v>
      </c>
      <c r="AA2207" s="266">
        <f t="shared" si="1220"/>
        <v>0</v>
      </c>
      <c r="AB2207" s="266">
        <v>320400</v>
      </c>
      <c r="AC2207" s="266">
        <v>316406.48</v>
      </c>
      <c r="AD2207" s="266">
        <f t="shared" si="1239"/>
        <v>98.753583021223463</v>
      </c>
      <c r="AE2207" s="266">
        <f t="shared" si="1240"/>
        <v>0</v>
      </c>
      <c r="AF2207" s="266">
        <v>320400</v>
      </c>
      <c r="AG2207" s="697">
        <v>320400</v>
      </c>
      <c r="AH2207" s="697">
        <v>320400</v>
      </c>
      <c r="AI2207" s="697">
        <v>320400</v>
      </c>
      <c r="AJ2207" s="162" t="b">
        <f t="shared" si="1242"/>
        <v>0</v>
      </c>
      <c r="AK2207" s="162" t="str">
        <f t="shared" si="1243"/>
        <v>PUNO</v>
      </c>
      <c r="AM2207" s="164"/>
    </row>
    <row r="2208" spans="1:39" s="171" customFormat="1" ht="47.25" x14ac:dyDescent="0.2">
      <c r="A2208" s="259"/>
      <c r="B2208" s="209"/>
      <c r="C2208" s="209"/>
      <c r="D2208" s="209"/>
      <c r="E2208" s="209"/>
      <c r="F2208" s="219"/>
      <c r="G2208" s="219"/>
      <c r="H2208" s="31" t="s">
        <v>863</v>
      </c>
      <c r="I2208" s="169">
        <f>I2210</f>
        <v>200400</v>
      </c>
      <c r="J2208" s="169">
        <f>J2210</f>
        <v>127236</v>
      </c>
      <c r="K2208" s="169">
        <f t="shared" si="1236"/>
        <v>63.49</v>
      </c>
      <c r="L2208" s="169">
        <f>M2208-I2208</f>
        <v>-16700</v>
      </c>
      <c r="M2208" s="19">
        <f>M2210</f>
        <v>183700</v>
      </c>
      <c r="N2208" s="19">
        <f>N2210</f>
        <v>165300</v>
      </c>
      <c r="O2208" s="19">
        <f>O2210</f>
        <v>99602.22</v>
      </c>
      <c r="P2208" s="303">
        <f t="shared" si="1227"/>
        <v>0</v>
      </c>
      <c r="Q2208" s="19">
        <f t="shared" ref="Q2208:X2208" si="1250">Q2210</f>
        <v>165300</v>
      </c>
      <c r="R2208" s="19">
        <f t="shared" si="1250"/>
        <v>184900</v>
      </c>
      <c r="S2208" s="19">
        <f t="shared" si="1250"/>
        <v>185500</v>
      </c>
      <c r="T2208" s="53">
        <f t="shared" si="1250"/>
        <v>165300</v>
      </c>
      <c r="U2208" s="53">
        <f>U2210</f>
        <v>165300</v>
      </c>
      <c r="V2208" s="19">
        <f t="shared" si="1250"/>
        <v>156800</v>
      </c>
      <c r="W2208" s="19">
        <f t="shared" si="1250"/>
        <v>145300</v>
      </c>
      <c r="X2208" s="19">
        <f t="shared" si="1250"/>
        <v>150000</v>
      </c>
      <c r="Y2208" s="19">
        <f>Y2210</f>
        <v>119027.16</v>
      </c>
      <c r="Z2208" s="19">
        <f t="shared" ref="Z2208:Z2280" si="1251">ROUND(Y2208/V2208*100,2)</f>
        <v>75.91</v>
      </c>
      <c r="AA2208" s="19">
        <f t="shared" si="1220"/>
        <v>0</v>
      </c>
      <c r="AB2208" s="19">
        <f>AB2210</f>
        <v>156800</v>
      </c>
      <c r="AC2208" s="19">
        <f>AC2210</f>
        <v>156800</v>
      </c>
      <c r="AD2208" s="19">
        <f t="shared" si="1239"/>
        <v>100</v>
      </c>
      <c r="AE2208" s="19">
        <f t="shared" si="1240"/>
        <v>0</v>
      </c>
      <c r="AF2208" s="19">
        <f>AF2210</f>
        <v>156800</v>
      </c>
      <c r="AG2208" s="19">
        <f>AG2210</f>
        <v>156800</v>
      </c>
      <c r="AH2208" s="19">
        <f>AH2210</f>
        <v>156800</v>
      </c>
      <c r="AI2208" s="19">
        <f>AI2210</f>
        <v>156800</v>
      </c>
      <c r="AJ2208" s="162" t="b">
        <f t="shared" si="1242"/>
        <v>1</v>
      </c>
      <c r="AK2208" s="162" t="str">
        <f t="shared" si="1243"/>
        <v>PRAZNO</v>
      </c>
      <c r="AL2208" s="170"/>
      <c r="AM2208" s="164"/>
    </row>
    <row r="2209" spans="1:39" s="264" customFormat="1" ht="21.75" customHeight="1" x14ac:dyDescent="0.2">
      <c r="A2209" s="259"/>
      <c r="B2209" s="177"/>
      <c r="C2209" s="177"/>
      <c r="D2209" s="177"/>
      <c r="E2209" s="177"/>
      <c r="F2209" s="265"/>
      <c r="G2209" s="265"/>
      <c r="H2209" s="471" t="s">
        <v>830</v>
      </c>
      <c r="I2209" s="181"/>
      <c r="J2209" s="181"/>
      <c r="K2209" s="181"/>
      <c r="L2209" s="181"/>
      <c r="M2209" s="262"/>
      <c r="N2209" s="262"/>
      <c r="O2209" s="262"/>
      <c r="P2209" s="445"/>
      <c r="Q2209" s="262"/>
      <c r="R2209" s="262"/>
      <c r="S2209" s="262"/>
      <c r="T2209" s="342"/>
      <c r="U2209" s="342"/>
      <c r="V2209" s="262">
        <f>V2210</f>
        <v>156800</v>
      </c>
      <c r="W2209" s="262">
        <f>W2210</f>
        <v>145300</v>
      </c>
      <c r="X2209" s="262">
        <f>X2210</f>
        <v>150000</v>
      </c>
      <c r="Y2209" s="262">
        <f>Y2210</f>
        <v>119027.16</v>
      </c>
      <c r="Z2209" s="262">
        <f t="shared" si="1251"/>
        <v>75.91</v>
      </c>
      <c r="AA2209" s="262">
        <f t="shared" ref="AA2209:AA2230" si="1252">AB2209-V2209</f>
        <v>0</v>
      </c>
      <c r="AB2209" s="262">
        <f>AB2210</f>
        <v>156800</v>
      </c>
      <c r="AC2209" s="262">
        <f>AC2210</f>
        <v>156800</v>
      </c>
      <c r="AD2209" s="262">
        <f t="shared" si="1239"/>
        <v>100</v>
      </c>
      <c r="AE2209" s="262">
        <f t="shared" si="1240"/>
        <v>0</v>
      </c>
      <c r="AF2209" s="262">
        <f>AF2210</f>
        <v>156800</v>
      </c>
      <c r="AG2209" s="262">
        <f>AG2210</f>
        <v>156800</v>
      </c>
      <c r="AH2209" s="262">
        <f>AH2210</f>
        <v>156800</v>
      </c>
      <c r="AI2209" s="262">
        <f>AI2210</f>
        <v>156800</v>
      </c>
      <c r="AJ2209" s="162" t="b">
        <f t="shared" si="1242"/>
        <v>1</v>
      </c>
      <c r="AK2209" s="162" t="str">
        <f t="shared" si="1243"/>
        <v>PRAZNO</v>
      </c>
      <c r="AL2209" s="263"/>
    </row>
    <row r="2210" spans="1:39" s="174" customFormat="1" ht="15.75" x14ac:dyDescent="0.2">
      <c r="A2210" s="259"/>
      <c r="B2210" s="172">
        <v>3</v>
      </c>
      <c r="C2210" s="172"/>
      <c r="D2210" s="172"/>
      <c r="E2210" s="172"/>
      <c r="F2210" s="220"/>
      <c r="G2210" s="220"/>
      <c r="H2210" s="14" t="s">
        <v>524</v>
      </c>
      <c r="I2210" s="20">
        <f t="shared" ref="I2210:AI2212" si="1253">I2211</f>
        <v>200400</v>
      </c>
      <c r="J2210" s="20">
        <f t="shared" si="1253"/>
        <v>127236</v>
      </c>
      <c r="K2210" s="20">
        <f t="shared" si="1236"/>
        <v>63.49</v>
      </c>
      <c r="L2210" s="20">
        <f>M2210-I2210</f>
        <v>-16700</v>
      </c>
      <c r="M2210" s="20">
        <f t="shared" si="1253"/>
        <v>183700</v>
      </c>
      <c r="N2210" s="20">
        <f t="shared" si="1253"/>
        <v>165300</v>
      </c>
      <c r="O2210" s="20">
        <f t="shared" si="1253"/>
        <v>99602.22</v>
      </c>
      <c r="P2210" s="55">
        <f t="shared" si="1227"/>
        <v>0</v>
      </c>
      <c r="Q2210" s="20">
        <f t="shared" si="1253"/>
        <v>165300</v>
      </c>
      <c r="R2210" s="20">
        <f t="shared" si="1253"/>
        <v>184900</v>
      </c>
      <c r="S2210" s="20">
        <f t="shared" si="1253"/>
        <v>185500</v>
      </c>
      <c r="T2210" s="55">
        <f t="shared" si="1253"/>
        <v>165300</v>
      </c>
      <c r="U2210" s="55">
        <f t="shared" si="1253"/>
        <v>165300</v>
      </c>
      <c r="V2210" s="20">
        <f t="shared" si="1253"/>
        <v>156800</v>
      </c>
      <c r="W2210" s="20">
        <f t="shared" si="1253"/>
        <v>145300</v>
      </c>
      <c r="X2210" s="20">
        <f t="shared" si="1253"/>
        <v>150000</v>
      </c>
      <c r="Y2210" s="20">
        <f t="shared" si="1253"/>
        <v>119027.16</v>
      </c>
      <c r="Z2210" s="20">
        <f t="shared" si="1251"/>
        <v>75.91</v>
      </c>
      <c r="AA2210" s="20">
        <f t="shared" si="1252"/>
        <v>0</v>
      </c>
      <c r="AB2210" s="20">
        <f t="shared" si="1253"/>
        <v>156800</v>
      </c>
      <c r="AC2210" s="20">
        <f t="shared" si="1253"/>
        <v>156800</v>
      </c>
      <c r="AD2210" s="20">
        <f t="shared" si="1239"/>
        <v>100</v>
      </c>
      <c r="AE2210" s="20">
        <f t="shared" si="1240"/>
        <v>0</v>
      </c>
      <c r="AF2210" s="20">
        <f t="shared" si="1253"/>
        <v>156800</v>
      </c>
      <c r="AG2210" s="20">
        <f t="shared" si="1253"/>
        <v>156800</v>
      </c>
      <c r="AH2210" s="20">
        <f t="shared" si="1253"/>
        <v>156800</v>
      </c>
      <c r="AI2210" s="20">
        <f t="shared" si="1253"/>
        <v>156800</v>
      </c>
      <c r="AJ2210" s="162" t="b">
        <f t="shared" si="1242"/>
        <v>1</v>
      </c>
      <c r="AK2210" s="162" t="str">
        <f t="shared" si="1243"/>
        <v>PRAZNO</v>
      </c>
      <c r="AL2210" s="173"/>
      <c r="AM2210" s="164"/>
    </row>
    <row r="2211" spans="1:39" ht="15.75" x14ac:dyDescent="0.2">
      <c r="B2211" s="177"/>
      <c r="C2211" s="177">
        <v>32</v>
      </c>
      <c r="D2211" s="177"/>
      <c r="E2211" s="177"/>
      <c r="F2211" s="176"/>
      <c r="G2211" s="176"/>
      <c r="H2211" s="16" t="s">
        <v>525</v>
      </c>
      <c r="I2211" s="18">
        <f t="shared" si="1253"/>
        <v>200400</v>
      </c>
      <c r="J2211" s="18">
        <f t="shared" si="1253"/>
        <v>127236</v>
      </c>
      <c r="K2211" s="18">
        <f t="shared" si="1236"/>
        <v>63.49</v>
      </c>
      <c r="L2211" s="18">
        <f>M2211-I2211</f>
        <v>-16700</v>
      </c>
      <c r="M2211" s="18">
        <f t="shared" si="1253"/>
        <v>183700</v>
      </c>
      <c r="N2211" s="18">
        <f t="shared" si="1253"/>
        <v>165300</v>
      </c>
      <c r="O2211" s="18">
        <f t="shared" si="1253"/>
        <v>99602.22</v>
      </c>
      <c r="P2211" s="26">
        <f t="shared" si="1227"/>
        <v>0</v>
      </c>
      <c r="Q2211" s="18">
        <f t="shared" si="1253"/>
        <v>165300</v>
      </c>
      <c r="R2211" s="18">
        <f t="shared" si="1253"/>
        <v>184900</v>
      </c>
      <c r="S2211" s="18">
        <f t="shared" si="1253"/>
        <v>185500</v>
      </c>
      <c r="T2211" s="27">
        <f t="shared" si="1253"/>
        <v>165300</v>
      </c>
      <c r="U2211" s="27">
        <f t="shared" si="1253"/>
        <v>165300</v>
      </c>
      <c r="V2211" s="18">
        <f t="shared" si="1253"/>
        <v>156800</v>
      </c>
      <c r="W2211" s="18">
        <f t="shared" si="1253"/>
        <v>145300</v>
      </c>
      <c r="X2211" s="18">
        <f t="shared" si="1253"/>
        <v>150000</v>
      </c>
      <c r="Y2211" s="18">
        <f t="shared" si="1253"/>
        <v>119027.16</v>
      </c>
      <c r="Z2211" s="18">
        <f t="shared" si="1251"/>
        <v>75.91</v>
      </c>
      <c r="AA2211" s="18">
        <f t="shared" si="1252"/>
        <v>0</v>
      </c>
      <c r="AB2211" s="18">
        <f t="shared" si="1253"/>
        <v>156800</v>
      </c>
      <c r="AC2211" s="18">
        <f t="shared" si="1253"/>
        <v>156800</v>
      </c>
      <c r="AD2211" s="18">
        <f t="shared" si="1239"/>
        <v>100</v>
      </c>
      <c r="AE2211" s="18">
        <f t="shared" si="1240"/>
        <v>0</v>
      </c>
      <c r="AF2211" s="18">
        <f t="shared" si="1253"/>
        <v>156800</v>
      </c>
      <c r="AG2211" s="18">
        <f t="shared" si="1253"/>
        <v>156800</v>
      </c>
      <c r="AH2211" s="18">
        <f t="shared" si="1253"/>
        <v>156800</v>
      </c>
      <c r="AI2211" s="18">
        <f t="shared" si="1253"/>
        <v>156800</v>
      </c>
      <c r="AJ2211" s="162" t="b">
        <f t="shared" si="1242"/>
        <v>1</v>
      </c>
      <c r="AK2211" s="162" t="str">
        <f t="shared" si="1243"/>
        <v>PRAZNO</v>
      </c>
      <c r="AM2211" s="164"/>
    </row>
    <row r="2212" spans="1:39" ht="15.75" x14ac:dyDescent="0.2">
      <c r="B2212" s="177"/>
      <c r="C2212" s="177"/>
      <c r="D2212" s="177">
        <v>321</v>
      </c>
      <c r="E2212" s="177"/>
      <c r="F2212" s="176"/>
      <c r="G2212" s="176"/>
      <c r="H2212" s="16" t="s">
        <v>564</v>
      </c>
      <c r="I2212" s="18">
        <f>I2213</f>
        <v>200400</v>
      </c>
      <c r="J2212" s="18">
        <f>J2213</f>
        <v>127236</v>
      </c>
      <c r="K2212" s="18">
        <f t="shared" si="1236"/>
        <v>63.49</v>
      </c>
      <c r="L2212" s="18">
        <f>M2212-I2212</f>
        <v>-16700</v>
      </c>
      <c r="M2212" s="18">
        <f>M2213</f>
        <v>183700</v>
      </c>
      <c r="N2212" s="18">
        <f>N2213</f>
        <v>165300</v>
      </c>
      <c r="O2212" s="18">
        <f>O2213</f>
        <v>99602.22</v>
      </c>
      <c r="P2212" s="26">
        <f t="shared" si="1227"/>
        <v>0</v>
      </c>
      <c r="Q2212" s="18">
        <f t="shared" si="1253"/>
        <v>165300</v>
      </c>
      <c r="R2212" s="18">
        <f t="shared" si="1253"/>
        <v>184900</v>
      </c>
      <c r="S2212" s="18">
        <f t="shared" si="1253"/>
        <v>185500</v>
      </c>
      <c r="T2212" s="27">
        <f t="shared" si="1253"/>
        <v>165300</v>
      </c>
      <c r="U2212" s="27">
        <f t="shared" si="1253"/>
        <v>165300</v>
      </c>
      <c r="V2212" s="18">
        <f t="shared" si="1253"/>
        <v>156800</v>
      </c>
      <c r="W2212" s="18">
        <f t="shared" si="1253"/>
        <v>145300</v>
      </c>
      <c r="X2212" s="18">
        <f t="shared" si="1253"/>
        <v>150000</v>
      </c>
      <c r="Y2212" s="18">
        <f t="shared" si="1253"/>
        <v>119027.16</v>
      </c>
      <c r="Z2212" s="18">
        <f t="shared" si="1251"/>
        <v>75.91</v>
      </c>
      <c r="AA2212" s="18">
        <f t="shared" si="1252"/>
        <v>0</v>
      </c>
      <c r="AB2212" s="18">
        <f t="shared" si="1253"/>
        <v>156800</v>
      </c>
      <c r="AC2212" s="18">
        <f t="shared" si="1253"/>
        <v>156800</v>
      </c>
      <c r="AD2212" s="18">
        <f t="shared" si="1239"/>
        <v>100</v>
      </c>
      <c r="AE2212" s="18">
        <f t="shared" si="1240"/>
        <v>0</v>
      </c>
      <c r="AF2212" s="18">
        <f t="shared" si="1253"/>
        <v>156800</v>
      </c>
      <c r="AG2212" s="18">
        <f t="shared" si="1253"/>
        <v>156800</v>
      </c>
      <c r="AH2212" s="18">
        <f t="shared" si="1253"/>
        <v>156800</v>
      </c>
      <c r="AI2212" s="18">
        <f t="shared" si="1253"/>
        <v>156800</v>
      </c>
      <c r="AJ2212" s="162" t="b">
        <f t="shared" si="1242"/>
        <v>1</v>
      </c>
      <c r="AK2212" s="162" t="str">
        <f t="shared" si="1243"/>
        <v>PRAZNO</v>
      </c>
      <c r="AM2212" s="164"/>
    </row>
    <row r="2213" spans="1:39" ht="15.75" x14ac:dyDescent="0.2">
      <c r="B2213" s="177"/>
      <c r="C2213" s="177"/>
      <c r="D2213" s="177"/>
      <c r="E2213" s="177">
        <v>3212</v>
      </c>
      <c r="F2213" s="176">
        <v>54</v>
      </c>
      <c r="G2213" s="176"/>
      <c r="H2213" s="16" t="s">
        <v>220</v>
      </c>
      <c r="I2213" s="18">
        <v>200400</v>
      </c>
      <c r="J2213" s="18">
        <v>127236</v>
      </c>
      <c r="K2213" s="18">
        <f t="shared" si="1236"/>
        <v>63.49</v>
      </c>
      <c r="L2213" s="18">
        <f>M2213-I2213</f>
        <v>-16700</v>
      </c>
      <c r="M2213" s="18">
        <v>183700</v>
      </c>
      <c r="N2213" s="18">
        <v>165300</v>
      </c>
      <c r="O2213" s="18">
        <v>99602.22</v>
      </c>
      <c r="P2213" s="26">
        <f t="shared" si="1227"/>
        <v>0</v>
      </c>
      <c r="Q2213" s="18">
        <v>165300</v>
      </c>
      <c r="R2213" s="18">
        <v>184900</v>
      </c>
      <c r="S2213" s="18">
        <v>185500</v>
      </c>
      <c r="T2213" s="27">
        <v>165300</v>
      </c>
      <c r="U2213" s="27">
        <v>165300</v>
      </c>
      <c r="V2213" s="266">
        <v>156800</v>
      </c>
      <c r="W2213" s="266">
        <v>145300</v>
      </c>
      <c r="X2213" s="178">
        <v>150000</v>
      </c>
      <c r="Y2213" s="266">
        <v>119027.16</v>
      </c>
      <c r="Z2213" s="266">
        <f t="shared" si="1251"/>
        <v>75.91</v>
      </c>
      <c r="AA2213" s="266">
        <f t="shared" si="1252"/>
        <v>0</v>
      </c>
      <c r="AB2213" s="266">
        <v>156800</v>
      </c>
      <c r="AC2213" s="266">
        <v>156800</v>
      </c>
      <c r="AD2213" s="266">
        <f t="shared" si="1239"/>
        <v>100</v>
      </c>
      <c r="AE2213" s="266">
        <f t="shared" si="1240"/>
        <v>0</v>
      </c>
      <c r="AF2213" s="266">
        <v>156800</v>
      </c>
      <c r="AG2213" s="266">
        <v>156800</v>
      </c>
      <c r="AH2213" s="266">
        <v>156800</v>
      </c>
      <c r="AI2213" s="266">
        <v>156800</v>
      </c>
      <c r="AJ2213" s="162" t="b">
        <f t="shared" si="1242"/>
        <v>0</v>
      </c>
      <c r="AK2213" s="162" t="str">
        <f t="shared" si="1243"/>
        <v>PUNO</v>
      </c>
      <c r="AM2213" s="164"/>
    </row>
    <row r="2214" spans="1:39" s="171" customFormat="1" ht="15.75" x14ac:dyDescent="0.2">
      <c r="A2214" s="259"/>
      <c r="B2214" s="168"/>
      <c r="C2214" s="168"/>
      <c r="D2214" s="168"/>
      <c r="E2214" s="168"/>
      <c r="F2214" s="168"/>
      <c r="G2214" s="168"/>
      <c r="H2214" s="13" t="s">
        <v>618</v>
      </c>
      <c r="I2214" s="169">
        <f>I2216</f>
        <v>212200</v>
      </c>
      <c r="J2214" s="169">
        <f>J2216</f>
        <v>102169.95</v>
      </c>
      <c r="K2214" s="169">
        <f>ROUND(J2214/I2214*100,2)</f>
        <v>48.15</v>
      </c>
      <c r="L2214" s="169">
        <f>M2214-I2214</f>
        <v>-24943.559999999998</v>
      </c>
      <c r="M2214" s="19">
        <f>M2216</f>
        <v>187256.44</v>
      </c>
      <c r="N2214" s="19">
        <f>N2216</f>
        <v>290000</v>
      </c>
      <c r="O2214" s="19">
        <f>O2216</f>
        <v>221373.68</v>
      </c>
      <c r="P2214" s="303">
        <f t="shared" si="1227"/>
        <v>-15600</v>
      </c>
      <c r="Q2214" s="19">
        <f t="shared" ref="Q2214:X2214" si="1254">Q2216</f>
        <v>290000</v>
      </c>
      <c r="R2214" s="19">
        <f t="shared" si="1254"/>
        <v>275000</v>
      </c>
      <c r="S2214" s="19">
        <f t="shared" si="1254"/>
        <v>295000</v>
      </c>
      <c r="T2214" s="53">
        <f t="shared" si="1254"/>
        <v>274400</v>
      </c>
      <c r="U2214" s="53">
        <f>U2216</f>
        <v>328537</v>
      </c>
      <c r="V2214" s="19">
        <f t="shared" si="1254"/>
        <v>0</v>
      </c>
      <c r="W2214" s="19">
        <f t="shared" si="1254"/>
        <v>290000</v>
      </c>
      <c r="X2214" s="19">
        <f t="shared" si="1254"/>
        <v>298000</v>
      </c>
      <c r="Y2214" s="19">
        <f>Y2216</f>
        <v>0</v>
      </c>
      <c r="Z2214" s="19" t="e">
        <f t="shared" si="1251"/>
        <v>#DIV/0!</v>
      </c>
      <c r="AA2214" s="19">
        <f t="shared" si="1252"/>
        <v>0</v>
      </c>
      <c r="AB2214" s="19">
        <f>AB2216</f>
        <v>0</v>
      </c>
      <c r="AC2214" s="19">
        <f>AC2216</f>
        <v>0</v>
      </c>
      <c r="AD2214" s="19"/>
      <c r="AE2214" s="19">
        <f t="shared" si="1240"/>
        <v>0</v>
      </c>
      <c r="AF2214" s="19">
        <f>AF2216</f>
        <v>0</v>
      </c>
      <c r="AG2214" s="19">
        <f>AG2216</f>
        <v>0</v>
      </c>
      <c r="AH2214" s="19">
        <f>AH2216</f>
        <v>0</v>
      </c>
      <c r="AI2214" s="19">
        <f>AI2216</f>
        <v>0</v>
      </c>
      <c r="AJ2214" s="162" t="b">
        <f t="shared" si="1242"/>
        <v>1</v>
      </c>
      <c r="AK2214" s="162" t="str">
        <f t="shared" si="1243"/>
        <v>PRAZNO</v>
      </c>
      <c r="AL2214" s="170"/>
      <c r="AM2214" s="164"/>
    </row>
    <row r="2215" spans="1:39" s="264" customFormat="1" ht="22.5" customHeight="1" x14ac:dyDescent="0.2">
      <c r="A2215" s="259"/>
      <c r="B2215" s="260"/>
      <c r="C2215" s="260"/>
      <c r="D2215" s="260"/>
      <c r="E2215" s="260"/>
      <c r="F2215" s="260"/>
      <c r="G2215" s="260"/>
      <c r="H2215" s="471" t="s">
        <v>830</v>
      </c>
      <c r="I2215" s="181"/>
      <c r="J2215" s="181"/>
      <c r="K2215" s="181"/>
      <c r="L2215" s="181"/>
      <c r="M2215" s="262"/>
      <c r="N2215" s="262"/>
      <c r="O2215" s="262"/>
      <c r="P2215" s="445"/>
      <c r="Q2215" s="262"/>
      <c r="R2215" s="262"/>
      <c r="S2215" s="262"/>
      <c r="T2215" s="342"/>
      <c r="U2215" s="342"/>
      <c r="V2215" s="262">
        <f>V2216</f>
        <v>0</v>
      </c>
      <c r="W2215" s="262">
        <f>W2216</f>
        <v>290000</v>
      </c>
      <c r="X2215" s="262">
        <f>X2216</f>
        <v>298000</v>
      </c>
      <c r="Y2215" s="262">
        <f>Y2216</f>
        <v>0</v>
      </c>
      <c r="Z2215" s="262" t="e">
        <f t="shared" si="1251"/>
        <v>#DIV/0!</v>
      </c>
      <c r="AA2215" s="262">
        <f t="shared" si="1252"/>
        <v>0</v>
      </c>
      <c r="AB2215" s="262">
        <f>AB2216</f>
        <v>0</v>
      </c>
      <c r="AC2215" s="262">
        <f>AC2216</f>
        <v>0</v>
      </c>
      <c r="AD2215" s="262"/>
      <c r="AE2215" s="262">
        <f t="shared" si="1240"/>
        <v>0</v>
      </c>
      <c r="AF2215" s="262">
        <f>AF2216</f>
        <v>0</v>
      </c>
      <c r="AG2215" s="262">
        <f>AG2216</f>
        <v>0</v>
      </c>
      <c r="AH2215" s="262">
        <f>AH2216</f>
        <v>0</v>
      </c>
      <c r="AI2215" s="262">
        <f>AI2216</f>
        <v>0</v>
      </c>
      <c r="AJ2215" s="162" t="b">
        <f t="shared" si="1242"/>
        <v>1</v>
      </c>
      <c r="AK2215" s="162" t="str">
        <f t="shared" si="1243"/>
        <v>PRAZNO</v>
      </c>
      <c r="AL2215" s="263"/>
    </row>
    <row r="2216" spans="1:39" s="174" customFormat="1" ht="15.75" x14ac:dyDescent="0.2">
      <c r="A2216" s="259"/>
      <c r="B2216" s="172">
        <v>4</v>
      </c>
      <c r="C2216" s="172"/>
      <c r="D2216" s="172"/>
      <c r="E2216" s="172"/>
      <c r="F2216" s="172"/>
      <c r="G2216" s="172"/>
      <c r="H2216" s="14" t="s">
        <v>552</v>
      </c>
      <c r="I2216" s="20">
        <f t="shared" ref="I2216:AI2216" si="1255">I2217</f>
        <v>212200</v>
      </c>
      <c r="J2216" s="20">
        <f t="shared" si="1255"/>
        <v>102169.95</v>
      </c>
      <c r="K2216" s="20">
        <f>ROUND(J2216/I2216*100,2)</f>
        <v>48.15</v>
      </c>
      <c r="L2216" s="20">
        <f>M2216-I2216</f>
        <v>-24943.559999999998</v>
      </c>
      <c r="M2216" s="20">
        <f t="shared" si="1255"/>
        <v>187256.44</v>
      </c>
      <c r="N2216" s="20">
        <f t="shared" si="1255"/>
        <v>290000</v>
      </c>
      <c r="O2216" s="20">
        <f t="shared" si="1255"/>
        <v>221373.68</v>
      </c>
      <c r="P2216" s="55">
        <f t="shared" si="1227"/>
        <v>-15600</v>
      </c>
      <c r="Q2216" s="20">
        <f t="shared" si="1255"/>
        <v>290000</v>
      </c>
      <c r="R2216" s="20">
        <f t="shared" si="1255"/>
        <v>275000</v>
      </c>
      <c r="S2216" s="20">
        <f t="shared" si="1255"/>
        <v>295000</v>
      </c>
      <c r="T2216" s="55">
        <f t="shared" si="1255"/>
        <v>274400</v>
      </c>
      <c r="U2216" s="55">
        <f t="shared" si="1255"/>
        <v>328537</v>
      </c>
      <c r="V2216" s="20">
        <f t="shared" si="1255"/>
        <v>0</v>
      </c>
      <c r="W2216" s="20">
        <f t="shared" si="1255"/>
        <v>290000</v>
      </c>
      <c r="X2216" s="20">
        <f t="shared" si="1255"/>
        <v>298000</v>
      </c>
      <c r="Y2216" s="20">
        <f t="shared" si="1255"/>
        <v>0</v>
      </c>
      <c r="Z2216" s="20" t="e">
        <f t="shared" si="1251"/>
        <v>#DIV/0!</v>
      </c>
      <c r="AA2216" s="20">
        <f t="shared" si="1252"/>
        <v>0</v>
      </c>
      <c r="AB2216" s="20">
        <f t="shared" si="1255"/>
        <v>0</v>
      </c>
      <c r="AC2216" s="20">
        <f t="shared" si="1255"/>
        <v>0</v>
      </c>
      <c r="AD2216" s="20"/>
      <c r="AE2216" s="20">
        <f t="shared" si="1240"/>
        <v>0</v>
      </c>
      <c r="AF2216" s="20">
        <f t="shared" si="1255"/>
        <v>0</v>
      </c>
      <c r="AG2216" s="20">
        <f t="shared" si="1255"/>
        <v>0</v>
      </c>
      <c r="AH2216" s="20">
        <f t="shared" si="1255"/>
        <v>0</v>
      </c>
      <c r="AI2216" s="20">
        <f t="shared" si="1255"/>
        <v>0</v>
      </c>
      <c r="AJ2216" s="162" t="b">
        <f t="shared" si="1242"/>
        <v>1</v>
      </c>
      <c r="AK2216" s="162" t="str">
        <f t="shared" si="1243"/>
        <v>PRAZNO</v>
      </c>
      <c r="AL2216" s="173"/>
      <c r="AM2216" s="164"/>
    </row>
    <row r="2217" spans="1:39" ht="30" x14ac:dyDescent="0.2">
      <c r="B2217" s="175"/>
      <c r="C2217" s="175">
        <v>45</v>
      </c>
      <c r="D2217" s="175"/>
      <c r="E2217" s="175"/>
      <c r="F2217" s="175"/>
      <c r="G2217" s="175"/>
      <c r="H2217" s="15" t="s">
        <v>808</v>
      </c>
      <c r="I2217" s="22">
        <f>I2218</f>
        <v>212200</v>
      </c>
      <c r="J2217" s="22">
        <f>J2218</f>
        <v>102169.95</v>
      </c>
      <c r="K2217" s="22">
        <f>ROUND(J2217/I2217*100,2)</f>
        <v>48.15</v>
      </c>
      <c r="L2217" s="22">
        <f>M2217-I2217</f>
        <v>-24943.559999999998</v>
      </c>
      <c r="M2217" s="22">
        <f>M2218</f>
        <v>187256.44</v>
      </c>
      <c r="N2217" s="22">
        <f>N2218+N2220</f>
        <v>290000</v>
      </c>
      <c r="O2217" s="22">
        <f>O2218+O2220</f>
        <v>221373.68</v>
      </c>
      <c r="P2217" s="26">
        <f t="shared" si="1227"/>
        <v>-15600</v>
      </c>
      <c r="Q2217" s="22">
        <f t="shared" ref="Q2217:X2217" si="1256">Q2218+Q2220</f>
        <v>290000</v>
      </c>
      <c r="R2217" s="22">
        <f t="shared" si="1256"/>
        <v>275000</v>
      </c>
      <c r="S2217" s="22">
        <f t="shared" si="1256"/>
        <v>295000</v>
      </c>
      <c r="T2217" s="38">
        <f t="shared" si="1256"/>
        <v>274400</v>
      </c>
      <c r="U2217" s="38">
        <f>U2218+U2220</f>
        <v>328537</v>
      </c>
      <c r="V2217" s="22">
        <f t="shared" si="1256"/>
        <v>0</v>
      </c>
      <c r="W2217" s="22">
        <f t="shared" si="1256"/>
        <v>290000</v>
      </c>
      <c r="X2217" s="22">
        <f t="shared" si="1256"/>
        <v>298000</v>
      </c>
      <c r="Y2217" s="22">
        <f>Y2218+Y2220</f>
        <v>0</v>
      </c>
      <c r="Z2217" s="22" t="e">
        <f t="shared" si="1251"/>
        <v>#DIV/0!</v>
      </c>
      <c r="AA2217" s="22">
        <f t="shared" si="1252"/>
        <v>0</v>
      </c>
      <c r="AB2217" s="22">
        <f>AB2218+AB2220</f>
        <v>0</v>
      </c>
      <c r="AC2217" s="22">
        <f>AC2218+AC2220</f>
        <v>0</v>
      </c>
      <c r="AD2217" s="22"/>
      <c r="AE2217" s="22">
        <f t="shared" si="1240"/>
        <v>0</v>
      </c>
      <c r="AF2217" s="22">
        <f>AF2218+AF2220</f>
        <v>0</v>
      </c>
      <c r="AG2217" s="22">
        <f>AG2218+AG2220</f>
        <v>0</v>
      </c>
      <c r="AH2217" s="22">
        <f>AH2218+AH2220</f>
        <v>0</v>
      </c>
      <c r="AI2217" s="22">
        <f>AI2218+AI2220</f>
        <v>0</v>
      </c>
      <c r="AJ2217" s="162" t="b">
        <f t="shared" si="1242"/>
        <v>1</v>
      </c>
      <c r="AK2217" s="162" t="str">
        <f t="shared" si="1243"/>
        <v>PRAZNO</v>
      </c>
      <c r="AM2217" s="164"/>
    </row>
    <row r="2218" spans="1:39" ht="15.75" x14ac:dyDescent="0.2">
      <c r="B2218" s="177"/>
      <c r="C2218" s="177"/>
      <c r="D2218" s="177">
        <v>451</v>
      </c>
      <c r="E2218" s="177"/>
      <c r="F2218" s="177"/>
      <c r="G2218" s="177"/>
      <c r="H2218" s="16" t="s">
        <v>809</v>
      </c>
      <c r="I2218" s="17">
        <f>I2219</f>
        <v>212200</v>
      </c>
      <c r="J2218" s="17">
        <f>J2219</f>
        <v>102169.95</v>
      </c>
      <c r="K2218" s="17">
        <f>ROUND(J2218/I2218*100,2)</f>
        <v>48.15</v>
      </c>
      <c r="L2218" s="17">
        <f>M2218-I2218</f>
        <v>-24943.559999999998</v>
      </c>
      <c r="M2218" s="17">
        <f>M2219</f>
        <v>187256.44</v>
      </c>
      <c r="N2218" s="17">
        <f>N2219</f>
        <v>265000</v>
      </c>
      <c r="O2218" s="17">
        <f>O2219</f>
        <v>221373.68</v>
      </c>
      <c r="P2218" s="26">
        <f t="shared" si="1227"/>
        <v>-15600</v>
      </c>
      <c r="Q2218" s="17">
        <f t="shared" ref="Q2218:AI2218" si="1257">Q2219</f>
        <v>265000</v>
      </c>
      <c r="R2218" s="17">
        <f t="shared" si="1257"/>
        <v>250000</v>
      </c>
      <c r="S2218" s="17">
        <f t="shared" si="1257"/>
        <v>270000</v>
      </c>
      <c r="T2218" s="26">
        <f t="shared" si="1257"/>
        <v>249400</v>
      </c>
      <c r="U2218" s="26">
        <f t="shared" si="1257"/>
        <v>303673.68</v>
      </c>
      <c r="V2218" s="17">
        <f t="shared" si="1257"/>
        <v>0</v>
      </c>
      <c r="W2218" s="17">
        <f t="shared" si="1257"/>
        <v>265000</v>
      </c>
      <c r="X2218" s="17">
        <f t="shared" si="1257"/>
        <v>272000</v>
      </c>
      <c r="Y2218" s="17">
        <f t="shared" si="1257"/>
        <v>0</v>
      </c>
      <c r="Z2218" s="17" t="e">
        <f t="shared" si="1251"/>
        <v>#DIV/0!</v>
      </c>
      <c r="AA2218" s="17">
        <f t="shared" si="1252"/>
        <v>0</v>
      </c>
      <c r="AB2218" s="17">
        <f t="shared" si="1257"/>
        <v>0</v>
      </c>
      <c r="AC2218" s="17">
        <f t="shared" si="1257"/>
        <v>0</v>
      </c>
      <c r="AD2218" s="17"/>
      <c r="AE2218" s="17">
        <f t="shared" si="1240"/>
        <v>0</v>
      </c>
      <c r="AF2218" s="17">
        <f t="shared" si="1257"/>
        <v>0</v>
      </c>
      <c r="AG2218" s="17">
        <f t="shared" si="1257"/>
        <v>0</v>
      </c>
      <c r="AH2218" s="17">
        <f t="shared" si="1257"/>
        <v>0</v>
      </c>
      <c r="AI2218" s="17">
        <f t="shared" si="1257"/>
        <v>0</v>
      </c>
      <c r="AJ2218" s="162" t="b">
        <f t="shared" si="1242"/>
        <v>1</v>
      </c>
      <c r="AK2218" s="162" t="str">
        <f t="shared" si="1243"/>
        <v>PRAZNO</v>
      </c>
      <c r="AM2218" s="164"/>
    </row>
    <row r="2219" spans="1:39" ht="15.75" x14ac:dyDescent="0.2">
      <c r="B2219" s="177"/>
      <c r="C2219" s="177"/>
      <c r="D2219" s="177"/>
      <c r="E2219" s="177">
        <v>4511</v>
      </c>
      <c r="F2219" s="176">
        <v>54</v>
      </c>
      <c r="G2219" s="176"/>
      <c r="H2219" s="16" t="s">
        <v>809</v>
      </c>
      <c r="I2219" s="18">
        <v>212200</v>
      </c>
      <c r="J2219" s="18">
        <v>102169.95</v>
      </c>
      <c r="K2219" s="18">
        <f>ROUND(J2219/I2219*100,2)</f>
        <v>48.15</v>
      </c>
      <c r="L2219" s="18">
        <f>M2219-I2219</f>
        <v>-24943.559999999998</v>
      </c>
      <c r="M2219" s="18">
        <v>187256.44</v>
      </c>
      <c r="N2219" s="18">
        <v>265000</v>
      </c>
      <c r="O2219" s="18">
        <v>221373.68</v>
      </c>
      <c r="P2219" s="26">
        <f t="shared" si="1227"/>
        <v>-15600</v>
      </c>
      <c r="Q2219" s="18">
        <v>265000</v>
      </c>
      <c r="R2219" s="18">
        <v>250000</v>
      </c>
      <c r="S2219" s="18">
        <v>270000</v>
      </c>
      <c r="T2219" s="27">
        <v>249400</v>
      </c>
      <c r="U2219" s="27">
        <v>303673.68</v>
      </c>
      <c r="V2219" s="27">
        <v>0</v>
      </c>
      <c r="W2219" s="27">
        <v>265000</v>
      </c>
      <c r="X2219" s="18">
        <v>272000</v>
      </c>
      <c r="Y2219" s="27"/>
      <c r="Z2219" s="27" t="e">
        <f t="shared" si="1251"/>
        <v>#DIV/0!</v>
      </c>
      <c r="AA2219" s="27">
        <f t="shared" si="1252"/>
        <v>0</v>
      </c>
      <c r="AB2219" s="27">
        <v>0</v>
      </c>
      <c r="AC2219" s="27"/>
      <c r="AD2219" s="27"/>
      <c r="AE2219" s="27">
        <f t="shared" si="1240"/>
        <v>0</v>
      </c>
      <c r="AF2219" s="27">
        <v>0</v>
      </c>
      <c r="AG2219" s="27"/>
      <c r="AH2219" s="27"/>
      <c r="AI2219" s="27"/>
      <c r="AJ2219" s="162" t="b">
        <f t="shared" si="1242"/>
        <v>0</v>
      </c>
      <c r="AK2219" s="162" t="str">
        <f t="shared" si="1243"/>
        <v>PUNO</v>
      </c>
      <c r="AM2219" s="164"/>
    </row>
    <row r="2220" spans="1:39" ht="15.75" x14ac:dyDescent="0.2">
      <c r="B2220" s="177"/>
      <c r="C2220" s="177"/>
      <c r="D2220" s="177">
        <v>452</v>
      </c>
      <c r="E2220" s="177"/>
      <c r="F2220" s="176"/>
      <c r="G2220" s="176"/>
      <c r="H2220" s="16" t="s">
        <v>639</v>
      </c>
      <c r="I2220" s="18"/>
      <c r="J2220" s="18"/>
      <c r="K2220" s="18"/>
      <c r="L2220" s="18"/>
      <c r="M2220" s="18"/>
      <c r="N2220" s="18">
        <f t="shared" ref="N2220:AI2220" si="1258">N2221</f>
        <v>25000</v>
      </c>
      <c r="O2220" s="18">
        <f t="shared" si="1258"/>
        <v>0</v>
      </c>
      <c r="P2220" s="26">
        <f t="shared" si="1227"/>
        <v>0</v>
      </c>
      <c r="Q2220" s="18">
        <f t="shared" si="1258"/>
        <v>25000</v>
      </c>
      <c r="R2220" s="18">
        <f t="shared" si="1258"/>
        <v>25000</v>
      </c>
      <c r="S2220" s="18">
        <f t="shared" si="1258"/>
        <v>25000</v>
      </c>
      <c r="T2220" s="27">
        <f t="shared" si="1258"/>
        <v>25000</v>
      </c>
      <c r="U2220" s="27">
        <f t="shared" si="1258"/>
        <v>24863.32</v>
      </c>
      <c r="V2220" s="18">
        <f t="shared" si="1258"/>
        <v>0</v>
      </c>
      <c r="W2220" s="18">
        <f t="shared" si="1258"/>
        <v>25000</v>
      </c>
      <c r="X2220" s="18">
        <f t="shared" si="1258"/>
        <v>26000</v>
      </c>
      <c r="Y2220" s="18">
        <f t="shared" si="1258"/>
        <v>0</v>
      </c>
      <c r="Z2220" s="18" t="e">
        <f t="shared" si="1251"/>
        <v>#DIV/0!</v>
      </c>
      <c r="AA2220" s="18">
        <f t="shared" si="1252"/>
        <v>0</v>
      </c>
      <c r="AB2220" s="18">
        <f t="shared" si="1258"/>
        <v>0</v>
      </c>
      <c r="AC2220" s="18">
        <f t="shared" si="1258"/>
        <v>0</v>
      </c>
      <c r="AD2220" s="18"/>
      <c r="AE2220" s="18">
        <f t="shared" si="1240"/>
        <v>0</v>
      </c>
      <c r="AF2220" s="18">
        <f t="shared" si="1258"/>
        <v>0</v>
      </c>
      <c r="AG2220" s="18">
        <f t="shared" si="1258"/>
        <v>0</v>
      </c>
      <c r="AH2220" s="18">
        <f t="shared" si="1258"/>
        <v>0</v>
      </c>
      <c r="AI2220" s="18">
        <f t="shared" si="1258"/>
        <v>0</v>
      </c>
      <c r="AJ2220" s="162" t="b">
        <f t="shared" si="1242"/>
        <v>1</v>
      </c>
      <c r="AK2220" s="162" t="str">
        <f t="shared" si="1243"/>
        <v>PRAZNO</v>
      </c>
      <c r="AM2220" s="164"/>
    </row>
    <row r="2221" spans="1:39" ht="15.75" x14ac:dyDescent="0.2">
      <c r="B2221" s="177"/>
      <c r="C2221" s="177"/>
      <c r="D2221" s="177"/>
      <c r="E2221" s="177">
        <v>4521</v>
      </c>
      <c r="F2221" s="176">
        <v>54</v>
      </c>
      <c r="G2221" s="176"/>
      <c r="H2221" s="16" t="s">
        <v>639</v>
      </c>
      <c r="I2221" s="18"/>
      <c r="J2221" s="18"/>
      <c r="K2221" s="18"/>
      <c r="L2221" s="18"/>
      <c r="M2221" s="18"/>
      <c r="N2221" s="18">
        <v>25000</v>
      </c>
      <c r="O2221" s="18">
        <v>0</v>
      </c>
      <c r="P2221" s="26">
        <f t="shared" si="1227"/>
        <v>0</v>
      </c>
      <c r="Q2221" s="18">
        <v>25000</v>
      </c>
      <c r="R2221" s="18">
        <v>25000</v>
      </c>
      <c r="S2221" s="18">
        <v>25000</v>
      </c>
      <c r="T2221" s="27">
        <v>25000</v>
      </c>
      <c r="U2221" s="27">
        <v>24863.32</v>
      </c>
      <c r="V2221" s="27">
        <v>0</v>
      </c>
      <c r="W2221" s="27">
        <v>25000</v>
      </c>
      <c r="X2221" s="18">
        <v>26000</v>
      </c>
      <c r="Y2221" s="27"/>
      <c r="Z2221" s="27" t="e">
        <f t="shared" si="1251"/>
        <v>#DIV/0!</v>
      </c>
      <c r="AA2221" s="27">
        <f t="shared" si="1252"/>
        <v>0</v>
      </c>
      <c r="AB2221" s="27">
        <v>0</v>
      </c>
      <c r="AC2221" s="27"/>
      <c r="AD2221" s="27"/>
      <c r="AE2221" s="27">
        <f t="shared" si="1240"/>
        <v>0</v>
      </c>
      <c r="AF2221" s="27">
        <v>0</v>
      </c>
      <c r="AG2221" s="27"/>
      <c r="AH2221" s="27"/>
      <c r="AI2221" s="27"/>
      <c r="AJ2221" s="162" t="b">
        <f t="shared" si="1242"/>
        <v>0</v>
      </c>
      <c r="AK2221" s="162" t="str">
        <f t="shared" si="1243"/>
        <v>PUNO</v>
      </c>
      <c r="AM2221" s="164"/>
    </row>
    <row r="2222" spans="1:39" s="171" customFormat="1" ht="15.75" x14ac:dyDescent="0.2">
      <c r="A2222" s="259"/>
      <c r="B2222" s="168"/>
      <c r="C2222" s="168"/>
      <c r="D2222" s="168"/>
      <c r="E2222" s="168"/>
      <c r="F2222" s="168"/>
      <c r="G2222" s="168"/>
      <c r="H2222" s="12" t="s">
        <v>619</v>
      </c>
      <c r="I2222" s="169" t="e">
        <f>I2224</f>
        <v>#REF!</v>
      </c>
      <c r="J2222" s="169" t="e">
        <f>J2224</f>
        <v>#REF!</v>
      </c>
      <c r="K2222" s="169" t="e">
        <f>ROUND(J2222/I2222*100,2)</f>
        <v>#REF!</v>
      </c>
      <c r="L2222" s="169" t="e">
        <f>M2222-I2222</f>
        <v>#REF!</v>
      </c>
      <c r="M2222" s="19" t="e">
        <f>M2224</f>
        <v>#REF!</v>
      </c>
      <c r="N2222" s="19" t="e">
        <f>N2224</f>
        <v>#REF!</v>
      </c>
      <c r="O2222" s="19" t="e">
        <f>O2224</f>
        <v>#REF!</v>
      </c>
      <c r="P2222" s="303" t="e">
        <f>T2222-N2222</f>
        <v>#REF!</v>
      </c>
      <c r="Q2222" s="19" t="e">
        <f t="shared" ref="Q2222:X2222" si="1259">Q2224</f>
        <v>#REF!</v>
      </c>
      <c r="R2222" s="19" t="e">
        <f t="shared" si="1259"/>
        <v>#REF!</v>
      </c>
      <c r="S2222" s="19" t="e">
        <f t="shared" si="1259"/>
        <v>#REF!</v>
      </c>
      <c r="T2222" s="19">
        <f>T2224</f>
        <v>404200</v>
      </c>
      <c r="U2222" s="19">
        <f>U2224</f>
        <v>405495</v>
      </c>
      <c r="V2222" s="19">
        <f>V2224</f>
        <v>150000</v>
      </c>
      <c r="W2222" s="19" t="e">
        <f t="shared" si="1259"/>
        <v>#REF!</v>
      </c>
      <c r="X2222" s="19" t="e">
        <f t="shared" si="1259"/>
        <v>#REF!</v>
      </c>
      <c r="Y2222" s="19">
        <f>Y2224</f>
        <v>60000</v>
      </c>
      <c r="Z2222" s="19">
        <f t="shared" si="1251"/>
        <v>40</v>
      </c>
      <c r="AA2222" s="19">
        <f t="shared" si="1252"/>
        <v>-15000</v>
      </c>
      <c r="AB2222" s="19">
        <f>AB2224</f>
        <v>135000</v>
      </c>
      <c r="AC2222" s="19">
        <f>AC2224</f>
        <v>117075</v>
      </c>
      <c r="AD2222" s="19">
        <f t="shared" si="1239"/>
        <v>86.722222222222229</v>
      </c>
      <c r="AE2222" s="19">
        <f t="shared" si="1240"/>
        <v>0</v>
      </c>
      <c r="AF2222" s="19">
        <f>AF2224</f>
        <v>135000</v>
      </c>
      <c r="AG2222" s="19">
        <f>AG2224</f>
        <v>135000</v>
      </c>
      <c r="AH2222" s="19">
        <f>AH2224</f>
        <v>135000</v>
      </c>
      <c r="AI2222" s="19">
        <f>AI2224</f>
        <v>135000</v>
      </c>
      <c r="AJ2222" s="162" t="b">
        <f t="shared" si="1242"/>
        <v>1</v>
      </c>
      <c r="AK2222" s="162" t="str">
        <f t="shared" si="1243"/>
        <v>PRAZNO</v>
      </c>
      <c r="AL2222" s="170"/>
      <c r="AM2222" s="164"/>
    </row>
    <row r="2223" spans="1:39" s="264" customFormat="1" ht="20.25" customHeight="1" x14ac:dyDescent="0.2">
      <c r="A2223" s="259"/>
      <c r="B2223" s="260"/>
      <c r="C2223" s="260"/>
      <c r="D2223" s="260"/>
      <c r="E2223" s="260"/>
      <c r="F2223" s="260"/>
      <c r="G2223" s="260"/>
      <c r="H2223" s="471" t="s">
        <v>830</v>
      </c>
      <c r="I2223" s="181"/>
      <c r="J2223" s="181"/>
      <c r="K2223" s="181"/>
      <c r="L2223" s="181"/>
      <c r="M2223" s="262"/>
      <c r="N2223" s="262"/>
      <c r="O2223" s="262"/>
      <c r="P2223" s="445"/>
      <c r="Q2223" s="262"/>
      <c r="R2223" s="262"/>
      <c r="S2223" s="262"/>
      <c r="T2223" s="262">
        <f t="shared" ref="T2223:Y2223" si="1260">T2224</f>
        <v>404200</v>
      </c>
      <c r="U2223" s="262">
        <f t="shared" si="1260"/>
        <v>405495</v>
      </c>
      <c r="V2223" s="262">
        <f t="shared" si="1260"/>
        <v>150000</v>
      </c>
      <c r="W2223" s="262" t="e">
        <f t="shared" si="1260"/>
        <v>#REF!</v>
      </c>
      <c r="X2223" s="262" t="e">
        <f t="shared" si="1260"/>
        <v>#REF!</v>
      </c>
      <c r="Y2223" s="262">
        <f t="shared" si="1260"/>
        <v>60000</v>
      </c>
      <c r="Z2223" s="262">
        <f t="shared" si="1251"/>
        <v>40</v>
      </c>
      <c r="AA2223" s="262">
        <f t="shared" si="1252"/>
        <v>-15000</v>
      </c>
      <c r="AB2223" s="262">
        <f t="shared" ref="AB2223:AC2225" si="1261">AB2224</f>
        <v>135000</v>
      </c>
      <c r="AC2223" s="262">
        <f t="shared" si="1261"/>
        <v>117075</v>
      </c>
      <c r="AD2223" s="262">
        <f t="shared" si="1239"/>
        <v>86.722222222222229</v>
      </c>
      <c r="AE2223" s="262">
        <f t="shared" si="1240"/>
        <v>0</v>
      </c>
      <c r="AF2223" s="262">
        <f t="shared" ref="AF2223:AI2225" si="1262">AF2224</f>
        <v>135000</v>
      </c>
      <c r="AG2223" s="262">
        <f t="shared" si="1262"/>
        <v>135000</v>
      </c>
      <c r="AH2223" s="262">
        <f t="shared" si="1262"/>
        <v>135000</v>
      </c>
      <c r="AI2223" s="262">
        <f t="shared" si="1262"/>
        <v>135000</v>
      </c>
      <c r="AJ2223" s="162" t="b">
        <f t="shared" si="1242"/>
        <v>1</v>
      </c>
      <c r="AK2223" s="162" t="str">
        <f t="shared" si="1243"/>
        <v>PRAZNO</v>
      </c>
      <c r="AL2223" s="263"/>
    </row>
    <row r="2224" spans="1:39" s="174" customFormat="1" ht="15.75" x14ac:dyDescent="0.2">
      <c r="A2224" s="259"/>
      <c r="B2224" s="172">
        <v>4</v>
      </c>
      <c r="C2224" s="172"/>
      <c r="D2224" s="172"/>
      <c r="E2224" s="172"/>
      <c r="F2224" s="172"/>
      <c r="G2224" s="172"/>
      <c r="H2224" s="14" t="s">
        <v>552</v>
      </c>
      <c r="I2224" s="20" t="e">
        <f>I2225</f>
        <v>#REF!</v>
      </c>
      <c r="J2224" s="20" t="e">
        <f>J2225</f>
        <v>#REF!</v>
      </c>
      <c r="K2224" s="20" t="e">
        <f t="shared" ref="K2224:K2230" si="1263">ROUND(J2224/I2224*100,2)</f>
        <v>#REF!</v>
      </c>
      <c r="L2224" s="20" t="e">
        <f t="shared" ref="L2224:L2230" si="1264">M2224-I2224</f>
        <v>#REF!</v>
      </c>
      <c r="M2224" s="20" t="e">
        <f>M2225</f>
        <v>#REF!</v>
      </c>
      <c r="N2224" s="20" t="e">
        <f>N2225</f>
        <v>#REF!</v>
      </c>
      <c r="O2224" s="20" t="e">
        <f>O2225</f>
        <v>#REF!</v>
      </c>
      <c r="P2224" s="55" t="e">
        <f t="shared" ref="P2224:P2230" si="1265">T2224-N2224</f>
        <v>#REF!</v>
      </c>
      <c r="Q2224" s="20" t="e">
        <f t="shared" ref="Q2224:Y2224" si="1266">Q2225</f>
        <v>#REF!</v>
      </c>
      <c r="R2224" s="20" t="e">
        <f t="shared" si="1266"/>
        <v>#REF!</v>
      </c>
      <c r="S2224" s="20" t="e">
        <f t="shared" si="1266"/>
        <v>#REF!</v>
      </c>
      <c r="T2224" s="20">
        <f t="shared" si="1266"/>
        <v>404200</v>
      </c>
      <c r="U2224" s="20">
        <f t="shared" si="1266"/>
        <v>405495</v>
      </c>
      <c r="V2224" s="20">
        <f t="shared" si="1266"/>
        <v>150000</v>
      </c>
      <c r="W2224" s="20" t="e">
        <f t="shared" si="1266"/>
        <v>#REF!</v>
      </c>
      <c r="X2224" s="20" t="e">
        <f t="shared" si="1266"/>
        <v>#REF!</v>
      </c>
      <c r="Y2224" s="20">
        <f t="shared" si="1266"/>
        <v>60000</v>
      </c>
      <c r="Z2224" s="20">
        <f t="shared" si="1251"/>
        <v>40</v>
      </c>
      <c r="AA2224" s="20">
        <f t="shared" si="1252"/>
        <v>-15000</v>
      </c>
      <c r="AB2224" s="20">
        <f t="shared" si="1261"/>
        <v>135000</v>
      </c>
      <c r="AC2224" s="20">
        <f t="shared" si="1261"/>
        <v>117075</v>
      </c>
      <c r="AD2224" s="20">
        <f t="shared" si="1239"/>
        <v>86.722222222222229</v>
      </c>
      <c r="AE2224" s="20">
        <f t="shared" si="1240"/>
        <v>0</v>
      </c>
      <c r="AF2224" s="20">
        <f t="shared" si="1262"/>
        <v>135000</v>
      </c>
      <c r="AG2224" s="20">
        <f t="shared" si="1262"/>
        <v>135000</v>
      </c>
      <c r="AH2224" s="20">
        <f t="shared" si="1262"/>
        <v>135000</v>
      </c>
      <c r="AI2224" s="20">
        <f t="shared" si="1262"/>
        <v>135000</v>
      </c>
      <c r="AJ2224" s="162" t="b">
        <f t="shared" si="1242"/>
        <v>1</v>
      </c>
      <c r="AK2224" s="162" t="str">
        <f t="shared" si="1243"/>
        <v>PRAZNO</v>
      </c>
      <c r="AL2224" s="173"/>
      <c r="AM2224" s="164"/>
    </row>
    <row r="2225" spans="1:39" ht="17.25" customHeight="1" x14ac:dyDescent="0.2">
      <c r="B2225" s="175"/>
      <c r="C2225" s="175">
        <v>42</v>
      </c>
      <c r="D2225" s="175"/>
      <c r="E2225" s="175"/>
      <c r="F2225" s="175"/>
      <c r="G2225" s="175"/>
      <c r="H2225" s="42" t="s">
        <v>212</v>
      </c>
      <c r="I2225" s="22" t="e">
        <f>I2226+#REF!+#REF!</f>
        <v>#REF!</v>
      </c>
      <c r="J2225" s="22" t="e">
        <f>J2226+#REF!+#REF!</f>
        <v>#REF!</v>
      </c>
      <c r="K2225" s="22" t="e">
        <f t="shared" si="1263"/>
        <v>#REF!</v>
      </c>
      <c r="L2225" s="22" t="e">
        <f t="shared" si="1264"/>
        <v>#REF!</v>
      </c>
      <c r="M2225" s="22" t="e">
        <f>M2226+#REF!+#REF!</f>
        <v>#REF!</v>
      </c>
      <c r="N2225" s="22" t="e">
        <f>N2226+#REF!+#REF!</f>
        <v>#REF!</v>
      </c>
      <c r="O2225" s="22" t="e">
        <f>O2226+#REF!+#REF!</f>
        <v>#REF!</v>
      </c>
      <c r="P2225" s="26" t="e">
        <f t="shared" si="1265"/>
        <v>#REF!</v>
      </c>
      <c r="Q2225" s="22" t="e">
        <f>Q2226+#REF!+#REF!</f>
        <v>#REF!</v>
      </c>
      <c r="R2225" s="22" t="e">
        <f>R2226+#REF!+#REF!</f>
        <v>#REF!</v>
      </c>
      <c r="S2225" s="22" t="e">
        <f>S2226+#REF!+#REF!</f>
        <v>#REF!</v>
      </c>
      <c r="T2225" s="22">
        <f>T2226</f>
        <v>404200</v>
      </c>
      <c r="U2225" s="22">
        <f>U2226+U2231</f>
        <v>405495</v>
      </c>
      <c r="V2225" s="22">
        <f>V2226</f>
        <v>150000</v>
      </c>
      <c r="W2225" s="22" t="e">
        <f>W2226+#REF!+#REF!</f>
        <v>#REF!</v>
      </c>
      <c r="X2225" s="22" t="e">
        <f>X2226+#REF!+#REF!</f>
        <v>#REF!</v>
      </c>
      <c r="Y2225" s="22">
        <f>Y2226</f>
        <v>60000</v>
      </c>
      <c r="Z2225" s="22">
        <f t="shared" si="1251"/>
        <v>40</v>
      </c>
      <c r="AA2225" s="22">
        <f t="shared" si="1252"/>
        <v>-15000</v>
      </c>
      <c r="AB2225" s="22">
        <f t="shared" si="1261"/>
        <v>135000</v>
      </c>
      <c r="AC2225" s="22">
        <f t="shared" si="1261"/>
        <v>117075</v>
      </c>
      <c r="AD2225" s="22">
        <f t="shared" si="1239"/>
        <v>86.722222222222229</v>
      </c>
      <c r="AE2225" s="22">
        <f>AE2226</f>
        <v>0</v>
      </c>
      <c r="AF2225" s="22">
        <f t="shared" si="1262"/>
        <v>135000</v>
      </c>
      <c r="AG2225" s="22">
        <f t="shared" si="1262"/>
        <v>135000</v>
      </c>
      <c r="AH2225" s="22">
        <f t="shared" si="1262"/>
        <v>135000</v>
      </c>
      <c r="AI2225" s="22">
        <f t="shared" si="1262"/>
        <v>135000</v>
      </c>
      <c r="AJ2225" s="162" t="b">
        <f t="shared" si="1242"/>
        <v>1</v>
      </c>
      <c r="AK2225" s="162" t="str">
        <f t="shared" si="1243"/>
        <v>PRAZNO</v>
      </c>
      <c r="AM2225" s="164"/>
    </row>
    <row r="2226" spans="1:39" ht="15.75" x14ac:dyDescent="0.2">
      <c r="B2226" s="177"/>
      <c r="C2226" s="177"/>
      <c r="D2226" s="177">
        <v>422</v>
      </c>
      <c r="E2226" s="177"/>
      <c r="F2226" s="177"/>
      <c r="G2226" s="177"/>
      <c r="H2226" s="16" t="s">
        <v>555</v>
      </c>
      <c r="I2226" s="17">
        <f>SUM(I2227:I2230)</f>
        <v>419600</v>
      </c>
      <c r="J2226" s="17">
        <f>SUM(J2227:J2230)</f>
        <v>4354</v>
      </c>
      <c r="K2226" s="17">
        <f t="shared" si="1263"/>
        <v>1.04</v>
      </c>
      <c r="L2226" s="17">
        <f t="shared" si="1264"/>
        <v>-25182.219999999972</v>
      </c>
      <c r="M2226" s="17">
        <f>SUM(M2227:M2230)</f>
        <v>394417.78</v>
      </c>
      <c r="N2226" s="17">
        <f>SUM(N2227:N2230)</f>
        <v>443000</v>
      </c>
      <c r="O2226" s="17">
        <f>SUM(O2227:O2230)</f>
        <v>0</v>
      </c>
      <c r="P2226" s="26">
        <f t="shared" si="1265"/>
        <v>-38800</v>
      </c>
      <c r="Q2226" s="17">
        <f t="shared" ref="Q2226:Y2226" si="1267">SUM(Q2227:Q2230)</f>
        <v>443000</v>
      </c>
      <c r="R2226" s="17">
        <f t="shared" si="1267"/>
        <v>445000</v>
      </c>
      <c r="S2226" s="17">
        <f t="shared" si="1267"/>
        <v>445000</v>
      </c>
      <c r="T2226" s="26">
        <f t="shared" si="1267"/>
        <v>404200</v>
      </c>
      <c r="U2226" s="26">
        <f t="shared" si="1267"/>
        <v>403507.5</v>
      </c>
      <c r="V2226" s="17">
        <f t="shared" si="1267"/>
        <v>150000</v>
      </c>
      <c r="W2226" s="17">
        <f t="shared" si="1267"/>
        <v>443000</v>
      </c>
      <c r="X2226" s="17">
        <f t="shared" si="1267"/>
        <v>457000</v>
      </c>
      <c r="Y2226" s="17">
        <f t="shared" si="1267"/>
        <v>60000</v>
      </c>
      <c r="Z2226" s="17">
        <f t="shared" si="1251"/>
        <v>40</v>
      </c>
      <c r="AA2226" s="17">
        <f t="shared" si="1252"/>
        <v>-15000</v>
      </c>
      <c r="AB2226" s="17">
        <f>SUM(AB2227:AB2230)</f>
        <v>135000</v>
      </c>
      <c r="AC2226" s="17">
        <f>SUM(AC2227:AC2230)</f>
        <v>117075</v>
      </c>
      <c r="AD2226" s="17">
        <f t="shared" si="1239"/>
        <v>86.722222222222229</v>
      </c>
      <c r="AE2226" s="17">
        <f t="shared" si="1240"/>
        <v>0</v>
      </c>
      <c r="AF2226" s="17">
        <f>SUM(AF2227:AF2230)</f>
        <v>135000</v>
      </c>
      <c r="AG2226" s="17">
        <f>SUM(AG2227:AG2230)</f>
        <v>135000</v>
      </c>
      <c r="AH2226" s="17">
        <f>SUM(AH2227:AH2230)</f>
        <v>135000</v>
      </c>
      <c r="AI2226" s="17">
        <f>SUM(AI2227:AI2230)</f>
        <v>135000</v>
      </c>
      <c r="AJ2226" s="162" t="b">
        <f t="shared" si="1242"/>
        <v>1</v>
      </c>
      <c r="AK2226" s="162" t="str">
        <f t="shared" si="1243"/>
        <v>PRAZNO</v>
      </c>
      <c r="AM2226" s="164"/>
    </row>
    <row r="2227" spans="1:39" ht="15.75" x14ac:dyDescent="0.2">
      <c r="B2227" s="177"/>
      <c r="C2227" s="177"/>
      <c r="D2227" s="177"/>
      <c r="E2227" s="177">
        <v>4221</v>
      </c>
      <c r="F2227" s="176">
        <v>54</v>
      </c>
      <c r="G2227" s="176"/>
      <c r="H2227" s="16" t="s">
        <v>558</v>
      </c>
      <c r="I2227" s="18">
        <v>220000</v>
      </c>
      <c r="J2227" s="18">
        <v>0</v>
      </c>
      <c r="K2227" s="18">
        <f t="shared" si="1263"/>
        <v>0</v>
      </c>
      <c r="L2227" s="18">
        <f t="shared" si="1264"/>
        <v>-20865.260000000009</v>
      </c>
      <c r="M2227" s="18">
        <v>199134.74</v>
      </c>
      <c r="N2227" s="18">
        <v>270000</v>
      </c>
      <c r="O2227" s="18">
        <v>0</v>
      </c>
      <c r="P2227" s="26">
        <f t="shared" si="1265"/>
        <v>-33700</v>
      </c>
      <c r="Q2227" s="18">
        <v>270000</v>
      </c>
      <c r="R2227" s="18">
        <v>200000</v>
      </c>
      <c r="S2227" s="18">
        <v>200000</v>
      </c>
      <c r="T2227" s="27">
        <v>236300</v>
      </c>
      <c r="U2227" s="27">
        <v>235750</v>
      </c>
      <c r="V2227" s="27">
        <v>90000</v>
      </c>
      <c r="W2227" s="27">
        <v>270000</v>
      </c>
      <c r="X2227" s="18">
        <v>280000</v>
      </c>
      <c r="Y2227" s="27">
        <v>0</v>
      </c>
      <c r="Z2227" s="27">
        <f t="shared" si="1251"/>
        <v>0</v>
      </c>
      <c r="AA2227" s="27">
        <f t="shared" si="1252"/>
        <v>-15000</v>
      </c>
      <c r="AB2227" s="27">
        <v>75000</v>
      </c>
      <c r="AC2227" s="27">
        <v>57075</v>
      </c>
      <c r="AD2227" s="27">
        <f t="shared" si="1239"/>
        <v>76.099999999999994</v>
      </c>
      <c r="AE2227" s="27">
        <f t="shared" si="1240"/>
        <v>0</v>
      </c>
      <c r="AF2227" s="27">
        <v>75000</v>
      </c>
      <c r="AG2227" s="27">
        <v>75000</v>
      </c>
      <c r="AH2227" s="27">
        <v>75000</v>
      </c>
      <c r="AI2227" s="27">
        <v>75000</v>
      </c>
      <c r="AJ2227" s="162" t="b">
        <f t="shared" si="1242"/>
        <v>0</v>
      </c>
      <c r="AK2227" s="162" t="str">
        <f t="shared" si="1243"/>
        <v>PUNO</v>
      </c>
      <c r="AM2227" s="164"/>
    </row>
    <row r="2228" spans="1:39" ht="15.75" x14ac:dyDescent="0.2">
      <c r="B2228" s="177"/>
      <c r="C2228" s="177"/>
      <c r="D2228" s="177"/>
      <c r="E2228" s="177">
        <v>4222</v>
      </c>
      <c r="F2228" s="176">
        <v>54</v>
      </c>
      <c r="G2228" s="176"/>
      <c r="H2228" s="16" t="s">
        <v>559</v>
      </c>
      <c r="I2228" s="18">
        <v>4500</v>
      </c>
      <c r="J2228" s="18">
        <v>4354</v>
      </c>
      <c r="K2228" s="18">
        <f t="shared" si="1263"/>
        <v>96.76</v>
      </c>
      <c r="L2228" s="18">
        <f t="shared" si="1264"/>
        <v>-146</v>
      </c>
      <c r="M2228" s="18">
        <v>4354</v>
      </c>
      <c r="N2228" s="18">
        <v>0</v>
      </c>
      <c r="O2228" s="18">
        <v>0</v>
      </c>
      <c r="P2228" s="26">
        <f t="shared" si="1265"/>
        <v>0</v>
      </c>
      <c r="Q2228" s="18">
        <v>0</v>
      </c>
      <c r="R2228" s="18">
        <v>5000</v>
      </c>
      <c r="S2228" s="18">
        <v>5000</v>
      </c>
      <c r="T2228" s="27"/>
      <c r="U2228" s="27"/>
      <c r="V2228" s="18"/>
      <c r="W2228" s="18"/>
      <c r="X2228" s="18"/>
      <c r="Y2228" s="18"/>
      <c r="Z2228" s="18" t="e">
        <f t="shared" si="1251"/>
        <v>#DIV/0!</v>
      </c>
      <c r="AA2228" s="18">
        <f t="shared" si="1252"/>
        <v>0</v>
      </c>
      <c r="AB2228" s="18"/>
      <c r="AC2228" s="18"/>
      <c r="AD2228" s="18"/>
      <c r="AE2228" s="18">
        <f t="shared" si="1240"/>
        <v>0</v>
      </c>
      <c r="AF2228" s="18"/>
      <c r="AG2228" s="18"/>
      <c r="AH2228" s="18"/>
      <c r="AI2228" s="18"/>
      <c r="AJ2228" s="162" t="b">
        <f t="shared" si="1242"/>
        <v>0</v>
      </c>
      <c r="AK2228" s="162" t="str">
        <f t="shared" si="1243"/>
        <v>PUNO</v>
      </c>
      <c r="AM2228" s="164"/>
    </row>
    <row r="2229" spans="1:39" ht="15.75" x14ac:dyDescent="0.2">
      <c r="B2229" s="177"/>
      <c r="C2229" s="177"/>
      <c r="D2229" s="177"/>
      <c r="E2229" s="177">
        <v>4225</v>
      </c>
      <c r="F2229" s="176">
        <v>54</v>
      </c>
      <c r="G2229" s="176"/>
      <c r="H2229" s="16" t="s">
        <v>844</v>
      </c>
      <c r="I2229" s="18">
        <v>29200</v>
      </c>
      <c r="J2229" s="18">
        <v>0</v>
      </c>
      <c r="K2229" s="18">
        <f t="shared" si="1263"/>
        <v>0</v>
      </c>
      <c r="L2229" s="18">
        <f t="shared" si="1264"/>
        <v>-0.16999999999825377</v>
      </c>
      <c r="M2229" s="18">
        <v>29199.83</v>
      </c>
      <c r="N2229" s="18">
        <v>93000</v>
      </c>
      <c r="O2229" s="18">
        <v>0</v>
      </c>
      <c r="P2229" s="26">
        <f t="shared" si="1265"/>
        <v>-5500</v>
      </c>
      <c r="Q2229" s="18">
        <v>93000</v>
      </c>
      <c r="R2229" s="18">
        <v>90000</v>
      </c>
      <c r="S2229" s="18">
        <v>90000</v>
      </c>
      <c r="T2229" s="27">
        <v>87500</v>
      </c>
      <c r="U2229" s="27">
        <v>87387.5</v>
      </c>
      <c r="V2229" s="27">
        <v>60000</v>
      </c>
      <c r="W2229" s="27">
        <v>93000</v>
      </c>
      <c r="X2229" s="18">
        <v>95000</v>
      </c>
      <c r="Y2229" s="27">
        <v>60000</v>
      </c>
      <c r="Z2229" s="27">
        <f t="shared" si="1251"/>
        <v>100</v>
      </c>
      <c r="AA2229" s="27">
        <f t="shared" si="1252"/>
        <v>0</v>
      </c>
      <c r="AB2229" s="27">
        <v>60000</v>
      </c>
      <c r="AC2229" s="27">
        <v>60000</v>
      </c>
      <c r="AD2229" s="27">
        <f t="shared" si="1239"/>
        <v>100</v>
      </c>
      <c r="AE2229" s="27">
        <f t="shared" si="1240"/>
        <v>0</v>
      </c>
      <c r="AF2229" s="27">
        <v>60000</v>
      </c>
      <c r="AG2229" s="27">
        <v>60000</v>
      </c>
      <c r="AH2229" s="27">
        <v>60000</v>
      </c>
      <c r="AI2229" s="27">
        <v>60000</v>
      </c>
      <c r="AJ2229" s="162" t="b">
        <f t="shared" si="1242"/>
        <v>0</v>
      </c>
      <c r="AK2229" s="162" t="str">
        <f t="shared" si="1243"/>
        <v>PUNO</v>
      </c>
      <c r="AM2229" s="164"/>
    </row>
    <row r="2230" spans="1:39" ht="15.75" x14ac:dyDescent="0.2">
      <c r="B2230" s="177"/>
      <c r="C2230" s="177"/>
      <c r="D2230" s="177"/>
      <c r="E2230" s="177">
        <v>4227</v>
      </c>
      <c r="F2230" s="176">
        <v>54</v>
      </c>
      <c r="G2230" s="176"/>
      <c r="H2230" s="16" t="s">
        <v>413</v>
      </c>
      <c r="I2230" s="18">
        <v>165900</v>
      </c>
      <c r="J2230" s="18">
        <v>0</v>
      </c>
      <c r="K2230" s="18">
        <f t="shared" si="1263"/>
        <v>0</v>
      </c>
      <c r="L2230" s="18">
        <f t="shared" si="1264"/>
        <v>-4170.7900000000081</v>
      </c>
      <c r="M2230" s="18">
        <v>161729.21</v>
      </c>
      <c r="N2230" s="18">
        <v>80000</v>
      </c>
      <c r="O2230" s="18">
        <v>0</v>
      </c>
      <c r="P2230" s="26">
        <f t="shared" si="1265"/>
        <v>400</v>
      </c>
      <c r="Q2230" s="18">
        <v>80000</v>
      </c>
      <c r="R2230" s="18">
        <v>150000</v>
      </c>
      <c r="S2230" s="18">
        <v>150000</v>
      </c>
      <c r="T2230" s="27">
        <v>80400</v>
      </c>
      <c r="U2230" s="27">
        <v>80370</v>
      </c>
      <c r="V2230" s="27">
        <v>0</v>
      </c>
      <c r="W2230" s="27">
        <v>80000</v>
      </c>
      <c r="X2230" s="18">
        <v>82000</v>
      </c>
      <c r="Y2230" s="27"/>
      <c r="Z2230" s="27" t="e">
        <f t="shared" si="1251"/>
        <v>#DIV/0!</v>
      </c>
      <c r="AA2230" s="27">
        <f t="shared" si="1252"/>
        <v>0</v>
      </c>
      <c r="AB2230" s="27">
        <v>0</v>
      </c>
      <c r="AC2230" s="27"/>
      <c r="AD2230" s="27"/>
      <c r="AE2230" s="27">
        <f t="shared" si="1240"/>
        <v>0</v>
      </c>
      <c r="AF2230" s="27">
        <v>0</v>
      </c>
      <c r="AG2230" s="27"/>
      <c r="AH2230" s="27"/>
      <c r="AI2230" s="27"/>
      <c r="AJ2230" s="162" t="b">
        <f t="shared" si="1242"/>
        <v>0</v>
      </c>
      <c r="AK2230" s="162" t="str">
        <f t="shared" si="1243"/>
        <v>PUNO</v>
      </c>
      <c r="AM2230" s="164"/>
    </row>
    <row r="2231" spans="1:39" ht="15.75" x14ac:dyDescent="0.2">
      <c r="B2231" s="177"/>
      <c r="C2231" s="177"/>
      <c r="D2231" s="177">
        <v>426</v>
      </c>
      <c r="E2231" s="177"/>
      <c r="F2231" s="176"/>
      <c r="G2231" s="176"/>
      <c r="H2231" s="16" t="s">
        <v>560</v>
      </c>
      <c r="I2231" s="18"/>
      <c r="J2231" s="18"/>
      <c r="K2231" s="18"/>
      <c r="L2231" s="18"/>
      <c r="M2231" s="18"/>
      <c r="N2231" s="18"/>
      <c r="O2231" s="18"/>
      <c r="P2231" s="26"/>
      <c r="Q2231" s="18"/>
      <c r="R2231" s="18"/>
      <c r="S2231" s="18"/>
      <c r="T2231" s="27"/>
      <c r="U2231" s="27">
        <f>U2232</f>
        <v>1987.5</v>
      </c>
      <c r="V2231" s="27"/>
      <c r="W2231" s="27"/>
      <c r="X2231" s="18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162" t="b">
        <f t="shared" si="1242"/>
        <v>1</v>
      </c>
      <c r="AK2231" s="162" t="str">
        <f t="shared" si="1243"/>
        <v>PRAZNO</v>
      </c>
      <c r="AM2231" s="164"/>
    </row>
    <row r="2232" spans="1:39" ht="15.75" x14ac:dyDescent="0.2">
      <c r="B2232" s="177"/>
      <c r="C2232" s="177"/>
      <c r="D2232" s="177"/>
      <c r="E2232" s="177">
        <v>4262</v>
      </c>
      <c r="F2232" s="176">
        <v>54</v>
      </c>
      <c r="G2232" s="176"/>
      <c r="H2232" s="16" t="s">
        <v>561</v>
      </c>
      <c r="I2232" s="18"/>
      <c r="J2232" s="18"/>
      <c r="K2232" s="18"/>
      <c r="L2232" s="18"/>
      <c r="M2232" s="18"/>
      <c r="N2232" s="18"/>
      <c r="O2232" s="18"/>
      <c r="P2232" s="26"/>
      <c r="Q2232" s="18"/>
      <c r="R2232" s="18"/>
      <c r="S2232" s="18"/>
      <c r="T2232" s="27"/>
      <c r="U2232" s="27">
        <v>1987.5</v>
      </c>
      <c r="V2232" s="27"/>
      <c r="W2232" s="27"/>
      <c r="X2232" s="18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162" t="b">
        <f t="shared" si="1242"/>
        <v>0</v>
      </c>
      <c r="AK2232" s="162" t="str">
        <f t="shared" si="1243"/>
        <v>PUNO</v>
      </c>
      <c r="AM2232" s="164"/>
    </row>
    <row r="2233" spans="1:39" s="171" customFormat="1" ht="31.5" x14ac:dyDescent="0.2">
      <c r="A2233" s="259"/>
      <c r="B2233" s="270"/>
      <c r="C2233" s="270"/>
      <c r="D2233" s="270"/>
      <c r="E2233" s="270"/>
      <c r="F2233" s="270"/>
      <c r="G2233" s="270"/>
      <c r="H2233" s="274" t="s">
        <v>105</v>
      </c>
      <c r="I2233" s="272" t="e">
        <f>I2234+I2410+I2387+#REF!+#REF!+I2398+I2404+#REF!</f>
        <v>#REF!</v>
      </c>
      <c r="J2233" s="272" t="e">
        <f>J2234+J2410+J2387+#REF!+#REF!+J2398+J2404+#REF!</f>
        <v>#REF!</v>
      </c>
      <c r="K2233" s="272" t="e">
        <f>K2234+K2410+K2387+#REF!+#REF!+K2398+K2404+#REF!</f>
        <v>#REF!</v>
      </c>
      <c r="L2233" s="272" t="e">
        <f>L2234+L2410+L2387+#REF!+#REF!+L2398+L2404+#REF!</f>
        <v>#REF!</v>
      </c>
      <c r="M2233" s="272" t="e">
        <f>M2234+M2410+M2387+#REF!+#REF!+M2398+M2404+M2376</f>
        <v>#REF!</v>
      </c>
      <c r="N2233" s="272" t="e">
        <f>N2234+N2410+N2387+#REF!+#REF!+N2398+N2404+N2376+N2446+N2457</f>
        <v>#REF!</v>
      </c>
      <c r="O2233" s="272" t="e">
        <f>O2234+O2410+O2387+#REF!+#REF!+O2398+O2404+O2376+O2446+O2457</f>
        <v>#REF!</v>
      </c>
      <c r="P2233" s="336" t="e">
        <f>T2233-N2233</f>
        <v>#REF!</v>
      </c>
      <c r="Q2233" s="272" t="e">
        <f>Q2234+Q2410+Q2387+#REF!+#REF!+Q2398+Q2404</f>
        <v>#REF!</v>
      </c>
      <c r="R2233" s="272" t="e">
        <f>R2234+R2410+R2387+#REF!+#REF!+R2398+R2404</f>
        <v>#REF!</v>
      </c>
      <c r="S2233" s="272" t="e">
        <f>S2234+S2410+S2387+#REF!+#REF!+S2398+S2404</f>
        <v>#REF!</v>
      </c>
      <c r="T2233" s="275">
        <f>T2234+T2410+T2387+T2398+T2404+T2376+T2446+T2457+T2364+T2370+T2468</f>
        <v>17262300</v>
      </c>
      <c r="U2233" s="275">
        <f>U2234+U2410+U2387+U2398+U2404+U2376+U2446+U2457+U2364+U2370+U2468</f>
        <v>11351707.700000001</v>
      </c>
      <c r="V2233" s="275">
        <f>V2234+V2410+V2387+V2398+V2404+V2376+V2446+V2457+V2364+V2370+V2468</f>
        <v>32101575</v>
      </c>
      <c r="W2233" s="275" t="e">
        <f>W2234+W2410+W2387+#REF!+#REF!+W2398+W2404+#REF!+W2376+W2446+W2457</f>
        <v>#REF!</v>
      </c>
      <c r="X2233" s="275" t="e">
        <f>X2234+X2410+X2387+#REF!+#REF!+X2398+X2404+#REF!+X2376+X2446+X2457</f>
        <v>#REF!</v>
      </c>
      <c r="Y2233" s="275">
        <f>Y2234+Y2410+Y2387+Y2398+Y2404+Y2376+Y2446+Y2457+Y2364+Y2370+Y2468</f>
        <v>12427247.68</v>
      </c>
      <c r="Z2233" s="275">
        <f t="shared" si="1251"/>
        <v>38.71</v>
      </c>
      <c r="AA2233" s="275">
        <f>AB2233-V2233</f>
        <v>702100</v>
      </c>
      <c r="AB2233" s="275">
        <f>AB2234+AB2410+AB2387+AB2398+AB2404+AB2376+AB2446+AB2457+AB2364+AB2370+AB2468</f>
        <v>32803675</v>
      </c>
      <c r="AC2233" s="275">
        <f>AC2234+AC2410+AC2387+AC2398+AC2404+AC2376+AC2446+AC2457+AC2364+AC2370+AC2468</f>
        <v>18624520.919999998</v>
      </c>
      <c r="AD2233" s="275">
        <f t="shared" si="1239"/>
        <v>56.775714672212786</v>
      </c>
      <c r="AE2233" s="275">
        <f>AE2234+AE2410+AE2387+AE2398+AE2404+AE2376+AE2446+AE2457+AE2364+AE2370+AE2468</f>
        <v>662063</v>
      </c>
      <c r="AF2233" s="275">
        <f>AF2234+AF2410+AF2387+AF2398+AF2404+AF2376+AF2446+AF2457+AF2364+AF2370+AF2468</f>
        <v>33465738</v>
      </c>
      <c r="AG2233" s="275">
        <f>AG2234+AG2410+AG2387+AG2398+AG2404+AG2376+AG2446+AG2457+AG2364+AG2370+AG2468</f>
        <v>29210839</v>
      </c>
      <c r="AH2233" s="275">
        <f>AH2234+AH2410+AH2387+AH2398+AH2404+AH2376+AH2446+AH2457+AH2364+AH2370+AH2468</f>
        <v>24586700</v>
      </c>
      <c r="AI2233" s="275">
        <f>AI2234+AI2410+AI2387+AI2398+AI2404+AI2376+AI2446+AI2457+AI2364+AI2370+AI2468</f>
        <v>24532600</v>
      </c>
      <c r="AJ2233" s="162" t="b">
        <f t="shared" si="1242"/>
        <v>1</v>
      </c>
      <c r="AK2233" s="162" t="str">
        <f t="shared" si="1243"/>
        <v>PRAZNO</v>
      </c>
      <c r="AL2233" s="170"/>
      <c r="AM2233" s="164"/>
    </row>
    <row r="2234" spans="1:39" s="171" customFormat="1" ht="15.75" x14ac:dyDescent="0.2">
      <c r="A2234" s="259"/>
      <c r="B2234" s="168"/>
      <c r="C2234" s="168"/>
      <c r="D2234" s="168"/>
      <c r="E2234" s="168"/>
      <c r="F2234" s="168"/>
      <c r="G2234" s="168"/>
      <c r="H2234" s="13" t="s">
        <v>864</v>
      </c>
      <c r="I2234" s="169" t="e">
        <f>I2286</f>
        <v>#REF!</v>
      </c>
      <c r="J2234" s="169" t="e">
        <f>J2286</f>
        <v>#REF!</v>
      </c>
      <c r="K2234" s="169" t="e">
        <f>ROUND(J2234/I2234*100,2)</f>
        <v>#REF!</v>
      </c>
      <c r="L2234" s="169" t="e">
        <f>M2234-I2234</f>
        <v>#REF!</v>
      </c>
      <c r="M2234" s="19" t="e">
        <f>M2286</f>
        <v>#REF!</v>
      </c>
      <c r="N2234" s="19" t="e">
        <f>N2286</f>
        <v>#REF!</v>
      </c>
      <c r="O2234" s="19" t="e">
        <f>O2286</f>
        <v>#REF!</v>
      </c>
      <c r="P2234" s="303" t="e">
        <f>T2234-N2234</f>
        <v>#REF!</v>
      </c>
      <c r="Q2234" s="19" t="e">
        <f>Q2286</f>
        <v>#REF!</v>
      </c>
      <c r="R2234" s="19">
        <f>R2286</f>
        <v>2585630</v>
      </c>
      <c r="S2234" s="19">
        <f>S2286</f>
        <v>2648630</v>
      </c>
      <c r="T2234" s="19">
        <f t="shared" ref="T2234:Y2234" si="1268">T2286+T2329+T2236</f>
        <v>1595400</v>
      </c>
      <c r="U2234" s="19">
        <f t="shared" si="1268"/>
        <v>1429760.94</v>
      </c>
      <c r="V2234" s="19">
        <f t="shared" si="1268"/>
        <v>9888300</v>
      </c>
      <c r="W2234" s="19" t="e">
        <f t="shared" si="1268"/>
        <v>#REF!</v>
      </c>
      <c r="X2234" s="19" t="e">
        <f t="shared" si="1268"/>
        <v>#REF!</v>
      </c>
      <c r="Y2234" s="19">
        <f t="shared" si="1268"/>
        <v>2201719.79</v>
      </c>
      <c r="Z2234" s="19">
        <f t="shared" si="1251"/>
        <v>22.27</v>
      </c>
      <c r="AA2234" s="19">
        <f>AB2234-V2234</f>
        <v>173700</v>
      </c>
      <c r="AB2234" s="19">
        <f>AB2286+AB2329+AB2236</f>
        <v>10062000</v>
      </c>
      <c r="AC2234" s="19">
        <f>AC2286+AC2329+AC2236</f>
        <v>4951964.5299999993</v>
      </c>
      <c r="AD2234" s="19">
        <f t="shared" si="1239"/>
        <v>49.214515305108321</v>
      </c>
      <c r="AE2234" s="19">
        <f t="shared" ref="AE2234:AE2305" si="1269">AF2234-AB2234</f>
        <v>-48700</v>
      </c>
      <c r="AF2234" s="19">
        <f>AF2286+AF2329+AF2236</f>
        <v>10013300</v>
      </c>
      <c r="AG2234" s="19">
        <f>AG2286+AG2329+AG2236</f>
        <v>9479500</v>
      </c>
      <c r="AH2234" s="19">
        <f>AH2286+AH2329+AH2236</f>
        <v>9628300</v>
      </c>
      <c r="AI2234" s="19">
        <f>AI2286+AI2329+AI2236</f>
        <v>9609200</v>
      </c>
      <c r="AJ2234" s="162" t="b">
        <f t="shared" si="1242"/>
        <v>1</v>
      </c>
      <c r="AK2234" s="162" t="str">
        <f t="shared" si="1243"/>
        <v>PRAZNO</v>
      </c>
      <c r="AL2234" s="170"/>
      <c r="AM2234" s="164"/>
    </row>
    <row r="2235" spans="1:39" s="264" customFormat="1" ht="15.75" x14ac:dyDescent="0.2">
      <c r="A2235" s="259"/>
      <c r="B2235" s="260"/>
      <c r="C2235" s="260"/>
      <c r="D2235" s="260"/>
      <c r="E2235" s="260"/>
      <c r="F2235" s="260"/>
      <c r="G2235" s="260"/>
      <c r="H2235" s="440" t="s">
        <v>824</v>
      </c>
      <c r="I2235" s="181"/>
      <c r="J2235" s="181"/>
      <c r="K2235" s="181"/>
      <c r="L2235" s="181"/>
      <c r="M2235" s="262"/>
      <c r="N2235" s="262"/>
      <c r="O2235" s="262"/>
      <c r="P2235" s="445"/>
      <c r="Q2235" s="262"/>
      <c r="R2235" s="262"/>
      <c r="S2235" s="262"/>
      <c r="T2235" s="342"/>
      <c r="U2235" s="262">
        <f t="shared" ref="U2235:AA2235" si="1270">U2236</f>
        <v>1236251.47</v>
      </c>
      <c r="V2235" s="262">
        <f t="shared" si="1270"/>
        <v>4448300</v>
      </c>
      <c r="W2235" s="262">
        <f t="shared" si="1270"/>
        <v>6736500</v>
      </c>
      <c r="X2235" s="262">
        <f t="shared" si="1270"/>
        <v>6534395</v>
      </c>
      <c r="Y2235" s="262">
        <f t="shared" si="1270"/>
        <v>1889283.95</v>
      </c>
      <c r="Z2235" s="262">
        <f t="shared" si="1270"/>
        <v>217.9</v>
      </c>
      <c r="AA2235" s="262">
        <f t="shared" si="1270"/>
        <v>286200</v>
      </c>
      <c r="AB2235" s="262">
        <f>AB2236</f>
        <v>4734500</v>
      </c>
      <c r="AC2235" s="262">
        <f>AC2236</f>
        <v>2283726.7299999995</v>
      </c>
      <c r="AD2235" s="262">
        <f t="shared" si="1239"/>
        <v>48.235858696800079</v>
      </c>
      <c r="AE2235" s="262">
        <f t="shared" si="1269"/>
        <v>0</v>
      </c>
      <c r="AF2235" s="262">
        <f>AF2236</f>
        <v>4734500</v>
      </c>
      <c r="AG2235" s="262">
        <f>AG2236</f>
        <v>4225700</v>
      </c>
      <c r="AH2235" s="262">
        <f>AH2236</f>
        <v>4388100</v>
      </c>
      <c r="AI2235" s="262">
        <f>AI2236</f>
        <v>4387600</v>
      </c>
      <c r="AJ2235" s="162" t="b">
        <f t="shared" si="1242"/>
        <v>1</v>
      </c>
      <c r="AK2235" s="162" t="str">
        <f t="shared" si="1243"/>
        <v>PRAZNO</v>
      </c>
      <c r="AL2235" s="263"/>
    </row>
    <row r="2236" spans="1:39" s="174" customFormat="1" ht="15.75" x14ac:dyDescent="0.2">
      <c r="A2236" s="259"/>
      <c r="B2236" s="172">
        <v>3</v>
      </c>
      <c r="C2236" s="172"/>
      <c r="D2236" s="172"/>
      <c r="E2236" s="172"/>
      <c r="F2236" s="172"/>
      <c r="G2236" s="172"/>
      <c r="H2236" s="14" t="s">
        <v>524</v>
      </c>
      <c r="I2236" s="20"/>
      <c r="J2236" s="20"/>
      <c r="K2236" s="20"/>
      <c r="L2236" s="20"/>
      <c r="M2236" s="20"/>
      <c r="N2236" s="20"/>
      <c r="O2236" s="20"/>
      <c r="P2236" s="54"/>
      <c r="Q2236" s="20"/>
      <c r="R2236" s="20"/>
      <c r="S2236" s="20"/>
      <c r="T2236" s="55"/>
      <c r="U2236" s="20">
        <f>U2244+U2279+U2282+U2237</f>
        <v>1236251.47</v>
      </c>
      <c r="V2236" s="20">
        <f t="shared" ref="V2236:AC2236" si="1271">V2244+V2279+V2282</f>
        <v>4448300</v>
      </c>
      <c r="W2236" s="20">
        <f t="shared" si="1271"/>
        <v>6736500</v>
      </c>
      <c r="X2236" s="20">
        <f t="shared" si="1271"/>
        <v>6534395</v>
      </c>
      <c r="Y2236" s="20">
        <f t="shared" si="1271"/>
        <v>1889283.95</v>
      </c>
      <c r="Z2236" s="20">
        <f t="shared" si="1271"/>
        <v>217.9</v>
      </c>
      <c r="AA2236" s="20">
        <f t="shared" si="1271"/>
        <v>286200</v>
      </c>
      <c r="AB2236" s="20">
        <f t="shared" si="1271"/>
        <v>4734500</v>
      </c>
      <c r="AC2236" s="20">
        <f t="shared" si="1271"/>
        <v>2283726.7299999995</v>
      </c>
      <c r="AD2236" s="20">
        <f t="shared" si="1239"/>
        <v>48.235858696800079</v>
      </c>
      <c r="AE2236" s="20">
        <f t="shared" si="1269"/>
        <v>0</v>
      </c>
      <c r="AF2236" s="20">
        <f>AF2244+AF2279+AF2282</f>
        <v>4734500</v>
      </c>
      <c r="AG2236" s="20">
        <f>AG2244+AG2279+AG2282</f>
        <v>4225700</v>
      </c>
      <c r="AH2236" s="20">
        <f>AH2244+AH2279+AH2282</f>
        <v>4388100</v>
      </c>
      <c r="AI2236" s="20">
        <f>AI2244+AI2279+AI2282</f>
        <v>4387600</v>
      </c>
      <c r="AJ2236" s="162" t="b">
        <f t="shared" si="1242"/>
        <v>1</v>
      </c>
      <c r="AK2236" s="162" t="str">
        <f t="shared" si="1243"/>
        <v>PRAZNO</v>
      </c>
      <c r="AL2236" s="173"/>
    </row>
    <row r="2237" spans="1:39" s="264" customFormat="1" ht="15.75" x14ac:dyDescent="0.2">
      <c r="A2237" s="259"/>
      <c r="B2237" s="177"/>
      <c r="C2237" s="177">
        <v>31</v>
      </c>
      <c r="D2237" s="177"/>
      <c r="E2237" s="177"/>
      <c r="F2237" s="177"/>
      <c r="G2237" s="177"/>
      <c r="H2237" s="16" t="s">
        <v>197</v>
      </c>
      <c r="I2237" s="181"/>
      <c r="J2237" s="181"/>
      <c r="K2237" s="181"/>
      <c r="L2237" s="181"/>
      <c r="M2237" s="181"/>
      <c r="N2237" s="181"/>
      <c r="O2237" s="181"/>
      <c r="P2237" s="343"/>
      <c r="Q2237" s="181"/>
      <c r="R2237" s="181"/>
      <c r="S2237" s="181"/>
      <c r="T2237" s="307"/>
      <c r="U2237" s="307">
        <f>U2238+U2241</f>
        <v>583877.44999999995</v>
      </c>
      <c r="V2237" s="181"/>
      <c r="W2237" s="181"/>
      <c r="X2237" s="181"/>
      <c r="Y2237" s="181"/>
      <c r="Z2237" s="181"/>
      <c r="AA2237" s="181"/>
      <c r="AB2237" s="181"/>
      <c r="AC2237" s="181"/>
      <c r="AD2237" s="181"/>
      <c r="AE2237" s="181"/>
      <c r="AF2237" s="181"/>
      <c r="AG2237" s="181"/>
      <c r="AH2237" s="181"/>
      <c r="AI2237" s="181"/>
      <c r="AJ2237" s="162" t="b">
        <f t="shared" si="1242"/>
        <v>1</v>
      </c>
      <c r="AK2237" s="162" t="str">
        <f t="shared" si="1243"/>
        <v>PRAZNO</v>
      </c>
      <c r="AL2237" s="263"/>
    </row>
    <row r="2238" spans="1:39" s="264" customFormat="1" ht="15.75" x14ac:dyDescent="0.2">
      <c r="A2238" s="259"/>
      <c r="B2238" s="177"/>
      <c r="C2238" s="177"/>
      <c r="D2238" s="177">
        <v>311</v>
      </c>
      <c r="E2238" s="177"/>
      <c r="F2238" s="177"/>
      <c r="G2238" s="177"/>
      <c r="H2238" s="16" t="s">
        <v>915</v>
      </c>
      <c r="I2238" s="181"/>
      <c r="J2238" s="181"/>
      <c r="K2238" s="181"/>
      <c r="L2238" s="181"/>
      <c r="M2238" s="181"/>
      <c r="N2238" s="181"/>
      <c r="O2238" s="181"/>
      <c r="P2238" s="343"/>
      <c r="Q2238" s="181"/>
      <c r="R2238" s="181"/>
      <c r="S2238" s="181"/>
      <c r="T2238" s="307"/>
      <c r="U2238" s="307">
        <f>SUM(U2239:U2240)</f>
        <v>495332.89</v>
      </c>
      <c r="V2238" s="181"/>
      <c r="W2238" s="181"/>
      <c r="X2238" s="181"/>
      <c r="Y2238" s="181"/>
      <c r="Z2238" s="181"/>
      <c r="AA2238" s="181"/>
      <c r="AB2238" s="181"/>
      <c r="AC2238" s="181"/>
      <c r="AD2238" s="181"/>
      <c r="AE2238" s="181"/>
      <c r="AF2238" s="181"/>
      <c r="AG2238" s="181"/>
      <c r="AH2238" s="181"/>
      <c r="AI2238" s="181"/>
      <c r="AJ2238" s="162" t="b">
        <f t="shared" si="1242"/>
        <v>1</v>
      </c>
      <c r="AK2238" s="162" t="str">
        <f t="shared" si="1243"/>
        <v>PRAZNO</v>
      </c>
      <c r="AL2238" s="263"/>
    </row>
    <row r="2239" spans="1:39" s="264" customFormat="1" ht="15.75" x14ac:dyDescent="0.2">
      <c r="A2239" s="259"/>
      <c r="B2239" s="177"/>
      <c r="C2239" s="177"/>
      <c r="D2239" s="177"/>
      <c r="E2239" s="177">
        <v>3111</v>
      </c>
      <c r="F2239" s="177">
        <v>17</v>
      </c>
      <c r="G2239" s="177"/>
      <c r="H2239" s="16" t="s">
        <v>199</v>
      </c>
      <c r="I2239" s="181"/>
      <c r="J2239" s="181"/>
      <c r="K2239" s="181"/>
      <c r="L2239" s="181"/>
      <c r="M2239" s="181"/>
      <c r="N2239" s="181"/>
      <c r="O2239" s="181"/>
      <c r="P2239" s="343"/>
      <c r="Q2239" s="181"/>
      <c r="R2239" s="181"/>
      <c r="S2239" s="181"/>
      <c r="T2239" s="307"/>
      <c r="U2239" s="307">
        <v>269767.32</v>
      </c>
      <c r="V2239" s="181"/>
      <c r="W2239" s="181"/>
      <c r="X2239" s="181"/>
      <c r="Y2239" s="181"/>
      <c r="Z2239" s="181"/>
      <c r="AA2239" s="181"/>
      <c r="AB2239" s="181"/>
      <c r="AC2239" s="181"/>
      <c r="AD2239" s="181"/>
      <c r="AE2239" s="181"/>
      <c r="AF2239" s="181"/>
      <c r="AG2239" s="181"/>
      <c r="AH2239" s="181"/>
      <c r="AI2239" s="181"/>
      <c r="AJ2239" s="162" t="b">
        <f t="shared" si="1242"/>
        <v>0</v>
      </c>
      <c r="AK2239" s="162" t="str">
        <f t="shared" si="1243"/>
        <v>PUNO</v>
      </c>
      <c r="AL2239" s="263"/>
    </row>
    <row r="2240" spans="1:39" s="264" customFormat="1" ht="15.75" x14ac:dyDescent="0.2">
      <c r="A2240" s="259"/>
      <c r="B2240" s="177"/>
      <c r="C2240" s="177"/>
      <c r="D2240" s="177"/>
      <c r="E2240" s="177">
        <v>3113</v>
      </c>
      <c r="F2240" s="177">
        <v>17</v>
      </c>
      <c r="G2240" s="177"/>
      <c r="H2240" s="16" t="s">
        <v>946</v>
      </c>
      <c r="I2240" s="181"/>
      <c r="J2240" s="181"/>
      <c r="K2240" s="181"/>
      <c r="L2240" s="181"/>
      <c r="M2240" s="181"/>
      <c r="N2240" s="181"/>
      <c r="O2240" s="181"/>
      <c r="P2240" s="343"/>
      <c r="Q2240" s="181"/>
      <c r="R2240" s="181"/>
      <c r="S2240" s="181"/>
      <c r="T2240" s="307"/>
      <c r="U2240" s="307">
        <v>225565.57</v>
      </c>
      <c r="V2240" s="181"/>
      <c r="W2240" s="181"/>
      <c r="X2240" s="181"/>
      <c r="Y2240" s="181"/>
      <c r="Z2240" s="181"/>
      <c r="AA2240" s="181"/>
      <c r="AB2240" s="181"/>
      <c r="AC2240" s="181"/>
      <c r="AD2240" s="181"/>
      <c r="AE2240" s="181"/>
      <c r="AF2240" s="181"/>
      <c r="AG2240" s="181"/>
      <c r="AH2240" s="181"/>
      <c r="AI2240" s="181"/>
      <c r="AJ2240" s="162" t="b">
        <f t="shared" si="1242"/>
        <v>0</v>
      </c>
      <c r="AK2240" s="162" t="str">
        <f t="shared" si="1243"/>
        <v>PUNO</v>
      </c>
      <c r="AL2240" s="263"/>
    </row>
    <row r="2241" spans="1:38" s="264" customFormat="1" ht="15.75" x14ac:dyDescent="0.2">
      <c r="A2241" s="259"/>
      <c r="B2241" s="177"/>
      <c r="C2241" s="177"/>
      <c r="D2241" s="177">
        <v>313</v>
      </c>
      <c r="E2241" s="177"/>
      <c r="F2241" s="177"/>
      <c r="G2241" s="177"/>
      <c r="H2241" s="16" t="s">
        <v>414</v>
      </c>
      <c r="I2241" s="181"/>
      <c r="J2241" s="181"/>
      <c r="K2241" s="181"/>
      <c r="L2241" s="181"/>
      <c r="M2241" s="181"/>
      <c r="N2241" s="181"/>
      <c r="O2241" s="181"/>
      <c r="P2241" s="343"/>
      <c r="Q2241" s="181"/>
      <c r="R2241" s="181"/>
      <c r="S2241" s="181"/>
      <c r="T2241" s="307"/>
      <c r="U2241" s="307">
        <f>U2242+U2243</f>
        <v>88544.56</v>
      </c>
      <c r="V2241" s="181"/>
      <c r="W2241" s="181"/>
      <c r="X2241" s="181"/>
      <c r="Y2241" s="181"/>
      <c r="Z2241" s="181"/>
      <c r="AA2241" s="181"/>
      <c r="AB2241" s="181"/>
      <c r="AC2241" s="181"/>
      <c r="AD2241" s="181"/>
      <c r="AE2241" s="181"/>
      <c r="AF2241" s="181"/>
      <c r="AG2241" s="181"/>
      <c r="AH2241" s="181"/>
      <c r="AI2241" s="181"/>
      <c r="AJ2241" s="162" t="b">
        <f t="shared" si="1242"/>
        <v>1</v>
      </c>
      <c r="AK2241" s="162" t="str">
        <f t="shared" si="1243"/>
        <v>PRAZNO</v>
      </c>
      <c r="AL2241" s="263"/>
    </row>
    <row r="2242" spans="1:38" s="264" customFormat="1" ht="15.75" x14ac:dyDescent="0.2">
      <c r="A2242" s="259"/>
      <c r="B2242" s="177"/>
      <c r="C2242" s="177"/>
      <c r="D2242" s="177"/>
      <c r="E2242" s="177">
        <v>3132</v>
      </c>
      <c r="F2242" s="177">
        <v>17</v>
      </c>
      <c r="G2242" s="177"/>
      <c r="H2242" s="16" t="s">
        <v>202</v>
      </c>
      <c r="I2242" s="181"/>
      <c r="J2242" s="181"/>
      <c r="K2242" s="181"/>
      <c r="L2242" s="181"/>
      <c r="M2242" s="181"/>
      <c r="N2242" s="181"/>
      <c r="O2242" s="181"/>
      <c r="P2242" s="343"/>
      <c r="Q2242" s="181"/>
      <c r="R2242" s="181"/>
      <c r="S2242" s="181"/>
      <c r="T2242" s="307"/>
      <c r="U2242" s="307">
        <v>78980.45</v>
      </c>
      <c r="V2242" s="181"/>
      <c r="W2242" s="181"/>
      <c r="X2242" s="181"/>
      <c r="Y2242" s="181"/>
      <c r="Z2242" s="181"/>
      <c r="AA2242" s="181"/>
      <c r="AB2242" s="181"/>
      <c r="AC2242" s="181"/>
      <c r="AD2242" s="181"/>
      <c r="AE2242" s="181"/>
      <c r="AF2242" s="181"/>
      <c r="AG2242" s="181"/>
      <c r="AH2242" s="181"/>
      <c r="AI2242" s="181"/>
      <c r="AJ2242" s="162" t="b">
        <f t="shared" si="1242"/>
        <v>0</v>
      </c>
      <c r="AK2242" s="162" t="str">
        <f t="shared" si="1243"/>
        <v>PUNO</v>
      </c>
      <c r="AL2242" s="263"/>
    </row>
    <row r="2243" spans="1:38" s="264" customFormat="1" ht="30" x14ac:dyDescent="0.2">
      <c r="A2243" s="259"/>
      <c r="B2243" s="177"/>
      <c r="C2243" s="177"/>
      <c r="D2243" s="177"/>
      <c r="E2243" s="177">
        <v>3133</v>
      </c>
      <c r="F2243" s="177">
        <v>17</v>
      </c>
      <c r="G2243" s="177"/>
      <c r="H2243" s="16" t="s">
        <v>203</v>
      </c>
      <c r="I2243" s="181"/>
      <c r="J2243" s="181"/>
      <c r="K2243" s="181"/>
      <c r="L2243" s="181"/>
      <c r="M2243" s="181"/>
      <c r="N2243" s="181"/>
      <c r="O2243" s="181"/>
      <c r="P2243" s="343"/>
      <c r="Q2243" s="181"/>
      <c r="R2243" s="181"/>
      <c r="S2243" s="181"/>
      <c r="T2243" s="307"/>
      <c r="U2243" s="307">
        <v>9564.11</v>
      </c>
      <c r="V2243" s="181"/>
      <c r="W2243" s="181"/>
      <c r="X2243" s="181"/>
      <c r="Y2243" s="181"/>
      <c r="Z2243" s="181"/>
      <c r="AA2243" s="181"/>
      <c r="AB2243" s="181"/>
      <c r="AC2243" s="181"/>
      <c r="AD2243" s="181"/>
      <c r="AE2243" s="181"/>
      <c r="AF2243" s="181"/>
      <c r="AG2243" s="181"/>
      <c r="AH2243" s="181"/>
      <c r="AI2243" s="181"/>
      <c r="AJ2243" s="162" t="b">
        <f t="shared" si="1242"/>
        <v>0</v>
      </c>
      <c r="AK2243" s="162" t="str">
        <f t="shared" si="1243"/>
        <v>PUNO</v>
      </c>
      <c r="AL2243" s="263"/>
    </row>
    <row r="2244" spans="1:38" s="264" customFormat="1" ht="15.75" x14ac:dyDescent="0.2">
      <c r="A2244" s="259"/>
      <c r="B2244" s="177"/>
      <c r="C2244" s="177">
        <v>32</v>
      </c>
      <c r="D2244" s="177"/>
      <c r="E2244" s="177"/>
      <c r="F2244" s="177"/>
      <c r="G2244" s="177"/>
      <c r="H2244" s="16" t="s">
        <v>525</v>
      </c>
      <c r="I2244" s="181"/>
      <c r="J2244" s="181"/>
      <c r="K2244" s="181"/>
      <c r="L2244" s="181"/>
      <c r="M2244" s="181"/>
      <c r="N2244" s="181"/>
      <c r="O2244" s="181"/>
      <c r="P2244" s="343"/>
      <c r="Q2244" s="181"/>
      <c r="R2244" s="181"/>
      <c r="S2244" s="181"/>
      <c r="T2244" s="307"/>
      <c r="U2244" s="181">
        <f>U2245+U2251+U2261+U2275</f>
        <v>615987.1</v>
      </c>
      <c r="V2244" s="181">
        <f t="shared" ref="V2244:AC2244" si="1272">V2245+V2251+V2261</f>
        <v>4380200</v>
      </c>
      <c r="W2244" s="181">
        <f t="shared" si="1272"/>
        <v>6668400</v>
      </c>
      <c r="X2244" s="181">
        <f t="shared" si="1272"/>
        <v>6465395</v>
      </c>
      <c r="Y2244" s="181">
        <f t="shared" si="1272"/>
        <v>1879496.45</v>
      </c>
      <c r="Z2244" s="181">
        <f t="shared" si="1272"/>
        <v>203.53</v>
      </c>
      <c r="AA2244" s="181">
        <f t="shared" si="1272"/>
        <v>31200</v>
      </c>
      <c r="AB2244" s="181">
        <f t="shared" si="1272"/>
        <v>4411400</v>
      </c>
      <c r="AC2244" s="181">
        <f t="shared" si="1272"/>
        <v>1971988.7299999997</v>
      </c>
      <c r="AD2244" s="181">
        <f t="shared" si="1239"/>
        <v>44.702106587477893</v>
      </c>
      <c r="AE2244" s="181">
        <f t="shared" si="1269"/>
        <v>0</v>
      </c>
      <c r="AF2244" s="181">
        <f>AF2245+AF2251+AF2261</f>
        <v>4411400</v>
      </c>
      <c r="AG2244" s="181">
        <f>AG2245+AG2251+AG2261</f>
        <v>4157600</v>
      </c>
      <c r="AH2244" s="181">
        <f>AH2245+AH2251+AH2261</f>
        <v>4320000</v>
      </c>
      <c r="AI2244" s="181">
        <f>AI2245+AI2251+AI2261</f>
        <v>4319500</v>
      </c>
      <c r="AJ2244" s="162" t="b">
        <f t="shared" si="1242"/>
        <v>1</v>
      </c>
      <c r="AK2244" s="162" t="str">
        <f t="shared" si="1243"/>
        <v>PRAZNO</v>
      </c>
      <c r="AL2244" s="263"/>
    </row>
    <row r="2245" spans="1:38" s="264" customFormat="1" ht="15.75" x14ac:dyDescent="0.2">
      <c r="A2245" s="259"/>
      <c r="B2245" s="177"/>
      <c r="C2245" s="177"/>
      <c r="D2245" s="177">
        <v>321</v>
      </c>
      <c r="E2245" s="177"/>
      <c r="F2245" s="177"/>
      <c r="G2245" s="177"/>
      <c r="H2245" s="16" t="s">
        <v>564</v>
      </c>
      <c r="I2245" s="181"/>
      <c r="J2245" s="181"/>
      <c r="K2245" s="181"/>
      <c r="L2245" s="181"/>
      <c r="M2245" s="181"/>
      <c r="N2245" s="181"/>
      <c r="O2245" s="181"/>
      <c r="P2245" s="343"/>
      <c r="Q2245" s="181"/>
      <c r="R2245" s="181"/>
      <c r="S2245" s="181"/>
      <c r="T2245" s="307"/>
      <c r="U2245" s="181">
        <f>SUM(U2246:U2250)</f>
        <v>97680.650000000009</v>
      </c>
      <c r="V2245" s="181">
        <f t="shared" ref="V2245:AA2245" si="1273">V2249+V2246</f>
        <v>50000</v>
      </c>
      <c r="W2245" s="181">
        <f t="shared" si="1273"/>
        <v>50000</v>
      </c>
      <c r="X2245" s="181">
        <f t="shared" si="1273"/>
        <v>51500</v>
      </c>
      <c r="Y2245" s="181">
        <f t="shared" si="1273"/>
        <v>0</v>
      </c>
      <c r="Z2245" s="181">
        <f t="shared" si="1273"/>
        <v>0</v>
      </c>
      <c r="AA2245" s="181">
        <f t="shared" si="1273"/>
        <v>400</v>
      </c>
      <c r="AB2245" s="181">
        <f>AB2249+AB2246</f>
        <v>50400</v>
      </c>
      <c r="AC2245" s="181">
        <f>AC2249+AC2246</f>
        <v>170</v>
      </c>
      <c r="AD2245" s="181">
        <f t="shared" si="1239"/>
        <v>0.33730158730158732</v>
      </c>
      <c r="AE2245" s="181">
        <f t="shared" si="1269"/>
        <v>0</v>
      </c>
      <c r="AF2245" s="181">
        <f>AF2249+AF2246</f>
        <v>50400</v>
      </c>
      <c r="AG2245" s="181">
        <f>AG2249+AG2246</f>
        <v>50400</v>
      </c>
      <c r="AH2245" s="181">
        <f>AH2249+AH2246</f>
        <v>50400</v>
      </c>
      <c r="AI2245" s="181">
        <f>AI2249+AI2246</f>
        <v>50400</v>
      </c>
      <c r="AJ2245" s="162" t="b">
        <f t="shared" si="1242"/>
        <v>1</v>
      </c>
      <c r="AK2245" s="162" t="str">
        <f t="shared" si="1243"/>
        <v>PRAZNO</v>
      </c>
      <c r="AL2245" s="263"/>
    </row>
    <row r="2246" spans="1:38" s="264" customFormat="1" ht="30" x14ac:dyDescent="0.2">
      <c r="A2246" s="259"/>
      <c r="B2246" s="177"/>
      <c r="C2246" s="177"/>
      <c r="D2246" s="177"/>
      <c r="E2246" s="177">
        <v>3211</v>
      </c>
      <c r="F2246" s="177">
        <v>11</v>
      </c>
      <c r="G2246" s="177"/>
      <c r="H2246" s="16" t="s">
        <v>28</v>
      </c>
      <c r="I2246" s="181"/>
      <c r="J2246" s="181"/>
      <c r="K2246" s="181"/>
      <c r="L2246" s="181"/>
      <c r="M2246" s="181"/>
      <c r="N2246" s="181"/>
      <c r="O2246" s="181"/>
      <c r="P2246" s="343"/>
      <c r="Q2246" s="181"/>
      <c r="R2246" s="181"/>
      <c r="S2246" s="181"/>
      <c r="T2246" s="307"/>
      <c r="U2246" s="307"/>
      <c r="V2246" s="181">
        <v>0</v>
      </c>
      <c r="W2246" s="181"/>
      <c r="X2246" s="181"/>
      <c r="Y2246" s="181">
        <v>0</v>
      </c>
      <c r="Z2246" s="181"/>
      <c r="AA2246" s="181">
        <f>AB2246-V2246</f>
        <v>400</v>
      </c>
      <c r="AB2246" s="181">
        <v>400</v>
      </c>
      <c r="AC2246" s="181">
        <v>170</v>
      </c>
      <c r="AD2246" s="181">
        <f t="shared" si="1239"/>
        <v>42.5</v>
      </c>
      <c r="AE2246" s="181">
        <f t="shared" si="1269"/>
        <v>0</v>
      </c>
      <c r="AF2246" s="181">
        <v>400</v>
      </c>
      <c r="AG2246" s="181">
        <v>400</v>
      </c>
      <c r="AH2246" s="181">
        <v>400</v>
      </c>
      <c r="AI2246" s="181">
        <v>400</v>
      </c>
      <c r="AJ2246" s="162" t="b">
        <f t="shared" si="1242"/>
        <v>0</v>
      </c>
      <c r="AK2246" s="162" t="str">
        <f t="shared" si="1243"/>
        <v>PUNO</v>
      </c>
      <c r="AL2246" s="263"/>
    </row>
    <row r="2247" spans="1:38" s="264" customFormat="1" ht="15.75" x14ac:dyDescent="0.2">
      <c r="A2247" s="259"/>
      <c r="B2247" s="177"/>
      <c r="C2247" s="177"/>
      <c r="D2247" s="177"/>
      <c r="E2247" s="177">
        <v>3211</v>
      </c>
      <c r="F2247" s="177">
        <v>17</v>
      </c>
      <c r="G2247" s="177"/>
      <c r="H2247" s="16" t="s">
        <v>565</v>
      </c>
      <c r="I2247" s="181"/>
      <c r="J2247" s="181"/>
      <c r="K2247" s="181"/>
      <c r="L2247" s="181"/>
      <c r="M2247" s="181"/>
      <c r="N2247" s="181"/>
      <c r="O2247" s="181"/>
      <c r="P2247" s="343"/>
      <c r="Q2247" s="181"/>
      <c r="R2247" s="181"/>
      <c r="S2247" s="181"/>
      <c r="T2247" s="307"/>
      <c r="U2247" s="307">
        <v>25657.85</v>
      </c>
      <c r="V2247" s="181"/>
      <c r="W2247" s="181"/>
      <c r="X2247" s="181"/>
      <c r="Y2247" s="181"/>
      <c r="Z2247" s="181"/>
      <c r="AA2247" s="181"/>
      <c r="AB2247" s="181"/>
      <c r="AC2247" s="181"/>
      <c r="AD2247" s="181"/>
      <c r="AE2247" s="181"/>
      <c r="AF2247" s="181"/>
      <c r="AG2247" s="181"/>
      <c r="AH2247" s="181"/>
      <c r="AI2247" s="181"/>
      <c r="AJ2247" s="162" t="b">
        <f t="shared" si="1242"/>
        <v>0</v>
      </c>
      <c r="AK2247" s="162" t="str">
        <f t="shared" si="1243"/>
        <v>PUNO</v>
      </c>
      <c r="AL2247" s="263"/>
    </row>
    <row r="2248" spans="1:38" s="264" customFormat="1" ht="15.75" x14ac:dyDescent="0.2">
      <c r="A2248" s="259"/>
      <c r="B2248" s="177"/>
      <c r="C2248" s="177"/>
      <c r="D2248" s="177"/>
      <c r="E2248" s="177">
        <v>3213</v>
      </c>
      <c r="F2248" s="177">
        <v>17</v>
      </c>
      <c r="G2248" s="177"/>
      <c r="H2248" s="16" t="s">
        <v>221</v>
      </c>
      <c r="I2248" s="181"/>
      <c r="J2248" s="181"/>
      <c r="K2248" s="181"/>
      <c r="L2248" s="181"/>
      <c r="M2248" s="181"/>
      <c r="N2248" s="181"/>
      <c r="O2248" s="181"/>
      <c r="P2248" s="343"/>
      <c r="Q2248" s="181"/>
      <c r="R2248" s="181"/>
      <c r="S2248" s="181"/>
      <c r="T2248" s="307"/>
      <c r="U2248" s="307">
        <v>8850</v>
      </c>
      <c r="V2248" s="181"/>
      <c r="W2248" s="181"/>
      <c r="X2248" s="181"/>
      <c r="Y2248" s="181"/>
      <c r="Z2248" s="181"/>
      <c r="AA2248" s="181"/>
      <c r="AB2248" s="181"/>
      <c r="AC2248" s="181"/>
      <c r="AD2248" s="181"/>
      <c r="AE2248" s="181"/>
      <c r="AF2248" s="181"/>
      <c r="AG2248" s="181"/>
      <c r="AH2248" s="181"/>
      <c r="AI2248" s="181"/>
      <c r="AJ2248" s="162" t="b">
        <f t="shared" si="1242"/>
        <v>0</v>
      </c>
      <c r="AK2248" s="162" t="str">
        <f t="shared" si="1243"/>
        <v>PUNO</v>
      </c>
      <c r="AL2248" s="263"/>
    </row>
    <row r="2249" spans="1:38" s="164" customFormat="1" ht="15.75" x14ac:dyDescent="0.2">
      <c r="A2249" s="259"/>
      <c r="B2249" s="177"/>
      <c r="C2249" s="177"/>
      <c r="D2249" s="177"/>
      <c r="E2249" s="306">
        <v>3213</v>
      </c>
      <c r="F2249" s="265">
        <v>11</v>
      </c>
      <c r="G2249" s="265"/>
      <c r="H2249" s="16" t="s">
        <v>221</v>
      </c>
      <c r="I2249" s="178"/>
      <c r="J2249" s="178"/>
      <c r="K2249" s="178"/>
      <c r="L2249" s="178"/>
      <c r="M2249" s="178"/>
      <c r="N2249" s="178"/>
      <c r="O2249" s="178"/>
      <c r="P2249" s="307"/>
      <c r="Q2249" s="178"/>
      <c r="R2249" s="178"/>
      <c r="S2249" s="178"/>
      <c r="T2249" s="266"/>
      <c r="U2249" s="266">
        <v>50000</v>
      </c>
      <c r="V2249" s="266">
        <v>50000</v>
      </c>
      <c r="W2249" s="266">
        <v>50000</v>
      </c>
      <c r="X2249" s="266">
        <v>51500</v>
      </c>
      <c r="Y2249" s="266">
        <v>0</v>
      </c>
      <c r="Z2249" s="266">
        <f t="shared" si="1251"/>
        <v>0</v>
      </c>
      <c r="AA2249" s="266">
        <f>AB2249-V2249</f>
        <v>0</v>
      </c>
      <c r="AB2249" s="266">
        <v>50000</v>
      </c>
      <c r="AC2249" s="266">
        <v>0</v>
      </c>
      <c r="AD2249" s="266">
        <f t="shared" si="1239"/>
        <v>0</v>
      </c>
      <c r="AE2249" s="266">
        <f t="shared" si="1269"/>
        <v>0</v>
      </c>
      <c r="AF2249" s="266">
        <v>50000</v>
      </c>
      <c r="AG2249" s="266">
        <v>50000</v>
      </c>
      <c r="AH2249" s="266">
        <v>50000</v>
      </c>
      <c r="AI2249" s="266">
        <v>50000</v>
      </c>
      <c r="AJ2249" s="162" t="b">
        <f t="shared" ref="AJ2249:AJ2312" si="1274">ISBLANK(E2249)</f>
        <v>0</v>
      </c>
      <c r="AK2249" s="162" t="str">
        <f t="shared" ref="AK2249:AK2312" si="1275">IF(AJ2249,"PRAZNO","PUNO")</f>
        <v>PUNO</v>
      </c>
      <c r="AL2249" s="165"/>
    </row>
    <row r="2250" spans="1:38" s="164" customFormat="1" ht="15.75" x14ac:dyDescent="0.2">
      <c r="A2250" s="259"/>
      <c r="B2250" s="177"/>
      <c r="C2250" s="177"/>
      <c r="D2250" s="177"/>
      <c r="E2250" s="306">
        <v>3214</v>
      </c>
      <c r="F2250" s="265">
        <v>17</v>
      </c>
      <c r="G2250" s="265"/>
      <c r="H2250" s="16" t="s">
        <v>852</v>
      </c>
      <c r="I2250" s="178"/>
      <c r="J2250" s="178"/>
      <c r="K2250" s="178"/>
      <c r="L2250" s="178"/>
      <c r="M2250" s="178"/>
      <c r="N2250" s="178"/>
      <c r="O2250" s="178"/>
      <c r="P2250" s="307"/>
      <c r="Q2250" s="178"/>
      <c r="R2250" s="178"/>
      <c r="S2250" s="178"/>
      <c r="T2250" s="266"/>
      <c r="U2250" s="266">
        <v>13172.8</v>
      </c>
      <c r="V2250" s="266"/>
      <c r="W2250" s="266"/>
      <c r="X2250" s="266"/>
      <c r="Y2250" s="266"/>
      <c r="Z2250" s="266"/>
      <c r="AA2250" s="266"/>
      <c r="AB2250" s="266"/>
      <c r="AC2250" s="266"/>
      <c r="AD2250" s="266"/>
      <c r="AE2250" s="266"/>
      <c r="AF2250" s="266"/>
      <c r="AG2250" s="266"/>
      <c r="AH2250" s="266"/>
      <c r="AI2250" s="266"/>
      <c r="AJ2250" s="162" t="b">
        <f t="shared" si="1274"/>
        <v>0</v>
      </c>
      <c r="AK2250" s="162" t="str">
        <f t="shared" si="1275"/>
        <v>PUNO</v>
      </c>
      <c r="AL2250" s="165"/>
    </row>
    <row r="2251" spans="1:38" s="264" customFormat="1" ht="15.75" x14ac:dyDescent="0.2">
      <c r="A2251" s="259"/>
      <c r="B2251" s="177"/>
      <c r="C2251" s="177"/>
      <c r="D2251" s="177">
        <v>322</v>
      </c>
      <c r="E2251" s="177"/>
      <c r="F2251" s="177"/>
      <c r="G2251" s="177"/>
      <c r="H2251" s="16" t="s">
        <v>547</v>
      </c>
      <c r="I2251" s="181"/>
      <c r="J2251" s="181"/>
      <c r="K2251" s="181"/>
      <c r="L2251" s="181"/>
      <c r="M2251" s="181"/>
      <c r="N2251" s="181"/>
      <c r="O2251" s="181"/>
      <c r="P2251" s="343"/>
      <c r="Q2251" s="181"/>
      <c r="R2251" s="181"/>
      <c r="S2251" s="181"/>
      <c r="T2251" s="307"/>
      <c r="U2251" s="181">
        <f>SUM(U2252:U2260)</f>
        <v>176874.18999999997</v>
      </c>
      <c r="V2251" s="181">
        <f t="shared" ref="V2251:AA2251" si="1276">SUM(V2252:V2259)</f>
        <v>1110600</v>
      </c>
      <c r="W2251" s="181">
        <f t="shared" si="1276"/>
        <v>1377800</v>
      </c>
      <c r="X2251" s="181">
        <f t="shared" si="1276"/>
        <v>1172095</v>
      </c>
      <c r="Y2251" s="181">
        <f t="shared" si="1276"/>
        <v>49316.24</v>
      </c>
      <c r="Z2251" s="181">
        <f t="shared" si="1276"/>
        <v>146.69</v>
      </c>
      <c r="AA2251" s="181">
        <f t="shared" si="1276"/>
        <v>17000</v>
      </c>
      <c r="AB2251" s="181">
        <f>SUM(AB2252:AB2259)</f>
        <v>1127600</v>
      </c>
      <c r="AC2251" s="181">
        <f>SUM(AC2252:AC2259)</f>
        <v>57957.14</v>
      </c>
      <c r="AD2251" s="181">
        <f t="shared" si="1239"/>
        <v>5.1398669741042919</v>
      </c>
      <c r="AE2251" s="181">
        <f t="shared" si="1269"/>
        <v>0</v>
      </c>
      <c r="AF2251" s="181">
        <f>SUM(AF2252:AF2259)</f>
        <v>1127600</v>
      </c>
      <c r="AG2251" s="181">
        <f>SUM(AG2252:AG2259)</f>
        <v>1060600</v>
      </c>
      <c r="AH2251" s="181">
        <f>SUM(AH2252:AH2259)</f>
        <v>1110600</v>
      </c>
      <c r="AI2251" s="181">
        <f>SUM(AI2252:AI2259)</f>
        <v>1110600</v>
      </c>
      <c r="AJ2251" s="162" t="b">
        <f t="shared" si="1274"/>
        <v>1</v>
      </c>
      <c r="AK2251" s="162" t="str">
        <f t="shared" si="1275"/>
        <v>PRAZNO</v>
      </c>
      <c r="AL2251" s="263"/>
    </row>
    <row r="2252" spans="1:38" s="164" customFormat="1" ht="21.75" customHeight="1" x14ac:dyDescent="0.2">
      <c r="A2252" s="259"/>
      <c r="B2252" s="177"/>
      <c r="C2252" s="177"/>
      <c r="D2252" s="177"/>
      <c r="E2252" s="177">
        <v>3221</v>
      </c>
      <c r="F2252" s="265">
        <v>11</v>
      </c>
      <c r="G2252" s="265" t="s">
        <v>1040</v>
      </c>
      <c r="H2252" s="16" t="s">
        <v>438</v>
      </c>
      <c r="I2252" s="181"/>
      <c r="J2252" s="181"/>
      <c r="K2252" s="181"/>
      <c r="L2252" s="181"/>
      <c r="M2252" s="181"/>
      <c r="N2252" s="181"/>
      <c r="O2252" s="181"/>
      <c r="P2252" s="307"/>
      <c r="Q2252" s="181"/>
      <c r="R2252" s="181"/>
      <c r="S2252" s="181"/>
      <c r="T2252" s="307"/>
      <c r="U2252" s="307"/>
      <c r="V2252" s="307">
        <v>41600</v>
      </c>
      <c r="W2252" s="307">
        <v>41600</v>
      </c>
      <c r="X2252" s="181">
        <v>42800</v>
      </c>
      <c r="Y2252" s="307">
        <v>0</v>
      </c>
      <c r="Z2252" s="307">
        <f t="shared" si="1251"/>
        <v>0</v>
      </c>
      <c r="AA2252" s="307">
        <f>AB2252-V2252</f>
        <v>0</v>
      </c>
      <c r="AB2252" s="307">
        <v>41600</v>
      </c>
      <c r="AC2252" s="307">
        <v>0</v>
      </c>
      <c r="AD2252" s="307">
        <f t="shared" si="1239"/>
        <v>0</v>
      </c>
      <c r="AE2252" s="307">
        <f t="shared" si="1269"/>
        <v>0</v>
      </c>
      <c r="AF2252" s="307">
        <v>41600</v>
      </c>
      <c r="AG2252" s="307">
        <v>41600</v>
      </c>
      <c r="AH2252" s="307">
        <v>41600</v>
      </c>
      <c r="AI2252" s="307">
        <v>41600</v>
      </c>
      <c r="AJ2252" s="162" t="b">
        <f t="shared" si="1274"/>
        <v>0</v>
      </c>
      <c r="AK2252" s="162" t="str">
        <f t="shared" si="1275"/>
        <v>PUNO</v>
      </c>
      <c r="AL2252" s="165"/>
    </row>
    <row r="2253" spans="1:38" s="164" customFormat="1" ht="21.75" customHeight="1" x14ac:dyDescent="0.2">
      <c r="A2253" s="259"/>
      <c r="B2253" s="177"/>
      <c r="C2253" s="177"/>
      <c r="D2253" s="177"/>
      <c r="E2253" s="177">
        <v>3221</v>
      </c>
      <c r="F2253" s="265">
        <v>17</v>
      </c>
      <c r="G2253" s="265"/>
      <c r="H2253" s="16" t="s">
        <v>947</v>
      </c>
      <c r="I2253" s="181"/>
      <c r="J2253" s="181"/>
      <c r="K2253" s="181"/>
      <c r="L2253" s="181"/>
      <c r="M2253" s="181"/>
      <c r="N2253" s="181"/>
      <c r="O2253" s="181"/>
      <c r="P2253" s="307"/>
      <c r="Q2253" s="181"/>
      <c r="R2253" s="181"/>
      <c r="S2253" s="181"/>
      <c r="T2253" s="307"/>
      <c r="U2253" s="307">
        <v>75673.440000000002</v>
      </c>
      <c r="V2253" s="307"/>
      <c r="W2253" s="307"/>
      <c r="X2253" s="181"/>
      <c r="Y2253" s="307"/>
      <c r="Z2253" s="307"/>
      <c r="AA2253" s="307"/>
      <c r="AB2253" s="307"/>
      <c r="AC2253" s="307"/>
      <c r="AD2253" s="307"/>
      <c r="AE2253" s="307"/>
      <c r="AF2253" s="307"/>
      <c r="AG2253" s="307"/>
      <c r="AH2253" s="307"/>
      <c r="AI2253" s="307"/>
      <c r="AJ2253" s="162" t="b">
        <f t="shared" si="1274"/>
        <v>0</v>
      </c>
      <c r="AK2253" s="162" t="str">
        <f t="shared" si="1275"/>
        <v>PUNO</v>
      </c>
      <c r="AL2253" s="165"/>
    </row>
    <row r="2254" spans="1:38" s="164" customFormat="1" ht="30" x14ac:dyDescent="0.2">
      <c r="A2254" s="259"/>
      <c r="B2254" s="177"/>
      <c r="C2254" s="177"/>
      <c r="D2254" s="177"/>
      <c r="E2254" s="177">
        <v>3222</v>
      </c>
      <c r="F2254" s="265">
        <v>11</v>
      </c>
      <c r="G2254" s="265" t="s">
        <v>1040</v>
      </c>
      <c r="H2254" s="16" t="s">
        <v>919</v>
      </c>
      <c r="I2254" s="178"/>
      <c r="J2254" s="178"/>
      <c r="K2254" s="178"/>
      <c r="L2254" s="178"/>
      <c r="M2254" s="178"/>
      <c r="N2254" s="178"/>
      <c r="O2254" s="178"/>
      <c r="P2254" s="307"/>
      <c r="Q2254" s="178"/>
      <c r="R2254" s="178"/>
      <c r="S2254" s="178"/>
      <c r="T2254" s="266"/>
      <c r="U2254" s="266">
        <v>26740</v>
      </c>
      <c r="V2254" s="266">
        <v>51500</v>
      </c>
      <c r="W2254" s="266">
        <v>51500</v>
      </c>
      <c r="X2254" s="178">
        <v>53000</v>
      </c>
      <c r="Y2254" s="266">
        <f>5915+3430+4235+9100+1820</f>
        <v>24500</v>
      </c>
      <c r="Z2254" s="266">
        <f t="shared" si="1251"/>
        <v>47.57</v>
      </c>
      <c r="AA2254" s="266">
        <f>AB2254-V2254</f>
        <v>0</v>
      </c>
      <c r="AB2254" s="266">
        <v>51500</v>
      </c>
      <c r="AC2254" s="266">
        <f>37957.5-AC2255</f>
        <v>25725</v>
      </c>
      <c r="AD2254" s="266">
        <f t="shared" si="1239"/>
        <v>49.95145631067961</v>
      </c>
      <c r="AE2254" s="665">
        <f t="shared" si="1269"/>
        <v>0</v>
      </c>
      <c r="AF2254" s="266">
        <v>51500</v>
      </c>
      <c r="AG2254" s="266">
        <v>51500</v>
      </c>
      <c r="AH2254" s="266">
        <v>51500</v>
      </c>
      <c r="AI2254" s="266">
        <v>51500</v>
      </c>
      <c r="AJ2254" s="162" t="b">
        <f t="shared" si="1274"/>
        <v>0</v>
      </c>
      <c r="AK2254" s="162" t="str">
        <f t="shared" si="1275"/>
        <v>PUNO</v>
      </c>
      <c r="AL2254" s="165"/>
    </row>
    <row r="2255" spans="1:38" s="164" customFormat="1" ht="15.75" x14ac:dyDescent="0.2">
      <c r="A2255" s="259"/>
      <c r="B2255" s="177"/>
      <c r="C2255" s="177"/>
      <c r="D2255" s="177"/>
      <c r="E2255" s="177">
        <v>3222</v>
      </c>
      <c r="F2255" s="265">
        <v>11</v>
      </c>
      <c r="G2255" s="265"/>
      <c r="H2255" s="16" t="s">
        <v>920</v>
      </c>
      <c r="I2255" s="178"/>
      <c r="J2255" s="178"/>
      <c r="K2255" s="178"/>
      <c r="L2255" s="178"/>
      <c r="M2255" s="178"/>
      <c r="N2255" s="178"/>
      <c r="O2255" s="178"/>
      <c r="P2255" s="307"/>
      <c r="Q2255" s="178"/>
      <c r="R2255" s="178"/>
      <c r="S2255" s="178"/>
      <c r="T2255" s="266"/>
      <c r="U2255" s="266">
        <v>12496.25</v>
      </c>
      <c r="V2255" s="266">
        <v>12500</v>
      </c>
      <c r="W2255" s="266">
        <v>12500</v>
      </c>
      <c r="X2255" s="178">
        <v>12800</v>
      </c>
      <c r="Y2255" s="266">
        <v>12232.5</v>
      </c>
      <c r="Z2255" s="266">
        <f t="shared" si="1251"/>
        <v>97.86</v>
      </c>
      <c r="AA2255" s="266">
        <f>AB2255-V2255</f>
        <v>17000</v>
      </c>
      <c r="AB2255" s="266">
        <v>29500</v>
      </c>
      <c r="AC2255" s="266">
        <v>12232.5</v>
      </c>
      <c r="AD2255" s="266">
        <f t="shared" si="1239"/>
        <v>41.466101694915253</v>
      </c>
      <c r="AE2255" s="665">
        <f t="shared" si="1269"/>
        <v>0</v>
      </c>
      <c r="AF2255" s="266">
        <v>29500</v>
      </c>
      <c r="AG2255" s="697">
        <v>12500</v>
      </c>
      <c r="AH2255" s="697">
        <v>12500</v>
      </c>
      <c r="AI2255" s="697">
        <v>12500</v>
      </c>
      <c r="AJ2255" s="162" t="b">
        <f t="shared" si="1274"/>
        <v>0</v>
      </c>
      <c r="AK2255" s="162" t="str">
        <f t="shared" si="1275"/>
        <v>PUNO</v>
      </c>
      <c r="AL2255" s="165"/>
    </row>
    <row r="2256" spans="1:38" s="164" customFormat="1" ht="15.75" x14ac:dyDescent="0.2">
      <c r="A2256" s="259"/>
      <c r="B2256" s="177"/>
      <c r="C2256" s="177"/>
      <c r="D2256" s="177"/>
      <c r="E2256" s="177">
        <v>3223</v>
      </c>
      <c r="F2256" s="265">
        <v>11</v>
      </c>
      <c r="G2256" s="265" t="s">
        <v>1040</v>
      </c>
      <c r="H2256" s="16" t="s">
        <v>204</v>
      </c>
      <c r="I2256" s="178"/>
      <c r="J2256" s="178"/>
      <c r="K2256" s="178"/>
      <c r="L2256" s="178"/>
      <c r="M2256" s="178"/>
      <c r="N2256" s="178"/>
      <c r="O2256" s="178"/>
      <c r="P2256" s="307"/>
      <c r="Q2256" s="178"/>
      <c r="R2256" s="178"/>
      <c r="S2256" s="178"/>
      <c r="T2256" s="266"/>
      <c r="U2256" s="266"/>
      <c r="V2256" s="266">
        <v>1000000</v>
      </c>
      <c r="W2256" s="266">
        <f>900000+389395+177805-100000-100000</f>
        <v>1267200</v>
      </c>
      <c r="X2256" s="266">
        <f>900000+389395+369000-300000-100000-200000</f>
        <v>1058395</v>
      </c>
      <c r="Y2256" s="266">
        <v>12583.74</v>
      </c>
      <c r="Z2256" s="266">
        <f t="shared" si="1251"/>
        <v>1.26</v>
      </c>
      <c r="AA2256" s="266">
        <f>AB2256-V2256</f>
        <v>0</v>
      </c>
      <c r="AB2256" s="266">
        <v>1000000</v>
      </c>
      <c r="AC2256" s="266">
        <v>19999.64</v>
      </c>
      <c r="AD2256" s="266">
        <f t="shared" si="1239"/>
        <v>1.9999639999999999</v>
      </c>
      <c r="AE2256" s="266">
        <f t="shared" si="1269"/>
        <v>0</v>
      </c>
      <c r="AF2256" s="266">
        <v>1000000</v>
      </c>
      <c r="AG2256" s="266">
        <v>950000</v>
      </c>
      <c r="AH2256" s="266">
        <v>1000000</v>
      </c>
      <c r="AI2256" s="266">
        <v>1000000</v>
      </c>
      <c r="AJ2256" s="162" t="b">
        <f t="shared" si="1274"/>
        <v>0</v>
      </c>
      <c r="AK2256" s="162" t="str">
        <f t="shared" si="1275"/>
        <v>PUNO</v>
      </c>
      <c r="AL2256" s="165"/>
    </row>
    <row r="2257" spans="1:38" s="164" customFormat="1" ht="15.75" x14ac:dyDescent="0.2">
      <c r="A2257" s="259"/>
      <c r="B2257" s="177"/>
      <c r="C2257" s="177"/>
      <c r="D2257" s="177"/>
      <c r="E2257" s="177">
        <v>3224</v>
      </c>
      <c r="F2257" s="265">
        <v>17</v>
      </c>
      <c r="G2257" s="265"/>
      <c r="H2257" s="16" t="s">
        <v>853</v>
      </c>
      <c r="I2257" s="178"/>
      <c r="J2257" s="178"/>
      <c r="K2257" s="178"/>
      <c r="L2257" s="178"/>
      <c r="M2257" s="178"/>
      <c r="N2257" s="178"/>
      <c r="O2257" s="178"/>
      <c r="P2257" s="307"/>
      <c r="Q2257" s="178"/>
      <c r="R2257" s="178"/>
      <c r="S2257" s="178"/>
      <c r="T2257" s="266"/>
      <c r="U2257" s="266">
        <v>39585.21</v>
      </c>
      <c r="V2257" s="266"/>
      <c r="W2257" s="266"/>
      <c r="X2257" s="266"/>
      <c r="Y2257" s="266"/>
      <c r="Z2257" s="266"/>
      <c r="AA2257" s="266"/>
      <c r="AB2257" s="266"/>
      <c r="AC2257" s="266"/>
      <c r="AD2257" s="266"/>
      <c r="AE2257" s="266"/>
      <c r="AF2257" s="266"/>
      <c r="AG2257" s="266"/>
      <c r="AH2257" s="266"/>
      <c r="AI2257" s="266"/>
      <c r="AJ2257" s="162" t="b">
        <f t="shared" si="1274"/>
        <v>0</v>
      </c>
      <c r="AK2257" s="162" t="str">
        <f t="shared" si="1275"/>
        <v>PUNO</v>
      </c>
      <c r="AL2257" s="165"/>
    </row>
    <row r="2258" spans="1:38" s="164" customFormat="1" ht="15.75" x14ac:dyDescent="0.2">
      <c r="A2258" s="259"/>
      <c r="B2258" s="177"/>
      <c r="C2258" s="177"/>
      <c r="D2258" s="177"/>
      <c r="E2258" s="177">
        <v>3225</v>
      </c>
      <c r="F2258" s="265">
        <v>17</v>
      </c>
      <c r="G2258" s="265" t="s">
        <v>1040</v>
      </c>
      <c r="H2258" s="16" t="s">
        <v>948</v>
      </c>
      <c r="I2258" s="178"/>
      <c r="J2258" s="178"/>
      <c r="K2258" s="178"/>
      <c r="L2258" s="178"/>
      <c r="M2258" s="178"/>
      <c r="N2258" s="178"/>
      <c r="O2258" s="178"/>
      <c r="P2258" s="307"/>
      <c r="Q2258" s="178"/>
      <c r="R2258" s="178"/>
      <c r="S2258" s="178"/>
      <c r="T2258" s="266"/>
      <c r="U2258" s="266">
        <v>20432.830000000002</v>
      </c>
      <c r="V2258" s="266"/>
      <c r="W2258" s="266"/>
      <c r="X2258" s="266"/>
      <c r="Y2258" s="266"/>
      <c r="Z2258" s="266"/>
      <c r="AA2258" s="266"/>
      <c r="AB2258" s="266"/>
      <c r="AC2258" s="266"/>
      <c r="AD2258" s="266"/>
      <c r="AE2258" s="266"/>
      <c r="AF2258" s="266"/>
      <c r="AG2258" s="266"/>
      <c r="AH2258" s="266"/>
      <c r="AI2258" s="266"/>
      <c r="AJ2258" s="162" t="b">
        <f t="shared" si="1274"/>
        <v>0</v>
      </c>
      <c r="AK2258" s="162" t="str">
        <f t="shared" si="1275"/>
        <v>PUNO</v>
      </c>
      <c r="AL2258" s="165"/>
    </row>
    <row r="2259" spans="1:38" s="164" customFormat="1" ht="15.75" x14ac:dyDescent="0.2">
      <c r="A2259" s="259"/>
      <c r="B2259" s="177"/>
      <c r="C2259" s="177"/>
      <c r="D2259" s="177"/>
      <c r="E2259" s="177">
        <v>3225</v>
      </c>
      <c r="F2259" s="265">
        <v>11</v>
      </c>
      <c r="G2259" s="265" t="s">
        <v>1040</v>
      </c>
      <c r="H2259" s="16" t="s">
        <v>440</v>
      </c>
      <c r="I2259" s="178"/>
      <c r="J2259" s="216"/>
      <c r="K2259" s="216"/>
      <c r="L2259" s="216"/>
      <c r="M2259" s="216"/>
      <c r="N2259" s="216"/>
      <c r="O2259" s="216"/>
      <c r="P2259" s="307"/>
      <c r="Q2259" s="216"/>
      <c r="R2259" s="216"/>
      <c r="S2259" s="216"/>
      <c r="T2259" s="344"/>
      <c r="U2259" s="344"/>
      <c r="V2259" s="344">
        <v>5000</v>
      </c>
      <c r="W2259" s="344">
        <v>5000</v>
      </c>
      <c r="X2259" s="216">
        <v>5100</v>
      </c>
      <c r="Y2259" s="344">
        <v>0</v>
      </c>
      <c r="Z2259" s="344">
        <f t="shared" si="1251"/>
        <v>0</v>
      </c>
      <c r="AA2259" s="344">
        <f>AB2259-V2259</f>
        <v>0</v>
      </c>
      <c r="AB2259" s="344">
        <v>5000</v>
      </c>
      <c r="AC2259" s="344">
        <v>0</v>
      </c>
      <c r="AD2259" s="344">
        <f t="shared" si="1239"/>
        <v>0</v>
      </c>
      <c r="AE2259" s="344">
        <f t="shared" si="1269"/>
        <v>0</v>
      </c>
      <c r="AF2259" s="344">
        <v>5000</v>
      </c>
      <c r="AG2259" s="344">
        <v>5000</v>
      </c>
      <c r="AH2259" s="344">
        <v>5000</v>
      </c>
      <c r="AI2259" s="344">
        <v>5000</v>
      </c>
      <c r="AJ2259" s="162" t="b">
        <f t="shared" si="1274"/>
        <v>0</v>
      </c>
      <c r="AK2259" s="162" t="str">
        <f t="shared" si="1275"/>
        <v>PUNO</v>
      </c>
      <c r="AL2259" s="165"/>
    </row>
    <row r="2260" spans="1:38" s="164" customFormat="1" ht="15.75" x14ac:dyDescent="0.2">
      <c r="A2260" s="259"/>
      <c r="B2260" s="177"/>
      <c r="C2260" s="177"/>
      <c r="D2260" s="177"/>
      <c r="E2260" s="177">
        <v>3227</v>
      </c>
      <c r="F2260" s="265">
        <v>17</v>
      </c>
      <c r="G2260" s="265"/>
      <c r="H2260" s="16" t="s">
        <v>646</v>
      </c>
      <c r="I2260" s="178"/>
      <c r="J2260" s="216"/>
      <c r="K2260" s="216"/>
      <c r="L2260" s="216"/>
      <c r="M2260" s="216"/>
      <c r="N2260" s="216"/>
      <c r="O2260" s="216"/>
      <c r="P2260" s="307"/>
      <c r="Q2260" s="216"/>
      <c r="R2260" s="216"/>
      <c r="S2260" s="216"/>
      <c r="T2260" s="344"/>
      <c r="U2260" s="344">
        <v>1946.46</v>
      </c>
      <c r="V2260" s="344"/>
      <c r="W2260" s="344"/>
      <c r="X2260" s="216"/>
      <c r="Y2260" s="344"/>
      <c r="Z2260" s="344"/>
      <c r="AA2260" s="344"/>
      <c r="AB2260" s="344"/>
      <c r="AC2260" s="344"/>
      <c r="AD2260" s="344"/>
      <c r="AE2260" s="344"/>
      <c r="AF2260" s="344"/>
      <c r="AG2260" s="344"/>
      <c r="AH2260" s="344"/>
      <c r="AI2260" s="344"/>
      <c r="AJ2260" s="162" t="b">
        <f t="shared" si="1274"/>
        <v>0</v>
      </c>
      <c r="AK2260" s="162" t="str">
        <f t="shared" si="1275"/>
        <v>PUNO</v>
      </c>
      <c r="AL2260" s="165"/>
    </row>
    <row r="2261" spans="1:38" s="264" customFormat="1" ht="15.75" x14ac:dyDescent="0.2">
      <c r="A2261" s="259"/>
      <c r="B2261" s="177"/>
      <c r="C2261" s="177"/>
      <c r="D2261" s="177">
        <v>323</v>
      </c>
      <c r="E2261" s="177"/>
      <c r="F2261" s="177"/>
      <c r="G2261" s="177"/>
      <c r="H2261" s="16" t="s">
        <v>526</v>
      </c>
      <c r="I2261" s="181"/>
      <c r="J2261" s="181"/>
      <c r="K2261" s="181"/>
      <c r="L2261" s="181"/>
      <c r="M2261" s="181"/>
      <c r="N2261" s="181"/>
      <c r="O2261" s="181"/>
      <c r="P2261" s="343"/>
      <c r="Q2261" s="181"/>
      <c r="R2261" s="181"/>
      <c r="S2261" s="181"/>
      <c r="T2261" s="307"/>
      <c r="U2261" s="307">
        <f>SUM(U2262:U2274)</f>
        <v>281820.08999999997</v>
      </c>
      <c r="V2261" s="181">
        <f>SUM(V2262:V2273)</f>
        <v>3219600</v>
      </c>
      <c r="W2261" s="181">
        <f>SUM(W2262:W2273)</f>
        <v>5240600</v>
      </c>
      <c r="X2261" s="181">
        <f>SUM(X2262:X2273)</f>
        <v>5241800</v>
      </c>
      <c r="Y2261" s="181">
        <f>SUM(Y2262:Y2273)</f>
        <v>1830180.21</v>
      </c>
      <c r="Z2261" s="181">
        <f t="shared" si="1251"/>
        <v>56.84</v>
      </c>
      <c r="AA2261" s="181">
        <f t="shared" ref="AA2261:AA2324" si="1277">AB2261-V2261</f>
        <v>13800</v>
      </c>
      <c r="AB2261" s="181">
        <f>SUM(AB2262:AB2273)</f>
        <v>3233400</v>
      </c>
      <c r="AC2261" s="181">
        <f>SUM(AC2262:AC2273)</f>
        <v>1913861.5899999999</v>
      </c>
      <c r="AD2261" s="181">
        <f t="shared" ref="AD2261:AD2338" si="1278">AC2261/AB2261*100</f>
        <v>59.190375146904181</v>
      </c>
      <c r="AE2261" s="181">
        <f t="shared" si="1269"/>
        <v>0</v>
      </c>
      <c r="AF2261" s="181">
        <f>SUM(AF2262:AF2273)</f>
        <v>3233400</v>
      </c>
      <c r="AG2261" s="181">
        <f>SUM(AG2262:AG2273)</f>
        <v>3046600</v>
      </c>
      <c r="AH2261" s="181">
        <f>SUM(AH2262:AH2273)</f>
        <v>3159000</v>
      </c>
      <c r="AI2261" s="181">
        <f>SUM(AI2262:AI2273)</f>
        <v>3158500</v>
      </c>
      <c r="AJ2261" s="162" t="b">
        <f t="shared" si="1274"/>
        <v>1</v>
      </c>
      <c r="AK2261" s="162" t="str">
        <f t="shared" si="1275"/>
        <v>PRAZNO</v>
      </c>
      <c r="AL2261" s="263"/>
    </row>
    <row r="2262" spans="1:38" s="164" customFormat="1" ht="30" x14ac:dyDescent="0.2">
      <c r="A2262" s="259"/>
      <c r="B2262" s="177"/>
      <c r="C2262" s="177"/>
      <c r="D2262" s="177"/>
      <c r="E2262" s="177">
        <v>3231</v>
      </c>
      <c r="F2262" s="265">
        <v>11</v>
      </c>
      <c r="G2262" s="265" t="s">
        <v>1040</v>
      </c>
      <c r="H2262" s="16" t="s">
        <v>924</v>
      </c>
      <c r="I2262" s="178"/>
      <c r="J2262" s="178"/>
      <c r="K2262" s="178"/>
      <c r="L2262" s="178"/>
      <c r="M2262" s="178"/>
      <c r="N2262" s="178"/>
      <c r="O2262" s="178"/>
      <c r="P2262" s="307"/>
      <c r="Q2262" s="178"/>
      <c r="R2262" s="178"/>
      <c r="S2262" s="178"/>
      <c r="T2262" s="266"/>
      <c r="U2262" s="266">
        <v>28503.54</v>
      </c>
      <c r="V2262" s="266">
        <v>27800</v>
      </c>
      <c r="W2262" s="266">
        <v>27800</v>
      </c>
      <c r="X2262" s="178">
        <v>28600</v>
      </c>
      <c r="Y2262" s="266">
        <v>20621.3</v>
      </c>
      <c r="Z2262" s="266">
        <f t="shared" si="1251"/>
        <v>74.180000000000007</v>
      </c>
      <c r="AA2262" s="266">
        <f t="shared" si="1277"/>
        <v>4200</v>
      </c>
      <c r="AB2262" s="266">
        <v>32000</v>
      </c>
      <c r="AC2262" s="266">
        <f>36051.1-AC2265</f>
        <v>23682.6</v>
      </c>
      <c r="AD2262" s="266">
        <f t="shared" si="1278"/>
        <v>74.008124999999993</v>
      </c>
      <c r="AE2262" s="665">
        <f t="shared" si="1269"/>
        <v>0</v>
      </c>
      <c r="AF2262" s="266">
        <v>32000</v>
      </c>
      <c r="AG2262" s="266">
        <v>32000</v>
      </c>
      <c r="AH2262" s="266">
        <v>32000</v>
      </c>
      <c r="AI2262" s="266">
        <v>32000</v>
      </c>
      <c r="AJ2262" s="162" t="b">
        <f t="shared" si="1274"/>
        <v>0</v>
      </c>
      <c r="AK2262" s="162" t="str">
        <f t="shared" si="1275"/>
        <v>PUNO</v>
      </c>
      <c r="AL2262" s="165"/>
    </row>
    <row r="2263" spans="1:38" s="164" customFormat="1" ht="15.75" x14ac:dyDescent="0.2">
      <c r="A2263" s="259"/>
      <c r="B2263" s="177"/>
      <c r="C2263" s="177"/>
      <c r="D2263" s="177"/>
      <c r="E2263" s="177">
        <v>3232</v>
      </c>
      <c r="F2263" s="265">
        <v>11</v>
      </c>
      <c r="G2263" s="265"/>
      <c r="H2263" s="16" t="s">
        <v>207</v>
      </c>
      <c r="I2263" s="178"/>
      <c r="J2263" s="178"/>
      <c r="K2263" s="178"/>
      <c r="L2263" s="178"/>
      <c r="M2263" s="178"/>
      <c r="N2263" s="178"/>
      <c r="O2263" s="178"/>
      <c r="P2263" s="307"/>
      <c r="Q2263" s="178"/>
      <c r="R2263" s="178"/>
      <c r="S2263" s="178"/>
      <c r="T2263" s="266"/>
      <c r="U2263" s="266"/>
      <c r="V2263" s="266">
        <v>0</v>
      </c>
      <c r="W2263" s="266">
        <v>50000</v>
      </c>
      <c r="X2263" s="266">
        <v>50000</v>
      </c>
      <c r="Y2263" s="266"/>
      <c r="Z2263" s="266" t="e">
        <f t="shared" si="1251"/>
        <v>#DIV/0!</v>
      </c>
      <c r="AA2263" s="266">
        <f t="shared" si="1277"/>
        <v>0</v>
      </c>
      <c r="AB2263" s="266">
        <v>0</v>
      </c>
      <c r="AC2263" s="266"/>
      <c r="AD2263" s="266"/>
      <c r="AE2263" s="665">
        <f t="shared" si="1269"/>
        <v>0</v>
      </c>
      <c r="AF2263" s="266">
        <v>0</v>
      </c>
      <c r="AG2263" s="266">
        <v>0</v>
      </c>
      <c r="AH2263" s="266">
        <v>0</v>
      </c>
      <c r="AI2263" s="266">
        <v>0</v>
      </c>
      <c r="AJ2263" s="162" t="b">
        <f t="shared" si="1274"/>
        <v>0</v>
      </c>
      <c r="AK2263" s="162" t="str">
        <f t="shared" si="1275"/>
        <v>PUNO</v>
      </c>
      <c r="AL2263" s="165"/>
    </row>
    <row r="2264" spans="1:38" s="164" customFormat="1" ht="15.75" x14ac:dyDescent="0.2">
      <c r="A2264" s="259"/>
      <c r="B2264" s="177"/>
      <c r="C2264" s="177"/>
      <c r="D2264" s="177"/>
      <c r="E2264" s="177">
        <v>3231</v>
      </c>
      <c r="F2264" s="265">
        <v>17</v>
      </c>
      <c r="G2264" s="265"/>
      <c r="H2264" s="16" t="s">
        <v>475</v>
      </c>
      <c r="I2264" s="178"/>
      <c r="J2264" s="178"/>
      <c r="K2264" s="178"/>
      <c r="L2264" s="178"/>
      <c r="M2264" s="178"/>
      <c r="N2264" s="178"/>
      <c r="O2264" s="178"/>
      <c r="P2264" s="307"/>
      <c r="Q2264" s="178"/>
      <c r="R2264" s="178"/>
      <c r="S2264" s="178"/>
      <c r="T2264" s="266"/>
      <c r="U2264" s="266">
        <v>24438.03</v>
      </c>
      <c r="V2264" s="266"/>
      <c r="W2264" s="266"/>
      <c r="X2264" s="266"/>
      <c r="Y2264" s="266"/>
      <c r="Z2264" s="266"/>
      <c r="AA2264" s="266"/>
      <c r="AB2264" s="266"/>
      <c r="AC2264" s="266"/>
      <c r="AD2264" s="266"/>
      <c r="AE2264" s="665"/>
      <c r="AF2264" s="266"/>
      <c r="AG2264" s="266"/>
      <c r="AH2264" s="266"/>
      <c r="AI2264" s="266"/>
      <c r="AJ2264" s="162" t="b">
        <f t="shared" si="1274"/>
        <v>0</v>
      </c>
      <c r="AK2264" s="162" t="str">
        <f t="shared" si="1275"/>
        <v>PUNO</v>
      </c>
      <c r="AL2264" s="165"/>
    </row>
    <row r="2265" spans="1:38" s="164" customFormat="1" ht="30" x14ac:dyDescent="0.2">
      <c r="A2265" s="259"/>
      <c r="B2265" s="177"/>
      <c r="C2265" s="177"/>
      <c r="D2265" s="177"/>
      <c r="E2265" s="177">
        <v>3231</v>
      </c>
      <c r="F2265" s="265">
        <v>11</v>
      </c>
      <c r="G2265" s="265"/>
      <c r="H2265" s="16" t="s">
        <v>29</v>
      </c>
      <c r="I2265" s="178"/>
      <c r="J2265" s="178"/>
      <c r="K2265" s="178"/>
      <c r="L2265" s="178"/>
      <c r="M2265" s="178"/>
      <c r="N2265" s="178"/>
      <c r="O2265" s="178"/>
      <c r="P2265" s="307"/>
      <c r="Q2265" s="178"/>
      <c r="R2265" s="178"/>
      <c r="S2265" s="178"/>
      <c r="T2265" s="266"/>
      <c r="U2265" s="266"/>
      <c r="V2265" s="266">
        <v>0</v>
      </c>
      <c r="W2265" s="266"/>
      <c r="X2265" s="266"/>
      <c r="Y2265" s="266">
        <v>0</v>
      </c>
      <c r="Z2265" s="266"/>
      <c r="AA2265" s="266">
        <f t="shared" si="1277"/>
        <v>12400</v>
      </c>
      <c r="AB2265" s="266">
        <v>12400</v>
      </c>
      <c r="AC2265" s="266">
        <v>12368.5</v>
      </c>
      <c r="AD2265" s="266">
        <f t="shared" si="1278"/>
        <v>99.745967741935488</v>
      </c>
      <c r="AE2265" s="665">
        <f t="shared" si="1269"/>
        <v>0</v>
      </c>
      <c r="AF2265" s="266">
        <v>12400</v>
      </c>
      <c r="AG2265" s="266">
        <v>12400</v>
      </c>
      <c r="AH2265" s="266">
        <v>12400</v>
      </c>
      <c r="AI2265" s="266">
        <v>12400</v>
      </c>
      <c r="AJ2265" s="162" t="b">
        <f t="shared" si="1274"/>
        <v>0</v>
      </c>
      <c r="AK2265" s="162" t="str">
        <f t="shared" si="1275"/>
        <v>PUNO</v>
      </c>
      <c r="AL2265" s="165"/>
    </row>
    <row r="2266" spans="1:38" s="164" customFormat="1" ht="15.75" x14ac:dyDescent="0.2">
      <c r="A2266" s="259"/>
      <c r="B2266" s="177"/>
      <c r="C2266" s="177"/>
      <c r="D2266" s="177"/>
      <c r="E2266" s="177">
        <v>3232</v>
      </c>
      <c r="F2266" s="265">
        <v>17</v>
      </c>
      <c r="G2266" s="265"/>
      <c r="H2266" s="16" t="s">
        <v>207</v>
      </c>
      <c r="I2266" s="178"/>
      <c r="J2266" s="178"/>
      <c r="K2266" s="178"/>
      <c r="L2266" s="178"/>
      <c r="M2266" s="178"/>
      <c r="N2266" s="178"/>
      <c r="O2266" s="178"/>
      <c r="P2266" s="307"/>
      <c r="Q2266" s="178"/>
      <c r="R2266" s="178"/>
      <c r="S2266" s="178"/>
      <c r="T2266" s="266"/>
      <c r="U2266" s="266">
        <v>85810.92</v>
      </c>
      <c r="V2266" s="266"/>
      <c r="W2266" s="266"/>
      <c r="X2266" s="266"/>
      <c r="Y2266" s="266"/>
      <c r="Z2266" s="266"/>
      <c r="AA2266" s="266"/>
      <c r="AB2266" s="266"/>
      <c r="AC2266" s="266"/>
      <c r="AD2266" s="266"/>
      <c r="AE2266" s="665"/>
      <c r="AF2266" s="266"/>
      <c r="AG2266" s="266"/>
      <c r="AH2266" s="266"/>
      <c r="AI2266" s="266"/>
      <c r="AJ2266" s="162" t="b">
        <f t="shared" si="1274"/>
        <v>0</v>
      </c>
      <c r="AK2266" s="162" t="str">
        <f t="shared" si="1275"/>
        <v>PUNO</v>
      </c>
      <c r="AL2266" s="165"/>
    </row>
    <row r="2267" spans="1:38" s="164" customFormat="1" ht="15.75" x14ac:dyDescent="0.2">
      <c r="A2267" s="259"/>
      <c r="B2267" s="177"/>
      <c r="C2267" s="177"/>
      <c r="D2267" s="177"/>
      <c r="E2267" s="177">
        <v>3234</v>
      </c>
      <c r="F2267" s="265">
        <v>17</v>
      </c>
      <c r="G2267" s="265"/>
      <c r="H2267" s="16" t="s">
        <v>238</v>
      </c>
      <c r="I2267" s="178"/>
      <c r="J2267" s="178"/>
      <c r="K2267" s="178"/>
      <c r="L2267" s="178"/>
      <c r="M2267" s="178"/>
      <c r="N2267" s="178"/>
      <c r="O2267" s="178"/>
      <c r="P2267" s="307"/>
      <c r="Q2267" s="178"/>
      <c r="R2267" s="178"/>
      <c r="S2267" s="178"/>
      <c r="T2267" s="266"/>
      <c r="U2267" s="266">
        <v>70586.97</v>
      </c>
      <c r="V2267" s="266"/>
      <c r="W2267" s="266"/>
      <c r="X2267" s="266"/>
      <c r="Y2267" s="266"/>
      <c r="Z2267" s="266"/>
      <c r="AA2267" s="266"/>
      <c r="AB2267" s="266"/>
      <c r="AC2267" s="266"/>
      <c r="AD2267" s="266"/>
      <c r="AE2267" s="665"/>
      <c r="AF2267" s="266"/>
      <c r="AG2267" s="266"/>
      <c r="AH2267" s="266"/>
      <c r="AI2267" s="266"/>
      <c r="AJ2267" s="162" t="b">
        <f t="shared" si="1274"/>
        <v>0</v>
      </c>
      <c r="AK2267" s="162" t="str">
        <f t="shared" si="1275"/>
        <v>PUNO</v>
      </c>
      <c r="AL2267" s="165"/>
    </row>
    <row r="2268" spans="1:38" s="164" customFormat="1" ht="15.75" x14ac:dyDescent="0.2">
      <c r="A2268" s="259"/>
      <c r="B2268" s="177"/>
      <c r="C2268" s="177"/>
      <c r="D2268" s="177"/>
      <c r="E2268" s="177">
        <v>3234</v>
      </c>
      <c r="F2268" s="265">
        <v>11</v>
      </c>
      <c r="G2268" s="265"/>
      <c r="H2268" s="16" t="s">
        <v>238</v>
      </c>
      <c r="I2268" s="178"/>
      <c r="J2268" s="178"/>
      <c r="K2268" s="178"/>
      <c r="L2268" s="178"/>
      <c r="M2268" s="178"/>
      <c r="N2268" s="178"/>
      <c r="O2268" s="178"/>
      <c r="P2268" s="307"/>
      <c r="Q2268" s="178"/>
      <c r="R2268" s="178"/>
      <c r="S2268" s="178"/>
      <c r="T2268" s="266"/>
      <c r="U2268" s="266"/>
      <c r="V2268" s="266">
        <v>200000</v>
      </c>
      <c r="W2268" s="266">
        <v>350000</v>
      </c>
      <c r="X2268" s="266">
        <v>350000</v>
      </c>
      <c r="Y2268" s="266">
        <v>2882.46</v>
      </c>
      <c r="Z2268" s="266">
        <f t="shared" si="1251"/>
        <v>1.44</v>
      </c>
      <c r="AA2268" s="266">
        <f t="shared" si="1277"/>
        <v>0</v>
      </c>
      <c r="AB2268" s="266">
        <v>200000</v>
      </c>
      <c r="AC2268" s="266">
        <v>53795.42</v>
      </c>
      <c r="AD2268" s="266">
        <f t="shared" si="1278"/>
        <v>26.897709999999996</v>
      </c>
      <c r="AE2268" s="266">
        <f t="shared" si="1269"/>
        <v>0</v>
      </c>
      <c r="AF2268" s="266">
        <v>200000</v>
      </c>
      <c r="AG2268" s="697">
        <v>12400</v>
      </c>
      <c r="AH2268" s="697">
        <f>200000-26400-48800</f>
        <v>124800</v>
      </c>
      <c r="AI2268" s="697">
        <f>200000-26400-49300</f>
        <v>124300</v>
      </c>
      <c r="AJ2268" s="162" t="b">
        <f t="shared" si="1274"/>
        <v>0</v>
      </c>
      <c r="AK2268" s="162" t="str">
        <f t="shared" si="1275"/>
        <v>PUNO</v>
      </c>
      <c r="AL2268" s="165"/>
    </row>
    <row r="2269" spans="1:38" s="164" customFormat="1" ht="15.75" x14ac:dyDescent="0.2">
      <c r="A2269" s="259"/>
      <c r="B2269" s="177"/>
      <c r="C2269" s="177"/>
      <c r="D2269" s="177"/>
      <c r="E2269" s="177">
        <v>3235</v>
      </c>
      <c r="F2269" s="265">
        <v>17</v>
      </c>
      <c r="G2269" s="265" t="s">
        <v>1040</v>
      </c>
      <c r="H2269" s="16" t="s">
        <v>640</v>
      </c>
      <c r="I2269" s="178"/>
      <c r="J2269" s="178"/>
      <c r="K2269" s="178"/>
      <c r="L2269" s="178"/>
      <c r="M2269" s="178"/>
      <c r="N2269" s="178"/>
      <c r="O2269" s="178"/>
      <c r="P2269" s="307"/>
      <c r="Q2269" s="178"/>
      <c r="R2269" s="178"/>
      <c r="S2269" s="178"/>
      <c r="T2269" s="266"/>
      <c r="U2269" s="266">
        <v>37295.53</v>
      </c>
      <c r="V2269" s="266"/>
      <c r="W2269" s="266"/>
      <c r="X2269" s="266"/>
      <c r="Y2269" s="266"/>
      <c r="Z2269" s="266"/>
      <c r="AA2269" s="266"/>
      <c r="AB2269" s="266"/>
      <c r="AC2269" s="266"/>
      <c r="AD2269" s="266"/>
      <c r="AE2269" s="266"/>
      <c r="AF2269" s="266"/>
      <c r="AG2269" s="266"/>
      <c r="AH2269" s="266"/>
      <c r="AI2269" s="266"/>
      <c r="AJ2269" s="162" t="b">
        <f t="shared" si="1274"/>
        <v>0</v>
      </c>
      <c r="AK2269" s="162" t="str">
        <f t="shared" si="1275"/>
        <v>PUNO</v>
      </c>
      <c r="AL2269" s="165"/>
    </row>
    <row r="2270" spans="1:38" s="164" customFormat="1" ht="14.25" customHeight="1" x14ac:dyDescent="0.2">
      <c r="A2270" s="259"/>
      <c r="B2270" s="177"/>
      <c r="C2270" s="177"/>
      <c r="D2270" s="177"/>
      <c r="E2270" s="177">
        <v>3235</v>
      </c>
      <c r="F2270" s="265">
        <v>14</v>
      </c>
      <c r="G2270" s="265" t="s">
        <v>1040</v>
      </c>
      <c r="H2270" s="16" t="s">
        <v>640</v>
      </c>
      <c r="I2270" s="178"/>
      <c r="J2270" s="178"/>
      <c r="K2270" s="178"/>
      <c r="L2270" s="178"/>
      <c r="M2270" s="178"/>
      <c r="N2270" s="178"/>
      <c r="O2270" s="178"/>
      <c r="P2270" s="307"/>
      <c r="Q2270" s="178"/>
      <c r="R2270" s="178"/>
      <c r="S2270" s="178"/>
      <c r="T2270" s="266"/>
      <c r="U2270" s="266"/>
      <c r="V2270" s="266">
        <v>2926800</v>
      </c>
      <c r="W2270" s="266">
        <f>2926800+1821000</f>
        <v>4747800</v>
      </c>
      <c r="X2270" s="266">
        <f>2926800+1821000</f>
        <v>4747800</v>
      </c>
      <c r="Y2270" s="266">
        <v>1791413.01</v>
      </c>
      <c r="Z2270" s="266">
        <f t="shared" si="1251"/>
        <v>61.21</v>
      </c>
      <c r="AA2270" s="266">
        <f t="shared" si="1277"/>
        <v>0</v>
      </c>
      <c r="AB2270" s="266">
        <v>2926800</v>
      </c>
      <c r="AC2270" s="266">
        <v>1768651.63</v>
      </c>
      <c r="AD2270" s="266">
        <f t="shared" si="1278"/>
        <v>60.429534987016531</v>
      </c>
      <c r="AE2270" s="266">
        <f t="shared" si="1269"/>
        <v>0</v>
      </c>
      <c r="AF2270" s="266">
        <v>2926800</v>
      </c>
      <c r="AG2270" s="266">
        <v>2926800</v>
      </c>
      <c r="AH2270" s="266">
        <v>2926800</v>
      </c>
      <c r="AI2270" s="266">
        <v>2926800</v>
      </c>
      <c r="AJ2270" s="162" t="b">
        <f t="shared" si="1274"/>
        <v>0</v>
      </c>
      <c r="AK2270" s="162" t="str">
        <f t="shared" si="1275"/>
        <v>PUNO</v>
      </c>
      <c r="AL2270" s="165"/>
    </row>
    <row r="2271" spans="1:38" s="164" customFormat="1" ht="30" x14ac:dyDescent="0.2">
      <c r="A2271" s="259"/>
      <c r="B2271" s="177"/>
      <c r="C2271" s="177"/>
      <c r="D2271" s="177"/>
      <c r="E2271" s="177">
        <v>3237</v>
      </c>
      <c r="F2271" s="265">
        <v>11</v>
      </c>
      <c r="G2271" s="265" t="s">
        <v>1040</v>
      </c>
      <c r="H2271" s="16" t="s">
        <v>442</v>
      </c>
      <c r="I2271" s="216"/>
      <c r="J2271" s="216"/>
      <c r="K2271" s="216"/>
      <c r="L2271" s="216"/>
      <c r="M2271" s="216"/>
      <c r="N2271" s="216"/>
      <c r="O2271" s="216"/>
      <c r="P2271" s="307"/>
      <c r="Q2271" s="216"/>
      <c r="R2271" s="216"/>
      <c r="S2271" s="216"/>
      <c r="T2271" s="344"/>
      <c r="U2271" s="344">
        <v>14533.4</v>
      </c>
      <c r="V2271" s="344">
        <v>15000</v>
      </c>
      <c r="W2271" s="344">
        <v>15000</v>
      </c>
      <c r="X2271" s="216">
        <v>15400</v>
      </c>
      <c r="Y2271" s="344">
        <v>15263.44</v>
      </c>
      <c r="Z2271" s="344">
        <f t="shared" si="1251"/>
        <v>101.76</v>
      </c>
      <c r="AA2271" s="344">
        <f t="shared" si="1277"/>
        <v>10000</v>
      </c>
      <c r="AB2271" s="344">
        <v>25000</v>
      </c>
      <c r="AC2271" s="344">
        <f>55363.44-AC2273</f>
        <v>18463.440000000002</v>
      </c>
      <c r="AD2271" s="344">
        <f t="shared" si="1278"/>
        <v>73.853760000000008</v>
      </c>
      <c r="AE2271" s="668">
        <f t="shared" si="1269"/>
        <v>0</v>
      </c>
      <c r="AF2271" s="344">
        <v>25000</v>
      </c>
      <c r="AG2271" s="344">
        <v>25000</v>
      </c>
      <c r="AH2271" s="344">
        <v>25000</v>
      </c>
      <c r="AI2271" s="344">
        <v>25000</v>
      </c>
      <c r="AJ2271" s="162" t="b">
        <f t="shared" si="1274"/>
        <v>0</v>
      </c>
      <c r="AK2271" s="162" t="str">
        <f t="shared" si="1275"/>
        <v>PUNO</v>
      </c>
      <c r="AL2271" s="165"/>
    </row>
    <row r="2272" spans="1:38" s="164" customFormat="1" ht="15.75" x14ac:dyDescent="0.2">
      <c r="A2272" s="259"/>
      <c r="B2272" s="177"/>
      <c r="C2272" s="177"/>
      <c r="D2272" s="177"/>
      <c r="E2272" s="177">
        <v>3237</v>
      </c>
      <c r="F2272" s="265">
        <v>17</v>
      </c>
      <c r="G2272" s="265"/>
      <c r="H2272" s="16" t="s">
        <v>949</v>
      </c>
      <c r="I2272" s="216"/>
      <c r="J2272" s="216"/>
      <c r="K2272" s="216"/>
      <c r="L2272" s="216"/>
      <c r="M2272" s="216"/>
      <c r="N2272" s="216"/>
      <c r="O2272" s="216"/>
      <c r="P2272" s="307"/>
      <c r="Q2272" s="216"/>
      <c r="R2272" s="216"/>
      <c r="S2272" s="216"/>
      <c r="T2272" s="344"/>
      <c r="U2272" s="344">
        <v>14510.2</v>
      </c>
      <c r="V2272" s="344"/>
      <c r="W2272" s="344"/>
      <c r="X2272" s="216"/>
      <c r="Y2272" s="344"/>
      <c r="Z2272" s="344"/>
      <c r="AA2272" s="344"/>
      <c r="AB2272" s="344"/>
      <c r="AC2272" s="344"/>
      <c r="AD2272" s="344"/>
      <c r="AE2272" s="668"/>
      <c r="AF2272" s="344"/>
      <c r="AG2272" s="344"/>
      <c r="AH2272" s="344"/>
      <c r="AI2272" s="344"/>
      <c r="AJ2272" s="162" t="b">
        <f t="shared" si="1274"/>
        <v>0</v>
      </c>
      <c r="AK2272" s="162" t="str">
        <f t="shared" si="1275"/>
        <v>PUNO</v>
      </c>
      <c r="AL2272" s="165"/>
    </row>
    <row r="2273" spans="1:39" s="164" customFormat="1" ht="30" x14ac:dyDescent="0.2">
      <c r="A2273" s="259"/>
      <c r="B2273" s="177"/>
      <c r="C2273" s="177"/>
      <c r="D2273" s="177"/>
      <c r="E2273" s="177">
        <v>3237</v>
      </c>
      <c r="F2273" s="265">
        <v>11</v>
      </c>
      <c r="G2273" s="265"/>
      <c r="H2273" s="16" t="s">
        <v>507</v>
      </c>
      <c r="I2273" s="216"/>
      <c r="J2273" s="216"/>
      <c r="K2273" s="216"/>
      <c r="L2273" s="216"/>
      <c r="M2273" s="216"/>
      <c r="N2273" s="216"/>
      <c r="O2273" s="216"/>
      <c r="P2273" s="307"/>
      <c r="Q2273" s="216"/>
      <c r="R2273" s="216"/>
      <c r="S2273" s="216"/>
      <c r="T2273" s="344"/>
      <c r="U2273" s="344"/>
      <c r="V2273" s="344">
        <v>50000</v>
      </c>
      <c r="W2273" s="344">
        <v>50000</v>
      </c>
      <c r="X2273" s="344">
        <v>50000</v>
      </c>
      <c r="Y2273" s="344">
        <v>0</v>
      </c>
      <c r="Z2273" s="344">
        <f t="shared" si="1251"/>
        <v>0</v>
      </c>
      <c r="AA2273" s="344">
        <f t="shared" si="1277"/>
        <v>-12800</v>
      </c>
      <c r="AB2273" s="344">
        <v>37200</v>
      </c>
      <c r="AC2273" s="344">
        <v>36900</v>
      </c>
      <c r="AD2273" s="344">
        <f t="shared" si="1278"/>
        <v>99.193548387096769</v>
      </c>
      <c r="AE2273" s="668">
        <f t="shared" si="1269"/>
        <v>0</v>
      </c>
      <c r="AF2273" s="344">
        <v>37200</v>
      </c>
      <c r="AG2273" s="344">
        <v>38000</v>
      </c>
      <c r="AH2273" s="344">
        <v>38000</v>
      </c>
      <c r="AI2273" s="344">
        <v>38000</v>
      </c>
      <c r="AJ2273" s="162" t="b">
        <f t="shared" si="1274"/>
        <v>0</v>
      </c>
      <c r="AK2273" s="162" t="str">
        <f t="shared" si="1275"/>
        <v>PUNO</v>
      </c>
      <c r="AL2273" s="165"/>
    </row>
    <row r="2274" spans="1:39" s="164" customFormat="1" ht="15.75" x14ac:dyDescent="0.2">
      <c r="A2274" s="259"/>
      <c r="B2274" s="177"/>
      <c r="C2274" s="177"/>
      <c r="D2274" s="177"/>
      <c r="E2274" s="177">
        <v>3239</v>
      </c>
      <c r="F2274" s="265">
        <v>17</v>
      </c>
      <c r="G2274" s="265"/>
      <c r="H2274" s="16" t="s">
        <v>529</v>
      </c>
      <c r="I2274" s="216"/>
      <c r="J2274" s="216"/>
      <c r="K2274" s="216"/>
      <c r="L2274" s="216"/>
      <c r="M2274" s="216"/>
      <c r="N2274" s="216"/>
      <c r="O2274" s="216"/>
      <c r="P2274" s="307"/>
      <c r="Q2274" s="216"/>
      <c r="R2274" s="216"/>
      <c r="S2274" s="216"/>
      <c r="T2274" s="344"/>
      <c r="U2274" s="344">
        <v>6141.5</v>
      </c>
      <c r="V2274" s="344"/>
      <c r="W2274" s="344"/>
      <c r="X2274" s="344"/>
      <c r="Y2274" s="344"/>
      <c r="Z2274" s="344"/>
      <c r="AA2274" s="344"/>
      <c r="AB2274" s="344"/>
      <c r="AC2274" s="344"/>
      <c r="AD2274" s="344"/>
      <c r="AE2274" s="668"/>
      <c r="AF2274" s="344"/>
      <c r="AG2274" s="344"/>
      <c r="AH2274" s="344"/>
      <c r="AI2274" s="344"/>
      <c r="AJ2274" s="162" t="b">
        <f t="shared" si="1274"/>
        <v>0</v>
      </c>
      <c r="AK2274" s="162" t="str">
        <f t="shared" si="1275"/>
        <v>PUNO</v>
      </c>
      <c r="AL2274" s="165"/>
    </row>
    <row r="2275" spans="1:39" s="164" customFormat="1" ht="15.75" x14ac:dyDescent="0.2">
      <c r="A2275" s="259"/>
      <c r="B2275" s="177"/>
      <c r="C2275" s="177"/>
      <c r="D2275" s="177">
        <v>329</v>
      </c>
      <c r="E2275" s="177"/>
      <c r="F2275" s="265"/>
      <c r="G2275" s="265"/>
      <c r="H2275" s="16" t="s">
        <v>531</v>
      </c>
      <c r="I2275" s="216"/>
      <c r="J2275" s="216"/>
      <c r="K2275" s="216"/>
      <c r="L2275" s="216"/>
      <c r="M2275" s="216"/>
      <c r="N2275" s="216"/>
      <c r="O2275" s="216"/>
      <c r="P2275" s="307"/>
      <c r="Q2275" s="216"/>
      <c r="R2275" s="216"/>
      <c r="S2275" s="216"/>
      <c r="T2275" s="344"/>
      <c r="U2275" s="344">
        <f>U2276+U2277+U2278</f>
        <v>59612.17</v>
      </c>
      <c r="V2275" s="344"/>
      <c r="W2275" s="344"/>
      <c r="X2275" s="344"/>
      <c r="Y2275" s="344"/>
      <c r="Z2275" s="344"/>
      <c r="AA2275" s="344"/>
      <c r="AB2275" s="344"/>
      <c r="AC2275" s="344"/>
      <c r="AD2275" s="344"/>
      <c r="AE2275" s="668"/>
      <c r="AF2275" s="344"/>
      <c r="AG2275" s="344"/>
      <c r="AH2275" s="344"/>
      <c r="AI2275" s="344"/>
      <c r="AJ2275" s="162" t="b">
        <f t="shared" si="1274"/>
        <v>1</v>
      </c>
      <c r="AK2275" s="162" t="str">
        <f t="shared" si="1275"/>
        <v>PRAZNO</v>
      </c>
      <c r="AL2275" s="165"/>
    </row>
    <row r="2276" spans="1:39" s="164" customFormat="1" ht="15.75" x14ac:dyDescent="0.2">
      <c r="A2276" s="259"/>
      <c r="B2276" s="177"/>
      <c r="C2276" s="177"/>
      <c r="D2276" s="177"/>
      <c r="E2276" s="177">
        <v>3292</v>
      </c>
      <c r="F2276" s="265">
        <v>17</v>
      </c>
      <c r="G2276" s="265"/>
      <c r="H2276" s="16" t="s">
        <v>399</v>
      </c>
      <c r="I2276" s="216"/>
      <c r="J2276" s="216"/>
      <c r="K2276" s="216"/>
      <c r="L2276" s="216"/>
      <c r="M2276" s="216"/>
      <c r="N2276" s="216"/>
      <c r="O2276" s="216"/>
      <c r="P2276" s="307"/>
      <c r="Q2276" s="216"/>
      <c r="R2276" s="216"/>
      <c r="S2276" s="216"/>
      <c r="T2276" s="344"/>
      <c r="U2276" s="344">
        <v>6642</v>
      </c>
      <c r="V2276" s="344"/>
      <c r="W2276" s="344"/>
      <c r="X2276" s="344"/>
      <c r="Y2276" s="344"/>
      <c r="Z2276" s="344"/>
      <c r="AA2276" s="344"/>
      <c r="AB2276" s="344"/>
      <c r="AC2276" s="344"/>
      <c r="AD2276" s="344"/>
      <c r="AE2276" s="668"/>
      <c r="AF2276" s="344"/>
      <c r="AG2276" s="344"/>
      <c r="AH2276" s="344"/>
      <c r="AI2276" s="344"/>
      <c r="AJ2276" s="162" t="b">
        <f t="shared" si="1274"/>
        <v>0</v>
      </c>
      <c r="AK2276" s="162" t="str">
        <f t="shared" si="1275"/>
        <v>PUNO</v>
      </c>
      <c r="AL2276" s="165"/>
    </row>
    <row r="2277" spans="1:39" s="164" customFormat="1" ht="15.75" x14ac:dyDescent="0.2">
      <c r="A2277" s="259"/>
      <c r="B2277" s="177"/>
      <c r="C2277" s="177"/>
      <c r="D2277" s="177"/>
      <c r="E2277" s="177">
        <v>3293</v>
      </c>
      <c r="F2277" s="265">
        <v>17</v>
      </c>
      <c r="G2277" s="265"/>
      <c r="H2277" s="16" t="s">
        <v>533</v>
      </c>
      <c r="I2277" s="216"/>
      <c r="J2277" s="216"/>
      <c r="K2277" s="216"/>
      <c r="L2277" s="216"/>
      <c r="M2277" s="216"/>
      <c r="N2277" s="216"/>
      <c r="O2277" s="216"/>
      <c r="P2277" s="307"/>
      <c r="Q2277" s="216"/>
      <c r="R2277" s="216"/>
      <c r="S2277" s="216"/>
      <c r="T2277" s="344"/>
      <c r="U2277" s="344">
        <v>23595.279999999999</v>
      </c>
      <c r="V2277" s="344"/>
      <c r="W2277" s="344"/>
      <c r="X2277" s="344"/>
      <c r="Y2277" s="344"/>
      <c r="Z2277" s="344"/>
      <c r="AA2277" s="344"/>
      <c r="AB2277" s="344"/>
      <c r="AC2277" s="344"/>
      <c r="AD2277" s="344"/>
      <c r="AE2277" s="668"/>
      <c r="AF2277" s="344"/>
      <c r="AG2277" s="344"/>
      <c r="AH2277" s="344"/>
      <c r="AI2277" s="344"/>
      <c r="AJ2277" s="162" t="b">
        <f t="shared" si="1274"/>
        <v>0</v>
      </c>
      <c r="AK2277" s="162" t="str">
        <f t="shared" si="1275"/>
        <v>PUNO</v>
      </c>
      <c r="AL2277" s="165"/>
    </row>
    <row r="2278" spans="1:39" s="164" customFormat="1" ht="15.75" x14ac:dyDescent="0.2">
      <c r="A2278" s="259"/>
      <c r="B2278" s="177"/>
      <c r="C2278" s="177"/>
      <c r="D2278" s="177"/>
      <c r="E2278" s="177">
        <v>3299</v>
      </c>
      <c r="F2278" s="265">
        <v>17</v>
      </c>
      <c r="G2278" s="265"/>
      <c r="H2278" s="16" t="s">
        <v>531</v>
      </c>
      <c r="I2278" s="216"/>
      <c r="J2278" s="216"/>
      <c r="K2278" s="216"/>
      <c r="L2278" s="216"/>
      <c r="M2278" s="216"/>
      <c r="N2278" s="216"/>
      <c r="O2278" s="216"/>
      <c r="P2278" s="307"/>
      <c r="Q2278" s="216"/>
      <c r="R2278" s="216"/>
      <c r="S2278" s="216"/>
      <c r="T2278" s="344"/>
      <c r="U2278" s="344">
        <v>29374.89</v>
      </c>
      <c r="V2278" s="344"/>
      <c r="W2278" s="344"/>
      <c r="X2278" s="344"/>
      <c r="Y2278" s="344"/>
      <c r="Z2278" s="344"/>
      <c r="AA2278" s="344"/>
      <c r="AB2278" s="344"/>
      <c r="AC2278" s="344"/>
      <c r="AD2278" s="344"/>
      <c r="AE2278" s="668"/>
      <c r="AF2278" s="344"/>
      <c r="AG2278" s="344"/>
      <c r="AH2278" s="344"/>
      <c r="AI2278" s="344"/>
      <c r="AJ2278" s="162" t="b">
        <f t="shared" si="1274"/>
        <v>0</v>
      </c>
      <c r="AK2278" s="162" t="str">
        <f t="shared" si="1275"/>
        <v>PUNO</v>
      </c>
      <c r="AL2278" s="165"/>
    </row>
    <row r="2279" spans="1:39" s="264" customFormat="1" ht="15.75" x14ac:dyDescent="0.2">
      <c r="A2279" s="259"/>
      <c r="B2279" s="177"/>
      <c r="C2279" s="177">
        <v>34</v>
      </c>
      <c r="D2279" s="177"/>
      <c r="E2279" s="177"/>
      <c r="F2279" s="177"/>
      <c r="G2279" s="177"/>
      <c r="H2279" s="16" t="s">
        <v>208</v>
      </c>
      <c r="I2279" s="181"/>
      <c r="J2279" s="181"/>
      <c r="K2279" s="181"/>
      <c r="L2279" s="181"/>
      <c r="M2279" s="181"/>
      <c r="N2279" s="181"/>
      <c r="O2279" s="181"/>
      <c r="P2279" s="343"/>
      <c r="Q2279" s="181"/>
      <c r="R2279" s="181"/>
      <c r="S2279" s="181"/>
      <c r="T2279" s="307"/>
      <c r="U2279" s="307">
        <f t="shared" ref="U2279:Y2280" si="1279">U2280</f>
        <v>36386.92</v>
      </c>
      <c r="V2279" s="181">
        <f t="shared" si="1279"/>
        <v>68100</v>
      </c>
      <c r="W2279" s="181">
        <f t="shared" si="1279"/>
        <v>68100</v>
      </c>
      <c r="X2279" s="181">
        <f t="shared" si="1279"/>
        <v>69000</v>
      </c>
      <c r="Y2279" s="181">
        <f t="shared" si="1279"/>
        <v>9787.5</v>
      </c>
      <c r="Z2279" s="181">
        <f t="shared" si="1251"/>
        <v>14.37</v>
      </c>
      <c r="AA2279" s="181">
        <f t="shared" si="1277"/>
        <v>0</v>
      </c>
      <c r="AB2279" s="181">
        <f>AB2280</f>
        <v>68100</v>
      </c>
      <c r="AC2279" s="181">
        <f>AC2280</f>
        <v>56787.5</v>
      </c>
      <c r="AD2279" s="181">
        <f t="shared" si="1278"/>
        <v>83.388399412628488</v>
      </c>
      <c r="AE2279" s="181">
        <f t="shared" si="1269"/>
        <v>0</v>
      </c>
      <c r="AF2279" s="181">
        <f t="shared" ref="AF2279:AI2280" si="1280">AF2280</f>
        <v>68100</v>
      </c>
      <c r="AG2279" s="181">
        <f t="shared" si="1280"/>
        <v>68100</v>
      </c>
      <c r="AH2279" s="181">
        <f t="shared" si="1280"/>
        <v>68100</v>
      </c>
      <c r="AI2279" s="181">
        <f t="shared" si="1280"/>
        <v>68100</v>
      </c>
      <c r="AJ2279" s="162" t="b">
        <f t="shared" si="1274"/>
        <v>1</v>
      </c>
      <c r="AK2279" s="162" t="str">
        <f t="shared" si="1275"/>
        <v>PRAZNO</v>
      </c>
      <c r="AL2279" s="263"/>
    </row>
    <row r="2280" spans="1:39" s="264" customFormat="1" ht="15.75" x14ac:dyDescent="0.2">
      <c r="A2280" s="259"/>
      <c r="B2280" s="177"/>
      <c r="C2280" s="177"/>
      <c r="D2280" s="177">
        <v>343</v>
      </c>
      <c r="E2280" s="177"/>
      <c r="F2280" s="177"/>
      <c r="G2280" s="177"/>
      <c r="H2280" s="16" t="s">
        <v>209</v>
      </c>
      <c r="I2280" s="181"/>
      <c r="J2280" s="181"/>
      <c r="K2280" s="181"/>
      <c r="L2280" s="181"/>
      <c r="M2280" s="181"/>
      <c r="N2280" s="181"/>
      <c r="O2280" s="181"/>
      <c r="P2280" s="343"/>
      <c r="Q2280" s="181"/>
      <c r="R2280" s="181"/>
      <c r="S2280" s="181"/>
      <c r="T2280" s="307"/>
      <c r="U2280" s="307">
        <f t="shared" si="1279"/>
        <v>36386.92</v>
      </c>
      <c r="V2280" s="181">
        <f t="shared" si="1279"/>
        <v>68100</v>
      </c>
      <c r="W2280" s="181">
        <f t="shared" si="1279"/>
        <v>68100</v>
      </c>
      <c r="X2280" s="181">
        <f t="shared" si="1279"/>
        <v>69000</v>
      </c>
      <c r="Y2280" s="181">
        <f t="shared" si="1279"/>
        <v>9787.5</v>
      </c>
      <c r="Z2280" s="181">
        <f t="shared" si="1251"/>
        <v>14.37</v>
      </c>
      <c r="AA2280" s="181">
        <f t="shared" si="1277"/>
        <v>0</v>
      </c>
      <c r="AB2280" s="181">
        <f>AB2281</f>
        <v>68100</v>
      </c>
      <c r="AC2280" s="181">
        <f>AC2281</f>
        <v>56787.5</v>
      </c>
      <c r="AD2280" s="181">
        <f t="shared" si="1278"/>
        <v>83.388399412628488</v>
      </c>
      <c r="AE2280" s="181">
        <f t="shared" si="1269"/>
        <v>0</v>
      </c>
      <c r="AF2280" s="181">
        <f t="shared" si="1280"/>
        <v>68100</v>
      </c>
      <c r="AG2280" s="181">
        <f t="shared" si="1280"/>
        <v>68100</v>
      </c>
      <c r="AH2280" s="181">
        <f t="shared" si="1280"/>
        <v>68100</v>
      </c>
      <c r="AI2280" s="181">
        <f t="shared" si="1280"/>
        <v>68100</v>
      </c>
      <c r="AJ2280" s="162" t="b">
        <f t="shared" si="1274"/>
        <v>1</v>
      </c>
      <c r="AK2280" s="162" t="str">
        <f t="shared" si="1275"/>
        <v>PRAZNO</v>
      </c>
      <c r="AL2280" s="263"/>
    </row>
    <row r="2281" spans="1:39" s="164" customFormat="1" ht="30" x14ac:dyDescent="0.2">
      <c r="A2281" s="259"/>
      <c r="B2281" s="177"/>
      <c r="C2281" s="177"/>
      <c r="D2281" s="177"/>
      <c r="E2281" s="177">
        <v>3434</v>
      </c>
      <c r="F2281" s="265">
        <v>11</v>
      </c>
      <c r="G2281" s="265"/>
      <c r="H2281" s="16" t="s">
        <v>102</v>
      </c>
      <c r="I2281" s="178"/>
      <c r="J2281" s="178"/>
      <c r="K2281" s="178"/>
      <c r="L2281" s="178"/>
      <c r="M2281" s="178"/>
      <c r="N2281" s="178"/>
      <c r="O2281" s="178"/>
      <c r="P2281" s="307"/>
      <c r="Q2281" s="178"/>
      <c r="R2281" s="178"/>
      <c r="S2281" s="178"/>
      <c r="T2281" s="266"/>
      <c r="U2281" s="307">
        <v>36386.92</v>
      </c>
      <c r="V2281" s="266">
        <v>68100</v>
      </c>
      <c r="W2281" s="266">
        <v>68100</v>
      </c>
      <c r="X2281" s="178">
        <v>69000</v>
      </c>
      <c r="Y2281" s="266">
        <v>9787.5</v>
      </c>
      <c r="Z2281" s="266">
        <f t="shared" ref="Z2281:Z2344" si="1281">ROUND(Y2281/V2281*100,2)</f>
        <v>14.37</v>
      </c>
      <c r="AA2281" s="266">
        <f t="shared" si="1277"/>
        <v>0</v>
      </c>
      <c r="AB2281" s="266">
        <v>68100</v>
      </c>
      <c r="AC2281" s="266">
        <v>56787.5</v>
      </c>
      <c r="AD2281" s="266">
        <f t="shared" si="1278"/>
        <v>83.388399412628488</v>
      </c>
      <c r="AE2281" s="266">
        <f t="shared" si="1269"/>
        <v>0</v>
      </c>
      <c r="AF2281" s="266">
        <v>68100</v>
      </c>
      <c r="AG2281" s="266">
        <v>68100</v>
      </c>
      <c r="AH2281" s="266">
        <v>68100</v>
      </c>
      <c r="AI2281" s="266">
        <v>68100</v>
      </c>
      <c r="AJ2281" s="162" t="b">
        <f t="shared" si="1274"/>
        <v>0</v>
      </c>
      <c r="AK2281" s="162" t="str">
        <f t="shared" si="1275"/>
        <v>PUNO</v>
      </c>
      <c r="AL2281" s="165"/>
    </row>
    <row r="2282" spans="1:39" s="164" customFormat="1" ht="15.75" x14ac:dyDescent="0.2">
      <c r="A2282" s="259"/>
      <c r="B2282" s="177"/>
      <c r="C2282" s="177">
        <v>36</v>
      </c>
      <c r="D2282" s="177"/>
      <c r="E2282" s="177"/>
      <c r="F2282" s="265"/>
      <c r="G2282" s="265"/>
      <c r="H2282" s="16" t="s">
        <v>751</v>
      </c>
      <c r="I2282" s="178"/>
      <c r="J2282" s="178"/>
      <c r="K2282" s="178"/>
      <c r="L2282" s="178"/>
      <c r="M2282" s="178"/>
      <c r="N2282" s="178"/>
      <c r="O2282" s="178"/>
      <c r="P2282" s="307"/>
      <c r="Q2282" s="178"/>
      <c r="R2282" s="178"/>
      <c r="S2282" s="178"/>
      <c r="T2282" s="266"/>
      <c r="U2282" s="266"/>
      <c r="V2282" s="266">
        <f>V2283</f>
        <v>0</v>
      </c>
      <c r="W2282" s="266"/>
      <c r="X2282" s="178"/>
      <c r="Y2282" s="266">
        <f>Y2283</f>
        <v>0</v>
      </c>
      <c r="Z2282" s="266"/>
      <c r="AA2282" s="266">
        <f t="shared" si="1277"/>
        <v>255000</v>
      </c>
      <c r="AB2282" s="266">
        <f t="shared" ref="AB2282:AI2283" si="1282">AB2283</f>
        <v>255000</v>
      </c>
      <c r="AC2282" s="266">
        <f t="shared" si="1282"/>
        <v>254950.5</v>
      </c>
      <c r="AD2282" s="266">
        <f t="shared" si="1278"/>
        <v>99.980588235294121</v>
      </c>
      <c r="AE2282" s="266">
        <f t="shared" si="1269"/>
        <v>0</v>
      </c>
      <c r="AF2282" s="266">
        <f t="shared" si="1282"/>
        <v>255000</v>
      </c>
      <c r="AG2282" s="266">
        <f t="shared" si="1282"/>
        <v>0</v>
      </c>
      <c r="AH2282" s="266">
        <f t="shared" si="1282"/>
        <v>0</v>
      </c>
      <c r="AI2282" s="266">
        <f t="shared" si="1282"/>
        <v>0</v>
      </c>
      <c r="AJ2282" s="162" t="b">
        <f t="shared" si="1274"/>
        <v>1</v>
      </c>
      <c r="AK2282" s="162" t="str">
        <f t="shared" si="1275"/>
        <v>PRAZNO</v>
      </c>
      <c r="AL2282" s="165"/>
    </row>
    <row r="2283" spans="1:39" s="164" customFormat="1" ht="15.75" x14ac:dyDescent="0.2">
      <c r="A2283" s="259"/>
      <c r="B2283" s="177"/>
      <c r="C2283" s="177"/>
      <c r="D2283" s="177">
        <v>363</v>
      </c>
      <c r="E2283" s="177"/>
      <c r="F2283" s="265"/>
      <c r="G2283" s="265"/>
      <c r="H2283" s="16" t="s">
        <v>536</v>
      </c>
      <c r="I2283" s="178"/>
      <c r="J2283" s="178"/>
      <c r="K2283" s="178"/>
      <c r="L2283" s="178"/>
      <c r="M2283" s="178"/>
      <c r="N2283" s="178"/>
      <c r="O2283" s="178"/>
      <c r="P2283" s="307"/>
      <c r="Q2283" s="178"/>
      <c r="R2283" s="178"/>
      <c r="S2283" s="178"/>
      <c r="T2283" s="266"/>
      <c r="U2283" s="266"/>
      <c r="V2283" s="266">
        <f>V2284</f>
        <v>0</v>
      </c>
      <c r="W2283" s="266"/>
      <c r="X2283" s="178"/>
      <c r="Y2283" s="266">
        <f>Y2284</f>
        <v>0</v>
      </c>
      <c r="Z2283" s="266"/>
      <c r="AA2283" s="266">
        <f t="shared" si="1277"/>
        <v>255000</v>
      </c>
      <c r="AB2283" s="266">
        <f t="shared" si="1282"/>
        <v>255000</v>
      </c>
      <c r="AC2283" s="266">
        <f t="shared" si="1282"/>
        <v>254950.5</v>
      </c>
      <c r="AD2283" s="266">
        <f t="shared" si="1278"/>
        <v>99.980588235294121</v>
      </c>
      <c r="AE2283" s="266">
        <f t="shared" si="1269"/>
        <v>0</v>
      </c>
      <c r="AF2283" s="266">
        <f t="shared" si="1282"/>
        <v>255000</v>
      </c>
      <c r="AG2283" s="266">
        <f t="shared" si="1282"/>
        <v>0</v>
      </c>
      <c r="AH2283" s="266">
        <f t="shared" si="1282"/>
        <v>0</v>
      </c>
      <c r="AI2283" s="266">
        <f t="shared" si="1282"/>
        <v>0</v>
      </c>
      <c r="AJ2283" s="162" t="b">
        <f t="shared" si="1274"/>
        <v>1</v>
      </c>
      <c r="AK2283" s="162" t="str">
        <f t="shared" si="1275"/>
        <v>PRAZNO</v>
      </c>
      <c r="AL2283" s="165"/>
    </row>
    <row r="2284" spans="1:39" s="164" customFormat="1" ht="30" x14ac:dyDescent="0.2">
      <c r="A2284" s="259"/>
      <c r="B2284" s="177"/>
      <c r="C2284" s="177"/>
      <c r="D2284" s="177"/>
      <c r="E2284" s="177">
        <v>3634</v>
      </c>
      <c r="F2284" s="265">
        <v>11</v>
      </c>
      <c r="G2284" s="265"/>
      <c r="H2284" s="16" t="s">
        <v>260</v>
      </c>
      <c r="I2284" s="178"/>
      <c r="J2284" s="178"/>
      <c r="K2284" s="178"/>
      <c r="L2284" s="178"/>
      <c r="M2284" s="178"/>
      <c r="N2284" s="178"/>
      <c r="O2284" s="178"/>
      <c r="P2284" s="307"/>
      <c r="Q2284" s="178"/>
      <c r="R2284" s="178"/>
      <c r="S2284" s="178"/>
      <c r="T2284" s="266"/>
      <c r="U2284" s="266"/>
      <c r="V2284" s="266">
        <v>0</v>
      </c>
      <c r="W2284" s="266"/>
      <c r="X2284" s="178"/>
      <c r="Y2284" s="266">
        <v>0</v>
      </c>
      <c r="Z2284" s="266"/>
      <c r="AA2284" s="266">
        <f t="shared" si="1277"/>
        <v>255000</v>
      </c>
      <c r="AB2284" s="266">
        <v>255000</v>
      </c>
      <c r="AC2284" s="266">
        <v>254950.5</v>
      </c>
      <c r="AD2284" s="266">
        <f t="shared" si="1278"/>
        <v>99.980588235294121</v>
      </c>
      <c r="AE2284" s="266">
        <f t="shared" si="1269"/>
        <v>0</v>
      </c>
      <c r="AF2284" s="266">
        <v>255000</v>
      </c>
      <c r="AG2284" s="266"/>
      <c r="AH2284" s="266"/>
      <c r="AI2284" s="266"/>
      <c r="AJ2284" s="162" t="b">
        <f t="shared" si="1274"/>
        <v>0</v>
      </c>
      <c r="AK2284" s="162" t="str">
        <f t="shared" si="1275"/>
        <v>PUNO</v>
      </c>
      <c r="AL2284" s="165"/>
    </row>
    <row r="2285" spans="1:39" s="264" customFormat="1" ht="15.75" x14ac:dyDescent="0.2">
      <c r="A2285" s="259"/>
      <c r="B2285" s="260"/>
      <c r="C2285" s="260"/>
      <c r="D2285" s="260"/>
      <c r="E2285" s="260"/>
      <c r="F2285" s="260"/>
      <c r="G2285" s="260"/>
      <c r="H2285" s="440" t="s">
        <v>15</v>
      </c>
      <c r="I2285" s="181"/>
      <c r="J2285" s="181"/>
      <c r="K2285" s="181"/>
      <c r="L2285" s="181"/>
      <c r="M2285" s="262"/>
      <c r="N2285" s="262"/>
      <c r="O2285" s="262"/>
      <c r="P2285" s="445"/>
      <c r="Q2285" s="262"/>
      <c r="R2285" s="262"/>
      <c r="S2285" s="262"/>
      <c r="T2285" s="342"/>
      <c r="U2285" s="342"/>
      <c r="V2285" s="262">
        <f>V2286</f>
        <v>1584800</v>
      </c>
      <c r="W2285" s="262" t="e">
        <f>W2286</f>
        <v>#REF!</v>
      </c>
      <c r="X2285" s="262" t="e">
        <f>X2286</f>
        <v>#REF!</v>
      </c>
      <c r="Y2285" s="262">
        <f>Y2286</f>
        <v>312435.83999999997</v>
      </c>
      <c r="Z2285" s="262">
        <f t="shared" si="1281"/>
        <v>19.71</v>
      </c>
      <c r="AA2285" s="262">
        <f t="shared" si="1277"/>
        <v>-24500</v>
      </c>
      <c r="AB2285" s="262">
        <f>AB2286</f>
        <v>1560300</v>
      </c>
      <c r="AC2285" s="262">
        <f>AC2286</f>
        <v>501552.47</v>
      </c>
      <c r="AD2285" s="262">
        <f t="shared" si="1278"/>
        <v>32.144617701724023</v>
      </c>
      <c r="AE2285" s="262">
        <f t="shared" si="1269"/>
        <v>-45700</v>
      </c>
      <c r="AF2285" s="262">
        <f>AF2286</f>
        <v>1514600</v>
      </c>
      <c r="AG2285" s="262">
        <f>AG2286</f>
        <v>1443600</v>
      </c>
      <c r="AH2285" s="262">
        <f>AH2286</f>
        <v>1430700</v>
      </c>
      <c r="AI2285" s="262">
        <f>AI2286</f>
        <v>1412100</v>
      </c>
      <c r="AJ2285" s="162" t="b">
        <f t="shared" si="1274"/>
        <v>1</v>
      </c>
      <c r="AK2285" s="162" t="str">
        <f t="shared" si="1275"/>
        <v>PRAZNO</v>
      </c>
      <c r="AL2285" s="263"/>
    </row>
    <row r="2286" spans="1:39" s="174" customFormat="1" ht="15.75" x14ac:dyDescent="0.2">
      <c r="A2286" s="259"/>
      <c r="B2286" s="172">
        <v>3</v>
      </c>
      <c r="C2286" s="172"/>
      <c r="D2286" s="172"/>
      <c r="E2286" s="172"/>
      <c r="F2286" s="172"/>
      <c r="G2286" s="172"/>
      <c r="H2286" s="14" t="s">
        <v>524</v>
      </c>
      <c r="I2286" s="20" t="e">
        <f t="shared" ref="I2286:O2286" si="1283">I2287+I2294+I2323</f>
        <v>#REF!</v>
      </c>
      <c r="J2286" s="20" t="e">
        <f t="shared" si="1283"/>
        <v>#REF!</v>
      </c>
      <c r="K2286" s="20" t="e">
        <f t="shared" si="1283"/>
        <v>#REF!</v>
      </c>
      <c r="L2286" s="20" t="e">
        <f t="shared" si="1283"/>
        <v>#REF!</v>
      </c>
      <c r="M2286" s="20" t="e">
        <f t="shared" si="1283"/>
        <v>#REF!</v>
      </c>
      <c r="N2286" s="20" t="e">
        <f t="shared" si="1283"/>
        <v>#REF!</v>
      </c>
      <c r="O2286" s="20" t="e">
        <f t="shared" si="1283"/>
        <v>#REF!</v>
      </c>
      <c r="P2286" s="55" t="e">
        <f t="shared" ref="P2286:P2298" si="1284">T2286-N2286</f>
        <v>#REF!</v>
      </c>
      <c r="Q2286" s="20" t="e">
        <f>Q2287+Q2294+Q2323+Q2379</f>
        <v>#REF!</v>
      </c>
      <c r="R2286" s="20">
        <f>R2287+R2294+R2323+R2379</f>
        <v>2585630</v>
      </c>
      <c r="S2286" s="20">
        <f>S2287+S2294+S2323+S2379</f>
        <v>2648630</v>
      </c>
      <c r="T2286" s="55">
        <f t="shared" ref="T2286:Y2286" si="1285">T2287+T2294+T2323</f>
        <v>1595400</v>
      </c>
      <c r="U2286" s="55">
        <f t="shared" si="1285"/>
        <v>0</v>
      </c>
      <c r="V2286" s="55">
        <f t="shared" si="1285"/>
        <v>1584800</v>
      </c>
      <c r="W2286" s="55" t="e">
        <f t="shared" si="1285"/>
        <v>#REF!</v>
      </c>
      <c r="X2286" s="55" t="e">
        <f t="shared" si="1285"/>
        <v>#REF!</v>
      </c>
      <c r="Y2286" s="55">
        <f t="shared" si="1285"/>
        <v>312435.83999999997</v>
      </c>
      <c r="Z2286" s="55">
        <f t="shared" si="1281"/>
        <v>19.71</v>
      </c>
      <c r="AA2286" s="55">
        <f t="shared" si="1277"/>
        <v>-24500</v>
      </c>
      <c r="AB2286" s="55">
        <f>AB2287+AB2294+AB2323</f>
        <v>1560300</v>
      </c>
      <c r="AC2286" s="55">
        <f>AC2287+AC2294+AC2323</f>
        <v>501552.47</v>
      </c>
      <c r="AD2286" s="55">
        <f t="shared" si="1278"/>
        <v>32.144617701724023</v>
      </c>
      <c r="AE2286" s="55">
        <f t="shared" si="1269"/>
        <v>-45700</v>
      </c>
      <c r="AF2286" s="55">
        <f>AF2287+AF2294+AF2323</f>
        <v>1514600</v>
      </c>
      <c r="AG2286" s="55">
        <f>AG2287+AG2294+AG2323</f>
        <v>1443600</v>
      </c>
      <c r="AH2286" s="55">
        <f>AH2287+AH2294+AH2323</f>
        <v>1430700</v>
      </c>
      <c r="AI2286" s="55">
        <f>AI2287+AI2294+AI2323</f>
        <v>1412100</v>
      </c>
      <c r="AJ2286" s="162" t="b">
        <f t="shared" si="1274"/>
        <v>1</v>
      </c>
      <c r="AK2286" s="162" t="str">
        <f t="shared" si="1275"/>
        <v>PRAZNO</v>
      </c>
      <c r="AL2286" s="173"/>
      <c r="AM2286" s="164"/>
    </row>
    <row r="2287" spans="1:39" ht="15.75" x14ac:dyDescent="0.2">
      <c r="B2287" s="177"/>
      <c r="C2287" s="177">
        <v>31</v>
      </c>
      <c r="D2287" s="177"/>
      <c r="E2287" s="177"/>
      <c r="F2287" s="177"/>
      <c r="G2287" s="177"/>
      <c r="H2287" s="41" t="s">
        <v>197</v>
      </c>
      <c r="I2287" s="17" t="e">
        <f>I2288+I2291</f>
        <v>#REF!</v>
      </c>
      <c r="J2287" s="17" t="e">
        <f>J2288+J2291</f>
        <v>#REF!</v>
      </c>
      <c r="K2287" s="17" t="e">
        <f t="shared" ref="K2287:K2298" si="1286">ROUND(J2287/I2287*100,2)</f>
        <v>#REF!</v>
      </c>
      <c r="L2287" s="17" t="e">
        <f t="shared" ref="L2287:L2298" si="1287">M2287-I2287</f>
        <v>#REF!</v>
      </c>
      <c r="M2287" s="17" t="e">
        <f>M2288+M2291</f>
        <v>#REF!</v>
      </c>
      <c r="N2287" s="17" t="e">
        <f>N2288+N2291</f>
        <v>#REF!</v>
      </c>
      <c r="O2287" s="17" t="e">
        <f>O2288+O2291</f>
        <v>#REF!</v>
      </c>
      <c r="P2287" s="26" t="e">
        <f t="shared" si="1284"/>
        <v>#REF!</v>
      </c>
      <c r="Q2287" s="17" t="e">
        <f t="shared" ref="Q2287:X2287" si="1288">Q2288+Q2291</f>
        <v>#REF!</v>
      </c>
      <c r="R2287" s="17">
        <f t="shared" si="1288"/>
        <v>423500</v>
      </c>
      <c r="S2287" s="17">
        <f t="shared" si="1288"/>
        <v>429300</v>
      </c>
      <c r="T2287" s="17">
        <f>T2288+T2291</f>
        <v>920800</v>
      </c>
      <c r="U2287" s="17">
        <f>U2288+U2291</f>
        <v>0</v>
      </c>
      <c r="V2287" s="17">
        <f>V2288+V2291</f>
        <v>945500</v>
      </c>
      <c r="W2287" s="17" t="e">
        <f t="shared" si="1288"/>
        <v>#REF!</v>
      </c>
      <c r="X2287" s="17" t="e">
        <f t="shared" si="1288"/>
        <v>#REF!</v>
      </c>
      <c r="Y2287" s="17">
        <f>Y2288+Y2291</f>
        <v>185795.09</v>
      </c>
      <c r="Z2287" s="17">
        <f t="shared" si="1281"/>
        <v>19.649999999999999</v>
      </c>
      <c r="AA2287" s="17">
        <f t="shared" si="1277"/>
        <v>-110800</v>
      </c>
      <c r="AB2287" s="17">
        <f>AB2288+AB2291</f>
        <v>834700</v>
      </c>
      <c r="AC2287" s="17">
        <f>AC2288+AC2291</f>
        <v>326266.08</v>
      </c>
      <c r="AD2287" s="17">
        <f t="shared" si="1278"/>
        <v>39.087825566071643</v>
      </c>
      <c r="AE2287" s="17">
        <f t="shared" si="1269"/>
        <v>-294200</v>
      </c>
      <c r="AF2287" s="17">
        <f>AF2288+AF2291</f>
        <v>540500</v>
      </c>
      <c r="AG2287" s="17">
        <f>AG2288+AG2291</f>
        <v>862800</v>
      </c>
      <c r="AH2287" s="17">
        <f>AH2288+AH2291</f>
        <v>852200</v>
      </c>
      <c r="AI2287" s="17">
        <f>AI2288+AI2291</f>
        <v>862800</v>
      </c>
      <c r="AJ2287" s="162" t="b">
        <f t="shared" si="1274"/>
        <v>1</v>
      </c>
      <c r="AK2287" s="162" t="str">
        <f t="shared" si="1275"/>
        <v>PRAZNO</v>
      </c>
      <c r="AM2287" s="164"/>
    </row>
    <row r="2288" spans="1:39" ht="15.75" x14ac:dyDescent="0.2">
      <c r="B2288" s="177"/>
      <c r="C2288" s="177"/>
      <c r="D2288" s="177">
        <v>311</v>
      </c>
      <c r="E2288" s="177"/>
      <c r="F2288" s="177"/>
      <c r="G2288" s="177"/>
      <c r="H2288" s="16" t="s">
        <v>915</v>
      </c>
      <c r="I2288" s="17" t="e">
        <f>#REF!+I2290+I2289</f>
        <v>#REF!</v>
      </c>
      <c r="J2288" s="17" t="e">
        <f>J2289+#REF!+J2290</f>
        <v>#REF!</v>
      </c>
      <c r="K2288" s="17" t="e">
        <f t="shared" si="1286"/>
        <v>#REF!</v>
      </c>
      <c r="L2288" s="17" t="e">
        <f t="shared" si="1287"/>
        <v>#REF!</v>
      </c>
      <c r="M2288" s="17" t="e">
        <f>M2289+#REF!+M2290</f>
        <v>#REF!</v>
      </c>
      <c r="N2288" s="17" t="e">
        <f>N2289+#REF!+N2290</f>
        <v>#REF!</v>
      </c>
      <c r="O2288" s="17" t="e">
        <f>O2289+#REF!+O2290</f>
        <v>#REF!</v>
      </c>
      <c r="P2288" s="26" t="e">
        <f t="shared" si="1284"/>
        <v>#REF!</v>
      </c>
      <c r="Q2288" s="17" t="e">
        <f>Q2289+#REF!+Q2290</f>
        <v>#REF!</v>
      </c>
      <c r="R2288" s="17">
        <f>SUM(R2289:R2290)</f>
        <v>360000</v>
      </c>
      <c r="S2288" s="17">
        <f>SUM(S2289:S2290)</f>
        <v>365000</v>
      </c>
      <c r="T2288" s="17">
        <f>T2289+T2290</f>
        <v>756700</v>
      </c>
      <c r="U2288" s="17">
        <f>U2289+U2290</f>
        <v>0</v>
      </c>
      <c r="V2288" s="17">
        <f>V2289+V2290</f>
        <v>750000</v>
      </c>
      <c r="W2288" s="17" t="e">
        <f>W2289+#REF!+W2290</f>
        <v>#REF!</v>
      </c>
      <c r="X2288" s="17" t="e">
        <f>X2289+#REF!+X2290</f>
        <v>#REF!</v>
      </c>
      <c r="Y2288" s="17">
        <f>Y2289+Y2290</f>
        <v>168220.58</v>
      </c>
      <c r="Z2288" s="17">
        <f t="shared" si="1281"/>
        <v>22.43</v>
      </c>
      <c r="AA2288" s="17">
        <f t="shared" si="1277"/>
        <v>-100000</v>
      </c>
      <c r="AB2288" s="17">
        <f>AB2289+AB2290</f>
        <v>650000</v>
      </c>
      <c r="AC2288" s="17">
        <f>AC2289+AC2290</f>
        <v>295999.76</v>
      </c>
      <c r="AD2288" s="17">
        <f t="shared" si="1278"/>
        <v>45.538424615384614</v>
      </c>
      <c r="AE2288" s="17">
        <f t="shared" si="1269"/>
        <v>-190000</v>
      </c>
      <c r="AF2288" s="17">
        <f>AF2289+AF2290</f>
        <v>460000</v>
      </c>
      <c r="AG2288" s="181">
        <f>AG2289+AG2290</f>
        <v>680000</v>
      </c>
      <c r="AH2288" s="181">
        <f>AH2289+AH2290</f>
        <v>680000</v>
      </c>
      <c r="AI2288" s="181">
        <f>AI2289+AI2290</f>
        <v>690000</v>
      </c>
      <c r="AJ2288" s="162" t="b">
        <f t="shared" si="1274"/>
        <v>1</v>
      </c>
      <c r="AK2288" s="162" t="str">
        <f t="shared" si="1275"/>
        <v>PRAZNO</v>
      </c>
      <c r="AM2288" s="164"/>
    </row>
    <row r="2289" spans="2:39" ht="15.75" x14ac:dyDescent="0.2">
      <c r="B2289" s="177"/>
      <c r="C2289" s="177"/>
      <c r="D2289" s="177"/>
      <c r="E2289" s="177">
        <v>3111</v>
      </c>
      <c r="F2289" s="176">
        <v>31</v>
      </c>
      <c r="G2289" s="177"/>
      <c r="H2289" s="16" t="s">
        <v>199</v>
      </c>
      <c r="I2289" s="17">
        <v>0</v>
      </c>
      <c r="J2289" s="17">
        <v>0</v>
      </c>
      <c r="K2289" s="17" t="e">
        <f t="shared" si="1286"/>
        <v>#DIV/0!</v>
      </c>
      <c r="L2289" s="17">
        <f t="shared" si="1287"/>
        <v>22000</v>
      </c>
      <c r="M2289" s="17">
        <v>22000</v>
      </c>
      <c r="N2289" s="17">
        <v>370000</v>
      </c>
      <c r="O2289" s="17">
        <v>236769.12</v>
      </c>
      <c r="P2289" s="26">
        <f t="shared" si="1284"/>
        <v>30000</v>
      </c>
      <c r="Q2289" s="17">
        <v>370000</v>
      </c>
      <c r="R2289" s="17">
        <f>370000-10000</f>
        <v>360000</v>
      </c>
      <c r="S2289" s="17">
        <f>375000-10000</f>
        <v>365000</v>
      </c>
      <c r="T2289" s="26">
        <v>400000</v>
      </c>
      <c r="U2289" s="26"/>
      <c r="V2289" s="26">
        <v>400000</v>
      </c>
      <c r="W2289" s="26">
        <v>400000</v>
      </c>
      <c r="X2289" s="17">
        <v>400000</v>
      </c>
      <c r="Y2289" s="26">
        <v>129266.06</v>
      </c>
      <c r="Z2289" s="26">
        <f t="shared" si="1281"/>
        <v>32.32</v>
      </c>
      <c r="AA2289" s="26">
        <f t="shared" si="1277"/>
        <v>-50000</v>
      </c>
      <c r="AB2289" s="26">
        <v>350000</v>
      </c>
      <c r="AC2289" s="26">
        <v>193629.26</v>
      </c>
      <c r="AD2289" s="26">
        <f t="shared" si="1278"/>
        <v>55.322645714285713</v>
      </c>
      <c r="AE2289" s="26">
        <f t="shared" si="1269"/>
        <v>-60000</v>
      </c>
      <c r="AF2289" s="26">
        <v>290000</v>
      </c>
      <c r="AG2289" s="307">
        <v>330000</v>
      </c>
      <c r="AH2289" s="307">
        <v>330000</v>
      </c>
      <c r="AI2289" s="307">
        <v>330000</v>
      </c>
      <c r="AJ2289" s="162" t="b">
        <f t="shared" si="1274"/>
        <v>0</v>
      </c>
      <c r="AK2289" s="162" t="str">
        <f t="shared" si="1275"/>
        <v>PUNO</v>
      </c>
      <c r="AM2289" s="164"/>
    </row>
    <row r="2290" spans="2:39" ht="15.75" x14ac:dyDescent="0.2">
      <c r="B2290" s="177"/>
      <c r="C2290" s="177"/>
      <c r="D2290" s="177"/>
      <c r="E2290" s="177">
        <v>3113</v>
      </c>
      <c r="F2290" s="176">
        <v>31</v>
      </c>
      <c r="G2290" s="176"/>
      <c r="H2290" s="16" t="s">
        <v>476</v>
      </c>
      <c r="I2290" s="18">
        <v>0</v>
      </c>
      <c r="J2290" s="18">
        <v>55296.87</v>
      </c>
      <c r="K2290" s="18" t="e">
        <f t="shared" si="1286"/>
        <v>#DIV/0!</v>
      </c>
      <c r="L2290" s="18">
        <f t="shared" si="1287"/>
        <v>55296.87</v>
      </c>
      <c r="M2290" s="18">
        <v>55296.87</v>
      </c>
      <c r="N2290" s="18">
        <v>300000</v>
      </c>
      <c r="O2290" s="18">
        <v>146649.72</v>
      </c>
      <c r="P2290" s="26">
        <f t="shared" si="1284"/>
        <v>56700</v>
      </c>
      <c r="Q2290" s="18">
        <v>300000</v>
      </c>
      <c r="R2290" s="18"/>
      <c r="S2290" s="18"/>
      <c r="T2290" s="27">
        <v>356700</v>
      </c>
      <c r="U2290" s="27"/>
      <c r="V2290" s="27">
        <v>350000</v>
      </c>
      <c r="W2290" s="27">
        <v>350000</v>
      </c>
      <c r="X2290" s="18">
        <v>360000</v>
      </c>
      <c r="Y2290" s="27">
        <v>38954.519999999997</v>
      </c>
      <c r="Z2290" s="27">
        <f t="shared" si="1281"/>
        <v>11.13</v>
      </c>
      <c r="AA2290" s="27">
        <f t="shared" si="1277"/>
        <v>-50000</v>
      </c>
      <c r="AB2290" s="27">
        <v>300000</v>
      </c>
      <c r="AC2290" s="27">
        <v>102370.5</v>
      </c>
      <c r="AD2290" s="27">
        <f t="shared" si="1278"/>
        <v>34.1235</v>
      </c>
      <c r="AE2290" s="27">
        <f t="shared" si="1269"/>
        <v>-130000</v>
      </c>
      <c r="AF2290" s="27">
        <v>170000</v>
      </c>
      <c r="AG2290" s="266">
        <v>350000</v>
      </c>
      <c r="AH2290" s="266">
        <v>350000</v>
      </c>
      <c r="AI2290" s="266">
        <v>360000</v>
      </c>
      <c r="AJ2290" s="162" t="b">
        <f t="shared" si="1274"/>
        <v>0</v>
      </c>
      <c r="AK2290" s="162" t="str">
        <f t="shared" si="1275"/>
        <v>PUNO</v>
      </c>
      <c r="AM2290" s="164"/>
    </row>
    <row r="2291" spans="2:39" ht="15.75" x14ac:dyDescent="0.2">
      <c r="B2291" s="177"/>
      <c r="C2291" s="177"/>
      <c r="D2291" s="177">
        <v>313</v>
      </c>
      <c r="E2291" s="177"/>
      <c r="F2291" s="177"/>
      <c r="G2291" s="177"/>
      <c r="H2291" s="16" t="s">
        <v>201</v>
      </c>
      <c r="I2291" s="17">
        <f>SUM(I2292:I2293)</f>
        <v>0</v>
      </c>
      <c r="J2291" s="17">
        <f>SUM(J2292:J2293)</f>
        <v>0</v>
      </c>
      <c r="K2291" s="17" t="e">
        <f t="shared" si="1286"/>
        <v>#DIV/0!</v>
      </c>
      <c r="L2291" s="17">
        <f t="shared" si="1287"/>
        <v>3800</v>
      </c>
      <c r="M2291" s="17">
        <f>SUM(M2292:M2293)</f>
        <v>3800</v>
      </c>
      <c r="N2291" s="17">
        <f>SUM(N2292:N2293)</f>
        <v>139800</v>
      </c>
      <c r="O2291" s="17">
        <f>SUM(O2292:O2293)</f>
        <v>61916.08</v>
      </c>
      <c r="P2291" s="26">
        <f t="shared" si="1284"/>
        <v>24300</v>
      </c>
      <c r="Q2291" s="17">
        <f t="shared" ref="Q2291:Y2291" si="1289">SUM(Q2292:Q2293)</f>
        <v>139800</v>
      </c>
      <c r="R2291" s="17">
        <f t="shared" si="1289"/>
        <v>63500</v>
      </c>
      <c r="S2291" s="17">
        <f t="shared" si="1289"/>
        <v>64300</v>
      </c>
      <c r="T2291" s="26">
        <f t="shared" si="1289"/>
        <v>164100</v>
      </c>
      <c r="U2291" s="26">
        <f>SUM(U2292:U2293)</f>
        <v>0</v>
      </c>
      <c r="V2291" s="17">
        <f t="shared" si="1289"/>
        <v>195500</v>
      </c>
      <c r="W2291" s="17">
        <f t="shared" si="1289"/>
        <v>152900</v>
      </c>
      <c r="X2291" s="17">
        <f t="shared" si="1289"/>
        <v>153100</v>
      </c>
      <c r="Y2291" s="17">
        <f t="shared" si="1289"/>
        <v>17574.509999999998</v>
      </c>
      <c r="Z2291" s="17">
        <f t="shared" si="1281"/>
        <v>8.99</v>
      </c>
      <c r="AA2291" s="17">
        <f t="shared" si="1277"/>
        <v>-10800</v>
      </c>
      <c r="AB2291" s="17">
        <f>SUM(AB2292:AB2293)</f>
        <v>184700</v>
      </c>
      <c r="AC2291" s="17">
        <f>SUM(AC2292:AC2293)</f>
        <v>30266.32</v>
      </c>
      <c r="AD2291" s="17">
        <f t="shared" si="1278"/>
        <v>16.386746074715756</v>
      </c>
      <c r="AE2291" s="17">
        <f t="shared" si="1269"/>
        <v>-104200</v>
      </c>
      <c r="AF2291" s="17">
        <f>SUM(AF2292:AF2293)</f>
        <v>80500</v>
      </c>
      <c r="AG2291" s="181">
        <f>SUM(AG2292:AG2293)</f>
        <v>182800</v>
      </c>
      <c r="AH2291" s="181">
        <f>SUM(AH2292:AH2293)</f>
        <v>172200</v>
      </c>
      <c r="AI2291" s="181">
        <f>SUM(AI2292:AI2293)</f>
        <v>172800</v>
      </c>
      <c r="AJ2291" s="162" t="b">
        <f t="shared" si="1274"/>
        <v>1</v>
      </c>
      <c r="AK2291" s="162" t="str">
        <f t="shared" si="1275"/>
        <v>PRAZNO</v>
      </c>
      <c r="AM2291" s="164"/>
    </row>
    <row r="2292" spans="2:39" ht="15.75" x14ac:dyDescent="0.2">
      <c r="B2292" s="177"/>
      <c r="C2292" s="177"/>
      <c r="D2292" s="177"/>
      <c r="E2292" s="177">
        <v>3132</v>
      </c>
      <c r="F2292" s="176">
        <v>31</v>
      </c>
      <c r="G2292" s="177"/>
      <c r="H2292" s="16" t="s">
        <v>202</v>
      </c>
      <c r="I2292" s="17">
        <v>0</v>
      </c>
      <c r="J2292" s="17">
        <v>0</v>
      </c>
      <c r="K2292" s="17" t="e">
        <f t="shared" si="1286"/>
        <v>#DIV/0!</v>
      </c>
      <c r="L2292" s="17">
        <f t="shared" si="1287"/>
        <v>3200</v>
      </c>
      <c r="M2292" s="17">
        <v>3200</v>
      </c>
      <c r="N2292" s="17">
        <v>127400</v>
      </c>
      <c r="O2292" s="17">
        <v>57023.64</v>
      </c>
      <c r="P2292" s="26">
        <f t="shared" si="1284"/>
        <v>21100</v>
      </c>
      <c r="Q2292" s="17">
        <v>127400</v>
      </c>
      <c r="R2292" s="17">
        <f>57300-1600</f>
        <v>55700</v>
      </c>
      <c r="S2292" s="17">
        <f>58100-1600</f>
        <v>56500</v>
      </c>
      <c r="T2292" s="26">
        <f>137500+11000</f>
        <v>148500</v>
      </c>
      <c r="U2292" s="26"/>
      <c r="V2292" s="26">
        <v>178500</v>
      </c>
      <c r="W2292" s="26">
        <v>135600</v>
      </c>
      <c r="X2292" s="17">
        <v>136100</v>
      </c>
      <c r="Y2292" s="26">
        <v>15608.96</v>
      </c>
      <c r="Z2292" s="26">
        <f t="shared" si="1281"/>
        <v>8.74</v>
      </c>
      <c r="AA2292" s="26">
        <f t="shared" si="1277"/>
        <v>-10200</v>
      </c>
      <c r="AB2292" s="26">
        <v>168300</v>
      </c>
      <c r="AC2292" s="26">
        <v>27019.05</v>
      </c>
      <c r="AD2292" s="26">
        <f t="shared" si="1278"/>
        <v>16.054099821746881</v>
      </c>
      <c r="AE2292" s="26">
        <f t="shared" si="1269"/>
        <v>-100100</v>
      </c>
      <c r="AF2292" s="26">
        <v>68200</v>
      </c>
      <c r="AG2292" s="307">
        <v>166200</v>
      </c>
      <c r="AH2292" s="307">
        <f>156700</f>
        <v>156700</v>
      </c>
      <c r="AI2292" s="307">
        <v>156700</v>
      </c>
      <c r="AJ2292" s="162" t="b">
        <f t="shared" si="1274"/>
        <v>0</v>
      </c>
      <c r="AK2292" s="162" t="str">
        <f t="shared" si="1275"/>
        <v>PUNO</v>
      </c>
      <c r="AM2292" s="164"/>
    </row>
    <row r="2293" spans="2:39" ht="33" customHeight="1" x14ac:dyDescent="0.2">
      <c r="B2293" s="177"/>
      <c r="C2293" s="177"/>
      <c r="D2293" s="177"/>
      <c r="E2293" s="177">
        <v>3133</v>
      </c>
      <c r="F2293" s="176">
        <v>31</v>
      </c>
      <c r="G2293" s="177"/>
      <c r="H2293" s="16" t="s">
        <v>203</v>
      </c>
      <c r="I2293" s="17">
        <v>0</v>
      </c>
      <c r="J2293" s="17"/>
      <c r="K2293" s="17" t="e">
        <f t="shared" si="1286"/>
        <v>#DIV/0!</v>
      </c>
      <c r="L2293" s="17">
        <f t="shared" si="1287"/>
        <v>600</v>
      </c>
      <c r="M2293" s="17">
        <v>600</v>
      </c>
      <c r="N2293" s="17">
        <v>12400</v>
      </c>
      <c r="O2293" s="17">
        <v>4892.4399999999996</v>
      </c>
      <c r="P2293" s="26">
        <f t="shared" si="1284"/>
        <v>3200</v>
      </c>
      <c r="Q2293" s="17">
        <v>12400</v>
      </c>
      <c r="R2293" s="17">
        <f>8000-200</f>
        <v>7800</v>
      </c>
      <c r="S2293" s="17">
        <f>8000-200</f>
        <v>7800</v>
      </c>
      <c r="T2293" s="26">
        <v>15600</v>
      </c>
      <c r="U2293" s="26"/>
      <c r="V2293" s="26">
        <v>17000</v>
      </c>
      <c r="W2293" s="26">
        <v>17300</v>
      </c>
      <c r="X2293" s="17">
        <v>17000</v>
      </c>
      <c r="Y2293" s="26">
        <v>1965.55</v>
      </c>
      <c r="Z2293" s="26">
        <f t="shared" si="1281"/>
        <v>11.56</v>
      </c>
      <c r="AA2293" s="26">
        <f t="shared" si="1277"/>
        <v>-600</v>
      </c>
      <c r="AB2293" s="26">
        <v>16400</v>
      </c>
      <c r="AC2293" s="26">
        <v>3247.27</v>
      </c>
      <c r="AD2293" s="26">
        <f t="shared" si="1278"/>
        <v>19.800426829268293</v>
      </c>
      <c r="AE2293" s="26">
        <f t="shared" si="1269"/>
        <v>-4100</v>
      </c>
      <c r="AF2293" s="26">
        <v>12300</v>
      </c>
      <c r="AG2293" s="307">
        <f>14900+1700</f>
        <v>16600</v>
      </c>
      <c r="AH2293" s="307">
        <v>15500</v>
      </c>
      <c r="AI2293" s="307">
        <v>16100</v>
      </c>
      <c r="AJ2293" s="162" t="b">
        <f t="shared" si="1274"/>
        <v>0</v>
      </c>
      <c r="AK2293" s="162" t="str">
        <f t="shared" si="1275"/>
        <v>PUNO</v>
      </c>
      <c r="AM2293" s="164"/>
    </row>
    <row r="2294" spans="2:39" ht="15.75" x14ac:dyDescent="0.2">
      <c r="B2294" s="177"/>
      <c r="C2294" s="177">
        <v>32</v>
      </c>
      <c r="D2294" s="177"/>
      <c r="E2294" s="177"/>
      <c r="F2294" s="176"/>
      <c r="G2294" s="177"/>
      <c r="H2294" s="16" t="s">
        <v>525</v>
      </c>
      <c r="I2294" s="17">
        <f>I2300+I2307+I2317+I2295</f>
        <v>81400</v>
      </c>
      <c r="J2294" s="17">
        <f>J2300+J2307+J2317+J2295</f>
        <v>0</v>
      </c>
      <c r="K2294" s="17">
        <f t="shared" si="1286"/>
        <v>0</v>
      </c>
      <c r="L2294" s="17">
        <f t="shared" si="1287"/>
        <v>61754.130000000005</v>
      </c>
      <c r="M2294" s="17">
        <f>M2300+M2307+M2317+M2295</f>
        <v>143154.13</v>
      </c>
      <c r="N2294" s="17">
        <f>N2300+N2307+N2317+N2295</f>
        <v>706000</v>
      </c>
      <c r="O2294" s="17">
        <f>O2300+O2307+O2317+O2295</f>
        <v>183612.53</v>
      </c>
      <c r="P2294" s="26">
        <f t="shared" si="1284"/>
        <v>-33400</v>
      </c>
      <c r="Q2294" s="17">
        <f t="shared" ref="Q2294:V2294" si="1290">Q2300+Q2307+Q2317+Q2295</f>
        <v>706000</v>
      </c>
      <c r="R2294" s="17">
        <f t="shared" si="1290"/>
        <v>512130</v>
      </c>
      <c r="S2294" s="17">
        <f t="shared" si="1290"/>
        <v>569330</v>
      </c>
      <c r="T2294" s="26">
        <f t="shared" si="1290"/>
        <v>672600</v>
      </c>
      <c r="U2294" s="26">
        <f t="shared" si="1290"/>
        <v>0</v>
      </c>
      <c r="V2294" s="26">
        <f t="shared" si="1290"/>
        <v>637300</v>
      </c>
      <c r="W2294" s="26" t="e">
        <f>W2300+W2307+W2317+W2295+#REF!</f>
        <v>#REF!</v>
      </c>
      <c r="X2294" s="17" t="e">
        <f>X2300+X2307+X2317+X2295+#REF!</f>
        <v>#REF!</v>
      </c>
      <c r="Y2294" s="26">
        <f>Y2300+Y2307+Y2317+Y2295</f>
        <v>126039.26000000001</v>
      </c>
      <c r="Z2294" s="26">
        <f t="shared" si="1281"/>
        <v>19.78</v>
      </c>
      <c r="AA2294" s="26">
        <f t="shared" si="1277"/>
        <v>85300</v>
      </c>
      <c r="AB2294" s="26">
        <f>AB2300+AB2307+AB2317+AB2295</f>
        <v>722600</v>
      </c>
      <c r="AC2294" s="26">
        <f>AC2300+AC2307+AC2317+AC2295</f>
        <v>174684.89999999997</v>
      </c>
      <c r="AD2294" s="26">
        <f t="shared" si="1278"/>
        <v>24.174494879601436</v>
      </c>
      <c r="AE2294" s="26">
        <f>AE2300+AE2307+AE2317+AE2295</f>
        <v>247000</v>
      </c>
      <c r="AF2294" s="26">
        <f>AF2300+AF2307+AF2317+AF2295</f>
        <v>969600</v>
      </c>
      <c r="AG2294" s="307">
        <f>AG2300+AG2307+AG2317+AG2295</f>
        <v>568100</v>
      </c>
      <c r="AH2294" s="307">
        <f>AH2300+AH2307+AH2317+AH2295</f>
        <v>576000</v>
      </c>
      <c r="AI2294" s="307">
        <f>AI2300+AI2307+AI2317+AI2295</f>
        <v>546800</v>
      </c>
      <c r="AJ2294" s="162" t="b">
        <f t="shared" si="1274"/>
        <v>1</v>
      </c>
      <c r="AK2294" s="162" t="str">
        <f t="shared" si="1275"/>
        <v>PRAZNO</v>
      </c>
      <c r="AM2294" s="164"/>
    </row>
    <row r="2295" spans="2:39" ht="15.75" x14ac:dyDescent="0.2">
      <c r="B2295" s="177"/>
      <c r="C2295" s="177"/>
      <c r="D2295" s="177">
        <v>321</v>
      </c>
      <c r="E2295" s="177"/>
      <c r="F2295" s="176"/>
      <c r="G2295" s="177"/>
      <c r="H2295" s="16" t="s">
        <v>564</v>
      </c>
      <c r="I2295" s="17">
        <f>SUM(I2296:I2298)</f>
        <v>35200</v>
      </c>
      <c r="J2295" s="17">
        <f>SUM(J2296:J2298)</f>
        <v>0</v>
      </c>
      <c r="K2295" s="17">
        <f t="shared" si="1286"/>
        <v>0</v>
      </c>
      <c r="L2295" s="17">
        <f t="shared" si="1287"/>
        <v>-23095</v>
      </c>
      <c r="M2295" s="17">
        <f>SUM(M2296:M2298)</f>
        <v>12105</v>
      </c>
      <c r="N2295" s="17">
        <f>SUM(N2296:N2298)</f>
        <v>46900</v>
      </c>
      <c r="O2295" s="17">
        <f>SUM(O2296:O2298)</f>
        <v>14145.85</v>
      </c>
      <c r="P2295" s="26">
        <f t="shared" si="1284"/>
        <v>11600</v>
      </c>
      <c r="Q2295" s="17">
        <f t="shared" ref="Q2295:Y2295" si="1291">SUM(Q2296:Q2298)</f>
        <v>46900</v>
      </c>
      <c r="R2295" s="17">
        <f t="shared" si="1291"/>
        <v>13230</v>
      </c>
      <c r="S2295" s="17">
        <f t="shared" si="1291"/>
        <v>11730</v>
      </c>
      <c r="T2295" s="26">
        <f t="shared" si="1291"/>
        <v>58500</v>
      </c>
      <c r="U2295" s="26">
        <f>SUM(U2296:U2298)</f>
        <v>0</v>
      </c>
      <c r="V2295" s="26">
        <f t="shared" si="1291"/>
        <v>45000</v>
      </c>
      <c r="W2295" s="26">
        <f t="shared" si="1291"/>
        <v>48000</v>
      </c>
      <c r="X2295" s="17">
        <f t="shared" si="1291"/>
        <v>48000</v>
      </c>
      <c r="Y2295" s="26">
        <f t="shared" si="1291"/>
        <v>5147.32</v>
      </c>
      <c r="Z2295" s="26">
        <f t="shared" si="1281"/>
        <v>11.44</v>
      </c>
      <c r="AA2295" s="26">
        <f t="shared" si="1277"/>
        <v>29500</v>
      </c>
      <c r="AB2295" s="26">
        <f>SUM(AB2296:AB2299)</f>
        <v>74500</v>
      </c>
      <c r="AC2295" s="26">
        <f>SUM(AC2296:AC2299)</f>
        <v>14984.18</v>
      </c>
      <c r="AD2295" s="26">
        <f t="shared" si="1278"/>
        <v>20.112993288590605</v>
      </c>
      <c r="AE2295" s="26">
        <f t="shared" si="1269"/>
        <v>51000</v>
      </c>
      <c r="AF2295" s="26">
        <f>SUM(AF2296:AF2299)</f>
        <v>125500</v>
      </c>
      <c r="AG2295" s="307">
        <f>SUM(AG2296:AG2299)</f>
        <v>56000</v>
      </c>
      <c r="AH2295" s="307">
        <f>SUM(AH2296:AH2299)</f>
        <v>67500</v>
      </c>
      <c r="AI2295" s="307">
        <f>SUM(AI2296:AI2299)</f>
        <v>68500</v>
      </c>
      <c r="AJ2295" s="162" t="b">
        <f t="shared" si="1274"/>
        <v>1</v>
      </c>
      <c r="AK2295" s="162" t="str">
        <f t="shared" si="1275"/>
        <v>PRAZNO</v>
      </c>
      <c r="AM2295" s="164"/>
    </row>
    <row r="2296" spans="2:39" ht="15.75" x14ac:dyDescent="0.2">
      <c r="B2296" s="177"/>
      <c r="C2296" s="177"/>
      <c r="D2296" s="177"/>
      <c r="E2296" s="177">
        <v>3211</v>
      </c>
      <c r="F2296" s="176">
        <v>31</v>
      </c>
      <c r="G2296" s="177"/>
      <c r="H2296" s="16" t="s">
        <v>565</v>
      </c>
      <c r="I2296" s="17">
        <v>5200</v>
      </c>
      <c r="J2296" s="17">
        <v>0</v>
      </c>
      <c r="K2296" s="17">
        <f t="shared" si="1286"/>
        <v>0</v>
      </c>
      <c r="L2296" s="17">
        <f t="shared" si="1287"/>
        <v>-5200</v>
      </c>
      <c r="M2296" s="17"/>
      <c r="N2296" s="17">
        <v>40900</v>
      </c>
      <c r="O2296" s="17">
        <v>14145.85</v>
      </c>
      <c r="P2296" s="26">
        <f t="shared" si="1284"/>
        <v>1600</v>
      </c>
      <c r="Q2296" s="17">
        <v>40900</v>
      </c>
      <c r="R2296" s="17">
        <f>40500-28270</f>
        <v>12230</v>
      </c>
      <c r="S2296" s="17">
        <f>40000-28270</f>
        <v>11730</v>
      </c>
      <c r="T2296" s="26">
        <v>42500</v>
      </c>
      <c r="U2296" s="26"/>
      <c r="V2296" s="26">
        <v>38000</v>
      </c>
      <c r="W2296" s="26">
        <v>45000</v>
      </c>
      <c r="X2296" s="17">
        <v>41000</v>
      </c>
      <c r="Y2296" s="26">
        <v>5147.32</v>
      </c>
      <c r="Z2296" s="26">
        <f t="shared" si="1281"/>
        <v>13.55</v>
      </c>
      <c r="AA2296" s="26">
        <f t="shared" si="1277"/>
        <v>1000</v>
      </c>
      <c r="AB2296" s="26">
        <v>39000</v>
      </c>
      <c r="AC2296" s="26">
        <v>6856.34</v>
      </c>
      <c r="AD2296" s="26">
        <f t="shared" si="1278"/>
        <v>17.580358974358976</v>
      </c>
      <c r="AE2296" s="26">
        <f t="shared" si="1269"/>
        <v>-1500</v>
      </c>
      <c r="AF2296" s="26">
        <v>37500</v>
      </c>
      <c r="AG2296" s="26">
        <f>15000+14000+13000+1000</f>
        <v>43000</v>
      </c>
      <c r="AH2296" s="26">
        <v>43500</v>
      </c>
      <c r="AI2296" s="26">
        <f>48500</f>
        <v>48500</v>
      </c>
      <c r="AJ2296" s="162" t="b">
        <f t="shared" si="1274"/>
        <v>0</v>
      </c>
      <c r="AK2296" s="162" t="str">
        <f t="shared" si="1275"/>
        <v>PUNO</v>
      </c>
      <c r="AM2296" s="164"/>
    </row>
    <row r="2297" spans="2:39" ht="15.75" x14ac:dyDescent="0.2">
      <c r="B2297" s="177"/>
      <c r="C2297" s="177"/>
      <c r="D2297" s="177"/>
      <c r="E2297" s="177">
        <v>3212</v>
      </c>
      <c r="F2297" s="176">
        <v>31</v>
      </c>
      <c r="G2297" s="177"/>
      <c r="H2297" s="16" t="s">
        <v>220</v>
      </c>
      <c r="I2297" s="17"/>
      <c r="J2297" s="17"/>
      <c r="K2297" s="17"/>
      <c r="L2297" s="17"/>
      <c r="M2297" s="17"/>
      <c r="N2297" s="17"/>
      <c r="O2297" s="17"/>
      <c r="P2297" s="26"/>
      <c r="Q2297" s="17"/>
      <c r="R2297" s="17"/>
      <c r="S2297" s="17"/>
      <c r="T2297" s="26"/>
      <c r="U2297" s="26"/>
      <c r="V2297" s="26"/>
      <c r="W2297" s="26"/>
      <c r="X2297" s="17"/>
      <c r="Y2297" s="26"/>
      <c r="Z2297" s="26"/>
      <c r="AA2297" s="26"/>
      <c r="AB2297" s="26"/>
      <c r="AC2297" s="26"/>
      <c r="AD2297" s="26"/>
      <c r="AE2297" s="26">
        <f t="shared" si="1269"/>
        <v>48500</v>
      </c>
      <c r="AF2297" s="26">
        <v>48500</v>
      </c>
      <c r="AG2297" s="26"/>
      <c r="AH2297" s="26"/>
      <c r="AI2297" s="26"/>
      <c r="AJ2297" s="162" t="b">
        <f t="shared" si="1274"/>
        <v>0</v>
      </c>
      <c r="AK2297" s="162" t="str">
        <f t="shared" si="1275"/>
        <v>PUNO</v>
      </c>
      <c r="AM2297" s="164"/>
    </row>
    <row r="2298" spans="2:39" ht="15.75" x14ac:dyDescent="0.2">
      <c r="B2298" s="177"/>
      <c r="C2298" s="177"/>
      <c r="D2298" s="177"/>
      <c r="E2298" s="177">
        <v>3213</v>
      </c>
      <c r="F2298" s="176">
        <v>31</v>
      </c>
      <c r="G2298" s="177"/>
      <c r="H2298" s="16" t="s">
        <v>221</v>
      </c>
      <c r="I2298" s="17">
        <v>30000</v>
      </c>
      <c r="J2298" s="17">
        <v>0</v>
      </c>
      <c r="K2298" s="17">
        <f t="shared" si="1286"/>
        <v>0</v>
      </c>
      <c r="L2298" s="17">
        <f t="shared" si="1287"/>
        <v>-17895</v>
      </c>
      <c r="M2298" s="17">
        <v>12105</v>
      </c>
      <c r="N2298" s="17">
        <v>6000</v>
      </c>
      <c r="O2298" s="17">
        <v>0</v>
      </c>
      <c r="P2298" s="26">
        <f t="shared" si="1284"/>
        <v>10000</v>
      </c>
      <c r="Q2298" s="17">
        <v>6000</v>
      </c>
      <c r="R2298" s="17">
        <v>1000</v>
      </c>
      <c r="S2298" s="17"/>
      <c r="T2298" s="26">
        <v>16000</v>
      </c>
      <c r="U2298" s="26"/>
      <c r="V2298" s="26">
        <v>7000</v>
      </c>
      <c r="W2298" s="26">
        <v>3000</v>
      </c>
      <c r="X2298" s="17">
        <v>7000</v>
      </c>
      <c r="Y2298" s="26">
        <v>0</v>
      </c>
      <c r="Z2298" s="26">
        <f t="shared" si="1281"/>
        <v>0</v>
      </c>
      <c r="AA2298" s="26">
        <f t="shared" si="1277"/>
        <v>8000</v>
      </c>
      <c r="AB2298" s="26">
        <f>7000+8000</f>
        <v>15000</v>
      </c>
      <c r="AC2298" s="26">
        <v>8000</v>
      </c>
      <c r="AD2298" s="26">
        <f t="shared" si="1278"/>
        <v>53.333333333333336</v>
      </c>
      <c r="AE2298" s="26">
        <f t="shared" si="1269"/>
        <v>4000</v>
      </c>
      <c r="AF2298" s="26">
        <v>19000</v>
      </c>
      <c r="AG2298" s="26">
        <f>2000+9000</f>
        <v>11000</v>
      </c>
      <c r="AH2298" s="26">
        <v>12000</v>
      </c>
      <c r="AI2298" s="26">
        <v>13000</v>
      </c>
      <c r="AJ2298" s="162" t="b">
        <f t="shared" si="1274"/>
        <v>0</v>
      </c>
      <c r="AK2298" s="162" t="str">
        <f t="shared" si="1275"/>
        <v>PUNO</v>
      </c>
      <c r="AM2298" s="164"/>
    </row>
    <row r="2299" spans="2:39" ht="15.75" x14ac:dyDescent="0.2">
      <c r="B2299" s="177"/>
      <c r="C2299" s="177"/>
      <c r="D2299" s="177"/>
      <c r="E2299" s="177">
        <v>3214</v>
      </c>
      <c r="F2299" s="176">
        <v>31</v>
      </c>
      <c r="G2299" s="177"/>
      <c r="H2299" s="16" t="s">
        <v>852</v>
      </c>
      <c r="I2299" s="17"/>
      <c r="J2299" s="17"/>
      <c r="K2299" s="17"/>
      <c r="L2299" s="17"/>
      <c r="M2299" s="17"/>
      <c r="N2299" s="17"/>
      <c r="O2299" s="17"/>
      <c r="P2299" s="26"/>
      <c r="Q2299" s="17"/>
      <c r="R2299" s="17"/>
      <c r="S2299" s="17"/>
      <c r="T2299" s="26"/>
      <c r="U2299" s="26"/>
      <c r="V2299" s="26">
        <v>0</v>
      </c>
      <c r="W2299" s="26"/>
      <c r="X2299" s="17"/>
      <c r="Y2299" s="26">
        <v>0</v>
      </c>
      <c r="Z2299" s="26"/>
      <c r="AA2299" s="26">
        <f t="shared" si="1277"/>
        <v>20500</v>
      </c>
      <c r="AB2299" s="26">
        <v>20500</v>
      </c>
      <c r="AC2299" s="26">
        <v>127.84</v>
      </c>
      <c r="AD2299" s="26">
        <f t="shared" si="1278"/>
        <v>0.62360975609756097</v>
      </c>
      <c r="AE2299" s="26">
        <f t="shared" si="1269"/>
        <v>0</v>
      </c>
      <c r="AF2299" s="26">
        <v>20500</v>
      </c>
      <c r="AG2299" s="26">
        <v>2000</v>
      </c>
      <c r="AH2299" s="26">
        <v>12000</v>
      </c>
      <c r="AI2299" s="26">
        <v>7000</v>
      </c>
      <c r="AJ2299" s="162" t="b">
        <f t="shared" si="1274"/>
        <v>0</v>
      </c>
      <c r="AK2299" s="162" t="str">
        <f t="shared" si="1275"/>
        <v>PUNO</v>
      </c>
      <c r="AM2299" s="164"/>
    </row>
    <row r="2300" spans="2:39" ht="15.75" x14ac:dyDescent="0.2">
      <c r="B2300" s="177"/>
      <c r="C2300" s="177"/>
      <c r="D2300" s="177">
        <v>322</v>
      </c>
      <c r="E2300" s="177"/>
      <c r="F2300" s="177"/>
      <c r="G2300" s="177"/>
      <c r="H2300" s="16" t="s">
        <v>547</v>
      </c>
      <c r="I2300" s="17">
        <f>SUM(I2301:I2304)</f>
        <v>10000</v>
      </c>
      <c r="J2300" s="17">
        <f>SUM(J2301:J2304)</f>
        <v>0</v>
      </c>
      <c r="K2300" s="17">
        <f>ROUND(J2300/I2300*100,2)</f>
        <v>0</v>
      </c>
      <c r="L2300" s="17">
        <f>M2300-I2300</f>
        <v>32167.550000000003</v>
      </c>
      <c r="M2300" s="17">
        <f>SUM(M2301:M2304)</f>
        <v>42167.55</v>
      </c>
      <c r="N2300" s="17">
        <f>SUM(N2301:N2306)</f>
        <v>247200</v>
      </c>
      <c r="O2300" s="17">
        <f>SUM(O2301:O2306)</f>
        <v>25193.149999999998</v>
      </c>
      <c r="P2300" s="26">
        <f>T2300-N2300</f>
        <v>-39300</v>
      </c>
      <c r="Q2300" s="17">
        <f t="shared" ref="Q2300:Y2300" si="1292">SUM(Q2301:Q2306)</f>
        <v>247200</v>
      </c>
      <c r="R2300" s="17">
        <f t="shared" si="1292"/>
        <v>162700</v>
      </c>
      <c r="S2300" s="17">
        <f t="shared" si="1292"/>
        <v>215100</v>
      </c>
      <c r="T2300" s="26">
        <f t="shared" si="1292"/>
        <v>207900</v>
      </c>
      <c r="U2300" s="26">
        <f>SUM(U2301:U2306)</f>
        <v>0</v>
      </c>
      <c r="V2300" s="17">
        <f t="shared" si="1292"/>
        <v>210700</v>
      </c>
      <c r="W2300" s="17">
        <f t="shared" si="1292"/>
        <v>244500</v>
      </c>
      <c r="X2300" s="17">
        <f t="shared" si="1292"/>
        <v>246500</v>
      </c>
      <c r="Y2300" s="17">
        <f t="shared" si="1292"/>
        <v>40830.04</v>
      </c>
      <c r="Z2300" s="17">
        <f t="shared" si="1281"/>
        <v>19.38</v>
      </c>
      <c r="AA2300" s="17">
        <f t="shared" si="1277"/>
        <v>88200</v>
      </c>
      <c r="AB2300" s="17">
        <f>SUM(AB2301:AB2306)</f>
        <v>298900</v>
      </c>
      <c r="AC2300" s="17">
        <f>SUM(AC2301:AC2306)</f>
        <v>62230.409999999996</v>
      </c>
      <c r="AD2300" s="17">
        <f t="shared" si="1278"/>
        <v>20.819809300769489</v>
      </c>
      <c r="AE2300" s="17">
        <f t="shared" si="1269"/>
        <v>184000</v>
      </c>
      <c r="AF2300" s="17">
        <f>SUM(AF2301:AF2306)</f>
        <v>482900</v>
      </c>
      <c r="AG2300" s="181">
        <f>SUM(AG2301:AG2306)</f>
        <v>248000</v>
      </c>
      <c r="AH2300" s="181">
        <f>SUM(AH2301:AH2306)</f>
        <v>203000</v>
      </c>
      <c r="AI2300" s="181">
        <f>SUM(AI2301:AI2306)</f>
        <v>201000</v>
      </c>
      <c r="AJ2300" s="162" t="b">
        <f t="shared" si="1274"/>
        <v>1</v>
      </c>
      <c r="AK2300" s="162" t="str">
        <f t="shared" si="1275"/>
        <v>PRAZNO</v>
      </c>
      <c r="AM2300" s="164"/>
    </row>
    <row r="2301" spans="2:39" ht="15.75" x14ac:dyDescent="0.2">
      <c r="B2301" s="177"/>
      <c r="C2301" s="177"/>
      <c r="D2301" s="177"/>
      <c r="E2301" s="177">
        <v>3221</v>
      </c>
      <c r="F2301" s="176">
        <v>31</v>
      </c>
      <c r="G2301" s="177"/>
      <c r="H2301" s="16" t="s">
        <v>548</v>
      </c>
      <c r="I2301" s="17"/>
      <c r="J2301" s="17"/>
      <c r="K2301" s="17"/>
      <c r="L2301" s="17"/>
      <c r="M2301" s="17">
        <v>17637.04</v>
      </c>
      <c r="N2301" s="17">
        <v>88500</v>
      </c>
      <c r="O2301" s="17">
        <v>17633.169999999998</v>
      </c>
      <c r="P2301" s="26">
        <f>T2301-N2301</f>
        <v>-15500</v>
      </c>
      <c r="Q2301" s="17">
        <v>88500</v>
      </c>
      <c r="R2301" s="17">
        <f>186000-85800</f>
        <v>100200</v>
      </c>
      <c r="S2301" s="17">
        <f>236000-85800</f>
        <v>150200</v>
      </c>
      <c r="T2301" s="26">
        <v>73000</v>
      </c>
      <c r="U2301" s="26"/>
      <c r="V2301" s="26">
        <v>82700</v>
      </c>
      <c r="W2301" s="26">
        <v>123500</v>
      </c>
      <c r="X2301" s="17">
        <v>101500</v>
      </c>
      <c r="Y2301" s="26">
        <v>27078.33</v>
      </c>
      <c r="Z2301" s="26">
        <f t="shared" si="1281"/>
        <v>32.74</v>
      </c>
      <c r="AA2301" s="26">
        <f t="shared" si="1277"/>
        <v>30200</v>
      </c>
      <c r="AB2301" s="26">
        <v>112900</v>
      </c>
      <c r="AC2301" s="26">
        <v>45622.01</v>
      </c>
      <c r="AD2301" s="26">
        <f t="shared" si="1278"/>
        <v>40.409220549158547</v>
      </c>
      <c r="AE2301" s="26">
        <f t="shared" si="1269"/>
        <v>19000</v>
      </c>
      <c r="AF2301" s="26">
        <v>131900</v>
      </c>
      <c r="AG2301" s="307">
        <f>26000+9000+5000+5000+71000</f>
        <v>116000</v>
      </c>
      <c r="AH2301" s="307">
        <f>67500</f>
        <v>67500</v>
      </c>
      <c r="AI2301" s="307">
        <f>71500</f>
        <v>71500</v>
      </c>
      <c r="AJ2301" s="162" t="b">
        <f t="shared" si="1274"/>
        <v>0</v>
      </c>
      <c r="AK2301" s="162" t="str">
        <f t="shared" si="1275"/>
        <v>PUNO</v>
      </c>
      <c r="AM2301" s="164"/>
    </row>
    <row r="2302" spans="2:39" ht="15.75" x14ac:dyDescent="0.2">
      <c r="B2302" s="177"/>
      <c r="C2302" s="177"/>
      <c r="D2302" s="177"/>
      <c r="E2302" s="177">
        <v>3222</v>
      </c>
      <c r="F2302" s="176">
        <v>31</v>
      </c>
      <c r="G2302" s="177"/>
      <c r="H2302" s="16" t="s">
        <v>474</v>
      </c>
      <c r="I2302" s="17"/>
      <c r="J2302" s="17"/>
      <c r="K2302" s="17"/>
      <c r="L2302" s="17"/>
      <c r="M2302" s="17"/>
      <c r="N2302" s="17"/>
      <c r="O2302" s="17"/>
      <c r="P2302" s="26"/>
      <c r="Q2302" s="17"/>
      <c r="R2302" s="17"/>
      <c r="S2302" s="17"/>
      <c r="T2302" s="26">
        <v>0</v>
      </c>
      <c r="U2302" s="26"/>
      <c r="V2302" s="26">
        <v>2000</v>
      </c>
      <c r="W2302" s="26">
        <v>1000</v>
      </c>
      <c r="X2302" s="17">
        <v>2000</v>
      </c>
      <c r="Y2302" s="26">
        <v>0</v>
      </c>
      <c r="Z2302" s="26">
        <f t="shared" si="1281"/>
        <v>0</v>
      </c>
      <c r="AA2302" s="26">
        <f t="shared" si="1277"/>
        <v>0</v>
      </c>
      <c r="AB2302" s="26">
        <v>2000</v>
      </c>
      <c r="AC2302" s="26">
        <v>0</v>
      </c>
      <c r="AD2302" s="26">
        <f t="shared" si="1278"/>
        <v>0</v>
      </c>
      <c r="AE2302" s="26">
        <f t="shared" si="1269"/>
        <v>0</v>
      </c>
      <c r="AF2302" s="26">
        <v>2000</v>
      </c>
      <c r="AG2302" s="307">
        <v>1000</v>
      </c>
      <c r="AH2302" s="307">
        <v>0</v>
      </c>
      <c r="AI2302" s="307">
        <v>0</v>
      </c>
      <c r="AJ2302" s="162" t="b">
        <f t="shared" si="1274"/>
        <v>0</v>
      </c>
      <c r="AK2302" s="162" t="str">
        <f t="shared" si="1275"/>
        <v>PUNO</v>
      </c>
      <c r="AM2302" s="164"/>
    </row>
    <row r="2303" spans="2:39" ht="15.75" x14ac:dyDescent="0.2">
      <c r="B2303" s="177"/>
      <c r="C2303" s="177"/>
      <c r="D2303" s="177"/>
      <c r="E2303" s="177">
        <v>3223</v>
      </c>
      <c r="F2303" s="176">
        <v>31</v>
      </c>
      <c r="G2303" s="177"/>
      <c r="H2303" s="16" t="s">
        <v>204</v>
      </c>
      <c r="I2303" s="17">
        <v>0</v>
      </c>
      <c r="J2303" s="17">
        <v>0</v>
      </c>
      <c r="K2303" s="17" t="e">
        <f>ROUND(J2303/I2303*100,2)</f>
        <v>#DIV/0!</v>
      </c>
      <c r="L2303" s="17">
        <f>M2303-I2303</f>
        <v>3000</v>
      </c>
      <c r="M2303" s="17">
        <v>3000</v>
      </c>
      <c r="N2303" s="17">
        <v>97700</v>
      </c>
      <c r="O2303" s="17">
        <v>0</v>
      </c>
      <c r="P2303" s="26">
        <f t="shared" ref="P2303:P2325" si="1293">T2303-N2303</f>
        <v>-28200</v>
      </c>
      <c r="Q2303" s="17">
        <v>97700</v>
      </c>
      <c r="R2303" s="17">
        <f>107000-47500</f>
        <v>59500</v>
      </c>
      <c r="S2303" s="17">
        <f>109400-47500</f>
        <v>61900</v>
      </c>
      <c r="T2303" s="26">
        <v>69500</v>
      </c>
      <c r="U2303" s="26"/>
      <c r="V2303" s="26">
        <v>71000</v>
      </c>
      <c r="W2303" s="26">
        <v>63000</v>
      </c>
      <c r="X2303" s="17">
        <v>85000</v>
      </c>
      <c r="Y2303" s="26">
        <v>4150.0200000000004</v>
      </c>
      <c r="Z2303" s="26">
        <f t="shared" si="1281"/>
        <v>5.85</v>
      </c>
      <c r="AA2303" s="26">
        <f t="shared" si="1277"/>
        <v>58000</v>
      </c>
      <c r="AB2303" s="26">
        <v>129000</v>
      </c>
      <c r="AC2303" s="26">
        <v>4150.0200000000004</v>
      </c>
      <c r="AD2303" s="26">
        <f t="shared" si="1278"/>
        <v>3.2170697674418611</v>
      </c>
      <c r="AE2303" s="26">
        <f t="shared" si="1269"/>
        <v>145000</v>
      </c>
      <c r="AF2303" s="26">
        <v>274000</v>
      </c>
      <c r="AG2303" s="307">
        <f>32000+32000+16000</f>
        <v>80000</v>
      </c>
      <c r="AH2303" s="307">
        <v>65500</v>
      </c>
      <c r="AI2303" s="307">
        <v>80500</v>
      </c>
      <c r="AJ2303" s="162" t="b">
        <f t="shared" si="1274"/>
        <v>0</v>
      </c>
      <c r="AK2303" s="162" t="str">
        <f t="shared" si="1275"/>
        <v>PUNO</v>
      </c>
      <c r="AM2303" s="164"/>
    </row>
    <row r="2304" spans="2:39" ht="18" customHeight="1" x14ac:dyDescent="0.2">
      <c r="B2304" s="177"/>
      <c r="C2304" s="177"/>
      <c r="D2304" s="177"/>
      <c r="E2304" s="177">
        <v>3224</v>
      </c>
      <c r="F2304" s="176">
        <v>31</v>
      </c>
      <c r="G2304" s="176"/>
      <c r="H2304" s="16" t="s">
        <v>853</v>
      </c>
      <c r="I2304" s="189">
        <v>10000</v>
      </c>
      <c r="J2304" s="189">
        <v>0</v>
      </c>
      <c r="K2304" s="189">
        <f>ROUND(J2304/I2304*100,2)</f>
        <v>0</v>
      </c>
      <c r="L2304" s="189">
        <f>M2304-I2304</f>
        <v>11530.509999999998</v>
      </c>
      <c r="M2304" s="189">
        <v>21530.51</v>
      </c>
      <c r="N2304" s="189">
        <v>32000</v>
      </c>
      <c r="O2304" s="189">
        <v>4160</v>
      </c>
      <c r="P2304" s="26">
        <f t="shared" si="1293"/>
        <v>-1000</v>
      </c>
      <c r="Q2304" s="189">
        <v>32000</v>
      </c>
      <c r="R2304" s="189">
        <f>40000-40000</f>
        <v>0</v>
      </c>
      <c r="S2304" s="189">
        <f>40000-40000</f>
        <v>0</v>
      </c>
      <c r="T2304" s="190">
        <v>31000</v>
      </c>
      <c r="U2304" s="190"/>
      <c r="V2304" s="190">
        <v>37000</v>
      </c>
      <c r="W2304" s="190">
        <v>35000</v>
      </c>
      <c r="X2304" s="189">
        <v>39000</v>
      </c>
      <c r="Y2304" s="190">
        <v>6312.38</v>
      </c>
      <c r="Z2304" s="190">
        <f t="shared" si="1281"/>
        <v>17.059999999999999</v>
      </c>
      <c r="AA2304" s="190">
        <f t="shared" si="1277"/>
        <v>-8000</v>
      </c>
      <c r="AB2304" s="190">
        <v>29000</v>
      </c>
      <c r="AC2304" s="190">
        <v>8912.99</v>
      </c>
      <c r="AD2304" s="190">
        <f t="shared" si="1278"/>
        <v>30.734448275862071</v>
      </c>
      <c r="AE2304" s="190">
        <f t="shared" si="1269"/>
        <v>21000</v>
      </c>
      <c r="AF2304" s="190">
        <v>50000</v>
      </c>
      <c r="AG2304" s="416">
        <f>14000+11000+2000</f>
        <v>27000</v>
      </c>
      <c r="AH2304" s="416">
        <v>33000</v>
      </c>
      <c r="AI2304" s="416">
        <v>27000</v>
      </c>
      <c r="AJ2304" s="162" t="b">
        <f t="shared" si="1274"/>
        <v>0</v>
      </c>
      <c r="AK2304" s="162" t="str">
        <f t="shared" si="1275"/>
        <v>PUNO</v>
      </c>
      <c r="AM2304" s="164"/>
    </row>
    <row r="2305" spans="2:39" ht="15.75" x14ac:dyDescent="0.2">
      <c r="B2305" s="177"/>
      <c r="C2305" s="177"/>
      <c r="D2305" s="177"/>
      <c r="E2305" s="177">
        <v>3225</v>
      </c>
      <c r="F2305" s="176">
        <v>31</v>
      </c>
      <c r="G2305" s="177"/>
      <c r="H2305" s="16" t="s">
        <v>642</v>
      </c>
      <c r="I2305" s="17"/>
      <c r="J2305" s="17"/>
      <c r="K2305" s="17"/>
      <c r="L2305" s="17"/>
      <c r="M2305" s="17"/>
      <c r="N2305" s="17">
        <v>22000</v>
      </c>
      <c r="O2305" s="17">
        <v>3399.98</v>
      </c>
      <c r="P2305" s="26">
        <f t="shared" si="1293"/>
        <v>5000</v>
      </c>
      <c r="Q2305" s="17">
        <v>22000</v>
      </c>
      <c r="R2305" s="17">
        <f>5000-2000</f>
        <v>3000</v>
      </c>
      <c r="S2305" s="17">
        <f>5000-2000</f>
        <v>3000</v>
      </c>
      <c r="T2305" s="26">
        <v>27000</v>
      </c>
      <c r="U2305" s="26"/>
      <c r="V2305" s="26">
        <v>10000</v>
      </c>
      <c r="W2305" s="26">
        <v>15000</v>
      </c>
      <c r="X2305" s="17">
        <v>13000</v>
      </c>
      <c r="Y2305" s="26">
        <v>3044</v>
      </c>
      <c r="Z2305" s="26">
        <f t="shared" si="1281"/>
        <v>30.44</v>
      </c>
      <c r="AA2305" s="26">
        <f t="shared" si="1277"/>
        <v>8000</v>
      </c>
      <c r="AB2305" s="26">
        <v>18000</v>
      </c>
      <c r="AC2305" s="26">
        <v>3044</v>
      </c>
      <c r="AD2305" s="26">
        <f t="shared" si="1278"/>
        <v>16.911111111111111</v>
      </c>
      <c r="AE2305" s="26">
        <f t="shared" si="1269"/>
        <v>-3000</v>
      </c>
      <c r="AF2305" s="26">
        <v>15000</v>
      </c>
      <c r="AG2305" s="307">
        <f>15000</f>
        <v>15000</v>
      </c>
      <c r="AH2305" s="307">
        <v>30000</v>
      </c>
      <c r="AI2305" s="307">
        <v>15000</v>
      </c>
      <c r="AJ2305" s="162" t="b">
        <f t="shared" si="1274"/>
        <v>0</v>
      </c>
      <c r="AK2305" s="162" t="str">
        <f t="shared" si="1275"/>
        <v>PUNO</v>
      </c>
      <c r="AM2305" s="164"/>
    </row>
    <row r="2306" spans="2:39" ht="15.75" x14ac:dyDescent="0.2">
      <c r="B2306" s="177"/>
      <c r="C2306" s="177"/>
      <c r="D2306" s="177"/>
      <c r="E2306" s="177">
        <v>3227</v>
      </c>
      <c r="F2306" s="176">
        <v>31</v>
      </c>
      <c r="G2306" s="176"/>
      <c r="H2306" s="16" t="s">
        <v>845</v>
      </c>
      <c r="I2306" s="18"/>
      <c r="J2306" s="215"/>
      <c r="K2306" s="215"/>
      <c r="L2306" s="215"/>
      <c r="M2306" s="215"/>
      <c r="N2306" s="215">
        <v>7000</v>
      </c>
      <c r="O2306" s="215">
        <v>0</v>
      </c>
      <c r="P2306" s="26">
        <f t="shared" si="1293"/>
        <v>400</v>
      </c>
      <c r="Q2306" s="215">
        <v>7000</v>
      </c>
      <c r="R2306" s="215">
        <f>2500-2500</f>
        <v>0</v>
      </c>
      <c r="S2306" s="215">
        <v>0</v>
      </c>
      <c r="T2306" s="214">
        <v>7400</v>
      </c>
      <c r="U2306" s="214"/>
      <c r="V2306" s="214">
        <v>8000</v>
      </c>
      <c r="W2306" s="214">
        <v>7000</v>
      </c>
      <c r="X2306" s="215">
        <v>6000</v>
      </c>
      <c r="Y2306" s="214">
        <v>245.31</v>
      </c>
      <c r="Z2306" s="214">
        <f t="shared" si="1281"/>
        <v>3.07</v>
      </c>
      <c r="AA2306" s="214">
        <f t="shared" si="1277"/>
        <v>0</v>
      </c>
      <c r="AB2306" s="214">
        <v>8000</v>
      </c>
      <c r="AC2306" s="214">
        <v>501.39</v>
      </c>
      <c r="AD2306" s="214">
        <f t="shared" si="1278"/>
        <v>6.2673750000000004</v>
      </c>
      <c r="AE2306" s="214">
        <f t="shared" ref="AE2306:AE2369" si="1294">AF2306-AB2306</f>
        <v>2000</v>
      </c>
      <c r="AF2306" s="214">
        <v>10000</v>
      </c>
      <c r="AG2306" s="344">
        <v>9000</v>
      </c>
      <c r="AH2306" s="344">
        <v>7000</v>
      </c>
      <c r="AI2306" s="344">
        <v>7000</v>
      </c>
      <c r="AJ2306" s="162" t="b">
        <f t="shared" si="1274"/>
        <v>0</v>
      </c>
      <c r="AK2306" s="162" t="str">
        <f t="shared" si="1275"/>
        <v>PUNO</v>
      </c>
      <c r="AM2306" s="164"/>
    </row>
    <row r="2307" spans="2:39" ht="15.75" x14ac:dyDescent="0.2">
      <c r="B2307" s="177"/>
      <c r="C2307" s="177"/>
      <c r="D2307" s="177">
        <v>323</v>
      </c>
      <c r="E2307" s="177"/>
      <c r="F2307" s="177"/>
      <c r="G2307" s="177"/>
      <c r="H2307" s="16" t="s">
        <v>526</v>
      </c>
      <c r="I2307" s="17">
        <f>SUM(I2308:I2316)</f>
        <v>29200</v>
      </c>
      <c r="J2307" s="17">
        <f>SUM(J2308:J2316)</f>
        <v>0</v>
      </c>
      <c r="K2307" s="17">
        <f>ROUND(J2307/I2307*100,2)</f>
        <v>0</v>
      </c>
      <c r="L2307" s="17">
        <f>M2307-I2307</f>
        <v>49681.58</v>
      </c>
      <c r="M2307" s="17">
        <f>SUM(M2308:M2316)</f>
        <v>78881.58</v>
      </c>
      <c r="N2307" s="17">
        <f>SUM(N2308:N2316)</f>
        <v>287500</v>
      </c>
      <c r="O2307" s="17">
        <f>SUM(O2308:O2316)</f>
        <v>108917.7</v>
      </c>
      <c r="P2307" s="26">
        <f t="shared" si="1293"/>
        <v>26100</v>
      </c>
      <c r="Q2307" s="17">
        <f t="shared" ref="Q2307:Y2307" si="1295">SUM(Q2308:Q2316)</f>
        <v>287500</v>
      </c>
      <c r="R2307" s="17">
        <f t="shared" si="1295"/>
        <v>241400</v>
      </c>
      <c r="S2307" s="17">
        <f t="shared" si="1295"/>
        <v>247700</v>
      </c>
      <c r="T2307" s="26">
        <f t="shared" si="1295"/>
        <v>313600</v>
      </c>
      <c r="U2307" s="26">
        <f>SUM(U2308:U2316)</f>
        <v>0</v>
      </c>
      <c r="V2307" s="17">
        <f t="shared" si="1295"/>
        <v>272000</v>
      </c>
      <c r="W2307" s="17">
        <f t="shared" si="1295"/>
        <v>272800</v>
      </c>
      <c r="X2307" s="17">
        <f t="shared" si="1295"/>
        <v>283800</v>
      </c>
      <c r="Y2307" s="17">
        <f t="shared" si="1295"/>
        <v>47583.35</v>
      </c>
      <c r="Z2307" s="17">
        <f t="shared" si="1281"/>
        <v>17.489999999999998</v>
      </c>
      <c r="AA2307" s="17">
        <f t="shared" si="1277"/>
        <v>-26000</v>
      </c>
      <c r="AB2307" s="17">
        <f>SUM(AB2308:AB2316)</f>
        <v>246000</v>
      </c>
      <c r="AC2307" s="17">
        <f>SUM(AC2308:AC2316)</f>
        <v>60213.539999999994</v>
      </c>
      <c r="AD2307" s="17">
        <f t="shared" si="1278"/>
        <v>24.477048780487802</v>
      </c>
      <c r="AE2307" s="17">
        <f t="shared" si="1294"/>
        <v>7600</v>
      </c>
      <c r="AF2307" s="17">
        <f>SUM(AF2308:AF2316)</f>
        <v>253600</v>
      </c>
      <c r="AG2307" s="181">
        <f>SUM(AG2308:AG2316)</f>
        <v>175000</v>
      </c>
      <c r="AH2307" s="181">
        <f>SUM(AH2308:AH2316)</f>
        <v>214500</v>
      </c>
      <c r="AI2307" s="181">
        <f>SUM(AI2308:AI2316)</f>
        <v>188800</v>
      </c>
      <c r="AJ2307" s="162" t="b">
        <f t="shared" si="1274"/>
        <v>1</v>
      </c>
      <c r="AK2307" s="162" t="str">
        <f t="shared" si="1275"/>
        <v>PRAZNO</v>
      </c>
      <c r="AM2307" s="164"/>
    </row>
    <row r="2308" spans="2:39" ht="15.75" x14ac:dyDescent="0.2">
      <c r="B2308" s="177"/>
      <c r="C2308" s="177"/>
      <c r="D2308" s="177"/>
      <c r="E2308" s="177">
        <v>3231</v>
      </c>
      <c r="F2308" s="176">
        <v>31</v>
      </c>
      <c r="G2308" s="177"/>
      <c r="H2308" s="16" t="s">
        <v>206</v>
      </c>
      <c r="I2308" s="17">
        <v>0</v>
      </c>
      <c r="J2308" s="17">
        <v>0</v>
      </c>
      <c r="K2308" s="17" t="e">
        <f>ROUND(J2308/I2308*100,2)</f>
        <v>#DIV/0!</v>
      </c>
      <c r="L2308" s="17">
        <f>M2308-I2308</f>
        <v>14127.07</v>
      </c>
      <c r="M2308" s="17">
        <v>14127.07</v>
      </c>
      <c r="N2308" s="17">
        <v>21500</v>
      </c>
      <c r="O2308" s="17">
        <v>9419.65</v>
      </c>
      <c r="P2308" s="26">
        <f t="shared" si="1293"/>
        <v>3000</v>
      </c>
      <c r="Q2308" s="17">
        <v>21500</v>
      </c>
      <c r="R2308" s="17">
        <f>33200-19000</f>
        <v>14200</v>
      </c>
      <c r="S2308" s="17">
        <f>32000-19000</f>
        <v>13000</v>
      </c>
      <c r="T2308" s="26">
        <v>24500</v>
      </c>
      <c r="U2308" s="26"/>
      <c r="V2308" s="26">
        <v>28500</v>
      </c>
      <c r="W2308" s="26">
        <v>16500</v>
      </c>
      <c r="X2308" s="17">
        <v>26500</v>
      </c>
      <c r="Y2308" s="26">
        <v>5931.42</v>
      </c>
      <c r="Z2308" s="26">
        <f t="shared" si="1281"/>
        <v>20.81</v>
      </c>
      <c r="AA2308" s="26">
        <f t="shared" si="1277"/>
        <v>14000</v>
      </c>
      <c r="AB2308" s="26">
        <v>42500</v>
      </c>
      <c r="AC2308" s="26">
        <v>9347.89</v>
      </c>
      <c r="AD2308" s="26">
        <f t="shared" si="1278"/>
        <v>21.995035294117645</v>
      </c>
      <c r="AE2308" s="26">
        <f t="shared" si="1294"/>
        <v>-2000</v>
      </c>
      <c r="AF2308" s="26">
        <v>40500</v>
      </c>
      <c r="AG2308" s="307">
        <f>20000+1000+1000+5000</f>
        <v>27000</v>
      </c>
      <c r="AH2308" s="307">
        <f>33000</f>
        <v>33000</v>
      </c>
      <c r="AI2308" s="307">
        <v>34000</v>
      </c>
      <c r="AJ2308" s="162" t="b">
        <f t="shared" si="1274"/>
        <v>0</v>
      </c>
      <c r="AK2308" s="162" t="str">
        <f t="shared" si="1275"/>
        <v>PUNO</v>
      </c>
      <c r="AM2308" s="164"/>
    </row>
    <row r="2309" spans="2:39" ht="15.75" x14ac:dyDescent="0.2">
      <c r="B2309" s="177"/>
      <c r="C2309" s="177"/>
      <c r="D2309" s="177"/>
      <c r="E2309" s="177">
        <v>3232</v>
      </c>
      <c r="F2309" s="176">
        <v>31</v>
      </c>
      <c r="G2309" s="177"/>
      <c r="H2309" s="16" t="s">
        <v>207</v>
      </c>
      <c r="I2309" s="17">
        <v>12000</v>
      </c>
      <c r="J2309" s="17">
        <v>0</v>
      </c>
      <c r="K2309" s="17">
        <f>ROUND(J2309/I2309*100,2)</f>
        <v>0</v>
      </c>
      <c r="L2309" s="17">
        <f>M2309-I2309</f>
        <v>5976.82</v>
      </c>
      <c r="M2309" s="17">
        <v>17976.82</v>
      </c>
      <c r="N2309" s="17">
        <v>84000</v>
      </c>
      <c r="O2309" s="17">
        <v>28250.95</v>
      </c>
      <c r="P2309" s="26">
        <f t="shared" si="1293"/>
        <v>20600</v>
      </c>
      <c r="Q2309" s="17">
        <v>84000</v>
      </c>
      <c r="R2309" s="17">
        <f>140000-130000</f>
        <v>10000</v>
      </c>
      <c r="S2309" s="17">
        <f>142000-130000</f>
        <v>12000</v>
      </c>
      <c r="T2309" s="26">
        <v>104600</v>
      </c>
      <c r="U2309" s="26"/>
      <c r="V2309" s="26">
        <v>87500</v>
      </c>
      <c r="W2309" s="26">
        <v>77500</v>
      </c>
      <c r="X2309" s="17">
        <v>87500</v>
      </c>
      <c r="Y2309" s="26">
        <v>11512.5</v>
      </c>
      <c r="Z2309" s="26">
        <f t="shared" si="1281"/>
        <v>13.16</v>
      </c>
      <c r="AA2309" s="26">
        <f t="shared" si="1277"/>
        <v>10000</v>
      </c>
      <c r="AB2309" s="26">
        <v>97500</v>
      </c>
      <c r="AC2309" s="26">
        <v>16279.59</v>
      </c>
      <c r="AD2309" s="26">
        <f t="shared" si="1278"/>
        <v>16.697015384615383</v>
      </c>
      <c r="AE2309" s="26">
        <f t="shared" si="1294"/>
        <v>-15000</v>
      </c>
      <c r="AF2309" s="26">
        <v>82500</v>
      </c>
      <c r="AG2309" s="26">
        <f>43000+18000+3000</f>
        <v>64000</v>
      </c>
      <c r="AH2309" s="26">
        <v>99000</v>
      </c>
      <c r="AI2309" s="26">
        <v>68500</v>
      </c>
      <c r="AJ2309" s="162" t="b">
        <f t="shared" si="1274"/>
        <v>0</v>
      </c>
      <c r="AK2309" s="162" t="str">
        <f t="shared" si="1275"/>
        <v>PUNO</v>
      </c>
      <c r="AM2309" s="164"/>
    </row>
    <row r="2310" spans="2:39" ht="15.75" x14ac:dyDescent="0.2">
      <c r="B2310" s="177"/>
      <c r="C2310" s="177"/>
      <c r="D2310" s="177"/>
      <c r="E2310" s="177">
        <v>3233</v>
      </c>
      <c r="F2310" s="176">
        <v>31</v>
      </c>
      <c r="G2310" s="177" t="s">
        <v>1040</v>
      </c>
      <c r="H2310" s="16" t="s">
        <v>528</v>
      </c>
      <c r="I2310" s="17">
        <v>1500</v>
      </c>
      <c r="J2310" s="17">
        <v>0</v>
      </c>
      <c r="K2310" s="17">
        <f>ROUND(J2310/I2310*100,2)</f>
        <v>0</v>
      </c>
      <c r="L2310" s="17">
        <f>M2310-I2310</f>
        <v>-1500</v>
      </c>
      <c r="M2310" s="17"/>
      <c r="N2310" s="17">
        <f>13500-10500</f>
        <v>3000</v>
      </c>
      <c r="O2310" s="17">
        <v>0</v>
      </c>
      <c r="P2310" s="26">
        <f t="shared" si="1293"/>
        <v>-1000</v>
      </c>
      <c r="Q2310" s="17">
        <f>13500-10500</f>
        <v>3000</v>
      </c>
      <c r="R2310" s="17">
        <f>11000-10500</f>
        <v>500</v>
      </c>
      <c r="S2310" s="17">
        <f>11000-10500</f>
        <v>500</v>
      </c>
      <c r="T2310" s="26">
        <v>2000</v>
      </c>
      <c r="U2310" s="26"/>
      <c r="V2310" s="26">
        <v>2000</v>
      </c>
      <c r="W2310" s="26">
        <v>2000</v>
      </c>
      <c r="X2310" s="17">
        <v>2000</v>
      </c>
      <c r="Y2310" s="26">
        <v>0</v>
      </c>
      <c r="Z2310" s="26">
        <f t="shared" si="1281"/>
        <v>0</v>
      </c>
      <c r="AA2310" s="26">
        <f t="shared" si="1277"/>
        <v>0</v>
      </c>
      <c r="AB2310" s="26">
        <v>2000</v>
      </c>
      <c r="AC2310" s="26">
        <v>0</v>
      </c>
      <c r="AD2310" s="26">
        <f t="shared" si="1278"/>
        <v>0</v>
      </c>
      <c r="AE2310" s="26">
        <f t="shared" si="1294"/>
        <v>-2000</v>
      </c>
      <c r="AF2310" s="26">
        <v>0</v>
      </c>
      <c r="AG2310" s="26">
        <v>2000</v>
      </c>
      <c r="AH2310" s="26">
        <v>2000</v>
      </c>
      <c r="AI2310" s="26">
        <v>2000</v>
      </c>
      <c r="AJ2310" s="162" t="b">
        <f t="shared" si="1274"/>
        <v>0</v>
      </c>
      <c r="AK2310" s="162" t="str">
        <f t="shared" si="1275"/>
        <v>PUNO</v>
      </c>
      <c r="AM2310" s="164"/>
    </row>
    <row r="2311" spans="2:39" ht="15.75" x14ac:dyDescent="0.2">
      <c r="B2311" s="177"/>
      <c r="C2311" s="177"/>
      <c r="D2311" s="177"/>
      <c r="E2311" s="177">
        <v>3234</v>
      </c>
      <c r="F2311" s="176">
        <v>31</v>
      </c>
      <c r="G2311" s="177" t="s">
        <v>1040</v>
      </c>
      <c r="H2311" s="16" t="s">
        <v>238</v>
      </c>
      <c r="I2311" s="17">
        <v>12700</v>
      </c>
      <c r="J2311" s="17">
        <v>0</v>
      </c>
      <c r="K2311" s="17">
        <f>ROUND(J2311/I2311*100,2)</f>
        <v>0</v>
      </c>
      <c r="L2311" s="17">
        <f>M2311-I2311</f>
        <v>-12700</v>
      </c>
      <c r="M2311" s="17"/>
      <c r="N2311" s="17">
        <v>93000</v>
      </c>
      <c r="O2311" s="17">
        <v>39980.120000000003</v>
      </c>
      <c r="P2311" s="26">
        <f t="shared" si="1293"/>
        <v>-14000</v>
      </c>
      <c r="Q2311" s="17">
        <v>93000</v>
      </c>
      <c r="R2311" s="17">
        <f>125000-29800</f>
        <v>95200</v>
      </c>
      <c r="S2311" s="17">
        <f>130000-29800</f>
        <v>100200</v>
      </c>
      <c r="T2311" s="26">
        <v>79000</v>
      </c>
      <c r="U2311" s="26"/>
      <c r="V2311" s="26">
        <v>72000</v>
      </c>
      <c r="W2311" s="26">
        <v>80000</v>
      </c>
      <c r="X2311" s="17">
        <v>80000</v>
      </c>
      <c r="Y2311" s="26">
        <v>15688</v>
      </c>
      <c r="Z2311" s="26">
        <f t="shared" si="1281"/>
        <v>21.79</v>
      </c>
      <c r="AA2311" s="26">
        <f t="shared" si="1277"/>
        <v>-25000</v>
      </c>
      <c r="AB2311" s="26">
        <v>47000</v>
      </c>
      <c r="AC2311" s="26">
        <v>15688</v>
      </c>
      <c r="AD2311" s="26">
        <f t="shared" si="1278"/>
        <v>33.378723404255318</v>
      </c>
      <c r="AE2311" s="26">
        <f t="shared" si="1294"/>
        <v>8000</v>
      </c>
      <c r="AF2311" s="26">
        <v>55000</v>
      </c>
      <c r="AG2311" s="26">
        <f>5000+4000+500+1000+17000</f>
        <v>27500</v>
      </c>
      <c r="AH2311" s="26">
        <v>30000</v>
      </c>
      <c r="AI2311" s="26">
        <v>30000</v>
      </c>
      <c r="AJ2311" s="162" t="b">
        <f t="shared" si="1274"/>
        <v>0</v>
      </c>
      <c r="AK2311" s="162" t="str">
        <f t="shared" si="1275"/>
        <v>PUNO</v>
      </c>
      <c r="AM2311" s="164"/>
    </row>
    <row r="2312" spans="2:39" ht="15.75" x14ac:dyDescent="0.2">
      <c r="B2312" s="177"/>
      <c r="C2312" s="177"/>
      <c r="D2312" s="177"/>
      <c r="E2312" s="177">
        <v>3235</v>
      </c>
      <c r="F2312" s="176">
        <v>31</v>
      </c>
      <c r="G2312" s="177"/>
      <c r="H2312" s="16" t="s">
        <v>640</v>
      </c>
      <c r="I2312" s="17"/>
      <c r="J2312" s="17"/>
      <c r="K2312" s="17"/>
      <c r="L2312" s="17"/>
      <c r="M2312" s="17"/>
      <c r="N2312" s="17">
        <v>40000</v>
      </c>
      <c r="O2312" s="17">
        <v>23802.78</v>
      </c>
      <c r="P2312" s="26">
        <f t="shared" si="1293"/>
        <v>5000</v>
      </c>
      <c r="Q2312" s="17">
        <v>40000</v>
      </c>
      <c r="R2312" s="17">
        <f>36000-1000</f>
        <v>35000</v>
      </c>
      <c r="S2312" s="17">
        <f>36000-1000</f>
        <v>35000</v>
      </c>
      <c r="T2312" s="26">
        <v>45000</v>
      </c>
      <c r="U2312" s="26"/>
      <c r="V2312" s="26">
        <v>45000</v>
      </c>
      <c r="W2312" s="26">
        <v>45000</v>
      </c>
      <c r="X2312" s="17">
        <v>45000</v>
      </c>
      <c r="Y2312" s="26">
        <v>13451.43</v>
      </c>
      <c r="Z2312" s="26">
        <f t="shared" si="1281"/>
        <v>29.89</v>
      </c>
      <c r="AA2312" s="26">
        <f t="shared" si="1277"/>
        <v>-31000</v>
      </c>
      <c r="AB2312" s="26">
        <v>14000</v>
      </c>
      <c r="AC2312" s="217">
        <v>13451.43</v>
      </c>
      <c r="AD2312" s="217">
        <f t="shared" si="1278"/>
        <v>96.081642857142853</v>
      </c>
      <c r="AE2312" s="217">
        <f t="shared" si="1294"/>
        <v>0</v>
      </c>
      <c r="AF2312" s="26">
        <v>14000</v>
      </c>
      <c r="AG2312" s="26">
        <v>1000</v>
      </c>
      <c r="AH2312" s="26">
        <v>1000</v>
      </c>
      <c r="AI2312" s="26">
        <v>0</v>
      </c>
      <c r="AJ2312" s="162" t="b">
        <f t="shared" si="1274"/>
        <v>0</v>
      </c>
      <c r="AK2312" s="162" t="str">
        <f t="shared" si="1275"/>
        <v>PUNO</v>
      </c>
      <c r="AM2312" s="164"/>
    </row>
    <row r="2313" spans="2:39" ht="15.75" x14ac:dyDescent="0.2">
      <c r="B2313" s="177"/>
      <c r="C2313" s="177"/>
      <c r="D2313" s="177"/>
      <c r="E2313" s="177">
        <v>3236</v>
      </c>
      <c r="F2313" s="176">
        <v>31</v>
      </c>
      <c r="G2313" s="177"/>
      <c r="H2313" s="16" t="s">
        <v>843</v>
      </c>
      <c r="I2313" s="17">
        <v>0</v>
      </c>
      <c r="J2313" s="17"/>
      <c r="K2313" s="17" t="e">
        <f>ROUND(J2313/I2313*100,2)</f>
        <v>#DIV/0!</v>
      </c>
      <c r="L2313" s="17">
        <f>M2313-I2313</f>
        <v>0</v>
      </c>
      <c r="M2313" s="17"/>
      <c r="N2313" s="17">
        <v>5000</v>
      </c>
      <c r="O2313" s="17">
        <v>0</v>
      </c>
      <c r="P2313" s="26">
        <f t="shared" si="1293"/>
        <v>0</v>
      </c>
      <c r="Q2313" s="17">
        <v>5000</v>
      </c>
      <c r="R2313" s="17"/>
      <c r="S2313" s="17"/>
      <c r="T2313" s="26">
        <v>5000</v>
      </c>
      <c r="U2313" s="26"/>
      <c r="V2313" s="26">
        <v>2000</v>
      </c>
      <c r="W2313" s="26">
        <v>2000</v>
      </c>
      <c r="X2313" s="17">
        <v>2000</v>
      </c>
      <c r="Y2313" s="26">
        <v>0</v>
      </c>
      <c r="Z2313" s="26">
        <f t="shared" si="1281"/>
        <v>0</v>
      </c>
      <c r="AA2313" s="26">
        <f t="shared" si="1277"/>
        <v>6000</v>
      </c>
      <c r="AB2313" s="26">
        <v>8000</v>
      </c>
      <c r="AC2313" s="26">
        <v>0</v>
      </c>
      <c r="AD2313" s="26">
        <f t="shared" si="1278"/>
        <v>0</v>
      </c>
      <c r="AE2313" s="26">
        <f t="shared" si="1294"/>
        <v>-4000</v>
      </c>
      <c r="AF2313" s="26">
        <v>4000</v>
      </c>
      <c r="AG2313" s="26">
        <f>2000</f>
        <v>2000</v>
      </c>
      <c r="AH2313" s="26">
        <v>2000</v>
      </c>
      <c r="AI2313" s="26">
        <v>7000</v>
      </c>
      <c r="AJ2313" s="162" t="b">
        <f t="shared" ref="AJ2313:AJ2376" si="1296">ISBLANK(E2313)</f>
        <v>0</v>
      </c>
      <c r="AK2313" s="162" t="str">
        <f t="shared" ref="AK2313:AK2376" si="1297">IF(AJ2313,"PRAZNO","PUNO")</f>
        <v>PUNO</v>
      </c>
      <c r="AM2313" s="164"/>
    </row>
    <row r="2314" spans="2:39" ht="15.75" x14ac:dyDescent="0.2">
      <c r="B2314" s="177"/>
      <c r="C2314" s="177"/>
      <c r="D2314" s="177"/>
      <c r="E2314" s="177">
        <v>3237</v>
      </c>
      <c r="F2314" s="176">
        <v>31</v>
      </c>
      <c r="G2314" s="177"/>
      <c r="H2314" s="16" t="s">
        <v>477</v>
      </c>
      <c r="I2314" s="17"/>
      <c r="J2314" s="17"/>
      <c r="K2314" s="17"/>
      <c r="L2314" s="17"/>
      <c r="M2314" s="17">
        <v>13777.69</v>
      </c>
      <c r="N2314" s="17">
        <v>17000</v>
      </c>
      <c r="O2314" s="17">
        <v>4822.7</v>
      </c>
      <c r="P2314" s="26">
        <f t="shared" si="1293"/>
        <v>14000</v>
      </c>
      <c r="Q2314" s="17">
        <v>17000</v>
      </c>
      <c r="R2314" s="17">
        <f>113000-33000</f>
        <v>80000</v>
      </c>
      <c r="S2314" s="17">
        <f>114000-33000</f>
        <v>81000</v>
      </c>
      <c r="T2314" s="26">
        <v>31000</v>
      </c>
      <c r="U2314" s="26"/>
      <c r="V2314" s="26">
        <v>20000</v>
      </c>
      <c r="W2314" s="26">
        <v>17000</v>
      </c>
      <c r="X2314" s="17">
        <v>18000</v>
      </c>
      <c r="Y2314" s="26">
        <v>0</v>
      </c>
      <c r="Z2314" s="26">
        <f t="shared" si="1281"/>
        <v>0</v>
      </c>
      <c r="AA2314" s="26">
        <f t="shared" si="1277"/>
        <v>0</v>
      </c>
      <c r="AB2314" s="26">
        <v>20000</v>
      </c>
      <c r="AC2314" s="26">
        <v>3196.63</v>
      </c>
      <c r="AD2314" s="26">
        <f t="shared" si="1278"/>
        <v>15.983150000000002</v>
      </c>
      <c r="AE2314" s="26">
        <f t="shared" si="1294"/>
        <v>10000</v>
      </c>
      <c r="AF2314" s="26">
        <v>30000</v>
      </c>
      <c r="AG2314" s="26">
        <f>14000+5000</f>
        <v>19000</v>
      </c>
      <c r="AH2314" s="26">
        <v>18000</v>
      </c>
      <c r="AI2314" s="26">
        <v>18000</v>
      </c>
      <c r="AJ2314" s="162" t="b">
        <f t="shared" si="1296"/>
        <v>0</v>
      </c>
      <c r="AK2314" s="162" t="str">
        <f t="shared" si="1297"/>
        <v>PUNO</v>
      </c>
      <c r="AM2314" s="164"/>
    </row>
    <row r="2315" spans="2:39" ht="15.75" x14ac:dyDescent="0.2">
      <c r="B2315" s="177"/>
      <c r="C2315" s="177"/>
      <c r="D2315" s="177"/>
      <c r="E2315" s="177">
        <v>3238</v>
      </c>
      <c r="F2315" s="176">
        <v>31</v>
      </c>
      <c r="G2315" s="177"/>
      <c r="H2315" s="16" t="s">
        <v>398</v>
      </c>
      <c r="I2315" s="17"/>
      <c r="J2315" s="17"/>
      <c r="K2315" s="17"/>
      <c r="L2315" s="17"/>
      <c r="M2315" s="17"/>
      <c r="N2315" s="17">
        <v>12000</v>
      </c>
      <c r="O2315" s="17">
        <v>0</v>
      </c>
      <c r="P2315" s="26">
        <f t="shared" si="1293"/>
        <v>-1000</v>
      </c>
      <c r="Q2315" s="17">
        <v>12000</v>
      </c>
      <c r="R2315" s="17"/>
      <c r="S2315" s="17"/>
      <c r="T2315" s="26">
        <v>11000</v>
      </c>
      <c r="U2315" s="26"/>
      <c r="V2315" s="26">
        <v>5000</v>
      </c>
      <c r="W2315" s="26">
        <v>10000</v>
      </c>
      <c r="X2315" s="17">
        <v>10000</v>
      </c>
      <c r="Y2315" s="26">
        <v>0</v>
      </c>
      <c r="Z2315" s="26">
        <f t="shared" si="1281"/>
        <v>0</v>
      </c>
      <c r="AA2315" s="26">
        <f t="shared" si="1277"/>
        <v>0</v>
      </c>
      <c r="AB2315" s="26">
        <v>5000</v>
      </c>
      <c r="AC2315" s="26">
        <v>0</v>
      </c>
      <c r="AD2315" s="26">
        <f t="shared" si="1278"/>
        <v>0</v>
      </c>
      <c r="AE2315" s="26">
        <f t="shared" si="1294"/>
        <v>-1000</v>
      </c>
      <c r="AF2315" s="26">
        <v>4000</v>
      </c>
      <c r="AG2315" s="26">
        <v>5000</v>
      </c>
      <c r="AH2315" s="26">
        <v>11000</v>
      </c>
      <c r="AI2315" s="26">
        <v>11000</v>
      </c>
      <c r="AJ2315" s="162" t="b">
        <f t="shared" si="1296"/>
        <v>0</v>
      </c>
      <c r="AK2315" s="162" t="str">
        <f t="shared" si="1297"/>
        <v>PUNO</v>
      </c>
      <c r="AM2315" s="164"/>
    </row>
    <row r="2316" spans="2:39" ht="15.75" x14ac:dyDescent="0.2">
      <c r="B2316" s="177"/>
      <c r="C2316" s="177"/>
      <c r="D2316" s="177"/>
      <c r="E2316" s="177">
        <v>3239</v>
      </c>
      <c r="F2316" s="176">
        <v>31</v>
      </c>
      <c r="G2316" s="177"/>
      <c r="H2316" s="16" t="s">
        <v>529</v>
      </c>
      <c r="I2316" s="17">
        <v>3000</v>
      </c>
      <c r="J2316" s="17">
        <v>0</v>
      </c>
      <c r="K2316" s="17">
        <f>ROUND(J2316/I2316*100,2)</f>
        <v>0</v>
      </c>
      <c r="L2316" s="17">
        <f>M2316-I2316</f>
        <v>30000</v>
      </c>
      <c r="M2316" s="17">
        <v>33000</v>
      </c>
      <c r="N2316" s="17">
        <v>12000</v>
      </c>
      <c r="O2316" s="17">
        <v>2641.5</v>
      </c>
      <c r="P2316" s="26">
        <f t="shared" si="1293"/>
        <v>-500</v>
      </c>
      <c r="Q2316" s="17">
        <v>12000</v>
      </c>
      <c r="R2316" s="17">
        <f>60000-53500</f>
        <v>6500</v>
      </c>
      <c r="S2316" s="17">
        <f>59500-53500</f>
        <v>6000</v>
      </c>
      <c r="T2316" s="26">
        <v>11500</v>
      </c>
      <c r="U2316" s="26"/>
      <c r="V2316" s="26">
        <v>10000</v>
      </c>
      <c r="W2316" s="26">
        <v>22800</v>
      </c>
      <c r="X2316" s="17">
        <v>12800</v>
      </c>
      <c r="Y2316" s="26">
        <v>1000</v>
      </c>
      <c r="Z2316" s="26">
        <f t="shared" si="1281"/>
        <v>10</v>
      </c>
      <c r="AA2316" s="26">
        <f t="shared" si="1277"/>
        <v>0</v>
      </c>
      <c r="AB2316" s="26">
        <v>10000</v>
      </c>
      <c r="AC2316" s="26">
        <v>2250</v>
      </c>
      <c r="AD2316" s="26">
        <f t="shared" si="1278"/>
        <v>22.5</v>
      </c>
      <c r="AE2316" s="26">
        <f t="shared" si="1294"/>
        <v>13600</v>
      </c>
      <c r="AF2316" s="26">
        <v>23600</v>
      </c>
      <c r="AG2316" s="26">
        <f>900+200+26400</f>
        <v>27500</v>
      </c>
      <c r="AH2316" s="26">
        <v>18500</v>
      </c>
      <c r="AI2316" s="26">
        <v>18300</v>
      </c>
      <c r="AJ2316" s="162" t="b">
        <f t="shared" si="1296"/>
        <v>0</v>
      </c>
      <c r="AK2316" s="162" t="str">
        <f t="shared" si="1297"/>
        <v>PUNO</v>
      </c>
      <c r="AM2316" s="164"/>
    </row>
    <row r="2317" spans="2:39" ht="15.75" x14ac:dyDescent="0.2">
      <c r="B2317" s="177"/>
      <c r="C2317" s="177"/>
      <c r="D2317" s="177">
        <v>329</v>
      </c>
      <c r="E2317" s="177"/>
      <c r="F2317" s="177"/>
      <c r="G2317" s="177"/>
      <c r="H2317" s="16" t="s">
        <v>531</v>
      </c>
      <c r="I2317" s="18">
        <f>SUM(I2319:I2322)</f>
        <v>7000</v>
      </c>
      <c r="J2317" s="18">
        <f>SUM(J2319:J2322)</f>
        <v>0</v>
      </c>
      <c r="K2317" s="18">
        <f>ROUND(J2317/I2317*100,2)</f>
        <v>0</v>
      </c>
      <c r="L2317" s="18">
        <f>M2317-I2317</f>
        <v>3000</v>
      </c>
      <c r="M2317" s="18">
        <f>SUM(M2319:M2322)</f>
        <v>10000</v>
      </c>
      <c r="N2317" s="18">
        <f>SUM(N2318:N2322)</f>
        <v>124400</v>
      </c>
      <c r="O2317" s="18">
        <f>SUM(O2319:O2322)</f>
        <v>35355.83</v>
      </c>
      <c r="P2317" s="26">
        <f t="shared" si="1293"/>
        <v>-31800</v>
      </c>
      <c r="Q2317" s="18">
        <f t="shared" ref="Q2317:Y2317" si="1298">SUM(Q2318:Q2322)</f>
        <v>124400</v>
      </c>
      <c r="R2317" s="18">
        <f t="shared" si="1298"/>
        <v>94800</v>
      </c>
      <c r="S2317" s="18">
        <f t="shared" si="1298"/>
        <v>94800</v>
      </c>
      <c r="T2317" s="27">
        <f t="shared" si="1298"/>
        <v>92600</v>
      </c>
      <c r="U2317" s="27">
        <f>SUM(U2318:U2322)</f>
        <v>0</v>
      </c>
      <c r="V2317" s="18">
        <f t="shared" si="1298"/>
        <v>109600</v>
      </c>
      <c r="W2317" s="18">
        <f t="shared" si="1298"/>
        <v>64700</v>
      </c>
      <c r="X2317" s="18">
        <f t="shared" si="1298"/>
        <v>84200</v>
      </c>
      <c r="Y2317" s="18">
        <f t="shared" si="1298"/>
        <v>32478.55</v>
      </c>
      <c r="Z2317" s="18">
        <f t="shared" si="1281"/>
        <v>29.63</v>
      </c>
      <c r="AA2317" s="18">
        <f t="shared" si="1277"/>
        <v>-6400</v>
      </c>
      <c r="AB2317" s="18">
        <f>SUM(AB2318:AB2322)</f>
        <v>103200</v>
      </c>
      <c r="AC2317" s="18">
        <f>SUM(AC2318:AC2322)</f>
        <v>37256.769999999997</v>
      </c>
      <c r="AD2317" s="18">
        <f t="shared" si="1278"/>
        <v>36.101521317829452</v>
      </c>
      <c r="AE2317" s="18">
        <f t="shared" si="1294"/>
        <v>4400</v>
      </c>
      <c r="AF2317" s="18">
        <f>SUM(AF2318:AF2322)</f>
        <v>107600</v>
      </c>
      <c r="AG2317" s="178">
        <f>SUM(AG2318:AG2322)</f>
        <v>89100</v>
      </c>
      <c r="AH2317" s="178">
        <f>SUM(AH2318:AH2322)</f>
        <v>91000</v>
      </c>
      <c r="AI2317" s="178">
        <f>SUM(AI2318:AI2322)</f>
        <v>88500</v>
      </c>
      <c r="AJ2317" s="162" t="b">
        <f t="shared" si="1296"/>
        <v>1</v>
      </c>
      <c r="AK2317" s="162" t="str">
        <f t="shared" si="1297"/>
        <v>PRAZNO</v>
      </c>
      <c r="AM2317" s="164"/>
    </row>
    <row r="2318" spans="2:39" ht="15.75" x14ac:dyDescent="0.2">
      <c r="B2318" s="177"/>
      <c r="C2318" s="177"/>
      <c r="D2318" s="177"/>
      <c r="E2318" s="177">
        <v>3292</v>
      </c>
      <c r="F2318" s="177">
        <v>31</v>
      </c>
      <c r="G2318" s="177"/>
      <c r="H2318" s="16" t="s">
        <v>399</v>
      </c>
      <c r="I2318" s="18"/>
      <c r="J2318" s="18"/>
      <c r="K2318" s="18"/>
      <c r="L2318" s="18"/>
      <c r="M2318" s="18"/>
      <c r="N2318" s="18">
        <v>7000</v>
      </c>
      <c r="O2318" s="18">
        <v>0</v>
      </c>
      <c r="P2318" s="26">
        <f t="shared" si="1293"/>
        <v>0</v>
      </c>
      <c r="Q2318" s="18">
        <v>7000</v>
      </c>
      <c r="R2318" s="18">
        <f>50000-48000</f>
        <v>2000</v>
      </c>
      <c r="S2318" s="18">
        <f>50000-48000</f>
        <v>2000</v>
      </c>
      <c r="T2318" s="27">
        <v>7000</v>
      </c>
      <c r="U2318" s="27"/>
      <c r="V2318" s="27">
        <v>7000</v>
      </c>
      <c r="W2318" s="27">
        <v>7000</v>
      </c>
      <c r="X2318" s="18">
        <v>7000</v>
      </c>
      <c r="Y2318" s="27">
        <v>0</v>
      </c>
      <c r="Z2318" s="27">
        <f t="shared" si="1281"/>
        <v>0</v>
      </c>
      <c r="AA2318" s="27">
        <f t="shared" si="1277"/>
        <v>1600</v>
      </c>
      <c r="AB2318" s="27">
        <v>8600</v>
      </c>
      <c r="AC2318" s="27">
        <v>0</v>
      </c>
      <c r="AD2318" s="27">
        <f t="shared" si="1278"/>
        <v>0</v>
      </c>
      <c r="AE2318" s="27">
        <f t="shared" si="1294"/>
        <v>0</v>
      </c>
      <c r="AF2318" s="27">
        <v>8600</v>
      </c>
      <c r="AG2318" s="266">
        <v>7000</v>
      </c>
      <c r="AH2318" s="266">
        <v>7000</v>
      </c>
      <c r="AI2318" s="266">
        <v>7000</v>
      </c>
      <c r="AJ2318" s="162" t="b">
        <f t="shared" si="1296"/>
        <v>0</v>
      </c>
      <c r="AK2318" s="162" t="str">
        <f t="shared" si="1297"/>
        <v>PUNO</v>
      </c>
      <c r="AM2318" s="164"/>
    </row>
    <row r="2319" spans="2:39" ht="15.75" x14ac:dyDescent="0.2">
      <c r="B2319" s="177"/>
      <c r="C2319" s="177"/>
      <c r="D2319" s="177"/>
      <c r="E2319" s="177">
        <v>3293</v>
      </c>
      <c r="F2319" s="177">
        <v>31</v>
      </c>
      <c r="G2319" s="176"/>
      <c r="H2319" s="16" t="s">
        <v>533</v>
      </c>
      <c r="I2319" s="17">
        <v>7000</v>
      </c>
      <c r="J2319" s="17">
        <v>0</v>
      </c>
      <c r="K2319" s="17">
        <f>ROUND(J2319/I2319*100,2)</f>
        <v>0</v>
      </c>
      <c r="L2319" s="17">
        <f>M2319-I2319</f>
        <v>3000</v>
      </c>
      <c r="M2319" s="17">
        <v>10000</v>
      </c>
      <c r="N2319" s="17">
        <v>30000</v>
      </c>
      <c r="O2319" s="17">
        <v>19047.97</v>
      </c>
      <c r="P2319" s="26">
        <f t="shared" si="1293"/>
        <v>-2000</v>
      </c>
      <c r="Q2319" s="17">
        <v>30000</v>
      </c>
      <c r="R2319" s="17">
        <f>40000-5000</f>
        <v>35000</v>
      </c>
      <c r="S2319" s="17">
        <f>40000-5000</f>
        <v>35000</v>
      </c>
      <c r="T2319" s="26">
        <v>28000</v>
      </c>
      <c r="U2319" s="26"/>
      <c r="V2319" s="26">
        <v>33000</v>
      </c>
      <c r="W2319" s="26">
        <v>32000</v>
      </c>
      <c r="X2319" s="17">
        <v>32000</v>
      </c>
      <c r="Y2319" s="26">
        <v>5102.03</v>
      </c>
      <c r="Z2319" s="26">
        <f t="shared" si="1281"/>
        <v>15.46</v>
      </c>
      <c r="AA2319" s="26">
        <f t="shared" si="1277"/>
        <v>-8000</v>
      </c>
      <c r="AB2319" s="26">
        <f>33000-8000</f>
        <v>25000</v>
      </c>
      <c r="AC2319" s="26">
        <v>7037.01</v>
      </c>
      <c r="AD2319" s="26">
        <f t="shared" si="1278"/>
        <v>28.148040000000002</v>
      </c>
      <c r="AE2319" s="26">
        <f t="shared" si="1294"/>
        <v>0</v>
      </c>
      <c r="AF2319" s="26">
        <f>33000-8000</f>
        <v>25000</v>
      </c>
      <c r="AG2319" s="307">
        <v>26000</v>
      </c>
      <c r="AH2319" s="307">
        <v>21000</v>
      </c>
      <c r="AI2319" s="307">
        <v>15000</v>
      </c>
      <c r="AJ2319" s="162" t="b">
        <f t="shared" si="1296"/>
        <v>0</v>
      </c>
      <c r="AK2319" s="162" t="str">
        <f t="shared" si="1297"/>
        <v>PUNO</v>
      </c>
      <c r="AM2319" s="164"/>
    </row>
    <row r="2320" spans="2:39" ht="15.75" x14ac:dyDescent="0.2">
      <c r="B2320" s="177"/>
      <c r="C2320" s="177"/>
      <c r="D2320" s="177"/>
      <c r="E2320" s="177">
        <v>3294</v>
      </c>
      <c r="F2320" s="177">
        <v>31</v>
      </c>
      <c r="G2320" s="176"/>
      <c r="H2320" s="16" t="s">
        <v>567</v>
      </c>
      <c r="I2320" s="17">
        <v>0</v>
      </c>
      <c r="J2320" s="17"/>
      <c r="K2320" s="17" t="e">
        <f>ROUND(J2320/I2320*100,2)</f>
        <v>#DIV/0!</v>
      </c>
      <c r="L2320" s="17">
        <f>M2320-I2320</f>
        <v>0</v>
      </c>
      <c r="M2320" s="17"/>
      <c r="N2320" s="17">
        <v>2100</v>
      </c>
      <c r="O2320" s="17">
        <v>0</v>
      </c>
      <c r="P2320" s="26">
        <f t="shared" si="1293"/>
        <v>2000</v>
      </c>
      <c r="Q2320" s="17">
        <v>2100</v>
      </c>
      <c r="R2320" s="17"/>
      <c r="S2320" s="17"/>
      <c r="T2320" s="26">
        <v>4100</v>
      </c>
      <c r="U2320" s="26"/>
      <c r="V2320" s="26">
        <v>4100</v>
      </c>
      <c r="W2320" s="26">
        <v>4100</v>
      </c>
      <c r="X2320" s="17">
        <v>4100</v>
      </c>
      <c r="Y2320" s="26">
        <v>0</v>
      </c>
      <c r="Z2320" s="26">
        <f t="shared" si="1281"/>
        <v>0</v>
      </c>
      <c r="AA2320" s="26">
        <f t="shared" si="1277"/>
        <v>0</v>
      </c>
      <c r="AB2320" s="26">
        <v>4100</v>
      </c>
      <c r="AC2320" s="26">
        <v>0</v>
      </c>
      <c r="AD2320" s="26">
        <f t="shared" si="1278"/>
        <v>0</v>
      </c>
      <c r="AE2320" s="26">
        <f t="shared" si="1294"/>
        <v>0</v>
      </c>
      <c r="AF2320" s="26">
        <v>4100</v>
      </c>
      <c r="AG2320" s="307">
        <v>4100</v>
      </c>
      <c r="AH2320" s="307">
        <v>4000</v>
      </c>
      <c r="AI2320" s="307">
        <v>4000</v>
      </c>
      <c r="AJ2320" s="162" t="b">
        <f t="shared" si="1296"/>
        <v>0</v>
      </c>
      <c r="AK2320" s="162" t="str">
        <f t="shared" si="1297"/>
        <v>PUNO</v>
      </c>
      <c r="AM2320" s="164"/>
    </row>
    <row r="2321" spans="1:39" ht="15.75" x14ac:dyDescent="0.2">
      <c r="B2321" s="177"/>
      <c r="C2321" s="177"/>
      <c r="D2321" s="177"/>
      <c r="E2321" s="177">
        <v>3295</v>
      </c>
      <c r="F2321" s="177">
        <v>31</v>
      </c>
      <c r="G2321" s="176"/>
      <c r="H2321" s="16" t="s">
        <v>400</v>
      </c>
      <c r="I2321" s="17"/>
      <c r="J2321" s="17"/>
      <c r="K2321" s="17"/>
      <c r="L2321" s="17"/>
      <c r="M2321" s="17"/>
      <c r="N2321" s="17">
        <v>1500</v>
      </c>
      <c r="O2321" s="17">
        <v>0</v>
      </c>
      <c r="P2321" s="26">
        <f t="shared" si="1293"/>
        <v>0</v>
      </c>
      <c r="Q2321" s="17">
        <v>1500</v>
      </c>
      <c r="R2321" s="17"/>
      <c r="S2321" s="17"/>
      <c r="T2321" s="26">
        <v>1500</v>
      </c>
      <c r="U2321" s="26"/>
      <c r="V2321" s="26">
        <v>1500</v>
      </c>
      <c r="W2321" s="26">
        <v>1500</v>
      </c>
      <c r="X2321" s="17">
        <v>1500</v>
      </c>
      <c r="Y2321" s="26">
        <v>0</v>
      </c>
      <c r="Z2321" s="26">
        <f t="shared" si="1281"/>
        <v>0</v>
      </c>
      <c r="AA2321" s="26">
        <f t="shared" si="1277"/>
        <v>0</v>
      </c>
      <c r="AB2321" s="26">
        <v>1500</v>
      </c>
      <c r="AC2321" s="26">
        <v>0</v>
      </c>
      <c r="AD2321" s="26">
        <f t="shared" si="1278"/>
        <v>0</v>
      </c>
      <c r="AE2321" s="26">
        <f t="shared" si="1294"/>
        <v>6000</v>
      </c>
      <c r="AF2321" s="26">
        <v>7500</v>
      </c>
      <c r="AG2321" s="307">
        <f>1000+1000+1000</f>
        <v>3000</v>
      </c>
      <c r="AH2321" s="307">
        <v>2000</v>
      </c>
      <c r="AI2321" s="307">
        <v>1500</v>
      </c>
      <c r="AJ2321" s="162" t="b">
        <f t="shared" si="1296"/>
        <v>0</v>
      </c>
      <c r="AK2321" s="162" t="str">
        <f t="shared" si="1297"/>
        <v>PUNO</v>
      </c>
      <c r="AM2321" s="164"/>
    </row>
    <row r="2322" spans="1:39" ht="15.75" x14ac:dyDescent="0.2">
      <c r="B2322" s="177"/>
      <c r="C2322" s="177"/>
      <c r="D2322" s="177"/>
      <c r="E2322" s="177">
        <v>3299</v>
      </c>
      <c r="F2322" s="177">
        <v>31</v>
      </c>
      <c r="G2322" s="176"/>
      <c r="H2322" s="16" t="s">
        <v>531</v>
      </c>
      <c r="I2322" s="17"/>
      <c r="J2322" s="17"/>
      <c r="K2322" s="17"/>
      <c r="L2322" s="17"/>
      <c r="M2322" s="17"/>
      <c r="N2322" s="17">
        <v>83800</v>
      </c>
      <c r="O2322" s="17">
        <v>16307.86</v>
      </c>
      <c r="P2322" s="26">
        <f t="shared" si="1293"/>
        <v>-31800</v>
      </c>
      <c r="Q2322" s="17">
        <v>83800</v>
      </c>
      <c r="R2322" s="17">
        <f>67800-10000</f>
        <v>57800</v>
      </c>
      <c r="S2322" s="17">
        <f>67800-10000</f>
        <v>57800</v>
      </c>
      <c r="T2322" s="26">
        <v>52000</v>
      </c>
      <c r="U2322" s="26"/>
      <c r="V2322" s="26">
        <v>64000</v>
      </c>
      <c r="W2322" s="26">
        <v>20100</v>
      </c>
      <c r="X2322" s="17">
        <v>39600</v>
      </c>
      <c r="Y2322" s="26">
        <v>27376.52</v>
      </c>
      <c r="Z2322" s="26">
        <f t="shared" si="1281"/>
        <v>42.78</v>
      </c>
      <c r="AA2322" s="26">
        <f t="shared" si="1277"/>
        <v>0</v>
      </c>
      <c r="AB2322" s="26">
        <v>64000</v>
      </c>
      <c r="AC2322" s="26">
        <v>30219.759999999998</v>
      </c>
      <c r="AD2322" s="26">
        <f t="shared" si="1278"/>
        <v>47.218374999999995</v>
      </c>
      <c r="AE2322" s="26">
        <f t="shared" si="1294"/>
        <v>-1600</v>
      </c>
      <c r="AF2322" s="26">
        <v>62400</v>
      </c>
      <c r="AG2322" s="307">
        <v>49000</v>
      </c>
      <c r="AH2322" s="307">
        <v>57000</v>
      </c>
      <c r="AI2322" s="307">
        <v>61000</v>
      </c>
      <c r="AJ2322" s="162" t="b">
        <f t="shared" si="1296"/>
        <v>0</v>
      </c>
      <c r="AK2322" s="162" t="str">
        <f t="shared" si="1297"/>
        <v>PUNO</v>
      </c>
      <c r="AM2322" s="164"/>
    </row>
    <row r="2323" spans="1:39" ht="15.75" x14ac:dyDescent="0.2">
      <c r="B2323" s="177"/>
      <c r="C2323" s="177">
        <v>34</v>
      </c>
      <c r="D2323" s="177"/>
      <c r="E2323" s="177"/>
      <c r="F2323" s="177"/>
      <c r="G2323" s="177"/>
      <c r="H2323" s="16" t="s">
        <v>208</v>
      </c>
      <c r="I2323" s="17">
        <f>I2324</f>
        <v>0</v>
      </c>
      <c r="J2323" s="17">
        <f>J2324</f>
        <v>0</v>
      </c>
      <c r="K2323" s="17" t="e">
        <f>ROUND(J2323/I2323*100,2)</f>
        <v>#DIV/0!</v>
      </c>
      <c r="L2323" s="17">
        <f>M2323-I2323</f>
        <v>0</v>
      </c>
      <c r="M2323" s="17">
        <f>M2324</f>
        <v>0</v>
      </c>
      <c r="N2323" s="17">
        <f>N2324</f>
        <v>1000</v>
      </c>
      <c r="O2323" s="17">
        <f>O2324</f>
        <v>0</v>
      </c>
      <c r="P2323" s="26">
        <f t="shared" si="1293"/>
        <v>1000</v>
      </c>
      <c r="Q2323" s="17">
        <f t="shared" ref="Q2323:AI2323" si="1299">Q2324</f>
        <v>1000</v>
      </c>
      <c r="R2323" s="17">
        <f t="shared" si="1299"/>
        <v>0</v>
      </c>
      <c r="S2323" s="17">
        <f t="shared" si="1299"/>
        <v>0</v>
      </c>
      <c r="T2323" s="26">
        <f t="shared" si="1299"/>
        <v>2000</v>
      </c>
      <c r="U2323" s="26">
        <f t="shared" si="1299"/>
        <v>0</v>
      </c>
      <c r="V2323" s="17">
        <f t="shared" si="1299"/>
        <v>2000</v>
      </c>
      <c r="W2323" s="17">
        <f t="shared" si="1299"/>
        <v>3000</v>
      </c>
      <c r="X2323" s="17">
        <f t="shared" si="1299"/>
        <v>3000</v>
      </c>
      <c r="Y2323" s="17">
        <f t="shared" si="1299"/>
        <v>601.49</v>
      </c>
      <c r="Z2323" s="17">
        <f t="shared" si="1281"/>
        <v>30.07</v>
      </c>
      <c r="AA2323" s="17">
        <f t="shared" si="1277"/>
        <v>1000</v>
      </c>
      <c r="AB2323" s="17">
        <f t="shared" si="1299"/>
        <v>3000</v>
      </c>
      <c r="AC2323" s="17">
        <f t="shared" si="1299"/>
        <v>601.49</v>
      </c>
      <c r="AD2323" s="17">
        <f t="shared" si="1278"/>
        <v>20.049666666666667</v>
      </c>
      <c r="AE2323" s="17">
        <f t="shared" si="1294"/>
        <v>1500</v>
      </c>
      <c r="AF2323" s="17">
        <f t="shared" si="1299"/>
        <v>4500</v>
      </c>
      <c r="AG2323" s="181">
        <f t="shared" si="1299"/>
        <v>12700</v>
      </c>
      <c r="AH2323" s="181">
        <f t="shared" si="1299"/>
        <v>2500</v>
      </c>
      <c r="AI2323" s="181">
        <f t="shared" si="1299"/>
        <v>2500</v>
      </c>
      <c r="AJ2323" s="162" t="b">
        <f t="shared" si="1296"/>
        <v>1</v>
      </c>
      <c r="AK2323" s="162" t="str">
        <f t="shared" si="1297"/>
        <v>PRAZNO</v>
      </c>
      <c r="AM2323" s="164"/>
    </row>
    <row r="2324" spans="1:39" ht="15.75" x14ac:dyDescent="0.2">
      <c r="B2324" s="177"/>
      <c r="C2324" s="177"/>
      <c r="D2324" s="177">
        <v>343</v>
      </c>
      <c r="E2324" s="177"/>
      <c r="F2324" s="177"/>
      <c r="G2324" s="177"/>
      <c r="H2324" s="16" t="s">
        <v>209</v>
      </c>
      <c r="I2324" s="17">
        <f>SUM(I2325:I2325)</f>
        <v>0</v>
      </c>
      <c r="J2324" s="17">
        <f>SUM(J2325:J2325)</f>
        <v>0</v>
      </c>
      <c r="K2324" s="17" t="e">
        <f>ROUND(J2324/I2324*100,2)</f>
        <v>#DIV/0!</v>
      </c>
      <c r="L2324" s="17">
        <f>M2324-I2324</f>
        <v>0</v>
      </c>
      <c r="M2324" s="17">
        <f>SUM(M2325:M2325)</f>
        <v>0</v>
      </c>
      <c r="N2324" s="17">
        <f>SUM(N2325:N2325)</f>
        <v>1000</v>
      </c>
      <c r="O2324" s="17">
        <f>SUM(O2325:O2325)</f>
        <v>0</v>
      </c>
      <c r="P2324" s="26">
        <f t="shared" si="1293"/>
        <v>1000</v>
      </c>
      <c r="Q2324" s="17">
        <f t="shared" ref="Q2324:Y2324" si="1300">SUM(Q2325:Q2325)</f>
        <v>1000</v>
      </c>
      <c r="R2324" s="17">
        <f t="shared" si="1300"/>
        <v>0</v>
      </c>
      <c r="S2324" s="17">
        <f t="shared" si="1300"/>
        <v>0</v>
      </c>
      <c r="T2324" s="26">
        <f t="shared" si="1300"/>
        <v>2000</v>
      </c>
      <c r="U2324" s="26">
        <f t="shared" si="1300"/>
        <v>0</v>
      </c>
      <c r="V2324" s="17">
        <f t="shared" si="1300"/>
        <v>2000</v>
      </c>
      <c r="W2324" s="17">
        <f t="shared" si="1300"/>
        <v>3000</v>
      </c>
      <c r="X2324" s="17">
        <f t="shared" si="1300"/>
        <v>3000</v>
      </c>
      <c r="Y2324" s="17">
        <f t="shared" si="1300"/>
        <v>601.49</v>
      </c>
      <c r="Z2324" s="17">
        <f t="shared" si="1281"/>
        <v>30.07</v>
      </c>
      <c r="AA2324" s="17">
        <f t="shared" si="1277"/>
        <v>1000</v>
      </c>
      <c r="AB2324" s="17">
        <f>SUM(AB2325:AB2327)</f>
        <v>3000</v>
      </c>
      <c r="AC2324" s="17">
        <f>SUM(AC2325:AC2327)</f>
        <v>601.49</v>
      </c>
      <c r="AD2324" s="17">
        <f t="shared" si="1278"/>
        <v>20.049666666666667</v>
      </c>
      <c r="AE2324" s="17">
        <f t="shared" si="1294"/>
        <v>1500</v>
      </c>
      <c r="AF2324" s="17">
        <f>SUM(AF2325:AF2327)</f>
        <v>4500</v>
      </c>
      <c r="AG2324" s="181">
        <f>SUM(AG2325:AG2327)</f>
        <v>12700</v>
      </c>
      <c r="AH2324" s="181">
        <f>SUM(AH2325:AH2327)</f>
        <v>2500</v>
      </c>
      <c r="AI2324" s="181">
        <f>SUM(AI2325:AI2327)</f>
        <v>2500</v>
      </c>
      <c r="AJ2324" s="162" t="b">
        <f t="shared" si="1296"/>
        <v>1</v>
      </c>
      <c r="AK2324" s="162" t="str">
        <f t="shared" si="1297"/>
        <v>PRAZNO</v>
      </c>
      <c r="AM2324" s="164"/>
    </row>
    <row r="2325" spans="1:39" ht="15.75" x14ac:dyDescent="0.2">
      <c r="B2325" s="177"/>
      <c r="C2325" s="177"/>
      <c r="D2325" s="177"/>
      <c r="E2325" s="177">
        <v>3431</v>
      </c>
      <c r="F2325" s="176">
        <v>31</v>
      </c>
      <c r="G2325" s="176"/>
      <c r="H2325" s="16" t="s">
        <v>211</v>
      </c>
      <c r="I2325" s="17"/>
      <c r="J2325" s="17"/>
      <c r="K2325" s="17" t="e">
        <f>ROUND(J2325/I2325*100,2)</f>
        <v>#DIV/0!</v>
      </c>
      <c r="L2325" s="17">
        <f>M2325-I2325</f>
        <v>0</v>
      </c>
      <c r="M2325" s="17"/>
      <c r="N2325" s="17">
        <v>1000</v>
      </c>
      <c r="O2325" s="17">
        <v>0</v>
      </c>
      <c r="P2325" s="26">
        <f t="shared" si="1293"/>
        <v>1000</v>
      </c>
      <c r="Q2325" s="17">
        <v>1000</v>
      </c>
      <c r="R2325" s="17"/>
      <c r="S2325" s="17"/>
      <c r="T2325" s="26">
        <v>2000</v>
      </c>
      <c r="U2325" s="26"/>
      <c r="V2325" s="26">
        <v>2000</v>
      </c>
      <c r="W2325" s="26">
        <v>3000</v>
      </c>
      <c r="X2325" s="17">
        <v>3000</v>
      </c>
      <c r="Y2325" s="26">
        <v>601.49</v>
      </c>
      <c r="Z2325" s="26">
        <f t="shared" si="1281"/>
        <v>30.07</v>
      </c>
      <c r="AA2325" s="26">
        <f t="shared" ref="AA2325:AA2388" si="1301">AB2325-V2325</f>
        <v>0</v>
      </c>
      <c r="AB2325" s="26">
        <v>2000</v>
      </c>
      <c r="AC2325" s="26">
        <v>601.49</v>
      </c>
      <c r="AD2325" s="26">
        <f t="shared" si="1278"/>
        <v>30.074499999999997</v>
      </c>
      <c r="AE2325" s="26">
        <f t="shared" si="1294"/>
        <v>1500</v>
      </c>
      <c r="AF2325" s="26">
        <v>3500</v>
      </c>
      <c r="AG2325" s="26">
        <v>2500</v>
      </c>
      <c r="AH2325" s="26">
        <v>2500</v>
      </c>
      <c r="AI2325" s="26">
        <v>2500</v>
      </c>
      <c r="AJ2325" s="162" t="b">
        <f t="shared" si="1296"/>
        <v>0</v>
      </c>
      <c r="AK2325" s="162" t="str">
        <f t="shared" si="1297"/>
        <v>PUNO</v>
      </c>
      <c r="AM2325" s="164"/>
    </row>
    <row r="2326" spans="1:39" ht="15.75" x14ac:dyDescent="0.2">
      <c r="B2326" s="177"/>
      <c r="C2326" s="177"/>
      <c r="D2326" s="177"/>
      <c r="E2326" s="177">
        <v>3433</v>
      </c>
      <c r="F2326" s="176">
        <v>31</v>
      </c>
      <c r="G2326" s="176"/>
      <c r="H2326" s="16" t="s">
        <v>402</v>
      </c>
      <c r="I2326" s="17"/>
      <c r="J2326" s="17"/>
      <c r="K2326" s="17"/>
      <c r="L2326" s="17"/>
      <c r="M2326" s="17"/>
      <c r="N2326" s="17"/>
      <c r="O2326" s="17"/>
      <c r="P2326" s="26"/>
      <c r="Q2326" s="17"/>
      <c r="R2326" s="17"/>
      <c r="S2326" s="17"/>
      <c r="T2326" s="26"/>
      <c r="U2326" s="26"/>
      <c r="V2326" s="26"/>
      <c r="W2326" s="26"/>
      <c r="X2326" s="17"/>
      <c r="Y2326" s="26"/>
      <c r="Z2326" s="26"/>
      <c r="AA2326" s="26"/>
      <c r="AB2326" s="26"/>
      <c r="AC2326" s="26"/>
      <c r="AD2326" s="26"/>
      <c r="AE2326" s="26"/>
      <c r="AF2326" s="26"/>
      <c r="AG2326" s="26">
        <v>200</v>
      </c>
      <c r="AH2326" s="26"/>
      <c r="AI2326" s="26"/>
      <c r="AJ2326" s="162" t="b">
        <f t="shared" si="1296"/>
        <v>0</v>
      </c>
      <c r="AK2326" s="162" t="str">
        <f t="shared" si="1297"/>
        <v>PUNO</v>
      </c>
      <c r="AM2326" s="164"/>
    </row>
    <row r="2327" spans="1:39" ht="18" customHeight="1" x14ac:dyDescent="0.2">
      <c r="B2327" s="177"/>
      <c r="C2327" s="177"/>
      <c r="D2327" s="177"/>
      <c r="E2327" s="177">
        <v>3434</v>
      </c>
      <c r="F2327" s="176">
        <v>31</v>
      </c>
      <c r="G2327" s="177"/>
      <c r="H2327" s="16" t="s">
        <v>403</v>
      </c>
      <c r="I2327" s="17"/>
      <c r="J2327" s="17"/>
      <c r="K2327" s="17"/>
      <c r="L2327" s="17"/>
      <c r="M2327" s="17"/>
      <c r="N2327" s="17"/>
      <c r="O2327" s="17"/>
      <c r="P2327" s="26"/>
      <c r="Q2327" s="17"/>
      <c r="R2327" s="17"/>
      <c r="S2327" s="17"/>
      <c r="T2327" s="26"/>
      <c r="U2327" s="26"/>
      <c r="V2327" s="26">
        <v>0</v>
      </c>
      <c r="W2327" s="26"/>
      <c r="X2327" s="17"/>
      <c r="Y2327" s="26">
        <v>0</v>
      </c>
      <c r="Z2327" s="26"/>
      <c r="AA2327" s="26">
        <f t="shared" si="1301"/>
        <v>1000</v>
      </c>
      <c r="AB2327" s="26">
        <v>1000</v>
      </c>
      <c r="AC2327" s="26">
        <v>0</v>
      </c>
      <c r="AD2327" s="26">
        <f t="shared" si="1278"/>
        <v>0</v>
      </c>
      <c r="AE2327" s="26">
        <f t="shared" si="1294"/>
        <v>0</v>
      </c>
      <c r="AF2327" s="26">
        <v>1000</v>
      </c>
      <c r="AG2327" s="26">
        <v>10000</v>
      </c>
      <c r="AH2327" s="26">
        <v>0</v>
      </c>
      <c r="AI2327" s="26">
        <v>0</v>
      </c>
      <c r="AJ2327" s="162" t="b">
        <f t="shared" si="1296"/>
        <v>0</v>
      </c>
      <c r="AK2327" s="162" t="str">
        <f t="shared" si="1297"/>
        <v>PUNO</v>
      </c>
      <c r="AM2327" s="164"/>
    </row>
    <row r="2328" spans="1:39" s="453" customFormat="1" ht="15.75" x14ac:dyDescent="0.25">
      <c r="A2328" s="378"/>
      <c r="B2328" s="260"/>
      <c r="C2328" s="260"/>
      <c r="D2328" s="260"/>
      <c r="E2328" s="260"/>
      <c r="F2328" s="448"/>
      <c r="G2328" s="448"/>
      <c r="H2328" s="440" t="s">
        <v>825</v>
      </c>
      <c r="I2328" s="449"/>
      <c r="J2328" s="449"/>
      <c r="K2328" s="449"/>
      <c r="L2328" s="449"/>
      <c r="M2328" s="449"/>
      <c r="N2328" s="449"/>
      <c r="O2328" s="449"/>
      <c r="P2328" s="202"/>
      <c r="Q2328" s="449"/>
      <c r="R2328" s="449"/>
      <c r="S2328" s="449"/>
      <c r="T2328" s="450"/>
      <c r="U2328" s="450">
        <f>U2329</f>
        <v>193509.47</v>
      </c>
      <c r="V2328" s="450">
        <f>V2329</f>
        <v>3855200</v>
      </c>
      <c r="W2328" s="450">
        <f>W2329</f>
        <v>3858500</v>
      </c>
      <c r="X2328" s="450">
        <f>X2329</f>
        <v>3860500</v>
      </c>
      <c r="Y2328" s="450">
        <f>Y2329</f>
        <v>0</v>
      </c>
      <c r="Z2328" s="450">
        <f t="shared" si="1281"/>
        <v>0</v>
      </c>
      <c r="AA2328" s="450">
        <f t="shared" si="1301"/>
        <v>-88000</v>
      </c>
      <c r="AB2328" s="450">
        <f>AB2329</f>
        <v>3767200</v>
      </c>
      <c r="AC2328" s="450">
        <f>AC2329</f>
        <v>2166685.33</v>
      </c>
      <c r="AD2328" s="450">
        <f t="shared" si="1278"/>
        <v>57.514475737948615</v>
      </c>
      <c r="AE2328" s="450">
        <f t="shared" si="1294"/>
        <v>-3000</v>
      </c>
      <c r="AF2328" s="450">
        <f>AF2329</f>
        <v>3764200</v>
      </c>
      <c r="AG2328" s="450">
        <f>AG2329</f>
        <v>3810200</v>
      </c>
      <c r="AH2328" s="450">
        <f>AH2329</f>
        <v>3809500</v>
      </c>
      <c r="AI2328" s="450">
        <f>AI2329</f>
        <v>3809500</v>
      </c>
      <c r="AJ2328" s="162" t="b">
        <f t="shared" si="1296"/>
        <v>1</v>
      </c>
      <c r="AK2328" s="162" t="str">
        <f t="shared" si="1297"/>
        <v>PRAZNO</v>
      </c>
      <c r="AL2328" s="452"/>
      <c r="AM2328" s="287"/>
    </row>
    <row r="2329" spans="1:39" s="174" customFormat="1" ht="15.75" x14ac:dyDescent="0.2">
      <c r="A2329" s="259"/>
      <c r="B2329" s="172">
        <v>3</v>
      </c>
      <c r="C2329" s="172"/>
      <c r="D2329" s="172"/>
      <c r="E2329" s="172"/>
      <c r="F2329" s="220"/>
      <c r="G2329" s="220"/>
      <c r="H2329" s="14" t="s">
        <v>524</v>
      </c>
      <c r="I2329" s="184"/>
      <c r="J2329" s="184"/>
      <c r="K2329" s="184"/>
      <c r="L2329" s="184"/>
      <c r="M2329" s="184"/>
      <c r="N2329" s="184"/>
      <c r="O2329" s="184"/>
      <c r="P2329" s="55"/>
      <c r="Q2329" s="184"/>
      <c r="R2329" s="184"/>
      <c r="S2329" s="184"/>
      <c r="T2329" s="185"/>
      <c r="U2329" s="185">
        <f>U2330+U2339</f>
        <v>193509.47</v>
      </c>
      <c r="V2329" s="185">
        <f>V2330+V2339</f>
        <v>3855200</v>
      </c>
      <c r="W2329" s="185">
        <f>W2330+W2339</f>
        <v>3858500</v>
      </c>
      <c r="X2329" s="185">
        <f>X2330+X2339</f>
        <v>3860500</v>
      </c>
      <c r="Y2329" s="185">
        <f>Y2330+Y2339</f>
        <v>0</v>
      </c>
      <c r="Z2329" s="185">
        <f t="shared" si="1281"/>
        <v>0</v>
      </c>
      <c r="AA2329" s="185">
        <f t="shared" si="1301"/>
        <v>-88000</v>
      </c>
      <c r="AB2329" s="185">
        <f>AB2330+AB2339</f>
        <v>3767200</v>
      </c>
      <c r="AC2329" s="185">
        <f>AC2330+AC2339</f>
        <v>2166685.33</v>
      </c>
      <c r="AD2329" s="185">
        <f t="shared" si="1278"/>
        <v>57.514475737948615</v>
      </c>
      <c r="AE2329" s="185">
        <f t="shared" si="1294"/>
        <v>-3000</v>
      </c>
      <c r="AF2329" s="185">
        <f>AF2330+AF2339</f>
        <v>3764200</v>
      </c>
      <c r="AG2329" s="185">
        <f>AG2330+AG2339</f>
        <v>3810200</v>
      </c>
      <c r="AH2329" s="185">
        <f>AH2330+AH2339</f>
        <v>3809500</v>
      </c>
      <c r="AI2329" s="185">
        <f>AI2330+AI2339</f>
        <v>3809500</v>
      </c>
      <c r="AJ2329" s="162" t="b">
        <f t="shared" si="1296"/>
        <v>1</v>
      </c>
      <c r="AK2329" s="162" t="str">
        <f t="shared" si="1297"/>
        <v>PRAZNO</v>
      </c>
      <c r="AL2329" s="173"/>
    </row>
    <row r="2330" spans="1:39" ht="15.75" x14ac:dyDescent="0.2">
      <c r="B2330" s="177"/>
      <c r="C2330" s="177">
        <v>31</v>
      </c>
      <c r="D2330" s="177"/>
      <c r="E2330" s="177"/>
      <c r="F2330" s="176"/>
      <c r="G2330" s="176"/>
      <c r="H2330" s="16" t="s">
        <v>197</v>
      </c>
      <c r="I2330" s="18"/>
      <c r="J2330" s="18"/>
      <c r="K2330" s="18"/>
      <c r="L2330" s="18"/>
      <c r="M2330" s="18"/>
      <c r="N2330" s="18"/>
      <c r="O2330" s="18"/>
      <c r="P2330" s="26"/>
      <c r="Q2330" s="18"/>
      <c r="R2330" s="18"/>
      <c r="S2330" s="18"/>
      <c r="T2330" s="27"/>
      <c r="U2330" s="27">
        <f>U2331+U2334</f>
        <v>154960</v>
      </c>
      <c r="V2330" s="27">
        <f>V2331+V2334</f>
        <v>224000</v>
      </c>
      <c r="W2330" s="27">
        <f>W2331+W2334</f>
        <v>223300</v>
      </c>
      <c r="X2330" s="27">
        <f>X2331+X2334</f>
        <v>223300</v>
      </c>
      <c r="Y2330" s="27">
        <f>Y2331+Y2334</f>
        <v>0</v>
      </c>
      <c r="Z2330" s="27">
        <f t="shared" si="1281"/>
        <v>0</v>
      </c>
      <c r="AA2330" s="27">
        <f t="shared" si="1301"/>
        <v>-82000</v>
      </c>
      <c r="AB2330" s="27">
        <f>AB2331+AB2334</f>
        <v>142000</v>
      </c>
      <c r="AC2330" s="27">
        <f>AC2331+AC2334</f>
        <v>0</v>
      </c>
      <c r="AD2330" s="27">
        <f t="shared" si="1278"/>
        <v>0</v>
      </c>
      <c r="AE2330" s="27">
        <f t="shared" si="1294"/>
        <v>-5000</v>
      </c>
      <c r="AF2330" s="27">
        <f>AF2331+AF2334</f>
        <v>137000</v>
      </c>
      <c r="AG2330" s="27">
        <f>AG2331+AG2334</f>
        <v>183000</v>
      </c>
      <c r="AH2330" s="27">
        <f>AH2331+AH2334</f>
        <v>182300</v>
      </c>
      <c r="AI2330" s="27">
        <f>AI2331+AI2334</f>
        <v>182300</v>
      </c>
      <c r="AJ2330" s="162" t="b">
        <f t="shared" si="1296"/>
        <v>1</v>
      </c>
      <c r="AK2330" s="162" t="str">
        <f t="shared" si="1297"/>
        <v>PRAZNO</v>
      </c>
      <c r="AM2330" s="164"/>
    </row>
    <row r="2331" spans="1:39" ht="15.75" x14ac:dyDescent="0.2">
      <c r="B2331" s="177"/>
      <c r="C2331" s="177"/>
      <c r="D2331" s="177">
        <v>311</v>
      </c>
      <c r="E2331" s="177"/>
      <c r="F2331" s="176"/>
      <c r="G2331" s="176"/>
      <c r="H2331" s="16" t="s">
        <v>915</v>
      </c>
      <c r="I2331" s="18"/>
      <c r="J2331" s="18"/>
      <c r="K2331" s="18"/>
      <c r="L2331" s="18"/>
      <c r="M2331" s="18"/>
      <c r="N2331" s="18"/>
      <c r="O2331" s="18"/>
      <c r="P2331" s="26"/>
      <c r="Q2331" s="18"/>
      <c r="R2331" s="18"/>
      <c r="S2331" s="18"/>
      <c r="T2331" s="27"/>
      <c r="U2331" s="27">
        <f>U2332</f>
        <v>140179.75</v>
      </c>
      <c r="V2331" s="27">
        <f>V2333</f>
        <v>191200</v>
      </c>
      <c r="W2331" s="27">
        <f>W2333</f>
        <v>191200</v>
      </c>
      <c r="X2331" s="27">
        <f>X2333</f>
        <v>191200</v>
      </c>
      <c r="Y2331" s="27">
        <f>Y2333</f>
        <v>0</v>
      </c>
      <c r="Z2331" s="27">
        <f t="shared" si="1281"/>
        <v>0</v>
      </c>
      <c r="AA2331" s="27">
        <f t="shared" si="1301"/>
        <v>-70000</v>
      </c>
      <c r="AB2331" s="27">
        <f>AB2333</f>
        <v>121200</v>
      </c>
      <c r="AC2331" s="27">
        <f>AC2333</f>
        <v>0</v>
      </c>
      <c r="AD2331" s="27">
        <f t="shared" si="1278"/>
        <v>0</v>
      </c>
      <c r="AE2331" s="27">
        <f t="shared" si="1294"/>
        <v>-5000</v>
      </c>
      <c r="AF2331" s="27">
        <f>AF2333</f>
        <v>116200</v>
      </c>
      <c r="AG2331" s="266">
        <f>AG2333</f>
        <v>156200</v>
      </c>
      <c r="AH2331" s="266">
        <f>AH2333</f>
        <v>156200</v>
      </c>
      <c r="AI2331" s="266">
        <f>AI2333</f>
        <v>156200</v>
      </c>
      <c r="AJ2331" s="162" t="b">
        <f t="shared" si="1296"/>
        <v>1</v>
      </c>
      <c r="AK2331" s="162" t="str">
        <f t="shared" si="1297"/>
        <v>PRAZNO</v>
      </c>
      <c r="AM2331" s="164"/>
    </row>
    <row r="2332" spans="1:39" ht="15.75" x14ac:dyDescent="0.2">
      <c r="B2332" s="177"/>
      <c r="C2332" s="177"/>
      <c r="D2332" s="177"/>
      <c r="E2332" s="177">
        <v>3111</v>
      </c>
      <c r="F2332" s="176">
        <v>52</v>
      </c>
      <c r="G2332" s="176"/>
      <c r="H2332" s="16" t="s">
        <v>199</v>
      </c>
      <c r="I2332" s="18"/>
      <c r="J2332" s="18"/>
      <c r="K2332" s="18"/>
      <c r="L2332" s="18"/>
      <c r="M2332" s="18"/>
      <c r="N2332" s="18"/>
      <c r="O2332" s="18"/>
      <c r="P2332" s="26"/>
      <c r="Q2332" s="18"/>
      <c r="R2332" s="18"/>
      <c r="S2332" s="18"/>
      <c r="T2332" s="27"/>
      <c r="U2332" s="27">
        <v>140179.75</v>
      </c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66"/>
      <c r="AH2332" s="266"/>
      <c r="AI2332" s="266"/>
      <c r="AJ2332" s="162" t="b">
        <f t="shared" si="1296"/>
        <v>0</v>
      </c>
      <c r="AK2332" s="162" t="str">
        <f t="shared" si="1297"/>
        <v>PUNO</v>
      </c>
      <c r="AM2332" s="164"/>
    </row>
    <row r="2333" spans="1:39" s="164" customFormat="1" ht="15.75" x14ac:dyDescent="0.2">
      <c r="A2333" s="259"/>
      <c r="B2333" s="177"/>
      <c r="C2333" s="177"/>
      <c r="D2333" s="177"/>
      <c r="E2333" s="177">
        <v>3111</v>
      </c>
      <c r="F2333" s="265">
        <v>55</v>
      </c>
      <c r="G2333" s="265" t="s">
        <v>1040</v>
      </c>
      <c r="H2333" s="16" t="s">
        <v>199</v>
      </c>
      <c r="I2333" s="178"/>
      <c r="J2333" s="178"/>
      <c r="K2333" s="178"/>
      <c r="L2333" s="178"/>
      <c r="M2333" s="178"/>
      <c r="N2333" s="178"/>
      <c r="O2333" s="178"/>
      <c r="P2333" s="307"/>
      <c r="Q2333" s="178"/>
      <c r="R2333" s="178"/>
      <c r="S2333" s="178"/>
      <c r="T2333" s="266"/>
      <c r="U2333" s="266"/>
      <c r="V2333" s="266">
        <v>191200</v>
      </c>
      <c r="W2333" s="266">
        <v>191200</v>
      </c>
      <c r="X2333" s="178">
        <v>191200</v>
      </c>
      <c r="Y2333" s="266">
        <v>0</v>
      </c>
      <c r="Z2333" s="266">
        <f t="shared" si="1281"/>
        <v>0</v>
      </c>
      <c r="AA2333" s="266">
        <f t="shared" si="1301"/>
        <v>-70000</v>
      </c>
      <c r="AB2333" s="266">
        <v>121200</v>
      </c>
      <c r="AC2333" s="266">
        <v>0</v>
      </c>
      <c r="AD2333" s="266">
        <f t="shared" si="1278"/>
        <v>0</v>
      </c>
      <c r="AE2333" s="266">
        <f t="shared" si="1294"/>
        <v>-5000</v>
      </c>
      <c r="AF2333" s="266">
        <v>116200</v>
      </c>
      <c r="AG2333" s="266">
        <v>156200</v>
      </c>
      <c r="AH2333" s="266">
        <v>156200</v>
      </c>
      <c r="AI2333" s="266">
        <v>156200</v>
      </c>
      <c r="AJ2333" s="162" t="b">
        <f t="shared" si="1296"/>
        <v>0</v>
      </c>
      <c r="AK2333" s="162" t="str">
        <f t="shared" si="1297"/>
        <v>PUNO</v>
      </c>
      <c r="AL2333" s="165"/>
    </row>
    <row r="2334" spans="1:39" ht="15.75" x14ac:dyDescent="0.2">
      <c r="B2334" s="177"/>
      <c r="C2334" s="177"/>
      <c r="D2334" s="177">
        <v>313</v>
      </c>
      <c r="E2334" s="177"/>
      <c r="F2334" s="265"/>
      <c r="G2334" s="265"/>
      <c r="H2334" s="16" t="s">
        <v>201</v>
      </c>
      <c r="I2334" s="178"/>
      <c r="J2334" s="178"/>
      <c r="K2334" s="178"/>
      <c r="L2334" s="178"/>
      <c r="M2334" s="178"/>
      <c r="N2334" s="178"/>
      <c r="O2334" s="178"/>
      <c r="P2334" s="307"/>
      <c r="Q2334" s="178"/>
      <c r="R2334" s="178"/>
      <c r="S2334" s="178"/>
      <c r="T2334" s="266"/>
      <c r="U2334" s="266">
        <f>SUM(U2335:U2338)</f>
        <v>14780.25</v>
      </c>
      <c r="V2334" s="266">
        <f>SUM(V2335:V2338)</f>
        <v>32800</v>
      </c>
      <c r="W2334" s="266">
        <f>SUM(W2335:W2338)</f>
        <v>32100</v>
      </c>
      <c r="X2334" s="266">
        <f>SUM(X2335:X2338)</f>
        <v>32100</v>
      </c>
      <c r="Y2334" s="266">
        <f>SUM(Y2335:Y2338)</f>
        <v>0</v>
      </c>
      <c r="Z2334" s="266">
        <f t="shared" si="1281"/>
        <v>0</v>
      </c>
      <c r="AA2334" s="266">
        <f t="shared" si="1301"/>
        <v>-12000</v>
      </c>
      <c r="AB2334" s="266">
        <f>SUM(AB2335:AB2338)</f>
        <v>20800</v>
      </c>
      <c r="AC2334" s="266">
        <f>SUM(AC2335:AC2338)</f>
        <v>0</v>
      </c>
      <c r="AD2334" s="266">
        <f t="shared" si="1278"/>
        <v>0</v>
      </c>
      <c r="AE2334" s="266">
        <f t="shared" si="1294"/>
        <v>0</v>
      </c>
      <c r="AF2334" s="266">
        <f>SUM(AF2335:AF2338)</f>
        <v>20800</v>
      </c>
      <c r="AG2334" s="266">
        <f>SUM(AG2335:AG2338)</f>
        <v>26800</v>
      </c>
      <c r="AH2334" s="266">
        <f>SUM(AH2335:AH2338)</f>
        <v>26100</v>
      </c>
      <c r="AI2334" s="266">
        <f>SUM(AI2335:AI2338)</f>
        <v>26100</v>
      </c>
      <c r="AJ2334" s="162" t="b">
        <f t="shared" si="1296"/>
        <v>1</v>
      </c>
      <c r="AK2334" s="162" t="str">
        <f t="shared" si="1297"/>
        <v>PRAZNO</v>
      </c>
      <c r="AM2334" s="164"/>
    </row>
    <row r="2335" spans="1:39" s="164" customFormat="1" ht="18" customHeight="1" x14ac:dyDescent="0.2">
      <c r="A2335" s="259"/>
      <c r="B2335" s="177"/>
      <c r="C2335" s="177"/>
      <c r="D2335" s="177"/>
      <c r="E2335" s="177">
        <v>3132</v>
      </c>
      <c r="F2335" s="265">
        <v>55</v>
      </c>
      <c r="G2335" s="265" t="s">
        <v>1040</v>
      </c>
      <c r="H2335" s="16" t="s">
        <v>202</v>
      </c>
      <c r="I2335" s="178"/>
      <c r="J2335" s="178"/>
      <c r="K2335" s="178"/>
      <c r="L2335" s="178"/>
      <c r="M2335" s="178"/>
      <c r="N2335" s="178"/>
      <c r="O2335" s="178"/>
      <c r="P2335" s="307"/>
      <c r="Q2335" s="178"/>
      <c r="R2335" s="178"/>
      <c r="S2335" s="178"/>
      <c r="T2335" s="266"/>
      <c r="U2335" s="266"/>
      <c r="V2335" s="266">
        <v>29070</v>
      </c>
      <c r="W2335" s="266">
        <v>28300</v>
      </c>
      <c r="X2335" s="178">
        <v>28300</v>
      </c>
      <c r="Y2335" s="266">
        <v>0</v>
      </c>
      <c r="Z2335" s="266">
        <f t="shared" si="1281"/>
        <v>0</v>
      </c>
      <c r="AA2335" s="266">
        <f t="shared" si="1301"/>
        <v>-10370</v>
      </c>
      <c r="AB2335" s="266">
        <v>18700</v>
      </c>
      <c r="AC2335" s="266">
        <v>0</v>
      </c>
      <c r="AD2335" s="266">
        <f t="shared" si="1278"/>
        <v>0</v>
      </c>
      <c r="AE2335" s="266">
        <f t="shared" si="1294"/>
        <v>0</v>
      </c>
      <c r="AF2335" s="266">
        <v>18700</v>
      </c>
      <c r="AG2335" s="266">
        <f>23300+770</f>
        <v>24070</v>
      </c>
      <c r="AH2335" s="266">
        <v>23300</v>
      </c>
      <c r="AI2335" s="266">
        <v>23300</v>
      </c>
      <c r="AJ2335" s="162" t="b">
        <f t="shared" si="1296"/>
        <v>0</v>
      </c>
      <c r="AK2335" s="162" t="str">
        <f t="shared" si="1297"/>
        <v>PUNO</v>
      </c>
      <c r="AL2335" s="165"/>
    </row>
    <row r="2336" spans="1:39" s="164" customFormat="1" ht="18" customHeight="1" x14ac:dyDescent="0.2">
      <c r="A2336" s="259"/>
      <c r="B2336" s="177"/>
      <c r="C2336" s="177"/>
      <c r="D2336" s="177"/>
      <c r="E2336" s="177">
        <v>3132</v>
      </c>
      <c r="F2336" s="265">
        <v>52</v>
      </c>
      <c r="G2336" s="265" t="s">
        <v>1040</v>
      </c>
      <c r="H2336" s="16" t="s">
        <v>202</v>
      </c>
      <c r="I2336" s="178"/>
      <c r="J2336" s="178"/>
      <c r="K2336" s="178"/>
      <c r="L2336" s="178"/>
      <c r="M2336" s="178"/>
      <c r="N2336" s="178"/>
      <c r="O2336" s="178"/>
      <c r="P2336" s="307"/>
      <c r="Q2336" s="178"/>
      <c r="R2336" s="178"/>
      <c r="S2336" s="178"/>
      <c r="T2336" s="266"/>
      <c r="U2336" s="266">
        <v>13205.08</v>
      </c>
      <c r="V2336" s="266"/>
      <c r="W2336" s="266"/>
      <c r="X2336" s="178"/>
      <c r="Y2336" s="266"/>
      <c r="Z2336" s="266"/>
      <c r="AA2336" s="266"/>
      <c r="AB2336" s="266"/>
      <c r="AC2336" s="266"/>
      <c r="AD2336" s="266"/>
      <c r="AE2336" s="266"/>
      <c r="AF2336" s="266"/>
      <c r="AG2336" s="266"/>
      <c r="AH2336" s="266"/>
      <c r="AI2336" s="266"/>
      <c r="AJ2336" s="162" t="b">
        <f t="shared" si="1296"/>
        <v>0</v>
      </c>
      <c r="AK2336" s="162" t="str">
        <f t="shared" si="1297"/>
        <v>PUNO</v>
      </c>
      <c r="AL2336" s="165"/>
    </row>
    <row r="2337" spans="1:39" s="164" customFormat="1" ht="18" customHeight="1" x14ac:dyDescent="0.2">
      <c r="A2337" s="259"/>
      <c r="B2337" s="177"/>
      <c r="C2337" s="177"/>
      <c r="D2337" s="177"/>
      <c r="E2337" s="177">
        <v>3133</v>
      </c>
      <c r="F2337" s="265">
        <v>52</v>
      </c>
      <c r="G2337" s="265" t="s">
        <v>1040</v>
      </c>
      <c r="H2337" s="16" t="s">
        <v>203</v>
      </c>
      <c r="I2337" s="178"/>
      <c r="J2337" s="178"/>
      <c r="K2337" s="178"/>
      <c r="L2337" s="178"/>
      <c r="M2337" s="178"/>
      <c r="N2337" s="178"/>
      <c r="O2337" s="178"/>
      <c r="P2337" s="307"/>
      <c r="Q2337" s="178"/>
      <c r="R2337" s="178"/>
      <c r="S2337" s="178"/>
      <c r="T2337" s="266"/>
      <c r="U2337" s="266">
        <v>1575.17</v>
      </c>
      <c r="V2337" s="266"/>
      <c r="W2337" s="266"/>
      <c r="X2337" s="178"/>
      <c r="Y2337" s="266"/>
      <c r="Z2337" s="266"/>
      <c r="AA2337" s="266"/>
      <c r="AB2337" s="266"/>
      <c r="AC2337" s="266"/>
      <c r="AD2337" s="266"/>
      <c r="AE2337" s="266"/>
      <c r="AF2337" s="266"/>
      <c r="AG2337" s="266"/>
      <c r="AH2337" s="266"/>
      <c r="AI2337" s="266"/>
      <c r="AJ2337" s="162" t="b">
        <f t="shared" si="1296"/>
        <v>0</v>
      </c>
      <c r="AK2337" s="162" t="str">
        <f t="shared" si="1297"/>
        <v>PUNO</v>
      </c>
      <c r="AL2337" s="165"/>
    </row>
    <row r="2338" spans="1:39" s="164" customFormat="1" ht="30" x14ac:dyDescent="0.2">
      <c r="A2338" s="259"/>
      <c r="B2338" s="177"/>
      <c r="C2338" s="177"/>
      <c r="D2338" s="177"/>
      <c r="E2338" s="177">
        <v>3133</v>
      </c>
      <c r="F2338" s="265">
        <v>55</v>
      </c>
      <c r="G2338" s="265" t="s">
        <v>1040</v>
      </c>
      <c r="H2338" s="16" t="s">
        <v>203</v>
      </c>
      <c r="I2338" s="178"/>
      <c r="J2338" s="178"/>
      <c r="K2338" s="178"/>
      <c r="L2338" s="178"/>
      <c r="M2338" s="178"/>
      <c r="N2338" s="178"/>
      <c r="O2338" s="178"/>
      <c r="P2338" s="307"/>
      <c r="Q2338" s="178"/>
      <c r="R2338" s="178"/>
      <c r="S2338" s="178"/>
      <c r="T2338" s="266"/>
      <c r="U2338" s="266"/>
      <c r="V2338" s="266">
        <v>3730</v>
      </c>
      <c r="W2338" s="266">
        <v>3800</v>
      </c>
      <c r="X2338" s="178">
        <v>3800</v>
      </c>
      <c r="Y2338" s="266">
        <v>0</v>
      </c>
      <c r="Z2338" s="266">
        <f t="shared" si="1281"/>
        <v>0</v>
      </c>
      <c r="AA2338" s="266">
        <f t="shared" si="1301"/>
        <v>-1630</v>
      </c>
      <c r="AB2338" s="266">
        <v>2100</v>
      </c>
      <c r="AC2338" s="266">
        <v>0</v>
      </c>
      <c r="AD2338" s="266">
        <f t="shared" si="1278"/>
        <v>0</v>
      </c>
      <c r="AE2338" s="266">
        <f t="shared" si="1294"/>
        <v>0</v>
      </c>
      <c r="AF2338" s="266">
        <v>2100</v>
      </c>
      <c r="AG2338" s="266">
        <f>2500+230</f>
        <v>2730</v>
      </c>
      <c r="AH2338" s="266">
        <v>2800</v>
      </c>
      <c r="AI2338" s="266">
        <v>2800</v>
      </c>
      <c r="AJ2338" s="162" t="b">
        <f t="shared" si="1296"/>
        <v>0</v>
      </c>
      <c r="AK2338" s="162" t="str">
        <f t="shared" si="1297"/>
        <v>PUNO</v>
      </c>
      <c r="AL2338" s="165"/>
    </row>
    <row r="2339" spans="1:39" ht="15.75" x14ac:dyDescent="0.2">
      <c r="B2339" s="177"/>
      <c r="C2339" s="177">
        <v>32</v>
      </c>
      <c r="D2339" s="177"/>
      <c r="E2339" s="177"/>
      <c r="F2339" s="265"/>
      <c r="G2339" s="265"/>
      <c r="H2339" s="16" t="s">
        <v>525</v>
      </c>
      <c r="I2339" s="178"/>
      <c r="J2339" s="178"/>
      <c r="K2339" s="178"/>
      <c r="L2339" s="178"/>
      <c r="M2339" s="178"/>
      <c r="N2339" s="178"/>
      <c r="O2339" s="178"/>
      <c r="P2339" s="307"/>
      <c r="Q2339" s="178"/>
      <c r="R2339" s="178"/>
      <c r="S2339" s="178"/>
      <c r="T2339" s="266"/>
      <c r="U2339" s="266">
        <f>U2340+U2343+U2350+U2358+U2361</f>
        <v>38549.47</v>
      </c>
      <c r="V2339" s="266">
        <f>V2340+V2343+V2350+V2358+V2361</f>
        <v>3631200</v>
      </c>
      <c r="W2339" s="266">
        <f>W2340+W2343+W2350+W2358+W2361</f>
        <v>3635200</v>
      </c>
      <c r="X2339" s="266">
        <f>X2340+X2343+X2350+X2358+X2361</f>
        <v>3637200</v>
      </c>
      <c r="Y2339" s="266">
        <f>Y2340+Y2343+Y2350+Y2358+Y2361</f>
        <v>0</v>
      </c>
      <c r="Z2339" s="266">
        <f t="shared" si="1281"/>
        <v>0</v>
      </c>
      <c r="AA2339" s="266">
        <f t="shared" si="1301"/>
        <v>-6000</v>
      </c>
      <c r="AB2339" s="266">
        <f>AB2340+AB2343+AB2350+AB2358+AB2361</f>
        <v>3625200</v>
      </c>
      <c r="AC2339" s="266">
        <f>AC2340+AC2343+AC2350+AC2358+AC2361</f>
        <v>2166685.33</v>
      </c>
      <c r="AD2339" s="266">
        <f t="shared" ref="AD2339:AD2410" si="1302">AC2339/AB2339*100</f>
        <v>59.767332285115302</v>
      </c>
      <c r="AE2339" s="266">
        <f t="shared" si="1294"/>
        <v>2000</v>
      </c>
      <c r="AF2339" s="266">
        <f>AF2340+AF2343+AF2350+AF2358+AF2361</f>
        <v>3627200</v>
      </c>
      <c r="AG2339" s="266">
        <f>AG2340+AG2343+AG2350+AG2358+AG2361</f>
        <v>3627200</v>
      </c>
      <c r="AH2339" s="266">
        <f>AH2340+AH2343+AH2350+AH2358+AH2361</f>
        <v>3627200</v>
      </c>
      <c r="AI2339" s="266">
        <f>AI2340+AI2343+AI2350+AI2358+AI2361</f>
        <v>3627200</v>
      </c>
      <c r="AJ2339" s="162" t="b">
        <f t="shared" si="1296"/>
        <v>1</v>
      </c>
      <c r="AK2339" s="162" t="str">
        <f t="shared" si="1297"/>
        <v>PRAZNO</v>
      </c>
      <c r="AM2339" s="164"/>
    </row>
    <row r="2340" spans="1:39" ht="15.75" x14ac:dyDescent="0.2">
      <c r="B2340" s="177"/>
      <c r="C2340" s="177"/>
      <c r="D2340" s="177">
        <v>321</v>
      </c>
      <c r="E2340" s="177"/>
      <c r="F2340" s="265"/>
      <c r="G2340" s="265"/>
      <c r="H2340" s="16" t="s">
        <v>564</v>
      </c>
      <c r="I2340" s="178"/>
      <c r="J2340" s="178"/>
      <c r="K2340" s="178"/>
      <c r="L2340" s="178"/>
      <c r="M2340" s="178"/>
      <c r="N2340" s="178"/>
      <c r="O2340" s="178"/>
      <c r="P2340" s="307"/>
      <c r="Q2340" s="178"/>
      <c r="R2340" s="178"/>
      <c r="S2340" s="178"/>
      <c r="T2340" s="266"/>
      <c r="U2340" s="266">
        <f>U2341</f>
        <v>320</v>
      </c>
      <c r="V2340" s="266">
        <f>V2342</f>
        <v>3300</v>
      </c>
      <c r="W2340" s="266">
        <f>W2342</f>
        <v>3300</v>
      </c>
      <c r="X2340" s="266">
        <f>X2342</f>
        <v>3300</v>
      </c>
      <c r="Y2340" s="266">
        <f>Y2342</f>
        <v>0</v>
      </c>
      <c r="Z2340" s="266">
        <f t="shared" si="1281"/>
        <v>0</v>
      </c>
      <c r="AA2340" s="266">
        <f t="shared" si="1301"/>
        <v>-1800</v>
      </c>
      <c r="AB2340" s="266">
        <f>AB2342</f>
        <v>1500</v>
      </c>
      <c r="AC2340" s="266">
        <f>AC2342</f>
        <v>0</v>
      </c>
      <c r="AD2340" s="266">
        <f t="shared" si="1302"/>
        <v>0</v>
      </c>
      <c r="AE2340" s="266">
        <f t="shared" si="1294"/>
        <v>0</v>
      </c>
      <c r="AF2340" s="266">
        <f>AF2342</f>
        <v>1500</v>
      </c>
      <c r="AG2340" s="266">
        <f>AG2342</f>
        <v>3500</v>
      </c>
      <c r="AH2340" s="266">
        <f>AH2342</f>
        <v>3500</v>
      </c>
      <c r="AI2340" s="266">
        <f>AI2342</f>
        <v>3500</v>
      </c>
      <c r="AJ2340" s="162" t="b">
        <f t="shared" si="1296"/>
        <v>1</v>
      </c>
      <c r="AK2340" s="162" t="str">
        <f t="shared" si="1297"/>
        <v>PRAZNO</v>
      </c>
      <c r="AM2340" s="164"/>
    </row>
    <row r="2341" spans="1:39" ht="15.75" x14ac:dyDescent="0.2">
      <c r="B2341" s="177"/>
      <c r="C2341" s="177"/>
      <c r="D2341" s="177"/>
      <c r="E2341" s="177">
        <v>3211</v>
      </c>
      <c r="F2341" s="265">
        <v>52</v>
      </c>
      <c r="G2341" s="265" t="s">
        <v>1040</v>
      </c>
      <c r="H2341" s="16" t="s">
        <v>565</v>
      </c>
      <c r="I2341" s="178"/>
      <c r="J2341" s="178"/>
      <c r="K2341" s="178"/>
      <c r="L2341" s="178"/>
      <c r="M2341" s="178"/>
      <c r="N2341" s="178"/>
      <c r="O2341" s="178"/>
      <c r="P2341" s="307"/>
      <c r="Q2341" s="178"/>
      <c r="R2341" s="178"/>
      <c r="S2341" s="178"/>
      <c r="T2341" s="266"/>
      <c r="U2341" s="266">
        <v>320</v>
      </c>
      <c r="V2341" s="266"/>
      <c r="W2341" s="266"/>
      <c r="X2341" s="266"/>
      <c r="Y2341" s="266"/>
      <c r="Z2341" s="266"/>
      <c r="AA2341" s="266"/>
      <c r="AB2341" s="266"/>
      <c r="AC2341" s="266"/>
      <c r="AD2341" s="266"/>
      <c r="AE2341" s="266"/>
      <c r="AF2341" s="266"/>
      <c r="AG2341" s="266"/>
      <c r="AH2341" s="266"/>
      <c r="AI2341" s="266"/>
      <c r="AJ2341" s="162" t="b">
        <f t="shared" si="1296"/>
        <v>0</v>
      </c>
      <c r="AK2341" s="162" t="str">
        <f t="shared" si="1297"/>
        <v>PUNO</v>
      </c>
      <c r="AM2341" s="164"/>
    </row>
    <row r="2342" spans="1:39" s="164" customFormat="1" ht="15.75" x14ac:dyDescent="0.2">
      <c r="A2342" s="259"/>
      <c r="B2342" s="177"/>
      <c r="C2342" s="177"/>
      <c r="D2342" s="177"/>
      <c r="E2342" s="177">
        <v>3211</v>
      </c>
      <c r="F2342" s="265">
        <v>55</v>
      </c>
      <c r="G2342" s="265" t="s">
        <v>1040</v>
      </c>
      <c r="H2342" s="16" t="s">
        <v>565</v>
      </c>
      <c r="I2342" s="178"/>
      <c r="J2342" s="178"/>
      <c r="K2342" s="178"/>
      <c r="L2342" s="178"/>
      <c r="M2342" s="178"/>
      <c r="N2342" s="178"/>
      <c r="O2342" s="178"/>
      <c r="P2342" s="307"/>
      <c r="Q2342" s="178"/>
      <c r="R2342" s="178"/>
      <c r="S2342" s="178"/>
      <c r="T2342" s="266"/>
      <c r="U2342" s="266"/>
      <c r="V2342" s="266">
        <v>3300</v>
      </c>
      <c r="W2342" s="266">
        <v>3300</v>
      </c>
      <c r="X2342" s="178">
        <v>3300</v>
      </c>
      <c r="Y2342" s="266">
        <v>0</v>
      </c>
      <c r="Z2342" s="266">
        <f t="shared" si="1281"/>
        <v>0</v>
      </c>
      <c r="AA2342" s="266">
        <f t="shared" si="1301"/>
        <v>-1800</v>
      </c>
      <c r="AB2342" s="266">
        <v>1500</v>
      </c>
      <c r="AC2342" s="266">
        <v>0</v>
      </c>
      <c r="AD2342" s="266">
        <f t="shared" si="1302"/>
        <v>0</v>
      </c>
      <c r="AE2342" s="266">
        <f t="shared" si="1294"/>
        <v>0</v>
      </c>
      <c r="AF2342" s="266">
        <v>1500</v>
      </c>
      <c r="AG2342" s="266">
        <f>3000+500</f>
        <v>3500</v>
      </c>
      <c r="AH2342" s="266">
        <v>3500</v>
      </c>
      <c r="AI2342" s="266">
        <v>3500</v>
      </c>
      <c r="AJ2342" s="162" t="b">
        <f t="shared" si="1296"/>
        <v>0</v>
      </c>
      <c r="AK2342" s="162" t="str">
        <f t="shared" si="1297"/>
        <v>PUNO</v>
      </c>
      <c r="AL2342" s="165"/>
    </row>
    <row r="2343" spans="1:39" ht="15.75" x14ac:dyDescent="0.2">
      <c r="B2343" s="177"/>
      <c r="C2343" s="177"/>
      <c r="D2343" s="177">
        <v>322</v>
      </c>
      <c r="E2343" s="177"/>
      <c r="F2343" s="265"/>
      <c r="G2343" s="265"/>
      <c r="H2343" s="16" t="s">
        <v>547</v>
      </c>
      <c r="I2343" s="178"/>
      <c r="J2343" s="178"/>
      <c r="K2343" s="178"/>
      <c r="L2343" s="178"/>
      <c r="M2343" s="178"/>
      <c r="N2343" s="178"/>
      <c r="O2343" s="178"/>
      <c r="P2343" s="307"/>
      <c r="Q2343" s="178"/>
      <c r="R2343" s="178"/>
      <c r="S2343" s="178"/>
      <c r="T2343" s="266"/>
      <c r="U2343" s="266">
        <f t="shared" ref="U2343:AA2343" si="1303">SUM(U2344:U2349)</f>
        <v>23801.230000000003</v>
      </c>
      <c r="V2343" s="266">
        <f t="shared" si="1303"/>
        <v>22000</v>
      </c>
      <c r="W2343" s="266">
        <f t="shared" si="1303"/>
        <v>25000</v>
      </c>
      <c r="X2343" s="266">
        <f t="shared" si="1303"/>
        <v>25000</v>
      </c>
      <c r="Y2343" s="266">
        <f t="shared" si="1303"/>
        <v>0</v>
      </c>
      <c r="Z2343" s="266">
        <f t="shared" si="1303"/>
        <v>0</v>
      </c>
      <c r="AA2343" s="266">
        <f t="shared" si="1303"/>
        <v>1000</v>
      </c>
      <c r="AB2343" s="266">
        <f>SUM(AB2344:AB2349)</f>
        <v>23000</v>
      </c>
      <c r="AC2343" s="266">
        <f>SUM(AC2344:AC2349)</f>
        <v>0</v>
      </c>
      <c r="AD2343" s="266">
        <f t="shared" si="1302"/>
        <v>0</v>
      </c>
      <c r="AE2343" s="266">
        <f t="shared" si="1294"/>
        <v>-2000</v>
      </c>
      <c r="AF2343" s="266">
        <f>SUM(AF2344:AF2349)</f>
        <v>21000</v>
      </c>
      <c r="AG2343" s="266">
        <f>SUM(AG2344:AG2349)</f>
        <v>20000</v>
      </c>
      <c r="AH2343" s="266">
        <f>SUM(AH2344:AH2349)</f>
        <v>19000</v>
      </c>
      <c r="AI2343" s="266">
        <f>SUM(AI2344:AI2349)</f>
        <v>19000</v>
      </c>
      <c r="AJ2343" s="162" t="b">
        <f t="shared" si="1296"/>
        <v>1</v>
      </c>
      <c r="AK2343" s="162" t="str">
        <f t="shared" si="1297"/>
        <v>PRAZNO</v>
      </c>
      <c r="AM2343" s="164"/>
    </row>
    <row r="2344" spans="1:39" s="164" customFormat="1" ht="15.75" x14ac:dyDescent="0.2">
      <c r="A2344" s="259"/>
      <c r="B2344" s="177"/>
      <c r="C2344" s="177"/>
      <c r="D2344" s="177"/>
      <c r="E2344" s="177">
        <v>3221</v>
      </c>
      <c r="F2344" s="265">
        <v>55</v>
      </c>
      <c r="G2344" s="265" t="s">
        <v>1040</v>
      </c>
      <c r="H2344" s="16" t="s">
        <v>548</v>
      </c>
      <c r="I2344" s="178"/>
      <c r="J2344" s="178"/>
      <c r="K2344" s="178"/>
      <c r="L2344" s="178"/>
      <c r="M2344" s="178"/>
      <c r="N2344" s="178"/>
      <c r="O2344" s="178"/>
      <c r="P2344" s="307"/>
      <c r="Q2344" s="178"/>
      <c r="R2344" s="178"/>
      <c r="S2344" s="178"/>
      <c r="T2344" s="266"/>
      <c r="U2344" s="266"/>
      <c r="V2344" s="266">
        <v>18500</v>
      </c>
      <c r="W2344" s="266">
        <v>18500</v>
      </c>
      <c r="X2344" s="178">
        <v>18500</v>
      </c>
      <c r="Y2344" s="266">
        <v>0</v>
      </c>
      <c r="Z2344" s="266">
        <f t="shared" si="1281"/>
        <v>0</v>
      </c>
      <c r="AA2344" s="266">
        <f t="shared" si="1301"/>
        <v>2500</v>
      </c>
      <c r="AB2344" s="266">
        <v>21000</v>
      </c>
      <c r="AC2344" s="266">
        <v>0</v>
      </c>
      <c r="AD2344" s="266">
        <f t="shared" si="1302"/>
        <v>0</v>
      </c>
      <c r="AE2344" s="266">
        <f t="shared" si="1294"/>
        <v>0</v>
      </c>
      <c r="AF2344" s="266">
        <v>21000</v>
      </c>
      <c r="AG2344" s="266">
        <f>3500+4000+11000</f>
        <v>18500</v>
      </c>
      <c r="AH2344" s="266">
        <v>17500</v>
      </c>
      <c r="AI2344" s="266">
        <v>17500</v>
      </c>
      <c r="AJ2344" s="162" t="b">
        <f t="shared" si="1296"/>
        <v>0</v>
      </c>
      <c r="AK2344" s="162" t="str">
        <f t="shared" si="1297"/>
        <v>PUNO</v>
      </c>
      <c r="AL2344" s="165"/>
    </row>
    <row r="2345" spans="1:39" s="164" customFormat="1" ht="15.75" x14ac:dyDescent="0.2">
      <c r="A2345" s="259"/>
      <c r="B2345" s="177"/>
      <c r="C2345" s="177"/>
      <c r="D2345" s="177"/>
      <c r="E2345" s="177">
        <v>3221</v>
      </c>
      <c r="F2345" s="265">
        <v>52</v>
      </c>
      <c r="G2345" s="265" t="s">
        <v>1040</v>
      </c>
      <c r="H2345" s="16" t="s">
        <v>548</v>
      </c>
      <c r="I2345" s="178"/>
      <c r="J2345" s="178"/>
      <c r="K2345" s="178"/>
      <c r="L2345" s="178"/>
      <c r="M2345" s="178"/>
      <c r="N2345" s="178"/>
      <c r="O2345" s="178"/>
      <c r="P2345" s="307"/>
      <c r="Q2345" s="178"/>
      <c r="R2345" s="178"/>
      <c r="S2345" s="178"/>
      <c r="T2345" s="266"/>
      <c r="U2345" s="266">
        <v>16483.810000000001</v>
      </c>
      <c r="V2345" s="266"/>
      <c r="W2345" s="266"/>
      <c r="X2345" s="178"/>
      <c r="Y2345" s="266"/>
      <c r="Z2345" s="266"/>
      <c r="AA2345" s="266"/>
      <c r="AB2345" s="266"/>
      <c r="AC2345" s="266"/>
      <c r="AD2345" s="266"/>
      <c r="AE2345" s="266"/>
      <c r="AF2345" s="266"/>
      <c r="AG2345" s="266"/>
      <c r="AH2345" s="266"/>
      <c r="AI2345" s="266"/>
      <c r="AJ2345" s="162" t="b">
        <f t="shared" si="1296"/>
        <v>0</v>
      </c>
      <c r="AK2345" s="162" t="str">
        <f t="shared" si="1297"/>
        <v>PUNO</v>
      </c>
      <c r="AL2345" s="165"/>
    </row>
    <row r="2346" spans="1:39" s="164" customFormat="1" ht="15.75" x14ac:dyDescent="0.2">
      <c r="A2346" s="259"/>
      <c r="B2346" s="177"/>
      <c r="C2346" s="177"/>
      <c r="D2346" s="177"/>
      <c r="E2346" s="177">
        <v>3222</v>
      </c>
      <c r="F2346" s="265">
        <v>55</v>
      </c>
      <c r="G2346" s="265" t="s">
        <v>1040</v>
      </c>
      <c r="H2346" s="16" t="s">
        <v>439</v>
      </c>
      <c r="I2346" s="485"/>
      <c r="J2346" s="485"/>
      <c r="K2346" s="485"/>
      <c r="L2346" s="485"/>
      <c r="M2346" s="485"/>
      <c r="N2346" s="485"/>
      <c r="O2346" s="485"/>
      <c r="P2346" s="307"/>
      <c r="Q2346" s="485"/>
      <c r="R2346" s="485"/>
      <c r="S2346" s="485"/>
      <c r="T2346" s="416"/>
      <c r="U2346" s="416"/>
      <c r="V2346" s="416">
        <v>3500</v>
      </c>
      <c r="W2346" s="416">
        <v>6500</v>
      </c>
      <c r="X2346" s="485">
        <v>6500</v>
      </c>
      <c r="Y2346" s="416">
        <v>0</v>
      </c>
      <c r="Z2346" s="416">
        <f t="shared" ref="Z2346:Z2423" si="1304">ROUND(Y2346/V2346*100,2)</f>
        <v>0</v>
      </c>
      <c r="AA2346" s="416">
        <f t="shared" si="1301"/>
        <v>-1500</v>
      </c>
      <c r="AB2346" s="416">
        <v>2000</v>
      </c>
      <c r="AC2346" s="416">
        <v>0</v>
      </c>
      <c r="AD2346" s="416">
        <f t="shared" si="1302"/>
        <v>0</v>
      </c>
      <c r="AE2346" s="416">
        <f t="shared" si="1294"/>
        <v>-2000</v>
      </c>
      <c r="AF2346" s="416">
        <v>0</v>
      </c>
      <c r="AG2346" s="416">
        <v>1500</v>
      </c>
      <c r="AH2346" s="416">
        <v>1500</v>
      </c>
      <c r="AI2346" s="416">
        <v>1500</v>
      </c>
      <c r="AJ2346" s="162" t="b">
        <f t="shared" si="1296"/>
        <v>0</v>
      </c>
      <c r="AK2346" s="162" t="str">
        <f t="shared" si="1297"/>
        <v>PUNO</v>
      </c>
      <c r="AL2346" s="165"/>
    </row>
    <row r="2347" spans="1:39" s="164" customFormat="1" ht="15.75" customHeight="1" x14ac:dyDescent="0.2">
      <c r="A2347" s="259"/>
      <c r="B2347" s="177"/>
      <c r="C2347" s="177"/>
      <c r="D2347" s="177"/>
      <c r="E2347" s="177">
        <v>3222</v>
      </c>
      <c r="F2347" s="265">
        <v>52</v>
      </c>
      <c r="G2347" s="265" t="s">
        <v>1040</v>
      </c>
      <c r="H2347" s="16" t="s">
        <v>71</v>
      </c>
      <c r="I2347" s="485"/>
      <c r="J2347" s="485"/>
      <c r="K2347" s="485"/>
      <c r="L2347" s="485"/>
      <c r="M2347" s="485"/>
      <c r="N2347" s="485"/>
      <c r="O2347" s="485"/>
      <c r="P2347" s="307"/>
      <c r="Q2347" s="485"/>
      <c r="R2347" s="485"/>
      <c r="S2347" s="485"/>
      <c r="T2347" s="416"/>
      <c r="U2347" s="416">
        <v>5317.42</v>
      </c>
      <c r="V2347" s="416"/>
      <c r="W2347" s="416"/>
      <c r="X2347" s="485"/>
      <c r="Y2347" s="416"/>
      <c r="Z2347" s="416"/>
      <c r="AA2347" s="416"/>
      <c r="AB2347" s="416"/>
      <c r="AC2347" s="416"/>
      <c r="AD2347" s="416"/>
      <c r="AE2347" s="416"/>
      <c r="AF2347" s="416"/>
      <c r="AG2347" s="416"/>
      <c r="AH2347" s="416"/>
      <c r="AI2347" s="416"/>
      <c r="AJ2347" s="162" t="b">
        <f t="shared" si="1296"/>
        <v>0</v>
      </c>
      <c r="AK2347" s="162" t="str">
        <f t="shared" si="1297"/>
        <v>PUNO</v>
      </c>
      <c r="AL2347" s="165"/>
    </row>
    <row r="2348" spans="1:39" s="164" customFormat="1" ht="15.75" customHeight="1" x14ac:dyDescent="0.2">
      <c r="A2348" s="259"/>
      <c r="B2348" s="177"/>
      <c r="C2348" s="177"/>
      <c r="D2348" s="177"/>
      <c r="E2348" s="177">
        <v>3225</v>
      </c>
      <c r="F2348" s="265">
        <v>52</v>
      </c>
      <c r="G2348" s="265"/>
      <c r="H2348" s="16" t="s">
        <v>642</v>
      </c>
      <c r="I2348" s="485"/>
      <c r="J2348" s="485"/>
      <c r="K2348" s="485"/>
      <c r="L2348" s="485"/>
      <c r="M2348" s="485"/>
      <c r="N2348" s="485"/>
      <c r="O2348" s="485"/>
      <c r="P2348" s="307"/>
      <c r="Q2348" s="485"/>
      <c r="R2348" s="485"/>
      <c r="S2348" s="485"/>
      <c r="T2348" s="416"/>
      <c r="U2348" s="416">
        <v>2000</v>
      </c>
      <c r="V2348" s="416"/>
      <c r="W2348" s="416"/>
      <c r="X2348" s="485"/>
      <c r="Y2348" s="416"/>
      <c r="Z2348" s="416"/>
      <c r="AA2348" s="416"/>
      <c r="AB2348" s="416"/>
      <c r="AC2348" s="416"/>
      <c r="AD2348" s="416"/>
      <c r="AE2348" s="416"/>
      <c r="AF2348" s="416"/>
      <c r="AG2348" s="416"/>
      <c r="AH2348" s="416"/>
      <c r="AI2348" s="416"/>
      <c r="AJ2348" s="162" t="b">
        <f t="shared" si="1296"/>
        <v>0</v>
      </c>
      <c r="AK2348" s="162" t="str">
        <f t="shared" si="1297"/>
        <v>PUNO</v>
      </c>
      <c r="AL2348" s="165"/>
    </row>
    <row r="2349" spans="1:39" s="164" customFormat="1" ht="15.75" x14ac:dyDescent="0.2">
      <c r="A2349" s="259"/>
      <c r="B2349" s="177"/>
      <c r="C2349" s="177"/>
      <c r="D2349" s="177"/>
      <c r="E2349" s="177">
        <v>3225</v>
      </c>
      <c r="F2349" s="265">
        <v>55</v>
      </c>
      <c r="G2349" s="265" t="s">
        <v>1040</v>
      </c>
      <c r="H2349" s="16" t="s">
        <v>642</v>
      </c>
      <c r="I2349" s="485"/>
      <c r="J2349" s="178"/>
      <c r="K2349" s="178"/>
      <c r="L2349" s="178"/>
      <c r="M2349" s="178"/>
      <c r="N2349" s="178"/>
      <c r="O2349" s="178"/>
      <c r="P2349" s="307"/>
      <c r="Q2349" s="178"/>
      <c r="R2349" s="178"/>
      <c r="S2349" s="178"/>
      <c r="T2349" s="266"/>
      <c r="U2349" s="266"/>
      <c r="V2349" s="266">
        <v>0</v>
      </c>
      <c r="W2349" s="266">
        <v>0</v>
      </c>
      <c r="X2349" s="178">
        <v>0</v>
      </c>
      <c r="Y2349" s="266"/>
      <c r="Z2349" s="266"/>
      <c r="AA2349" s="266">
        <f t="shared" si="1301"/>
        <v>0</v>
      </c>
      <c r="AB2349" s="266">
        <v>0</v>
      </c>
      <c r="AC2349" s="266"/>
      <c r="AD2349" s="266" t="e">
        <f t="shared" si="1302"/>
        <v>#DIV/0!</v>
      </c>
      <c r="AE2349" s="266">
        <f t="shared" si="1294"/>
        <v>0</v>
      </c>
      <c r="AF2349" s="266">
        <v>0</v>
      </c>
      <c r="AG2349" s="266">
        <v>0</v>
      </c>
      <c r="AH2349" s="266">
        <v>0</v>
      </c>
      <c r="AI2349" s="266">
        <v>0</v>
      </c>
      <c r="AJ2349" s="162" t="b">
        <f t="shared" si="1296"/>
        <v>0</v>
      </c>
      <c r="AK2349" s="162" t="str">
        <f t="shared" si="1297"/>
        <v>PUNO</v>
      </c>
      <c r="AL2349" s="165"/>
    </row>
    <row r="2350" spans="1:39" ht="15.75" x14ac:dyDescent="0.2">
      <c r="B2350" s="177"/>
      <c r="C2350" s="177"/>
      <c r="D2350" s="177">
        <v>323</v>
      </c>
      <c r="E2350" s="177"/>
      <c r="F2350" s="265"/>
      <c r="G2350" s="265"/>
      <c r="H2350" s="16" t="s">
        <v>526</v>
      </c>
      <c r="I2350" s="178"/>
      <c r="J2350" s="178"/>
      <c r="K2350" s="178"/>
      <c r="L2350" s="178"/>
      <c r="M2350" s="178"/>
      <c r="N2350" s="178"/>
      <c r="O2350" s="178"/>
      <c r="P2350" s="307"/>
      <c r="Q2350" s="178"/>
      <c r="R2350" s="178"/>
      <c r="S2350" s="178"/>
      <c r="T2350" s="266"/>
      <c r="U2350" s="266">
        <f>SUM(U2351:U2357)</f>
        <v>11500</v>
      </c>
      <c r="V2350" s="266">
        <f>SUM(V2351:V2357)</f>
        <v>3598200</v>
      </c>
      <c r="W2350" s="266">
        <f>SUM(W2351:W2357)</f>
        <v>3596200</v>
      </c>
      <c r="X2350" s="266">
        <f>SUM(X2351:X2357)</f>
        <v>3598200</v>
      </c>
      <c r="Y2350" s="266">
        <f>SUM(Y2351:Y2357)</f>
        <v>0</v>
      </c>
      <c r="Z2350" s="266">
        <f t="shared" si="1304"/>
        <v>0</v>
      </c>
      <c r="AA2350" s="266">
        <f t="shared" si="1301"/>
        <v>-5000</v>
      </c>
      <c r="AB2350" s="266">
        <f>SUM(AB2351:AB2357)</f>
        <v>3593200</v>
      </c>
      <c r="AC2350" s="266">
        <f>SUM(AC2351:AC2357)</f>
        <v>2161685.33</v>
      </c>
      <c r="AD2350" s="266">
        <f t="shared" si="1302"/>
        <v>60.160451129912062</v>
      </c>
      <c r="AE2350" s="266">
        <f t="shared" si="1294"/>
        <v>0</v>
      </c>
      <c r="AF2350" s="266">
        <f>SUM(AF2351:AF2357)</f>
        <v>3593200</v>
      </c>
      <c r="AG2350" s="266">
        <f>SUM(AG2351:AG2357)</f>
        <v>3596200</v>
      </c>
      <c r="AH2350" s="266">
        <f>SUM(AH2351:AH2357)</f>
        <v>3597200</v>
      </c>
      <c r="AI2350" s="266">
        <f>SUM(AI2351:AI2357)</f>
        <v>3597200</v>
      </c>
      <c r="AJ2350" s="162" t="b">
        <f t="shared" si="1296"/>
        <v>1</v>
      </c>
      <c r="AK2350" s="162" t="str">
        <f t="shared" si="1297"/>
        <v>PRAZNO</v>
      </c>
      <c r="AM2350" s="164"/>
    </row>
    <row r="2351" spans="1:39" s="164" customFormat="1" ht="15.75" x14ac:dyDescent="0.2">
      <c r="A2351" s="259"/>
      <c r="B2351" s="177"/>
      <c r="C2351" s="177"/>
      <c r="D2351" s="177"/>
      <c r="E2351" s="177">
        <v>3231</v>
      </c>
      <c r="F2351" s="265">
        <v>55</v>
      </c>
      <c r="G2351" s="265"/>
      <c r="H2351" s="16" t="s">
        <v>206</v>
      </c>
      <c r="I2351" s="178"/>
      <c r="J2351" s="178"/>
      <c r="K2351" s="178"/>
      <c r="L2351" s="178"/>
      <c r="M2351" s="178"/>
      <c r="N2351" s="178"/>
      <c r="O2351" s="178"/>
      <c r="P2351" s="307"/>
      <c r="Q2351" s="178"/>
      <c r="R2351" s="178"/>
      <c r="S2351" s="178"/>
      <c r="T2351" s="266"/>
      <c r="U2351" s="266"/>
      <c r="V2351" s="266">
        <v>3000</v>
      </c>
      <c r="W2351" s="266">
        <v>3000</v>
      </c>
      <c r="X2351" s="178">
        <v>3000</v>
      </c>
      <c r="Y2351" s="266">
        <v>0</v>
      </c>
      <c r="Z2351" s="266">
        <f t="shared" si="1304"/>
        <v>0</v>
      </c>
      <c r="AA2351" s="266">
        <f t="shared" si="1301"/>
        <v>-3000</v>
      </c>
      <c r="AB2351" s="266">
        <v>0</v>
      </c>
      <c r="AC2351" s="266">
        <v>0</v>
      </c>
      <c r="AD2351" s="266"/>
      <c r="AE2351" s="266">
        <f t="shared" si="1294"/>
        <v>0</v>
      </c>
      <c r="AF2351" s="266">
        <v>0</v>
      </c>
      <c r="AG2351" s="266">
        <v>3000</v>
      </c>
      <c r="AH2351" s="266">
        <v>3000</v>
      </c>
      <c r="AI2351" s="266">
        <v>3000</v>
      </c>
      <c r="AJ2351" s="162" t="b">
        <f t="shared" si="1296"/>
        <v>0</v>
      </c>
      <c r="AK2351" s="162" t="str">
        <f t="shared" si="1297"/>
        <v>PUNO</v>
      </c>
      <c r="AL2351" s="165"/>
    </row>
    <row r="2352" spans="1:39" s="164" customFormat="1" ht="15.75" x14ac:dyDescent="0.2">
      <c r="A2352" s="259"/>
      <c r="B2352" s="177"/>
      <c r="C2352" s="177"/>
      <c r="D2352" s="177"/>
      <c r="E2352" s="177">
        <v>3232</v>
      </c>
      <c r="F2352" s="265">
        <v>52</v>
      </c>
      <c r="G2352" s="265" t="s">
        <v>1040</v>
      </c>
      <c r="H2352" s="16" t="s">
        <v>207</v>
      </c>
      <c r="I2352" s="178"/>
      <c r="J2352" s="178"/>
      <c r="K2352" s="178"/>
      <c r="L2352" s="178"/>
      <c r="M2352" s="178"/>
      <c r="N2352" s="178"/>
      <c r="O2352" s="178"/>
      <c r="P2352" s="307"/>
      <c r="Q2352" s="178"/>
      <c r="R2352" s="178"/>
      <c r="S2352" s="178"/>
      <c r="T2352" s="266"/>
      <c r="U2352" s="266">
        <v>1000</v>
      </c>
      <c r="V2352" s="266"/>
      <c r="W2352" s="266"/>
      <c r="X2352" s="178"/>
      <c r="Y2352" s="266"/>
      <c r="Z2352" s="266"/>
      <c r="AA2352" s="266"/>
      <c r="AB2352" s="266"/>
      <c r="AC2352" s="266"/>
      <c r="AD2352" s="266"/>
      <c r="AE2352" s="266"/>
      <c r="AF2352" s="266"/>
      <c r="AG2352" s="266"/>
      <c r="AH2352" s="266"/>
      <c r="AI2352" s="266"/>
      <c r="AJ2352" s="162" t="b">
        <f t="shared" si="1296"/>
        <v>0</v>
      </c>
      <c r="AK2352" s="162" t="str">
        <f t="shared" si="1297"/>
        <v>PUNO</v>
      </c>
      <c r="AL2352" s="165"/>
    </row>
    <row r="2353" spans="1:39" s="164" customFormat="1" ht="15.75" x14ac:dyDescent="0.2">
      <c r="A2353" s="259"/>
      <c r="B2353" s="177"/>
      <c r="C2353" s="177"/>
      <c r="D2353" s="177"/>
      <c r="E2353" s="177">
        <v>3232</v>
      </c>
      <c r="F2353" s="265">
        <v>55</v>
      </c>
      <c r="G2353" s="265" t="s">
        <v>1040</v>
      </c>
      <c r="H2353" s="16" t="s">
        <v>207</v>
      </c>
      <c r="I2353" s="178"/>
      <c r="J2353" s="178"/>
      <c r="K2353" s="178"/>
      <c r="L2353" s="178"/>
      <c r="M2353" s="178"/>
      <c r="N2353" s="178"/>
      <c r="O2353" s="178"/>
      <c r="P2353" s="307"/>
      <c r="Q2353" s="178"/>
      <c r="R2353" s="178"/>
      <c r="S2353" s="178"/>
      <c r="T2353" s="266"/>
      <c r="U2353" s="266"/>
      <c r="V2353" s="266">
        <v>1000</v>
      </c>
      <c r="W2353" s="266">
        <v>1000</v>
      </c>
      <c r="X2353" s="178">
        <v>1000</v>
      </c>
      <c r="Y2353" s="266">
        <v>0</v>
      </c>
      <c r="Z2353" s="266">
        <f t="shared" si="1304"/>
        <v>0</v>
      </c>
      <c r="AA2353" s="266">
        <f t="shared" si="1301"/>
        <v>1000</v>
      </c>
      <c r="AB2353" s="266">
        <v>2000</v>
      </c>
      <c r="AC2353" s="266">
        <v>0</v>
      </c>
      <c r="AD2353" s="266">
        <f t="shared" si="1302"/>
        <v>0</v>
      </c>
      <c r="AE2353" s="266">
        <f t="shared" si="1294"/>
        <v>0</v>
      </c>
      <c r="AF2353" s="266">
        <v>2000</v>
      </c>
      <c r="AG2353" s="266">
        <v>1000</v>
      </c>
      <c r="AH2353" s="266">
        <v>1000</v>
      </c>
      <c r="AI2353" s="266">
        <v>1000</v>
      </c>
      <c r="AJ2353" s="162" t="b">
        <f t="shared" si="1296"/>
        <v>0</v>
      </c>
      <c r="AK2353" s="162" t="str">
        <f t="shared" si="1297"/>
        <v>PUNO</v>
      </c>
      <c r="AL2353" s="165"/>
    </row>
    <row r="2354" spans="1:39" s="164" customFormat="1" ht="15.75" x14ac:dyDescent="0.2">
      <c r="A2354" s="259"/>
      <c r="B2354" s="177"/>
      <c r="C2354" s="177"/>
      <c r="D2354" s="177"/>
      <c r="E2354" s="177">
        <v>3235</v>
      </c>
      <c r="F2354" s="265">
        <v>52</v>
      </c>
      <c r="G2354" s="265"/>
      <c r="H2354" s="16" t="s">
        <v>640</v>
      </c>
      <c r="I2354" s="178"/>
      <c r="J2354" s="178"/>
      <c r="K2354" s="178"/>
      <c r="L2354" s="178"/>
      <c r="M2354" s="178"/>
      <c r="N2354" s="178"/>
      <c r="O2354" s="178"/>
      <c r="P2354" s="307"/>
      <c r="Q2354" s="178"/>
      <c r="R2354" s="178"/>
      <c r="S2354" s="178"/>
      <c r="T2354" s="266"/>
      <c r="U2354" s="266"/>
      <c r="V2354" s="266">
        <v>3577200</v>
      </c>
      <c r="W2354" s="266">
        <v>3577200</v>
      </c>
      <c r="X2354" s="178">
        <v>3577200</v>
      </c>
      <c r="Y2354" s="266">
        <v>0</v>
      </c>
      <c r="Z2354" s="266">
        <f t="shared" si="1304"/>
        <v>0</v>
      </c>
      <c r="AA2354" s="266">
        <f t="shared" si="1301"/>
        <v>0</v>
      </c>
      <c r="AB2354" s="266">
        <v>3577200</v>
      </c>
      <c r="AC2354" s="266">
        <v>2161685.33</v>
      </c>
      <c r="AD2354" s="266">
        <f t="shared" si="1302"/>
        <v>60.429535111260201</v>
      </c>
      <c r="AE2354" s="266">
        <f t="shared" si="1294"/>
        <v>0</v>
      </c>
      <c r="AF2354" s="266">
        <v>3577200</v>
      </c>
      <c r="AG2354" s="178">
        <v>3577200</v>
      </c>
      <c r="AH2354" s="266">
        <v>3577200</v>
      </c>
      <c r="AI2354" s="266">
        <v>3577200</v>
      </c>
      <c r="AJ2354" s="162" t="b">
        <f t="shared" si="1296"/>
        <v>0</v>
      </c>
      <c r="AK2354" s="162" t="str">
        <f t="shared" si="1297"/>
        <v>PUNO</v>
      </c>
      <c r="AL2354" s="165"/>
    </row>
    <row r="2355" spans="1:39" s="164" customFormat="1" ht="15.75" x14ac:dyDescent="0.2">
      <c r="A2355" s="259"/>
      <c r="B2355" s="177"/>
      <c r="C2355" s="177"/>
      <c r="D2355" s="177"/>
      <c r="E2355" s="177">
        <v>3237</v>
      </c>
      <c r="F2355" s="265">
        <v>55</v>
      </c>
      <c r="G2355" s="265" t="s">
        <v>1040</v>
      </c>
      <c r="H2355" s="16" t="s">
        <v>477</v>
      </c>
      <c r="I2355" s="178"/>
      <c r="J2355" s="178"/>
      <c r="K2355" s="178"/>
      <c r="L2355" s="178"/>
      <c r="M2355" s="178"/>
      <c r="N2355" s="178"/>
      <c r="O2355" s="178"/>
      <c r="P2355" s="307"/>
      <c r="Q2355" s="178"/>
      <c r="R2355" s="178"/>
      <c r="S2355" s="178"/>
      <c r="T2355" s="266"/>
      <c r="U2355" s="266"/>
      <c r="V2355" s="266">
        <v>2000</v>
      </c>
      <c r="W2355" s="266">
        <v>0</v>
      </c>
      <c r="X2355" s="178">
        <v>2000</v>
      </c>
      <c r="Y2355" s="266">
        <v>0</v>
      </c>
      <c r="Z2355" s="266">
        <f t="shared" si="1304"/>
        <v>0</v>
      </c>
      <c r="AA2355" s="266">
        <f t="shared" si="1301"/>
        <v>0</v>
      </c>
      <c r="AB2355" s="266">
        <v>2000</v>
      </c>
      <c r="AC2355" s="266">
        <v>0</v>
      </c>
      <c r="AD2355" s="266">
        <f t="shared" si="1302"/>
        <v>0</v>
      </c>
      <c r="AE2355" s="266">
        <f t="shared" si="1294"/>
        <v>0</v>
      </c>
      <c r="AF2355" s="266">
        <v>2000</v>
      </c>
      <c r="AG2355" s="266">
        <v>0</v>
      </c>
      <c r="AH2355" s="266">
        <v>1000</v>
      </c>
      <c r="AI2355" s="266">
        <v>1000</v>
      </c>
      <c r="AJ2355" s="162" t="b">
        <f t="shared" si="1296"/>
        <v>0</v>
      </c>
      <c r="AK2355" s="162" t="str">
        <f t="shared" si="1297"/>
        <v>PUNO</v>
      </c>
      <c r="AL2355" s="165"/>
    </row>
    <row r="2356" spans="1:39" s="164" customFormat="1" ht="15.75" x14ac:dyDescent="0.2">
      <c r="A2356" s="259"/>
      <c r="B2356" s="177"/>
      <c r="C2356" s="177"/>
      <c r="D2356" s="177"/>
      <c r="E2356" s="177">
        <v>3239</v>
      </c>
      <c r="F2356" s="265">
        <v>52</v>
      </c>
      <c r="G2356" s="265" t="s">
        <v>1040</v>
      </c>
      <c r="H2356" s="16" t="s">
        <v>529</v>
      </c>
      <c r="I2356" s="178"/>
      <c r="J2356" s="178"/>
      <c r="K2356" s="178"/>
      <c r="L2356" s="178"/>
      <c r="M2356" s="178"/>
      <c r="N2356" s="178"/>
      <c r="O2356" s="178"/>
      <c r="P2356" s="307"/>
      <c r="Q2356" s="178"/>
      <c r="R2356" s="178"/>
      <c r="S2356" s="178"/>
      <c r="T2356" s="266"/>
      <c r="U2356" s="266">
        <v>10500</v>
      </c>
      <c r="V2356" s="266"/>
      <c r="W2356" s="266"/>
      <c r="X2356" s="178"/>
      <c r="Y2356" s="266"/>
      <c r="Z2356" s="266"/>
      <c r="AA2356" s="266"/>
      <c r="AB2356" s="266"/>
      <c r="AC2356" s="266"/>
      <c r="AD2356" s="266"/>
      <c r="AE2356" s="266"/>
      <c r="AF2356" s="266"/>
      <c r="AG2356" s="266"/>
      <c r="AH2356" s="266"/>
      <c r="AI2356" s="266"/>
      <c r="AJ2356" s="162" t="b">
        <f t="shared" si="1296"/>
        <v>0</v>
      </c>
      <c r="AK2356" s="162" t="str">
        <f t="shared" si="1297"/>
        <v>PUNO</v>
      </c>
      <c r="AL2356" s="165"/>
    </row>
    <row r="2357" spans="1:39" s="164" customFormat="1" ht="15.75" x14ac:dyDescent="0.2">
      <c r="A2357" s="259"/>
      <c r="B2357" s="177"/>
      <c r="C2357" s="177"/>
      <c r="D2357" s="177"/>
      <c r="E2357" s="177">
        <v>3239</v>
      </c>
      <c r="F2357" s="265">
        <v>55</v>
      </c>
      <c r="G2357" s="265" t="s">
        <v>1040</v>
      </c>
      <c r="H2357" s="16" t="s">
        <v>529</v>
      </c>
      <c r="I2357" s="178"/>
      <c r="J2357" s="178"/>
      <c r="K2357" s="178"/>
      <c r="L2357" s="178"/>
      <c r="M2357" s="178"/>
      <c r="N2357" s="178"/>
      <c r="O2357" s="178"/>
      <c r="P2357" s="307"/>
      <c r="Q2357" s="178"/>
      <c r="R2357" s="178"/>
      <c r="S2357" s="178"/>
      <c r="T2357" s="266"/>
      <c r="U2357" s="266"/>
      <c r="V2357" s="266">
        <v>15000</v>
      </c>
      <c r="W2357" s="266">
        <v>15000</v>
      </c>
      <c r="X2357" s="178">
        <v>15000</v>
      </c>
      <c r="Y2357" s="266">
        <v>0</v>
      </c>
      <c r="Z2357" s="266">
        <f t="shared" si="1304"/>
        <v>0</v>
      </c>
      <c r="AA2357" s="266">
        <f t="shared" si="1301"/>
        <v>-3000</v>
      </c>
      <c r="AB2357" s="266">
        <v>12000</v>
      </c>
      <c r="AC2357" s="266">
        <v>0</v>
      </c>
      <c r="AD2357" s="266">
        <f t="shared" si="1302"/>
        <v>0</v>
      </c>
      <c r="AE2357" s="266">
        <f t="shared" si="1294"/>
        <v>0</v>
      </c>
      <c r="AF2357" s="266">
        <v>12000</v>
      </c>
      <c r="AG2357" s="266">
        <v>15000</v>
      </c>
      <c r="AH2357" s="266">
        <v>15000</v>
      </c>
      <c r="AI2357" s="266">
        <v>15000</v>
      </c>
      <c r="AJ2357" s="162" t="b">
        <f t="shared" si="1296"/>
        <v>0</v>
      </c>
      <c r="AK2357" s="162" t="str">
        <f t="shared" si="1297"/>
        <v>PUNO</v>
      </c>
      <c r="AL2357" s="165"/>
    </row>
    <row r="2358" spans="1:39" ht="15.75" x14ac:dyDescent="0.2">
      <c r="B2358" s="177"/>
      <c r="C2358" s="177"/>
      <c r="D2358" s="177">
        <v>324</v>
      </c>
      <c r="E2358" s="177"/>
      <c r="F2358" s="265"/>
      <c r="G2358" s="265"/>
      <c r="H2358" s="16" t="s">
        <v>530</v>
      </c>
      <c r="I2358" s="266"/>
      <c r="J2358" s="266"/>
      <c r="K2358" s="266"/>
      <c r="L2358" s="266"/>
      <c r="M2358" s="266"/>
      <c r="N2358" s="266"/>
      <c r="O2358" s="178"/>
      <c r="P2358" s="307"/>
      <c r="Q2358" s="178"/>
      <c r="R2358" s="178"/>
      <c r="S2358" s="178"/>
      <c r="T2358" s="266"/>
      <c r="U2358" s="266">
        <f>U2359</f>
        <v>680</v>
      </c>
      <c r="V2358" s="266">
        <f>V2360</f>
        <v>700</v>
      </c>
      <c r="W2358" s="266">
        <f>W2360</f>
        <v>700</v>
      </c>
      <c r="X2358" s="266">
        <f>X2360</f>
        <v>700</v>
      </c>
      <c r="Y2358" s="266">
        <f>Y2360</f>
        <v>0</v>
      </c>
      <c r="Z2358" s="266">
        <f t="shared" si="1304"/>
        <v>0</v>
      </c>
      <c r="AA2358" s="266">
        <f t="shared" si="1301"/>
        <v>-200</v>
      </c>
      <c r="AB2358" s="266">
        <f>AB2360</f>
        <v>500</v>
      </c>
      <c r="AC2358" s="266">
        <f>AC2360</f>
        <v>0</v>
      </c>
      <c r="AD2358" s="266">
        <f t="shared" si="1302"/>
        <v>0</v>
      </c>
      <c r="AE2358" s="266">
        <f t="shared" si="1294"/>
        <v>0</v>
      </c>
      <c r="AF2358" s="266">
        <f>AF2360</f>
        <v>500</v>
      </c>
      <c r="AG2358" s="266">
        <f>AG2360</f>
        <v>500</v>
      </c>
      <c r="AH2358" s="266">
        <f>AH2360</f>
        <v>500</v>
      </c>
      <c r="AI2358" s="266">
        <f>AI2360</f>
        <v>500</v>
      </c>
      <c r="AJ2358" s="162" t="b">
        <f t="shared" si="1296"/>
        <v>1</v>
      </c>
      <c r="AK2358" s="162" t="str">
        <f t="shared" si="1297"/>
        <v>PRAZNO</v>
      </c>
      <c r="AM2358" s="164"/>
    </row>
    <row r="2359" spans="1:39" ht="15.75" x14ac:dyDescent="0.2">
      <c r="B2359" s="177"/>
      <c r="C2359" s="177"/>
      <c r="D2359" s="177"/>
      <c r="E2359" s="177">
        <v>3241</v>
      </c>
      <c r="F2359" s="265">
        <v>52</v>
      </c>
      <c r="G2359" s="265"/>
      <c r="H2359" s="16" t="s">
        <v>530</v>
      </c>
      <c r="I2359" s="266"/>
      <c r="J2359" s="266"/>
      <c r="K2359" s="266"/>
      <c r="L2359" s="266"/>
      <c r="M2359" s="266"/>
      <c r="N2359" s="266"/>
      <c r="O2359" s="178"/>
      <c r="P2359" s="307"/>
      <c r="Q2359" s="178"/>
      <c r="R2359" s="178"/>
      <c r="S2359" s="178"/>
      <c r="T2359" s="266"/>
      <c r="U2359" s="266">
        <v>680</v>
      </c>
      <c r="V2359" s="266"/>
      <c r="W2359" s="266"/>
      <c r="X2359" s="266"/>
      <c r="Y2359" s="266"/>
      <c r="Z2359" s="266"/>
      <c r="AA2359" s="266"/>
      <c r="AB2359" s="266"/>
      <c r="AC2359" s="266"/>
      <c r="AD2359" s="266"/>
      <c r="AE2359" s="266"/>
      <c r="AF2359" s="266"/>
      <c r="AG2359" s="266"/>
      <c r="AH2359" s="266"/>
      <c r="AI2359" s="266"/>
      <c r="AJ2359" s="162" t="b">
        <f t="shared" si="1296"/>
        <v>0</v>
      </c>
      <c r="AK2359" s="162" t="str">
        <f t="shared" si="1297"/>
        <v>PUNO</v>
      </c>
      <c r="AM2359" s="164"/>
    </row>
    <row r="2360" spans="1:39" s="164" customFormat="1" ht="15.75" x14ac:dyDescent="0.2">
      <c r="A2360" s="259"/>
      <c r="B2360" s="177"/>
      <c r="C2360" s="177"/>
      <c r="D2360" s="177"/>
      <c r="E2360" s="177">
        <v>3241</v>
      </c>
      <c r="F2360" s="265">
        <v>55</v>
      </c>
      <c r="G2360" s="265"/>
      <c r="H2360" s="16" t="s">
        <v>530</v>
      </c>
      <c r="I2360" s="178"/>
      <c r="J2360" s="178"/>
      <c r="K2360" s="178"/>
      <c r="L2360" s="178"/>
      <c r="M2360" s="178"/>
      <c r="N2360" s="178"/>
      <c r="O2360" s="178"/>
      <c r="P2360" s="307"/>
      <c r="Q2360" s="178"/>
      <c r="R2360" s="178"/>
      <c r="S2360" s="178"/>
      <c r="T2360" s="266"/>
      <c r="U2360" s="266"/>
      <c r="V2360" s="266">
        <v>700</v>
      </c>
      <c r="W2360" s="266">
        <v>700</v>
      </c>
      <c r="X2360" s="178">
        <v>700</v>
      </c>
      <c r="Y2360" s="266">
        <v>0</v>
      </c>
      <c r="Z2360" s="266">
        <f t="shared" si="1304"/>
        <v>0</v>
      </c>
      <c r="AA2360" s="266">
        <f t="shared" si="1301"/>
        <v>-200</v>
      </c>
      <c r="AB2360" s="266">
        <v>500</v>
      </c>
      <c r="AC2360" s="266">
        <v>0</v>
      </c>
      <c r="AD2360" s="266">
        <f t="shared" si="1302"/>
        <v>0</v>
      </c>
      <c r="AE2360" s="266">
        <f t="shared" si="1294"/>
        <v>0</v>
      </c>
      <c r="AF2360" s="266">
        <v>500</v>
      </c>
      <c r="AG2360" s="266">
        <v>500</v>
      </c>
      <c r="AH2360" s="266">
        <v>500</v>
      </c>
      <c r="AI2360" s="266">
        <v>500</v>
      </c>
      <c r="AJ2360" s="162" t="b">
        <f t="shared" si="1296"/>
        <v>0</v>
      </c>
      <c r="AK2360" s="162" t="str">
        <f t="shared" si="1297"/>
        <v>PUNO</v>
      </c>
      <c r="AL2360" s="165"/>
    </row>
    <row r="2361" spans="1:39" ht="15.75" x14ac:dyDescent="0.2">
      <c r="B2361" s="177"/>
      <c r="C2361" s="177"/>
      <c r="D2361" s="177">
        <v>329</v>
      </c>
      <c r="E2361" s="177"/>
      <c r="F2361" s="265"/>
      <c r="G2361" s="265"/>
      <c r="H2361" s="16" t="s">
        <v>531</v>
      </c>
      <c r="I2361" s="178"/>
      <c r="J2361" s="178"/>
      <c r="K2361" s="178"/>
      <c r="L2361" s="178"/>
      <c r="M2361" s="178"/>
      <c r="N2361" s="178"/>
      <c r="O2361" s="178"/>
      <c r="P2361" s="307"/>
      <c r="Q2361" s="178"/>
      <c r="R2361" s="178"/>
      <c r="S2361" s="178"/>
      <c r="T2361" s="266"/>
      <c r="U2361" s="266">
        <f>U2362</f>
        <v>2248.2399999999998</v>
      </c>
      <c r="V2361" s="266">
        <f>V2363</f>
        <v>7000</v>
      </c>
      <c r="W2361" s="266">
        <f>W2363</f>
        <v>10000</v>
      </c>
      <c r="X2361" s="266">
        <f>X2363</f>
        <v>10000</v>
      </c>
      <c r="Y2361" s="266">
        <f>Y2363</f>
        <v>0</v>
      </c>
      <c r="Z2361" s="266">
        <f t="shared" si="1304"/>
        <v>0</v>
      </c>
      <c r="AA2361" s="266">
        <f t="shared" si="1301"/>
        <v>0</v>
      </c>
      <c r="AB2361" s="266">
        <f>AB2363</f>
        <v>7000</v>
      </c>
      <c r="AC2361" s="266">
        <f>AC2363</f>
        <v>5000</v>
      </c>
      <c r="AD2361" s="266">
        <f t="shared" si="1302"/>
        <v>71.428571428571431</v>
      </c>
      <c r="AE2361" s="266">
        <f t="shared" si="1294"/>
        <v>4000</v>
      </c>
      <c r="AF2361" s="266">
        <f>AF2363</f>
        <v>11000</v>
      </c>
      <c r="AG2361" s="266">
        <f>AG2363</f>
        <v>7000</v>
      </c>
      <c r="AH2361" s="266">
        <f>AH2363</f>
        <v>7000</v>
      </c>
      <c r="AI2361" s="266">
        <f>AI2363</f>
        <v>7000</v>
      </c>
      <c r="AJ2361" s="162" t="b">
        <f t="shared" si="1296"/>
        <v>1</v>
      </c>
      <c r="AK2361" s="162" t="str">
        <f t="shared" si="1297"/>
        <v>PRAZNO</v>
      </c>
      <c r="AM2361" s="164"/>
    </row>
    <row r="2362" spans="1:39" ht="15.75" x14ac:dyDescent="0.2">
      <c r="B2362" s="177"/>
      <c r="C2362" s="177"/>
      <c r="D2362" s="177"/>
      <c r="E2362" s="177">
        <v>3299</v>
      </c>
      <c r="F2362" s="265">
        <v>52</v>
      </c>
      <c r="G2362" s="265" t="s">
        <v>1040</v>
      </c>
      <c r="H2362" s="16" t="s">
        <v>531</v>
      </c>
      <c r="I2362" s="178"/>
      <c r="J2362" s="178"/>
      <c r="K2362" s="178"/>
      <c r="L2362" s="178"/>
      <c r="M2362" s="178"/>
      <c r="N2362" s="178"/>
      <c r="O2362" s="178"/>
      <c r="P2362" s="307"/>
      <c r="Q2362" s="178"/>
      <c r="R2362" s="178"/>
      <c r="S2362" s="178"/>
      <c r="T2362" s="266"/>
      <c r="U2362" s="266">
        <v>2248.2399999999998</v>
      </c>
      <c r="V2362" s="266"/>
      <c r="W2362" s="266"/>
      <c r="X2362" s="266"/>
      <c r="Y2362" s="266"/>
      <c r="Z2362" s="266"/>
      <c r="AA2362" s="266"/>
      <c r="AB2362" s="266"/>
      <c r="AC2362" s="266"/>
      <c r="AD2362" s="266"/>
      <c r="AE2362" s="266"/>
      <c r="AF2362" s="266"/>
      <c r="AG2362" s="266"/>
      <c r="AH2362" s="266"/>
      <c r="AI2362" s="266"/>
      <c r="AJ2362" s="162" t="b">
        <f t="shared" si="1296"/>
        <v>0</v>
      </c>
      <c r="AK2362" s="162" t="str">
        <f t="shared" si="1297"/>
        <v>PUNO</v>
      </c>
      <c r="AM2362" s="164"/>
    </row>
    <row r="2363" spans="1:39" s="164" customFormat="1" ht="15.75" x14ac:dyDescent="0.2">
      <c r="A2363" s="259"/>
      <c r="B2363" s="177"/>
      <c r="C2363" s="177"/>
      <c r="D2363" s="177"/>
      <c r="E2363" s="177">
        <v>3299</v>
      </c>
      <c r="F2363" s="265">
        <v>55</v>
      </c>
      <c r="G2363" s="265" t="s">
        <v>1040</v>
      </c>
      <c r="H2363" s="16" t="s">
        <v>531</v>
      </c>
      <c r="I2363" s="178"/>
      <c r="J2363" s="178"/>
      <c r="K2363" s="178"/>
      <c r="L2363" s="178"/>
      <c r="M2363" s="178"/>
      <c r="N2363" s="178"/>
      <c r="O2363" s="178"/>
      <c r="P2363" s="307"/>
      <c r="Q2363" s="178"/>
      <c r="R2363" s="178"/>
      <c r="S2363" s="178"/>
      <c r="T2363" s="266"/>
      <c r="U2363" s="266"/>
      <c r="V2363" s="266">
        <v>7000</v>
      </c>
      <c r="W2363" s="266">
        <v>10000</v>
      </c>
      <c r="X2363" s="178">
        <v>10000</v>
      </c>
      <c r="Y2363" s="266">
        <v>0</v>
      </c>
      <c r="Z2363" s="266">
        <f t="shared" si="1304"/>
        <v>0</v>
      </c>
      <c r="AA2363" s="266">
        <f t="shared" si="1301"/>
        <v>0</v>
      </c>
      <c r="AB2363" s="266">
        <v>7000</v>
      </c>
      <c r="AC2363" s="266">
        <v>5000</v>
      </c>
      <c r="AD2363" s="266">
        <f t="shared" si="1302"/>
        <v>71.428571428571431</v>
      </c>
      <c r="AE2363" s="266">
        <f t="shared" si="1294"/>
        <v>4000</v>
      </c>
      <c r="AF2363" s="266">
        <v>11000</v>
      </c>
      <c r="AG2363" s="266">
        <v>7000</v>
      </c>
      <c r="AH2363" s="266">
        <v>7000</v>
      </c>
      <c r="AI2363" s="266">
        <v>7000</v>
      </c>
      <c r="AJ2363" s="162" t="b">
        <f t="shared" si="1296"/>
        <v>0</v>
      </c>
      <c r="AK2363" s="162" t="str">
        <f t="shared" si="1297"/>
        <v>PUNO</v>
      </c>
      <c r="AL2363" s="165"/>
    </row>
    <row r="2364" spans="1:39" s="164" customFormat="1" ht="47.25" x14ac:dyDescent="0.2">
      <c r="A2364" s="259"/>
      <c r="B2364" s="209"/>
      <c r="C2364" s="209"/>
      <c r="D2364" s="209"/>
      <c r="E2364" s="209"/>
      <c r="F2364" s="219"/>
      <c r="G2364" s="219"/>
      <c r="H2364" s="12" t="s">
        <v>862</v>
      </c>
      <c r="I2364" s="242"/>
      <c r="J2364" s="242"/>
      <c r="K2364" s="242"/>
      <c r="L2364" s="242"/>
      <c r="M2364" s="242"/>
      <c r="N2364" s="242"/>
      <c r="O2364" s="242"/>
      <c r="P2364" s="205"/>
      <c r="Q2364" s="242"/>
      <c r="R2364" s="242"/>
      <c r="S2364" s="242"/>
      <c r="T2364" s="243"/>
      <c r="U2364" s="243"/>
      <c r="V2364" s="243">
        <f>V2366</f>
        <v>0</v>
      </c>
      <c r="W2364" s="243"/>
      <c r="X2364" s="242"/>
      <c r="Y2364" s="305">
        <f>Y2366</f>
        <v>0</v>
      </c>
      <c r="Z2364" s="305"/>
      <c r="AA2364" s="243">
        <f t="shared" si="1301"/>
        <v>60000</v>
      </c>
      <c r="AB2364" s="305">
        <f>AB2366</f>
        <v>60000</v>
      </c>
      <c r="AC2364" s="305">
        <f>AC2366</f>
        <v>0</v>
      </c>
      <c r="AD2364" s="305">
        <f t="shared" si="1302"/>
        <v>0</v>
      </c>
      <c r="AE2364" s="305">
        <f t="shared" si="1294"/>
        <v>49000</v>
      </c>
      <c r="AF2364" s="305">
        <f>AF2366</f>
        <v>109000</v>
      </c>
      <c r="AG2364" s="305">
        <f>AG2366</f>
        <v>60000</v>
      </c>
      <c r="AH2364" s="305">
        <f>AH2366</f>
        <v>60000</v>
      </c>
      <c r="AI2364" s="305">
        <f>AI2366</f>
        <v>60000</v>
      </c>
      <c r="AJ2364" s="162" t="b">
        <f t="shared" si="1296"/>
        <v>1</v>
      </c>
      <c r="AK2364" s="162" t="str">
        <f t="shared" si="1297"/>
        <v>PRAZNO</v>
      </c>
      <c r="AL2364" s="165"/>
    </row>
    <row r="2365" spans="1:39" s="164" customFormat="1" ht="15.75" x14ac:dyDescent="0.2">
      <c r="A2365" s="259"/>
      <c r="B2365" s="177"/>
      <c r="C2365" s="177"/>
      <c r="D2365" s="177"/>
      <c r="E2365" s="177"/>
      <c r="F2365" s="265"/>
      <c r="G2365" s="265"/>
      <c r="H2365" s="441" t="s">
        <v>824</v>
      </c>
      <c r="I2365" s="178"/>
      <c r="J2365" s="178"/>
      <c r="K2365" s="178"/>
      <c r="L2365" s="178"/>
      <c r="M2365" s="178"/>
      <c r="N2365" s="178"/>
      <c r="O2365" s="178"/>
      <c r="P2365" s="307"/>
      <c r="Q2365" s="178"/>
      <c r="R2365" s="178"/>
      <c r="S2365" s="178"/>
      <c r="T2365" s="266"/>
      <c r="U2365" s="266"/>
      <c r="V2365" s="266"/>
      <c r="W2365" s="266"/>
      <c r="X2365" s="178"/>
      <c r="Y2365" s="430"/>
      <c r="Z2365" s="430"/>
      <c r="AA2365" s="266">
        <f t="shared" si="1301"/>
        <v>60000</v>
      </c>
      <c r="AB2365" s="430">
        <f t="shared" ref="AB2365:AI2368" si="1305">AB2366</f>
        <v>60000</v>
      </c>
      <c r="AC2365" s="430">
        <f t="shared" si="1305"/>
        <v>0</v>
      </c>
      <c r="AD2365" s="430">
        <f t="shared" si="1302"/>
        <v>0</v>
      </c>
      <c r="AE2365" s="430">
        <f t="shared" si="1294"/>
        <v>49000</v>
      </c>
      <c r="AF2365" s="430">
        <f t="shared" si="1305"/>
        <v>109000</v>
      </c>
      <c r="AG2365" s="430">
        <f t="shared" si="1305"/>
        <v>60000</v>
      </c>
      <c r="AH2365" s="430">
        <f t="shared" si="1305"/>
        <v>60000</v>
      </c>
      <c r="AI2365" s="430">
        <f t="shared" si="1305"/>
        <v>60000</v>
      </c>
      <c r="AJ2365" s="162" t="b">
        <f t="shared" si="1296"/>
        <v>1</v>
      </c>
      <c r="AK2365" s="162" t="str">
        <f t="shared" si="1297"/>
        <v>PRAZNO</v>
      </c>
      <c r="AL2365" s="165"/>
    </row>
    <row r="2366" spans="1:39" s="164" customFormat="1" ht="15.75" x14ac:dyDescent="0.2">
      <c r="A2366" s="259"/>
      <c r="B2366" s="172">
        <v>3</v>
      </c>
      <c r="C2366" s="172"/>
      <c r="D2366" s="172"/>
      <c r="E2366" s="172"/>
      <c r="F2366" s="220"/>
      <c r="G2366" s="220"/>
      <c r="H2366" s="14" t="s">
        <v>524</v>
      </c>
      <c r="I2366" s="184"/>
      <c r="J2366" s="184"/>
      <c r="K2366" s="184"/>
      <c r="L2366" s="184"/>
      <c r="M2366" s="184"/>
      <c r="N2366" s="184"/>
      <c r="O2366" s="184"/>
      <c r="P2366" s="55"/>
      <c r="Q2366" s="184"/>
      <c r="R2366" s="184"/>
      <c r="S2366" s="184"/>
      <c r="T2366" s="185"/>
      <c r="U2366" s="185"/>
      <c r="V2366" s="185">
        <f>V2367</f>
        <v>0</v>
      </c>
      <c r="W2366" s="185"/>
      <c r="X2366" s="184"/>
      <c r="Y2366" s="185">
        <f>Y2367</f>
        <v>0</v>
      </c>
      <c r="Z2366" s="185"/>
      <c r="AA2366" s="185">
        <f t="shared" si="1301"/>
        <v>60000</v>
      </c>
      <c r="AB2366" s="185">
        <f t="shared" si="1305"/>
        <v>60000</v>
      </c>
      <c r="AC2366" s="185">
        <f t="shared" si="1305"/>
        <v>0</v>
      </c>
      <c r="AD2366" s="185">
        <f t="shared" si="1302"/>
        <v>0</v>
      </c>
      <c r="AE2366" s="185">
        <f t="shared" si="1294"/>
        <v>49000</v>
      </c>
      <c r="AF2366" s="185">
        <f t="shared" si="1305"/>
        <v>109000</v>
      </c>
      <c r="AG2366" s="185">
        <f t="shared" si="1305"/>
        <v>60000</v>
      </c>
      <c r="AH2366" s="185">
        <f t="shared" si="1305"/>
        <v>60000</v>
      </c>
      <c r="AI2366" s="185">
        <f t="shared" si="1305"/>
        <v>60000</v>
      </c>
      <c r="AJ2366" s="162" t="b">
        <f t="shared" si="1296"/>
        <v>1</v>
      </c>
      <c r="AK2366" s="162" t="str">
        <f t="shared" si="1297"/>
        <v>PRAZNO</v>
      </c>
      <c r="AL2366" s="165"/>
    </row>
    <row r="2367" spans="1:39" s="164" customFormat="1" ht="15.75" x14ac:dyDescent="0.2">
      <c r="A2367" s="259"/>
      <c r="B2367" s="177"/>
      <c r="C2367" s="177">
        <v>32</v>
      </c>
      <c r="D2367" s="177"/>
      <c r="E2367" s="177"/>
      <c r="F2367" s="265"/>
      <c r="G2367" s="265"/>
      <c r="H2367" s="16" t="s">
        <v>525</v>
      </c>
      <c r="I2367" s="178"/>
      <c r="J2367" s="178"/>
      <c r="K2367" s="178"/>
      <c r="L2367" s="178"/>
      <c r="M2367" s="178"/>
      <c r="N2367" s="178"/>
      <c r="O2367" s="178"/>
      <c r="P2367" s="307"/>
      <c r="Q2367" s="178"/>
      <c r="R2367" s="178"/>
      <c r="S2367" s="178"/>
      <c r="T2367" s="266"/>
      <c r="U2367" s="266"/>
      <c r="V2367" s="266">
        <f>V2368</f>
        <v>0</v>
      </c>
      <c r="W2367" s="266"/>
      <c r="X2367" s="178"/>
      <c r="Y2367" s="266">
        <f>Y2368</f>
        <v>0</v>
      </c>
      <c r="Z2367" s="266"/>
      <c r="AA2367" s="266">
        <f t="shared" si="1301"/>
        <v>60000</v>
      </c>
      <c r="AB2367" s="266">
        <f t="shared" si="1305"/>
        <v>60000</v>
      </c>
      <c r="AC2367" s="266">
        <f t="shared" si="1305"/>
        <v>0</v>
      </c>
      <c r="AD2367" s="266">
        <f t="shared" si="1302"/>
        <v>0</v>
      </c>
      <c r="AE2367" s="266">
        <f t="shared" si="1294"/>
        <v>49000</v>
      </c>
      <c r="AF2367" s="266">
        <f t="shared" si="1305"/>
        <v>109000</v>
      </c>
      <c r="AG2367" s="266">
        <f t="shared" si="1305"/>
        <v>60000</v>
      </c>
      <c r="AH2367" s="266">
        <f t="shared" si="1305"/>
        <v>60000</v>
      </c>
      <c r="AI2367" s="266">
        <f t="shared" si="1305"/>
        <v>60000</v>
      </c>
      <c r="AJ2367" s="162" t="b">
        <f t="shared" si="1296"/>
        <v>1</v>
      </c>
      <c r="AK2367" s="162" t="str">
        <f t="shared" si="1297"/>
        <v>PRAZNO</v>
      </c>
      <c r="AL2367" s="165"/>
    </row>
    <row r="2368" spans="1:39" s="164" customFormat="1" ht="15.75" x14ac:dyDescent="0.2">
      <c r="A2368" s="259"/>
      <c r="B2368" s="177"/>
      <c r="C2368" s="177"/>
      <c r="D2368" s="177">
        <v>321</v>
      </c>
      <c r="E2368" s="177"/>
      <c r="F2368" s="265"/>
      <c r="G2368" s="265"/>
      <c r="H2368" s="16" t="s">
        <v>564</v>
      </c>
      <c r="I2368" s="178"/>
      <c r="J2368" s="178"/>
      <c r="K2368" s="178"/>
      <c r="L2368" s="178"/>
      <c r="M2368" s="178"/>
      <c r="N2368" s="178"/>
      <c r="O2368" s="178"/>
      <c r="P2368" s="307"/>
      <c r="Q2368" s="178"/>
      <c r="R2368" s="178"/>
      <c r="S2368" s="178"/>
      <c r="T2368" s="266"/>
      <c r="U2368" s="266"/>
      <c r="V2368" s="266">
        <f>V2369</f>
        <v>0</v>
      </c>
      <c r="W2368" s="266"/>
      <c r="X2368" s="178"/>
      <c r="Y2368" s="266">
        <f>Y2369</f>
        <v>0</v>
      </c>
      <c r="Z2368" s="266"/>
      <c r="AA2368" s="266">
        <f t="shared" si="1301"/>
        <v>60000</v>
      </c>
      <c r="AB2368" s="266">
        <f t="shared" si="1305"/>
        <v>60000</v>
      </c>
      <c r="AC2368" s="266">
        <f t="shared" si="1305"/>
        <v>0</v>
      </c>
      <c r="AD2368" s="266">
        <f t="shared" si="1302"/>
        <v>0</v>
      </c>
      <c r="AE2368" s="266">
        <f t="shared" si="1294"/>
        <v>49000</v>
      </c>
      <c r="AF2368" s="266">
        <f t="shared" si="1305"/>
        <v>109000</v>
      </c>
      <c r="AG2368" s="266">
        <f t="shared" si="1305"/>
        <v>60000</v>
      </c>
      <c r="AH2368" s="266">
        <f t="shared" si="1305"/>
        <v>60000</v>
      </c>
      <c r="AI2368" s="266">
        <f t="shared" si="1305"/>
        <v>60000</v>
      </c>
      <c r="AJ2368" s="162" t="b">
        <f t="shared" si="1296"/>
        <v>1</v>
      </c>
      <c r="AK2368" s="162" t="str">
        <f t="shared" si="1297"/>
        <v>PRAZNO</v>
      </c>
      <c r="AL2368" s="165"/>
    </row>
    <row r="2369" spans="1:39" s="164" customFormat="1" ht="15.75" x14ac:dyDescent="0.2">
      <c r="A2369" s="259"/>
      <c r="B2369" s="177"/>
      <c r="C2369" s="177"/>
      <c r="D2369" s="177"/>
      <c r="E2369" s="177">
        <v>3212</v>
      </c>
      <c r="F2369" s="265">
        <v>11</v>
      </c>
      <c r="G2369" s="265"/>
      <c r="H2369" s="16" t="s">
        <v>220</v>
      </c>
      <c r="I2369" s="178"/>
      <c r="J2369" s="178"/>
      <c r="K2369" s="178"/>
      <c r="L2369" s="178"/>
      <c r="M2369" s="178"/>
      <c r="N2369" s="178"/>
      <c r="O2369" s="178"/>
      <c r="P2369" s="307"/>
      <c r="Q2369" s="178"/>
      <c r="R2369" s="178"/>
      <c r="S2369" s="178"/>
      <c r="T2369" s="266"/>
      <c r="U2369" s="266"/>
      <c r="V2369" s="266">
        <v>0</v>
      </c>
      <c r="W2369" s="266"/>
      <c r="X2369" s="178"/>
      <c r="Y2369" s="266">
        <v>0</v>
      </c>
      <c r="Z2369" s="266"/>
      <c r="AA2369" s="266">
        <f t="shared" si="1301"/>
        <v>60000</v>
      </c>
      <c r="AB2369" s="266">
        <v>60000</v>
      </c>
      <c r="AC2369" s="266">
        <v>0</v>
      </c>
      <c r="AD2369" s="266">
        <f t="shared" si="1302"/>
        <v>0</v>
      </c>
      <c r="AE2369" s="266">
        <f t="shared" si="1294"/>
        <v>49000</v>
      </c>
      <c r="AF2369" s="266">
        <v>109000</v>
      </c>
      <c r="AG2369" s="266">
        <v>60000</v>
      </c>
      <c r="AH2369" s="266">
        <v>60000</v>
      </c>
      <c r="AI2369" s="266">
        <v>60000</v>
      </c>
      <c r="AJ2369" s="162" t="b">
        <f t="shared" si="1296"/>
        <v>0</v>
      </c>
      <c r="AK2369" s="162" t="str">
        <f t="shared" si="1297"/>
        <v>PUNO</v>
      </c>
      <c r="AL2369" s="165"/>
    </row>
    <row r="2370" spans="1:39" s="164" customFormat="1" ht="47.25" x14ac:dyDescent="0.2">
      <c r="A2370" s="259"/>
      <c r="B2370" s="209"/>
      <c r="C2370" s="209"/>
      <c r="D2370" s="209"/>
      <c r="E2370" s="209"/>
      <c r="F2370" s="219"/>
      <c r="G2370" s="219"/>
      <c r="H2370" s="12" t="s">
        <v>863</v>
      </c>
      <c r="I2370" s="242"/>
      <c r="J2370" s="242"/>
      <c r="K2370" s="242"/>
      <c r="L2370" s="242"/>
      <c r="M2370" s="242"/>
      <c r="N2370" s="242"/>
      <c r="O2370" s="242"/>
      <c r="P2370" s="205"/>
      <c r="Q2370" s="242"/>
      <c r="R2370" s="242"/>
      <c r="S2370" s="242"/>
      <c r="T2370" s="243"/>
      <c r="U2370" s="243"/>
      <c r="V2370" s="243">
        <f>V2372</f>
        <v>0</v>
      </c>
      <c r="W2370" s="243"/>
      <c r="X2370" s="242"/>
      <c r="Y2370" s="305">
        <f>Y2372</f>
        <v>0</v>
      </c>
      <c r="Z2370" s="305"/>
      <c r="AA2370" s="243">
        <f t="shared" si="1301"/>
        <v>92000</v>
      </c>
      <c r="AB2370" s="305">
        <f>AB2372</f>
        <v>92000</v>
      </c>
      <c r="AC2370" s="305">
        <f>AC2372</f>
        <v>22233.4</v>
      </c>
      <c r="AD2370" s="305">
        <f t="shared" si="1302"/>
        <v>24.166739130434784</v>
      </c>
      <c r="AE2370" s="305">
        <f t="shared" ref="AE2370:AE2433" si="1306">AF2370-AB2370</f>
        <v>11000</v>
      </c>
      <c r="AF2370" s="305">
        <f>AF2372</f>
        <v>103000</v>
      </c>
      <c r="AG2370" s="305">
        <f>AG2372</f>
        <v>92000</v>
      </c>
      <c r="AH2370" s="305">
        <f>AH2372</f>
        <v>92000</v>
      </c>
      <c r="AI2370" s="305">
        <f>AI2372</f>
        <v>92000</v>
      </c>
      <c r="AJ2370" s="162" t="b">
        <f t="shared" si="1296"/>
        <v>1</v>
      </c>
      <c r="AK2370" s="162" t="str">
        <f t="shared" si="1297"/>
        <v>PRAZNO</v>
      </c>
      <c r="AL2370" s="165"/>
    </row>
    <row r="2371" spans="1:39" s="164" customFormat="1" ht="15.75" x14ac:dyDescent="0.2">
      <c r="A2371" s="259"/>
      <c r="B2371" s="177"/>
      <c r="C2371" s="177"/>
      <c r="D2371" s="177"/>
      <c r="E2371" s="177"/>
      <c r="F2371" s="265"/>
      <c r="G2371" s="265"/>
      <c r="H2371" s="441" t="s">
        <v>824</v>
      </c>
      <c r="I2371" s="178"/>
      <c r="J2371" s="178"/>
      <c r="K2371" s="178"/>
      <c r="L2371" s="178"/>
      <c r="M2371" s="178"/>
      <c r="N2371" s="178"/>
      <c r="O2371" s="178"/>
      <c r="P2371" s="307"/>
      <c r="Q2371" s="178"/>
      <c r="R2371" s="178"/>
      <c r="S2371" s="178"/>
      <c r="T2371" s="266"/>
      <c r="U2371" s="266"/>
      <c r="V2371" s="266">
        <f>V2372</f>
        <v>0</v>
      </c>
      <c r="W2371" s="266"/>
      <c r="X2371" s="178"/>
      <c r="Y2371" s="430">
        <f>Y2372</f>
        <v>0</v>
      </c>
      <c r="Z2371" s="430"/>
      <c r="AA2371" s="266">
        <f t="shared" si="1301"/>
        <v>92000</v>
      </c>
      <c r="AB2371" s="430">
        <f t="shared" ref="AB2371:AI2374" si="1307">AB2372</f>
        <v>92000</v>
      </c>
      <c r="AC2371" s="430">
        <f t="shared" si="1307"/>
        <v>22233.4</v>
      </c>
      <c r="AD2371" s="430">
        <f t="shared" si="1302"/>
        <v>24.166739130434784</v>
      </c>
      <c r="AE2371" s="430">
        <f t="shared" si="1306"/>
        <v>11000</v>
      </c>
      <c r="AF2371" s="430">
        <f t="shared" si="1307"/>
        <v>103000</v>
      </c>
      <c r="AG2371" s="430">
        <f t="shared" si="1307"/>
        <v>92000</v>
      </c>
      <c r="AH2371" s="430">
        <f t="shared" si="1307"/>
        <v>92000</v>
      </c>
      <c r="AI2371" s="430">
        <f t="shared" si="1307"/>
        <v>92000</v>
      </c>
      <c r="AJ2371" s="162" t="b">
        <f t="shared" si="1296"/>
        <v>1</v>
      </c>
      <c r="AK2371" s="162" t="str">
        <f t="shared" si="1297"/>
        <v>PRAZNO</v>
      </c>
      <c r="AL2371" s="165"/>
    </row>
    <row r="2372" spans="1:39" s="164" customFormat="1" ht="15.75" x14ac:dyDescent="0.2">
      <c r="A2372" s="259"/>
      <c r="B2372" s="172">
        <v>3</v>
      </c>
      <c r="C2372" s="172"/>
      <c r="D2372" s="172"/>
      <c r="E2372" s="172"/>
      <c r="F2372" s="220"/>
      <c r="G2372" s="220"/>
      <c r="H2372" s="36" t="s">
        <v>524</v>
      </c>
      <c r="I2372" s="184"/>
      <c r="J2372" s="184"/>
      <c r="K2372" s="184"/>
      <c r="L2372" s="184"/>
      <c r="M2372" s="184"/>
      <c r="N2372" s="184"/>
      <c r="O2372" s="184"/>
      <c r="P2372" s="55"/>
      <c r="Q2372" s="184"/>
      <c r="R2372" s="184"/>
      <c r="S2372" s="184"/>
      <c r="T2372" s="185"/>
      <c r="U2372" s="185"/>
      <c r="V2372" s="185">
        <f>V2373</f>
        <v>0</v>
      </c>
      <c r="W2372" s="185"/>
      <c r="X2372" s="184"/>
      <c r="Y2372" s="185">
        <f>Y2373</f>
        <v>0</v>
      </c>
      <c r="Z2372" s="185"/>
      <c r="AA2372" s="185">
        <f t="shared" si="1301"/>
        <v>92000</v>
      </c>
      <c r="AB2372" s="185">
        <f t="shared" si="1307"/>
        <v>92000</v>
      </c>
      <c r="AC2372" s="185">
        <f t="shared" si="1307"/>
        <v>22233.4</v>
      </c>
      <c r="AD2372" s="185">
        <f t="shared" si="1302"/>
        <v>24.166739130434784</v>
      </c>
      <c r="AE2372" s="185">
        <f t="shared" si="1306"/>
        <v>11000</v>
      </c>
      <c r="AF2372" s="185">
        <f t="shared" si="1307"/>
        <v>103000</v>
      </c>
      <c r="AG2372" s="185">
        <f t="shared" si="1307"/>
        <v>92000</v>
      </c>
      <c r="AH2372" s="185">
        <f t="shared" si="1307"/>
        <v>92000</v>
      </c>
      <c r="AI2372" s="185">
        <f t="shared" si="1307"/>
        <v>92000</v>
      </c>
      <c r="AJ2372" s="162" t="b">
        <f t="shared" si="1296"/>
        <v>1</v>
      </c>
      <c r="AK2372" s="162" t="str">
        <f t="shared" si="1297"/>
        <v>PRAZNO</v>
      </c>
      <c r="AL2372" s="165"/>
    </row>
    <row r="2373" spans="1:39" s="164" customFormat="1" ht="15.75" x14ac:dyDescent="0.2">
      <c r="A2373" s="259"/>
      <c r="B2373" s="177"/>
      <c r="C2373" s="177">
        <v>32</v>
      </c>
      <c r="D2373" s="177"/>
      <c r="E2373" s="177"/>
      <c r="F2373" s="265"/>
      <c r="G2373" s="265"/>
      <c r="H2373" s="16" t="s">
        <v>525</v>
      </c>
      <c r="I2373" s="178"/>
      <c r="J2373" s="178"/>
      <c r="K2373" s="178"/>
      <c r="L2373" s="178"/>
      <c r="M2373" s="178"/>
      <c r="N2373" s="178"/>
      <c r="O2373" s="178"/>
      <c r="P2373" s="307"/>
      <c r="Q2373" s="178"/>
      <c r="R2373" s="178"/>
      <c r="S2373" s="178"/>
      <c r="T2373" s="266"/>
      <c r="U2373" s="266"/>
      <c r="V2373" s="266">
        <f>V2374</f>
        <v>0</v>
      </c>
      <c r="W2373" s="266"/>
      <c r="X2373" s="178"/>
      <c r="Y2373" s="266">
        <f>Y2374</f>
        <v>0</v>
      </c>
      <c r="Z2373" s="266"/>
      <c r="AA2373" s="266">
        <f t="shared" si="1301"/>
        <v>92000</v>
      </c>
      <c r="AB2373" s="266">
        <f t="shared" si="1307"/>
        <v>92000</v>
      </c>
      <c r="AC2373" s="266">
        <f t="shared" si="1307"/>
        <v>22233.4</v>
      </c>
      <c r="AD2373" s="266">
        <f t="shared" si="1302"/>
        <v>24.166739130434784</v>
      </c>
      <c r="AE2373" s="266">
        <f t="shared" si="1306"/>
        <v>11000</v>
      </c>
      <c r="AF2373" s="266">
        <f t="shared" si="1307"/>
        <v>103000</v>
      </c>
      <c r="AG2373" s="266">
        <f t="shared" si="1307"/>
        <v>92000</v>
      </c>
      <c r="AH2373" s="266">
        <f t="shared" si="1307"/>
        <v>92000</v>
      </c>
      <c r="AI2373" s="266">
        <f t="shared" si="1307"/>
        <v>92000</v>
      </c>
      <c r="AJ2373" s="162" t="b">
        <f t="shared" si="1296"/>
        <v>1</v>
      </c>
      <c r="AK2373" s="162" t="str">
        <f t="shared" si="1297"/>
        <v>PRAZNO</v>
      </c>
      <c r="AL2373" s="165"/>
    </row>
    <row r="2374" spans="1:39" s="164" customFormat="1" ht="15.75" x14ac:dyDescent="0.2">
      <c r="A2374" s="259"/>
      <c r="B2374" s="177"/>
      <c r="C2374" s="177"/>
      <c r="D2374" s="177">
        <v>321</v>
      </c>
      <c r="E2374" s="177"/>
      <c r="F2374" s="265"/>
      <c r="G2374" s="265"/>
      <c r="H2374" s="16" t="s">
        <v>564</v>
      </c>
      <c r="I2374" s="178"/>
      <c r="J2374" s="178"/>
      <c r="K2374" s="178"/>
      <c r="L2374" s="178"/>
      <c r="M2374" s="178"/>
      <c r="N2374" s="178"/>
      <c r="O2374" s="178"/>
      <c r="P2374" s="307"/>
      <c r="Q2374" s="178"/>
      <c r="R2374" s="178"/>
      <c r="S2374" s="178"/>
      <c r="T2374" s="266"/>
      <c r="U2374" s="266"/>
      <c r="V2374" s="266">
        <f>V2375</f>
        <v>0</v>
      </c>
      <c r="W2374" s="266"/>
      <c r="X2374" s="178"/>
      <c r="Y2374" s="266">
        <f>Y2375</f>
        <v>0</v>
      </c>
      <c r="Z2374" s="266"/>
      <c r="AA2374" s="266">
        <f t="shared" si="1301"/>
        <v>92000</v>
      </c>
      <c r="AB2374" s="266">
        <f t="shared" si="1307"/>
        <v>92000</v>
      </c>
      <c r="AC2374" s="266">
        <f t="shared" si="1307"/>
        <v>22233.4</v>
      </c>
      <c r="AD2374" s="266">
        <f t="shared" si="1302"/>
        <v>24.166739130434784</v>
      </c>
      <c r="AE2374" s="266">
        <f t="shared" si="1306"/>
        <v>11000</v>
      </c>
      <c r="AF2374" s="266">
        <f t="shared" si="1307"/>
        <v>103000</v>
      </c>
      <c r="AG2374" s="266">
        <f t="shared" si="1307"/>
        <v>92000</v>
      </c>
      <c r="AH2374" s="266">
        <f t="shared" si="1307"/>
        <v>92000</v>
      </c>
      <c r="AI2374" s="266">
        <f t="shared" si="1307"/>
        <v>92000</v>
      </c>
      <c r="AJ2374" s="162" t="b">
        <f t="shared" si="1296"/>
        <v>1</v>
      </c>
      <c r="AK2374" s="162" t="str">
        <f t="shared" si="1297"/>
        <v>PRAZNO</v>
      </c>
      <c r="AL2374" s="165"/>
    </row>
    <row r="2375" spans="1:39" s="164" customFormat="1" ht="15.75" x14ac:dyDescent="0.2">
      <c r="A2375" s="259"/>
      <c r="B2375" s="177"/>
      <c r="C2375" s="177"/>
      <c r="D2375" s="177"/>
      <c r="E2375" s="177">
        <v>3212</v>
      </c>
      <c r="F2375" s="265">
        <v>11</v>
      </c>
      <c r="G2375" s="265"/>
      <c r="H2375" s="16" t="s">
        <v>220</v>
      </c>
      <c r="I2375" s="178"/>
      <c r="J2375" s="178"/>
      <c r="K2375" s="178"/>
      <c r="L2375" s="178"/>
      <c r="M2375" s="178"/>
      <c r="N2375" s="178"/>
      <c r="O2375" s="178"/>
      <c r="P2375" s="307"/>
      <c r="Q2375" s="178"/>
      <c r="R2375" s="178"/>
      <c r="S2375" s="178"/>
      <c r="T2375" s="266"/>
      <c r="U2375" s="266"/>
      <c r="V2375" s="266">
        <v>0</v>
      </c>
      <c r="W2375" s="266"/>
      <c r="X2375" s="178"/>
      <c r="Y2375" s="266">
        <v>0</v>
      </c>
      <c r="Z2375" s="266"/>
      <c r="AA2375" s="266">
        <f t="shared" si="1301"/>
        <v>92000</v>
      </c>
      <c r="AB2375" s="266">
        <v>92000</v>
      </c>
      <c r="AC2375" s="266">
        <v>22233.4</v>
      </c>
      <c r="AD2375" s="266">
        <f t="shared" si="1302"/>
        <v>24.166739130434784</v>
      </c>
      <c r="AE2375" s="266">
        <f t="shared" si="1306"/>
        <v>11000</v>
      </c>
      <c r="AF2375" s="266">
        <v>103000</v>
      </c>
      <c r="AG2375" s="266">
        <v>92000</v>
      </c>
      <c r="AH2375" s="266">
        <v>92000</v>
      </c>
      <c r="AI2375" s="266">
        <v>92000</v>
      </c>
      <c r="AJ2375" s="162" t="b">
        <f t="shared" si="1296"/>
        <v>0</v>
      </c>
      <c r="AK2375" s="162" t="str">
        <f t="shared" si="1297"/>
        <v>PUNO</v>
      </c>
      <c r="AL2375" s="165"/>
    </row>
    <row r="2376" spans="1:39" s="207" customFormat="1" ht="15.75" x14ac:dyDescent="0.25">
      <c r="A2376" s="378"/>
      <c r="B2376" s="168"/>
      <c r="C2376" s="168"/>
      <c r="D2376" s="168"/>
      <c r="E2376" s="168"/>
      <c r="F2376" s="322"/>
      <c r="G2376" s="322"/>
      <c r="H2376" s="13" t="s">
        <v>229</v>
      </c>
      <c r="I2376" s="323">
        <f t="shared" ref="I2376:O2376" si="1308">I2378</f>
        <v>1630000</v>
      </c>
      <c r="J2376" s="323">
        <f t="shared" si="1308"/>
        <v>842754.8</v>
      </c>
      <c r="K2376" s="323">
        <f t="shared" si="1308"/>
        <v>51.7</v>
      </c>
      <c r="L2376" s="323">
        <f t="shared" si="1308"/>
        <v>-95777.199999999953</v>
      </c>
      <c r="M2376" s="323">
        <f t="shared" si="1308"/>
        <v>1534222.8</v>
      </c>
      <c r="N2376" s="323">
        <f t="shared" si="1308"/>
        <v>1625000</v>
      </c>
      <c r="O2376" s="323">
        <f t="shared" si="1308"/>
        <v>847517.51</v>
      </c>
      <c r="P2376" s="303">
        <f>T2376-N2376</f>
        <v>6475000</v>
      </c>
      <c r="Q2376" s="308"/>
      <c r="R2376" s="308"/>
      <c r="S2376" s="308"/>
      <c r="T2376" s="323">
        <f>T2378</f>
        <v>8100000</v>
      </c>
      <c r="U2376" s="323">
        <f>U2378+U2382</f>
        <v>8389410.540000001</v>
      </c>
      <c r="V2376" s="323">
        <f>V2378+V2383</f>
        <v>16300000</v>
      </c>
      <c r="W2376" s="323">
        <f>W2378+W2383</f>
        <v>16300000</v>
      </c>
      <c r="X2376" s="323">
        <f>X2378+X2383</f>
        <v>16300000</v>
      </c>
      <c r="Y2376" s="323">
        <f>Y2378+Y2383</f>
        <v>8285069.1699999999</v>
      </c>
      <c r="Z2376" s="323">
        <f t="shared" si="1304"/>
        <v>50.83</v>
      </c>
      <c r="AA2376" s="323">
        <f t="shared" si="1301"/>
        <v>100000</v>
      </c>
      <c r="AB2376" s="323">
        <f>AB2378+AB2383</f>
        <v>16400000</v>
      </c>
      <c r="AC2376" s="323">
        <f>AC2378+AC2383</f>
        <v>10552939.82</v>
      </c>
      <c r="AD2376" s="323">
        <f t="shared" si="1302"/>
        <v>64.347194024390248</v>
      </c>
      <c r="AE2376" s="323">
        <f t="shared" si="1306"/>
        <v>410000</v>
      </c>
      <c r="AF2376" s="323">
        <f>AF2378+AF2383</f>
        <v>16810000</v>
      </c>
      <c r="AG2376" s="323">
        <f>AG2378+AG2383</f>
        <v>14500000</v>
      </c>
      <c r="AH2376" s="323">
        <f>AH2378+AH2383</f>
        <v>14500000</v>
      </c>
      <c r="AI2376" s="323">
        <f>AI2378+AI2383</f>
        <v>14500000</v>
      </c>
      <c r="AJ2376" s="162" t="b">
        <f t="shared" si="1296"/>
        <v>1</v>
      </c>
      <c r="AK2376" s="162" t="str">
        <f t="shared" si="1297"/>
        <v>PRAZNO</v>
      </c>
      <c r="AL2376" s="206"/>
    </row>
    <row r="2377" spans="1:39" s="447" customFormat="1" ht="15.75" x14ac:dyDescent="0.25">
      <c r="A2377" s="378"/>
      <c r="B2377" s="260"/>
      <c r="C2377" s="260"/>
      <c r="D2377" s="260"/>
      <c r="E2377" s="260"/>
      <c r="F2377" s="442"/>
      <c r="G2377" s="442"/>
      <c r="H2377" s="440" t="s">
        <v>16</v>
      </c>
      <c r="I2377" s="444"/>
      <c r="J2377" s="444"/>
      <c r="K2377" s="444"/>
      <c r="L2377" s="444"/>
      <c r="M2377" s="444"/>
      <c r="N2377" s="444"/>
      <c r="O2377" s="444"/>
      <c r="P2377" s="445"/>
      <c r="Q2377" s="443"/>
      <c r="R2377" s="443"/>
      <c r="S2377" s="443"/>
      <c r="T2377" s="444"/>
      <c r="U2377" s="444">
        <f t="shared" ref="U2377:AI2379" si="1309">U2378</f>
        <v>2399597.9300000002</v>
      </c>
      <c r="V2377" s="444">
        <f t="shared" si="1309"/>
        <v>3400000</v>
      </c>
      <c r="W2377" s="444">
        <f t="shared" si="1309"/>
        <v>3400000</v>
      </c>
      <c r="X2377" s="444">
        <f t="shared" si="1309"/>
        <v>3400000</v>
      </c>
      <c r="Y2377" s="444">
        <f t="shared" si="1309"/>
        <v>2942638.84</v>
      </c>
      <c r="Z2377" s="444">
        <f t="shared" si="1309"/>
        <v>86.55</v>
      </c>
      <c r="AA2377" s="444">
        <f t="shared" si="1309"/>
        <v>2400000</v>
      </c>
      <c r="AB2377" s="444">
        <f t="shared" si="1309"/>
        <v>5800000</v>
      </c>
      <c r="AC2377" s="444">
        <f t="shared" si="1309"/>
        <v>3744339.2</v>
      </c>
      <c r="AD2377" s="444">
        <f t="shared" si="1302"/>
        <v>64.55757241379311</v>
      </c>
      <c r="AE2377" s="444">
        <f t="shared" si="1306"/>
        <v>620000</v>
      </c>
      <c r="AF2377" s="444">
        <f t="shared" si="1309"/>
        <v>6420000</v>
      </c>
      <c r="AG2377" s="444">
        <f t="shared" si="1309"/>
        <v>6200000</v>
      </c>
      <c r="AH2377" s="444">
        <f t="shared" si="1309"/>
        <v>6200000</v>
      </c>
      <c r="AI2377" s="444">
        <f t="shared" si="1309"/>
        <v>6200000</v>
      </c>
      <c r="AJ2377" s="162" t="b">
        <f t="shared" ref="AJ2377:AJ2440" si="1310">ISBLANK(E2377)</f>
        <v>1</v>
      </c>
      <c r="AK2377" s="162" t="str">
        <f t="shared" ref="AK2377:AK2440" si="1311">IF(AJ2377,"PRAZNO","PUNO")</f>
        <v>PRAZNO</v>
      </c>
      <c r="AL2377" s="446"/>
    </row>
    <row r="2378" spans="1:39" s="174" customFormat="1" ht="15.75" x14ac:dyDescent="0.2">
      <c r="A2378" s="259"/>
      <c r="B2378" s="172">
        <v>3</v>
      </c>
      <c r="C2378" s="172"/>
      <c r="D2378" s="172"/>
      <c r="E2378" s="172"/>
      <c r="F2378" s="220"/>
      <c r="G2378" s="220"/>
      <c r="H2378" s="14" t="s">
        <v>524</v>
      </c>
      <c r="I2378" s="185">
        <f t="shared" ref="I2378:X2380" si="1312">I2379</f>
        <v>1630000</v>
      </c>
      <c r="J2378" s="185">
        <f t="shared" si="1312"/>
        <v>842754.8</v>
      </c>
      <c r="K2378" s="185">
        <f t="shared" si="1312"/>
        <v>51.7</v>
      </c>
      <c r="L2378" s="185">
        <f t="shared" si="1312"/>
        <v>-95777.199999999953</v>
      </c>
      <c r="M2378" s="185">
        <f t="shared" si="1312"/>
        <v>1534222.8</v>
      </c>
      <c r="N2378" s="185">
        <f t="shared" si="1312"/>
        <v>1625000</v>
      </c>
      <c r="O2378" s="185">
        <f t="shared" si="1312"/>
        <v>847517.51</v>
      </c>
      <c r="P2378" s="54">
        <f>T2378-N2378</f>
        <v>6475000</v>
      </c>
      <c r="Q2378" s="184"/>
      <c r="R2378" s="184"/>
      <c r="S2378" s="184"/>
      <c r="T2378" s="185">
        <f>T2379</f>
        <v>8100000</v>
      </c>
      <c r="U2378" s="185">
        <f>U2379</f>
        <v>2399597.9300000002</v>
      </c>
      <c r="V2378" s="185">
        <f t="shared" si="1309"/>
        <v>3400000</v>
      </c>
      <c r="W2378" s="185">
        <f t="shared" si="1309"/>
        <v>3400000</v>
      </c>
      <c r="X2378" s="185">
        <f t="shared" si="1309"/>
        <v>3400000</v>
      </c>
      <c r="Y2378" s="185">
        <f t="shared" si="1309"/>
        <v>2942638.84</v>
      </c>
      <c r="Z2378" s="185">
        <f t="shared" si="1304"/>
        <v>86.55</v>
      </c>
      <c r="AA2378" s="185">
        <f t="shared" si="1301"/>
        <v>2400000</v>
      </c>
      <c r="AB2378" s="185">
        <f t="shared" si="1309"/>
        <v>5800000</v>
      </c>
      <c r="AC2378" s="185">
        <f t="shared" si="1309"/>
        <v>3744339.2</v>
      </c>
      <c r="AD2378" s="185">
        <f t="shared" si="1302"/>
        <v>64.55757241379311</v>
      </c>
      <c r="AE2378" s="185">
        <f t="shared" si="1306"/>
        <v>620000</v>
      </c>
      <c r="AF2378" s="185">
        <f t="shared" si="1309"/>
        <v>6420000</v>
      </c>
      <c r="AG2378" s="185">
        <f t="shared" si="1309"/>
        <v>6200000</v>
      </c>
      <c r="AH2378" s="185">
        <f t="shared" si="1309"/>
        <v>6200000</v>
      </c>
      <c r="AI2378" s="185">
        <f t="shared" si="1309"/>
        <v>6200000</v>
      </c>
      <c r="AJ2378" s="162" t="b">
        <f t="shared" si="1310"/>
        <v>1</v>
      </c>
      <c r="AK2378" s="162" t="str">
        <f t="shared" si="1311"/>
        <v>PRAZNO</v>
      </c>
      <c r="AL2378" s="173"/>
    </row>
    <row r="2379" spans="1:39" ht="30" x14ac:dyDescent="0.2">
      <c r="B2379" s="177"/>
      <c r="C2379" s="177">
        <v>37</v>
      </c>
      <c r="D2379" s="177"/>
      <c r="E2379" s="177"/>
      <c r="F2379" s="177"/>
      <c r="G2379" s="177"/>
      <c r="H2379" s="16" t="s">
        <v>410</v>
      </c>
      <c r="I2379" s="18">
        <f t="shared" si="1312"/>
        <v>1630000</v>
      </c>
      <c r="J2379" s="18">
        <f t="shared" si="1312"/>
        <v>842754.8</v>
      </c>
      <c r="K2379" s="18">
        <f>ROUND(J2379/I2379*100,2)</f>
        <v>51.7</v>
      </c>
      <c r="L2379" s="18">
        <f>M2379-I2379</f>
        <v>-95777.199999999953</v>
      </c>
      <c r="M2379" s="18">
        <f t="shared" si="1312"/>
        <v>1534222.8</v>
      </c>
      <c r="N2379" s="18">
        <f t="shared" si="1312"/>
        <v>1625000</v>
      </c>
      <c r="O2379" s="18">
        <f t="shared" si="1312"/>
        <v>847517.51</v>
      </c>
      <c r="P2379" s="26">
        <f>T2379-N2379</f>
        <v>6475000</v>
      </c>
      <c r="Q2379" s="18">
        <f t="shared" si="1312"/>
        <v>1625000</v>
      </c>
      <c r="R2379" s="18">
        <f t="shared" si="1312"/>
        <v>1650000</v>
      </c>
      <c r="S2379" s="18">
        <f t="shared" si="1312"/>
        <v>1650000</v>
      </c>
      <c r="T2379" s="27">
        <f t="shared" si="1312"/>
        <v>8100000</v>
      </c>
      <c r="U2379" s="27">
        <f t="shared" si="1312"/>
        <v>2399597.9300000002</v>
      </c>
      <c r="V2379" s="18">
        <f t="shared" si="1312"/>
        <v>3400000</v>
      </c>
      <c r="W2379" s="18">
        <f t="shared" si="1312"/>
        <v>3400000</v>
      </c>
      <c r="X2379" s="18">
        <f t="shared" si="1312"/>
        <v>3400000</v>
      </c>
      <c r="Y2379" s="18">
        <f t="shared" si="1309"/>
        <v>2942638.84</v>
      </c>
      <c r="Z2379" s="18">
        <f t="shared" si="1304"/>
        <v>86.55</v>
      </c>
      <c r="AA2379" s="18">
        <f t="shared" si="1301"/>
        <v>2400000</v>
      </c>
      <c r="AB2379" s="18">
        <f t="shared" si="1309"/>
        <v>5800000</v>
      </c>
      <c r="AC2379" s="18">
        <f t="shared" si="1309"/>
        <v>3744339.2</v>
      </c>
      <c r="AD2379" s="18">
        <f t="shared" si="1302"/>
        <v>64.55757241379311</v>
      </c>
      <c r="AE2379" s="18">
        <f t="shared" si="1306"/>
        <v>620000</v>
      </c>
      <c r="AF2379" s="18">
        <f t="shared" si="1309"/>
        <v>6420000</v>
      </c>
      <c r="AG2379" s="18">
        <f t="shared" si="1309"/>
        <v>6200000</v>
      </c>
      <c r="AH2379" s="18">
        <f t="shared" si="1309"/>
        <v>6200000</v>
      </c>
      <c r="AI2379" s="18">
        <f t="shared" si="1309"/>
        <v>6200000</v>
      </c>
      <c r="AJ2379" s="162" t="b">
        <f t="shared" si="1310"/>
        <v>1</v>
      </c>
      <c r="AK2379" s="162" t="str">
        <f t="shared" si="1311"/>
        <v>PRAZNO</v>
      </c>
      <c r="AM2379" s="164"/>
    </row>
    <row r="2380" spans="1:39" ht="30" customHeight="1" x14ac:dyDescent="0.2">
      <c r="B2380" s="177"/>
      <c r="C2380" s="177"/>
      <c r="D2380" s="177">
        <v>372</v>
      </c>
      <c r="E2380" s="177"/>
      <c r="F2380" s="177"/>
      <c r="G2380" s="177"/>
      <c r="H2380" s="16" t="s">
        <v>411</v>
      </c>
      <c r="I2380" s="18">
        <f t="shared" si="1312"/>
        <v>1630000</v>
      </c>
      <c r="J2380" s="18">
        <f t="shared" si="1312"/>
        <v>842754.8</v>
      </c>
      <c r="K2380" s="18">
        <f>ROUND(J2380/I2380*100,2)</f>
        <v>51.7</v>
      </c>
      <c r="L2380" s="18">
        <f>M2380-I2380</f>
        <v>-95777.199999999953</v>
      </c>
      <c r="M2380" s="18">
        <f t="shared" si="1312"/>
        <v>1534222.8</v>
      </c>
      <c r="N2380" s="18">
        <f t="shared" si="1312"/>
        <v>1625000</v>
      </c>
      <c r="O2380" s="18">
        <f t="shared" si="1312"/>
        <v>847517.51</v>
      </c>
      <c r="P2380" s="26">
        <f>T2380-N2380</f>
        <v>6475000</v>
      </c>
      <c r="Q2380" s="18">
        <f t="shared" si="1312"/>
        <v>1625000</v>
      </c>
      <c r="R2380" s="18">
        <f t="shared" si="1312"/>
        <v>1650000</v>
      </c>
      <c r="S2380" s="18">
        <f t="shared" si="1312"/>
        <v>1650000</v>
      </c>
      <c r="T2380" s="27">
        <f>T2381+T2386</f>
        <v>8100000</v>
      </c>
      <c r="U2380" s="27">
        <f>U2381</f>
        <v>2399597.9300000002</v>
      </c>
      <c r="V2380" s="27">
        <f>V2381</f>
        <v>3400000</v>
      </c>
      <c r="W2380" s="27">
        <f t="shared" si="1312"/>
        <v>3400000</v>
      </c>
      <c r="X2380" s="27">
        <f t="shared" si="1312"/>
        <v>3400000</v>
      </c>
      <c r="Y2380" s="27">
        <f>Y2381</f>
        <v>2942638.84</v>
      </c>
      <c r="Z2380" s="27">
        <f t="shared" si="1304"/>
        <v>86.55</v>
      </c>
      <c r="AA2380" s="27">
        <f t="shared" si="1301"/>
        <v>2400000</v>
      </c>
      <c r="AB2380" s="27">
        <f>AB2381</f>
        <v>5800000</v>
      </c>
      <c r="AC2380" s="27">
        <f>AC2381</f>
        <v>3744339.2</v>
      </c>
      <c r="AD2380" s="27">
        <f t="shared" si="1302"/>
        <v>64.55757241379311</v>
      </c>
      <c r="AE2380" s="27">
        <f t="shared" si="1306"/>
        <v>620000</v>
      </c>
      <c r="AF2380" s="27">
        <f>AF2381</f>
        <v>6420000</v>
      </c>
      <c r="AG2380" s="27">
        <f>AG2381</f>
        <v>6200000</v>
      </c>
      <c r="AH2380" s="27">
        <f>AH2381</f>
        <v>6200000</v>
      </c>
      <c r="AI2380" s="27">
        <f>AI2381</f>
        <v>6200000</v>
      </c>
      <c r="AJ2380" s="162" t="b">
        <f t="shared" si="1310"/>
        <v>1</v>
      </c>
      <c r="AK2380" s="162" t="str">
        <f t="shared" si="1311"/>
        <v>PRAZNO</v>
      </c>
      <c r="AM2380" s="164"/>
    </row>
    <row r="2381" spans="1:39" ht="30" x14ac:dyDescent="0.2">
      <c r="B2381" s="177"/>
      <c r="C2381" s="177"/>
      <c r="D2381" s="177"/>
      <c r="E2381" s="177">
        <v>3722</v>
      </c>
      <c r="F2381" s="176">
        <v>11</v>
      </c>
      <c r="G2381" s="176" t="s">
        <v>1040</v>
      </c>
      <c r="H2381" s="44" t="s">
        <v>249</v>
      </c>
      <c r="I2381" s="18">
        <v>1630000</v>
      </c>
      <c r="J2381" s="178">
        <v>842754.8</v>
      </c>
      <c r="K2381" s="178">
        <f>ROUND(J2381/I2381*100,2)</f>
        <v>51.7</v>
      </c>
      <c r="L2381" s="178">
        <f>M2381-I2381</f>
        <v>-95777.199999999953</v>
      </c>
      <c r="M2381" s="178">
        <v>1534222.8</v>
      </c>
      <c r="N2381" s="178">
        <v>1625000</v>
      </c>
      <c r="O2381" s="178">
        <v>847517.51</v>
      </c>
      <c r="P2381" s="26">
        <f>T2381-N2381</f>
        <v>775000</v>
      </c>
      <c r="Q2381" s="178">
        <v>1625000</v>
      </c>
      <c r="R2381" s="178">
        <v>1650000</v>
      </c>
      <c r="S2381" s="178">
        <v>1650000</v>
      </c>
      <c r="T2381" s="266">
        <v>2400000</v>
      </c>
      <c r="U2381" s="266">
        <v>2399597.9300000002</v>
      </c>
      <c r="V2381" s="266">
        <v>3400000</v>
      </c>
      <c r="W2381" s="266">
        <v>3400000</v>
      </c>
      <c r="X2381" s="266">
        <v>3400000</v>
      </c>
      <c r="Y2381" s="266">
        <v>2942638.84</v>
      </c>
      <c r="Z2381" s="266">
        <f t="shared" si="1304"/>
        <v>86.55</v>
      </c>
      <c r="AA2381" s="266">
        <f t="shared" si="1301"/>
        <v>2400000</v>
      </c>
      <c r="AB2381" s="266">
        <v>5800000</v>
      </c>
      <c r="AC2381" s="266">
        <v>3744339.2</v>
      </c>
      <c r="AD2381" s="266">
        <f t="shared" si="1302"/>
        <v>64.55757241379311</v>
      </c>
      <c r="AE2381" s="266">
        <f t="shared" si="1306"/>
        <v>620000</v>
      </c>
      <c r="AF2381" s="266">
        <v>6420000</v>
      </c>
      <c r="AG2381" s="27">
        <v>6200000</v>
      </c>
      <c r="AH2381" s="27">
        <v>6200000</v>
      </c>
      <c r="AI2381" s="27">
        <v>6200000</v>
      </c>
      <c r="AJ2381" s="162" t="b">
        <f t="shared" si="1310"/>
        <v>0</v>
      </c>
      <c r="AK2381" s="162" t="str">
        <f t="shared" si="1311"/>
        <v>PUNO</v>
      </c>
      <c r="AM2381" s="164"/>
    </row>
    <row r="2382" spans="1:39" s="453" customFormat="1" ht="15.75" x14ac:dyDescent="0.25">
      <c r="A2382" s="378"/>
      <c r="B2382" s="260"/>
      <c r="C2382" s="260"/>
      <c r="D2382" s="260"/>
      <c r="E2382" s="260"/>
      <c r="F2382" s="448"/>
      <c r="G2382" s="448"/>
      <c r="H2382" s="492" t="s">
        <v>825</v>
      </c>
      <c r="I2382" s="449"/>
      <c r="J2382" s="443"/>
      <c r="K2382" s="443"/>
      <c r="L2382" s="443"/>
      <c r="M2382" s="443"/>
      <c r="N2382" s="443"/>
      <c r="O2382" s="443"/>
      <c r="P2382" s="202"/>
      <c r="Q2382" s="443"/>
      <c r="R2382" s="443"/>
      <c r="S2382" s="443"/>
      <c r="T2382" s="444"/>
      <c r="U2382" s="444">
        <f t="shared" ref="U2382:AI2383" si="1313">U2383</f>
        <v>5989812.6100000003</v>
      </c>
      <c r="V2382" s="444">
        <f t="shared" si="1313"/>
        <v>12900000</v>
      </c>
      <c r="W2382" s="444">
        <f t="shared" si="1313"/>
        <v>12900000</v>
      </c>
      <c r="X2382" s="444">
        <f t="shared" si="1313"/>
        <v>12900000</v>
      </c>
      <c r="Y2382" s="444">
        <f t="shared" si="1313"/>
        <v>5342430.33</v>
      </c>
      <c r="Z2382" s="444">
        <f t="shared" si="1313"/>
        <v>41.41</v>
      </c>
      <c r="AA2382" s="444">
        <f t="shared" si="1313"/>
        <v>-2300000</v>
      </c>
      <c r="AB2382" s="444">
        <f t="shared" si="1313"/>
        <v>10600000</v>
      </c>
      <c r="AC2382" s="444">
        <f t="shared" si="1313"/>
        <v>6808600.6200000001</v>
      </c>
      <c r="AD2382" s="444">
        <f t="shared" si="1302"/>
        <v>64.232081320754716</v>
      </c>
      <c r="AE2382" s="444">
        <f t="shared" si="1306"/>
        <v>-210000</v>
      </c>
      <c r="AF2382" s="444">
        <f t="shared" si="1313"/>
        <v>10390000</v>
      </c>
      <c r="AG2382" s="444">
        <f t="shared" si="1313"/>
        <v>8300000</v>
      </c>
      <c r="AH2382" s="444">
        <f t="shared" si="1313"/>
        <v>8300000</v>
      </c>
      <c r="AI2382" s="444">
        <f t="shared" si="1313"/>
        <v>8300000</v>
      </c>
      <c r="AJ2382" s="162" t="b">
        <f t="shared" si="1310"/>
        <v>1</v>
      </c>
      <c r="AK2382" s="162" t="str">
        <f t="shared" si="1311"/>
        <v>PRAZNO</v>
      </c>
      <c r="AL2382" s="452"/>
      <c r="AM2382" s="287"/>
    </row>
    <row r="2383" spans="1:39" s="174" customFormat="1" ht="15.75" x14ac:dyDescent="0.2">
      <c r="A2383" s="259"/>
      <c r="B2383" s="172">
        <v>3</v>
      </c>
      <c r="C2383" s="172"/>
      <c r="D2383" s="172"/>
      <c r="E2383" s="172"/>
      <c r="F2383" s="220"/>
      <c r="G2383" s="220"/>
      <c r="H2383" s="493" t="s">
        <v>524</v>
      </c>
      <c r="I2383" s="184"/>
      <c r="J2383" s="184"/>
      <c r="K2383" s="184"/>
      <c r="L2383" s="184"/>
      <c r="M2383" s="184"/>
      <c r="N2383" s="184"/>
      <c r="O2383" s="184"/>
      <c r="P2383" s="55"/>
      <c r="Q2383" s="184"/>
      <c r="R2383" s="184"/>
      <c r="S2383" s="184"/>
      <c r="T2383" s="185"/>
      <c r="U2383" s="185">
        <f t="shared" si="1313"/>
        <v>5989812.6100000003</v>
      </c>
      <c r="V2383" s="185">
        <f t="shared" si="1313"/>
        <v>12900000</v>
      </c>
      <c r="W2383" s="185">
        <f t="shared" si="1313"/>
        <v>12900000</v>
      </c>
      <c r="X2383" s="185">
        <f t="shared" si="1313"/>
        <v>12900000</v>
      </c>
      <c r="Y2383" s="185">
        <f t="shared" si="1313"/>
        <v>5342430.33</v>
      </c>
      <c r="Z2383" s="185">
        <f t="shared" si="1313"/>
        <v>41.41</v>
      </c>
      <c r="AA2383" s="185">
        <f t="shared" si="1313"/>
        <v>-2300000</v>
      </c>
      <c r="AB2383" s="185">
        <f t="shared" si="1313"/>
        <v>10600000</v>
      </c>
      <c r="AC2383" s="185">
        <f t="shared" si="1313"/>
        <v>6808600.6200000001</v>
      </c>
      <c r="AD2383" s="185">
        <f t="shared" si="1302"/>
        <v>64.232081320754716</v>
      </c>
      <c r="AE2383" s="185">
        <f t="shared" si="1306"/>
        <v>-210000</v>
      </c>
      <c r="AF2383" s="185">
        <f t="shared" si="1313"/>
        <v>10390000</v>
      </c>
      <c r="AG2383" s="185">
        <f t="shared" si="1313"/>
        <v>8300000</v>
      </c>
      <c r="AH2383" s="185">
        <f t="shared" si="1313"/>
        <v>8300000</v>
      </c>
      <c r="AI2383" s="185">
        <f t="shared" si="1313"/>
        <v>8300000</v>
      </c>
      <c r="AJ2383" s="162" t="b">
        <f t="shared" si="1310"/>
        <v>1</v>
      </c>
      <c r="AK2383" s="162" t="str">
        <f t="shared" si="1311"/>
        <v>PRAZNO</v>
      </c>
      <c r="AL2383" s="173"/>
    </row>
    <row r="2384" spans="1:39" ht="30" x14ac:dyDescent="0.2">
      <c r="B2384" s="177"/>
      <c r="C2384" s="177">
        <v>37</v>
      </c>
      <c r="D2384" s="177"/>
      <c r="E2384" s="177"/>
      <c r="F2384" s="176"/>
      <c r="G2384" s="176"/>
      <c r="H2384" s="44" t="s">
        <v>410</v>
      </c>
      <c r="I2384" s="18"/>
      <c r="J2384" s="178"/>
      <c r="K2384" s="178"/>
      <c r="L2384" s="178"/>
      <c r="M2384" s="178"/>
      <c r="N2384" s="178"/>
      <c r="O2384" s="178"/>
      <c r="P2384" s="26"/>
      <c r="Q2384" s="178"/>
      <c r="R2384" s="178"/>
      <c r="S2384" s="178"/>
      <c r="T2384" s="266"/>
      <c r="U2384" s="266">
        <f t="shared" ref="U2384:AA2384" si="1314">U2386</f>
        <v>5989812.6100000003</v>
      </c>
      <c r="V2384" s="266">
        <f t="shared" si="1314"/>
        <v>12900000</v>
      </c>
      <c r="W2384" s="266">
        <f t="shared" si="1314"/>
        <v>12900000</v>
      </c>
      <c r="X2384" s="266">
        <f t="shared" si="1314"/>
        <v>12900000</v>
      </c>
      <c r="Y2384" s="266">
        <f t="shared" si="1314"/>
        <v>5342430.33</v>
      </c>
      <c r="Z2384" s="266">
        <f t="shared" si="1314"/>
        <v>41.41</v>
      </c>
      <c r="AA2384" s="266">
        <f t="shared" si="1314"/>
        <v>-2300000</v>
      </c>
      <c r="AB2384" s="266">
        <f>AB2386</f>
        <v>10600000</v>
      </c>
      <c r="AC2384" s="266">
        <f>AC2386</f>
        <v>6808600.6200000001</v>
      </c>
      <c r="AD2384" s="266">
        <f t="shared" si="1302"/>
        <v>64.232081320754716</v>
      </c>
      <c r="AE2384" s="266">
        <f t="shared" si="1306"/>
        <v>-210000</v>
      </c>
      <c r="AF2384" s="266">
        <f>AF2386</f>
        <v>10390000</v>
      </c>
      <c r="AG2384" s="266">
        <f>AG2386</f>
        <v>8300000</v>
      </c>
      <c r="AH2384" s="266">
        <f>AH2386</f>
        <v>8300000</v>
      </c>
      <c r="AI2384" s="266">
        <f>AI2386</f>
        <v>8300000</v>
      </c>
      <c r="AJ2384" s="162" t="b">
        <f t="shared" si="1310"/>
        <v>1</v>
      </c>
      <c r="AK2384" s="162" t="str">
        <f t="shared" si="1311"/>
        <v>PRAZNO</v>
      </c>
      <c r="AM2384" s="164"/>
    </row>
    <row r="2385" spans="1:39" ht="32.25" customHeight="1" x14ac:dyDescent="0.2">
      <c r="B2385" s="177"/>
      <c r="C2385" s="177"/>
      <c r="D2385" s="177">
        <v>372</v>
      </c>
      <c r="E2385" s="177"/>
      <c r="F2385" s="176"/>
      <c r="G2385" s="176"/>
      <c r="H2385" s="44" t="s">
        <v>411</v>
      </c>
      <c r="I2385" s="18"/>
      <c r="J2385" s="178"/>
      <c r="K2385" s="178"/>
      <c r="L2385" s="178"/>
      <c r="M2385" s="178"/>
      <c r="N2385" s="178"/>
      <c r="O2385" s="178"/>
      <c r="P2385" s="26"/>
      <c r="Q2385" s="178"/>
      <c r="R2385" s="178"/>
      <c r="S2385" s="178"/>
      <c r="T2385" s="266"/>
      <c r="U2385" s="266">
        <f t="shared" ref="U2385:AA2385" si="1315">U2386</f>
        <v>5989812.6100000003</v>
      </c>
      <c r="V2385" s="266">
        <f t="shared" si="1315"/>
        <v>12900000</v>
      </c>
      <c r="W2385" s="266">
        <f t="shared" si="1315"/>
        <v>12900000</v>
      </c>
      <c r="X2385" s="266">
        <f t="shared" si="1315"/>
        <v>12900000</v>
      </c>
      <c r="Y2385" s="266">
        <f t="shared" si="1315"/>
        <v>5342430.33</v>
      </c>
      <c r="Z2385" s="266">
        <f t="shared" si="1315"/>
        <v>41.41</v>
      </c>
      <c r="AA2385" s="266">
        <f t="shared" si="1315"/>
        <v>-2300000</v>
      </c>
      <c r="AB2385" s="266">
        <f>AB2386</f>
        <v>10600000</v>
      </c>
      <c r="AC2385" s="266">
        <f>AC2386</f>
        <v>6808600.6200000001</v>
      </c>
      <c r="AD2385" s="266">
        <f t="shared" si="1302"/>
        <v>64.232081320754716</v>
      </c>
      <c r="AE2385" s="266">
        <f t="shared" si="1306"/>
        <v>-210000</v>
      </c>
      <c r="AF2385" s="266">
        <f>AF2386</f>
        <v>10390000</v>
      </c>
      <c r="AG2385" s="266">
        <f>AG2386</f>
        <v>8300000</v>
      </c>
      <c r="AH2385" s="266">
        <f>AH2386</f>
        <v>8300000</v>
      </c>
      <c r="AI2385" s="266">
        <f>AI2386</f>
        <v>8300000</v>
      </c>
      <c r="AJ2385" s="162" t="b">
        <f t="shared" si="1310"/>
        <v>1</v>
      </c>
      <c r="AK2385" s="162" t="str">
        <f t="shared" si="1311"/>
        <v>PRAZNO</v>
      </c>
      <c r="AM2385" s="164"/>
    </row>
    <row r="2386" spans="1:39" ht="30" x14ac:dyDescent="0.2">
      <c r="B2386" s="177"/>
      <c r="C2386" s="177"/>
      <c r="D2386" s="177"/>
      <c r="E2386" s="177">
        <v>3722</v>
      </c>
      <c r="F2386" s="265">
        <v>52</v>
      </c>
      <c r="G2386" s="176"/>
      <c r="H2386" s="44" t="s">
        <v>418</v>
      </c>
      <c r="I2386" s="18"/>
      <c r="J2386" s="178"/>
      <c r="K2386" s="178"/>
      <c r="L2386" s="178"/>
      <c r="M2386" s="178"/>
      <c r="N2386" s="178"/>
      <c r="O2386" s="178">
        <v>0</v>
      </c>
      <c r="P2386" s="26">
        <f>T2386-N2386</f>
        <v>5700000</v>
      </c>
      <c r="Q2386" s="178"/>
      <c r="R2386" s="178"/>
      <c r="S2386" s="178"/>
      <c r="T2386" s="266">
        <v>5700000</v>
      </c>
      <c r="U2386" s="266">
        <v>5989812.6100000003</v>
      </c>
      <c r="V2386" s="266">
        <v>12900000</v>
      </c>
      <c r="W2386" s="266">
        <v>12900000</v>
      </c>
      <c r="X2386" s="266">
        <v>12900000</v>
      </c>
      <c r="Y2386" s="266">
        <v>5342430.33</v>
      </c>
      <c r="Z2386" s="266">
        <f t="shared" si="1304"/>
        <v>41.41</v>
      </c>
      <c r="AA2386" s="266">
        <f t="shared" si="1301"/>
        <v>-2300000</v>
      </c>
      <c r="AB2386" s="266">
        <v>10600000</v>
      </c>
      <c r="AC2386" s="266">
        <v>6808600.6200000001</v>
      </c>
      <c r="AD2386" s="266">
        <f t="shared" si="1302"/>
        <v>64.232081320754716</v>
      </c>
      <c r="AE2386" s="266">
        <f t="shared" si="1306"/>
        <v>-210000</v>
      </c>
      <c r="AF2386" s="266">
        <v>10390000</v>
      </c>
      <c r="AG2386" s="266">
        <v>8300000</v>
      </c>
      <c r="AH2386" s="266">
        <v>8300000</v>
      </c>
      <c r="AI2386" s="266">
        <v>8300000</v>
      </c>
      <c r="AJ2386" s="162" t="b">
        <f t="shared" si="1310"/>
        <v>0</v>
      </c>
      <c r="AK2386" s="162" t="str">
        <f t="shared" si="1311"/>
        <v>PUNO</v>
      </c>
      <c r="AM2386" s="164"/>
    </row>
    <row r="2387" spans="1:39" s="171" customFormat="1" ht="31.5" x14ac:dyDescent="0.2">
      <c r="A2387" s="259"/>
      <c r="B2387" s="168"/>
      <c r="C2387" s="168"/>
      <c r="D2387" s="168"/>
      <c r="E2387" s="168"/>
      <c r="F2387" s="168"/>
      <c r="G2387" s="168"/>
      <c r="H2387" s="13" t="s">
        <v>478</v>
      </c>
      <c r="I2387" s="169">
        <f>I2389</f>
        <v>606700</v>
      </c>
      <c r="J2387" s="169">
        <f>J2389</f>
        <v>491</v>
      </c>
      <c r="K2387" s="169">
        <f>ROUND(J2387/I2387*100,2)</f>
        <v>0.08</v>
      </c>
      <c r="L2387" s="169">
        <f>M2387-I2387</f>
        <v>-606209</v>
      </c>
      <c r="M2387" s="19">
        <f>M2389</f>
        <v>491</v>
      </c>
      <c r="N2387" s="19">
        <f>N2389</f>
        <v>967600</v>
      </c>
      <c r="O2387" s="19">
        <f>O2389</f>
        <v>0</v>
      </c>
      <c r="P2387" s="303">
        <f>T2387-N2387</f>
        <v>0</v>
      </c>
      <c r="Q2387" s="19">
        <f t="shared" ref="Q2387:X2387" si="1316">Q2389</f>
        <v>967600</v>
      </c>
      <c r="R2387" s="19">
        <f t="shared" si="1316"/>
        <v>1300000</v>
      </c>
      <c r="S2387" s="19">
        <f t="shared" si="1316"/>
        <v>2511100</v>
      </c>
      <c r="T2387" s="53">
        <f t="shared" si="1316"/>
        <v>967600</v>
      </c>
      <c r="U2387" s="53">
        <f>U2389</f>
        <v>0</v>
      </c>
      <c r="V2387" s="19">
        <f>V2389+V2394</f>
        <v>856775</v>
      </c>
      <c r="W2387" s="19">
        <f t="shared" si="1316"/>
        <v>0</v>
      </c>
      <c r="X2387" s="19">
        <f t="shared" si="1316"/>
        <v>0</v>
      </c>
      <c r="Y2387" s="19">
        <f>Y2389+Y2394</f>
        <v>0</v>
      </c>
      <c r="Z2387" s="19">
        <f t="shared" si="1304"/>
        <v>0</v>
      </c>
      <c r="AA2387" s="19">
        <f t="shared" si="1301"/>
        <v>-100000</v>
      </c>
      <c r="AB2387" s="19">
        <f>AB2389+AB2394</f>
        <v>756775</v>
      </c>
      <c r="AC2387" s="19">
        <f>AC2389+AC2394</f>
        <v>0</v>
      </c>
      <c r="AD2387" s="19">
        <f t="shared" si="1302"/>
        <v>0</v>
      </c>
      <c r="AE2387" s="19">
        <f t="shared" si="1306"/>
        <v>-226275</v>
      </c>
      <c r="AF2387" s="19">
        <f>AF2389+AF2394</f>
        <v>530500</v>
      </c>
      <c r="AG2387" s="19">
        <f>AG2389+AG2394</f>
        <v>756775</v>
      </c>
      <c r="AH2387" s="19">
        <f>AH2389+AH2394</f>
        <v>0</v>
      </c>
      <c r="AI2387" s="19">
        <f>AI2389+AI2394</f>
        <v>0</v>
      </c>
      <c r="AJ2387" s="162" t="b">
        <f t="shared" si="1310"/>
        <v>1</v>
      </c>
      <c r="AK2387" s="162" t="str">
        <f t="shared" si="1311"/>
        <v>PRAZNO</v>
      </c>
      <c r="AL2387" s="170"/>
      <c r="AM2387" s="164"/>
    </row>
    <row r="2388" spans="1:39" s="264" customFormat="1" ht="15.75" x14ac:dyDescent="0.2">
      <c r="A2388" s="259"/>
      <c r="B2388" s="260"/>
      <c r="C2388" s="260"/>
      <c r="D2388" s="260"/>
      <c r="E2388" s="260"/>
      <c r="F2388" s="260"/>
      <c r="G2388" s="260"/>
      <c r="H2388" s="440" t="s">
        <v>824</v>
      </c>
      <c r="I2388" s="181"/>
      <c r="J2388" s="181"/>
      <c r="K2388" s="181"/>
      <c r="L2388" s="181"/>
      <c r="M2388" s="262"/>
      <c r="N2388" s="262"/>
      <c r="O2388" s="262"/>
      <c r="P2388" s="445"/>
      <c r="Q2388" s="262"/>
      <c r="R2388" s="262"/>
      <c r="S2388" s="262"/>
      <c r="T2388" s="342"/>
      <c r="U2388" s="342"/>
      <c r="V2388" s="262">
        <f>V2389</f>
        <v>500000</v>
      </c>
      <c r="W2388" s="262">
        <f>W2389</f>
        <v>0</v>
      </c>
      <c r="X2388" s="262">
        <f>X2389</f>
        <v>0</v>
      </c>
      <c r="Y2388" s="262">
        <f>Y2389</f>
        <v>0</v>
      </c>
      <c r="Z2388" s="262">
        <f t="shared" si="1304"/>
        <v>0</v>
      </c>
      <c r="AA2388" s="262">
        <f t="shared" si="1301"/>
        <v>-100000</v>
      </c>
      <c r="AB2388" s="262">
        <f>AB2389</f>
        <v>400000</v>
      </c>
      <c r="AC2388" s="262">
        <f>AC2389</f>
        <v>0</v>
      </c>
      <c r="AD2388" s="262">
        <f t="shared" si="1302"/>
        <v>0</v>
      </c>
      <c r="AE2388" s="262">
        <f t="shared" si="1306"/>
        <v>0</v>
      </c>
      <c r="AF2388" s="262">
        <f>AF2389</f>
        <v>400000</v>
      </c>
      <c r="AG2388" s="262">
        <f>AG2389</f>
        <v>400000</v>
      </c>
      <c r="AH2388" s="262">
        <f>AH2389</f>
        <v>0</v>
      </c>
      <c r="AI2388" s="262">
        <f>AI2389</f>
        <v>0</v>
      </c>
      <c r="AJ2388" s="162" t="b">
        <f t="shared" si="1310"/>
        <v>1</v>
      </c>
      <c r="AK2388" s="162" t="str">
        <f t="shared" si="1311"/>
        <v>PRAZNO</v>
      </c>
      <c r="AL2388" s="263"/>
    </row>
    <row r="2389" spans="1:39" s="174" customFormat="1" ht="15.75" x14ac:dyDescent="0.2">
      <c r="A2389" s="259"/>
      <c r="B2389" s="172">
        <v>4</v>
      </c>
      <c r="C2389" s="172"/>
      <c r="D2389" s="172"/>
      <c r="E2389" s="172"/>
      <c r="F2389" s="172"/>
      <c r="G2389" s="172"/>
      <c r="H2389" s="14" t="s">
        <v>552</v>
      </c>
      <c r="I2389" s="20">
        <f t="shared" ref="I2389:AI2390" si="1317">I2390</f>
        <v>606700</v>
      </c>
      <c r="J2389" s="20">
        <f t="shared" si="1317"/>
        <v>491</v>
      </c>
      <c r="K2389" s="20">
        <f>ROUND(J2389/I2389*100,2)</f>
        <v>0.08</v>
      </c>
      <c r="L2389" s="20">
        <f t="shared" ref="L2389:L2397" si="1318">M2389-I2389</f>
        <v>-606209</v>
      </c>
      <c r="M2389" s="20">
        <f t="shared" si="1317"/>
        <v>491</v>
      </c>
      <c r="N2389" s="20">
        <f t="shared" si="1317"/>
        <v>967600</v>
      </c>
      <c r="O2389" s="20">
        <f t="shared" si="1317"/>
        <v>0</v>
      </c>
      <c r="P2389" s="55">
        <f>T2389-N2389</f>
        <v>0</v>
      </c>
      <c r="Q2389" s="20">
        <f t="shared" si="1317"/>
        <v>967600</v>
      </c>
      <c r="R2389" s="20">
        <f t="shared" si="1317"/>
        <v>1300000</v>
      </c>
      <c r="S2389" s="20">
        <f t="shared" si="1317"/>
        <v>2511100</v>
      </c>
      <c r="T2389" s="55">
        <f t="shared" si="1317"/>
        <v>967600</v>
      </c>
      <c r="U2389" s="55">
        <f t="shared" si="1317"/>
        <v>0</v>
      </c>
      <c r="V2389" s="20">
        <f t="shared" si="1317"/>
        <v>500000</v>
      </c>
      <c r="W2389" s="20">
        <f t="shared" si="1317"/>
        <v>0</v>
      </c>
      <c r="X2389" s="20">
        <f t="shared" si="1317"/>
        <v>0</v>
      </c>
      <c r="Y2389" s="20">
        <f t="shared" si="1317"/>
        <v>0</v>
      </c>
      <c r="Z2389" s="20">
        <f t="shared" si="1304"/>
        <v>0</v>
      </c>
      <c r="AA2389" s="20">
        <f t="shared" ref="AA2389:AA2452" si="1319">AB2389-V2389</f>
        <v>-100000</v>
      </c>
      <c r="AB2389" s="20">
        <f t="shared" si="1317"/>
        <v>400000</v>
      </c>
      <c r="AC2389" s="20">
        <f t="shared" si="1317"/>
        <v>0</v>
      </c>
      <c r="AD2389" s="20">
        <f t="shared" si="1302"/>
        <v>0</v>
      </c>
      <c r="AE2389" s="20">
        <f t="shared" si="1306"/>
        <v>0</v>
      </c>
      <c r="AF2389" s="20">
        <f t="shared" si="1317"/>
        <v>400000</v>
      </c>
      <c r="AG2389" s="20">
        <f t="shared" si="1317"/>
        <v>400000</v>
      </c>
      <c r="AH2389" s="20">
        <f t="shared" si="1317"/>
        <v>0</v>
      </c>
      <c r="AI2389" s="20">
        <f t="shared" si="1317"/>
        <v>0</v>
      </c>
      <c r="AJ2389" s="162" t="b">
        <f t="shared" si="1310"/>
        <v>1</v>
      </c>
      <c r="AK2389" s="162" t="str">
        <f t="shared" si="1311"/>
        <v>PRAZNO</v>
      </c>
      <c r="AL2389" s="173"/>
      <c r="AM2389" s="164"/>
    </row>
    <row r="2390" spans="1:39" ht="15.75" x14ac:dyDescent="0.2">
      <c r="B2390" s="177"/>
      <c r="C2390" s="177">
        <v>42</v>
      </c>
      <c r="D2390" s="177"/>
      <c r="E2390" s="177"/>
      <c r="F2390" s="177"/>
      <c r="G2390" s="177"/>
      <c r="H2390" s="16" t="s">
        <v>212</v>
      </c>
      <c r="I2390" s="18">
        <f t="shared" si="1317"/>
        <v>606700</v>
      </c>
      <c r="J2390" s="18">
        <f t="shared" si="1317"/>
        <v>491</v>
      </c>
      <c r="K2390" s="18">
        <f>ROUND(J2390/I2390*100,2)</f>
        <v>0.08</v>
      </c>
      <c r="L2390" s="18">
        <f t="shared" si="1318"/>
        <v>-606209</v>
      </c>
      <c r="M2390" s="18">
        <f t="shared" si="1317"/>
        <v>491</v>
      </c>
      <c r="N2390" s="18">
        <f t="shared" si="1317"/>
        <v>967600</v>
      </c>
      <c r="O2390" s="18">
        <f t="shared" si="1317"/>
        <v>0</v>
      </c>
      <c r="P2390" s="26">
        <f>T2390-N2390</f>
        <v>0</v>
      </c>
      <c r="Q2390" s="18">
        <f t="shared" si="1317"/>
        <v>967600</v>
      </c>
      <c r="R2390" s="18">
        <f t="shared" si="1317"/>
        <v>1300000</v>
      </c>
      <c r="S2390" s="18">
        <f t="shared" si="1317"/>
        <v>2511100</v>
      </c>
      <c r="T2390" s="27">
        <f t="shared" si="1317"/>
        <v>967600</v>
      </c>
      <c r="U2390" s="27">
        <f t="shared" si="1317"/>
        <v>0</v>
      </c>
      <c r="V2390" s="18">
        <f t="shared" si="1317"/>
        <v>500000</v>
      </c>
      <c r="W2390" s="18">
        <f t="shared" si="1317"/>
        <v>0</v>
      </c>
      <c r="X2390" s="18">
        <f t="shared" si="1317"/>
        <v>0</v>
      </c>
      <c r="Y2390" s="18">
        <f t="shared" si="1317"/>
        <v>0</v>
      </c>
      <c r="Z2390" s="18">
        <f t="shared" si="1304"/>
        <v>0</v>
      </c>
      <c r="AA2390" s="18">
        <f t="shared" si="1319"/>
        <v>-100000</v>
      </c>
      <c r="AB2390" s="18">
        <f t="shared" si="1317"/>
        <v>400000</v>
      </c>
      <c r="AC2390" s="18">
        <f t="shared" si="1317"/>
        <v>0</v>
      </c>
      <c r="AD2390" s="18">
        <f t="shared" si="1302"/>
        <v>0</v>
      </c>
      <c r="AE2390" s="18">
        <f t="shared" si="1306"/>
        <v>0</v>
      </c>
      <c r="AF2390" s="18">
        <f t="shared" si="1317"/>
        <v>400000</v>
      </c>
      <c r="AG2390" s="18">
        <f t="shared" si="1317"/>
        <v>400000</v>
      </c>
      <c r="AH2390" s="18">
        <f t="shared" si="1317"/>
        <v>0</v>
      </c>
      <c r="AI2390" s="18">
        <f t="shared" si="1317"/>
        <v>0</v>
      </c>
      <c r="AJ2390" s="162" t="b">
        <f t="shared" si="1310"/>
        <v>1</v>
      </c>
      <c r="AK2390" s="162" t="str">
        <f t="shared" si="1311"/>
        <v>PRAZNO</v>
      </c>
      <c r="AM2390" s="164"/>
    </row>
    <row r="2391" spans="1:39" ht="15.75" x14ac:dyDescent="0.2">
      <c r="B2391" s="177"/>
      <c r="C2391" s="177"/>
      <c r="D2391" s="177">
        <v>421</v>
      </c>
      <c r="E2391" s="177"/>
      <c r="F2391" s="177"/>
      <c r="G2391" s="177"/>
      <c r="H2391" s="16" t="s">
        <v>759</v>
      </c>
      <c r="I2391" s="18">
        <f>SUM(I2392:I2397)</f>
        <v>606700</v>
      </c>
      <c r="J2391" s="18">
        <f>SUM(J2392:J2397)</f>
        <v>491</v>
      </c>
      <c r="K2391" s="18">
        <f>ROUND(J2391/I2391*100,2)</f>
        <v>0.08</v>
      </c>
      <c r="L2391" s="18">
        <f t="shared" si="1318"/>
        <v>-606209</v>
      </c>
      <c r="M2391" s="18">
        <f>SUM(M2392:M2397)</f>
        <v>491</v>
      </c>
      <c r="N2391" s="18">
        <f>SUM(N2392:N2397)</f>
        <v>967600</v>
      </c>
      <c r="O2391" s="18">
        <f>SUM(O2392:O2397)</f>
        <v>0</v>
      </c>
      <c r="P2391" s="26">
        <f>T2391-N2391</f>
        <v>0</v>
      </c>
      <c r="Q2391" s="18">
        <f>SUM(Q2392:Q2397)</f>
        <v>967600</v>
      </c>
      <c r="R2391" s="18">
        <f>SUM(R2392:R2397)</f>
        <v>1300000</v>
      </c>
      <c r="S2391" s="18">
        <f>SUM(S2392:S2397)</f>
        <v>2511100</v>
      </c>
      <c r="T2391" s="27">
        <f>SUM(T2392:T2397)</f>
        <v>967600</v>
      </c>
      <c r="U2391" s="27">
        <f>SUM(U2392:U2397)</f>
        <v>0</v>
      </c>
      <c r="V2391" s="18">
        <f>V2392</f>
        <v>500000</v>
      </c>
      <c r="W2391" s="18">
        <f>SUM(W2392:W2397)</f>
        <v>0</v>
      </c>
      <c r="X2391" s="18">
        <f>SUM(X2392:X2397)</f>
        <v>0</v>
      </c>
      <c r="Y2391" s="18">
        <f>Y2392</f>
        <v>0</v>
      </c>
      <c r="Z2391" s="18">
        <f t="shared" si="1304"/>
        <v>0</v>
      </c>
      <c r="AA2391" s="18">
        <f t="shared" si="1319"/>
        <v>-100000</v>
      </c>
      <c r="AB2391" s="18">
        <f>AB2392</f>
        <v>400000</v>
      </c>
      <c r="AC2391" s="18">
        <f>AC2392</f>
        <v>0</v>
      </c>
      <c r="AD2391" s="18">
        <f t="shared" si="1302"/>
        <v>0</v>
      </c>
      <c r="AE2391" s="18">
        <f t="shared" si="1306"/>
        <v>0</v>
      </c>
      <c r="AF2391" s="18">
        <f>AF2392</f>
        <v>400000</v>
      </c>
      <c r="AG2391" s="18">
        <f>AG2392</f>
        <v>400000</v>
      </c>
      <c r="AH2391" s="18">
        <f>AH2392</f>
        <v>0</v>
      </c>
      <c r="AI2391" s="18">
        <f>AI2392</f>
        <v>0</v>
      </c>
      <c r="AJ2391" s="162" t="b">
        <f t="shared" si="1310"/>
        <v>1</v>
      </c>
      <c r="AK2391" s="162" t="str">
        <f t="shared" si="1311"/>
        <v>PRAZNO</v>
      </c>
      <c r="AM2391" s="164"/>
    </row>
    <row r="2392" spans="1:39" ht="15.75" x14ac:dyDescent="0.2">
      <c r="B2392" s="177"/>
      <c r="C2392" s="177"/>
      <c r="D2392" s="177"/>
      <c r="E2392" s="177">
        <v>4212</v>
      </c>
      <c r="F2392" s="176">
        <v>14</v>
      </c>
      <c r="G2392" s="176" t="s">
        <v>1040</v>
      </c>
      <c r="H2392" s="16" t="s">
        <v>649</v>
      </c>
      <c r="I2392" s="18">
        <v>250000</v>
      </c>
      <c r="J2392" s="18">
        <v>491</v>
      </c>
      <c r="K2392" s="18">
        <f>ROUND(J2392/I2392*100,2)</f>
        <v>0.2</v>
      </c>
      <c r="L2392" s="18">
        <f t="shared" si="1318"/>
        <v>-249509</v>
      </c>
      <c r="M2392" s="18">
        <v>491</v>
      </c>
      <c r="N2392" s="18">
        <v>610825</v>
      </c>
      <c r="O2392" s="18">
        <v>0</v>
      </c>
      <c r="P2392" s="26">
        <f>T2392-N2392</f>
        <v>0</v>
      </c>
      <c r="Q2392" s="18">
        <v>700000</v>
      </c>
      <c r="R2392" s="18">
        <v>1300000</v>
      </c>
      <c r="S2392" s="18">
        <f>2000000+511100</f>
        <v>2511100</v>
      </c>
      <c r="T2392" s="27">
        <v>610825</v>
      </c>
      <c r="U2392" s="27">
        <v>0</v>
      </c>
      <c r="V2392" s="18">
        <v>500000</v>
      </c>
      <c r="W2392" s="18"/>
      <c r="X2392" s="18"/>
      <c r="Y2392" s="18">
        <v>0</v>
      </c>
      <c r="Z2392" s="18">
        <f t="shared" si="1304"/>
        <v>0</v>
      </c>
      <c r="AA2392" s="18">
        <f t="shared" si="1319"/>
        <v>-100000</v>
      </c>
      <c r="AB2392" s="18">
        <v>400000</v>
      </c>
      <c r="AC2392" s="18">
        <v>0</v>
      </c>
      <c r="AD2392" s="18">
        <f t="shared" si="1302"/>
        <v>0</v>
      </c>
      <c r="AE2392" s="18">
        <f t="shared" si="1306"/>
        <v>0</v>
      </c>
      <c r="AF2392" s="18">
        <v>400000</v>
      </c>
      <c r="AG2392" s="18">
        <v>400000</v>
      </c>
      <c r="AH2392" s="18"/>
      <c r="AI2392" s="18"/>
      <c r="AJ2392" s="162" t="b">
        <f t="shared" si="1310"/>
        <v>0</v>
      </c>
      <c r="AK2392" s="162" t="str">
        <f t="shared" si="1311"/>
        <v>PUNO</v>
      </c>
      <c r="AM2392" s="164"/>
    </row>
    <row r="2393" spans="1:39" s="453" customFormat="1" ht="15.75" x14ac:dyDescent="0.25">
      <c r="A2393" s="378"/>
      <c r="B2393" s="260"/>
      <c r="C2393" s="260"/>
      <c r="D2393" s="260"/>
      <c r="E2393" s="260"/>
      <c r="F2393" s="448"/>
      <c r="G2393" s="448"/>
      <c r="H2393" s="440" t="s">
        <v>825</v>
      </c>
      <c r="I2393" s="449"/>
      <c r="J2393" s="449"/>
      <c r="K2393" s="449"/>
      <c r="L2393" s="449"/>
      <c r="M2393" s="449"/>
      <c r="N2393" s="449"/>
      <c r="O2393" s="449"/>
      <c r="P2393" s="202"/>
      <c r="Q2393" s="449"/>
      <c r="R2393" s="449"/>
      <c r="S2393" s="449"/>
      <c r="T2393" s="450"/>
      <c r="U2393" s="450"/>
      <c r="V2393" s="449">
        <f t="shared" ref="V2393:AI2396" si="1320">V2394</f>
        <v>356775</v>
      </c>
      <c r="W2393" s="449">
        <f t="shared" si="1320"/>
        <v>0</v>
      </c>
      <c r="X2393" s="449">
        <f t="shared" si="1320"/>
        <v>0</v>
      </c>
      <c r="Y2393" s="449">
        <f t="shared" si="1320"/>
        <v>0</v>
      </c>
      <c r="Z2393" s="449">
        <f t="shared" si="1304"/>
        <v>0</v>
      </c>
      <c r="AA2393" s="449">
        <f t="shared" si="1319"/>
        <v>0</v>
      </c>
      <c r="AB2393" s="449">
        <f t="shared" si="1320"/>
        <v>356775</v>
      </c>
      <c r="AC2393" s="449">
        <f t="shared" si="1320"/>
        <v>0</v>
      </c>
      <c r="AD2393" s="449">
        <f t="shared" si="1302"/>
        <v>0</v>
      </c>
      <c r="AE2393" s="449">
        <f t="shared" si="1306"/>
        <v>-226275</v>
      </c>
      <c r="AF2393" s="449">
        <f t="shared" si="1320"/>
        <v>130500</v>
      </c>
      <c r="AG2393" s="449">
        <f t="shared" si="1320"/>
        <v>356775</v>
      </c>
      <c r="AH2393" s="449">
        <f t="shared" si="1320"/>
        <v>0</v>
      </c>
      <c r="AI2393" s="449">
        <f t="shared" si="1320"/>
        <v>0</v>
      </c>
      <c r="AJ2393" s="162" t="b">
        <f t="shared" si="1310"/>
        <v>1</v>
      </c>
      <c r="AK2393" s="162" t="str">
        <f t="shared" si="1311"/>
        <v>PRAZNO</v>
      </c>
      <c r="AL2393" s="452"/>
      <c r="AM2393" s="287"/>
    </row>
    <row r="2394" spans="1:39" s="174" customFormat="1" ht="15.75" x14ac:dyDescent="0.2">
      <c r="A2394" s="259"/>
      <c r="B2394" s="172">
        <v>4</v>
      </c>
      <c r="C2394" s="172"/>
      <c r="D2394" s="172"/>
      <c r="E2394" s="172"/>
      <c r="F2394" s="220"/>
      <c r="G2394" s="220"/>
      <c r="H2394" s="14" t="s">
        <v>552</v>
      </c>
      <c r="I2394" s="184"/>
      <c r="J2394" s="184"/>
      <c r="K2394" s="184"/>
      <c r="L2394" s="184"/>
      <c r="M2394" s="184"/>
      <c r="N2394" s="184"/>
      <c r="O2394" s="184"/>
      <c r="P2394" s="55"/>
      <c r="Q2394" s="184"/>
      <c r="R2394" s="184"/>
      <c r="S2394" s="184"/>
      <c r="T2394" s="185"/>
      <c r="U2394" s="185"/>
      <c r="V2394" s="184">
        <f t="shared" si="1320"/>
        <v>356775</v>
      </c>
      <c r="W2394" s="184">
        <f t="shared" si="1320"/>
        <v>0</v>
      </c>
      <c r="X2394" s="184">
        <f t="shared" si="1320"/>
        <v>0</v>
      </c>
      <c r="Y2394" s="184">
        <f t="shared" si="1320"/>
        <v>0</v>
      </c>
      <c r="Z2394" s="184">
        <f t="shared" si="1304"/>
        <v>0</v>
      </c>
      <c r="AA2394" s="184">
        <f t="shared" si="1319"/>
        <v>0</v>
      </c>
      <c r="AB2394" s="184">
        <f t="shared" si="1320"/>
        <v>356775</v>
      </c>
      <c r="AC2394" s="184">
        <f t="shared" si="1320"/>
        <v>0</v>
      </c>
      <c r="AD2394" s="184">
        <f t="shared" si="1302"/>
        <v>0</v>
      </c>
      <c r="AE2394" s="184">
        <f t="shared" si="1306"/>
        <v>-226275</v>
      </c>
      <c r="AF2394" s="184">
        <f t="shared" si="1320"/>
        <v>130500</v>
      </c>
      <c r="AG2394" s="184">
        <f t="shared" si="1320"/>
        <v>356775</v>
      </c>
      <c r="AH2394" s="184">
        <f t="shared" si="1320"/>
        <v>0</v>
      </c>
      <c r="AI2394" s="184">
        <f t="shared" si="1320"/>
        <v>0</v>
      </c>
      <c r="AJ2394" s="162" t="b">
        <f t="shared" si="1310"/>
        <v>1</v>
      </c>
      <c r="AK2394" s="162" t="str">
        <f t="shared" si="1311"/>
        <v>PRAZNO</v>
      </c>
      <c r="AL2394" s="173"/>
    </row>
    <row r="2395" spans="1:39" ht="15.75" x14ac:dyDescent="0.2">
      <c r="B2395" s="177"/>
      <c r="C2395" s="177">
        <v>42</v>
      </c>
      <c r="D2395" s="177"/>
      <c r="E2395" s="177"/>
      <c r="F2395" s="176"/>
      <c r="G2395" s="176"/>
      <c r="H2395" s="16" t="s">
        <v>212</v>
      </c>
      <c r="I2395" s="18"/>
      <c r="J2395" s="18"/>
      <c r="K2395" s="18"/>
      <c r="L2395" s="18"/>
      <c r="M2395" s="18"/>
      <c r="N2395" s="18"/>
      <c r="O2395" s="18"/>
      <c r="P2395" s="26"/>
      <c r="Q2395" s="18"/>
      <c r="R2395" s="18"/>
      <c r="S2395" s="18"/>
      <c r="T2395" s="27"/>
      <c r="U2395" s="27"/>
      <c r="V2395" s="18">
        <f t="shared" si="1320"/>
        <v>356775</v>
      </c>
      <c r="W2395" s="18">
        <f t="shared" si="1320"/>
        <v>0</v>
      </c>
      <c r="X2395" s="18">
        <f t="shared" si="1320"/>
        <v>0</v>
      </c>
      <c r="Y2395" s="18">
        <f t="shared" si="1320"/>
        <v>0</v>
      </c>
      <c r="Z2395" s="18">
        <f t="shared" si="1304"/>
        <v>0</v>
      </c>
      <c r="AA2395" s="18">
        <f t="shared" si="1319"/>
        <v>0</v>
      </c>
      <c r="AB2395" s="18">
        <f t="shared" si="1320"/>
        <v>356775</v>
      </c>
      <c r="AC2395" s="18">
        <f t="shared" si="1320"/>
        <v>0</v>
      </c>
      <c r="AD2395" s="18">
        <f t="shared" si="1302"/>
        <v>0</v>
      </c>
      <c r="AE2395" s="18">
        <f t="shared" si="1306"/>
        <v>-226275</v>
      </c>
      <c r="AF2395" s="18">
        <f t="shared" si="1320"/>
        <v>130500</v>
      </c>
      <c r="AG2395" s="18">
        <f t="shared" si="1320"/>
        <v>356775</v>
      </c>
      <c r="AH2395" s="18">
        <f t="shared" si="1320"/>
        <v>0</v>
      </c>
      <c r="AI2395" s="18">
        <f t="shared" si="1320"/>
        <v>0</v>
      </c>
      <c r="AJ2395" s="162" t="b">
        <f t="shared" si="1310"/>
        <v>1</v>
      </c>
      <c r="AK2395" s="162" t="str">
        <f t="shared" si="1311"/>
        <v>PRAZNO</v>
      </c>
      <c r="AM2395" s="164"/>
    </row>
    <row r="2396" spans="1:39" ht="15.75" x14ac:dyDescent="0.2">
      <c r="B2396" s="177"/>
      <c r="C2396" s="177"/>
      <c r="D2396" s="177">
        <v>421</v>
      </c>
      <c r="E2396" s="177"/>
      <c r="F2396" s="176"/>
      <c r="G2396" s="176"/>
      <c r="H2396" s="16" t="s">
        <v>759</v>
      </c>
      <c r="I2396" s="18"/>
      <c r="J2396" s="18"/>
      <c r="K2396" s="18"/>
      <c r="L2396" s="18"/>
      <c r="M2396" s="18"/>
      <c r="N2396" s="18"/>
      <c r="O2396" s="18"/>
      <c r="P2396" s="26"/>
      <c r="Q2396" s="18"/>
      <c r="R2396" s="18"/>
      <c r="S2396" s="18"/>
      <c r="T2396" s="27"/>
      <c r="U2396" s="27"/>
      <c r="V2396" s="18">
        <f t="shared" si="1320"/>
        <v>356775</v>
      </c>
      <c r="W2396" s="18">
        <f t="shared" si="1320"/>
        <v>0</v>
      </c>
      <c r="X2396" s="18">
        <f t="shared" si="1320"/>
        <v>0</v>
      </c>
      <c r="Y2396" s="18">
        <f t="shared" si="1320"/>
        <v>0</v>
      </c>
      <c r="Z2396" s="18">
        <f t="shared" si="1304"/>
        <v>0</v>
      </c>
      <c r="AA2396" s="18">
        <f t="shared" si="1319"/>
        <v>0</v>
      </c>
      <c r="AB2396" s="18">
        <f t="shared" si="1320"/>
        <v>356775</v>
      </c>
      <c r="AC2396" s="18">
        <f t="shared" si="1320"/>
        <v>0</v>
      </c>
      <c r="AD2396" s="18">
        <f t="shared" si="1302"/>
        <v>0</v>
      </c>
      <c r="AE2396" s="18">
        <f t="shared" si="1306"/>
        <v>-226275</v>
      </c>
      <c r="AF2396" s="18">
        <f t="shared" si="1320"/>
        <v>130500</v>
      </c>
      <c r="AG2396" s="18">
        <f t="shared" si="1320"/>
        <v>356775</v>
      </c>
      <c r="AH2396" s="18">
        <f t="shared" si="1320"/>
        <v>0</v>
      </c>
      <c r="AI2396" s="18">
        <f t="shared" si="1320"/>
        <v>0</v>
      </c>
      <c r="AJ2396" s="162" t="b">
        <f t="shared" si="1310"/>
        <v>1</v>
      </c>
      <c r="AK2396" s="162" t="str">
        <f t="shared" si="1311"/>
        <v>PRAZNO</v>
      </c>
      <c r="AM2396" s="164"/>
    </row>
    <row r="2397" spans="1:39" ht="15.75" x14ac:dyDescent="0.2">
      <c r="B2397" s="177"/>
      <c r="C2397" s="177"/>
      <c r="D2397" s="177"/>
      <c r="E2397" s="177">
        <v>4212</v>
      </c>
      <c r="F2397" s="265">
        <v>55</v>
      </c>
      <c r="G2397" s="176" t="s">
        <v>1040</v>
      </c>
      <c r="H2397" s="16" t="s">
        <v>649</v>
      </c>
      <c r="I2397" s="18">
        <v>356700</v>
      </c>
      <c r="J2397" s="18">
        <v>0</v>
      </c>
      <c r="K2397" s="18">
        <f>ROUND(J2397/I2397*100,2)</f>
        <v>0</v>
      </c>
      <c r="L2397" s="18">
        <f t="shared" si="1318"/>
        <v>-356700</v>
      </c>
      <c r="M2397" s="18"/>
      <c r="N2397" s="18">
        <v>356775</v>
      </c>
      <c r="O2397" s="18">
        <v>0</v>
      </c>
      <c r="P2397" s="26">
        <f>T2397-N2397</f>
        <v>0</v>
      </c>
      <c r="Q2397" s="18">
        <v>267600</v>
      </c>
      <c r="R2397" s="18"/>
      <c r="S2397" s="18"/>
      <c r="T2397" s="27">
        <v>356775</v>
      </c>
      <c r="U2397" s="27">
        <v>0</v>
      </c>
      <c r="V2397" s="18">
        <v>356775</v>
      </c>
      <c r="W2397" s="18">
        <v>0</v>
      </c>
      <c r="X2397" s="18">
        <v>0</v>
      </c>
      <c r="Y2397" s="18">
        <v>0</v>
      </c>
      <c r="Z2397" s="18">
        <f t="shared" si="1304"/>
        <v>0</v>
      </c>
      <c r="AA2397" s="18">
        <f t="shared" si="1319"/>
        <v>0</v>
      </c>
      <c r="AB2397" s="18">
        <v>356775</v>
      </c>
      <c r="AC2397" s="18">
        <v>0</v>
      </c>
      <c r="AD2397" s="18">
        <f t="shared" si="1302"/>
        <v>0</v>
      </c>
      <c r="AE2397" s="18">
        <f t="shared" si="1306"/>
        <v>-226275</v>
      </c>
      <c r="AF2397" s="18">
        <f>356775-226275</f>
        <v>130500</v>
      </c>
      <c r="AG2397" s="18">
        <v>356775</v>
      </c>
      <c r="AH2397" s="18"/>
      <c r="AI2397" s="18"/>
      <c r="AJ2397" s="162" t="b">
        <f t="shared" si="1310"/>
        <v>0</v>
      </c>
      <c r="AK2397" s="162" t="str">
        <f t="shared" si="1311"/>
        <v>PUNO</v>
      </c>
      <c r="AM2397" s="164"/>
    </row>
    <row r="2398" spans="1:39" s="171" customFormat="1" ht="31.5" x14ac:dyDescent="0.2">
      <c r="A2398" s="259"/>
      <c r="B2398" s="168"/>
      <c r="C2398" s="168"/>
      <c r="D2398" s="168"/>
      <c r="E2398" s="168"/>
      <c r="F2398" s="168"/>
      <c r="G2398" s="168"/>
      <c r="H2398" s="13" t="s">
        <v>620</v>
      </c>
      <c r="I2398" s="301">
        <f>I2400</f>
        <v>1207500</v>
      </c>
      <c r="J2398" s="301"/>
      <c r="K2398" s="301"/>
      <c r="L2398" s="301"/>
      <c r="M2398" s="301">
        <f>M2400</f>
        <v>0</v>
      </c>
      <c r="N2398" s="301">
        <f>N2400</f>
        <v>500000</v>
      </c>
      <c r="O2398" s="301">
        <f>O2400</f>
        <v>0</v>
      </c>
      <c r="P2398" s="303">
        <f>T2398-N2398</f>
        <v>0</v>
      </c>
      <c r="Q2398" s="242">
        <f t="shared" ref="Q2398:X2398" si="1321">Q2400</f>
        <v>500000</v>
      </c>
      <c r="R2398" s="242">
        <f t="shared" si="1321"/>
        <v>1000000</v>
      </c>
      <c r="S2398" s="242">
        <f t="shared" si="1321"/>
        <v>1500000</v>
      </c>
      <c r="T2398" s="305">
        <f t="shared" si="1321"/>
        <v>500000</v>
      </c>
      <c r="U2398" s="305">
        <f>U2400</f>
        <v>0</v>
      </c>
      <c r="V2398" s="301">
        <f t="shared" si="1321"/>
        <v>100000</v>
      </c>
      <c r="W2398" s="301">
        <f t="shared" si="1321"/>
        <v>0</v>
      </c>
      <c r="X2398" s="301">
        <f t="shared" si="1321"/>
        <v>0</v>
      </c>
      <c r="Y2398" s="301">
        <f>Y2400</f>
        <v>0</v>
      </c>
      <c r="Z2398" s="301">
        <f t="shared" si="1304"/>
        <v>0</v>
      </c>
      <c r="AA2398" s="301">
        <f t="shared" si="1319"/>
        <v>-54500</v>
      </c>
      <c r="AB2398" s="301">
        <f>AB2400</f>
        <v>45500</v>
      </c>
      <c r="AC2398" s="301">
        <f>AC2400</f>
        <v>0</v>
      </c>
      <c r="AD2398" s="301">
        <f t="shared" si="1302"/>
        <v>0</v>
      </c>
      <c r="AE2398" s="301">
        <f t="shared" si="1306"/>
        <v>0</v>
      </c>
      <c r="AF2398" s="301">
        <f>AF2400</f>
        <v>45500</v>
      </c>
      <c r="AG2398" s="301">
        <f>AG2400</f>
        <v>15000</v>
      </c>
      <c r="AH2398" s="301">
        <f>AH2400</f>
        <v>0</v>
      </c>
      <c r="AI2398" s="301">
        <f>AI2400</f>
        <v>0</v>
      </c>
      <c r="AJ2398" s="162" t="b">
        <f t="shared" si="1310"/>
        <v>1</v>
      </c>
      <c r="AK2398" s="162" t="str">
        <f t="shared" si="1311"/>
        <v>PRAZNO</v>
      </c>
      <c r="AL2398" s="170"/>
    </row>
    <row r="2399" spans="1:39" s="264" customFormat="1" ht="15.75" x14ac:dyDescent="0.2">
      <c r="A2399" s="259"/>
      <c r="B2399" s="260"/>
      <c r="C2399" s="260"/>
      <c r="D2399" s="260"/>
      <c r="E2399" s="260"/>
      <c r="F2399" s="260"/>
      <c r="G2399" s="260"/>
      <c r="H2399" s="440" t="s">
        <v>824</v>
      </c>
      <c r="I2399" s="462"/>
      <c r="J2399" s="462"/>
      <c r="K2399" s="462"/>
      <c r="L2399" s="462"/>
      <c r="M2399" s="462"/>
      <c r="N2399" s="462"/>
      <c r="O2399" s="462"/>
      <c r="P2399" s="445"/>
      <c r="Q2399" s="178"/>
      <c r="R2399" s="178"/>
      <c r="S2399" s="178"/>
      <c r="T2399" s="430"/>
      <c r="U2399" s="430"/>
      <c r="V2399" s="462">
        <f>V2400</f>
        <v>100000</v>
      </c>
      <c r="W2399" s="462">
        <f>W2400</f>
        <v>0</v>
      </c>
      <c r="X2399" s="462">
        <f>X2400</f>
        <v>0</v>
      </c>
      <c r="Y2399" s="462">
        <f>Y2400</f>
        <v>0</v>
      </c>
      <c r="Z2399" s="462">
        <f t="shared" si="1304"/>
        <v>0</v>
      </c>
      <c r="AA2399" s="462">
        <f t="shared" si="1319"/>
        <v>-54500</v>
      </c>
      <c r="AB2399" s="462">
        <f>AB2400</f>
        <v>45500</v>
      </c>
      <c r="AC2399" s="462">
        <f>AC2400</f>
        <v>0</v>
      </c>
      <c r="AD2399" s="462">
        <f t="shared" si="1302"/>
        <v>0</v>
      </c>
      <c r="AE2399" s="462">
        <f t="shared" si="1306"/>
        <v>0</v>
      </c>
      <c r="AF2399" s="462">
        <f>AF2400</f>
        <v>45500</v>
      </c>
      <c r="AG2399" s="462">
        <f>AG2400</f>
        <v>15000</v>
      </c>
      <c r="AH2399" s="462">
        <f>AH2400</f>
        <v>0</v>
      </c>
      <c r="AI2399" s="462">
        <f>AI2400</f>
        <v>0</v>
      </c>
      <c r="AJ2399" s="162" t="b">
        <f t="shared" si="1310"/>
        <v>1</v>
      </c>
      <c r="AK2399" s="162" t="str">
        <f t="shared" si="1311"/>
        <v>PRAZNO</v>
      </c>
      <c r="AL2399" s="263"/>
    </row>
    <row r="2400" spans="1:39" s="174" customFormat="1" ht="15.75" x14ac:dyDescent="0.2">
      <c r="A2400" s="259"/>
      <c r="B2400" s="247">
        <v>4</v>
      </c>
      <c r="C2400" s="247"/>
      <c r="D2400" s="247"/>
      <c r="E2400" s="247"/>
      <c r="F2400" s="247"/>
      <c r="G2400" s="247"/>
      <c r="H2400" s="36" t="s">
        <v>552</v>
      </c>
      <c r="I2400" s="249">
        <f>I2401</f>
        <v>1207500</v>
      </c>
      <c r="J2400" s="249"/>
      <c r="K2400" s="249"/>
      <c r="L2400" s="249"/>
      <c r="M2400" s="249">
        <f t="shared" ref="M2400:AI2402" si="1322">M2401</f>
        <v>0</v>
      </c>
      <c r="N2400" s="249">
        <f t="shared" si="1322"/>
        <v>500000</v>
      </c>
      <c r="O2400" s="249">
        <f t="shared" si="1322"/>
        <v>0</v>
      </c>
      <c r="P2400" s="55">
        <f>T2400-N2400</f>
        <v>0</v>
      </c>
      <c r="Q2400" s="249">
        <f t="shared" si="1322"/>
        <v>500000</v>
      </c>
      <c r="R2400" s="249">
        <f t="shared" si="1322"/>
        <v>1000000</v>
      </c>
      <c r="S2400" s="249">
        <f t="shared" si="1322"/>
        <v>1500000</v>
      </c>
      <c r="T2400" s="248">
        <f t="shared" si="1322"/>
        <v>500000</v>
      </c>
      <c r="U2400" s="248">
        <f t="shared" si="1322"/>
        <v>0</v>
      </c>
      <c r="V2400" s="249">
        <f t="shared" si="1322"/>
        <v>100000</v>
      </c>
      <c r="W2400" s="249">
        <f t="shared" si="1322"/>
        <v>0</v>
      </c>
      <c r="X2400" s="249">
        <f t="shared" si="1322"/>
        <v>0</v>
      </c>
      <c r="Y2400" s="249">
        <f t="shared" si="1322"/>
        <v>0</v>
      </c>
      <c r="Z2400" s="249">
        <f t="shared" si="1304"/>
        <v>0</v>
      </c>
      <c r="AA2400" s="249">
        <f t="shared" si="1319"/>
        <v>-54500</v>
      </c>
      <c r="AB2400" s="249">
        <f t="shared" si="1322"/>
        <v>45500</v>
      </c>
      <c r="AC2400" s="249">
        <f t="shared" si="1322"/>
        <v>0</v>
      </c>
      <c r="AD2400" s="249">
        <f t="shared" si="1302"/>
        <v>0</v>
      </c>
      <c r="AE2400" s="249">
        <f t="shared" si="1306"/>
        <v>0</v>
      </c>
      <c r="AF2400" s="249">
        <f t="shared" si="1322"/>
        <v>45500</v>
      </c>
      <c r="AG2400" s="249">
        <f t="shared" si="1322"/>
        <v>15000</v>
      </c>
      <c r="AH2400" s="249">
        <f t="shared" si="1322"/>
        <v>0</v>
      </c>
      <c r="AI2400" s="249">
        <f t="shared" si="1322"/>
        <v>0</v>
      </c>
      <c r="AJ2400" s="162" t="b">
        <f t="shared" si="1310"/>
        <v>1</v>
      </c>
      <c r="AK2400" s="162" t="str">
        <f t="shared" si="1311"/>
        <v>PRAZNO</v>
      </c>
      <c r="AL2400" s="173"/>
    </row>
    <row r="2401" spans="1:39" ht="15.75" x14ac:dyDescent="0.2">
      <c r="B2401" s="177"/>
      <c r="C2401" s="177">
        <v>42</v>
      </c>
      <c r="D2401" s="177"/>
      <c r="E2401" s="177"/>
      <c r="F2401" s="177"/>
      <c r="G2401" s="177"/>
      <c r="H2401" s="16" t="s">
        <v>212</v>
      </c>
      <c r="I2401" s="18">
        <f>I2402</f>
        <v>1207500</v>
      </c>
      <c r="J2401" s="18">
        <f>J2402</f>
        <v>32287.5</v>
      </c>
      <c r="K2401" s="18">
        <f>ROUND(J2401/I2401*100,2)</f>
        <v>2.67</v>
      </c>
      <c r="L2401" s="18">
        <f>M2401-I2401</f>
        <v>-1207500</v>
      </c>
      <c r="M2401" s="18">
        <f t="shared" si="1322"/>
        <v>0</v>
      </c>
      <c r="N2401" s="18">
        <f t="shared" si="1322"/>
        <v>500000</v>
      </c>
      <c r="O2401" s="18">
        <f t="shared" si="1322"/>
        <v>0</v>
      </c>
      <c r="P2401" s="26">
        <f>T2401-N2401</f>
        <v>0</v>
      </c>
      <c r="Q2401" s="18">
        <f t="shared" si="1322"/>
        <v>500000</v>
      </c>
      <c r="R2401" s="18">
        <f t="shared" si="1322"/>
        <v>1000000</v>
      </c>
      <c r="S2401" s="18">
        <f t="shared" si="1322"/>
        <v>1500000</v>
      </c>
      <c r="T2401" s="27">
        <f t="shared" si="1322"/>
        <v>500000</v>
      </c>
      <c r="U2401" s="27">
        <f t="shared" si="1322"/>
        <v>0</v>
      </c>
      <c r="V2401" s="18">
        <f t="shared" si="1322"/>
        <v>100000</v>
      </c>
      <c r="W2401" s="18">
        <f t="shared" si="1322"/>
        <v>0</v>
      </c>
      <c r="X2401" s="18">
        <f t="shared" si="1322"/>
        <v>0</v>
      </c>
      <c r="Y2401" s="18">
        <f t="shared" si="1322"/>
        <v>0</v>
      </c>
      <c r="Z2401" s="18">
        <f t="shared" si="1304"/>
        <v>0</v>
      </c>
      <c r="AA2401" s="18">
        <f t="shared" si="1319"/>
        <v>-54500</v>
      </c>
      <c r="AB2401" s="18">
        <f t="shared" si="1322"/>
        <v>45500</v>
      </c>
      <c r="AC2401" s="18">
        <f t="shared" si="1322"/>
        <v>0</v>
      </c>
      <c r="AD2401" s="18">
        <f t="shared" si="1302"/>
        <v>0</v>
      </c>
      <c r="AE2401" s="18">
        <f t="shared" si="1306"/>
        <v>0</v>
      </c>
      <c r="AF2401" s="18">
        <f t="shared" si="1322"/>
        <v>45500</v>
      </c>
      <c r="AG2401" s="18">
        <f t="shared" si="1322"/>
        <v>15000</v>
      </c>
      <c r="AH2401" s="18">
        <f t="shared" si="1322"/>
        <v>0</v>
      </c>
      <c r="AI2401" s="18">
        <f t="shared" si="1322"/>
        <v>0</v>
      </c>
      <c r="AJ2401" s="162" t="b">
        <f t="shared" si="1310"/>
        <v>1</v>
      </c>
      <c r="AK2401" s="162" t="str">
        <f t="shared" si="1311"/>
        <v>PRAZNO</v>
      </c>
      <c r="AM2401" s="164"/>
    </row>
    <row r="2402" spans="1:39" ht="15.75" x14ac:dyDescent="0.2">
      <c r="B2402" s="177"/>
      <c r="C2402" s="177"/>
      <c r="D2402" s="177">
        <v>421</v>
      </c>
      <c r="E2402" s="177"/>
      <c r="F2402" s="177"/>
      <c r="G2402" s="177"/>
      <c r="H2402" s="16" t="s">
        <v>759</v>
      </c>
      <c r="I2402" s="18">
        <f>I2403+I2404</f>
        <v>1207500</v>
      </c>
      <c r="J2402" s="18">
        <f>J2403+J2404</f>
        <v>32287.5</v>
      </c>
      <c r="K2402" s="18">
        <f>ROUND(J2402/I2402*100,2)</f>
        <v>2.67</v>
      </c>
      <c r="L2402" s="18">
        <f>M2402-I2402</f>
        <v>-1207500</v>
      </c>
      <c r="M2402" s="18">
        <f t="shared" si="1322"/>
        <v>0</v>
      </c>
      <c r="N2402" s="18">
        <f t="shared" si="1322"/>
        <v>500000</v>
      </c>
      <c r="O2402" s="18">
        <f t="shared" si="1322"/>
        <v>0</v>
      </c>
      <c r="P2402" s="26">
        <f>T2402-N2402</f>
        <v>0</v>
      </c>
      <c r="Q2402" s="18">
        <f t="shared" si="1322"/>
        <v>500000</v>
      </c>
      <c r="R2402" s="18">
        <f t="shared" si="1322"/>
        <v>1000000</v>
      </c>
      <c r="S2402" s="18">
        <f t="shared" si="1322"/>
        <v>1500000</v>
      </c>
      <c r="T2402" s="27">
        <f t="shared" si="1322"/>
        <v>500000</v>
      </c>
      <c r="U2402" s="27">
        <f t="shared" si="1322"/>
        <v>0</v>
      </c>
      <c r="V2402" s="18">
        <f t="shared" si="1322"/>
        <v>100000</v>
      </c>
      <c r="W2402" s="18">
        <f t="shared" si="1322"/>
        <v>0</v>
      </c>
      <c r="X2402" s="18">
        <f t="shared" si="1322"/>
        <v>0</v>
      </c>
      <c r="Y2402" s="18">
        <f t="shared" si="1322"/>
        <v>0</v>
      </c>
      <c r="Z2402" s="18">
        <f t="shared" si="1304"/>
        <v>0</v>
      </c>
      <c r="AA2402" s="18">
        <f t="shared" si="1319"/>
        <v>-54500</v>
      </c>
      <c r="AB2402" s="18">
        <f t="shared" si="1322"/>
        <v>45500</v>
      </c>
      <c r="AC2402" s="18">
        <f t="shared" si="1322"/>
        <v>0</v>
      </c>
      <c r="AD2402" s="18">
        <f t="shared" si="1302"/>
        <v>0</v>
      </c>
      <c r="AE2402" s="18">
        <f t="shared" si="1306"/>
        <v>0</v>
      </c>
      <c r="AF2402" s="18">
        <f t="shared" si="1322"/>
        <v>45500</v>
      </c>
      <c r="AG2402" s="18">
        <f t="shared" si="1322"/>
        <v>15000</v>
      </c>
      <c r="AH2402" s="18">
        <f t="shared" si="1322"/>
        <v>0</v>
      </c>
      <c r="AI2402" s="18">
        <f t="shared" si="1322"/>
        <v>0</v>
      </c>
      <c r="AJ2402" s="162" t="b">
        <f t="shared" si="1310"/>
        <v>1</v>
      </c>
      <c r="AK2402" s="162" t="str">
        <f t="shared" si="1311"/>
        <v>PRAZNO</v>
      </c>
      <c r="AM2402" s="164"/>
    </row>
    <row r="2403" spans="1:39" ht="15.75" x14ac:dyDescent="0.2">
      <c r="B2403" s="177"/>
      <c r="C2403" s="177"/>
      <c r="D2403" s="177"/>
      <c r="E2403" s="177">
        <v>4212</v>
      </c>
      <c r="F2403" s="176">
        <v>17</v>
      </c>
      <c r="G2403" s="176" t="s">
        <v>1040</v>
      </c>
      <c r="H2403" s="16" t="s">
        <v>1025</v>
      </c>
      <c r="I2403" s="215">
        <v>1207500</v>
      </c>
      <c r="J2403" s="215">
        <v>32287.5</v>
      </c>
      <c r="K2403" s="215">
        <f>ROUND(J2403/I2403*100,2)</f>
        <v>2.67</v>
      </c>
      <c r="L2403" s="215">
        <f>M2403-I2403</f>
        <v>-1207500</v>
      </c>
      <c r="M2403" s="215"/>
      <c r="N2403" s="215">
        <v>500000</v>
      </c>
      <c r="O2403" s="215">
        <v>0</v>
      </c>
      <c r="P2403" s="26">
        <f>T2403-N2403</f>
        <v>0</v>
      </c>
      <c r="Q2403" s="215">
        <v>500000</v>
      </c>
      <c r="R2403" s="215">
        <f>500000+500000</f>
        <v>1000000</v>
      </c>
      <c r="S2403" s="215">
        <f>1000000+500000</f>
        <v>1500000</v>
      </c>
      <c r="T2403" s="214">
        <v>500000</v>
      </c>
      <c r="U2403" s="214">
        <v>0</v>
      </c>
      <c r="V2403" s="215">
        <v>100000</v>
      </c>
      <c r="W2403" s="215"/>
      <c r="X2403" s="215"/>
      <c r="Y2403" s="215">
        <v>0</v>
      </c>
      <c r="Z2403" s="215">
        <f t="shared" si="1304"/>
        <v>0</v>
      </c>
      <c r="AA2403" s="215">
        <f t="shared" si="1319"/>
        <v>-54500</v>
      </c>
      <c r="AB2403" s="215">
        <v>45500</v>
      </c>
      <c r="AC2403" s="215">
        <v>0</v>
      </c>
      <c r="AD2403" s="215">
        <f t="shared" si="1302"/>
        <v>0</v>
      </c>
      <c r="AE2403" s="215">
        <f t="shared" si="1306"/>
        <v>0</v>
      </c>
      <c r="AF2403" s="215">
        <v>45500</v>
      </c>
      <c r="AG2403" s="698">
        <v>15000</v>
      </c>
      <c r="AH2403" s="215"/>
      <c r="AI2403" s="215"/>
      <c r="AJ2403" s="162" t="b">
        <f t="shared" si="1310"/>
        <v>0</v>
      </c>
      <c r="AK2403" s="162" t="str">
        <f t="shared" si="1311"/>
        <v>PUNO</v>
      </c>
      <c r="AM2403" s="164"/>
    </row>
    <row r="2404" spans="1:39" s="171" customFormat="1" ht="31.5" x14ac:dyDescent="0.2">
      <c r="A2404" s="259"/>
      <c r="B2404" s="168"/>
      <c r="C2404" s="168"/>
      <c r="D2404" s="168"/>
      <c r="E2404" s="168"/>
      <c r="F2404" s="168"/>
      <c r="G2404" s="168"/>
      <c r="H2404" s="13" t="s">
        <v>955</v>
      </c>
      <c r="I2404" s="246"/>
      <c r="J2404" s="246"/>
      <c r="K2404" s="246"/>
      <c r="L2404" s="246"/>
      <c r="M2404" s="246"/>
      <c r="N2404" s="301" t="e">
        <f>N2406</f>
        <v>#REF!</v>
      </c>
      <c r="O2404" s="301" t="e">
        <f>O2406</f>
        <v>#REF!</v>
      </c>
      <c r="P2404" s="303" t="e">
        <f>T2404-N2404</f>
        <v>#REF!</v>
      </c>
      <c r="Q2404" s="246" t="e">
        <f>Q2406</f>
        <v>#REF!</v>
      </c>
      <c r="R2404" s="246"/>
      <c r="S2404" s="246"/>
      <c r="T2404" s="301">
        <f t="shared" ref="T2404:Y2404" si="1323">T2406</f>
        <v>944600</v>
      </c>
      <c r="U2404" s="301">
        <f t="shared" si="1323"/>
        <v>1300346.97</v>
      </c>
      <c r="V2404" s="301">
        <f t="shared" si="1323"/>
        <v>100000</v>
      </c>
      <c r="W2404" s="301" t="e">
        <f t="shared" si="1323"/>
        <v>#REF!</v>
      </c>
      <c r="X2404" s="301" t="e">
        <f t="shared" si="1323"/>
        <v>#REF!</v>
      </c>
      <c r="Y2404" s="301">
        <f t="shared" si="1323"/>
        <v>0</v>
      </c>
      <c r="Z2404" s="301">
        <f t="shared" si="1304"/>
        <v>0</v>
      </c>
      <c r="AA2404" s="301">
        <f t="shared" si="1319"/>
        <v>-54500</v>
      </c>
      <c r="AB2404" s="301">
        <f>AB2406</f>
        <v>45500</v>
      </c>
      <c r="AC2404" s="301">
        <f>AC2406</f>
        <v>0</v>
      </c>
      <c r="AD2404" s="301">
        <f t="shared" si="1302"/>
        <v>0</v>
      </c>
      <c r="AE2404" s="301">
        <f t="shared" si="1306"/>
        <v>0</v>
      </c>
      <c r="AF2404" s="301">
        <f>AF2406</f>
        <v>45500</v>
      </c>
      <c r="AG2404" s="301">
        <f>AG2406</f>
        <v>15000</v>
      </c>
      <c r="AH2404" s="301">
        <f>AH2406</f>
        <v>0</v>
      </c>
      <c r="AI2404" s="301">
        <f>AI2406</f>
        <v>0</v>
      </c>
      <c r="AJ2404" s="162" t="b">
        <f t="shared" si="1310"/>
        <v>1</v>
      </c>
      <c r="AK2404" s="162" t="str">
        <f t="shared" si="1311"/>
        <v>PRAZNO</v>
      </c>
      <c r="AL2404" s="170"/>
    </row>
    <row r="2405" spans="1:39" s="264" customFormat="1" ht="15.75" x14ac:dyDescent="0.2">
      <c r="A2405" s="259"/>
      <c r="B2405" s="260"/>
      <c r="C2405" s="260"/>
      <c r="D2405" s="260"/>
      <c r="E2405" s="260"/>
      <c r="F2405" s="260"/>
      <c r="G2405" s="260"/>
      <c r="H2405" s="440" t="s">
        <v>824</v>
      </c>
      <c r="I2405" s="216"/>
      <c r="J2405" s="216"/>
      <c r="K2405" s="216"/>
      <c r="L2405" s="216"/>
      <c r="M2405" s="216"/>
      <c r="N2405" s="462"/>
      <c r="O2405" s="462"/>
      <c r="P2405" s="445"/>
      <c r="Q2405" s="216"/>
      <c r="R2405" s="216"/>
      <c r="S2405" s="216"/>
      <c r="T2405" s="462">
        <f t="shared" ref="T2405:AI2407" si="1324">T2406</f>
        <v>944600</v>
      </c>
      <c r="U2405" s="462">
        <f t="shared" si="1324"/>
        <v>1300346.97</v>
      </c>
      <c r="V2405" s="462">
        <f t="shared" si="1324"/>
        <v>100000</v>
      </c>
      <c r="W2405" s="462" t="e">
        <f t="shared" si="1324"/>
        <v>#REF!</v>
      </c>
      <c r="X2405" s="462" t="e">
        <f t="shared" si="1324"/>
        <v>#REF!</v>
      </c>
      <c r="Y2405" s="462">
        <f t="shared" si="1324"/>
        <v>0</v>
      </c>
      <c r="Z2405" s="462">
        <f t="shared" si="1304"/>
        <v>0</v>
      </c>
      <c r="AA2405" s="462">
        <f t="shared" si="1319"/>
        <v>-54500</v>
      </c>
      <c r="AB2405" s="462">
        <f>AB2406</f>
        <v>45500</v>
      </c>
      <c r="AC2405" s="462">
        <f>AC2406</f>
        <v>0</v>
      </c>
      <c r="AD2405" s="462">
        <f t="shared" si="1302"/>
        <v>0</v>
      </c>
      <c r="AE2405" s="462">
        <f t="shared" si="1306"/>
        <v>0</v>
      </c>
      <c r="AF2405" s="462">
        <f>AF2406</f>
        <v>45500</v>
      </c>
      <c r="AG2405" s="462">
        <f>AG2406</f>
        <v>15000</v>
      </c>
      <c r="AH2405" s="462">
        <f>AH2406</f>
        <v>0</v>
      </c>
      <c r="AI2405" s="462">
        <f>AI2406</f>
        <v>0</v>
      </c>
      <c r="AJ2405" s="162" t="b">
        <f t="shared" si="1310"/>
        <v>1</v>
      </c>
      <c r="AK2405" s="162" t="str">
        <f t="shared" si="1311"/>
        <v>PRAZNO</v>
      </c>
      <c r="AL2405" s="263"/>
    </row>
    <row r="2406" spans="1:39" s="174" customFormat="1" ht="15.75" x14ac:dyDescent="0.2">
      <c r="A2406" s="259"/>
      <c r="B2406" s="247">
        <v>4</v>
      </c>
      <c r="C2406" s="247"/>
      <c r="D2406" s="247"/>
      <c r="E2406" s="247"/>
      <c r="F2406" s="247"/>
      <c r="G2406" s="247"/>
      <c r="H2406" s="36" t="s">
        <v>552</v>
      </c>
      <c r="I2406" s="249"/>
      <c r="J2406" s="249"/>
      <c r="K2406" s="249"/>
      <c r="L2406" s="249"/>
      <c r="M2406" s="249"/>
      <c r="N2406" s="249" t="e">
        <f>N2407</f>
        <v>#REF!</v>
      </c>
      <c r="O2406" s="249" t="e">
        <f>O2407</f>
        <v>#REF!</v>
      </c>
      <c r="P2406" s="55" t="e">
        <f>T2406-N2406</f>
        <v>#REF!</v>
      </c>
      <c r="Q2406" s="249" t="e">
        <f>Q2407</f>
        <v>#REF!</v>
      </c>
      <c r="R2406" s="249"/>
      <c r="S2406" s="249"/>
      <c r="T2406" s="249">
        <f t="shared" si="1324"/>
        <v>944600</v>
      </c>
      <c r="U2406" s="249">
        <f t="shared" si="1324"/>
        <v>1300346.97</v>
      </c>
      <c r="V2406" s="249">
        <f t="shared" si="1324"/>
        <v>100000</v>
      </c>
      <c r="W2406" s="249" t="e">
        <f t="shared" si="1324"/>
        <v>#REF!</v>
      </c>
      <c r="X2406" s="249" t="e">
        <f t="shared" si="1324"/>
        <v>#REF!</v>
      </c>
      <c r="Y2406" s="249">
        <f t="shared" si="1324"/>
        <v>0</v>
      </c>
      <c r="Z2406" s="249">
        <f t="shared" si="1304"/>
        <v>0</v>
      </c>
      <c r="AA2406" s="249">
        <f t="shared" si="1319"/>
        <v>-54500</v>
      </c>
      <c r="AB2406" s="249">
        <f t="shared" si="1324"/>
        <v>45500</v>
      </c>
      <c r="AC2406" s="249">
        <f t="shared" si="1324"/>
        <v>0</v>
      </c>
      <c r="AD2406" s="249">
        <f t="shared" si="1302"/>
        <v>0</v>
      </c>
      <c r="AE2406" s="249">
        <f t="shared" si="1306"/>
        <v>0</v>
      </c>
      <c r="AF2406" s="249">
        <f t="shared" si="1324"/>
        <v>45500</v>
      </c>
      <c r="AG2406" s="249">
        <f t="shared" si="1324"/>
        <v>15000</v>
      </c>
      <c r="AH2406" s="249">
        <f t="shared" si="1324"/>
        <v>0</v>
      </c>
      <c r="AI2406" s="249">
        <f t="shared" si="1324"/>
        <v>0</v>
      </c>
      <c r="AJ2406" s="162" t="b">
        <f t="shared" si="1310"/>
        <v>1</v>
      </c>
      <c r="AK2406" s="162" t="str">
        <f t="shared" si="1311"/>
        <v>PRAZNO</v>
      </c>
      <c r="AL2406" s="173"/>
    </row>
    <row r="2407" spans="1:39" ht="15.75" customHeight="1" x14ac:dyDescent="0.2">
      <c r="B2407" s="200"/>
      <c r="C2407" s="200">
        <v>42</v>
      </c>
      <c r="D2407" s="200"/>
      <c r="E2407" s="200"/>
      <c r="F2407" s="200"/>
      <c r="G2407" s="200"/>
      <c r="H2407" s="16" t="s">
        <v>212</v>
      </c>
      <c r="I2407" s="215"/>
      <c r="J2407" s="215"/>
      <c r="K2407" s="215"/>
      <c r="L2407" s="215"/>
      <c r="M2407" s="215"/>
      <c r="N2407" s="215" t="e">
        <f>N2408</f>
        <v>#REF!</v>
      </c>
      <c r="O2407" s="215" t="e">
        <f>O2408</f>
        <v>#REF!</v>
      </c>
      <c r="P2407" s="26" t="e">
        <f>T2407-N2407</f>
        <v>#REF!</v>
      </c>
      <c r="Q2407" s="215" t="e">
        <f>Q2408</f>
        <v>#REF!</v>
      </c>
      <c r="R2407" s="215"/>
      <c r="S2407" s="215"/>
      <c r="T2407" s="215">
        <f t="shared" si="1324"/>
        <v>944600</v>
      </c>
      <c r="U2407" s="215">
        <f t="shared" si="1324"/>
        <v>1300346.97</v>
      </c>
      <c r="V2407" s="215">
        <f t="shared" si="1324"/>
        <v>100000</v>
      </c>
      <c r="W2407" s="215" t="e">
        <f t="shared" si="1324"/>
        <v>#REF!</v>
      </c>
      <c r="X2407" s="215" t="e">
        <f t="shared" si="1324"/>
        <v>#REF!</v>
      </c>
      <c r="Y2407" s="215">
        <f t="shared" si="1324"/>
        <v>0</v>
      </c>
      <c r="Z2407" s="215">
        <f t="shared" si="1304"/>
        <v>0</v>
      </c>
      <c r="AA2407" s="215">
        <f t="shared" si="1319"/>
        <v>-54500</v>
      </c>
      <c r="AB2407" s="215">
        <f t="shared" si="1324"/>
        <v>45500</v>
      </c>
      <c r="AC2407" s="215">
        <f t="shared" si="1324"/>
        <v>0</v>
      </c>
      <c r="AD2407" s="215">
        <f t="shared" si="1302"/>
        <v>0</v>
      </c>
      <c r="AE2407" s="215">
        <f t="shared" si="1306"/>
        <v>0</v>
      </c>
      <c r="AF2407" s="215">
        <f t="shared" si="1324"/>
        <v>45500</v>
      </c>
      <c r="AG2407" s="215">
        <f t="shared" si="1324"/>
        <v>15000</v>
      </c>
      <c r="AH2407" s="215">
        <f t="shared" si="1324"/>
        <v>0</v>
      </c>
      <c r="AI2407" s="215">
        <f t="shared" si="1324"/>
        <v>0</v>
      </c>
      <c r="AJ2407" s="162" t="b">
        <f t="shared" si="1310"/>
        <v>1</v>
      </c>
      <c r="AK2407" s="162" t="str">
        <f t="shared" si="1311"/>
        <v>PRAZNO</v>
      </c>
      <c r="AM2407" s="164"/>
    </row>
    <row r="2408" spans="1:39" ht="15.75" x14ac:dyDescent="0.2">
      <c r="B2408" s="200"/>
      <c r="C2408" s="200"/>
      <c r="D2408" s="200">
        <v>421</v>
      </c>
      <c r="E2408" s="200"/>
      <c r="F2408" s="200"/>
      <c r="G2408" s="200"/>
      <c r="H2408" s="16" t="s">
        <v>759</v>
      </c>
      <c r="I2408" s="215"/>
      <c r="J2408" s="215"/>
      <c r="K2408" s="215"/>
      <c r="L2408" s="215"/>
      <c r="M2408" s="215"/>
      <c r="N2408" s="215" t="e">
        <f>N2409+#REF!</f>
        <v>#REF!</v>
      </c>
      <c r="O2408" s="215" t="e">
        <f>O2409+#REF!</f>
        <v>#REF!</v>
      </c>
      <c r="P2408" s="26" t="e">
        <f>T2408-N2408</f>
        <v>#REF!</v>
      </c>
      <c r="Q2408" s="215" t="e">
        <f>Q2409+#REF!</f>
        <v>#REF!</v>
      </c>
      <c r="R2408" s="215"/>
      <c r="S2408" s="215"/>
      <c r="T2408" s="215">
        <f>T2409</f>
        <v>944600</v>
      </c>
      <c r="U2408" s="215">
        <f>U2409</f>
        <v>1300346.97</v>
      </c>
      <c r="V2408" s="215">
        <f>V2409</f>
        <v>100000</v>
      </c>
      <c r="W2408" s="215" t="e">
        <f>W2409+#REF!</f>
        <v>#REF!</v>
      </c>
      <c r="X2408" s="215" t="e">
        <f>X2409+#REF!</f>
        <v>#REF!</v>
      </c>
      <c r="Y2408" s="215">
        <f>Y2409</f>
        <v>0</v>
      </c>
      <c r="Z2408" s="215">
        <f t="shared" si="1304"/>
        <v>0</v>
      </c>
      <c r="AA2408" s="215">
        <f t="shared" si="1319"/>
        <v>-54500</v>
      </c>
      <c r="AB2408" s="215">
        <f>AB2409</f>
        <v>45500</v>
      </c>
      <c r="AC2408" s="215">
        <f>AC2409</f>
        <v>0</v>
      </c>
      <c r="AD2408" s="215">
        <f t="shared" si="1302"/>
        <v>0</v>
      </c>
      <c r="AE2408" s="215">
        <f>AE2409</f>
        <v>0</v>
      </c>
      <c r="AF2408" s="215">
        <f>AF2409</f>
        <v>45500</v>
      </c>
      <c r="AG2408" s="215">
        <f>AG2409</f>
        <v>15000</v>
      </c>
      <c r="AH2408" s="215">
        <f>AH2409</f>
        <v>0</v>
      </c>
      <c r="AI2408" s="215">
        <f>AI2409</f>
        <v>0</v>
      </c>
      <c r="AJ2408" s="162" t="b">
        <f t="shared" si="1310"/>
        <v>1</v>
      </c>
      <c r="AK2408" s="162" t="str">
        <f t="shared" si="1311"/>
        <v>PRAZNO</v>
      </c>
      <c r="AM2408" s="164"/>
    </row>
    <row r="2409" spans="1:39" ht="15.75" x14ac:dyDescent="0.2">
      <c r="B2409" s="200"/>
      <c r="C2409" s="200"/>
      <c r="D2409" s="200"/>
      <c r="E2409" s="200">
        <v>4212</v>
      </c>
      <c r="F2409" s="200">
        <v>17</v>
      </c>
      <c r="G2409" s="200"/>
      <c r="H2409" s="16" t="s">
        <v>1025</v>
      </c>
      <c r="I2409" s="215"/>
      <c r="J2409" s="215"/>
      <c r="K2409" s="215"/>
      <c r="L2409" s="215"/>
      <c r="M2409" s="215"/>
      <c r="N2409" s="215">
        <v>1032100</v>
      </c>
      <c r="O2409" s="215">
        <v>181241.41</v>
      </c>
      <c r="P2409" s="26">
        <f>T2409-N2409</f>
        <v>-87500</v>
      </c>
      <c r="Q2409" s="215">
        <v>523000</v>
      </c>
      <c r="R2409" s="215"/>
      <c r="S2409" s="215"/>
      <c r="T2409" s="214">
        <v>944600</v>
      </c>
      <c r="U2409" s="214">
        <v>1300346.97</v>
      </c>
      <c r="V2409" s="215">
        <v>100000</v>
      </c>
      <c r="W2409" s="215">
        <v>0</v>
      </c>
      <c r="X2409" s="215">
        <v>0</v>
      </c>
      <c r="Y2409" s="215">
        <v>0</v>
      </c>
      <c r="Z2409" s="215">
        <f t="shared" si="1304"/>
        <v>0</v>
      </c>
      <c r="AA2409" s="215">
        <f t="shared" si="1319"/>
        <v>-54500</v>
      </c>
      <c r="AB2409" s="215">
        <v>45500</v>
      </c>
      <c r="AC2409" s="215">
        <v>0</v>
      </c>
      <c r="AD2409" s="215">
        <f t="shared" si="1302"/>
        <v>0</v>
      </c>
      <c r="AE2409" s="215">
        <f t="shared" si="1306"/>
        <v>0</v>
      </c>
      <c r="AF2409" s="215">
        <v>45500</v>
      </c>
      <c r="AG2409" s="698">
        <v>15000</v>
      </c>
      <c r="AH2409" s="215"/>
      <c r="AI2409" s="215"/>
      <c r="AJ2409" s="162" t="b">
        <f t="shared" si="1310"/>
        <v>0</v>
      </c>
      <c r="AK2409" s="162" t="str">
        <f t="shared" si="1311"/>
        <v>PUNO</v>
      </c>
      <c r="AM2409" s="164"/>
    </row>
    <row r="2410" spans="1:39" s="171" customFormat="1" ht="15.75" x14ac:dyDescent="0.2">
      <c r="A2410" s="259"/>
      <c r="B2410" s="168"/>
      <c r="C2410" s="168"/>
      <c r="D2410" s="168"/>
      <c r="E2410" s="168"/>
      <c r="F2410" s="168"/>
      <c r="G2410" s="168"/>
      <c r="H2410" s="13" t="s">
        <v>621</v>
      </c>
      <c r="I2410" s="169">
        <f>I2423</f>
        <v>115000</v>
      </c>
      <c r="J2410" s="169">
        <f>J2423</f>
        <v>0</v>
      </c>
      <c r="K2410" s="169">
        <f>ROUND(J2410/I2410*100,2)</f>
        <v>0</v>
      </c>
      <c r="L2410" s="169">
        <f>M2410-I2410</f>
        <v>-60226.950000000004</v>
      </c>
      <c r="M2410" s="19">
        <f>M2423</f>
        <v>54773.049999999996</v>
      </c>
      <c r="N2410" s="19" t="e">
        <f>N2423</f>
        <v>#REF!</v>
      </c>
      <c r="O2410" s="19">
        <f>O2423</f>
        <v>59534.55</v>
      </c>
      <c r="P2410" s="303" t="e">
        <f>T2410-N2410</f>
        <v>#REF!</v>
      </c>
      <c r="Q2410" s="19" t="e">
        <f>Q2423</f>
        <v>#REF!</v>
      </c>
      <c r="R2410" s="19" t="e">
        <f>R2423</f>
        <v>#REF!</v>
      </c>
      <c r="S2410" s="19" t="e">
        <f>S2423</f>
        <v>#REF!</v>
      </c>
      <c r="T2410" s="19">
        <f t="shared" ref="T2410:Y2410" si="1325">T2423+T2412+T2438</f>
        <v>154700</v>
      </c>
      <c r="U2410" s="19">
        <f t="shared" si="1325"/>
        <v>164378.85</v>
      </c>
      <c r="V2410" s="19">
        <f t="shared" si="1325"/>
        <v>236500</v>
      </c>
      <c r="W2410" s="19" t="e">
        <f t="shared" si="1325"/>
        <v>#REF!</v>
      </c>
      <c r="X2410" s="19" t="e">
        <f t="shared" si="1325"/>
        <v>#REF!</v>
      </c>
      <c r="Y2410" s="19">
        <f t="shared" si="1325"/>
        <v>35880.589999999997</v>
      </c>
      <c r="Z2410" s="19">
        <f t="shared" si="1304"/>
        <v>15.17</v>
      </c>
      <c r="AA2410" s="19">
        <f t="shared" si="1319"/>
        <v>133200</v>
      </c>
      <c r="AB2410" s="19">
        <f>AB2423+AB2412+AB2438</f>
        <v>369700</v>
      </c>
      <c r="AC2410" s="19">
        <f>AC2423+AC2412+AC2438</f>
        <v>127542.61</v>
      </c>
      <c r="AD2410" s="19">
        <f t="shared" si="1302"/>
        <v>34.498947795509871</v>
      </c>
      <c r="AE2410" s="19">
        <f t="shared" si="1306"/>
        <v>9500</v>
      </c>
      <c r="AF2410" s="19">
        <f>AF2423+AF2412+AF2438</f>
        <v>379200</v>
      </c>
      <c r="AG2410" s="19">
        <f>AG2423+AG2412+AG2438</f>
        <v>284400</v>
      </c>
      <c r="AH2410" s="19">
        <f>AH2423+AH2412+AH2438</f>
        <v>306400</v>
      </c>
      <c r="AI2410" s="19">
        <f>AI2423+AI2412+AI2438</f>
        <v>271400</v>
      </c>
      <c r="AJ2410" s="162" t="b">
        <f t="shared" si="1310"/>
        <v>1</v>
      </c>
      <c r="AK2410" s="162" t="str">
        <f t="shared" si="1311"/>
        <v>PRAZNO</v>
      </c>
      <c r="AL2410" s="170"/>
      <c r="AM2410" s="164"/>
    </row>
    <row r="2411" spans="1:39" s="264" customFormat="1" ht="15.75" x14ac:dyDescent="0.2">
      <c r="A2411" s="259"/>
      <c r="B2411" s="260"/>
      <c r="C2411" s="260"/>
      <c r="D2411" s="260"/>
      <c r="E2411" s="260"/>
      <c r="F2411" s="260"/>
      <c r="G2411" s="260"/>
      <c r="H2411" s="440" t="s">
        <v>824</v>
      </c>
      <c r="I2411" s="181"/>
      <c r="J2411" s="181"/>
      <c r="K2411" s="181"/>
      <c r="L2411" s="181"/>
      <c r="M2411" s="262"/>
      <c r="N2411" s="262"/>
      <c r="O2411" s="262"/>
      <c r="P2411" s="445"/>
      <c r="Q2411" s="262"/>
      <c r="R2411" s="262"/>
      <c r="S2411" s="262"/>
      <c r="T2411" s="342"/>
      <c r="U2411" s="342"/>
      <c r="V2411" s="262">
        <f t="shared" ref="V2411:AI2414" si="1326">V2412</f>
        <v>10000</v>
      </c>
      <c r="W2411" s="262">
        <f t="shared" si="1326"/>
        <v>10000</v>
      </c>
      <c r="X2411" s="262">
        <f t="shared" si="1326"/>
        <v>10000</v>
      </c>
      <c r="Y2411" s="262">
        <f t="shared" si="1326"/>
        <v>0</v>
      </c>
      <c r="Z2411" s="262">
        <f t="shared" si="1304"/>
        <v>0</v>
      </c>
      <c r="AA2411" s="262">
        <f t="shared" si="1319"/>
        <v>0</v>
      </c>
      <c r="AB2411" s="262">
        <f t="shared" si="1326"/>
        <v>10000</v>
      </c>
      <c r="AC2411" s="262">
        <f t="shared" si="1326"/>
        <v>0</v>
      </c>
      <c r="AD2411" s="262">
        <f t="shared" ref="AD2411:AD2479" si="1327">AC2411/AB2411*100</f>
        <v>0</v>
      </c>
      <c r="AE2411" s="262">
        <f t="shared" si="1306"/>
        <v>0</v>
      </c>
      <c r="AF2411" s="262">
        <f t="shared" si="1326"/>
        <v>10000</v>
      </c>
      <c r="AG2411" s="262">
        <f t="shared" si="1326"/>
        <v>10000</v>
      </c>
      <c r="AH2411" s="262">
        <f t="shared" si="1326"/>
        <v>10000</v>
      </c>
      <c r="AI2411" s="262">
        <f t="shared" si="1326"/>
        <v>10000</v>
      </c>
      <c r="AJ2411" s="162" t="b">
        <f t="shared" si="1310"/>
        <v>1</v>
      </c>
      <c r="AK2411" s="162" t="str">
        <f t="shared" si="1311"/>
        <v>PRAZNO</v>
      </c>
      <c r="AL2411" s="263"/>
    </row>
    <row r="2412" spans="1:39" s="174" customFormat="1" ht="15.75" x14ac:dyDescent="0.2">
      <c r="A2412" s="259"/>
      <c r="B2412" s="172">
        <v>4</v>
      </c>
      <c r="C2412" s="172"/>
      <c r="D2412" s="172"/>
      <c r="E2412" s="172"/>
      <c r="F2412" s="172"/>
      <c r="G2412" s="172"/>
      <c r="H2412" s="14" t="s">
        <v>552</v>
      </c>
      <c r="I2412" s="20"/>
      <c r="J2412" s="20"/>
      <c r="K2412" s="20"/>
      <c r="L2412" s="20"/>
      <c r="M2412" s="20"/>
      <c r="N2412" s="20"/>
      <c r="O2412" s="20"/>
      <c r="P2412" s="54"/>
      <c r="Q2412" s="20"/>
      <c r="R2412" s="20"/>
      <c r="S2412" s="20"/>
      <c r="T2412" s="55"/>
      <c r="U2412" s="55">
        <f>U2413</f>
        <v>164378.85</v>
      </c>
      <c r="V2412" s="20">
        <f t="shared" si="1326"/>
        <v>10000</v>
      </c>
      <c r="W2412" s="20">
        <f t="shared" si="1326"/>
        <v>10000</v>
      </c>
      <c r="X2412" s="20">
        <f t="shared" si="1326"/>
        <v>10000</v>
      </c>
      <c r="Y2412" s="20">
        <f t="shared" si="1326"/>
        <v>0</v>
      </c>
      <c r="Z2412" s="20">
        <f t="shared" si="1304"/>
        <v>0</v>
      </c>
      <c r="AA2412" s="20">
        <f t="shared" si="1319"/>
        <v>0</v>
      </c>
      <c r="AB2412" s="20">
        <f t="shared" si="1326"/>
        <v>10000</v>
      </c>
      <c r="AC2412" s="20">
        <f t="shared" si="1326"/>
        <v>0</v>
      </c>
      <c r="AD2412" s="20">
        <f t="shared" si="1327"/>
        <v>0</v>
      </c>
      <c r="AE2412" s="20">
        <f t="shared" si="1306"/>
        <v>0</v>
      </c>
      <c r="AF2412" s="20">
        <f t="shared" si="1326"/>
        <v>10000</v>
      </c>
      <c r="AG2412" s="20">
        <f t="shared" si="1326"/>
        <v>10000</v>
      </c>
      <c r="AH2412" s="20">
        <f t="shared" si="1326"/>
        <v>10000</v>
      </c>
      <c r="AI2412" s="20">
        <f t="shared" si="1326"/>
        <v>10000</v>
      </c>
      <c r="AJ2412" s="162" t="b">
        <f t="shared" si="1310"/>
        <v>1</v>
      </c>
      <c r="AK2412" s="162" t="str">
        <f t="shared" si="1311"/>
        <v>PRAZNO</v>
      </c>
      <c r="AL2412" s="173"/>
    </row>
    <row r="2413" spans="1:39" s="264" customFormat="1" ht="15.75" x14ac:dyDescent="0.2">
      <c r="A2413" s="259"/>
      <c r="B2413" s="177"/>
      <c r="C2413" s="177">
        <v>42</v>
      </c>
      <c r="D2413" s="177"/>
      <c r="E2413" s="177"/>
      <c r="F2413" s="177"/>
      <c r="G2413" s="177"/>
      <c r="H2413" s="16" t="s">
        <v>212</v>
      </c>
      <c r="I2413" s="181"/>
      <c r="J2413" s="181"/>
      <c r="K2413" s="181"/>
      <c r="L2413" s="181"/>
      <c r="M2413" s="181"/>
      <c r="N2413" s="181"/>
      <c r="O2413" s="181"/>
      <c r="P2413" s="343"/>
      <c r="Q2413" s="181"/>
      <c r="R2413" s="181"/>
      <c r="S2413" s="181"/>
      <c r="T2413" s="307"/>
      <c r="U2413" s="307">
        <f>U2414+U2420</f>
        <v>164378.85</v>
      </c>
      <c r="V2413" s="181">
        <f t="shared" si="1326"/>
        <v>10000</v>
      </c>
      <c r="W2413" s="181">
        <f t="shared" si="1326"/>
        <v>10000</v>
      </c>
      <c r="X2413" s="181">
        <f t="shared" si="1326"/>
        <v>10000</v>
      </c>
      <c r="Y2413" s="181">
        <f t="shared" si="1326"/>
        <v>0</v>
      </c>
      <c r="Z2413" s="181">
        <f t="shared" si="1304"/>
        <v>0</v>
      </c>
      <c r="AA2413" s="181">
        <f t="shared" si="1319"/>
        <v>0</v>
      </c>
      <c r="AB2413" s="181">
        <f t="shared" si="1326"/>
        <v>10000</v>
      </c>
      <c r="AC2413" s="181">
        <f t="shared" si="1326"/>
        <v>0</v>
      </c>
      <c r="AD2413" s="181">
        <f t="shared" si="1327"/>
        <v>0</v>
      </c>
      <c r="AE2413" s="181">
        <f t="shared" si="1306"/>
        <v>0</v>
      </c>
      <c r="AF2413" s="181">
        <f t="shared" si="1326"/>
        <v>10000</v>
      </c>
      <c r="AG2413" s="181">
        <f t="shared" si="1326"/>
        <v>10000</v>
      </c>
      <c r="AH2413" s="181">
        <f t="shared" si="1326"/>
        <v>10000</v>
      </c>
      <c r="AI2413" s="181">
        <f t="shared" si="1326"/>
        <v>10000</v>
      </c>
      <c r="AJ2413" s="162" t="b">
        <f t="shared" si="1310"/>
        <v>1</v>
      </c>
      <c r="AK2413" s="162" t="str">
        <f t="shared" si="1311"/>
        <v>PRAZNO</v>
      </c>
      <c r="AL2413" s="263"/>
    </row>
    <row r="2414" spans="1:39" s="264" customFormat="1" ht="15.75" x14ac:dyDescent="0.2">
      <c r="A2414" s="259"/>
      <c r="B2414" s="177"/>
      <c r="C2414" s="177"/>
      <c r="D2414" s="177">
        <v>422</v>
      </c>
      <c r="E2414" s="177"/>
      <c r="F2414" s="177"/>
      <c r="G2414" s="177"/>
      <c r="H2414" s="16" t="s">
        <v>555</v>
      </c>
      <c r="I2414" s="181"/>
      <c r="J2414" s="181"/>
      <c r="K2414" s="181"/>
      <c r="L2414" s="181"/>
      <c r="M2414" s="181"/>
      <c r="N2414" s="181"/>
      <c r="O2414" s="181"/>
      <c r="P2414" s="343"/>
      <c r="Q2414" s="181"/>
      <c r="R2414" s="181"/>
      <c r="S2414" s="181"/>
      <c r="T2414" s="307"/>
      <c r="U2414" s="307">
        <f>SUM(U2415:U2419)</f>
        <v>160088.85</v>
      </c>
      <c r="V2414" s="181">
        <f t="shared" si="1326"/>
        <v>10000</v>
      </c>
      <c r="W2414" s="181">
        <f t="shared" si="1326"/>
        <v>10000</v>
      </c>
      <c r="X2414" s="181">
        <f t="shared" si="1326"/>
        <v>10000</v>
      </c>
      <c r="Y2414" s="181">
        <f t="shared" si="1326"/>
        <v>0</v>
      </c>
      <c r="Z2414" s="181">
        <f t="shared" si="1304"/>
        <v>0</v>
      </c>
      <c r="AA2414" s="181">
        <f t="shared" si="1319"/>
        <v>0</v>
      </c>
      <c r="AB2414" s="181">
        <f t="shared" si="1326"/>
        <v>10000</v>
      </c>
      <c r="AC2414" s="181">
        <f t="shared" si="1326"/>
        <v>0</v>
      </c>
      <c r="AD2414" s="181">
        <f t="shared" si="1327"/>
        <v>0</v>
      </c>
      <c r="AE2414" s="181">
        <f t="shared" si="1306"/>
        <v>0</v>
      </c>
      <c r="AF2414" s="181">
        <f t="shared" si="1326"/>
        <v>10000</v>
      </c>
      <c r="AG2414" s="181">
        <f t="shared" si="1326"/>
        <v>10000</v>
      </c>
      <c r="AH2414" s="181">
        <f t="shared" si="1326"/>
        <v>10000</v>
      </c>
      <c r="AI2414" s="181">
        <f t="shared" si="1326"/>
        <v>10000</v>
      </c>
      <c r="AJ2414" s="162" t="b">
        <f t="shared" si="1310"/>
        <v>1</v>
      </c>
      <c r="AK2414" s="162" t="str">
        <f t="shared" si="1311"/>
        <v>PRAZNO</v>
      </c>
      <c r="AL2414" s="263"/>
    </row>
    <row r="2415" spans="1:39" ht="15.75" x14ac:dyDescent="0.2">
      <c r="B2415" s="177"/>
      <c r="C2415" s="177"/>
      <c r="D2415" s="177"/>
      <c r="E2415" s="177">
        <v>4221</v>
      </c>
      <c r="F2415" s="265">
        <v>11</v>
      </c>
      <c r="G2415" s="177"/>
      <c r="H2415" s="16" t="s">
        <v>558</v>
      </c>
      <c r="I2415" s="181"/>
      <c r="J2415" s="181"/>
      <c r="K2415" s="181"/>
      <c r="L2415" s="181"/>
      <c r="M2415" s="181"/>
      <c r="N2415" s="181">
        <v>0</v>
      </c>
      <c r="O2415" s="181">
        <v>0</v>
      </c>
      <c r="P2415" s="307">
        <f>T2415-N2415</f>
        <v>0</v>
      </c>
      <c r="Q2415" s="181"/>
      <c r="R2415" s="181"/>
      <c r="S2415" s="181"/>
      <c r="T2415" s="307">
        <v>0</v>
      </c>
      <c r="U2415" s="307">
        <v>10000</v>
      </c>
      <c r="V2415" s="307">
        <v>10000</v>
      </c>
      <c r="W2415" s="307">
        <v>10000</v>
      </c>
      <c r="X2415" s="307">
        <v>10000</v>
      </c>
      <c r="Y2415" s="307">
        <v>0</v>
      </c>
      <c r="Z2415" s="307">
        <f t="shared" si="1304"/>
        <v>0</v>
      </c>
      <c r="AA2415" s="307">
        <f t="shared" si="1319"/>
        <v>0</v>
      </c>
      <c r="AB2415" s="307">
        <v>10000</v>
      </c>
      <c r="AC2415" s="307">
        <v>0</v>
      </c>
      <c r="AD2415" s="307">
        <f t="shared" si="1327"/>
        <v>0</v>
      </c>
      <c r="AE2415" s="307">
        <f t="shared" si="1306"/>
        <v>0</v>
      </c>
      <c r="AF2415" s="307">
        <v>10000</v>
      </c>
      <c r="AG2415" s="307">
        <v>10000</v>
      </c>
      <c r="AH2415" s="307">
        <v>10000</v>
      </c>
      <c r="AI2415" s="307">
        <v>10000</v>
      </c>
      <c r="AJ2415" s="162" t="b">
        <f t="shared" si="1310"/>
        <v>0</v>
      </c>
      <c r="AK2415" s="162" t="str">
        <f t="shared" si="1311"/>
        <v>PUNO</v>
      </c>
      <c r="AM2415" s="164"/>
    </row>
    <row r="2416" spans="1:39" ht="15.75" x14ac:dyDescent="0.2">
      <c r="B2416" s="177"/>
      <c r="C2416" s="177"/>
      <c r="D2416" s="177"/>
      <c r="E2416" s="177">
        <v>4221</v>
      </c>
      <c r="F2416" s="265">
        <v>17</v>
      </c>
      <c r="G2416" s="177"/>
      <c r="H2416" s="16" t="s">
        <v>558</v>
      </c>
      <c r="I2416" s="181"/>
      <c r="J2416" s="181"/>
      <c r="K2416" s="181"/>
      <c r="L2416" s="181"/>
      <c r="M2416" s="181"/>
      <c r="N2416" s="181"/>
      <c r="O2416" s="181"/>
      <c r="P2416" s="307"/>
      <c r="Q2416" s="181"/>
      <c r="R2416" s="181"/>
      <c r="S2416" s="181"/>
      <c r="T2416" s="307"/>
      <c r="U2416" s="307">
        <v>74149.56</v>
      </c>
      <c r="V2416" s="307"/>
      <c r="W2416" s="307"/>
      <c r="X2416" s="307"/>
      <c r="Y2416" s="307"/>
      <c r="Z2416" s="307"/>
      <c r="AA2416" s="307"/>
      <c r="AB2416" s="307"/>
      <c r="AC2416" s="307"/>
      <c r="AD2416" s="307"/>
      <c r="AE2416" s="307"/>
      <c r="AF2416" s="307"/>
      <c r="AG2416" s="307"/>
      <c r="AH2416" s="307"/>
      <c r="AI2416" s="307"/>
      <c r="AJ2416" s="162" t="b">
        <f t="shared" si="1310"/>
        <v>0</v>
      </c>
      <c r="AK2416" s="162" t="str">
        <f t="shared" si="1311"/>
        <v>PUNO</v>
      </c>
      <c r="AM2416" s="164"/>
    </row>
    <row r="2417" spans="1:39" ht="15.75" x14ac:dyDescent="0.2">
      <c r="B2417" s="177"/>
      <c r="C2417" s="177"/>
      <c r="D2417" s="177"/>
      <c r="E2417" s="177">
        <v>4222</v>
      </c>
      <c r="F2417" s="265">
        <v>17</v>
      </c>
      <c r="G2417" s="177"/>
      <c r="H2417" s="16" t="s">
        <v>559</v>
      </c>
      <c r="I2417" s="181"/>
      <c r="J2417" s="181"/>
      <c r="K2417" s="181"/>
      <c r="L2417" s="181"/>
      <c r="M2417" s="181"/>
      <c r="N2417" s="181"/>
      <c r="O2417" s="181"/>
      <c r="P2417" s="307"/>
      <c r="Q2417" s="181"/>
      <c r="R2417" s="181"/>
      <c r="S2417" s="181"/>
      <c r="T2417" s="307"/>
      <c r="U2417" s="307">
        <v>8847.4500000000007</v>
      </c>
      <c r="V2417" s="307"/>
      <c r="W2417" s="307"/>
      <c r="X2417" s="307"/>
      <c r="Y2417" s="307"/>
      <c r="Z2417" s="307"/>
      <c r="AA2417" s="307"/>
      <c r="AB2417" s="307"/>
      <c r="AC2417" s="307"/>
      <c r="AD2417" s="307"/>
      <c r="AE2417" s="307"/>
      <c r="AF2417" s="307"/>
      <c r="AG2417" s="307"/>
      <c r="AH2417" s="307"/>
      <c r="AI2417" s="307"/>
      <c r="AJ2417" s="162" t="b">
        <f t="shared" si="1310"/>
        <v>0</v>
      </c>
      <c r="AK2417" s="162" t="str">
        <f t="shared" si="1311"/>
        <v>PUNO</v>
      </c>
      <c r="AM2417" s="164"/>
    </row>
    <row r="2418" spans="1:39" ht="15.75" x14ac:dyDescent="0.2">
      <c r="B2418" s="177"/>
      <c r="C2418" s="177"/>
      <c r="D2418" s="177"/>
      <c r="E2418" s="177">
        <v>4223</v>
      </c>
      <c r="F2418" s="265">
        <v>17</v>
      </c>
      <c r="G2418" s="177"/>
      <c r="H2418" s="16" t="s">
        <v>628</v>
      </c>
      <c r="I2418" s="181"/>
      <c r="J2418" s="181"/>
      <c r="K2418" s="181"/>
      <c r="L2418" s="181"/>
      <c r="M2418" s="181"/>
      <c r="N2418" s="181"/>
      <c r="O2418" s="181"/>
      <c r="P2418" s="307"/>
      <c r="Q2418" s="181"/>
      <c r="R2418" s="181"/>
      <c r="S2418" s="181"/>
      <c r="T2418" s="307"/>
      <c r="U2418" s="307">
        <v>49189.25</v>
      </c>
      <c r="V2418" s="307"/>
      <c r="W2418" s="307"/>
      <c r="X2418" s="307"/>
      <c r="Y2418" s="307"/>
      <c r="Z2418" s="307"/>
      <c r="AA2418" s="307"/>
      <c r="AB2418" s="307"/>
      <c r="AC2418" s="307"/>
      <c r="AD2418" s="307"/>
      <c r="AE2418" s="307"/>
      <c r="AF2418" s="307"/>
      <c r="AG2418" s="307"/>
      <c r="AH2418" s="307"/>
      <c r="AI2418" s="307"/>
      <c r="AJ2418" s="162" t="b">
        <f t="shared" si="1310"/>
        <v>0</v>
      </c>
      <c r="AK2418" s="162" t="str">
        <f t="shared" si="1311"/>
        <v>PUNO</v>
      </c>
      <c r="AM2418" s="164"/>
    </row>
    <row r="2419" spans="1:39" ht="15.75" x14ac:dyDescent="0.2">
      <c r="B2419" s="177"/>
      <c r="C2419" s="177"/>
      <c r="D2419" s="177"/>
      <c r="E2419" s="177">
        <v>4227</v>
      </c>
      <c r="F2419" s="265">
        <v>17</v>
      </c>
      <c r="G2419" s="177"/>
      <c r="H2419" s="16" t="s">
        <v>413</v>
      </c>
      <c r="I2419" s="181"/>
      <c r="J2419" s="181"/>
      <c r="K2419" s="181"/>
      <c r="L2419" s="181"/>
      <c r="M2419" s="181"/>
      <c r="N2419" s="181"/>
      <c r="O2419" s="181"/>
      <c r="P2419" s="307"/>
      <c r="Q2419" s="181"/>
      <c r="R2419" s="181"/>
      <c r="S2419" s="181"/>
      <c r="T2419" s="307"/>
      <c r="U2419" s="307">
        <v>17902.59</v>
      </c>
      <c r="V2419" s="307"/>
      <c r="W2419" s="307"/>
      <c r="X2419" s="307"/>
      <c r="Y2419" s="307"/>
      <c r="Z2419" s="307"/>
      <c r="AA2419" s="307"/>
      <c r="AB2419" s="307"/>
      <c r="AC2419" s="307"/>
      <c r="AD2419" s="307"/>
      <c r="AE2419" s="307"/>
      <c r="AF2419" s="307"/>
      <c r="AG2419" s="307"/>
      <c r="AH2419" s="307"/>
      <c r="AI2419" s="307"/>
      <c r="AJ2419" s="162" t="b">
        <f t="shared" si="1310"/>
        <v>0</v>
      </c>
      <c r="AK2419" s="162" t="str">
        <f t="shared" si="1311"/>
        <v>PUNO</v>
      </c>
      <c r="AM2419" s="164"/>
    </row>
    <row r="2420" spans="1:39" ht="15.75" x14ac:dyDescent="0.2">
      <c r="B2420" s="177"/>
      <c r="C2420" s="177"/>
      <c r="D2420" s="177">
        <v>426</v>
      </c>
      <c r="E2420" s="177"/>
      <c r="F2420" s="265"/>
      <c r="G2420" s="177"/>
      <c r="H2420" s="16" t="s">
        <v>560</v>
      </c>
      <c r="I2420" s="181"/>
      <c r="J2420" s="181"/>
      <c r="K2420" s="181"/>
      <c r="L2420" s="181"/>
      <c r="M2420" s="181"/>
      <c r="N2420" s="181"/>
      <c r="O2420" s="181"/>
      <c r="P2420" s="307"/>
      <c r="Q2420" s="181"/>
      <c r="R2420" s="181"/>
      <c r="S2420" s="181"/>
      <c r="T2420" s="307"/>
      <c r="U2420" s="307">
        <f>U2421</f>
        <v>4290</v>
      </c>
      <c r="V2420" s="307"/>
      <c r="W2420" s="307"/>
      <c r="X2420" s="307"/>
      <c r="Y2420" s="307"/>
      <c r="Z2420" s="307"/>
      <c r="AA2420" s="307"/>
      <c r="AB2420" s="307"/>
      <c r="AC2420" s="307"/>
      <c r="AD2420" s="307"/>
      <c r="AE2420" s="307"/>
      <c r="AF2420" s="307"/>
      <c r="AG2420" s="307"/>
      <c r="AH2420" s="307"/>
      <c r="AI2420" s="307"/>
      <c r="AJ2420" s="162" t="b">
        <f t="shared" si="1310"/>
        <v>1</v>
      </c>
      <c r="AK2420" s="162" t="str">
        <f t="shared" si="1311"/>
        <v>PRAZNO</v>
      </c>
      <c r="AM2420" s="164"/>
    </row>
    <row r="2421" spans="1:39" ht="15.75" x14ac:dyDescent="0.2">
      <c r="B2421" s="177"/>
      <c r="C2421" s="177"/>
      <c r="D2421" s="177"/>
      <c r="E2421" s="177">
        <v>4262</v>
      </c>
      <c r="F2421" s="265">
        <v>17</v>
      </c>
      <c r="G2421" s="177"/>
      <c r="H2421" s="16" t="s">
        <v>561</v>
      </c>
      <c r="I2421" s="181"/>
      <c r="J2421" s="181"/>
      <c r="K2421" s="181"/>
      <c r="L2421" s="181"/>
      <c r="M2421" s="181"/>
      <c r="N2421" s="181"/>
      <c r="O2421" s="181"/>
      <c r="P2421" s="307"/>
      <c r="Q2421" s="181"/>
      <c r="R2421" s="181"/>
      <c r="S2421" s="181"/>
      <c r="T2421" s="307"/>
      <c r="U2421" s="307">
        <v>4290</v>
      </c>
      <c r="V2421" s="307"/>
      <c r="W2421" s="307"/>
      <c r="X2421" s="307"/>
      <c r="Y2421" s="307"/>
      <c r="Z2421" s="307"/>
      <c r="AA2421" s="307"/>
      <c r="AB2421" s="307"/>
      <c r="AC2421" s="307"/>
      <c r="AD2421" s="307"/>
      <c r="AE2421" s="307"/>
      <c r="AF2421" s="307"/>
      <c r="AG2421" s="307"/>
      <c r="AH2421" s="307"/>
      <c r="AI2421" s="307"/>
      <c r="AJ2421" s="162" t="b">
        <f t="shared" si="1310"/>
        <v>0</v>
      </c>
      <c r="AK2421" s="162" t="str">
        <f t="shared" si="1311"/>
        <v>PUNO</v>
      </c>
      <c r="AM2421" s="164"/>
    </row>
    <row r="2422" spans="1:39" s="453" customFormat="1" ht="15.75" x14ac:dyDescent="0.25">
      <c r="A2422" s="378"/>
      <c r="B2422" s="260"/>
      <c r="C2422" s="260"/>
      <c r="D2422" s="260"/>
      <c r="E2422" s="260"/>
      <c r="F2422" s="442"/>
      <c r="G2422" s="260"/>
      <c r="H2422" s="440" t="s">
        <v>15</v>
      </c>
      <c r="I2422" s="262"/>
      <c r="J2422" s="262"/>
      <c r="K2422" s="262"/>
      <c r="L2422" s="262"/>
      <c r="M2422" s="262"/>
      <c r="N2422" s="262"/>
      <c r="O2422" s="262"/>
      <c r="P2422" s="342"/>
      <c r="Q2422" s="262"/>
      <c r="R2422" s="262"/>
      <c r="S2422" s="262"/>
      <c r="T2422" s="342"/>
      <c r="U2422" s="342">
        <f t="shared" ref="U2422:AA2422" si="1328">U2423</f>
        <v>0</v>
      </c>
      <c r="V2422" s="342">
        <f t="shared" si="1328"/>
        <v>174500</v>
      </c>
      <c r="W2422" s="342" t="e">
        <f t="shared" si="1328"/>
        <v>#REF!</v>
      </c>
      <c r="X2422" s="342" t="e">
        <f t="shared" si="1328"/>
        <v>#REF!</v>
      </c>
      <c r="Y2422" s="342">
        <f t="shared" si="1328"/>
        <v>35880.589999999997</v>
      </c>
      <c r="Z2422" s="342">
        <f t="shared" si="1328"/>
        <v>20.56</v>
      </c>
      <c r="AA2422" s="342">
        <f t="shared" si="1328"/>
        <v>149200</v>
      </c>
      <c r="AB2422" s="342">
        <f>AB2423</f>
        <v>323700</v>
      </c>
      <c r="AC2422" s="342">
        <f>AC2423</f>
        <v>117542.61</v>
      </c>
      <c r="AD2422" s="342">
        <f t="shared" si="1327"/>
        <v>36.312205746061167</v>
      </c>
      <c r="AE2422" s="342">
        <f t="shared" si="1306"/>
        <v>16500</v>
      </c>
      <c r="AF2422" s="342">
        <f t="shared" ref="AF2422:AI2423" si="1329">AF2423</f>
        <v>340200</v>
      </c>
      <c r="AG2422" s="342">
        <f t="shared" si="1329"/>
        <v>238400</v>
      </c>
      <c r="AH2422" s="342">
        <f t="shared" si="1329"/>
        <v>260400</v>
      </c>
      <c r="AI2422" s="342">
        <f t="shared" si="1329"/>
        <v>225400</v>
      </c>
      <c r="AJ2422" s="162" t="b">
        <f t="shared" si="1310"/>
        <v>1</v>
      </c>
      <c r="AK2422" s="162" t="str">
        <f t="shared" si="1311"/>
        <v>PRAZNO</v>
      </c>
      <c r="AL2422" s="452"/>
      <c r="AM2422" s="287"/>
    </row>
    <row r="2423" spans="1:39" s="174" customFormat="1" ht="15.75" x14ac:dyDescent="0.2">
      <c r="A2423" s="259"/>
      <c r="B2423" s="172">
        <v>4</v>
      </c>
      <c r="C2423" s="172"/>
      <c r="D2423" s="172"/>
      <c r="E2423" s="172"/>
      <c r="F2423" s="172"/>
      <c r="G2423" s="172"/>
      <c r="H2423" s="14" t="s">
        <v>552</v>
      </c>
      <c r="I2423" s="20">
        <f t="shared" ref="I2423:S2423" si="1330">I2424</f>
        <v>115000</v>
      </c>
      <c r="J2423" s="20">
        <f t="shared" si="1330"/>
        <v>0</v>
      </c>
      <c r="K2423" s="20">
        <f>ROUND(J2423/I2423*100,2)</f>
        <v>0</v>
      </c>
      <c r="L2423" s="20">
        <f>M2423-I2423</f>
        <v>-60226.950000000004</v>
      </c>
      <c r="M2423" s="20">
        <f t="shared" si="1330"/>
        <v>54773.049999999996</v>
      </c>
      <c r="N2423" s="20" t="e">
        <f t="shared" si="1330"/>
        <v>#REF!</v>
      </c>
      <c r="O2423" s="20">
        <f t="shared" si="1330"/>
        <v>59534.55</v>
      </c>
      <c r="P2423" s="55" t="e">
        <f>T2423-N2423</f>
        <v>#REF!</v>
      </c>
      <c r="Q2423" s="20" t="e">
        <f t="shared" si="1330"/>
        <v>#REF!</v>
      </c>
      <c r="R2423" s="20" t="e">
        <f t="shared" si="1330"/>
        <v>#REF!</v>
      </c>
      <c r="S2423" s="20" t="e">
        <f t="shared" si="1330"/>
        <v>#REF!</v>
      </c>
      <c r="T2423" s="20">
        <f>T2424</f>
        <v>154700</v>
      </c>
      <c r="U2423" s="20">
        <f>U2424</f>
        <v>0</v>
      </c>
      <c r="V2423" s="20">
        <f>V2424</f>
        <v>174500</v>
      </c>
      <c r="W2423" s="20" t="e">
        <f>W2424+#REF!</f>
        <v>#REF!</v>
      </c>
      <c r="X2423" s="20" t="e">
        <f>X2424+#REF!</f>
        <v>#REF!</v>
      </c>
      <c r="Y2423" s="20">
        <f>Y2424</f>
        <v>35880.589999999997</v>
      </c>
      <c r="Z2423" s="20">
        <f t="shared" si="1304"/>
        <v>20.56</v>
      </c>
      <c r="AA2423" s="20">
        <f t="shared" si="1319"/>
        <v>149200</v>
      </c>
      <c r="AB2423" s="20">
        <f>AB2424</f>
        <v>323700</v>
      </c>
      <c r="AC2423" s="20">
        <f>AC2424</f>
        <v>117542.61</v>
      </c>
      <c r="AD2423" s="20">
        <f t="shared" si="1327"/>
        <v>36.312205746061167</v>
      </c>
      <c r="AE2423" s="20">
        <f>AE2424</f>
        <v>16500</v>
      </c>
      <c r="AF2423" s="20">
        <f t="shared" si="1329"/>
        <v>340200</v>
      </c>
      <c r="AG2423" s="20">
        <f t="shared" si="1329"/>
        <v>238400</v>
      </c>
      <c r="AH2423" s="20">
        <f t="shared" si="1329"/>
        <v>260400</v>
      </c>
      <c r="AI2423" s="20">
        <f t="shared" si="1329"/>
        <v>225400</v>
      </c>
      <c r="AJ2423" s="162" t="b">
        <f t="shared" si="1310"/>
        <v>1</v>
      </c>
      <c r="AK2423" s="162" t="str">
        <f t="shared" si="1311"/>
        <v>PRAZNO</v>
      </c>
      <c r="AL2423" s="173"/>
      <c r="AM2423" s="164"/>
    </row>
    <row r="2424" spans="1:39" ht="15.75" x14ac:dyDescent="0.2">
      <c r="B2424" s="175"/>
      <c r="C2424" s="175">
        <v>42</v>
      </c>
      <c r="D2424" s="175"/>
      <c r="E2424" s="175"/>
      <c r="F2424" s="175"/>
      <c r="G2424" s="175"/>
      <c r="H2424" s="16" t="s">
        <v>212</v>
      </c>
      <c r="I2424" s="22">
        <f>I2425</f>
        <v>115000</v>
      </c>
      <c r="J2424" s="22">
        <f>J2425</f>
        <v>0</v>
      </c>
      <c r="K2424" s="22">
        <f>ROUND(J2424/I2424*100,2)</f>
        <v>0</v>
      </c>
      <c r="L2424" s="22">
        <f>M2424-I2424</f>
        <v>-60226.950000000004</v>
      </c>
      <c r="M2424" s="22">
        <f>M2425</f>
        <v>54773.049999999996</v>
      </c>
      <c r="N2424" s="22" t="e">
        <f>N2425+#REF!+N2433+N2435</f>
        <v>#REF!</v>
      </c>
      <c r="O2424" s="22">
        <f>O2425</f>
        <v>59534.55</v>
      </c>
      <c r="P2424" s="26" t="e">
        <f>T2424-N2424</f>
        <v>#REF!</v>
      </c>
      <c r="Q2424" s="22" t="e">
        <f>Q2425+#REF!+Q2433+Q2435</f>
        <v>#REF!</v>
      </c>
      <c r="R2424" s="22" t="e">
        <f>R2425+#REF!+R2433</f>
        <v>#REF!</v>
      </c>
      <c r="S2424" s="22" t="e">
        <f>S2425+#REF!+S2433</f>
        <v>#REF!</v>
      </c>
      <c r="T2424" s="22">
        <f>T2425+T2433+T2435+T2431</f>
        <v>154700</v>
      </c>
      <c r="U2424" s="22">
        <f>U2425+U2433+U2435+U2431</f>
        <v>0</v>
      </c>
      <c r="V2424" s="22">
        <f>V2425+V2433+V2435</f>
        <v>174500</v>
      </c>
      <c r="W2424" s="22" t="e">
        <f>W2425+#REF!+W2433+W2435</f>
        <v>#REF!</v>
      </c>
      <c r="X2424" s="22" t="e">
        <f>X2425+#REF!+X2433+X2435</f>
        <v>#REF!</v>
      </c>
      <c r="Y2424" s="22">
        <f>Y2425+Y2433+Y2435</f>
        <v>35880.589999999997</v>
      </c>
      <c r="Z2424" s="22">
        <f t="shared" ref="Z2424:Z2487" si="1331">ROUND(Y2424/V2424*100,2)</f>
        <v>20.56</v>
      </c>
      <c r="AA2424" s="22">
        <f t="shared" si="1319"/>
        <v>149200</v>
      </c>
      <c r="AB2424" s="22">
        <f>AB2425+AB2433+AB2435+AB2431</f>
        <v>323700</v>
      </c>
      <c r="AC2424" s="22">
        <f>AC2425+AC2433+AC2435+AC2431</f>
        <v>117542.61</v>
      </c>
      <c r="AD2424" s="22">
        <f t="shared" si="1327"/>
        <v>36.312205746061167</v>
      </c>
      <c r="AE2424" s="22">
        <f t="shared" si="1306"/>
        <v>16500</v>
      </c>
      <c r="AF2424" s="22">
        <f>AF2425+AF2433+AF2435+AF2431</f>
        <v>340200</v>
      </c>
      <c r="AG2424" s="22">
        <f>AG2425+AG2433+AG2435+AG2431</f>
        <v>238400</v>
      </c>
      <c r="AH2424" s="22">
        <f>AH2425+AH2433+AH2435+AH2431</f>
        <v>260400</v>
      </c>
      <c r="AI2424" s="22">
        <f>AI2425+AI2433+AI2435+AI2431</f>
        <v>225400</v>
      </c>
      <c r="AJ2424" s="162" t="b">
        <f t="shared" si="1310"/>
        <v>1</v>
      </c>
      <c r="AK2424" s="162" t="str">
        <f t="shared" si="1311"/>
        <v>PRAZNO</v>
      </c>
      <c r="AM2424" s="164"/>
    </row>
    <row r="2425" spans="1:39" ht="15.75" x14ac:dyDescent="0.2">
      <c r="B2425" s="177"/>
      <c r="C2425" s="177"/>
      <c r="D2425" s="177">
        <v>422</v>
      </c>
      <c r="E2425" s="177"/>
      <c r="F2425" s="177"/>
      <c r="G2425" s="177"/>
      <c r="H2425" s="16" t="s">
        <v>555</v>
      </c>
      <c r="I2425" s="17">
        <f>SUM(I2426:I2430)</f>
        <v>115000</v>
      </c>
      <c r="J2425" s="17">
        <f>SUM(J2426:J2430)</f>
        <v>0</v>
      </c>
      <c r="K2425" s="17">
        <f>ROUND(J2425/I2425*100,2)</f>
        <v>0</v>
      </c>
      <c r="L2425" s="17">
        <f>M2425-I2425</f>
        <v>-60226.950000000004</v>
      </c>
      <c r="M2425" s="17">
        <f>SUM(M2426:M2430)</f>
        <v>54773.049999999996</v>
      </c>
      <c r="N2425" s="17">
        <f>SUM(N2426:N2430)</f>
        <v>221000</v>
      </c>
      <c r="O2425" s="17">
        <f>SUM(O2426:O2430)</f>
        <v>59534.55</v>
      </c>
      <c r="P2425" s="26">
        <f>T2425-N2425</f>
        <v>-80300</v>
      </c>
      <c r="Q2425" s="17">
        <f t="shared" ref="Q2425:Y2425" si="1332">SUM(Q2426:Q2430)</f>
        <v>221000</v>
      </c>
      <c r="R2425" s="17">
        <f t="shared" si="1332"/>
        <v>121000</v>
      </c>
      <c r="S2425" s="17">
        <f t="shared" si="1332"/>
        <v>107000</v>
      </c>
      <c r="T2425" s="26">
        <f t="shared" si="1332"/>
        <v>140700</v>
      </c>
      <c r="U2425" s="26">
        <f>SUM(U2426:U2430)</f>
        <v>0</v>
      </c>
      <c r="V2425" s="17">
        <f t="shared" si="1332"/>
        <v>156000</v>
      </c>
      <c r="W2425" s="17">
        <f t="shared" si="1332"/>
        <v>159000</v>
      </c>
      <c r="X2425" s="17">
        <f t="shared" si="1332"/>
        <v>155000</v>
      </c>
      <c r="Y2425" s="17">
        <f t="shared" si="1332"/>
        <v>35880.589999999997</v>
      </c>
      <c r="Z2425" s="17">
        <f t="shared" si="1331"/>
        <v>23</v>
      </c>
      <c r="AA2425" s="17">
        <f t="shared" si="1319"/>
        <v>93700</v>
      </c>
      <c r="AB2425" s="17">
        <f>SUM(AB2426:AB2430)</f>
        <v>249700</v>
      </c>
      <c r="AC2425" s="17">
        <f>SUM(AC2426:AC2430)</f>
        <v>117542.61</v>
      </c>
      <c r="AD2425" s="17">
        <f t="shared" si="1327"/>
        <v>47.073532238686425</v>
      </c>
      <c r="AE2425" s="17">
        <f t="shared" si="1306"/>
        <v>34500</v>
      </c>
      <c r="AF2425" s="17">
        <f>SUM(AF2426:AF2430)</f>
        <v>284200</v>
      </c>
      <c r="AG2425" s="181">
        <f>SUM(AG2426:AG2430)</f>
        <v>204400</v>
      </c>
      <c r="AH2425" s="181">
        <f>SUM(AH2426:AH2430)</f>
        <v>243400</v>
      </c>
      <c r="AI2425" s="181">
        <f>SUM(AI2426:AI2430)</f>
        <v>208400</v>
      </c>
      <c r="AJ2425" s="162" t="b">
        <f t="shared" si="1310"/>
        <v>1</v>
      </c>
      <c r="AK2425" s="162" t="str">
        <f t="shared" si="1311"/>
        <v>PRAZNO</v>
      </c>
      <c r="AM2425" s="164"/>
    </row>
    <row r="2426" spans="1:39" s="164" customFormat="1" ht="15.75" x14ac:dyDescent="0.2">
      <c r="A2426" s="259"/>
      <c r="B2426" s="177"/>
      <c r="C2426" s="177"/>
      <c r="D2426" s="177"/>
      <c r="E2426" s="177">
        <v>4221</v>
      </c>
      <c r="F2426" s="265">
        <v>31</v>
      </c>
      <c r="G2426" s="177"/>
      <c r="H2426" s="16" t="s">
        <v>558</v>
      </c>
      <c r="I2426" s="181">
        <f>25000+30000</f>
        <v>55000</v>
      </c>
      <c r="J2426" s="181">
        <v>0</v>
      </c>
      <c r="K2426" s="181">
        <f>ROUND(J2426/I2426*100,2)</f>
        <v>0</v>
      </c>
      <c r="L2426" s="181">
        <f>M2426-I2426</f>
        <v>-14379.080000000002</v>
      </c>
      <c r="M2426" s="181">
        <v>40620.92</v>
      </c>
      <c r="N2426" s="181">
        <v>105000</v>
      </c>
      <c r="O2426" s="181">
        <v>59534.55</v>
      </c>
      <c r="P2426" s="307">
        <f>T2426-N2426</f>
        <v>-10300</v>
      </c>
      <c r="Q2426" s="181">
        <v>105000</v>
      </c>
      <c r="R2426" s="181">
        <f>115000-55000</f>
        <v>60000</v>
      </c>
      <c r="S2426" s="181">
        <f>99000-55000</f>
        <v>44000</v>
      </c>
      <c r="T2426" s="307">
        <v>94700</v>
      </c>
      <c r="U2426" s="307"/>
      <c r="V2426" s="307">
        <v>79000</v>
      </c>
      <c r="W2426" s="307">
        <v>80000</v>
      </c>
      <c r="X2426" s="307">
        <v>75000</v>
      </c>
      <c r="Y2426" s="307">
        <v>35880.589999999997</v>
      </c>
      <c r="Z2426" s="307">
        <f t="shared" si="1331"/>
        <v>45.42</v>
      </c>
      <c r="AA2426" s="307">
        <f t="shared" si="1319"/>
        <v>61700</v>
      </c>
      <c r="AB2426" s="307">
        <v>140700</v>
      </c>
      <c r="AC2426" s="307">
        <v>105040.73</v>
      </c>
      <c r="AD2426" s="307">
        <f t="shared" si="1327"/>
        <v>74.65581378820184</v>
      </c>
      <c r="AE2426" s="307">
        <f t="shared" si="1306"/>
        <v>71500</v>
      </c>
      <c r="AF2426" s="307">
        <v>212200</v>
      </c>
      <c r="AG2426" s="307">
        <f>50000+30000+23400</f>
        <v>103400</v>
      </c>
      <c r="AH2426" s="307">
        <v>120000</v>
      </c>
      <c r="AI2426" s="307">
        <f>95000</f>
        <v>95000</v>
      </c>
      <c r="AJ2426" s="162" t="b">
        <f t="shared" si="1310"/>
        <v>0</v>
      </c>
      <c r="AK2426" s="162" t="str">
        <f t="shared" si="1311"/>
        <v>PUNO</v>
      </c>
      <c r="AL2426" s="165"/>
    </row>
    <row r="2427" spans="1:39" s="164" customFormat="1" ht="15.75" x14ac:dyDescent="0.2">
      <c r="A2427" s="259"/>
      <c r="B2427" s="177"/>
      <c r="C2427" s="177"/>
      <c r="D2427" s="177"/>
      <c r="E2427" s="177">
        <v>4222</v>
      </c>
      <c r="F2427" s="265">
        <v>31</v>
      </c>
      <c r="G2427" s="177"/>
      <c r="H2427" s="16" t="s">
        <v>559</v>
      </c>
      <c r="I2427" s="181"/>
      <c r="J2427" s="181"/>
      <c r="K2427" s="181"/>
      <c r="L2427" s="181"/>
      <c r="M2427" s="181"/>
      <c r="N2427" s="181">
        <v>11000</v>
      </c>
      <c r="O2427" s="181">
        <v>0</v>
      </c>
      <c r="P2427" s="307">
        <f>T2427-N2427</f>
        <v>0</v>
      </c>
      <c r="Q2427" s="181">
        <v>11000</v>
      </c>
      <c r="R2427" s="181"/>
      <c r="S2427" s="181"/>
      <c r="T2427" s="307">
        <v>11000</v>
      </c>
      <c r="U2427" s="307"/>
      <c r="V2427" s="307">
        <v>2000</v>
      </c>
      <c r="W2427" s="307">
        <v>4000</v>
      </c>
      <c r="X2427" s="307">
        <v>5000</v>
      </c>
      <c r="Y2427" s="307">
        <v>0</v>
      </c>
      <c r="Z2427" s="307">
        <f t="shared" si="1331"/>
        <v>0</v>
      </c>
      <c r="AA2427" s="307">
        <f t="shared" si="1319"/>
        <v>0</v>
      </c>
      <c r="AB2427" s="307">
        <v>2000</v>
      </c>
      <c r="AC2427" s="307">
        <v>0</v>
      </c>
      <c r="AD2427" s="307">
        <f t="shared" si="1327"/>
        <v>0</v>
      </c>
      <c r="AE2427" s="307">
        <f t="shared" si="1306"/>
        <v>0</v>
      </c>
      <c r="AF2427" s="307">
        <v>2000</v>
      </c>
      <c r="AG2427" s="307">
        <v>2000</v>
      </c>
      <c r="AH2427" s="307">
        <v>5000</v>
      </c>
      <c r="AI2427" s="307">
        <v>5000</v>
      </c>
      <c r="AJ2427" s="162" t="b">
        <f t="shared" si="1310"/>
        <v>0</v>
      </c>
      <c r="AK2427" s="162" t="str">
        <f t="shared" si="1311"/>
        <v>PUNO</v>
      </c>
      <c r="AL2427" s="165"/>
    </row>
    <row r="2428" spans="1:39" s="164" customFormat="1" ht="15.75" x14ac:dyDescent="0.2">
      <c r="A2428" s="259"/>
      <c r="B2428" s="177"/>
      <c r="C2428" s="177"/>
      <c r="D2428" s="177"/>
      <c r="E2428" s="177">
        <v>4223</v>
      </c>
      <c r="F2428" s="265">
        <v>31</v>
      </c>
      <c r="G2428" s="177"/>
      <c r="H2428" s="16" t="s">
        <v>628</v>
      </c>
      <c r="I2428" s="181"/>
      <c r="J2428" s="181"/>
      <c r="K2428" s="181"/>
      <c r="L2428" s="181"/>
      <c r="M2428" s="181"/>
      <c r="N2428" s="181"/>
      <c r="O2428" s="181"/>
      <c r="P2428" s="307"/>
      <c r="Q2428" s="181"/>
      <c r="R2428" s="181"/>
      <c r="S2428" s="181"/>
      <c r="T2428" s="307"/>
      <c r="U2428" s="307"/>
      <c r="V2428" s="307">
        <v>0</v>
      </c>
      <c r="W2428" s="307"/>
      <c r="X2428" s="307"/>
      <c r="Y2428" s="307">
        <v>0</v>
      </c>
      <c r="Z2428" s="307"/>
      <c r="AA2428" s="307">
        <f t="shared" si="1319"/>
        <v>20000</v>
      </c>
      <c r="AB2428" s="307">
        <v>20000</v>
      </c>
      <c r="AC2428" s="307">
        <v>0</v>
      </c>
      <c r="AD2428" s="307">
        <f t="shared" si="1327"/>
        <v>0</v>
      </c>
      <c r="AE2428" s="307">
        <f t="shared" si="1306"/>
        <v>0</v>
      </c>
      <c r="AF2428" s="307">
        <v>20000</v>
      </c>
      <c r="AG2428" s="307">
        <v>0</v>
      </c>
      <c r="AH2428" s="307">
        <v>0</v>
      </c>
      <c r="AI2428" s="307">
        <v>0</v>
      </c>
      <c r="AJ2428" s="162" t="b">
        <f t="shared" si="1310"/>
        <v>0</v>
      </c>
      <c r="AK2428" s="162" t="str">
        <f t="shared" si="1311"/>
        <v>PUNO</v>
      </c>
      <c r="AL2428" s="165"/>
    </row>
    <row r="2429" spans="1:39" s="164" customFormat="1" ht="15.75" x14ac:dyDescent="0.2">
      <c r="A2429" s="259"/>
      <c r="B2429" s="177"/>
      <c r="C2429" s="177"/>
      <c r="D2429" s="177"/>
      <c r="E2429" s="177">
        <v>4225</v>
      </c>
      <c r="F2429" s="265">
        <v>31</v>
      </c>
      <c r="G2429" s="177"/>
      <c r="H2429" s="16" t="s">
        <v>844</v>
      </c>
      <c r="I2429" s="181"/>
      <c r="J2429" s="181"/>
      <c r="K2429" s="181"/>
      <c r="L2429" s="181"/>
      <c r="M2429" s="181"/>
      <c r="N2429" s="181"/>
      <c r="O2429" s="181"/>
      <c r="P2429" s="307"/>
      <c r="Q2429" s="181"/>
      <c r="R2429" s="181"/>
      <c r="S2429" s="181"/>
      <c r="T2429" s="307"/>
      <c r="U2429" s="307"/>
      <c r="V2429" s="307">
        <v>0</v>
      </c>
      <c r="W2429" s="307"/>
      <c r="X2429" s="307"/>
      <c r="Y2429" s="307">
        <v>0</v>
      </c>
      <c r="Z2429" s="307"/>
      <c r="AA2429" s="307">
        <f t="shared" si="1319"/>
        <v>8000</v>
      </c>
      <c r="AB2429" s="307">
        <v>8000</v>
      </c>
      <c r="AC2429" s="307">
        <v>7764.38</v>
      </c>
      <c r="AD2429" s="307">
        <f t="shared" si="1327"/>
        <v>97.054749999999999</v>
      </c>
      <c r="AE2429" s="307">
        <f t="shared" si="1306"/>
        <v>0</v>
      </c>
      <c r="AF2429" s="307">
        <v>8000</v>
      </c>
      <c r="AG2429" s="307">
        <v>0</v>
      </c>
      <c r="AH2429" s="307">
        <v>13400</v>
      </c>
      <c r="AI2429" s="307">
        <v>13400</v>
      </c>
      <c r="AJ2429" s="162" t="b">
        <f t="shared" si="1310"/>
        <v>0</v>
      </c>
      <c r="AK2429" s="162" t="str">
        <f t="shared" si="1311"/>
        <v>PUNO</v>
      </c>
      <c r="AL2429" s="165"/>
    </row>
    <row r="2430" spans="1:39" s="164" customFormat="1" ht="16.5" customHeight="1" x14ac:dyDescent="0.2">
      <c r="A2430" s="259"/>
      <c r="B2430" s="177"/>
      <c r="C2430" s="177"/>
      <c r="D2430" s="177"/>
      <c r="E2430" s="177">
        <v>4227</v>
      </c>
      <c r="F2430" s="265">
        <v>31</v>
      </c>
      <c r="G2430" s="177"/>
      <c r="H2430" s="16" t="s">
        <v>413</v>
      </c>
      <c r="I2430" s="181">
        <v>60000</v>
      </c>
      <c r="J2430" s="181">
        <v>0</v>
      </c>
      <c r="K2430" s="181">
        <f>ROUND(J2430/I2430*100,2)</f>
        <v>0</v>
      </c>
      <c r="L2430" s="181">
        <f>M2430-I2430</f>
        <v>-45847.87</v>
      </c>
      <c r="M2430" s="181">
        <v>14152.13</v>
      </c>
      <c r="N2430" s="181">
        <v>105000</v>
      </c>
      <c r="O2430" s="181">
        <v>0</v>
      </c>
      <c r="P2430" s="307">
        <f>T2430-N2430</f>
        <v>-70000</v>
      </c>
      <c r="Q2430" s="181">
        <v>105000</v>
      </c>
      <c r="R2430" s="181">
        <v>61000</v>
      </c>
      <c r="S2430" s="181">
        <v>63000</v>
      </c>
      <c r="T2430" s="307">
        <v>35000</v>
      </c>
      <c r="U2430" s="307"/>
      <c r="V2430" s="307">
        <v>75000</v>
      </c>
      <c r="W2430" s="307">
        <v>75000</v>
      </c>
      <c r="X2430" s="307">
        <v>75000</v>
      </c>
      <c r="Y2430" s="307">
        <v>0</v>
      </c>
      <c r="Z2430" s="307">
        <f t="shared" si="1331"/>
        <v>0</v>
      </c>
      <c r="AA2430" s="307">
        <f t="shared" si="1319"/>
        <v>4000</v>
      </c>
      <c r="AB2430" s="307">
        <v>79000</v>
      </c>
      <c r="AC2430" s="307">
        <v>4737.5</v>
      </c>
      <c r="AD2430" s="307">
        <f t="shared" si="1327"/>
        <v>5.9968354430379751</v>
      </c>
      <c r="AE2430" s="307">
        <f t="shared" si="1306"/>
        <v>-37000</v>
      </c>
      <c r="AF2430" s="307">
        <v>42000</v>
      </c>
      <c r="AG2430" s="307">
        <f>10000+15000+74000</f>
        <v>99000</v>
      </c>
      <c r="AH2430" s="307">
        <v>105000</v>
      </c>
      <c r="AI2430" s="307">
        <v>95000</v>
      </c>
      <c r="AJ2430" s="162" t="b">
        <f t="shared" si="1310"/>
        <v>0</v>
      </c>
      <c r="AK2430" s="162" t="str">
        <f t="shared" si="1311"/>
        <v>PUNO</v>
      </c>
      <c r="AL2430" s="165"/>
    </row>
    <row r="2431" spans="1:39" ht="15.75" x14ac:dyDescent="0.2">
      <c r="B2431" s="177"/>
      <c r="C2431" s="177"/>
      <c r="D2431" s="177">
        <v>423</v>
      </c>
      <c r="E2431" s="177"/>
      <c r="F2431" s="265"/>
      <c r="G2431" s="265"/>
      <c r="H2431" s="16" t="s">
        <v>223</v>
      </c>
      <c r="I2431" s="181"/>
      <c r="J2431" s="181"/>
      <c r="K2431" s="181"/>
      <c r="L2431" s="181"/>
      <c r="M2431" s="181"/>
      <c r="N2431" s="181"/>
      <c r="O2431" s="181"/>
      <c r="P2431" s="307"/>
      <c r="Q2431" s="181"/>
      <c r="R2431" s="181"/>
      <c r="S2431" s="181"/>
      <c r="T2431" s="307"/>
      <c r="U2431" s="307"/>
      <c r="V2431" s="181">
        <f>V2432</f>
        <v>0</v>
      </c>
      <c r="W2431" s="181"/>
      <c r="X2431" s="181"/>
      <c r="Y2431" s="181">
        <f>Y2432</f>
        <v>0</v>
      </c>
      <c r="Z2431" s="181"/>
      <c r="AA2431" s="181">
        <f t="shared" si="1319"/>
        <v>43000</v>
      </c>
      <c r="AB2431" s="181">
        <f>AB2432</f>
        <v>43000</v>
      </c>
      <c r="AC2431" s="181">
        <f>AC2432</f>
        <v>0</v>
      </c>
      <c r="AD2431" s="181">
        <f t="shared" si="1327"/>
        <v>0</v>
      </c>
      <c r="AE2431" s="181">
        <f t="shared" si="1306"/>
        <v>0</v>
      </c>
      <c r="AF2431" s="181">
        <f>AF2432</f>
        <v>43000</v>
      </c>
      <c r="AG2431" s="181">
        <f>AG2432</f>
        <v>0</v>
      </c>
      <c r="AH2431" s="181">
        <f>AH2432</f>
        <v>0</v>
      </c>
      <c r="AI2431" s="181">
        <f>AI2432</f>
        <v>0</v>
      </c>
      <c r="AJ2431" s="162" t="b">
        <f t="shared" si="1310"/>
        <v>1</v>
      </c>
      <c r="AK2431" s="162" t="str">
        <f t="shared" si="1311"/>
        <v>PRAZNO</v>
      </c>
      <c r="AM2431" s="164"/>
    </row>
    <row r="2432" spans="1:39" ht="15.75" x14ac:dyDescent="0.2">
      <c r="B2432" s="177"/>
      <c r="C2432" s="177"/>
      <c r="D2432" s="177"/>
      <c r="E2432" s="177">
        <v>4231</v>
      </c>
      <c r="F2432" s="265">
        <v>31</v>
      </c>
      <c r="G2432" s="265"/>
      <c r="H2432" s="16" t="s">
        <v>224</v>
      </c>
      <c r="I2432" s="181"/>
      <c r="J2432" s="181"/>
      <c r="K2432" s="181"/>
      <c r="L2432" s="181"/>
      <c r="M2432" s="181"/>
      <c r="N2432" s="181"/>
      <c r="O2432" s="181"/>
      <c r="P2432" s="307"/>
      <c r="Q2432" s="181"/>
      <c r="R2432" s="181"/>
      <c r="S2432" s="181"/>
      <c r="T2432" s="307"/>
      <c r="U2432" s="307"/>
      <c r="V2432" s="181">
        <v>0</v>
      </c>
      <c r="W2432" s="181"/>
      <c r="X2432" s="181"/>
      <c r="Y2432" s="181">
        <v>0</v>
      </c>
      <c r="Z2432" s="181"/>
      <c r="AA2432" s="181">
        <f t="shared" si="1319"/>
        <v>43000</v>
      </c>
      <c r="AB2432" s="181">
        <v>43000</v>
      </c>
      <c r="AC2432" s="181">
        <v>0</v>
      </c>
      <c r="AD2432" s="181">
        <f t="shared" si="1327"/>
        <v>0</v>
      </c>
      <c r="AE2432" s="181">
        <f t="shared" si="1306"/>
        <v>0</v>
      </c>
      <c r="AF2432" s="181">
        <v>43000</v>
      </c>
      <c r="AG2432" s="181">
        <v>0</v>
      </c>
      <c r="AH2432" s="181">
        <v>0</v>
      </c>
      <c r="AI2432" s="181">
        <v>0</v>
      </c>
      <c r="AJ2432" s="162" t="b">
        <f t="shared" si="1310"/>
        <v>0</v>
      </c>
      <c r="AK2432" s="162" t="str">
        <f t="shared" si="1311"/>
        <v>PUNO</v>
      </c>
      <c r="AM2432" s="164"/>
    </row>
    <row r="2433" spans="1:39" ht="20.25" customHeight="1" x14ac:dyDescent="0.2">
      <c r="B2433" s="177"/>
      <c r="C2433" s="177"/>
      <c r="D2433" s="177">
        <v>424</v>
      </c>
      <c r="E2433" s="177"/>
      <c r="F2433" s="265"/>
      <c r="G2433" s="265"/>
      <c r="H2433" s="16" t="s">
        <v>447</v>
      </c>
      <c r="I2433" s="181"/>
      <c r="J2433" s="181"/>
      <c r="K2433" s="181"/>
      <c r="L2433" s="181"/>
      <c r="M2433" s="181"/>
      <c r="N2433" s="181">
        <f>N2434</f>
        <v>22500</v>
      </c>
      <c r="O2433" s="181">
        <f>O2434</f>
        <v>0</v>
      </c>
      <c r="P2433" s="307">
        <f>T2433-N2433</f>
        <v>-13000</v>
      </c>
      <c r="Q2433" s="181">
        <f t="shared" ref="Q2433:X2433" si="1333">Q2434</f>
        <v>22500</v>
      </c>
      <c r="R2433" s="181">
        <f t="shared" si="1333"/>
        <v>4000</v>
      </c>
      <c r="S2433" s="181">
        <f t="shared" si="1333"/>
        <v>4000</v>
      </c>
      <c r="T2433" s="181">
        <f>T2434</f>
        <v>9500</v>
      </c>
      <c r="U2433" s="181">
        <f>U2434</f>
        <v>0</v>
      </c>
      <c r="V2433" s="181">
        <f t="shared" si="1333"/>
        <v>17000</v>
      </c>
      <c r="W2433" s="181">
        <f t="shared" si="1333"/>
        <v>28000</v>
      </c>
      <c r="X2433" s="181">
        <f t="shared" si="1333"/>
        <v>13000</v>
      </c>
      <c r="Y2433" s="181">
        <f>Y2434</f>
        <v>0</v>
      </c>
      <c r="Z2433" s="181">
        <f t="shared" si="1331"/>
        <v>0</v>
      </c>
      <c r="AA2433" s="181">
        <f t="shared" si="1319"/>
        <v>0</v>
      </c>
      <c r="AB2433" s="181">
        <f>AB2434</f>
        <v>17000</v>
      </c>
      <c r="AC2433" s="181">
        <f>AC2434</f>
        <v>0</v>
      </c>
      <c r="AD2433" s="181">
        <f t="shared" si="1327"/>
        <v>0</v>
      </c>
      <c r="AE2433" s="181">
        <f t="shared" si="1306"/>
        <v>-14000</v>
      </c>
      <c r="AF2433" s="181">
        <f>AF2434</f>
        <v>3000</v>
      </c>
      <c r="AG2433" s="181">
        <f>AG2434</f>
        <v>31000</v>
      </c>
      <c r="AH2433" s="181">
        <f>AH2434</f>
        <v>17000</v>
      </c>
      <c r="AI2433" s="181">
        <f>AI2434</f>
        <v>17000</v>
      </c>
      <c r="AJ2433" s="162" t="b">
        <f t="shared" si="1310"/>
        <v>1</v>
      </c>
      <c r="AK2433" s="162" t="str">
        <f t="shared" si="1311"/>
        <v>PRAZNO</v>
      </c>
      <c r="AM2433" s="164"/>
    </row>
    <row r="2434" spans="1:39" s="164" customFormat="1" ht="15.75" x14ac:dyDescent="0.2">
      <c r="A2434" s="259"/>
      <c r="B2434" s="177"/>
      <c r="C2434" s="177"/>
      <c r="D2434" s="177"/>
      <c r="E2434" s="177">
        <v>4241</v>
      </c>
      <c r="F2434" s="265">
        <v>31</v>
      </c>
      <c r="G2434" s="265"/>
      <c r="H2434" s="16" t="s">
        <v>822</v>
      </c>
      <c r="I2434" s="181"/>
      <c r="J2434" s="181"/>
      <c r="K2434" s="181"/>
      <c r="L2434" s="181"/>
      <c r="M2434" s="181"/>
      <c r="N2434" s="181">
        <v>22500</v>
      </c>
      <c r="O2434" s="181">
        <v>0</v>
      </c>
      <c r="P2434" s="307">
        <f>T2434-N2434</f>
        <v>-13000</v>
      </c>
      <c r="Q2434" s="181">
        <v>22500</v>
      </c>
      <c r="R2434" s="181">
        <v>4000</v>
      </c>
      <c r="S2434" s="181">
        <v>4000</v>
      </c>
      <c r="T2434" s="307">
        <v>9500</v>
      </c>
      <c r="U2434" s="307"/>
      <c r="V2434" s="307">
        <v>17000</v>
      </c>
      <c r="W2434" s="307">
        <v>28000</v>
      </c>
      <c r="X2434" s="307">
        <v>13000</v>
      </c>
      <c r="Y2434" s="307">
        <v>0</v>
      </c>
      <c r="Z2434" s="307">
        <f t="shared" si="1331"/>
        <v>0</v>
      </c>
      <c r="AA2434" s="307">
        <f t="shared" si="1319"/>
        <v>0</v>
      </c>
      <c r="AB2434" s="307">
        <v>17000</v>
      </c>
      <c r="AC2434" s="307">
        <v>0</v>
      </c>
      <c r="AD2434" s="307">
        <f t="shared" si="1327"/>
        <v>0</v>
      </c>
      <c r="AE2434" s="307">
        <f t="shared" ref="AE2434:AE2496" si="1334">AF2434-AB2434</f>
        <v>-14000</v>
      </c>
      <c r="AF2434" s="307">
        <v>3000</v>
      </c>
      <c r="AG2434" s="307">
        <v>31000</v>
      </c>
      <c r="AH2434" s="307">
        <v>17000</v>
      </c>
      <c r="AI2434" s="307">
        <v>17000</v>
      </c>
      <c r="AJ2434" s="162" t="b">
        <f t="shared" si="1310"/>
        <v>0</v>
      </c>
      <c r="AK2434" s="162" t="str">
        <f t="shared" si="1311"/>
        <v>PUNO</v>
      </c>
      <c r="AL2434" s="165"/>
    </row>
    <row r="2435" spans="1:39" ht="15.75" x14ac:dyDescent="0.2">
      <c r="B2435" s="177"/>
      <c r="C2435" s="177"/>
      <c r="D2435" s="177">
        <v>426</v>
      </c>
      <c r="E2435" s="177"/>
      <c r="F2435" s="265"/>
      <c r="G2435" s="265"/>
      <c r="H2435" s="16" t="s">
        <v>560</v>
      </c>
      <c r="I2435" s="181"/>
      <c r="J2435" s="181"/>
      <c r="K2435" s="181"/>
      <c r="L2435" s="181"/>
      <c r="M2435" s="181"/>
      <c r="N2435" s="181">
        <f>N2436</f>
        <v>5500</v>
      </c>
      <c r="O2435" s="181">
        <v>0</v>
      </c>
      <c r="P2435" s="307">
        <f>T2435-N2435</f>
        <v>-1000</v>
      </c>
      <c r="Q2435" s="181">
        <f>Q2436</f>
        <v>5500</v>
      </c>
      <c r="R2435" s="181"/>
      <c r="S2435" s="181"/>
      <c r="T2435" s="307">
        <f t="shared" ref="T2435:Y2435" si="1335">T2436</f>
        <v>4500</v>
      </c>
      <c r="U2435" s="307">
        <f t="shared" si="1335"/>
        <v>0</v>
      </c>
      <c r="V2435" s="307">
        <f t="shared" si="1335"/>
        <v>1500</v>
      </c>
      <c r="W2435" s="307">
        <f t="shared" si="1335"/>
        <v>0</v>
      </c>
      <c r="X2435" s="307">
        <f t="shared" si="1335"/>
        <v>0</v>
      </c>
      <c r="Y2435" s="307">
        <f t="shared" si="1335"/>
        <v>0</v>
      </c>
      <c r="Z2435" s="307">
        <f t="shared" si="1331"/>
        <v>0</v>
      </c>
      <c r="AA2435" s="307">
        <f t="shared" si="1319"/>
        <v>12500</v>
      </c>
      <c r="AB2435" s="307">
        <f>AB2436</f>
        <v>14000</v>
      </c>
      <c r="AC2435" s="307">
        <f>AC2436</f>
        <v>0</v>
      </c>
      <c r="AD2435" s="307">
        <f t="shared" si="1327"/>
        <v>0</v>
      </c>
      <c r="AE2435" s="307">
        <f>AE2436</f>
        <v>-4000</v>
      </c>
      <c r="AF2435" s="307">
        <f>AF2436</f>
        <v>10000</v>
      </c>
      <c r="AG2435" s="307">
        <f>AG2436</f>
        <v>3000</v>
      </c>
      <c r="AH2435" s="307">
        <f>AH2436</f>
        <v>0</v>
      </c>
      <c r="AI2435" s="307">
        <f>AI2436</f>
        <v>0</v>
      </c>
      <c r="AJ2435" s="162" t="b">
        <f t="shared" si="1310"/>
        <v>1</v>
      </c>
      <c r="AK2435" s="162" t="str">
        <f t="shared" si="1311"/>
        <v>PRAZNO</v>
      </c>
      <c r="AM2435" s="164"/>
    </row>
    <row r="2436" spans="1:39" s="164" customFormat="1" ht="15.75" x14ac:dyDescent="0.2">
      <c r="A2436" s="259"/>
      <c r="B2436" s="177"/>
      <c r="C2436" s="177"/>
      <c r="D2436" s="177"/>
      <c r="E2436" s="177">
        <v>4262</v>
      </c>
      <c r="F2436" s="265">
        <v>31</v>
      </c>
      <c r="G2436" s="265"/>
      <c r="H2436" s="16" t="s">
        <v>448</v>
      </c>
      <c r="I2436" s="181"/>
      <c r="J2436" s="181"/>
      <c r="K2436" s="181"/>
      <c r="L2436" s="181"/>
      <c r="M2436" s="181"/>
      <c r="N2436" s="181">
        <v>5500</v>
      </c>
      <c r="O2436" s="181">
        <v>0</v>
      </c>
      <c r="P2436" s="307">
        <f>T2436-N2436</f>
        <v>-1000</v>
      </c>
      <c r="Q2436" s="181">
        <v>5500</v>
      </c>
      <c r="R2436" s="181"/>
      <c r="S2436" s="181"/>
      <c r="T2436" s="307">
        <v>4500</v>
      </c>
      <c r="U2436" s="307"/>
      <c r="V2436" s="307">
        <v>1500</v>
      </c>
      <c r="W2436" s="307">
        <v>0</v>
      </c>
      <c r="X2436" s="307">
        <v>0</v>
      </c>
      <c r="Y2436" s="307">
        <v>0</v>
      </c>
      <c r="Z2436" s="307">
        <f t="shared" si="1331"/>
        <v>0</v>
      </c>
      <c r="AA2436" s="307">
        <f t="shared" si="1319"/>
        <v>12500</v>
      </c>
      <c r="AB2436" s="307">
        <v>14000</v>
      </c>
      <c r="AC2436" s="307">
        <v>0</v>
      </c>
      <c r="AD2436" s="307">
        <f t="shared" si="1327"/>
        <v>0</v>
      </c>
      <c r="AE2436" s="307">
        <f t="shared" si="1334"/>
        <v>-4000</v>
      </c>
      <c r="AF2436" s="307">
        <v>10000</v>
      </c>
      <c r="AG2436" s="307">
        <v>3000</v>
      </c>
      <c r="AH2436" s="307">
        <v>0</v>
      </c>
      <c r="AI2436" s="307">
        <v>0</v>
      </c>
      <c r="AJ2436" s="162" t="b">
        <f t="shared" si="1310"/>
        <v>0</v>
      </c>
      <c r="AK2436" s="162" t="str">
        <f t="shared" si="1311"/>
        <v>PUNO</v>
      </c>
      <c r="AL2436" s="165"/>
    </row>
    <row r="2437" spans="1:39" s="447" customFormat="1" ht="15.75" x14ac:dyDescent="0.25">
      <c r="A2437" s="378"/>
      <c r="B2437" s="260"/>
      <c r="C2437" s="260"/>
      <c r="D2437" s="260"/>
      <c r="E2437" s="260"/>
      <c r="F2437" s="260"/>
      <c r="G2437" s="260"/>
      <c r="H2437" s="441" t="s">
        <v>825</v>
      </c>
      <c r="I2437" s="262"/>
      <c r="J2437" s="262"/>
      <c r="K2437" s="262"/>
      <c r="L2437" s="262"/>
      <c r="M2437" s="262"/>
      <c r="N2437" s="262"/>
      <c r="O2437" s="262"/>
      <c r="P2437" s="445"/>
      <c r="Q2437" s="262"/>
      <c r="R2437" s="262"/>
      <c r="S2437" s="262"/>
      <c r="T2437" s="342"/>
      <c r="U2437" s="342"/>
      <c r="V2437" s="262">
        <f>V2438</f>
        <v>52000</v>
      </c>
      <c r="W2437" s="262">
        <f>W2438</f>
        <v>20000</v>
      </c>
      <c r="X2437" s="262">
        <f>X2438</f>
        <v>20000</v>
      </c>
      <c r="Y2437" s="262">
        <f>Y2438</f>
        <v>0</v>
      </c>
      <c r="Z2437" s="262">
        <f t="shared" si="1331"/>
        <v>0</v>
      </c>
      <c r="AA2437" s="262">
        <f t="shared" si="1319"/>
        <v>-16000</v>
      </c>
      <c r="AB2437" s="262">
        <f>AB2438</f>
        <v>36000</v>
      </c>
      <c r="AC2437" s="262">
        <f>AC2438</f>
        <v>10000</v>
      </c>
      <c r="AD2437" s="262">
        <f t="shared" si="1327"/>
        <v>27.777777777777779</v>
      </c>
      <c r="AE2437" s="262">
        <f t="shared" si="1334"/>
        <v>-7000</v>
      </c>
      <c r="AF2437" s="262">
        <f>AF2438</f>
        <v>29000</v>
      </c>
      <c r="AG2437" s="262">
        <f>AG2438</f>
        <v>36000</v>
      </c>
      <c r="AH2437" s="262">
        <f>AH2438</f>
        <v>36000</v>
      </c>
      <c r="AI2437" s="262">
        <f>AI2438</f>
        <v>36000</v>
      </c>
      <c r="AJ2437" s="162" t="b">
        <f t="shared" si="1310"/>
        <v>1</v>
      </c>
      <c r="AK2437" s="162" t="str">
        <f t="shared" si="1311"/>
        <v>PRAZNO</v>
      </c>
      <c r="AL2437" s="446"/>
    </row>
    <row r="2438" spans="1:39" s="174" customFormat="1" ht="15.75" x14ac:dyDescent="0.2">
      <c r="A2438" s="259"/>
      <c r="B2438" s="247">
        <v>4</v>
      </c>
      <c r="C2438" s="172"/>
      <c r="D2438" s="172"/>
      <c r="E2438" s="172"/>
      <c r="F2438" s="172"/>
      <c r="G2438" s="172"/>
      <c r="H2438" s="36" t="s">
        <v>552</v>
      </c>
      <c r="I2438" s="20"/>
      <c r="J2438" s="20"/>
      <c r="K2438" s="20"/>
      <c r="L2438" s="20"/>
      <c r="M2438" s="20"/>
      <c r="N2438" s="20"/>
      <c r="O2438" s="20"/>
      <c r="P2438" s="54"/>
      <c r="Q2438" s="20"/>
      <c r="R2438" s="20"/>
      <c r="S2438" s="20"/>
      <c r="T2438" s="55"/>
      <c r="U2438" s="55"/>
      <c r="V2438" s="20">
        <f>V2439+V2443</f>
        <v>52000</v>
      </c>
      <c r="W2438" s="20">
        <f>W2439+W2443</f>
        <v>20000</v>
      </c>
      <c r="X2438" s="20">
        <f>X2439+X2443</f>
        <v>20000</v>
      </c>
      <c r="Y2438" s="20">
        <f>Y2439+Y2443</f>
        <v>0</v>
      </c>
      <c r="Z2438" s="20">
        <f t="shared" si="1331"/>
        <v>0</v>
      </c>
      <c r="AA2438" s="20">
        <f t="shared" si="1319"/>
        <v>-16000</v>
      </c>
      <c r="AB2438" s="20">
        <f>AB2439+AB2443</f>
        <v>36000</v>
      </c>
      <c r="AC2438" s="20">
        <f>AC2439+AC2443</f>
        <v>10000</v>
      </c>
      <c r="AD2438" s="20">
        <f t="shared" si="1327"/>
        <v>27.777777777777779</v>
      </c>
      <c r="AE2438" s="20">
        <f t="shared" si="1334"/>
        <v>-7000</v>
      </c>
      <c r="AF2438" s="20">
        <f>AF2439+AF2443</f>
        <v>29000</v>
      </c>
      <c r="AG2438" s="20">
        <f>AG2439+AG2443</f>
        <v>36000</v>
      </c>
      <c r="AH2438" s="20">
        <f>AH2439+AH2443</f>
        <v>36000</v>
      </c>
      <c r="AI2438" s="20">
        <f>AI2439+AI2443</f>
        <v>36000</v>
      </c>
      <c r="AJ2438" s="162" t="b">
        <f t="shared" si="1310"/>
        <v>1</v>
      </c>
      <c r="AK2438" s="162" t="str">
        <f t="shared" si="1311"/>
        <v>PRAZNO</v>
      </c>
      <c r="AL2438" s="173"/>
    </row>
    <row r="2439" spans="1:39" s="638" customFormat="1" ht="15.75" x14ac:dyDescent="0.2">
      <c r="A2439" s="633"/>
      <c r="B2439" s="175"/>
      <c r="C2439" s="314">
        <v>42</v>
      </c>
      <c r="D2439" s="175"/>
      <c r="E2439" s="175"/>
      <c r="F2439" s="175"/>
      <c r="G2439" s="175"/>
      <c r="H2439" s="39" t="s">
        <v>212</v>
      </c>
      <c r="I2439" s="183"/>
      <c r="J2439" s="183"/>
      <c r="K2439" s="183"/>
      <c r="L2439" s="183"/>
      <c r="M2439" s="183"/>
      <c r="N2439" s="183"/>
      <c r="O2439" s="183"/>
      <c r="P2439" s="341"/>
      <c r="Q2439" s="183"/>
      <c r="R2439" s="183"/>
      <c r="S2439" s="183"/>
      <c r="T2439" s="340"/>
      <c r="U2439" s="340"/>
      <c r="V2439" s="183">
        <f>V2440</f>
        <v>32000</v>
      </c>
      <c r="W2439" s="183">
        <f>W2440</f>
        <v>20000</v>
      </c>
      <c r="X2439" s="183">
        <f>X2440</f>
        <v>20000</v>
      </c>
      <c r="Y2439" s="183">
        <f>Y2440</f>
        <v>0</v>
      </c>
      <c r="Z2439" s="183">
        <f t="shared" si="1331"/>
        <v>0</v>
      </c>
      <c r="AA2439" s="183">
        <f t="shared" si="1319"/>
        <v>-16000</v>
      </c>
      <c r="AB2439" s="183">
        <f>AB2440</f>
        <v>16000</v>
      </c>
      <c r="AC2439" s="183">
        <f>AC2440</f>
        <v>10000</v>
      </c>
      <c r="AD2439" s="183">
        <f t="shared" si="1327"/>
        <v>62.5</v>
      </c>
      <c r="AE2439" s="183">
        <f t="shared" si="1334"/>
        <v>13000</v>
      </c>
      <c r="AF2439" s="183">
        <f>AF2440</f>
        <v>29000</v>
      </c>
      <c r="AG2439" s="183">
        <f>AG2440</f>
        <v>36000</v>
      </c>
      <c r="AH2439" s="183">
        <f>AH2440</f>
        <v>36000</v>
      </c>
      <c r="AI2439" s="183">
        <f>AI2440</f>
        <v>36000</v>
      </c>
      <c r="AJ2439" s="162" t="b">
        <f t="shared" si="1310"/>
        <v>1</v>
      </c>
      <c r="AK2439" s="162" t="str">
        <f t="shared" si="1311"/>
        <v>PRAZNO</v>
      </c>
      <c r="AL2439" s="637"/>
    </row>
    <row r="2440" spans="1:39" s="264" customFormat="1" ht="15.75" x14ac:dyDescent="0.2">
      <c r="A2440" s="259"/>
      <c r="B2440" s="177"/>
      <c r="C2440" s="177"/>
      <c r="D2440" s="212">
        <v>422</v>
      </c>
      <c r="E2440" s="177"/>
      <c r="F2440" s="177"/>
      <c r="G2440" s="177"/>
      <c r="H2440" s="23" t="s">
        <v>555</v>
      </c>
      <c r="I2440" s="181"/>
      <c r="J2440" s="181"/>
      <c r="K2440" s="181"/>
      <c r="L2440" s="181"/>
      <c r="M2440" s="181"/>
      <c r="N2440" s="181"/>
      <c r="O2440" s="181"/>
      <c r="P2440" s="343"/>
      <c r="Q2440" s="181"/>
      <c r="R2440" s="181"/>
      <c r="S2440" s="181"/>
      <c r="T2440" s="307"/>
      <c r="U2440" s="307"/>
      <c r="V2440" s="181">
        <f>SUM(V2441:V2442)</f>
        <v>32000</v>
      </c>
      <c r="W2440" s="181">
        <f>SUM(W2441:W2441)</f>
        <v>20000</v>
      </c>
      <c r="X2440" s="181">
        <f>SUM(X2441:X2441)</f>
        <v>20000</v>
      </c>
      <c r="Y2440" s="181">
        <f>SUM(Y2441:Y2441)</f>
        <v>0</v>
      </c>
      <c r="Z2440" s="181">
        <f t="shared" si="1331"/>
        <v>0</v>
      </c>
      <c r="AA2440" s="181">
        <f t="shared" si="1319"/>
        <v>-16000</v>
      </c>
      <c r="AB2440" s="181">
        <f>SUM(AB2441:AB2441)</f>
        <v>16000</v>
      </c>
      <c r="AC2440" s="181">
        <f>SUM(AC2441:AC2441)</f>
        <v>10000</v>
      </c>
      <c r="AD2440" s="181">
        <f t="shared" si="1327"/>
        <v>62.5</v>
      </c>
      <c r="AE2440" s="181">
        <f t="shared" si="1334"/>
        <v>13000</v>
      </c>
      <c r="AF2440" s="181">
        <f>SUM(AF2441:AF2441)</f>
        <v>29000</v>
      </c>
      <c r="AG2440" s="181">
        <f>AG2441+AG2442</f>
        <v>36000</v>
      </c>
      <c r="AH2440" s="181">
        <f>AH2441+AH2442</f>
        <v>36000</v>
      </c>
      <c r="AI2440" s="181">
        <f>AI2441+AI2442</f>
        <v>36000</v>
      </c>
      <c r="AJ2440" s="162" t="b">
        <f t="shared" si="1310"/>
        <v>1</v>
      </c>
      <c r="AK2440" s="162" t="str">
        <f t="shared" si="1311"/>
        <v>PRAZNO</v>
      </c>
      <c r="AL2440" s="263"/>
    </row>
    <row r="2441" spans="1:39" s="164" customFormat="1" ht="15.75" x14ac:dyDescent="0.2">
      <c r="A2441" s="259"/>
      <c r="B2441" s="177"/>
      <c r="C2441" s="177"/>
      <c r="D2441" s="177"/>
      <c r="E2441" s="177">
        <v>4221</v>
      </c>
      <c r="F2441" s="265">
        <v>55</v>
      </c>
      <c r="G2441" s="265" t="s">
        <v>1040</v>
      </c>
      <c r="H2441" s="16" t="s">
        <v>558</v>
      </c>
      <c r="I2441" s="181"/>
      <c r="J2441" s="181"/>
      <c r="K2441" s="181"/>
      <c r="L2441" s="181"/>
      <c r="M2441" s="181"/>
      <c r="N2441" s="181"/>
      <c r="O2441" s="181"/>
      <c r="P2441" s="307"/>
      <c r="Q2441" s="181"/>
      <c r="R2441" s="181"/>
      <c r="S2441" s="181"/>
      <c r="T2441" s="307"/>
      <c r="U2441" s="307"/>
      <c r="V2441" s="307">
        <v>16000</v>
      </c>
      <c r="W2441" s="307">
        <v>20000</v>
      </c>
      <c r="X2441" s="307">
        <v>20000</v>
      </c>
      <c r="Y2441" s="307">
        <v>0</v>
      </c>
      <c r="Z2441" s="307">
        <f t="shared" si="1331"/>
        <v>0</v>
      </c>
      <c r="AA2441" s="307">
        <f t="shared" si="1319"/>
        <v>0</v>
      </c>
      <c r="AB2441" s="307">
        <v>16000</v>
      </c>
      <c r="AC2441" s="307">
        <v>10000</v>
      </c>
      <c r="AD2441" s="307">
        <f t="shared" si="1327"/>
        <v>62.5</v>
      </c>
      <c r="AE2441" s="307">
        <f t="shared" si="1334"/>
        <v>13000</v>
      </c>
      <c r="AF2441" s="307">
        <v>29000</v>
      </c>
      <c r="AG2441" s="307">
        <f>10000+10000</f>
        <v>20000</v>
      </c>
      <c r="AH2441" s="307">
        <v>20000</v>
      </c>
      <c r="AI2441" s="307">
        <v>20000</v>
      </c>
      <c r="AJ2441" s="162" t="b">
        <f t="shared" ref="AJ2441:AJ2504" si="1336">ISBLANK(E2441)</f>
        <v>0</v>
      </c>
      <c r="AK2441" s="162" t="str">
        <f t="shared" ref="AK2441:AK2504" si="1337">IF(AJ2441,"PRAZNO","PUNO")</f>
        <v>PUNO</v>
      </c>
      <c r="AL2441" s="165"/>
    </row>
    <row r="2442" spans="1:39" s="164" customFormat="1" ht="15.75" x14ac:dyDescent="0.2">
      <c r="A2442" s="259"/>
      <c r="B2442" s="177"/>
      <c r="C2442" s="177"/>
      <c r="D2442" s="177"/>
      <c r="E2442" s="177">
        <v>4225</v>
      </c>
      <c r="F2442" s="265">
        <v>55</v>
      </c>
      <c r="G2442" s="265"/>
      <c r="H2442" s="16" t="s">
        <v>844</v>
      </c>
      <c r="I2442" s="181"/>
      <c r="J2442" s="181"/>
      <c r="K2442" s="181"/>
      <c r="L2442" s="181"/>
      <c r="M2442" s="181"/>
      <c r="N2442" s="181"/>
      <c r="O2442" s="181"/>
      <c r="P2442" s="307"/>
      <c r="Q2442" s="181"/>
      <c r="R2442" s="181"/>
      <c r="S2442" s="181"/>
      <c r="T2442" s="307"/>
      <c r="U2442" s="307"/>
      <c r="V2442" s="307">
        <v>16000</v>
      </c>
      <c r="W2442" s="307"/>
      <c r="X2442" s="307"/>
      <c r="Y2442" s="307"/>
      <c r="Z2442" s="307"/>
      <c r="AA2442" s="307"/>
      <c r="AB2442" s="307">
        <v>0</v>
      </c>
      <c r="AC2442" s="307">
        <v>0</v>
      </c>
      <c r="AD2442" s="307">
        <v>0</v>
      </c>
      <c r="AE2442" s="307">
        <v>0</v>
      </c>
      <c r="AF2442" s="307">
        <v>0</v>
      </c>
      <c r="AG2442" s="307">
        <v>16000</v>
      </c>
      <c r="AH2442" s="307">
        <v>16000</v>
      </c>
      <c r="AI2442" s="307">
        <v>16000</v>
      </c>
      <c r="AJ2442" s="162" t="b">
        <f t="shared" si="1336"/>
        <v>0</v>
      </c>
      <c r="AK2442" s="162" t="str">
        <f t="shared" si="1337"/>
        <v>PUNO</v>
      </c>
      <c r="AL2442" s="165"/>
    </row>
    <row r="2443" spans="1:39" s="644" customFormat="1" ht="34.5" customHeight="1" x14ac:dyDescent="0.2">
      <c r="A2443" s="633"/>
      <c r="B2443" s="175"/>
      <c r="C2443" s="175">
        <v>45</v>
      </c>
      <c r="D2443" s="175"/>
      <c r="E2443" s="175"/>
      <c r="F2443" s="650"/>
      <c r="G2443" s="650"/>
      <c r="H2443" s="15" t="s">
        <v>808</v>
      </c>
      <c r="I2443" s="183"/>
      <c r="J2443" s="183"/>
      <c r="K2443" s="183"/>
      <c r="L2443" s="183"/>
      <c r="M2443" s="183"/>
      <c r="N2443" s="183"/>
      <c r="O2443" s="183"/>
      <c r="P2443" s="340"/>
      <c r="Q2443" s="183"/>
      <c r="R2443" s="183"/>
      <c r="S2443" s="183"/>
      <c r="T2443" s="183"/>
      <c r="U2443" s="183"/>
      <c r="V2443" s="183">
        <f t="shared" ref="V2443:AI2444" si="1338">V2444</f>
        <v>20000</v>
      </c>
      <c r="W2443" s="183">
        <f t="shared" si="1338"/>
        <v>0</v>
      </c>
      <c r="X2443" s="183">
        <f t="shared" si="1338"/>
        <v>0</v>
      </c>
      <c r="Y2443" s="183">
        <f t="shared" si="1338"/>
        <v>0</v>
      </c>
      <c r="Z2443" s="183">
        <f t="shared" si="1331"/>
        <v>0</v>
      </c>
      <c r="AA2443" s="183">
        <f t="shared" si="1319"/>
        <v>0</v>
      </c>
      <c r="AB2443" s="183">
        <f t="shared" si="1338"/>
        <v>20000</v>
      </c>
      <c r="AC2443" s="183">
        <f t="shared" si="1338"/>
        <v>0</v>
      </c>
      <c r="AD2443" s="183">
        <f t="shared" si="1327"/>
        <v>0</v>
      </c>
      <c r="AE2443" s="183">
        <f t="shared" si="1334"/>
        <v>-20000</v>
      </c>
      <c r="AF2443" s="183">
        <f t="shared" si="1338"/>
        <v>0</v>
      </c>
      <c r="AG2443" s="183">
        <f t="shared" si="1338"/>
        <v>0</v>
      </c>
      <c r="AH2443" s="183">
        <f t="shared" si="1338"/>
        <v>0</v>
      </c>
      <c r="AI2443" s="183">
        <f t="shared" si="1338"/>
        <v>0</v>
      </c>
      <c r="AJ2443" s="162" t="b">
        <f t="shared" si="1336"/>
        <v>1</v>
      </c>
      <c r="AK2443" s="162" t="str">
        <f t="shared" si="1337"/>
        <v>PRAZNO</v>
      </c>
      <c r="AL2443" s="643"/>
      <c r="AM2443" s="647"/>
    </row>
    <row r="2444" spans="1:39" ht="15.75" x14ac:dyDescent="0.2">
      <c r="B2444" s="177"/>
      <c r="C2444" s="177"/>
      <c r="D2444" s="177">
        <v>451</v>
      </c>
      <c r="E2444" s="177"/>
      <c r="F2444" s="265"/>
      <c r="G2444" s="265"/>
      <c r="H2444" s="16" t="s">
        <v>809</v>
      </c>
      <c r="I2444" s="181"/>
      <c r="J2444" s="181"/>
      <c r="K2444" s="181"/>
      <c r="L2444" s="181"/>
      <c r="M2444" s="181"/>
      <c r="N2444" s="181"/>
      <c r="O2444" s="181"/>
      <c r="P2444" s="307"/>
      <c r="Q2444" s="181"/>
      <c r="R2444" s="181"/>
      <c r="S2444" s="181"/>
      <c r="T2444" s="181"/>
      <c r="U2444" s="181"/>
      <c r="V2444" s="181">
        <f t="shared" si="1338"/>
        <v>20000</v>
      </c>
      <c r="W2444" s="181">
        <f t="shared" si="1338"/>
        <v>0</v>
      </c>
      <c r="X2444" s="181">
        <f t="shared" si="1338"/>
        <v>0</v>
      </c>
      <c r="Y2444" s="181">
        <f t="shared" si="1338"/>
        <v>0</v>
      </c>
      <c r="Z2444" s="181">
        <f t="shared" si="1331"/>
        <v>0</v>
      </c>
      <c r="AA2444" s="181">
        <f t="shared" si="1319"/>
        <v>0</v>
      </c>
      <c r="AB2444" s="181">
        <f t="shared" si="1338"/>
        <v>20000</v>
      </c>
      <c r="AC2444" s="181">
        <f t="shared" si="1338"/>
        <v>0</v>
      </c>
      <c r="AD2444" s="181">
        <f t="shared" si="1327"/>
        <v>0</v>
      </c>
      <c r="AE2444" s="181">
        <f t="shared" si="1334"/>
        <v>-20000</v>
      </c>
      <c r="AF2444" s="181">
        <f t="shared" si="1338"/>
        <v>0</v>
      </c>
      <c r="AG2444" s="181">
        <f t="shared" si="1338"/>
        <v>0</v>
      </c>
      <c r="AH2444" s="181">
        <f t="shared" si="1338"/>
        <v>0</v>
      </c>
      <c r="AI2444" s="181">
        <f t="shared" si="1338"/>
        <v>0</v>
      </c>
      <c r="AJ2444" s="162" t="b">
        <f t="shared" si="1336"/>
        <v>1</v>
      </c>
      <c r="AK2444" s="162" t="str">
        <f t="shared" si="1337"/>
        <v>PRAZNO</v>
      </c>
      <c r="AM2444" s="164"/>
    </row>
    <row r="2445" spans="1:39" s="164" customFormat="1" ht="15.75" x14ac:dyDescent="0.2">
      <c r="A2445" s="259"/>
      <c r="B2445" s="177"/>
      <c r="C2445" s="177"/>
      <c r="D2445" s="177"/>
      <c r="E2445" s="177">
        <v>4511</v>
      </c>
      <c r="F2445" s="265">
        <v>55</v>
      </c>
      <c r="G2445" s="265"/>
      <c r="H2445" s="16" t="s">
        <v>809</v>
      </c>
      <c r="I2445" s="181"/>
      <c r="J2445" s="181"/>
      <c r="K2445" s="181"/>
      <c r="L2445" s="181"/>
      <c r="M2445" s="181"/>
      <c r="N2445" s="181"/>
      <c r="O2445" s="181"/>
      <c r="P2445" s="307"/>
      <c r="Q2445" s="181"/>
      <c r="R2445" s="181"/>
      <c r="S2445" s="181"/>
      <c r="T2445" s="307"/>
      <c r="U2445" s="307"/>
      <c r="V2445" s="181">
        <v>20000</v>
      </c>
      <c r="W2445" s="181">
        <v>0</v>
      </c>
      <c r="X2445" s="181">
        <v>0</v>
      </c>
      <c r="Y2445" s="181">
        <v>0</v>
      </c>
      <c r="Z2445" s="181">
        <f t="shared" si="1331"/>
        <v>0</v>
      </c>
      <c r="AA2445" s="181">
        <f t="shared" si="1319"/>
        <v>0</v>
      </c>
      <c r="AB2445" s="181">
        <v>20000</v>
      </c>
      <c r="AC2445" s="181">
        <v>0</v>
      </c>
      <c r="AD2445" s="181">
        <f t="shared" si="1327"/>
        <v>0</v>
      </c>
      <c r="AE2445" s="181">
        <f t="shared" si="1334"/>
        <v>-20000</v>
      </c>
      <c r="AF2445" s="181">
        <v>0</v>
      </c>
      <c r="AG2445" s="181">
        <v>0</v>
      </c>
      <c r="AH2445" s="181">
        <v>0</v>
      </c>
      <c r="AI2445" s="181">
        <v>0</v>
      </c>
      <c r="AJ2445" s="162" t="b">
        <f t="shared" si="1336"/>
        <v>0</v>
      </c>
      <c r="AK2445" s="162" t="str">
        <f t="shared" si="1337"/>
        <v>PUNO</v>
      </c>
      <c r="AL2445" s="165"/>
    </row>
    <row r="2446" spans="1:39" ht="31.5" x14ac:dyDescent="0.2">
      <c r="B2446" s="404"/>
      <c r="C2446" s="404"/>
      <c r="D2446" s="404"/>
      <c r="E2446" s="404"/>
      <c r="F2446" s="404"/>
      <c r="G2446" s="404"/>
      <c r="H2446" s="12" t="s">
        <v>404</v>
      </c>
      <c r="I2446" s="245" t="e">
        <f t="shared" ref="I2446:O2446" si="1339">I2449</f>
        <v>#REF!</v>
      </c>
      <c r="J2446" s="245" t="e">
        <f t="shared" si="1339"/>
        <v>#REF!</v>
      </c>
      <c r="K2446" s="245" t="e">
        <f t="shared" si="1339"/>
        <v>#REF!</v>
      </c>
      <c r="L2446" s="245" t="e">
        <f t="shared" si="1339"/>
        <v>#REF!</v>
      </c>
      <c r="M2446" s="245" t="e">
        <f t="shared" si="1339"/>
        <v>#REF!</v>
      </c>
      <c r="N2446" s="301" t="e">
        <f t="shared" si="1339"/>
        <v>#REF!</v>
      </c>
      <c r="O2446" s="301" t="e">
        <f t="shared" si="1339"/>
        <v>#REF!</v>
      </c>
      <c r="P2446" s="303" t="e">
        <f>T2446-N2446</f>
        <v>#REF!</v>
      </c>
      <c r="Q2446" s="301"/>
      <c r="R2446" s="301"/>
      <c r="S2446" s="301"/>
      <c r="T2446" s="301">
        <f>T2449+T2452</f>
        <v>3000000</v>
      </c>
      <c r="U2446" s="301">
        <f>U2449+U2452</f>
        <v>0</v>
      </c>
      <c r="V2446" s="301">
        <f>V2449</f>
        <v>2700000</v>
      </c>
      <c r="W2446" s="301" t="e">
        <f>W2449</f>
        <v>#REF!</v>
      </c>
      <c r="X2446" s="301" t="e">
        <f>X2449</f>
        <v>#REF!</v>
      </c>
      <c r="Y2446" s="301">
        <f>Y2449</f>
        <v>1904578.13</v>
      </c>
      <c r="Z2446" s="301">
        <f t="shared" si="1331"/>
        <v>70.540000000000006</v>
      </c>
      <c r="AA2446" s="301">
        <f t="shared" si="1319"/>
        <v>297000</v>
      </c>
      <c r="AB2446" s="301">
        <f>AB2449+AB2452</f>
        <v>2997000</v>
      </c>
      <c r="AC2446" s="301">
        <f>AC2449+AC2452</f>
        <v>2305115.63</v>
      </c>
      <c r="AD2446" s="301">
        <f t="shared" si="1327"/>
        <v>76.914101768435089</v>
      </c>
      <c r="AE2446" s="301">
        <f t="shared" si="1334"/>
        <v>402538</v>
      </c>
      <c r="AF2446" s="301">
        <f>AF2449+AF2452</f>
        <v>3399538</v>
      </c>
      <c r="AG2446" s="301">
        <f>AG2449+AG2452</f>
        <v>2308864</v>
      </c>
      <c r="AH2446" s="301">
        <f>AH2449+AH2452</f>
        <v>0</v>
      </c>
      <c r="AI2446" s="301">
        <f>AI2449+AI2452</f>
        <v>0</v>
      </c>
      <c r="AJ2446" s="162" t="b">
        <f t="shared" si="1336"/>
        <v>1</v>
      </c>
      <c r="AK2446" s="162" t="str">
        <f t="shared" si="1337"/>
        <v>PRAZNO</v>
      </c>
      <c r="AL2446" s="165"/>
      <c r="AM2446" s="164"/>
    </row>
    <row r="2447" spans="1:39" s="264" customFormat="1" ht="15.75" x14ac:dyDescent="0.2">
      <c r="A2447" s="259"/>
      <c r="B2447" s="212"/>
      <c r="C2447" s="212"/>
      <c r="D2447" s="212"/>
      <c r="E2447" s="212"/>
      <c r="F2447" s="212"/>
      <c r="G2447" s="212"/>
      <c r="H2447" s="441" t="s">
        <v>824</v>
      </c>
      <c r="I2447" s="344"/>
      <c r="J2447" s="344"/>
      <c r="K2447" s="344"/>
      <c r="L2447" s="344"/>
      <c r="M2447" s="344"/>
      <c r="N2447" s="462"/>
      <c r="O2447" s="462"/>
      <c r="P2447" s="445"/>
      <c r="Q2447" s="462"/>
      <c r="R2447" s="462"/>
      <c r="S2447" s="462"/>
      <c r="T2447" s="462">
        <f t="shared" ref="T2447:AI2450" si="1340">T2448</f>
        <v>3000000</v>
      </c>
      <c r="U2447" s="462">
        <f t="shared" si="1340"/>
        <v>0</v>
      </c>
      <c r="V2447" s="462">
        <f t="shared" si="1340"/>
        <v>2700000</v>
      </c>
      <c r="W2447" s="462" t="e">
        <f t="shared" si="1340"/>
        <v>#REF!</v>
      </c>
      <c r="X2447" s="462" t="e">
        <f t="shared" si="1340"/>
        <v>#REF!</v>
      </c>
      <c r="Y2447" s="462">
        <f t="shared" si="1340"/>
        <v>1904578.13</v>
      </c>
      <c r="Z2447" s="462">
        <f t="shared" si="1331"/>
        <v>70.540000000000006</v>
      </c>
      <c r="AA2447" s="462">
        <f t="shared" si="1319"/>
        <v>-380000</v>
      </c>
      <c r="AB2447" s="462">
        <f>AB2448</f>
        <v>2320000</v>
      </c>
      <c r="AC2447" s="462">
        <f>AC2448</f>
        <v>2305115.63</v>
      </c>
      <c r="AD2447" s="462">
        <f t="shared" si="1327"/>
        <v>99.3584323275862</v>
      </c>
      <c r="AE2447" s="462">
        <f t="shared" si="1334"/>
        <v>0</v>
      </c>
      <c r="AF2447" s="462">
        <f>AF2448</f>
        <v>2320000</v>
      </c>
      <c r="AG2447" s="462">
        <f>AG2448</f>
        <v>1100000</v>
      </c>
      <c r="AH2447" s="462">
        <f>AH2448</f>
        <v>0</v>
      </c>
      <c r="AI2447" s="462">
        <f>AI2448</f>
        <v>0</v>
      </c>
      <c r="AJ2447" s="162" t="b">
        <f t="shared" si="1336"/>
        <v>1</v>
      </c>
      <c r="AK2447" s="162" t="str">
        <f t="shared" si="1337"/>
        <v>PRAZNO</v>
      </c>
      <c r="AL2447" s="263"/>
    </row>
    <row r="2448" spans="1:39" s="174" customFormat="1" ht="15.75" x14ac:dyDescent="0.2">
      <c r="A2448" s="259"/>
      <c r="B2448" s="247">
        <v>4</v>
      </c>
      <c r="C2448" s="247"/>
      <c r="D2448" s="247"/>
      <c r="E2448" s="247"/>
      <c r="F2448" s="247"/>
      <c r="G2448" s="247"/>
      <c r="H2448" s="36" t="s">
        <v>552</v>
      </c>
      <c r="I2448" s="248"/>
      <c r="J2448" s="248"/>
      <c r="K2448" s="248"/>
      <c r="L2448" s="248"/>
      <c r="M2448" s="248"/>
      <c r="N2448" s="249"/>
      <c r="O2448" s="249"/>
      <c r="P2448" s="54">
        <f t="shared" ref="P2448:P2457" si="1341">T2448-N2448</f>
        <v>3000000</v>
      </c>
      <c r="Q2448" s="249"/>
      <c r="R2448" s="249"/>
      <c r="S2448" s="249"/>
      <c r="T2448" s="248">
        <f t="shared" si="1340"/>
        <v>3000000</v>
      </c>
      <c r="U2448" s="248">
        <f t="shared" si="1340"/>
        <v>0</v>
      </c>
      <c r="V2448" s="248">
        <f t="shared" si="1340"/>
        <v>2700000</v>
      </c>
      <c r="W2448" s="248" t="e">
        <f t="shared" si="1340"/>
        <v>#REF!</v>
      </c>
      <c r="X2448" s="248" t="e">
        <f t="shared" si="1340"/>
        <v>#REF!</v>
      </c>
      <c r="Y2448" s="248">
        <f t="shared" si="1340"/>
        <v>1904578.13</v>
      </c>
      <c r="Z2448" s="248">
        <f t="shared" si="1331"/>
        <v>70.540000000000006</v>
      </c>
      <c r="AA2448" s="248">
        <f t="shared" si="1319"/>
        <v>-380000</v>
      </c>
      <c r="AB2448" s="248">
        <f t="shared" si="1340"/>
        <v>2320000</v>
      </c>
      <c r="AC2448" s="248">
        <f t="shared" si="1340"/>
        <v>2305115.63</v>
      </c>
      <c r="AD2448" s="248">
        <f t="shared" si="1327"/>
        <v>99.3584323275862</v>
      </c>
      <c r="AE2448" s="248">
        <f t="shared" si="1334"/>
        <v>0</v>
      </c>
      <c r="AF2448" s="248">
        <f t="shared" si="1340"/>
        <v>2320000</v>
      </c>
      <c r="AG2448" s="248">
        <f t="shared" si="1340"/>
        <v>1100000</v>
      </c>
      <c r="AH2448" s="248">
        <f t="shared" si="1340"/>
        <v>0</v>
      </c>
      <c r="AI2448" s="248">
        <f t="shared" si="1340"/>
        <v>0</v>
      </c>
      <c r="AJ2448" s="162" t="b">
        <f t="shared" si="1336"/>
        <v>1</v>
      </c>
      <c r="AK2448" s="162" t="str">
        <f t="shared" si="1337"/>
        <v>PRAZNO</v>
      </c>
      <c r="AL2448" s="165"/>
    </row>
    <row r="2449" spans="1:39" s="638" customFormat="1" ht="34.5" customHeight="1" x14ac:dyDescent="0.2">
      <c r="A2449" s="633"/>
      <c r="B2449" s="314"/>
      <c r="C2449" s="314">
        <v>45</v>
      </c>
      <c r="D2449" s="314"/>
      <c r="E2449" s="314"/>
      <c r="F2449" s="314"/>
      <c r="G2449" s="314"/>
      <c r="H2449" s="39" t="s">
        <v>808</v>
      </c>
      <c r="I2449" s="658" t="e">
        <f t="shared" ref="I2449:O2449" si="1342">I2450</f>
        <v>#REF!</v>
      </c>
      <c r="J2449" s="658" t="e">
        <f t="shared" si="1342"/>
        <v>#REF!</v>
      </c>
      <c r="K2449" s="658" t="e">
        <f t="shared" si="1342"/>
        <v>#REF!</v>
      </c>
      <c r="L2449" s="658" t="e">
        <f t="shared" si="1342"/>
        <v>#REF!</v>
      </c>
      <c r="M2449" s="658" t="e">
        <f t="shared" si="1342"/>
        <v>#REF!</v>
      </c>
      <c r="N2449" s="658" t="e">
        <f t="shared" si="1342"/>
        <v>#REF!</v>
      </c>
      <c r="O2449" s="658" t="e">
        <f t="shared" si="1342"/>
        <v>#REF!</v>
      </c>
      <c r="P2449" s="340" t="e">
        <f t="shared" si="1341"/>
        <v>#REF!</v>
      </c>
      <c r="Q2449" s="659"/>
      <c r="R2449" s="659"/>
      <c r="S2449" s="659"/>
      <c r="T2449" s="659">
        <f t="shared" si="1340"/>
        <v>3000000</v>
      </c>
      <c r="U2449" s="659">
        <f t="shared" si="1340"/>
        <v>0</v>
      </c>
      <c r="V2449" s="659">
        <f t="shared" si="1340"/>
        <v>2700000</v>
      </c>
      <c r="W2449" s="659" t="e">
        <f t="shared" si="1340"/>
        <v>#REF!</v>
      </c>
      <c r="X2449" s="659" t="e">
        <f t="shared" si="1340"/>
        <v>#REF!</v>
      </c>
      <c r="Y2449" s="659">
        <f t="shared" si="1340"/>
        <v>1904578.13</v>
      </c>
      <c r="Z2449" s="659">
        <f t="shared" si="1331"/>
        <v>70.540000000000006</v>
      </c>
      <c r="AA2449" s="659">
        <f t="shared" si="1319"/>
        <v>-380000</v>
      </c>
      <c r="AB2449" s="659">
        <f t="shared" si="1340"/>
        <v>2320000</v>
      </c>
      <c r="AC2449" s="659">
        <f t="shared" si="1340"/>
        <v>2305115.63</v>
      </c>
      <c r="AD2449" s="659">
        <f t="shared" si="1327"/>
        <v>99.3584323275862</v>
      </c>
      <c r="AE2449" s="659">
        <f t="shared" si="1334"/>
        <v>0</v>
      </c>
      <c r="AF2449" s="659">
        <f t="shared" si="1340"/>
        <v>2320000</v>
      </c>
      <c r="AG2449" s="659">
        <f t="shared" si="1340"/>
        <v>1100000</v>
      </c>
      <c r="AH2449" s="659">
        <f t="shared" si="1340"/>
        <v>0</v>
      </c>
      <c r="AI2449" s="659">
        <f t="shared" si="1340"/>
        <v>0</v>
      </c>
      <c r="AJ2449" s="162" t="b">
        <f t="shared" si="1336"/>
        <v>1</v>
      </c>
      <c r="AK2449" s="162" t="str">
        <f t="shared" si="1337"/>
        <v>PRAZNO</v>
      </c>
      <c r="AL2449" s="660"/>
    </row>
    <row r="2450" spans="1:39" ht="15.75" x14ac:dyDescent="0.2">
      <c r="B2450" s="200"/>
      <c r="C2450" s="200"/>
      <c r="D2450" s="212">
        <v>451</v>
      </c>
      <c r="E2450" s="200"/>
      <c r="F2450" s="200"/>
      <c r="G2450" s="200"/>
      <c r="H2450" s="30" t="s">
        <v>809</v>
      </c>
      <c r="I2450" s="214" t="e">
        <f>I2451+#REF!</f>
        <v>#REF!</v>
      </c>
      <c r="J2450" s="214" t="e">
        <f>J2451+#REF!</f>
        <v>#REF!</v>
      </c>
      <c r="K2450" s="214" t="e">
        <f>K2451+#REF!</f>
        <v>#REF!</v>
      </c>
      <c r="L2450" s="214" t="e">
        <f>L2451+#REF!</f>
        <v>#REF!</v>
      </c>
      <c r="M2450" s="214" t="e">
        <f>M2451+#REF!</f>
        <v>#REF!</v>
      </c>
      <c r="N2450" s="214" t="e">
        <f>N2451+#REF!</f>
        <v>#REF!</v>
      </c>
      <c r="O2450" s="214" t="e">
        <f>O2451+#REF!</f>
        <v>#REF!</v>
      </c>
      <c r="P2450" s="26" t="e">
        <f t="shared" si="1341"/>
        <v>#REF!</v>
      </c>
      <c r="Q2450" s="215"/>
      <c r="R2450" s="215"/>
      <c r="S2450" s="215"/>
      <c r="T2450" s="215">
        <f>T2451</f>
        <v>3000000</v>
      </c>
      <c r="U2450" s="215">
        <f>U2451</f>
        <v>0</v>
      </c>
      <c r="V2450" s="215">
        <f>V2451</f>
        <v>2700000</v>
      </c>
      <c r="W2450" s="215" t="e">
        <f>W2451+#REF!</f>
        <v>#REF!</v>
      </c>
      <c r="X2450" s="215" t="e">
        <f>X2451+#REF!</f>
        <v>#REF!</v>
      </c>
      <c r="Y2450" s="215">
        <f>Y2451+Y2456</f>
        <v>1904578.13</v>
      </c>
      <c r="Z2450" s="215">
        <f t="shared" si="1331"/>
        <v>70.540000000000006</v>
      </c>
      <c r="AA2450" s="215">
        <f t="shared" si="1319"/>
        <v>-380000</v>
      </c>
      <c r="AB2450" s="215">
        <f>AB2451</f>
        <v>2320000</v>
      </c>
      <c r="AC2450" s="215">
        <f>AC2451</f>
        <v>2305115.63</v>
      </c>
      <c r="AD2450" s="215">
        <f t="shared" si="1327"/>
        <v>99.3584323275862</v>
      </c>
      <c r="AE2450" s="215">
        <f t="shared" si="1334"/>
        <v>0</v>
      </c>
      <c r="AF2450" s="215">
        <f>AF2451</f>
        <v>2320000</v>
      </c>
      <c r="AG2450" s="215">
        <f>AG2451</f>
        <v>1100000</v>
      </c>
      <c r="AH2450" s="215">
        <f t="shared" si="1340"/>
        <v>0</v>
      </c>
      <c r="AI2450" s="215">
        <f t="shared" si="1340"/>
        <v>0</v>
      </c>
      <c r="AJ2450" s="162" t="b">
        <f t="shared" si="1336"/>
        <v>1</v>
      </c>
      <c r="AK2450" s="162" t="str">
        <f t="shared" si="1337"/>
        <v>PRAZNO</v>
      </c>
      <c r="AL2450" s="165"/>
      <c r="AM2450" s="164"/>
    </row>
    <row r="2451" spans="1:39" ht="15.75" x14ac:dyDescent="0.2">
      <c r="B2451" s="200"/>
      <c r="C2451" s="200"/>
      <c r="D2451" s="200"/>
      <c r="E2451" s="200">
        <v>4511</v>
      </c>
      <c r="F2451" s="200">
        <v>14</v>
      </c>
      <c r="G2451" s="200"/>
      <c r="H2451" s="30" t="s">
        <v>809</v>
      </c>
      <c r="I2451" s="214">
        <v>0</v>
      </c>
      <c r="J2451" s="214">
        <v>0</v>
      </c>
      <c r="K2451" s="214">
        <v>0</v>
      </c>
      <c r="L2451" s="214">
        <v>0</v>
      </c>
      <c r="M2451" s="214">
        <v>0</v>
      </c>
      <c r="N2451" s="214">
        <v>0</v>
      </c>
      <c r="O2451" s="214">
        <v>0</v>
      </c>
      <c r="P2451" s="26">
        <f t="shared" si="1341"/>
        <v>3000000</v>
      </c>
      <c r="Q2451" s="215"/>
      <c r="R2451" s="215"/>
      <c r="S2451" s="215"/>
      <c r="T2451" s="214">
        <v>3000000</v>
      </c>
      <c r="U2451" s="214">
        <v>0</v>
      </c>
      <c r="V2451" s="216">
        <v>2700000</v>
      </c>
      <c r="W2451" s="215">
        <v>1000000</v>
      </c>
      <c r="X2451" s="215"/>
      <c r="Y2451" s="216">
        <v>1904578.13</v>
      </c>
      <c r="Z2451" s="216">
        <f t="shared" si="1331"/>
        <v>70.540000000000006</v>
      </c>
      <c r="AA2451" s="216">
        <f t="shared" si="1319"/>
        <v>-380000</v>
      </c>
      <c r="AB2451" s="216">
        <v>2320000</v>
      </c>
      <c r="AC2451" s="216">
        <v>2305115.63</v>
      </c>
      <c r="AD2451" s="216">
        <f t="shared" si="1327"/>
        <v>99.3584323275862</v>
      </c>
      <c r="AE2451" s="216">
        <f t="shared" si="1334"/>
        <v>0</v>
      </c>
      <c r="AF2451" s="216">
        <v>2320000</v>
      </c>
      <c r="AG2451" s="216">
        <v>1100000</v>
      </c>
      <c r="AH2451" s="216"/>
      <c r="AI2451" s="216"/>
      <c r="AJ2451" s="162" t="b">
        <f t="shared" si="1336"/>
        <v>0</v>
      </c>
      <c r="AK2451" s="162" t="str">
        <f t="shared" si="1337"/>
        <v>PUNO</v>
      </c>
      <c r="AM2451" s="164"/>
    </row>
    <row r="2452" spans="1:39" ht="15.75" x14ac:dyDescent="0.2">
      <c r="B2452" s="200"/>
      <c r="C2452" s="200"/>
      <c r="D2452" s="200"/>
      <c r="E2452" s="200"/>
      <c r="F2452" s="200"/>
      <c r="G2452" s="200"/>
      <c r="H2452" s="656" t="s">
        <v>825</v>
      </c>
      <c r="I2452" s="214"/>
      <c r="J2452" s="214"/>
      <c r="K2452" s="214"/>
      <c r="L2452" s="214"/>
      <c r="M2452" s="214"/>
      <c r="N2452" s="214"/>
      <c r="O2452" s="214"/>
      <c r="P2452" s="26"/>
      <c r="Q2452" s="215"/>
      <c r="R2452" s="215"/>
      <c r="S2452" s="215"/>
      <c r="T2452" s="214"/>
      <c r="U2452" s="214"/>
      <c r="V2452" s="606">
        <f>V2453</f>
        <v>0</v>
      </c>
      <c r="W2452" s="606"/>
      <c r="X2452" s="606"/>
      <c r="Y2452" s="606">
        <f>Y2453</f>
        <v>0</v>
      </c>
      <c r="Z2452" s="462"/>
      <c r="AA2452" s="462">
        <f t="shared" si="1319"/>
        <v>677000</v>
      </c>
      <c r="AB2452" s="606">
        <f t="shared" ref="AB2452:AI2455" si="1343">AB2453</f>
        <v>677000</v>
      </c>
      <c r="AC2452" s="606">
        <f t="shared" si="1343"/>
        <v>0</v>
      </c>
      <c r="AD2452" s="606">
        <f t="shared" si="1327"/>
        <v>0</v>
      </c>
      <c r="AE2452" s="606">
        <f t="shared" si="1334"/>
        <v>402538</v>
      </c>
      <c r="AF2452" s="606">
        <f t="shared" si="1343"/>
        <v>1079538</v>
      </c>
      <c r="AG2452" s="606">
        <f t="shared" si="1343"/>
        <v>1208864</v>
      </c>
      <c r="AH2452" s="606">
        <f t="shared" si="1343"/>
        <v>0</v>
      </c>
      <c r="AI2452" s="606">
        <f t="shared" si="1343"/>
        <v>0</v>
      </c>
      <c r="AJ2452" s="162" t="b">
        <f t="shared" si="1336"/>
        <v>1</v>
      </c>
      <c r="AK2452" s="162" t="str">
        <f t="shared" si="1337"/>
        <v>PRAZNO</v>
      </c>
      <c r="AM2452" s="164"/>
    </row>
    <row r="2453" spans="1:39" s="174" customFormat="1" ht="15.75" x14ac:dyDescent="0.2">
      <c r="A2453" s="259"/>
      <c r="B2453" s="247">
        <v>4</v>
      </c>
      <c r="C2453" s="247"/>
      <c r="D2453" s="247"/>
      <c r="E2453" s="247"/>
      <c r="F2453" s="247"/>
      <c r="G2453" s="247"/>
      <c r="H2453" s="36" t="s">
        <v>552</v>
      </c>
      <c r="I2453" s="248"/>
      <c r="J2453" s="248"/>
      <c r="K2453" s="248"/>
      <c r="L2453" s="248"/>
      <c r="M2453" s="248"/>
      <c r="N2453" s="249"/>
      <c r="O2453" s="249"/>
      <c r="P2453" s="54"/>
      <c r="Q2453" s="249"/>
      <c r="R2453" s="249"/>
      <c r="S2453" s="249"/>
      <c r="T2453" s="248"/>
      <c r="U2453" s="248"/>
      <c r="V2453" s="248">
        <f>V2454</f>
        <v>0</v>
      </c>
      <c r="W2453" s="248"/>
      <c r="X2453" s="248"/>
      <c r="Y2453" s="248">
        <f>Y2454</f>
        <v>0</v>
      </c>
      <c r="Z2453" s="248"/>
      <c r="AA2453" s="248">
        <f t="shared" ref="AA2453:AA2516" si="1344">AB2453-V2453</f>
        <v>677000</v>
      </c>
      <c r="AB2453" s="248">
        <f t="shared" si="1343"/>
        <v>677000</v>
      </c>
      <c r="AC2453" s="248">
        <f t="shared" si="1343"/>
        <v>0</v>
      </c>
      <c r="AD2453" s="248">
        <f t="shared" si="1327"/>
        <v>0</v>
      </c>
      <c r="AE2453" s="248">
        <f t="shared" si="1334"/>
        <v>402538</v>
      </c>
      <c r="AF2453" s="248">
        <f t="shared" si="1343"/>
        <v>1079538</v>
      </c>
      <c r="AG2453" s="248">
        <f t="shared" si="1343"/>
        <v>1208864</v>
      </c>
      <c r="AH2453" s="248">
        <f t="shared" si="1343"/>
        <v>0</v>
      </c>
      <c r="AI2453" s="248">
        <f t="shared" si="1343"/>
        <v>0</v>
      </c>
      <c r="AJ2453" s="162" t="b">
        <f t="shared" si="1336"/>
        <v>1</v>
      </c>
      <c r="AK2453" s="162" t="str">
        <f t="shared" si="1337"/>
        <v>PRAZNO</v>
      </c>
      <c r="AL2453" s="165"/>
    </row>
    <row r="2454" spans="1:39" s="644" customFormat="1" ht="32.25" customHeight="1" x14ac:dyDescent="0.2">
      <c r="A2454" s="633"/>
      <c r="B2454" s="657"/>
      <c r="C2454" s="657">
        <v>45</v>
      </c>
      <c r="D2454" s="657"/>
      <c r="E2454" s="657"/>
      <c r="F2454" s="657"/>
      <c r="G2454" s="657"/>
      <c r="H2454" s="39" t="s">
        <v>808</v>
      </c>
      <c r="I2454" s="319"/>
      <c r="J2454" s="319"/>
      <c r="K2454" s="319"/>
      <c r="L2454" s="319"/>
      <c r="M2454" s="319"/>
      <c r="N2454" s="319"/>
      <c r="O2454" s="319"/>
      <c r="P2454" s="38"/>
      <c r="Q2454" s="318"/>
      <c r="R2454" s="318"/>
      <c r="S2454" s="318"/>
      <c r="T2454" s="319"/>
      <c r="U2454" s="319"/>
      <c r="V2454" s="318">
        <f>V2455</f>
        <v>0</v>
      </c>
      <c r="W2454" s="318"/>
      <c r="X2454" s="318"/>
      <c r="Y2454" s="318">
        <f>Y2455</f>
        <v>0</v>
      </c>
      <c r="Z2454" s="659"/>
      <c r="AA2454" s="659">
        <f t="shared" si="1344"/>
        <v>677000</v>
      </c>
      <c r="AB2454" s="318">
        <f t="shared" si="1343"/>
        <v>677000</v>
      </c>
      <c r="AC2454" s="318">
        <f t="shared" si="1343"/>
        <v>0</v>
      </c>
      <c r="AD2454" s="318">
        <f t="shared" si="1327"/>
        <v>0</v>
      </c>
      <c r="AE2454" s="318">
        <f t="shared" si="1334"/>
        <v>402538</v>
      </c>
      <c r="AF2454" s="318">
        <f t="shared" si="1343"/>
        <v>1079538</v>
      </c>
      <c r="AG2454" s="318">
        <f t="shared" si="1343"/>
        <v>1208864</v>
      </c>
      <c r="AH2454" s="318">
        <f t="shared" si="1343"/>
        <v>0</v>
      </c>
      <c r="AI2454" s="318">
        <f t="shared" si="1343"/>
        <v>0</v>
      </c>
      <c r="AJ2454" s="162" t="b">
        <f t="shared" si="1336"/>
        <v>1</v>
      </c>
      <c r="AK2454" s="162" t="str">
        <f t="shared" si="1337"/>
        <v>PRAZNO</v>
      </c>
      <c r="AL2454" s="643"/>
      <c r="AM2454" s="647"/>
    </row>
    <row r="2455" spans="1:39" ht="15.75" x14ac:dyDescent="0.2">
      <c r="B2455" s="200"/>
      <c r="C2455" s="200"/>
      <c r="D2455" s="200">
        <v>451</v>
      </c>
      <c r="E2455" s="200"/>
      <c r="F2455" s="200"/>
      <c r="G2455" s="200"/>
      <c r="H2455" s="30" t="s">
        <v>809</v>
      </c>
      <c r="I2455" s="214"/>
      <c r="J2455" s="214"/>
      <c r="K2455" s="214"/>
      <c r="L2455" s="214"/>
      <c r="M2455" s="214"/>
      <c r="N2455" s="214"/>
      <c r="O2455" s="214"/>
      <c r="P2455" s="26"/>
      <c r="Q2455" s="215"/>
      <c r="R2455" s="215"/>
      <c r="S2455" s="215"/>
      <c r="T2455" s="214"/>
      <c r="U2455" s="214"/>
      <c r="V2455" s="215">
        <f>V2456</f>
        <v>0</v>
      </c>
      <c r="W2455" s="215"/>
      <c r="X2455" s="215"/>
      <c r="Y2455" s="215">
        <f>Y2456</f>
        <v>0</v>
      </c>
      <c r="Z2455" s="216"/>
      <c r="AA2455" s="216">
        <f t="shared" si="1344"/>
        <v>677000</v>
      </c>
      <c r="AB2455" s="215">
        <f t="shared" si="1343"/>
        <v>677000</v>
      </c>
      <c r="AC2455" s="215">
        <f t="shared" si="1343"/>
        <v>0</v>
      </c>
      <c r="AD2455" s="215">
        <f t="shared" si="1327"/>
        <v>0</v>
      </c>
      <c r="AE2455" s="215">
        <f t="shared" si="1334"/>
        <v>402538</v>
      </c>
      <c r="AF2455" s="215">
        <f t="shared" si="1343"/>
        <v>1079538</v>
      </c>
      <c r="AG2455" s="215">
        <f t="shared" si="1343"/>
        <v>1208864</v>
      </c>
      <c r="AH2455" s="215">
        <f t="shared" si="1343"/>
        <v>0</v>
      </c>
      <c r="AI2455" s="215">
        <f t="shared" si="1343"/>
        <v>0</v>
      </c>
      <c r="AJ2455" s="162" t="b">
        <f t="shared" si="1336"/>
        <v>1</v>
      </c>
      <c r="AK2455" s="162" t="str">
        <f t="shared" si="1337"/>
        <v>PRAZNO</v>
      </c>
      <c r="AM2455" s="164"/>
    </row>
    <row r="2456" spans="1:39" ht="30" x14ac:dyDescent="0.2">
      <c r="B2456" s="200"/>
      <c r="C2456" s="200"/>
      <c r="D2456" s="200"/>
      <c r="E2456" s="200">
        <v>4511</v>
      </c>
      <c r="F2456" s="200">
        <v>53</v>
      </c>
      <c r="G2456" s="200"/>
      <c r="H2456" s="30" t="s">
        <v>729</v>
      </c>
      <c r="I2456" s="214"/>
      <c r="J2456" s="214"/>
      <c r="K2456" s="214"/>
      <c r="L2456" s="214"/>
      <c r="M2456" s="214"/>
      <c r="N2456" s="214"/>
      <c r="O2456" s="214"/>
      <c r="P2456" s="26"/>
      <c r="Q2456" s="215"/>
      <c r="R2456" s="215"/>
      <c r="S2456" s="215"/>
      <c r="T2456" s="214"/>
      <c r="U2456" s="214"/>
      <c r="V2456" s="215">
        <v>0</v>
      </c>
      <c r="W2456" s="215"/>
      <c r="X2456" s="215"/>
      <c r="Y2456" s="215">
        <v>0</v>
      </c>
      <c r="Z2456" s="216"/>
      <c r="AA2456" s="215">
        <f t="shared" si="1344"/>
        <v>677000</v>
      </c>
      <c r="AB2456" s="215">
        <v>677000</v>
      </c>
      <c r="AC2456" s="215">
        <v>0</v>
      </c>
      <c r="AD2456" s="215">
        <f t="shared" si="1327"/>
        <v>0</v>
      </c>
      <c r="AE2456" s="215">
        <f t="shared" si="1334"/>
        <v>402538</v>
      </c>
      <c r="AF2456" s="215">
        <v>1079538</v>
      </c>
      <c r="AG2456" s="293">
        <v>1208864</v>
      </c>
      <c r="AH2456" s="215">
        <v>0</v>
      </c>
      <c r="AI2456" s="215"/>
      <c r="AJ2456" s="162" t="b">
        <f t="shared" si="1336"/>
        <v>0</v>
      </c>
      <c r="AK2456" s="162" t="str">
        <f t="shared" si="1337"/>
        <v>PUNO</v>
      </c>
      <c r="AM2456" s="164"/>
    </row>
    <row r="2457" spans="1:39" ht="35.25" customHeight="1" x14ac:dyDescent="0.2">
      <c r="B2457" s="401"/>
      <c r="C2457" s="401"/>
      <c r="D2457" s="401"/>
      <c r="E2457" s="401"/>
      <c r="F2457" s="401"/>
      <c r="G2457" s="401"/>
      <c r="H2457" s="12" t="s">
        <v>405</v>
      </c>
      <c r="I2457" s="305" t="e">
        <f t="shared" ref="I2457:O2457" si="1345">I2460</f>
        <v>#REF!</v>
      </c>
      <c r="J2457" s="305" t="e">
        <f t="shared" si="1345"/>
        <v>#REF!</v>
      </c>
      <c r="K2457" s="305" t="e">
        <f t="shared" si="1345"/>
        <v>#REF!</v>
      </c>
      <c r="L2457" s="305" t="e">
        <f t="shared" si="1345"/>
        <v>#REF!</v>
      </c>
      <c r="M2457" s="305" t="e">
        <f t="shared" si="1345"/>
        <v>#REF!</v>
      </c>
      <c r="N2457" s="305" t="e">
        <f t="shared" si="1345"/>
        <v>#REF!</v>
      </c>
      <c r="O2457" s="305" t="e">
        <f t="shared" si="1345"/>
        <v>#REF!</v>
      </c>
      <c r="P2457" s="303" t="e">
        <f t="shared" si="1341"/>
        <v>#REF!</v>
      </c>
      <c r="Q2457" s="301"/>
      <c r="R2457" s="301"/>
      <c r="S2457" s="301"/>
      <c r="T2457" s="305">
        <f>T2459+T2464</f>
        <v>2000000</v>
      </c>
      <c r="U2457" s="305">
        <f>U2459+U2464</f>
        <v>0</v>
      </c>
      <c r="V2457" s="305">
        <f>V2459+V2464</f>
        <v>1920000</v>
      </c>
      <c r="W2457" s="305" t="e">
        <f>W2460</f>
        <v>#REF!</v>
      </c>
      <c r="X2457" s="305" t="e">
        <f>X2460</f>
        <v>#REF!</v>
      </c>
      <c r="Y2457" s="305">
        <f>Y2459+Y2464</f>
        <v>0</v>
      </c>
      <c r="Z2457" s="305">
        <f t="shared" si="1331"/>
        <v>0</v>
      </c>
      <c r="AA2457" s="305">
        <f t="shared" si="1344"/>
        <v>-26900</v>
      </c>
      <c r="AB2457" s="305">
        <f>AB2459+AB2464</f>
        <v>1893100</v>
      </c>
      <c r="AC2457" s="305">
        <f>AC2459+AC2464</f>
        <v>582682.55000000005</v>
      </c>
      <c r="AD2457" s="305">
        <f t="shared" si="1327"/>
        <v>30.779280016903492</v>
      </c>
      <c r="AE2457" s="305">
        <f t="shared" si="1334"/>
        <v>55000</v>
      </c>
      <c r="AF2457" s="305">
        <f>AF2459+AF2464</f>
        <v>1948100</v>
      </c>
      <c r="AG2457" s="305">
        <f>AG2459+AG2464</f>
        <v>1699300</v>
      </c>
      <c r="AH2457" s="305">
        <f>AH2459+AH2464</f>
        <v>0</v>
      </c>
      <c r="AI2457" s="305">
        <f>AI2459+AI2464</f>
        <v>0</v>
      </c>
      <c r="AJ2457" s="162" t="b">
        <f t="shared" si="1336"/>
        <v>1</v>
      </c>
      <c r="AK2457" s="162" t="str">
        <f t="shared" si="1337"/>
        <v>PRAZNO</v>
      </c>
      <c r="AM2457" s="164"/>
    </row>
    <row r="2458" spans="1:39" s="264" customFormat="1" ht="23.25" customHeight="1" x14ac:dyDescent="0.2">
      <c r="A2458" s="259"/>
      <c r="B2458" s="469"/>
      <c r="C2458" s="469"/>
      <c r="D2458" s="469"/>
      <c r="E2458" s="469"/>
      <c r="F2458" s="469"/>
      <c r="G2458" s="469"/>
      <c r="H2458" s="441" t="s">
        <v>824</v>
      </c>
      <c r="I2458" s="430"/>
      <c r="J2458" s="430"/>
      <c r="K2458" s="430"/>
      <c r="L2458" s="430"/>
      <c r="M2458" s="430"/>
      <c r="N2458" s="430"/>
      <c r="O2458" s="430"/>
      <c r="P2458" s="445"/>
      <c r="Q2458" s="462"/>
      <c r="R2458" s="462"/>
      <c r="S2458" s="462"/>
      <c r="T2458" s="430">
        <f t="shared" ref="T2458:AI2461" si="1346">T2459</f>
        <v>2000000</v>
      </c>
      <c r="U2458" s="430">
        <f t="shared" si="1346"/>
        <v>0</v>
      </c>
      <c r="V2458" s="430">
        <f t="shared" si="1346"/>
        <v>1920000</v>
      </c>
      <c r="W2458" s="430" t="e">
        <f t="shared" si="1346"/>
        <v>#REF!</v>
      </c>
      <c r="X2458" s="430" t="e">
        <f t="shared" si="1346"/>
        <v>#REF!</v>
      </c>
      <c r="Y2458" s="430">
        <f t="shared" si="1346"/>
        <v>0</v>
      </c>
      <c r="Z2458" s="430">
        <f t="shared" si="1331"/>
        <v>0</v>
      </c>
      <c r="AA2458" s="430">
        <f t="shared" si="1344"/>
        <v>-160000</v>
      </c>
      <c r="AB2458" s="430">
        <f>AB2459</f>
        <v>1760000</v>
      </c>
      <c r="AC2458" s="430">
        <f>AC2459</f>
        <v>582682.55000000005</v>
      </c>
      <c r="AD2458" s="430">
        <f t="shared" si="1327"/>
        <v>33.10696306818182</v>
      </c>
      <c r="AE2458" s="430">
        <f t="shared" si="1334"/>
        <v>55000</v>
      </c>
      <c r="AF2458" s="430">
        <f>AF2459</f>
        <v>1815000</v>
      </c>
      <c r="AG2458" s="430">
        <f>AG2459</f>
        <v>1300000</v>
      </c>
      <c r="AH2458" s="430">
        <f>AH2459</f>
        <v>0</v>
      </c>
      <c r="AI2458" s="430">
        <f>AI2459</f>
        <v>0</v>
      </c>
      <c r="AJ2458" s="162" t="b">
        <f t="shared" si="1336"/>
        <v>1</v>
      </c>
      <c r="AK2458" s="162" t="str">
        <f t="shared" si="1337"/>
        <v>PRAZNO</v>
      </c>
      <c r="AL2458" s="263"/>
    </row>
    <row r="2459" spans="1:39" s="174" customFormat="1" ht="18" customHeight="1" x14ac:dyDescent="0.2">
      <c r="A2459" s="259"/>
      <c r="B2459" s="247">
        <v>4</v>
      </c>
      <c r="C2459" s="247"/>
      <c r="D2459" s="247"/>
      <c r="E2459" s="247"/>
      <c r="F2459" s="247"/>
      <c r="G2459" s="247"/>
      <c r="H2459" s="36" t="s">
        <v>552</v>
      </c>
      <c r="I2459" s="248"/>
      <c r="J2459" s="248"/>
      <c r="K2459" s="248"/>
      <c r="L2459" s="248"/>
      <c r="M2459" s="248"/>
      <c r="N2459" s="248"/>
      <c r="O2459" s="248"/>
      <c r="P2459" s="54">
        <f>T2459-N2459</f>
        <v>2000000</v>
      </c>
      <c r="Q2459" s="249"/>
      <c r="R2459" s="249"/>
      <c r="S2459" s="249"/>
      <c r="T2459" s="248">
        <f t="shared" si="1346"/>
        <v>2000000</v>
      </c>
      <c r="U2459" s="248">
        <f t="shared" si="1346"/>
        <v>0</v>
      </c>
      <c r="V2459" s="248">
        <f t="shared" si="1346"/>
        <v>1920000</v>
      </c>
      <c r="W2459" s="248" t="e">
        <f t="shared" si="1346"/>
        <v>#REF!</v>
      </c>
      <c r="X2459" s="248" t="e">
        <f t="shared" si="1346"/>
        <v>#REF!</v>
      </c>
      <c r="Y2459" s="248">
        <f t="shared" si="1346"/>
        <v>0</v>
      </c>
      <c r="Z2459" s="248">
        <f t="shared" si="1331"/>
        <v>0</v>
      </c>
      <c r="AA2459" s="248">
        <f t="shared" si="1344"/>
        <v>-160000</v>
      </c>
      <c r="AB2459" s="248">
        <f t="shared" si="1346"/>
        <v>1760000</v>
      </c>
      <c r="AC2459" s="248">
        <f t="shared" si="1346"/>
        <v>582682.55000000005</v>
      </c>
      <c r="AD2459" s="248">
        <f t="shared" si="1327"/>
        <v>33.10696306818182</v>
      </c>
      <c r="AE2459" s="248">
        <f t="shared" si="1334"/>
        <v>55000</v>
      </c>
      <c r="AF2459" s="248">
        <f t="shared" si="1346"/>
        <v>1815000</v>
      </c>
      <c r="AG2459" s="248">
        <f t="shared" si="1346"/>
        <v>1300000</v>
      </c>
      <c r="AH2459" s="248">
        <f t="shared" si="1346"/>
        <v>0</v>
      </c>
      <c r="AI2459" s="248">
        <f t="shared" si="1346"/>
        <v>0</v>
      </c>
      <c r="AJ2459" s="162" t="b">
        <f t="shared" si="1336"/>
        <v>1</v>
      </c>
      <c r="AK2459" s="162" t="str">
        <f t="shared" si="1337"/>
        <v>PRAZNO</v>
      </c>
      <c r="AL2459" s="173"/>
    </row>
    <row r="2460" spans="1:39" s="638" customFormat="1" ht="27.75" customHeight="1" x14ac:dyDescent="0.2">
      <c r="A2460" s="633"/>
      <c r="B2460" s="314"/>
      <c r="C2460" s="314">
        <v>45</v>
      </c>
      <c r="D2460" s="314"/>
      <c r="E2460" s="314"/>
      <c r="F2460" s="314"/>
      <c r="G2460" s="314"/>
      <c r="H2460" s="39" t="s">
        <v>808</v>
      </c>
      <c r="I2460" s="658" t="e">
        <f t="shared" ref="I2460:O2460" si="1347">I2461</f>
        <v>#REF!</v>
      </c>
      <c r="J2460" s="658" t="e">
        <f t="shared" si="1347"/>
        <v>#REF!</v>
      </c>
      <c r="K2460" s="658" t="e">
        <f t="shared" si="1347"/>
        <v>#REF!</v>
      </c>
      <c r="L2460" s="658" t="e">
        <f t="shared" si="1347"/>
        <v>#REF!</v>
      </c>
      <c r="M2460" s="658" t="e">
        <f t="shared" si="1347"/>
        <v>#REF!</v>
      </c>
      <c r="N2460" s="658" t="e">
        <f t="shared" si="1347"/>
        <v>#REF!</v>
      </c>
      <c r="O2460" s="658" t="e">
        <f t="shared" si="1347"/>
        <v>#REF!</v>
      </c>
      <c r="P2460" s="340" t="e">
        <f>T2460-N2460</f>
        <v>#REF!</v>
      </c>
      <c r="Q2460" s="659"/>
      <c r="R2460" s="659"/>
      <c r="S2460" s="659"/>
      <c r="T2460" s="658">
        <f t="shared" si="1346"/>
        <v>2000000</v>
      </c>
      <c r="U2460" s="658">
        <f t="shared" si="1346"/>
        <v>0</v>
      </c>
      <c r="V2460" s="658">
        <f t="shared" si="1346"/>
        <v>1920000</v>
      </c>
      <c r="W2460" s="658" t="e">
        <f t="shared" si="1346"/>
        <v>#REF!</v>
      </c>
      <c r="X2460" s="658" t="e">
        <f t="shared" si="1346"/>
        <v>#REF!</v>
      </c>
      <c r="Y2460" s="658">
        <f t="shared" si="1346"/>
        <v>0</v>
      </c>
      <c r="Z2460" s="658">
        <f t="shared" si="1331"/>
        <v>0</v>
      </c>
      <c r="AA2460" s="658">
        <f t="shared" si="1344"/>
        <v>-160000</v>
      </c>
      <c r="AB2460" s="658">
        <f t="shared" si="1346"/>
        <v>1760000</v>
      </c>
      <c r="AC2460" s="658">
        <f t="shared" si="1346"/>
        <v>582682.55000000005</v>
      </c>
      <c r="AD2460" s="658">
        <f t="shared" si="1327"/>
        <v>33.10696306818182</v>
      </c>
      <c r="AE2460" s="658">
        <f t="shared" si="1334"/>
        <v>55000</v>
      </c>
      <c r="AF2460" s="658">
        <f t="shared" si="1346"/>
        <v>1815000</v>
      </c>
      <c r="AG2460" s="658">
        <f t="shared" si="1346"/>
        <v>1300000</v>
      </c>
      <c r="AH2460" s="658">
        <f t="shared" si="1346"/>
        <v>0</v>
      </c>
      <c r="AI2460" s="658">
        <f t="shared" si="1346"/>
        <v>0</v>
      </c>
      <c r="AJ2460" s="162" t="b">
        <f t="shared" si="1336"/>
        <v>1</v>
      </c>
      <c r="AK2460" s="162" t="str">
        <f t="shared" si="1337"/>
        <v>PRAZNO</v>
      </c>
      <c r="AL2460" s="637"/>
    </row>
    <row r="2461" spans="1:39" ht="15.75" x14ac:dyDescent="0.2">
      <c r="B2461" s="200"/>
      <c r="C2461" s="200"/>
      <c r="D2461" s="212">
        <v>451</v>
      </c>
      <c r="E2461" s="200"/>
      <c r="F2461" s="200"/>
      <c r="G2461" s="200"/>
      <c r="H2461" s="30" t="s">
        <v>809</v>
      </c>
      <c r="I2461" s="214" t="e">
        <f>I2462+#REF!</f>
        <v>#REF!</v>
      </c>
      <c r="J2461" s="214" t="e">
        <f>J2462+#REF!</f>
        <v>#REF!</v>
      </c>
      <c r="K2461" s="214" t="e">
        <f>K2462+#REF!</f>
        <v>#REF!</v>
      </c>
      <c r="L2461" s="214" t="e">
        <f>L2462+#REF!</f>
        <v>#REF!</v>
      </c>
      <c r="M2461" s="214" t="e">
        <f>M2462+#REF!</f>
        <v>#REF!</v>
      </c>
      <c r="N2461" s="214" t="e">
        <f>N2462+#REF!</f>
        <v>#REF!</v>
      </c>
      <c r="O2461" s="214" t="e">
        <f>O2462+#REF!</f>
        <v>#REF!</v>
      </c>
      <c r="P2461" s="26" t="e">
        <f>T2461-N2461</f>
        <v>#REF!</v>
      </c>
      <c r="Q2461" s="215"/>
      <c r="R2461" s="215"/>
      <c r="S2461" s="215"/>
      <c r="T2461" s="214">
        <f>T2462</f>
        <v>2000000</v>
      </c>
      <c r="U2461" s="214">
        <f>U2462</f>
        <v>0</v>
      </c>
      <c r="V2461" s="214">
        <f>V2462</f>
        <v>1920000</v>
      </c>
      <c r="W2461" s="214" t="e">
        <f>W2462+#REF!</f>
        <v>#REF!</v>
      </c>
      <c r="X2461" s="214" t="e">
        <f>X2462+#REF!</f>
        <v>#REF!</v>
      </c>
      <c r="Y2461" s="214">
        <f>Y2462</f>
        <v>0</v>
      </c>
      <c r="Z2461" s="214">
        <f t="shared" si="1331"/>
        <v>0</v>
      </c>
      <c r="AA2461" s="214">
        <f t="shared" si="1344"/>
        <v>-160000</v>
      </c>
      <c r="AB2461" s="214">
        <f>AB2462</f>
        <v>1760000</v>
      </c>
      <c r="AC2461" s="214">
        <f>AC2462</f>
        <v>582682.55000000005</v>
      </c>
      <c r="AD2461" s="214">
        <f t="shared" si="1327"/>
        <v>33.10696306818182</v>
      </c>
      <c r="AE2461" s="214">
        <f t="shared" si="1334"/>
        <v>55000</v>
      </c>
      <c r="AF2461" s="214">
        <f>AF2462</f>
        <v>1815000</v>
      </c>
      <c r="AG2461" s="214">
        <f>AG2462</f>
        <v>1300000</v>
      </c>
      <c r="AH2461" s="214">
        <f t="shared" si="1346"/>
        <v>0</v>
      </c>
      <c r="AI2461" s="214">
        <f t="shared" si="1346"/>
        <v>0</v>
      </c>
      <c r="AJ2461" s="162" t="b">
        <f t="shared" si="1336"/>
        <v>1</v>
      </c>
      <c r="AK2461" s="162" t="str">
        <f t="shared" si="1337"/>
        <v>PRAZNO</v>
      </c>
      <c r="AM2461" s="164"/>
    </row>
    <row r="2462" spans="1:39" ht="15.75" x14ac:dyDescent="0.2">
      <c r="B2462" s="200"/>
      <c r="C2462" s="200"/>
      <c r="D2462" s="200"/>
      <c r="E2462" s="200">
        <v>4511</v>
      </c>
      <c r="F2462" s="200">
        <v>14</v>
      </c>
      <c r="G2462" s="200"/>
      <c r="H2462" s="30" t="s">
        <v>809</v>
      </c>
      <c r="I2462" s="214">
        <v>0</v>
      </c>
      <c r="J2462" s="214">
        <v>0</v>
      </c>
      <c r="K2462" s="214">
        <v>0</v>
      </c>
      <c r="L2462" s="214">
        <v>0</v>
      </c>
      <c r="M2462" s="214">
        <v>0</v>
      </c>
      <c r="N2462" s="214">
        <v>0</v>
      </c>
      <c r="O2462" s="214">
        <v>0</v>
      </c>
      <c r="P2462" s="26">
        <f>T2462-N2462</f>
        <v>2000000</v>
      </c>
      <c r="Q2462" s="215"/>
      <c r="R2462" s="215"/>
      <c r="S2462" s="215"/>
      <c r="T2462" s="214">
        <v>2000000</v>
      </c>
      <c r="U2462" s="214">
        <v>0</v>
      </c>
      <c r="V2462" s="215">
        <v>1920000</v>
      </c>
      <c r="W2462" s="215">
        <v>200000</v>
      </c>
      <c r="X2462" s="215">
        <v>0</v>
      </c>
      <c r="Y2462" s="215">
        <v>0</v>
      </c>
      <c r="Z2462" s="215">
        <f t="shared" si="1331"/>
        <v>0</v>
      </c>
      <c r="AA2462" s="215">
        <f t="shared" si="1344"/>
        <v>-160000</v>
      </c>
      <c r="AB2462" s="215">
        <f>200000+1560000</f>
        <v>1760000</v>
      </c>
      <c r="AC2462" s="216">
        <v>582682.55000000005</v>
      </c>
      <c r="AD2462" s="216">
        <f t="shared" si="1327"/>
        <v>33.10696306818182</v>
      </c>
      <c r="AE2462" s="667">
        <f t="shared" si="1334"/>
        <v>55000</v>
      </c>
      <c r="AF2462" s="215">
        <v>1815000</v>
      </c>
      <c r="AG2462" s="215">
        <v>1300000</v>
      </c>
      <c r="AH2462" s="215">
        <v>0</v>
      </c>
      <c r="AI2462" s="215">
        <v>0</v>
      </c>
      <c r="AJ2462" s="162" t="b">
        <f t="shared" si="1336"/>
        <v>0</v>
      </c>
      <c r="AK2462" s="162" t="str">
        <f t="shared" si="1337"/>
        <v>PUNO</v>
      </c>
      <c r="AM2462" s="164"/>
    </row>
    <row r="2463" spans="1:39" ht="15.75" x14ac:dyDescent="0.2">
      <c r="B2463" s="200"/>
      <c r="C2463" s="200"/>
      <c r="D2463" s="200"/>
      <c r="E2463" s="200"/>
      <c r="F2463" s="200"/>
      <c r="G2463" s="200"/>
      <c r="H2463" s="656" t="s">
        <v>825</v>
      </c>
      <c r="I2463" s="214"/>
      <c r="J2463" s="214"/>
      <c r="K2463" s="214"/>
      <c r="L2463" s="214"/>
      <c r="M2463" s="214"/>
      <c r="N2463" s="214"/>
      <c r="O2463" s="214"/>
      <c r="P2463" s="26"/>
      <c r="Q2463" s="215"/>
      <c r="R2463" s="215"/>
      <c r="S2463" s="215"/>
      <c r="T2463" s="214"/>
      <c r="U2463" s="214"/>
      <c r="V2463" s="215">
        <f>V2464</f>
        <v>0</v>
      </c>
      <c r="W2463" s="215"/>
      <c r="X2463" s="215"/>
      <c r="Y2463" s="215">
        <f>Y2464</f>
        <v>0</v>
      </c>
      <c r="Z2463" s="215"/>
      <c r="AA2463" s="215">
        <f t="shared" si="1344"/>
        <v>133100</v>
      </c>
      <c r="AB2463" s="215">
        <f t="shared" ref="AB2463:AI2466" si="1348">AB2464</f>
        <v>133100</v>
      </c>
      <c r="AC2463" s="215">
        <f t="shared" si="1348"/>
        <v>0</v>
      </c>
      <c r="AD2463" s="215">
        <f t="shared" si="1327"/>
        <v>0</v>
      </c>
      <c r="AE2463" s="215">
        <f t="shared" si="1334"/>
        <v>0</v>
      </c>
      <c r="AF2463" s="215">
        <f t="shared" si="1348"/>
        <v>133100</v>
      </c>
      <c r="AG2463" s="215">
        <f t="shared" si="1348"/>
        <v>399300</v>
      </c>
      <c r="AH2463" s="215">
        <f t="shared" si="1348"/>
        <v>0</v>
      </c>
      <c r="AI2463" s="215">
        <f t="shared" si="1348"/>
        <v>0</v>
      </c>
      <c r="AJ2463" s="162" t="b">
        <f t="shared" si="1336"/>
        <v>1</v>
      </c>
      <c r="AK2463" s="162" t="str">
        <f t="shared" si="1337"/>
        <v>PRAZNO</v>
      </c>
      <c r="AM2463" s="164"/>
    </row>
    <row r="2464" spans="1:39" s="174" customFormat="1" ht="18" customHeight="1" x14ac:dyDescent="0.2">
      <c r="A2464" s="259"/>
      <c r="B2464" s="247">
        <v>4</v>
      </c>
      <c r="C2464" s="247"/>
      <c r="D2464" s="247"/>
      <c r="E2464" s="247"/>
      <c r="F2464" s="247"/>
      <c r="G2464" s="247"/>
      <c r="H2464" s="36" t="s">
        <v>552</v>
      </c>
      <c r="I2464" s="248"/>
      <c r="J2464" s="248"/>
      <c r="K2464" s="248"/>
      <c r="L2464" s="248"/>
      <c r="M2464" s="248"/>
      <c r="N2464" s="248"/>
      <c r="O2464" s="248"/>
      <c r="P2464" s="54"/>
      <c r="Q2464" s="249"/>
      <c r="R2464" s="249"/>
      <c r="S2464" s="249"/>
      <c r="T2464" s="248"/>
      <c r="U2464" s="248"/>
      <c r="V2464" s="248">
        <f>V2465</f>
        <v>0</v>
      </c>
      <c r="W2464" s="248"/>
      <c r="X2464" s="248"/>
      <c r="Y2464" s="248">
        <f>Y2465</f>
        <v>0</v>
      </c>
      <c r="Z2464" s="248"/>
      <c r="AA2464" s="248">
        <f t="shared" si="1344"/>
        <v>133100</v>
      </c>
      <c r="AB2464" s="248">
        <f t="shared" si="1348"/>
        <v>133100</v>
      </c>
      <c r="AC2464" s="248">
        <f t="shared" si="1348"/>
        <v>0</v>
      </c>
      <c r="AD2464" s="248">
        <f t="shared" si="1327"/>
        <v>0</v>
      </c>
      <c r="AE2464" s="248">
        <f t="shared" si="1334"/>
        <v>0</v>
      </c>
      <c r="AF2464" s="248">
        <f t="shared" si="1348"/>
        <v>133100</v>
      </c>
      <c r="AG2464" s="248">
        <f t="shared" si="1348"/>
        <v>399300</v>
      </c>
      <c r="AH2464" s="248">
        <f t="shared" si="1348"/>
        <v>0</v>
      </c>
      <c r="AI2464" s="248">
        <f t="shared" si="1348"/>
        <v>0</v>
      </c>
      <c r="AJ2464" s="162" t="b">
        <f t="shared" si="1336"/>
        <v>1</v>
      </c>
      <c r="AK2464" s="162" t="str">
        <f t="shared" si="1337"/>
        <v>PRAZNO</v>
      </c>
      <c r="AL2464" s="173"/>
    </row>
    <row r="2465" spans="1:39" s="644" customFormat="1" ht="30.75" customHeight="1" x14ac:dyDescent="0.2">
      <c r="A2465" s="633"/>
      <c r="B2465" s="657"/>
      <c r="C2465" s="657">
        <v>45</v>
      </c>
      <c r="D2465" s="657"/>
      <c r="E2465" s="657"/>
      <c r="F2465" s="657"/>
      <c r="G2465" s="657"/>
      <c r="H2465" s="39" t="s">
        <v>808</v>
      </c>
      <c r="I2465" s="319"/>
      <c r="J2465" s="319"/>
      <c r="K2465" s="319"/>
      <c r="L2465" s="319"/>
      <c r="M2465" s="319"/>
      <c r="N2465" s="319"/>
      <c r="O2465" s="319"/>
      <c r="P2465" s="38"/>
      <c r="Q2465" s="318"/>
      <c r="R2465" s="318"/>
      <c r="S2465" s="318"/>
      <c r="T2465" s="319"/>
      <c r="U2465" s="319"/>
      <c r="V2465" s="318">
        <f>V2466</f>
        <v>0</v>
      </c>
      <c r="W2465" s="318"/>
      <c r="X2465" s="318"/>
      <c r="Y2465" s="318">
        <f>Y2466</f>
        <v>0</v>
      </c>
      <c r="Z2465" s="318"/>
      <c r="AA2465" s="215">
        <f t="shared" si="1344"/>
        <v>133100</v>
      </c>
      <c r="AB2465" s="318">
        <f t="shared" si="1348"/>
        <v>133100</v>
      </c>
      <c r="AC2465" s="318">
        <f t="shared" si="1348"/>
        <v>0</v>
      </c>
      <c r="AD2465" s="318">
        <f t="shared" si="1327"/>
        <v>0</v>
      </c>
      <c r="AE2465" s="318">
        <f t="shared" si="1334"/>
        <v>0</v>
      </c>
      <c r="AF2465" s="318">
        <f t="shared" si="1348"/>
        <v>133100</v>
      </c>
      <c r="AG2465" s="318">
        <f t="shared" si="1348"/>
        <v>399300</v>
      </c>
      <c r="AH2465" s="318">
        <f t="shared" si="1348"/>
        <v>0</v>
      </c>
      <c r="AI2465" s="318">
        <f t="shared" si="1348"/>
        <v>0</v>
      </c>
      <c r="AJ2465" s="162" t="b">
        <f t="shared" si="1336"/>
        <v>1</v>
      </c>
      <c r="AK2465" s="162" t="str">
        <f t="shared" si="1337"/>
        <v>PRAZNO</v>
      </c>
      <c r="AL2465" s="643"/>
      <c r="AM2465" s="647"/>
    </row>
    <row r="2466" spans="1:39" ht="15.75" x14ac:dyDescent="0.2">
      <c r="B2466" s="200"/>
      <c r="C2466" s="200"/>
      <c r="D2466" s="200">
        <v>451</v>
      </c>
      <c r="E2466" s="200"/>
      <c r="F2466" s="200"/>
      <c r="G2466" s="200"/>
      <c r="H2466" s="30" t="s">
        <v>809</v>
      </c>
      <c r="I2466" s="214"/>
      <c r="J2466" s="214"/>
      <c r="K2466" s="214"/>
      <c r="L2466" s="214"/>
      <c r="M2466" s="214"/>
      <c r="N2466" s="214"/>
      <c r="O2466" s="214"/>
      <c r="P2466" s="26"/>
      <c r="Q2466" s="215"/>
      <c r="R2466" s="215"/>
      <c r="S2466" s="215"/>
      <c r="T2466" s="214"/>
      <c r="U2466" s="214"/>
      <c r="V2466" s="215">
        <f>V2467</f>
        <v>0</v>
      </c>
      <c r="W2466" s="215"/>
      <c r="X2466" s="215"/>
      <c r="Y2466" s="215">
        <f>Y2467</f>
        <v>0</v>
      </c>
      <c r="Z2466" s="215"/>
      <c r="AA2466" s="215">
        <f t="shared" si="1344"/>
        <v>133100</v>
      </c>
      <c r="AB2466" s="215">
        <f t="shared" si="1348"/>
        <v>133100</v>
      </c>
      <c r="AC2466" s="215">
        <f t="shared" si="1348"/>
        <v>0</v>
      </c>
      <c r="AD2466" s="215">
        <f t="shared" si="1327"/>
        <v>0</v>
      </c>
      <c r="AE2466" s="215">
        <f t="shared" si="1334"/>
        <v>0</v>
      </c>
      <c r="AF2466" s="215">
        <f t="shared" si="1348"/>
        <v>133100</v>
      </c>
      <c r="AG2466" s="215">
        <f t="shared" si="1348"/>
        <v>399300</v>
      </c>
      <c r="AH2466" s="215">
        <f t="shared" si="1348"/>
        <v>0</v>
      </c>
      <c r="AI2466" s="215">
        <f t="shared" si="1348"/>
        <v>0</v>
      </c>
      <c r="AJ2466" s="162" t="b">
        <f t="shared" si="1336"/>
        <v>1</v>
      </c>
      <c r="AK2466" s="162" t="str">
        <f t="shared" si="1337"/>
        <v>PRAZNO</v>
      </c>
      <c r="AM2466" s="164"/>
    </row>
    <row r="2467" spans="1:39" ht="30" x14ac:dyDescent="0.2">
      <c r="B2467" s="177"/>
      <c r="C2467" s="177"/>
      <c r="D2467" s="177"/>
      <c r="E2467" s="177">
        <v>4511</v>
      </c>
      <c r="F2467" s="176">
        <v>53</v>
      </c>
      <c r="G2467" s="176"/>
      <c r="H2467" s="16" t="s">
        <v>729</v>
      </c>
      <c r="I2467" s="17"/>
      <c r="J2467" s="17"/>
      <c r="K2467" s="17"/>
      <c r="L2467" s="17"/>
      <c r="M2467" s="17"/>
      <c r="N2467" s="17"/>
      <c r="O2467" s="17"/>
      <c r="P2467" s="26"/>
      <c r="Q2467" s="17"/>
      <c r="R2467" s="17"/>
      <c r="S2467" s="17"/>
      <c r="T2467" s="26"/>
      <c r="U2467" s="26"/>
      <c r="V2467" s="17">
        <v>0</v>
      </c>
      <c r="W2467" s="17"/>
      <c r="X2467" s="17"/>
      <c r="Y2467" s="17">
        <v>0</v>
      </c>
      <c r="Z2467" s="215"/>
      <c r="AA2467" s="17">
        <f>AB2467-V2467</f>
        <v>133100</v>
      </c>
      <c r="AB2467" s="17">
        <v>133100</v>
      </c>
      <c r="AC2467" s="17">
        <v>0</v>
      </c>
      <c r="AD2467" s="17">
        <f t="shared" si="1327"/>
        <v>0</v>
      </c>
      <c r="AE2467" s="17">
        <f t="shared" si="1334"/>
        <v>0</v>
      </c>
      <c r="AF2467" s="17">
        <v>133100</v>
      </c>
      <c r="AG2467" s="17">
        <v>399300</v>
      </c>
      <c r="AH2467" s="17">
        <v>0</v>
      </c>
      <c r="AI2467" s="17">
        <v>0</v>
      </c>
      <c r="AJ2467" s="162" t="b">
        <f t="shared" si="1336"/>
        <v>0</v>
      </c>
      <c r="AK2467" s="162" t="str">
        <f t="shared" si="1337"/>
        <v>PUNO</v>
      </c>
      <c r="AM2467" s="164"/>
    </row>
    <row r="2468" spans="1:39" ht="31.5" x14ac:dyDescent="0.2">
      <c r="B2468" s="172"/>
      <c r="C2468" s="172"/>
      <c r="D2468" s="172"/>
      <c r="E2468" s="172"/>
      <c r="F2468" s="220"/>
      <c r="G2468" s="220"/>
      <c r="H2468" s="600" t="s">
        <v>505</v>
      </c>
      <c r="I2468" s="20"/>
      <c r="J2468" s="20"/>
      <c r="K2468" s="20"/>
      <c r="L2468" s="20"/>
      <c r="M2468" s="20"/>
      <c r="N2468" s="20"/>
      <c r="O2468" s="20"/>
      <c r="P2468" s="55"/>
      <c r="Q2468" s="20"/>
      <c r="R2468" s="20"/>
      <c r="S2468" s="20"/>
      <c r="T2468" s="55"/>
      <c r="U2468" s="55">
        <f>U2469</f>
        <v>67810.399999999994</v>
      </c>
      <c r="V2468" s="602">
        <f>V2470</f>
        <v>0</v>
      </c>
      <c r="W2468" s="602"/>
      <c r="X2468" s="602"/>
      <c r="Y2468" s="602">
        <f>Y2470</f>
        <v>0</v>
      </c>
      <c r="Z2468" s="603"/>
      <c r="AA2468" s="602">
        <f t="shared" si="1344"/>
        <v>82100</v>
      </c>
      <c r="AB2468" s="602">
        <f>AB2470</f>
        <v>82100</v>
      </c>
      <c r="AC2468" s="602">
        <f>AC2470</f>
        <v>82042.38</v>
      </c>
      <c r="AD2468" s="602">
        <f t="shared" si="1327"/>
        <v>99.929817295980513</v>
      </c>
      <c r="AE2468" s="602">
        <f t="shared" si="1334"/>
        <v>0</v>
      </c>
      <c r="AF2468" s="602">
        <f>AF2470</f>
        <v>82100</v>
      </c>
      <c r="AG2468" s="602">
        <f>AG2470</f>
        <v>0</v>
      </c>
      <c r="AH2468" s="602">
        <f>AH2470</f>
        <v>0</v>
      </c>
      <c r="AI2468" s="602">
        <f>AI2470</f>
        <v>0</v>
      </c>
      <c r="AJ2468" s="162" t="b">
        <f t="shared" si="1336"/>
        <v>1</v>
      </c>
      <c r="AK2468" s="162" t="str">
        <f t="shared" si="1337"/>
        <v>PRAZNO</v>
      </c>
      <c r="AM2468" s="164"/>
    </row>
    <row r="2469" spans="1:39" s="264" customFormat="1" ht="22.5" customHeight="1" x14ac:dyDescent="0.2">
      <c r="A2469" s="259"/>
      <c r="B2469" s="177"/>
      <c r="C2469" s="177"/>
      <c r="D2469" s="177"/>
      <c r="E2469" s="177"/>
      <c r="F2469" s="265"/>
      <c r="G2469" s="265"/>
      <c r="H2469" s="441" t="s">
        <v>824</v>
      </c>
      <c r="I2469" s="181"/>
      <c r="J2469" s="181"/>
      <c r="K2469" s="181"/>
      <c r="L2469" s="181"/>
      <c r="M2469" s="181"/>
      <c r="N2469" s="181"/>
      <c r="O2469" s="181"/>
      <c r="P2469" s="307"/>
      <c r="Q2469" s="181"/>
      <c r="R2469" s="181"/>
      <c r="S2469" s="181"/>
      <c r="T2469" s="307"/>
      <c r="U2469" s="307">
        <f>U2470</f>
        <v>67810.399999999994</v>
      </c>
      <c r="V2469" s="406">
        <f>V2470</f>
        <v>0</v>
      </c>
      <c r="W2469" s="406"/>
      <c r="X2469" s="406"/>
      <c r="Y2469" s="406">
        <f>Y2470</f>
        <v>0</v>
      </c>
      <c r="Z2469" s="462"/>
      <c r="AA2469" s="406">
        <f t="shared" si="1344"/>
        <v>82100</v>
      </c>
      <c r="AB2469" s="406">
        <f t="shared" ref="AB2469:AI2472" si="1349">AB2470</f>
        <v>82100</v>
      </c>
      <c r="AC2469" s="406">
        <f t="shared" si="1349"/>
        <v>82042.38</v>
      </c>
      <c r="AD2469" s="406">
        <f t="shared" si="1327"/>
        <v>99.929817295980513</v>
      </c>
      <c r="AE2469" s="406">
        <f t="shared" si="1334"/>
        <v>0</v>
      </c>
      <c r="AF2469" s="406">
        <f t="shared" si="1349"/>
        <v>82100</v>
      </c>
      <c r="AG2469" s="406">
        <f t="shared" si="1349"/>
        <v>0</v>
      </c>
      <c r="AH2469" s="406">
        <f t="shared" si="1349"/>
        <v>0</v>
      </c>
      <c r="AI2469" s="406">
        <f t="shared" si="1349"/>
        <v>0</v>
      </c>
      <c r="AJ2469" s="162" t="b">
        <f t="shared" si="1336"/>
        <v>1</v>
      </c>
      <c r="AK2469" s="162" t="str">
        <f t="shared" si="1337"/>
        <v>PRAZNO</v>
      </c>
      <c r="AL2469" s="263"/>
    </row>
    <row r="2470" spans="1:39" ht="21" customHeight="1" x14ac:dyDescent="0.2">
      <c r="B2470" s="601">
        <v>3</v>
      </c>
      <c r="C2470" s="172"/>
      <c r="D2470" s="172"/>
      <c r="E2470" s="172"/>
      <c r="F2470" s="220"/>
      <c r="G2470" s="220"/>
      <c r="H2470" s="600" t="s">
        <v>524</v>
      </c>
      <c r="I2470" s="20"/>
      <c r="J2470" s="20"/>
      <c r="K2470" s="20"/>
      <c r="L2470" s="20"/>
      <c r="M2470" s="20"/>
      <c r="N2470" s="20"/>
      <c r="O2470" s="20"/>
      <c r="P2470" s="55"/>
      <c r="Q2470" s="20"/>
      <c r="R2470" s="20"/>
      <c r="S2470" s="20"/>
      <c r="T2470" s="55"/>
      <c r="U2470" s="55">
        <f>U2471</f>
        <v>67810.399999999994</v>
      </c>
      <c r="V2470" s="602">
        <f>V2471</f>
        <v>0</v>
      </c>
      <c r="W2470" s="602"/>
      <c r="X2470" s="602"/>
      <c r="Y2470" s="602">
        <f>Y2471</f>
        <v>0</v>
      </c>
      <c r="Z2470" s="603"/>
      <c r="AA2470" s="602">
        <f t="shared" si="1344"/>
        <v>82100</v>
      </c>
      <c r="AB2470" s="602">
        <f t="shared" si="1349"/>
        <v>82100</v>
      </c>
      <c r="AC2470" s="602">
        <f t="shared" si="1349"/>
        <v>82042.38</v>
      </c>
      <c r="AD2470" s="602">
        <f t="shared" si="1327"/>
        <v>99.929817295980513</v>
      </c>
      <c r="AE2470" s="602">
        <f t="shared" si="1334"/>
        <v>0</v>
      </c>
      <c r="AF2470" s="602">
        <f t="shared" si="1349"/>
        <v>82100</v>
      </c>
      <c r="AG2470" s="602">
        <f t="shared" si="1349"/>
        <v>0</v>
      </c>
      <c r="AH2470" s="602">
        <f t="shared" si="1349"/>
        <v>0</v>
      </c>
      <c r="AI2470" s="602">
        <f t="shared" si="1349"/>
        <v>0</v>
      </c>
      <c r="AJ2470" s="162" t="b">
        <f t="shared" si="1336"/>
        <v>1</v>
      </c>
      <c r="AK2470" s="162" t="str">
        <f t="shared" si="1337"/>
        <v>PRAZNO</v>
      </c>
      <c r="AM2470" s="164"/>
    </row>
    <row r="2471" spans="1:39" s="644" customFormat="1" ht="15.75" x14ac:dyDescent="0.2">
      <c r="A2471" s="633"/>
      <c r="B2471" s="175"/>
      <c r="C2471" s="175">
        <v>36</v>
      </c>
      <c r="D2471" s="175"/>
      <c r="E2471" s="175"/>
      <c r="F2471" s="640"/>
      <c r="G2471" s="640"/>
      <c r="H2471" s="15" t="s">
        <v>751</v>
      </c>
      <c r="I2471" s="22"/>
      <c r="J2471" s="22"/>
      <c r="K2471" s="22"/>
      <c r="L2471" s="22"/>
      <c r="M2471" s="22"/>
      <c r="N2471" s="22"/>
      <c r="O2471" s="22"/>
      <c r="P2471" s="38"/>
      <c r="Q2471" s="22"/>
      <c r="R2471" s="22"/>
      <c r="S2471" s="22"/>
      <c r="T2471" s="38"/>
      <c r="U2471" s="38">
        <f>U2472</f>
        <v>67810.399999999994</v>
      </c>
      <c r="V2471" s="22">
        <f>V2472</f>
        <v>0</v>
      </c>
      <c r="W2471" s="22"/>
      <c r="X2471" s="22"/>
      <c r="Y2471" s="22">
        <f>Y2472</f>
        <v>0</v>
      </c>
      <c r="Z2471" s="318"/>
      <c r="AA2471" s="22">
        <f t="shared" si="1344"/>
        <v>82100</v>
      </c>
      <c r="AB2471" s="22">
        <f t="shared" si="1349"/>
        <v>82100</v>
      </c>
      <c r="AC2471" s="22">
        <f t="shared" si="1349"/>
        <v>82042.38</v>
      </c>
      <c r="AD2471" s="22">
        <f t="shared" si="1327"/>
        <v>99.929817295980513</v>
      </c>
      <c r="AE2471" s="22">
        <f t="shared" si="1334"/>
        <v>0</v>
      </c>
      <c r="AF2471" s="22">
        <f t="shared" si="1349"/>
        <v>82100</v>
      </c>
      <c r="AG2471" s="22">
        <f t="shared" si="1349"/>
        <v>0</v>
      </c>
      <c r="AH2471" s="22">
        <f t="shared" si="1349"/>
        <v>0</v>
      </c>
      <c r="AI2471" s="22">
        <f t="shared" si="1349"/>
        <v>0</v>
      </c>
      <c r="AJ2471" s="162" t="b">
        <f t="shared" si="1336"/>
        <v>1</v>
      </c>
      <c r="AK2471" s="162" t="str">
        <f t="shared" si="1337"/>
        <v>PRAZNO</v>
      </c>
      <c r="AL2471" s="643"/>
      <c r="AM2471" s="647"/>
    </row>
    <row r="2472" spans="1:39" ht="15.75" x14ac:dyDescent="0.2">
      <c r="B2472" s="177"/>
      <c r="C2472" s="177"/>
      <c r="D2472" s="177">
        <v>363</v>
      </c>
      <c r="E2472" s="177"/>
      <c r="F2472" s="176"/>
      <c r="G2472" s="176"/>
      <c r="H2472" s="16" t="s">
        <v>536</v>
      </c>
      <c r="I2472" s="17"/>
      <c r="J2472" s="17"/>
      <c r="K2472" s="17"/>
      <c r="L2472" s="17"/>
      <c r="M2472" s="17"/>
      <c r="N2472" s="17"/>
      <c r="O2472" s="17"/>
      <c r="P2472" s="26"/>
      <c r="Q2472" s="17"/>
      <c r="R2472" s="17"/>
      <c r="S2472" s="17"/>
      <c r="T2472" s="26"/>
      <c r="U2472" s="26">
        <f>U2473</f>
        <v>67810.399999999994</v>
      </c>
      <c r="V2472" s="17">
        <f>V2473</f>
        <v>0</v>
      </c>
      <c r="W2472" s="17"/>
      <c r="X2472" s="17"/>
      <c r="Y2472" s="17">
        <f>Y2473</f>
        <v>0</v>
      </c>
      <c r="Z2472" s="215"/>
      <c r="AA2472" s="17">
        <f t="shared" si="1344"/>
        <v>82100</v>
      </c>
      <c r="AB2472" s="17">
        <f t="shared" si="1349"/>
        <v>82100</v>
      </c>
      <c r="AC2472" s="17">
        <f t="shared" si="1349"/>
        <v>82042.38</v>
      </c>
      <c r="AD2472" s="17">
        <f t="shared" si="1327"/>
        <v>99.929817295980513</v>
      </c>
      <c r="AE2472" s="17">
        <f t="shared" si="1334"/>
        <v>0</v>
      </c>
      <c r="AF2472" s="17">
        <f t="shared" si="1349"/>
        <v>82100</v>
      </c>
      <c r="AG2472" s="17">
        <f t="shared" si="1349"/>
        <v>0</v>
      </c>
      <c r="AH2472" s="17">
        <f t="shared" si="1349"/>
        <v>0</v>
      </c>
      <c r="AI2472" s="17">
        <f t="shared" si="1349"/>
        <v>0</v>
      </c>
      <c r="AJ2472" s="162" t="b">
        <f t="shared" si="1336"/>
        <v>1</v>
      </c>
      <c r="AK2472" s="162" t="str">
        <f t="shared" si="1337"/>
        <v>PRAZNO</v>
      </c>
      <c r="AM2472" s="164"/>
    </row>
    <row r="2473" spans="1:39" ht="15.75" x14ac:dyDescent="0.2">
      <c r="B2473" s="177"/>
      <c r="C2473" s="177"/>
      <c r="D2473" s="177"/>
      <c r="E2473" s="177">
        <v>3632</v>
      </c>
      <c r="F2473" s="176">
        <v>14</v>
      </c>
      <c r="G2473" s="176"/>
      <c r="H2473" s="16" t="s">
        <v>227</v>
      </c>
      <c r="I2473" s="17"/>
      <c r="J2473" s="17"/>
      <c r="K2473" s="17"/>
      <c r="L2473" s="17"/>
      <c r="M2473" s="17"/>
      <c r="N2473" s="17"/>
      <c r="O2473" s="17"/>
      <c r="P2473" s="26"/>
      <c r="Q2473" s="17"/>
      <c r="R2473" s="17"/>
      <c r="S2473" s="17"/>
      <c r="T2473" s="26"/>
      <c r="U2473" s="26">
        <v>67810.399999999994</v>
      </c>
      <c r="V2473" s="17">
        <v>0</v>
      </c>
      <c r="W2473" s="17"/>
      <c r="X2473" s="17"/>
      <c r="Y2473" s="17">
        <v>0</v>
      </c>
      <c r="Z2473" s="215"/>
      <c r="AA2473" s="17">
        <f t="shared" si="1344"/>
        <v>82100</v>
      </c>
      <c r="AB2473" s="17">
        <v>82100</v>
      </c>
      <c r="AC2473" s="17">
        <v>82042.38</v>
      </c>
      <c r="AD2473" s="17">
        <f t="shared" si="1327"/>
        <v>99.929817295980513</v>
      </c>
      <c r="AE2473" s="17">
        <f t="shared" si="1334"/>
        <v>0</v>
      </c>
      <c r="AF2473" s="17">
        <v>82100</v>
      </c>
      <c r="AG2473" s="17">
        <v>0</v>
      </c>
      <c r="AH2473" s="17">
        <v>0</v>
      </c>
      <c r="AI2473" s="17">
        <v>0</v>
      </c>
      <c r="AJ2473" s="162" t="b">
        <f t="shared" si="1336"/>
        <v>0</v>
      </c>
      <c r="AK2473" s="162" t="str">
        <f t="shared" si="1337"/>
        <v>PUNO</v>
      </c>
      <c r="AM2473" s="164"/>
    </row>
    <row r="2474" spans="1:39" s="164" customFormat="1" ht="21" customHeight="1" x14ac:dyDescent="0.2">
      <c r="A2474" s="259"/>
      <c r="B2474" s="194"/>
      <c r="C2474" s="194"/>
      <c r="D2474" s="194"/>
      <c r="E2474" s="194"/>
      <c r="F2474" s="159"/>
      <c r="G2474" s="159"/>
      <c r="H2474" s="24" t="s">
        <v>480</v>
      </c>
      <c r="I2474" s="196">
        <f>I2476</f>
        <v>555000</v>
      </c>
      <c r="J2474" s="196">
        <f>J2476</f>
        <v>459167.46</v>
      </c>
      <c r="K2474" s="196">
        <f t="shared" ref="K2474:K2550" si="1350">ROUND(J2474/I2474*100,2)</f>
        <v>82.73</v>
      </c>
      <c r="L2474" s="196">
        <f>M2474-I2474</f>
        <v>114515.77000000002</v>
      </c>
      <c r="M2474" s="195">
        <f>M2476</f>
        <v>669515.77</v>
      </c>
      <c r="N2474" s="195">
        <f>N2476</f>
        <v>820000</v>
      </c>
      <c r="O2474" s="195">
        <f>O2476</f>
        <v>543204.78</v>
      </c>
      <c r="P2474" s="351">
        <f>T2474-N2474</f>
        <v>200000</v>
      </c>
      <c r="Q2474" s="195">
        <f t="shared" ref="Q2474:X2474" si="1351">Q2476</f>
        <v>820000</v>
      </c>
      <c r="R2474" s="195">
        <f t="shared" si="1351"/>
        <v>780000</v>
      </c>
      <c r="S2474" s="195">
        <f t="shared" si="1351"/>
        <v>910000</v>
      </c>
      <c r="T2474" s="197">
        <f t="shared" si="1351"/>
        <v>1020000</v>
      </c>
      <c r="U2474" s="197">
        <f>U2476</f>
        <v>1043378.24</v>
      </c>
      <c r="V2474" s="195">
        <f t="shared" si="1351"/>
        <v>1570000</v>
      </c>
      <c r="W2474" s="195">
        <f t="shared" si="1351"/>
        <v>1670000</v>
      </c>
      <c r="X2474" s="195">
        <f t="shared" si="1351"/>
        <v>2170000</v>
      </c>
      <c r="Y2474" s="195">
        <f>Y2476</f>
        <v>508081.56</v>
      </c>
      <c r="Z2474" s="195">
        <f t="shared" si="1331"/>
        <v>32.36</v>
      </c>
      <c r="AA2474" s="195">
        <f t="shared" si="1344"/>
        <v>100000</v>
      </c>
      <c r="AB2474" s="195">
        <f>AB2476</f>
        <v>1670000</v>
      </c>
      <c r="AC2474" s="195">
        <f>AC2476</f>
        <v>1025565.64</v>
      </c>
      <c r="AD2474" s="195">
        <f t="shared" si="1327"/>
        <v>61.411116167664673</v>
      </c>
      <c r="AE2474" s="195">
        <f t="shared" si="1334"/>
        <v>0</v>
      </c>
      <c r="AF2474" s="195">
        <f>AF2476</f>
        <v>1670000</v>
      </c>
      <c r="AG2474" s="195">
        <f>AG2476</f>
        <v>2075000</v>
      </c>
      <c r="AH2474" s="195">
        <f>AH2476</f>
        <v>2695000</v>
      </c>
      <c r="AI2474" s="195">
        <f>AI2476</f>
        <v>3505000</v>
      </c>
      <c r="AJ2474" s="162" t="b">
        <f t="shared" si="1336"/>
        <v>1</v>
      </c>
      <c r="AK2474" s="162" t="str">
        <f t="shared" si="1337"/>
        <v>PRAZNO</v>
      </c>
      <c r="AL2474" s="165"/>
    </row>
    <row r="2475" spans="1:39" s="164" customFormat="1" ht="21.75" customHeight="1" x14ac:dyDescent="0.2">
      <c r="A2475" s="259"/>
      <c r="B2475" s="194"/>
      <c r="C2475" s="194"/>
      <c r="D2475" s="194"/>
      <c r="E2475" s="194"/>
      <c r="F2475" s="159"/>
      <c r="G2475" s="159"/>
      <c r="H2475" s="11" t="s">
        <v>654</v>
      </c>
      <c r="I2475" s="196"/>
      <c r="J2475" s="196"/>
      <c r="K2475" s="196"/>
      <c r="L2475" s="196"/>
      <c r="M2475" s="195"/>
      <c r="N2475" s="195"/>
      <c r="O2475" s="195"/>
      <c r="P2475" s="353">
        <f>T2475-N2475</f>
        <v>0</v>
      </c>
      <c r="Q2475" s="195"/>
      <c r="R2475" s="195"/>
      <c r="S2475" s="195"/>
      <c r="T2475" s="197"/>
      <c r="U2475" s="197"/>
      <c r="V2475" s="195"/>
      <c r="W2475" s="195"/>
      <c r="X2475" s="195"/>
      <c r="Y2475" s="195"/>
      <c r="Z2475" s="195"/>
      <c r="AA2475" s="195"/>
      <c r="AB2475" s="195"/>
      <c r="AC2475" s="195"/>
      <c r="AD2475" s="195"/>
      <c r="AE2475" s="195"/>
      <c r="AF2475" s="195"/>
      <c r="AG2475" s="195"/>
      <c r="AH2475" s="195"/>
      <c r="AI2475" s="195"/>
      <c r="AJ2475" s="162" t="b">
        <f t="shared" si="1336"/>
        <v>1</v>
      </c>
      <c r="AK2475" s="162" t="str">
        <f t="shared" si="1337"/>
        <v>PRAZNO</v>
      </c>
      <c r="AL2475" s="165"/>
    </row>
    <row r="2476" spans="1:39" s="171" customFormat="1" ht="31.5" customHeight="1" x14ac:dyDescent="0.2">
      <c r="A2476" s="259"/>
      <c r="B2476" s="270"/>
      <c r="C2476" s="270"/>
      <c r="D2476" s="270"/>
      <c r="E2476" s="270"/>
      <c r="F2476" s="270"/>
      <c r="G2476" s="270"/>
      <c r="H2476" s="274" t="s">
        <v>743</v>
      </c>
      <c r="I2476" s="273">
        <f>I2478+I2488</f>
        <v>555000</v>
      </c>
      <c r="J2476" s="273">
        <f>J2478+J2488</f>
        <v>459167.46</v>
      </c>
      <c r="K2476" s="273">
        <f t="shared" si="1350"/>
        <v>82.73</v>
      </c>
      <c r="L2476" s="273">
        <f>M2476-I2476</f>
        <v>114515.77000000002</v>
      </c>
      <c r="M2476" s="272">
        <f>M2478+M2488</f>
        <v>669515.77</v>
      </c>
      <c r="N2476" s="272">
        <f>N2478+N2488</f>
        <v>820000</v>
      </c>
      <c r="O2476" s="272">
        <f>O2478+O2488</f>
        <v>543204.78</v>
      </c>
      <c r="P2476" s="281">
        <f>T2476-N2476</f>
        <v>200000</v>
      </c>
      <c r="Q2476" s="272">
        <f>Q2478+Q2488</f>
        <v>820000</v>
      </c>
      <c r="R2476" s="272">
        <f>R2478+R2488</f>
        <v>780000</v>
      </c>
      <c r="S2476" s="272">
        <f>S2478+S2488</f>
        <v>910000</v>
      </c>
      <c r="T2476" s="275">
        <f>T2478+T2488</f>
        <v>1020000</v>
      </c>
      <c r="U2476" s="275">
        <f>U2478+U2488</f>
        <v>1043378.24</v>
      </c>
      <c r="V2476" s="272">
        <f>V2478+V2488+V2498</f>
        <v>1570000</v>
      </c>
      <c r="W2476" s="272">
        <f>W2478+W2488+W2498</f>
        <v>1670000</v>
      </c>
      <c r="X2476" s="272">
        <f>X2478+X2488+X2498</f>
        <v>2170000</v>
      </c>
      <c r="Y2476" s="272">
        <f>Y2478+Y2488+Y2498</f>
        <v>508081.56</v>
      </c>
      <c r="Z2476" s="272">
        <f t="shared" si="1331"/>
        <v>32.36</v>
      </c>
      <c r="AA2476" s="272">
        <f t="shared" si="1344"/>
        <v>100000</v>
      </c>
      <c r="AB2476" s="272">
        <f>AB2478+AB2488+AB2498+AB2504</f>
        <v>1670000</v>
      </c>
      <c r="AC2476" s="272">
        <f>AC2478+AC2488+AC2498+AC2504</f>
        <v>1025565.64</v>
      </c>
      <c r="AD2476" s="272">
        <f t="shared" si="1327"/>
        <v>61.411116167664673</v>
      </c>
      <c r="AE2476" s="272">
        <f t="shared" si="1334"/>
        <v>0</v>
      </c>
      <c r="AF2476" s="272">
        <f>AF2478+AF2488+AF2498+AF2504</f>
        <v>1670000</v>
      </c>
      <c r="AG2476" s="272">
        <f>AG2478+AG2488+AG2498+AG2504</f>
        <v>2075000</v>
      </c>
      <c r="AH2476" s="272">
        <f>AH2478+AH2488+AH2498+AH2504</f>
        <v>2695000</v>
      </c>
      <c r="AI2476" s="272">
        <f>AI2478+AI2488+AI2498+AI2504</f>
        <v>3505000</v>
      </c>
      <c r="AJ2476" s="162" t="b">
        <f t="shared" si="1336"/>
        <v>1</v>
      </c>
      <c r="AK2476" s="162" t="str">
        <f t="shared" si="1337"/>
        <v>PRAZNO</v>
      </c>
      <c r="AL2476" s="170"/>
      <c r="AM2476" s="164"/>
    </row>
    <row r="2477" spans="1:39" s="171" customFormat="1" ht="31.5" customHeight="1" x14ac:dyDescent="0.2">
      <c r="A2477" s="259"/>
      <c r="B2477" s="168"/>
      <c r="C2477" s="168"/>
      <c r="D2477" s="168"/>
      <c r="E2477" s="168"/>
      <c r="F2477" s="168"/>
      <c r="G2477" s="168"/>
      <c r="H2477" s="13" t="s">
        <v>306</v>
      </c>
      <c r="I2477" s="169"/>
      <c r="J2477" s="169"/>
      <c r="K2477" s="169"/>
      <c r="L2477" s="169"/>
      <c r="M2477" s="19"/>
      <c r="N2477" s="19"/>
      <c r="O2477" s="19"/>
      <c r="P2477" s="205"/>
      <c r="Q2477" s="19"/>
      <c r="R2477" s="19"/>
      <c r="S2477" s="19"/>
      <c r="T2477" s="53"/>
      <c r="U2477" s="53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19"/>
      <c r="AF2477" s="19"/>
      <c r="AG2477" s="19"/>
      <c r="AH2477" s="19"/>
      <c r="AI2477" s="19"/>
      <c r="AJ2477" s="162" t="b">
        <f t="shared" si="1336"/>
        <v>1</v>
      </c>
      <c r="AK2477" s="162" t="str">
        <f t="shared" si="1337"/>
        <v>PRAZNO</v>
      </c>
      <c r="AL2477" s="170"/>
      <c r="AM2477" s="164"/>
    </row>
    <row r="2478" spans="1:39" s="171" customFormat="1" ht="15.75" x14ac:dyDescent="0.2">
      <c r="A2478" s="259"/>
      <c r="B2478" s="168"/>
      <c r="C2478" s="168"/>
      <c r="D2478" s="168"/>
      <c r="E2478" s="168"/>
      <c r="F2478" s="168"/>
      <c r="G2478" s="168"/>
      <c r="H2478" s="13" t="s">
        <v>865</v>
      </c>
      <c r="I2478" s="169">
        <f>I2480+I2484</f>
        <v>105000</v>
      </c>
      <c r="J2478" s="169">
        <f>J2480+J2484</f>
        <v>18000</v>
      </c>
      <c r="K2478" s="169">
        <f t="shared" si="1350"/>
        <v>17.14</v>
      </c>
      <c r="L2478" s="169">
        <f>M2478-I2478</f>
        <v>-67000</v>
      </c>
      <c r="M2478" s="19">
        <f>M2480+M2484</f>
        <v>38000</v>
      </c>
      <c r="N2478" s="19">
        <f>N2480+N2484</f>
        <v>20000</v>
      </c>
      <c r="O2478" s="19">
        <f>O2480+O2484</f>
        <v>0</v>
      </c>
      <c r="P2478" s="303">
        <f>T2478-N2478</f>
        <v>0</v>
      </c>
      <c r="Q2478" s="19">
        <f t="shared" ref="Q2478:X2478" si="1352">Q2480+Q2484</f>
        <v>20000</v>
      </c>
      <c r="R2478" s="19">
        <f t="shared" si="1352"/>
        <v>20000</v>
      </c>
      <c r="S2478" s="19">
        <f t="shared" si="1352"/>
        <v>20000</v>
      </c>
      <c r="T2478" s="53">
        <f t="shared" si="1352"/>
        <v>20000</v>
      </c>
      <c r="U2478" s="53">
        <f>U2480+U2484</f>
        <v>20000</v>
      </c>
      <c r="V2478" s="19">
        <f t="shared" si="1352"/>
        <v>20000</v>
      </c>
      <c r="W2478" s="19">
        <f t="shared" si="1352"/>
        <v>20000</v>
      </c>
      <c r="X2478" s="19">
        <f t="shared" si="1352"/>
        <v>20000</v>
      </c>
      <c r="Y2478" s="19">
        <f>Y2480+Y2484</f>
        <v>0</v>
      </c>
      <c r="Z2478" s="19">
        <f t="shared" si="1331"/>
        <v>0</v>
      </c>
      <c r="AA2478" s="19">
        <f t="shared" si="1344"/>
        <v>0</v>
      </c>
      <c r="AB2478" s="19">
        <f>AB2480+AB2484</f>
        <v>20000</v>
      </c>
      <c r="AC2478" s="19">
        <f>AC2480+AC2484</f>
        <v>20000</v>
      </c>
      <c r="AD2478" s="19">
        <f t="shared" si="1327"/>
        <v>100</v>
      </c>
      <c r="AE2478" s="19">
        <f t="shared" si="1334"/>
        <v>0</v>
      </c>
      <c r="AF2478" s="19">
        <f>AF2480+AF2484</f>
        <v>20000</v>
      </c>
      <c r="AG2478" s="19">
        <f>AG2480+AG2484</f>
        <v>20000</v>
      </c>
      <c r="AH2478" s="19">
        <f>AH2480+AH2484</f>
        <v>20000</v>
      </c>
      <c r="AI2478" s="19">
        <f>AI2480+AI2484</f>
        <v>20000</v>
      </c>
      <c r="AJ2478" s="162" t="b">
        <f t="shared" si="1336"/>
        <v>1</v>
      </c>
      <c r="AK2478" s="162" t="str">
        <f t="shared" si="1337"/>
        <v>PRAZNO</v>
      </c>
      <c r="AL2478" s="170"/>
      <c r="AM2478" s="164"/>
    </row>
    <row r="2479" spans="1:39" s="264" customFormat="1" ht="15.75" x14ac:dyDescent="0.2">
      <c r="A2479" s="259"/>
      <c r="B2479" s="260"/>
      <c r="C2479" s="260"/>
      <c r="D2479" s="260"/>
      <c r="E2479" s="260"/>
      <c r="F2479" s="260"/>
      <c r="G2479" s="260"/>
      <c r="H2479" s="440" t="s">
        <v>824</v>
      </c>
      <c r="I2479" s="181"/>
      <c r="J2479" s="181"/>
      <c r="K2479" s="181"/>
      <c r="L2479" s="181"/>
      <c r="M2479" s="262"/>
      <c r="N2479" s="262"/>
      <c r="O2479" s="262"/>
      <c r="P2479" s="445"/>
      <c r="Q2479" s="262"/>
      <c r="R2479" s="262"/>
      <c r="S2479" s="262"/>
      <c r="T2479" s="342"/>
      <c r="U2479" s="342"/>
      <c r="V2479" s="262">
        <f>V2480</f>
        <v>20000</v>
      </c>
      <c r="W2479" s="262">
        <f>W2480</f>
        <v>20000</v>
      </c>
      <c r="X2479" s="262">
        <f>X2480</f>
        <v>20000</v>
      </c>
      <c r="Y2479" s="262">
        <f>Y2480</f>
        <v>0</v>
      </c>
      <c r="Z2479" s="262">
        <f t="shared" si="1331"/>
        <v>0</v>
      </c>
      <c r="AA2479" s="262">
        <f t="shared" si="1344"/>
        <v>0</v>
      </c>
      <c r="AB2479" s="262">
        <f>AB2480</f>
        <v>20000</v>
      </c>
      <c r="AC2479" s="262">
        <f>AC2480</f>
        <v>20000</v>
      </c>
      <c r="AD2479" s="262">
        <f t="shared" si="1327"/>
        <v>100</v>
      </c>
      <c r="AE2479" s="262">
        <f t="shared" si="1334"/>
        <v>0</v>
      </c>
      <c r="AF2479" s="262">
        <f>AF2480</f>
        <v>20000</v>
      </c>
      <c r="AG2479" s="262">
        <f>AG2480</f>
        <v>20000</v>
      </c>
      <c r="AH2479" s="262">
        <f>AH2480</f>
        <v>20000</v>
      </c>
      <c r="AI2479" s="262">
        <f>AI2480</f>
        <v>20000</v>
      </c>
      <c r="AJ2479" s="162" t="b">
        <f t="shared" si="1336"/>
        <v>1</v>
      </c>
      <c r="AK2479" s="162" t="str">
        <f t="shared" si="1337"/>
        <v>PRAZNO</v>
      </c>
      <c r="AL2479" s="263"/>
    </row>
    <row r="2480" spans="1:39" s="174" customFormat="1" ht="15.75" x14ac:dyDescent="0.2">
      <c r="A2480" s="259"/>
      <c r="B2480" s="172">
        <v>3</v>
      </c>
      <c r="C2480" s="172"/>
      <c r="D2480" s="172"/>
      <c r="E2480" s="172"/>
      <c r="F2480" s="172"/>
      <c r="G2480" s="172"/>
      <c r="H2480" s="14" t="s">
        <v>524</v>
      </c>
      <c r="I2480" s="20">
        <f>I2481</f>
        <v>20000</v>
      </c>
      <c r="J2480" s="20">
        <f>J2481</f>
        <v>0</v>
      </c>
      <c r="K2480" s="20">
        <f t="shared" si="1350"/>
        <v>0</v>
      </c>
      <c r="L2480" s="20">
        <f>M2480-I2480</f>
        <v>0</v>
      </c>
      <c r="M2480" s="20">
        <f>M2481</f>
        <v>20000</v>
      </c>
      <c r="N2480" s="20">
        <f>N2481</f>
        <v>20000</v>
      </c>
      <c r="O2480" s="20">
        <f>O2481</f>
        <v>0</v>
      </c>
      <c r="P2480" s="55">
        <f t="shared" ref="P2480:P2488" si="1353">T2480-N2480</f>
        <v>0</v>
      </c>
      <c r="Q2480" s="20">
        <f t="shared" ref="Q2480:AI2480" si="1354">Q2481</f>
        <v>20000</v>
      </c>
      <c r="R2480" s="20">
        <f t="shared" si="1354"/>
        <v>20000</v>
      </c>
      <c r="S2480" s="20">
        <f t="shared" si="1354"/>
        <v>20000</v>
      </c>
      <c r="T2480" s="55">
        <f t="shared" si="1354"/>
        <v>20000</v>
      </c>
      <c r="U2480" s="55">
        <f t="shared" si="1354"/>
        <v>20000</v>
      </c>
      <c r="V2480" s="20">
        <f t="shared" si="1354"/>
        <v>20000</v>
      </c>
      <c r="W2480" s="20">
        <f t="shared" si="1354"/>
        <v>20000</v>
      </c>
      <c r="X2480" s="20">
        <f t="shared" si="1354"/>
        <v>20000</v>
      </c>
      <c r="Y2480" s="20">
        <f t="shared" si="1354"/>
        <v>0</v>
      </c>
      <c r="Z2480" s="20">
        <f t="shared" si="1331"/>
        <v>0</v>
      </c>
      <c r="AA2480" s="20">
        <f t="shared" si="1344"/>
        <v>0</v>
      </c>
      <c r="AB2480" s="20">
        <f t="shared" si="1354"/>
        <v>20000</v>
      </c>
      <c r="AC2480" s="20">
        <f t="shared" si="1354"/>
        <v>20000</v>
      </c>
      <c r="AD2480" s="20">
        <f t="shared" ref="AD2480:AD2541" si="1355">AC2480/AB2480*100</f>
        <v>100</v>
      </c>
      <c r="AE2480" s="20">
        <f t="shared" si="1334"/>
        <v>0</v>
      </c>
      <c r="AF2480" s="20">
        <f t="shared" si="1354"/>
        <v>20000</v>
      </c>
      <c r="AG2480" s="20">
        <f t="shared" si="1354"/>
        <v>20000</v>
      </c>
      <c r="AH2480" s="20">
        <f t="shared" si="1354"/>
        <v>20000</v>
      </c>
      <c r="AI2480" s="20">
        <f t="shared" si="1354"/>
        <v>20000</v>
      </c>
      <c r="AJ2480" s="162" t="b">
        <f t="shared" si="1336"/>
        <v>1</v>
      </c>
      <c r="AK2480" s="162" t="str">
        <f t="shared" si="1337"/>
        <v>PRAZNO</v>
      </c>
      <c r="AL2480" s="173"/>
      <c r="AM2480" s="164"/>
    </row>
    <row r="2481" spans="1:39" s="644" customFormat="1" ht="15.75" x14ac:dyDescent="0.2">
      <c r="A2481" s="633"/>
      <c r="B2481" s="175"/>
      <c r="C2481" s="175">
        <v>38</v>
      </c>
      <c r="D2481" s="175"/>
      <c r="E2481" s="175"/>
      <c r="F2481" s="640"/>
      <c r="G2481" s="640"/>
      <c r="H2481" s="15" t="s">
        <v>539</v>
      </c>
      <c r="I2481" s="645">
        <f t="shared" ref="I2481:AI2482" si="1356">I2482</f>
        <v>20000</v>
      </c>
      <c r="J2481" s="645">
        <f t="shared" si="1356"/>
        <v>0</v>
      </c>
      <c r="K2481" s="645">
        <f t="shared" si="1350"/>
        <v>0</v>
      </c>
      <c r="L2481" s="645">
        <f>M2481-I2481</f>
        <v>0</v>
      </c>
      <c r="M2481" s="645">
        <f t="shared" si="1356"/>
        <v>20000</v>
      </c>
      <c r="N2481" s="645">
        <f t="shared" si="1356"/>
        <v>20000</v>
      </c>
      <c r="O2481" s="645">
        <f t="shared" si="1356"/>
        <v>0</v>
      </c>
      <c r="P2481" s="38">
        <f t="shared" si="1353"/>
        <v>0</v>
      </c>
      <c r="Q2481" s="645">
        <f t="shared" si="1356"/>
        <v>20000</v>
      </c>
      <c r="R2481" s="645">
        <f t="shared" si="1356"/>
        <v>20000</v>
      </c>
      <c r="S2481" s="645">
        <f t="shared" si="1356"/>
        <v>20000</v>
      </c>
      <c r="T2481" s="646">
        <f t="shared" si="1356"/>
        <v>20000</v>
      </c>
      <c r="U2481" s="646">
        <f t="shared" si="1356"/>
        <v>20000</v>
      </c>
      <c r="V2481" s="645">
        <f t="shared" si="1356"/>
        <v>20000</v>
      </c>
      <c r="W2481" s="645">
        <f t="shared" si="1356"/>
        <v>20000</v>
      </c>
      <c r="X2481" s="645">
        <f t="shared" si="1356"/>
        <v>20000</v>
      </c>
      <c r="Y2481" s="645">
        <f t="shared" si="1356"/>
        <v>0</v>
      </c>
      <c r="Z2481" s="645">
        <f t="shared" si="1331"/>
        <v>0</v>
      </c>
      <c r="AA2481" s="645">
        <f t="shared" si="1344"/>
        <v>0</v>
      </c>
      <c r="AB2481" s="645">
        <f t="shared" si="1356"/>
        <v>20000</v>
      </c>
      <c r="AC2481" s="645">
        <f t="shared" si="1356"/>
        <v>20000</v>
      </c>
      <c r="AD2481" s="645">
        <f t="shared" si="1355"/>
        <v>100</v>
      </c>
      <c r="AE2481" s="645">
        <f t="shared" si="1334"/>
        <v>0</v>
      </c>
      <c r="AF2481" s="645">
        <f t="shared" si="1356"/>
        <v>20000</v>
      </c>
      <c r="AG2481" s="645">
        <f t="shared" si="1356"/>
        <v>20000</v>
      </c>
      <c r="AH2481" s="645">
        <f t="shared" si="1356"/>
        <v>20000</v>
      </c>
      <c r="AI2481" s="645">
        <f t="shared" si="1356"/>
        <v>20000</v>
      </c>
      <c r="AJ2481" s="162" t="b">
        <f t="shared" si="1336"/>
        <v>1</v>
      </c>
      <c r="AK2481" s="162" t="str">
        <f t="shared" si="1337"/>
        <v>PRAZNO</v>
      </c>
      <c r="AL2481" s="643"/>
      <c r="AM2481" s="647"/>
    </row>
    <row r="2482" spans="1:39" ht="15.75" x14ac:dyDescent="0.2">
      <c r="B2482" s="177"/>
      <c r="C2482" s="177"/>
      <c r="D2482" s="177">
        <v>381</v>
      </c>
      <c r="E2482" s="177"/>
      <c r="F2482" s="176"/>
      <c r="G2482" s="176"/>
      <c r="H2482" s="16" t="s">
        <v>540</v>
      </c>
      <c r="I2482" s="18">
        <f t="shared" si="1356"/>
        <v>20000</v>
      </c>
      <c r="J2482" s="18">
        <f t="shared" si="1356"/>
        <v>0</v>
      </c>
      <c r="K2482" s="18">
        <f t="shared" si="1350"/>
        <v>0</v>
      </c>
      <c r="L2482" s="18">
        <f>M2482-I2482</f>
        <v>0</v>
      </c>
      <c r="M2482" s="18">
        <f t="shared" si="1356"/>
        <v>20000</v>
      </c>
      <c r="N2482" s="18">
        <f t="shared" si="1356"/>
        <v>20000</v>
      </c>
      <c r="O2482" s="18">
        <f t="shared" si="1356"/>
        <v>0</v>
      </c>
      <c r="P2482" s="26">
        <f t="shared" si="1353"/>
        <v>0</v>
      </c>
      <c r="Q2482" s="18">
        <f t="shared" si="1356"/>
        <v>20000</v>
      </c>
      <c r="R2482" s="18">
        <f t="shared" si="1356"/>
        <v>20000</v>
      </c>
      <c r="S2482" s="18">
        <f t="shared" si="1356"/>
        <v>20000</v>
      </c>
      <c r="T2482" s="27">
        <f t="shared" si="1356"/>
        <v>20000</v>
      </c>
      <c r="U2482" s="27">
        <f t="shared" si="1356"/>
        <v>20000</v>
      </c>
      <c r="V2482" s="18">
        <f t="shared" si="1356"/>
        <v>20000</v>
      </c>
      <c r="W2482" s="18">
        <f t="shared" si="1356"/>
        <v>20000</v>
      </c>
      <c r="X2482" s="18">
        <f t="shared" si="1356"/>
        <v>20000</v>
      </c>
      <c r="Y2482" s="18">
        <f t="shared" si="1356"/>
        <v>0</v>
      </c>
      <c r="Z2482" s="18">
        <f t="shared" si="1331"/>
        <v>0</v>
      </c>
      <c r="AA2482" s="18">
        <f t="shared" si="1344"/>
        <v>0</v>
      </c>
      <c r="AB2482" s="18">
        <f t="shared" si="1356"/>
        <v>20000</v>
      </c>
      <c r="AC2482" s="18">
        <f t="shared" si="1356"/>
        <v>20000</v>
      </c>
      <c r="AD2482" s="18">
        <f t="shared" si="1355"/>
        <v>100</v>
      </c>
      <c r="AE2482" s="18">
        <f t="shared" si="1334"/>
        <v>0</v>
      </c>
      <c r="AF2482" s="18">
        <f t="shared" si="1356"/>
        <v>20000</v>
      </c>
      <c r="AG2482" s="18">
        <f t="shared" si="1356"/>
        <v>20000</v>
      </c>
      <c r="AH2482" s="18">
        <f t="shared" si="1356"/>
        <v>20000</v>
      </c>
      <c r="AI2482" s="18">
        <f t="shared" si="1356"/>
        <v>20000</v>
      </c>
      <c r="AJ2482" s="162" t="b">
        <f t="shared" si="1336"/>
        <v>1</v>
      </c>
      <c r="AK2482" s="162" t="str">
        <f t="shared" si="1337"/>
        <v>PRAZNO</v>
      </c>
      <c r="AM2482" s="164"/>
    </row>
    <row r="2483" spans="1:39" ht="30" x14ac:dyDescent="0.2">
      <c r="B2483" s="177"/>
      <c r="C2483" s="177"/>
      <c r="D2483" s="177"/>
      <c r="E2483" s="177">
        <v>3811</v>
      </c>
      <c r="F2483" s="176">
        <v>11</v>
      </c>
      <c r="G2483" s="176"/>
      <c r="H2483" s="16" t="s">
        <v>484</v>
      </c>
      <c r="I2483" s="18">
        <v>20000</v>
      </c>
      <c r="J2483" s="18">
        <v>0</v>
      </c>
      <c r="K2483" s="18">
        <f t="shared" si="1350"/>
        <v>0</v>
      </c>
      <c r="L2483" s="18">
        <f>M2483-I2483</f>
        <v>0</v>
      </c>
      <c r="M2483" s="18">
        <v>20000</v>
      </c>
      <c r="N2483" s="18">
        <v>20000</v>
      </c>
      <c r="O2483" s="18">
        <v>0</v>
      </c>
      <c r="P2483" s="26">
        <f t="shared" si="1353"/>
        <v>0</v>
      </c>
      <c r="Q2483" s="18">
        <v>20000</v>
      </c>
      <c r="R2483" s="18">
        <v>20000</v>
      </c>
      <c r="S2483" s="18">
        <v>20000</v>
      </c>
      <c r="T2483" s="27">
        <v>20000</v>
      </c>
      <c r="U2483" s="27">
        <v>20000</v>
      </c>
      <c r="V2483" s="27">
        <v>20000</v>
      </c>
      <c r="W2483" s="27">
        <v>20000</v>
      </c>
      <c r="X2483" s="27">
        <v>20000</v>
      </c>
      <c r="Y2483" s="27">
        <v>0</v>
      </c>
      <c r="Z2483" s="27">
        <f t="shared" si="1331"/>
        <v>0</v>
      </c>
      <c r="AA2483" s="27">
        <f t="shared" si="1344"/>
        <v>0</v>
      </c>
      <c r="AB2483" s="27">
        <v>20000</v>
      </c>
      <c r="AC2483" s="27">
        <v>20000</v>
      </c>
      <c r="AD2483" s="27">
        <f t="shared" si="1355"/>
        <v>100</v>
      </c>
      <c r="AE2483" s="27">
        <f t="shared" si="1334"/>
        <v>0</v>
      </c>
      <c r="AF2483" s="27">
        <v>20000</v>
      </c>
      <c r="AG2483" s="27">
        <v>20000</v>
      </c>
      <c r="AH2483" s="27">
        <v>20000</v>
      </c>
      <c r="AI2483" s="27">
        <v>20000</v>
      </c>
      <c r="AJ2483" s="162" t="b">
        <f t="shared" si="1336"/>
        <v>0</v>
      </c>
      <c r="AK2483" s="162" t="str">
        <f t="shared" si="1337"/>
        <v>PUNO</v>
      </c>
      <c r="AM2483" s="164"/>
    </row>
    <row r="2484" spans="1:39" s="174" customFormat="1" ht="15.75" x14ac:dyDescent="0.2">
      <c r="A2484" s="259"/>
      <c r="B2484" s="172">
        <v>5</v>
      </c>
      <c r="C2484" s="172"/>
      <c r="D2484" s="172"/>
      <c r="E2484" s="172"/>
      <c r="F2484" s="172"/>
      <c r="G2484" s="172"/>
      <c r="H2484" s="14" t="s">
        <v>415</v>
      </c>
      <c r="I2484" s="20">
        <f t="shared" ref="I2484:AI2486" si="1357">I2485</f>
        <v>85000</v>
      </c>
      <c r="J2484" s="20">
        <f t="shared" si="1357"/>
        <v>18000</v>
      </c>
      <c r="K2484" s="20">
        <f t="shared" si="1350"/>
        <v>21.18</v>
      </c>
      <c r="L2484" s="20">
        <f>M2484-I2484</f>
        <v>-67000</v>
      </c>
      <c r="M2484" s="20">
        <f t="shared" si="1357"/>
        <v>18000</v>
      </c>
      <c r="N2484" s="20">
        <f t="shared" si="1357"/>
        <v>0</v>
      </c>
      <c r="O2484" s="20">
        <f t="shared" si="1357"/>
        <v>0</v>
      </c>
      <c r="P2484" s="26">
        <f t="shared" si="1353"/>
        <v>0</v>
      </c>
      <c r="Q2484" s="20">
        <f t="shared" si="1357"/>
        <v>0</v>
      </c>
      <c r="R2484" s="20">
        <f t="shared" si="1357"/>
        <v>0</v>
      </c>
      <c r="S2484" s="20">
        <f t="shared" si="1357"/>
        <v>0</v>
      </c>
      <c r="T2484" s="55">
        <f t="shared" si="1357"/>
        <v>0</v>
      </c>
      <c r="U2484" s="55">
        <f t="shared" si="1357"/>
        <v>0</v>
      </c>
      <c r="V2484" s="20">
        <f t="shared" si="1357"/>
        <v>0</v>
      </c>
      <c r="W2484" s="20">
        <f t="shared" si="1357"/>
        <v>0</v>
      </c>
      <c r="X2484" s="20">
        <f t="shared" si="1357"/>
        <v>0</v>
      </c>
      <c r="Y2484" s="20">
        <f t="shared" si="1357"/>
        <v>0</v>
      </c>
      <c r="Z2484" s="20" t="e">
        <f t="shared" si="1331"/>
        <v>#DIV/0!</v>
      </c>
      <c r="AA2484" s="20">
        <f t="shared" si="1344"/>
        <v>0</v>
      </c>
      <c r="AB2484" s="20">
        <f t="shared" si="1357"/>
        <v>0</v>
      </c>
      <c r="AC2484" s="20">
        <f t="shared" si="1357"/>
        <v>0</v>
      </c>
      <c r="AD2484" s="20" t="e">
        <f t="shared" si="1355"/>
        <v>#DIV/0!</v>
      </c>
      <c r="AE2484" s="20">
        <f t="shared" si="1334"/>
        <v>0</v>
      </c>
      <c r="AF2484" s="20">
        <f t="shared" si="1357"/>
        <v>0</v>
      </c>
      <c r="AG2484" s="20">
        <f t="shared" si="1357"/>
        <v>0</v>
      </c>
      <c r="AH2484" s="20">
        <f t="shared" si="1357"/>
        <v>0</v>
      </c>
      <c r="AI2484" s="20">
        <f t="shared" si="1357"/>
        <v>0</v>
      </c>
      <c r="AJ2484" s="162" t="b">
        <f t="shared" si="1336"/>
        <v>1</v>
      </c>
      <c r="AK2484" s="162" t="str">
        <f t="shared" si="1337"/>
        <v>PRAZNO</v>
      </c>
      <c r="AL2484" s="173"/>
      <c r="AM2484" s="164"/>
    </row>
    <row r="2485" spans="1:39" ht="15.75" x14ac:dyDescent="0.2">
      <c r="B2485" s="175"/>
      <c r="C2485" s="175">
        <v>51</v>
      </c>
      <c r="D2485" s="175"/>
      <c r="E2485" s="175"/>
      <c r="F2485" s="175"/>
      <c r="G2485" s="175"/>
      <c r="H2485" s="15" t="s">
        <v>750</v>
      </c>
      <c r="I2485" s="22">
        <f t="shared" si="1357"/>
        <v>85000</v>
      </c>
      <c r="J2485" s="22">
        <f t="shared" si="1357"/>
        <v>18000</v>
      </c>
      <c r="K2485" s="22">
        <f t="shared" si="1350"/>
        <v>21.18</v>
      </c>
      <c r="L2485" s="22">
        <f t="shared" ref="L2485:L2592" si="1358">M2485-I2485</f>
        <v>-67000</v>
      </c>
      <c r="M2485" s="22">
        <f t="shared" si="1357"/>
        <v>18000</v>
      </c>
      <c r="N2485" s="22">
        <f t="shared" si="1357"/>
        <v>0</v>
      </c>
      <c r="O2485" s="22">
        <f t="shared" si="1357"/>
        <v>0</v>
      </c>
      <c r="P2485" s="26">
        <f t="shared" si="1353"/>
        <v>0</v>
      </c>
      <c r="Q2485" s="22">
        <f t="shared" si="1357"/>
        <v>0</v>
      </c>
      <c r="R2485" s="22">
        <f t="shared" si="1357"/>
        <v>0</v>
      </c>
      <c r="S2485" s="22">
        <f t="shared" si="1357"/>
        <v>0</v>
      </c>
      <c r="T2485" s="38">
        <f t="shared" si="1357"/>
        <v>0</v>
      </c>
      <c r="U2485" s="38">
        <f t="shared" si="1357"/>
        <v>0</v>
      </c>
      <c r="V2485" s="22">
        <f t="shared" si="1357"/>
        <v>0</v>
      </c>
      <c r="W2485" s="22">
        <f t="shared" si="1357"/>
        <v>0</v>
      </c>
      <c r="X2485" s="22">
        <f t="shared" si="1357"/>
        <v>0</v>
      </c>
      <c r="Y2485" s="22">
        <f t="shared" si="1357"/>
        <v>0</v>
      </c>
      <c r="Z2485" s="22" t="e">
        <f t="shared" si="1331"/>
        <v>#DIV/0!</v>
      </c>
      <c r="AA2485" s="22">
        <f t="shared" si="1344"/>
        <v>0</v>
      </c>
      <c r="AB2485" s="22">
        <f t="shared" si="1357"/>
        <v>0</v>
      </c>
      <c r="AC2485" s="22">
        <f t="shared" si="1357"/>
        <v>0</v>
      </c>
      <c r="AD2485" s="22" t="e">
        <f t="shared" si="1355"/>
        <v>#DIV/0!</v>
      </c>
      <c r="AE2485" s="22">
        <f t="shared" si="1334"/>
        <v>0</v>
      </c>
      <c r="AF2485" s="22">
        <f t="shared" si="1357"/>
        <v>0</v>
      </c>
      <c r="AG2485" s="22">
        <f t="shared" si="1357"/>
        <v>0</v>
      </c>
      <c r="AH2485" s="22">
        <f t="shared" si="1357"/>
        <v>0</v>
      </c>
      <c r="AI2485" s="22">
        <f t="shared" si="1357"/>
        <v>0</v>
      </c>
      <c r="AJ2485" s="162" t="b">
        <f t="shared" si="1336"/>
        <v>1</v>
      </c>
      <c r="AK2485" s="162" t="str">
        <f t="shared" si="1337"/>
        <v>PRAZNO</v>
      </c>
      <c r="AM2485" s="164"/>
    </row>
    <row r="2486" spans="1:39" ht="30" x14ac:dyDescent="0.2">
      <c r="B2486" s="177"/>
      <c r="C2486" s="177"/>
      <c r="D2486" s="177">
        <v>512</v>
      </c>
      <c r="E2486" s="177"/>
      <c r="F2486" s="177"/>
      <c r="G2486" s="177"/>
      <c r="H2486" s="16" t="s">
        <v>485</v>
      </c>
      <c r="I2486" s="17">
        <f t="shared" si="1357"/>
        <v>85000</v>
      </c>
      <c r="J2486" s="17">
        <f t="shared" si="1357"/>
        <v>18000</v>
      </c>
      <c r="K2486" s="17">
        <f t="shared" si="1350"/>
        <v>21.18</v>
      </c>
      <c r="L2486" s="17">
        <f t="shared" si="1358"/>
        <v>-67000</v>
      </c>
      <c r="M2486" s="17">
        <f t="shared" si="1357"/>
        <v>18000</v>
      </c>
      <c r="N2486" s="17">
        <f t="shared" si="1357"/>
        <v>0</v>
      </c>
      <c r="O2486" s="17">
        <f t="shared" si="1357"/>
        <v>0</v>
      </c>
      <c r="P2486" s="26">
        <f t="shared" si="1353"/>
        <v>0</v>
      </c>
      <c r="Q2486" s="17">
        <f t="shared" si="1357"/>
        <v>0</v>
      </c>
      <c r="R2486" s="17">
        <f t="shared" si="1357"/>
        <v>0</v>
      </c>
      <c r="S2486" s="17">
        <f t="shared" si="1357"/>
        <v>0</v>
      </c>
      <c r="T2486" s="26">
        <f t="shared" si="1357"/>
        <v>0</v>
      </c>
      <c r="U2486" s="26">
        <f t="shared" si="1357"/>
        <v>0</v>
      </c>
      <c r="V2486" s="17">
        <f t="shared" si="1357"/>
        <v>0</v>
      </c>
      <c r="W2486" s="17">
        <f t="shared" si="1357"/>
        <v>0</v>
      </c>
      <c r="X2486" s="17">
        <f t="shared" si="1357"/>
        <v>0</v>
      </c>
      <c r="Y2486" s="17">
        <f t="shared" si="1357"/>
        <v>0</v>
      </c>
      <c r="Z2486" s="17" t="e">
        <f t="shared" si="1331"/>
        <v>#DIV/0!</v>
      </c>
      <c r="AA2486" s="17">
        <f t="shared" si="1344"/>
        <v>0</v>
      </c>
      <c r="AB2486" s="17">
        <f t="shared" si="1357"/>
        <v>0</v>
      </c>
      <c r="AC2486" s="17">
        <f t="shared" si="1357"/>
        <v>0</v>
      </c>
      <c r="AD2486" s="17" t="e">
        <f t="shared" si="1355"/>
        <v>#DIV/0!</v>
      </c>
      <c r="AE2486" s="17">
        <f t="shared" si="1334"/>
        <v>0</v>
      </c>
      <c r="AF2486" s="17">
        <f t="shared" si="1357"/>
        <v>0</v>
      </c>
      <c r="AG2486" s="17">
        <f t="shared" si="1357"/>
        <v>0</v>
      </c>
      <c r="AH2486" s="17">
        <f t="shared" si="1357"/>
        <v>0</v>
      </c>
      <c r="AI2486" s="17">
        <f t="shared" si="1357"/>
        <v>0</v>
      </c>
      <c r="AJ2486" s="162" t="b">
        <f t="shared" si="1336"/>
        <v>1</v>
      </c>
      <c r="AK2486" s="162" t="str">
        <f t="shared" si="1337"/>
        <v>PRAZNO</v>
      </c>
      <c r="AM2486" s="164"/>
    </row>
    <row r="2487" spans="1:39" ht="42.75" customHeight="1" x14ac:dyDescent="0.2">
      <c r="B2487" s="177"/>
      <c r="C2487" s="177"/>
      <c r="D2487" s="177"/>
      <c r="E2487" s="177">
        <v>5121</v>
      </c>
      <c r="F2487" s="176">
        <v>18</v>
      </c>
      <c r="G2487" s="176"/>
      <c r="H2487" s="16" t="s">
        <v>952</v>
      </c>
      <c r="I2487" s="18">
        <v>85000</v>
      </c>
      <c r="J2487" s="18">
        <v>18000</v>
      </c>
      <c r="K2487" s="18">
        <f t="shared" si="1350"/>
        <v>21.18</v>
      </c>
      <c r="L2487" s="18">
        <f t="shared" si="1358"/>
        <v>-67000</v>
      </c>
      <c r="M2487" s="18">
        <v>18000</v>
      </c>
      <c r="N2487" s="18">
        <v>0</v>
      </c>
      <c r="O2487" s="18">
        <v>0</v>
      </c>
      <c r="P2487" s="26">
        <f t="shared" si="1353"/>
        <v>0</v>
      </c>
      <c r="Q2487" s="18">
        <v>0</v>
      </c>
      <c r="R2487" s="18">
        <v>0</v>
      </c>
      <c r="S2487" s="18">
        <v>0</v>
      </c>
      <c r="T2487" s="27"/>
      <c r="U2487" s="27"/>
      <c r="V2487" s="18"/>
      <c r="W2487" s="18"/>
      <c r="X2487" s="18"/>
      <c r="Y2487" s="18"/>
      <c r="Z2487" s="18" t="e">
        <f t="shared" si="1331"/>
        <v>#DIV/0!</v>
      </c>
      <c r="AA2487" s="18">
        <f t="shared" si="1344"/>
        <v>0</v>
      </c>
      <c r="AB2487" s="18"/>
      <c r="AC2487" s="18"/>
      <c r="AD2487" s="18" t="e">
        <f t="shared" si="1355"/>
        <v>#DIV/0!</v>
      </c>
      <c r="AE2487" s="18">
        <f t="shared" si="1334"/>
        <v>0</v>
      </c>
      <c r="AF2487" s="18"/>
      <c r="AG2487" s="18"/>
      <c r="AH2487" s="18"/>
      <c r="AI2487" s="18"/>
      <c r="AJ2487" s="162" t="b">
        <f t="shared" si="1336"/>
        <v>0</v>
      </c>
      <c r="AK2487" s="162" t="str">
        <f t="shared" si="1337"/>
        <v>PUNO</v>
      </c>
      <c r="AM2487" s="164"/>
    </row>
    <row r="2488" spans="1:39" s="171" customFormat="1" ht="31.5" x14ac:dyDescent="0.2">
      <c r="A2488" s="259"/>
      <c r="B2488" s="168"/>
      <c r="C2488" s="168"/>
      <c r="D2488" s="168"/>
      <c r="E2488" s="168"/>
      <c r="F2488" s="168"/>
      <c r="G2488" s="168"/>
      <c r="H2488" s="13" t="s">
        <v>866</v>
      </c>
      <c r="I2488" s="169">
        <f>I2490</f>
        <v>450000</v>
      </c>
      <c r="J2488" s="169">
        <f>J2490</f>
        <v>441167.46</v>
      </c>
      <c r="K2488" s="169">
        <f t="shared" si="1350"/>
        <v>98.04</v>
      </c>
      <c r="L2488" s="169">
        <f t="shared" si="1358"/>
        <v>181515.77000000002</v>
      </c>
      <c r="M2488" s="19">
        <f>M2490</f>
        <v>631515.77</v>
      </c>
      <c r="N2488" s="19">
        <f>N2490</f>
        <v>800000</v>
      </c>
      <c r="O2488" s="19">
        <f>O2490</f>
        <v>543204.78</v>
      </c>
      <c r="P2488" s="303">
        <f t="shared" si="1353"/>
        <v>200000</v>
      </c>
      <c r="Q2488" s="19">
        <f t="shared" ref="Q2488:X2488" si="1359">Q2490</f>
        <v>800000</v>
      </c>
      <c r="R2488" s="19">
        <f t="shared" si="1359"/>
        <v>760000</v>
      </c>
      <c r="S2488" s="19">
        <f t="shared" si="1359"/>
        <v>890000</v>
      </c>
      <c r="T2488" s="53">
        <f t="shared" si="1359"/>
        <v>1000000</v>
      </c>
      <c r="U2488" s="53">
        <f>U2490</f>
        <v>1023378.24</v>
      </c>
      <c r="V2488" s="19">
        <f t="shared" si="1359"/>
        <v>1400000</v>
      </c>
      <c r="W2488" s="19">
        <f t="shared" si="1359"/>
        <v>1500000</v>
      </c>
      <c r="X2488" s="19">
        <f t="shared" si="1359"/>
        <v>2000000</v>
      </c>
      <c r="Y2488" s="19">
        <f>Y2490</f>
        <v>470581.56</v>
      </c>
      <c r="Z2488" s="19">
        <f t="shared" ref="Z2488:Z2494" si="1360">ROUND(Y2488/V2488*100,2)</f>
        <v>33.61</v>
      </c>
      <c r="AA2488" s="19">
        <f t="shared" si="1344"/>
        <v>0</v>
      </c>
      <c r="AB2488" s="19">
        <f>AB2490</f>
        <v>1400000</v>
      </c>
      <c r="AC2488" s="19">
        <f>AC2490</f>
        <v>893065.64</v>
      </c>
      <c r="AD2488" s="19">
        <f t="shared" si="1355"/>
        <v>63.790402857142858</v>
      </c>
      <c r="AE2488" s="19">
        <f t="shared" si="1334"/>
        <v>0</v>
      </c>
      <c r="AF2488" s="19">
        <f>AF2490</f>
        <v>1400000</v>
      </c>
      <c r="AG2488" s="19">
        <f>AG2490</f>
        <v>1805000</v>
      </c>
      <c r="AH2488" s="19">
        <f>AH2490</f>
        <v>2425000</v>
      </c>
      <c r="AI2488" s="19">
        <f>AI2490</f>
        <v>3235000</v>
      </c>
      <c r="AJ2488" s="162" t="b">
        <f t="shared" si="1336"/>
        <v>1</v>
      </c>
      <c r="AK2488" s="162" t="str">
        <f t="shared" si="1337"/>
        <v>PRAZNO</v>
      </c>
      <c r="AL2488" s="170"/>
      <c r="AM2488" s="164"/>
    </row>
    <row r="2489" spans="1:39" s="264" customFormat="1" ht="15.75" x14ac:dyDescent="0.2">
      <c r="A2489" s="259"/>
      <c r="B2489" s="260"/>
      <c r="C2489" s="260"/>
      <c r="D2489" s="260"/>
      <c r="E2489" s="260"/>
      <c r="F2489" s="260"/>
      <c r="G2489" s="260"/>
      <c r="H2489" s="440" t="s">
        <v>824</v>
      </c>
      <c r="I2489" s="181"/>
      <c r="J2489" s="181"/>
      <c r="K2489" s="181"/>
      <c r="L2489" s="181"/>
      <c r="M2489" s="262"/>
      <c r="N2489" s="262"/>
      <c r="O2489" s="262"/>
      <c r="P2489" s="445"/>
      <c r="Q2489" s="262"/>
      <c r="R2489" s="262"/>
      <c r="S2489" s="262"/>
      <c r="T2489" s="342"/>
      <c r="U2489" s="342"/>
      <c r="V2489" s="262">
        <f>V2490</f>
        <v>1400000</v>
      </c>
      <c r="W2489" s="262">
        <f>W2490</f>
        <v>1500000</v>
      </c>
      <c r="X2489" s="262">
        <f>X2490</f>
        <v>2000000</v>
      </c>
      <c r="Y2489" s="262">
        <f>Y2490</f>
        <v>470581.56</v>
      </c>
      <c r="Z2489" s="262">
        <f t="shared" si="1360"/>
        <v>33.61</v>
      </c>
      <c r="AA2489" s="262">
        <f t="shared" si="1344"/>
        <v>0</v>
      </c>
      <c r="AB2489" s="262">
        <f>AB2490</f>
        <v>1400000</v>
      </c>
      <c r="AC2489" s="262">
        <f>AC2490</f>
        <v>893065.64</v>
      </c>
      <c r="AD2489" s="262">
        <f t="shared" si="1355"/>
        <v>63.790402857142858</v>
      </c>
      <c r="AE2489" s="262">
        <f t="shared" si="1334"/>
        <v>0</v>
      </c>
      <c r="AF2489" s="262">
        <f>AF2490</f>
        <v>1400000</v>
      </c>
      <c r="AG2489" s="262">
        <f>AG2490</f>
        <v>1805000</v>
      </c>
      <c r="AH2489" s="262">
        <f>AH2490</f>
        <v>2425000</v>
      </c>
      <c r="AI2489" s="262">
        <f>AI2490</f>
        <v>3235000</v>
      </c>
      <c r="AJ2489" s="162" t="b">
        <f t="shared" si="1336"/>
        <v>1</v>
      </c>
      <c r="AK2489" s="162" t="str">
        <f t="shared" si="1337"/>
        <v>PRAZNO</v>
      </c>
      <c r="AL2489" s="263"/>
    </row>
    <row r="2490" spans="1:39" s="174" customFormat="1" ht="15.75" x14ac:dyDescent="0.2">
      <c r="A2490" s="259"/>
      <c r="B2490" s="172">
        <v>3</v>
      </c>
      <c r="C2490" s="172"/>
      <c r="D2490" s="172"/>
      <c r="E2490" s="172"/>
      <c r="F2490" s="172"/>
      <c r="G2490" s="172"/>
      <c r="H2490" s="14" t="s">
        <v>524</v>
      </c>
      <c r="I2490" s="20">
        <f t="shared" ref="I2490:AI2491" si="1361">I2491</f>
        <v>450000</v>
      </c>
      <c r="J2490" s="20">
        <f t="shared" si="1361"/>
        <v>441167.46</v>
      </c>
      <c r="K2490" s="20">
        <f t="shared" si="1350"/>
        <v>98.04</v>
      </c>
      <c r="L2490" s="20">
        <f t="shared" si="1358"/>
        <v>181515.77000000002</v>
      </c>
      <c r="M2490" s="20">
        <f t="shared" si="1361"/>
        <v>631515.77</v>
      </c>
      <c r="N2490" s="20">
        <f t="shared" si="1361"/>
        <v>800000</v>
      </c>
      <c r="O2490" s="20">
        <f t="shared" si="1361"/>
        <v>543204.78</v>
      </c>
      <c r="P2490" s="55">
        <f t="shared" ref="P2490:P2496" si="1362">T2490-N2490</f>
        <v>200000</v>
      </c>
      <c r="Q2490" s="20">
        <f t="shared" si="1361"/>
        <v>800000</v>
      </c>
      <c r="R2490" s="20">
        <f t="shared" si="1361"/>
        <v>760000</v>
      </c>
      <c r="S2490" s="20">
        <f t="shared" si="1361"/>
        <v>890000</v>
      </c>
      <c r="T2490" s="55">
        <f t="shared" si="1361"/>
        <v>1000000</v>
      </c>
      <c r="U2490" s="55">
        <f t="shared" si="1361"/>
        <v>1023378.24</v>
      </c>
      <c r="V2490" s="20">
        <f t="shared" si="1361"/>
        <v>1400000</v>
      </c>
      <c r="W2490" s="20">
        <f t="shared" si="1361"/>
        <v>1500000</v>
      </c>
      <c r="X2490" s="20">
        <f t="shared" si="1361"/>
        <v>2000000</v>
      </c>
      <c r="Y2490" s="20">
        <f t="shared" si="1361"/>
        <v>470581.56</v>
      </c>
      <c r="Z2490" s="20">
        <f t="shared" si="1360"/>
        <v>33.61</v>
      </c>
      <c r="AA2490" s="20">
        <f t="shared" si="1344"/>
        <v>0</v>
      </c>
      <c r="AB2490" s="20">
        <f t="shared" si="1361"/>
        <v>1400000</v>
      </c>
      <c r="AC2490" s="20">
        <f t="shared" si="1361"/>
        <v>893065.64</v>
      </c>
      <c r="AD2490" s="20">
        <f t="shared" si="1355"/>
        <v>63.790402857142858</v>
      </c>
      <c r="AE2490" s="20">
        <f t="shared" si="1334"/>
        <v>0</v>
      </c>
      <c r="AF2490" s="20">
        <f t="shared" si="1361"/>
        <v>1400000</v>
      </c>
      <c r="AG2490" s="20">
        <f t="shared" si="1361"/>
        <v>1805000</v>
      </c>
      <c r="AH2490" s="20">
        <f t="shared" si="1361"/>
        <v>2425000</v>
      </c>
      <c r="AI2490" s="20">
        <f t="shared" si="1361"/>
        <v>3235000</v>
      </c>
      <c r="AJ2490" s="162" t="b">
        <f t="shared" si="1336"/>
        <v>1</v>
      </c>
      <c r="AK2490" s="162" t="str">
        <f t="shared" si="1337"/>
        <v>PRAZNO</v>
      </c>
      <c r="AL2490" s="173"/>
      <c r="AM2490" s="164"/>
    </row>
    <row r="2491" spans="1:39" s="644" customFormat="1" ht="15.75" x14ac:dyDescent="0.2">
      <c r="A2491" s="633"/>
      <c r="B2491" s="175"/>
      <c r="C2491" s="175">
        <v>35</v>
      </c>
      <c r="D2491" s="175"/>
      <c r="E2491" s="175"/>
      <c r="F2491" s="175"/>
      <c r="G2491" s="175"/>
      <c r="H2491" s="15" t="s">
        <v>747</v>
      </c>
      <c r="I2491" s="645">
        <f t="shared" si="1361"/>
        <v>450000</v>
      </c>
      <c r="J2491" s="645">
        <f t="shared" si="1361"/>
        <v>441167.46</v>
      </c>
      <c r="K2491" s="645">
        <f t="shared" si="1350"/>
        <v>98.04</v>
      </c>
      <c r="L2491" s="645">
        <f t="shared" si="1358"/>
        <v>181515.77000000002</v>
      </c>
      <c r="M2491" s="645">
        <f t="shared" si="1361"/>
        <v>631515.77</v>
      </c>
      <c r="N2491" s="645">
        <f t="shared" si="1361"/>
        <v>800000</v>
      </c>
      <c r="O2491" s="645">
        <f t="shared" si="1361"/>
        <v>543204.78</v>
      </c>
      <c r="P2491" s="38">
        <f t="shared" si="1362"/>
        <v>200000</v>
      </c>
      <c r="Q2491" s="645">
        <f t="shared" si="1361"/>
        <v>800000</v>
      </c>
      <c r="R2491" s="645">
        <f t="shared" si="1361"/>
        <v>760000</v>
      </c>
      <c r="S2491" s="645">
        <f t="shared" si="1361"/>
        <v>890000</v>
      </c>
      <c r="T2491" s="646">
        <f t="shared" si="1361"/>
        <v>1000000</v>
      </c>
      <c r="U2491" s="646">
        <f t="shared" si="1361"/>
        <v>1023378.24</v>
      </c>
      <c r="V2491" s="645">
        <f t="shared" si="1361"/>
        <v>1400000</v>
      </c>
      <c r="W2491" s="645">
        <f t="shared" si="1361"/>
        <v>1500000</v>
      </c>
      <c r="X2491" s="645">
        <f t="shared" si="1361"/>
        <v>2000000</v>
      </c>
      <c r="Y2491" s="645">
        <f t="shared" si="1361"/>
        <v>470581.56</v>
      </c>
      <c r="Z2491" s="645">
        <f t="shared" si="1360"/>
        <v>33.61</v>
      </c>
      <c r="AA2491" s="645">
        <f t="shared" si="1344"/>
        <v>0</v>
      </c>
      <c r="AB2491" s="645">
        <f t="shared" si="1361"/>
        <v>1400000</v>
      </c>
      <c r="AC2491" s="645">
        <f t="shared" si="1361"/>
        <v>893065.64</v>
      </c>
      <c r="AD2491" s="645">
        <f t="shared" si="1355"/>
        <v>63.790402857142858</v>
      </c>
      <c r="AE2491" s="645">
        <f t="shared" si="1334"/>
        <v>0</v>
      </c>
      <c r="AF2491" s="645">
        <f t="shared" si="1361"/>
        <v>1400000</v>
      </c>
      <c r="AG2491" s="645">
        <f t="shared" si="1361"/>
        <v>1805000</v>
      </c>
      <c r="AH2491" s="645">
        <f t="shared" si="1361"/>
        <v>2425000</v>
      </c>
      <c r="AI2491" s="645">
        <f t="shared" si="1361"/>
        <v>3235000</v>
      </c>
      <c r="AJ2491" s="162" t="b">
        <f t="shared" si="1336"/>
        <v>1</v>
      </c>
      <c r="AK2491" s="162" t="str">
        <f t="shared" si="1337"/>
        <v>PRAZNO</v>
      </c>
      <c r="AL2491" s="643"/>
      <c r="AM2491" s="647"/>
    </row>
    <row r="2492" spans="1:39" ht="15.75" x14ac:dyDescent="0.2">
      <c r="B2492" s="177"/>
      <c r="C2492" s="177"/>
      <c r="D2492" s="177">
        <v>351</v>
      </c>
      <c r="E2492" s="177"/>
      <c r="F2492" s="177"/>
      <c r="G2492" s="177"/>
      <c r="H2492" s="16" t="s">
        <v>752</v>
      </c>
      <c r="I2492" s="18">
        <f>I2494</f>
        <v>450000</v>
      </c>
      <c r="J2492" s="18">
        <f>J2494</f>
        <v>441167.46</v>
      </c>
      <c r="K2492" s="18">
        <f t="shared" si="1350"/>
        <v>98.04</v>
      </c>
      <c r="L2492" s="18">
        <f t="shared" si="1358"/>
        <v>181515.77000000002</v>
      </c>
      <c r="M2492" s="18">
        <f>M2496</f>
        <v>631515.77</v>
      </c>
      <c r="N2492" s="18">
        <f>N2494+N2493</f>
        <v>800000</v>
      </c>
      <c r="O2492" s="18">
        <f>O2494+O2493</f>
        <v>543204.78</v>
      </c>
      <c r="P2492" s="26">
        <f t="shared" si="1362"/>
        <v>200000</v>
      </c>
      <c r="Q2492" s="18">
        <f>Q2494+Q2493</f>
        <v>800000</v>
      </c>
      <c r="R2492" s="18">
        <f>R2494+R2493</f>
        <v>760000</v>
      </c>
      <c r="S2492" s="18">
        <f>S2494+S2493</f>
        <v>890000</v>
      </c>
      <c r="T2492" s="27">
        <f>T2494+T2493</f>
        <v>1000000</v>
      </c>
      <c r="U2492" s="27">
        <f>U2494+U2493</f>
        <v>1023378.24</v>
      </c>
      <c r="V2492" s="18">
        <f>SUM(V2493:V2496)</f>
        <v>1400000</v>
      </c>
      <c r="W2492" s="18">
        <f>SUM(W2493:W2496)</f>
        <v>1500000</v>
      </c>
      <c r="X2492" s="18">
        <f>SUM(X2493:X2496)</f>
        <v>2000000</v>
      </c>
      <c r="Y2492" s="18">
        <f>SUM(Y2493:Y2496)</f>
        <v>470581.56</v>
      </c>
      <c r="Z2492" s="18">
        <f t="shared" si="1360"/>
        <v>33.61</v>
      </c>
      <c r="AA2492" s="18">
        <f t="shared" si="1344"/>
        <v>0</v>
      </c>
      <c r="AB2492" s="18">
        <f>SUM(AB2493:AB2496)</f>
        <v>1400000</v>
      </c>
      <c r="AC2492" s="18">
        <f>SUM(AC2493:AC2496)</f>
        <v>893065.64</v>
      </c>
      <c r="AD2492" s="18">
        <f t="shared" si="1355"/>
        <v>63.790402857142858</v>
      </c>
      <c r="AE2492" s="18">
        <f t="shared" si="1334"/>
        <v>0</v>
      </c>
      <c r="AF2492" s="18">
        <f>SUM(AF2493:AF2496)</f>
        <v>1400000</v>
      </c>
      <c r="AG2492" s="18">
        <f>SUM(AG2493:AG2497)</f>
        <v>1805000</v>
      </c>
      <c r="AH2492" s="18">
        <f>SUM(AH2493:AH2497)</f>
        <v>2425000</v>
      </c>
      <c r="AI2492" s="18">
        <f>SUM(AI2493:AI2497)</f>
        <v>3235000</v>
      </c>
      <c r="AJ2492" s="162" t="b">
        <f t="shared" si="1336"/>
        <v>1</v>
      </c>
      <c r="AK2492" s="162" t="str">
        <f t="shared" si="1337"/>
        <v>PRAZNO</v>
      </c>
      <c r="AM2492" s="164"/>
    </row>
    <row r="2493" spans="1:39" ht="43.5" customHeight="1" x14ac:dyDescent="0.2">
      <c r="B2493" s="177"/>
      <c r="C2493" s="177"/>
      <c r="D2493" s="177"/>
      <c r="E2493" s="177">
        <v>3511</v>
      </c>
      <c r="F2493" s="176">
        <v>14</v>
      </c>
      <c r="G2493" s="176" t="s">
        <v>1040</v>
      </c>
      <c r="H2493" s="16" t="s">
        <v>323</v>
      </c>
      <c r="I2493" s="18"/>
      <c r="J2493" s="18"/>
      <c r="K2493" s="18"/>
      <c r="L2493" s="18"/>
      <c r="M2493" s="18"/>
      <c r="N2493" s="18">
        <f>393000+180000</f>
        <v>573000</v>
      </c>
      <c r="O2493" s="18">
        <v>369478.07</v>
      </c>
      <c r="P2493" s="26">
        <f t="shared" si="1362"/>
        <v>300000</v>
      </c>
      <c r="Q2493" s="18">
        <f>393000+180000</f>
        <v>573000</v>
      </c>
      <c r="R2493" s="18"/>
      <c r="S2493" s="18"/>
      <c r="T2493" s="27">
        <v>873000</v>
      </c>
      <c r="U2493" s="27">
        <v>896378.24</v>
      </c>
      <c r="V2493" s="27">
        <v>235000</v>
      </c>
      <c r="W2493" s="27">
        <v>370000</v>
      </c>
      <c r="X2493" s="27">
        <v>1337000</v>
      </c>
      <c r="Y2493" s="27">
        <v>50019.93</v>
      </c>
      <c r="Z2493" s="27">
        <f t="shared" si="1360"/>
        <v>21.29</v>
      </c>
      <c r="AA2493" s="27">
        <f t="shared" si="1344"/>
        <v>-30000</v>
      </c>
      <c r="AB2493" s="27">
        <v>205000</v>
      </c>
      <c r="AC2493" s="27">
        <v>50019.93</v>
      </c>
      <c r="AD2493" s="27">
        <f t="shared" si="1355"/>
        <v>24.399965853658536</v>
      </c>
      <c r="AE2493" s="27">
        <f t="shared" si="1334"/>
        <v>0</v>
      </c>
      <c r="AF2493" s="27">
        <v>205000</v>
      </c>
      <c r="AG2493" s="27">
        <v>385000</v>
      </c>
      <c r="AH2493" s="27">
        <v>805000</v>
      </c>
      <c r="AI2493" s="27">
        <v>1305000</v>
      </c>
      <c r="AJ2493" s="162" t="b">
        <f t="shared" si="1336"/>
        <v>0</v>
      </c>
      <c r="AK2493" s="162" t="str">
        <f t="shared" si="1337"/>
        <v>PUNO</v>
      </c>
      <c r="AM2493" s="164"/>
    </row>
    <row r="2494" spans="1:39" ht="45.75" customHeight="1" x14ac:dyDescent="0.2">
      <c r="B2494" s="177"/>
      <c r="C2494" s="177"/>
      <c r="D2494" s="177"/>
      <c r="E2494" s="177">
        <v>3511</v>
      </c>
      <c r="F2494" s="176">
        <v>15</v>
      </c>
      <c r="G2494" s="176" t="s">
        <v>1040</v>
      </c>
      <c r="H2494" s="16" t="s">
        <v>323</v>
      </c>
      <c r="I2494" s="18">
        <f>500000-50000</f>
        <v>450000</v>
      </c>
      <c r="J2494" s="18">
        <v>441167.46</v>
      </c>
      <c r="K2494" s="18">
        <f t="shared" si="1350"/>
        <v>98.04</v>
      </c>
      <c r="L2494" s="18">
        <f t="shared" si="1358"/>
        <v>-450000</v>
      </c>
      <c r="M2494" s="18"/>
      <c r="N2494" s="18">
        <v>227000</v>
      </c>
      <c r="O2494" s="18">
        <v>173726.71</v>
      </c>
      <c r="P2494" s="26">
        <f t="shared" si="1362"/>
        <v>-100000</v>
      </c>
      <c r="Q2494" s="18">
        <v>227000</v>
      </c>
      <c r="R2494" s="18">
        <v>760000</v>
      </c>
      <c r="S2494" s="18">
        <v>890000</v>
      </c>
      <c r="T2494" s="27">
        <v>127000</v>
      </c>
      <c r="U2494" s="27">
        <v>127000</v>
      </c>
      <c r="V2494" s="18">
        <v>90000</v>
      </c>
      <c r="W2494" s="18">
        <v>55000</v>
      </c>
      <c r="X2494" s="18">
        <v>53000</v>
      </c>
      <c r="Y2494" s="18">
        <v>0</v>
      </c>
      <c r="Z2494" s="18">
        <f t="shared" si="1360"/>
        <v>0</v>
      </c>
      <c r="AA2494" s="18">
        <f t="shared" si="1344"/>
        <v>30000</v>
      </c>
      <c r="AB2494" s="18">
        <v>120000</v>
      </c>
      <c r="AC2494" s="18">
        <v>0</v>
      </c>
      <c r="AD2494" s="18">
        <f t="shared" si="1355"/>
        <v>0</v>
      </c>
      <c r="AE2494" s="18">
        <f t="shared" si="1334"/>
        <v>0</v>
      </c>
      <c r="AF2494" s="18">
        <v>120000</v>
      </c>
      <c r="AG2494" s="18">
        <v>120000</v>
      </c>
      <c r="AH2494" s="18">
        <v>120000</v>
      </c>
      <c r="AI2494" s="18">
        <v>120000</v>
      </c>
      <c r="AJ2494" s="162" t="b">
        <f t="shared" si="1336"/>
        <v>0</v>
      </c>
      <c r="AK2494" s="162" t="str">
        <f t="shared" si="1337"/>
        <v>PUNO</v>
      </c>
      <c r="AM2494" s="164"/>
    </row>
    <row r="2495" spans="1:39" ht="45.75" customHeight="1" x14ac:dyDescent="0.2">
      <c r="B2495" s="177"/>
      <c r="C2495" s="177"/>
      <c r="D2495" s="177"/>
      <c r="E2495" s="177">
        <v>3511</v>
      </c>
      <c r="F2495" s="176">
        <v>17</v>
      </c>
      <c r="G2495" s="176"/>
      <c r="H2495" s="16" t="s">
        <v>323</v>
      </c>
      <c r="I2495" s="18"/>
      <c r="J2495" s="18"/>
      <c r="K2495" s="18"/>
      <c r="L2495" s="18"/>
      <c r="M2495" s="18"/>
      <c r="N2495" s="18"/>
      <c r="O2495" s="18"/>
      <c r="P2495" s="26"/>
      <c r="Q2495" s="18"/>
      <c r="R2495" s="18"/>
      <c r="S2495" s="18"/>
      <c r="T2495" s="27"/>
      <c r="U2495" s="27"/>
      <c r="V2495" s="18"/>
      <c r="W2495" s="18"/>
      <c r="X2495" s="18"/>
      <c r="Y2495" s="18"/>
      <c r="Z2495" s="18"/>
      <c r="AA2495" s="18"/>
      <c r="AB2495" s="18"/>
      <c r="AC2495" s="18"/>
      <c r="AD2495" s="18"/>
      <c r="AE2495" s="18"/>
      <c r="AF2495" s="18"/>
      <c r="AG2495" s="18">
        <v>50000</v>
      </c>
      <c r="AH2495" s="18">
        <v>50000</v>
      </c>
      <c r="AI2495" s="18">
        <v>60000</v>
      </c>
      <c r="AJ2495" s="162" t="b">
        <f t="shared" si="1336"/>
        <v>0</v>
      </c>
      <c r="AK2495" s="162" t="str">
        <f t="shared" si="1337"/>
        <v>PUNO</v>
      </c>
      <c r="AM2495" s="164"/>
    </row>
    <row r="2496" spans="1:39" ht="45.75" customHeight="1" x14ac:dyDescent="0.2">
      <c r="B2496" s="177"/>
      <c r="C2496" s="177"/>
      <c r="D2496" s="177"/>
      <c r="E2496" s="177">
        <v>3511</v>
      </c>
      <c r="F2496" s="176">
        <v>18</v>
      </c>
      <c r="G2496" s="176"/>
      <c r="H2496" s="16" t="s">
        <v>323</v>
      </c>
      <c r="I2496" s="18"/>
      <c r="J2496" s="18"/>
      <c r="K2496" s="18"/>
      <c r="L2496" s="18"/>
      <c r="M2496" s="18">
        <v>631515.77</v>
      </c>
      <c r="N2496" s="18"/>
      <c r="O2496" s="18"/>
      <c r="P2496" s="26">
        <f t="shared" si="1362"/>
        <v>0</v>
      </c>
      <c r="Q2496" s="18"/>
      <c r="R2496" s="18"/>
      <c r="S2496" s="18"/>
      <c r="T2496" s="27"/>
      <c r="U2496" s="27"/>
      <c r="V2496" s="18">
        <v>1075000</v>
      </c>
      <c r="W2496" s="18">
        <v>1075000</v>
      </c>
      <c r="X2496" s="18">
        <v>610000</v>
      </c>
      <c r="Y2496" s="18">
        <v>420561.63</v>
      </c>
      <c r="Z2496" s="18">
        <f>ROUND(Y2496/V2496*100,2)</f>
        <v>39.119999999999997</v>
      </c>
      <c r="AA2496" s="18">
        <f t="shared" si="1344"/>
        <v>0</v>
      </c>
      <c r="AB2496" s="18">
        <v>1075000</v>
      </c>
      <c r="AC2496" s="18">
        <v>843045.71</v>
      </c>
      <c r="AD2496" s="18">
        <f t="shared" si="1355"/>
        <v>78.422856744186049</v>
      </c>
      <c r="AE2496" s="18">
        <f t="shared" si="1334"/>
        <v>0</v>
      </c>
      <c r="AF2496" s="18">
        <v>1075000</v>
      </c>
      <c r="AG2496" s="18">
        <v>690000</v>
      </c>
      <c r="AH2496" s="18">
        <v>580000</v>
      </c>
      <c r="AI2496" s="18">
        <v>380000</v>
      </c>
      <c r="AJ2496" s="162" t="b">
        <f t="shared" si="1336"/>
        <v>0</v>
      </c>
      <c r="AK2496" s="162" t="str">
        <f t="shared" si="1337"/>
        <v>PUNO</v>
      </c>
      <c r="AM2496" s="164"/>
    </row>
    <row r="2497" spans="1:48" ht="45.75" customHeight="1" x14ac:dyDescent="0.2">
      <c r="B2497" s="177"/>
      <c r="C2497" s="177"/>
      <c r="D2497" s="177"/>
      <c r="E2497" s="177">
        <v>3511</v>
      </c>
      <c r="F2497" s="176">
        <v>11</v>
      </c>
      <c r="G2497" s="176"/>
      <c r="H2497" s="16" t="s">
        <v>323</v>
      </c>
      <c r="I2497" s="18"/>
      <c r="J2497" s="18"/>
      <c r="K2497" s="18"/>
      <c r="L2497" s="18"/>
      <c r="M2497" s="18"/>
      <c r="N2497" s="18"/>
      <c r="O2497" s="18"/>
      <c r="P2497" s="26"/>
      <c r="Q2497" s="18"/>
      <c r="R2497" s="18"/>
      <c r="S2497" s="18"/>
      <c r="T2497" s="27"/>
      <c r="U2497" s="27"/>
      <c r="V2497" s="18"/>
      <c r="W2497" s="18"/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>
        <f>1300000-690000-50000</f>
        <v>560000</v>
      </c>
      <c r="AH2497" s="18">
        <f>1500000-580000-50000</f>
        <v>870000</v>
      </c>
      <c r="AI2497" s="18">
        <f>1800000-180000-50000-200000</f>
        <v>1370000</v>
      </c>
      <c r="AJ2497" s="162" t="b">
        <f t="shared" si="1336"/>
        <v>0</v>
      </c>
      <c r="AK2497" s="162" t="str">
        <f t="shared" si="1337"/>
        <v>PUNO</v>
      </c>
      <c r="AM2497" s="164"/>
    </row>
    <row r="2498" spans="1:48" s="207" customFormat="1" ht="34.5" customHeight="1" x14ac:dyDescent="0.25">
      <c r="A2498" s="378"/>
      <c r="B2498" s="168"/>
      <c r="C2498" s="168"/>
      <c r="D2498" s="168"/>
      <c r="E2498" s="168"/>
      <c r="F2498" s="322"/>
      <c r="G2498" s="322"/>
      <c r="H2498" s="13" t="s">
        <v>298</v>
      </c>
      <c r="I2498" s="308"/>
      <c r="J2498" s="308"/>
      <c r="K2498" s="308"/>
      <c r="L2498" s="308"/>
      <c r="M2498" s="308"/>
      <c r="N2498" s="308"/>
      <c r="O2498" s="308"/>
      <c r="P2498" s="53"/>
      <c r="Q2498" s="308"/>
      <c r="R2498" s="308"/>
      <c r="S2498" s="308"/>
      <c r="T2498" s="308">
        <f t="shared" ref="T2498:Y2498" si="1363">T2500</f>
        <v>0</v>
      </c>
      <c r="U2498" s="308">
        <f t="shared" si="1363"/>
        <v>0</v>
      </c>
      <c r="V2498" s="308">
        <f t="shared" si="1363"/>
        <v>150000</v>
      </c>
      <c r="W2498" s="308">
        <f t="shared" si="1363"/>
        <v>150000</v>
      </c>
      <c r="X2498" s="308">
        <f t="shared" si="1363"/>
        <v>150000</v>
      </c>
      <c r="Y2498" s="308">
        <f t="shared" si="1363"/>
        <v>37500</v>
      </c>
      <c r="Z2498" s="308">
        <f t="shared" ref="Z2498:Z2579" si="1364">ROUND(Y2498/V2498*100,2)</f>
        <v>25</v>
      </c>
      <c r="AA2498" s="308">
        <f t="shared" si="1344"/>
        <v>0</v>
      </c>
      <c r="AB2498" s="308">
        <f>AB2500</f>
        <v>150000</v>
      </c>
      <c r="AC2498" s="308">
        <f>AC2500</f>
        <v>112500</v>
      </c>
      <c r="AD2498" s="308">
        <f t="shared" si="1355"/>
        <v>75</v>
      </c>
      <c r="AE2498" s="308">
        <f t="shared" ref="AE2498:AE2558" si="1365">AF2498-AB2498</f>
        <v>0</v>
      </c>
      <c r="AF2498" s="308">
        <f>AF2500</f>
        <v>150000</v>
      </c>
      <c r="AG2498" s="308">
        <f>AG2500</f>
        <v>150000</v>
      </c>
      <c r="AH2498" s="308">
        <f>AH2500</f>
        <v>150000</v>
      </c>
      <c r="AI2498" s="308">
        <f>AI2500</f>
        <v>150000</v>
      </c>
      <c r="AJ2498" s="162" t="b">
        <f t="shared" si="1336"/>
        <v>1</v>
      </c>
      <c r="AK2498" s="162" t="str">
        <f t="shared" si="1337"/>
        <v>PRAZNO</v>
      </c>
      <c r="AL2498" s="206"/>
    </row>
    <row r="2499" spans="1:48" s="447" customFormat="1" ht="22.5" customHeight="1" x14ac:dyDescent="0.25">
      <c r="A2499" s="378"/>
      <c r="B2499" s="260"/>
      <c r="C2499" s="260"/>
      <c r="D2499" s="260"/>
      <c r="E2499" s="260"/>
      <c r="F2499" s="442"/>
      <c r="G2499" s="442"/>
      <c r="H2499" s="440" t="s">
        <v>824</v>
      </c>
      <c r="I2499" s="443"/>
      <c r="J2499" s="443"/>
      <c r="K2499" s="443"/>
      <c r="L2499" s="443"/>
      <c r="M2499" s="443"/>
      <c r="N2499" s="443"/>
      <c r="O2499" s="443"/>
      <c r="P2499" s="342"/>
      <c r="Q2499" s="443"/>
      <c r="R2499" s="443"/>
      <c r="S2499" s="443"/>
      <c r="T2499" s="443"/>
      <c r="U2499" s="443"/>
      <c r="V2499" s="443">
        <f>V2500</f>
        <v>150000</v>
      </c>
      <c r="W2499" s="443">
        <f>W2500</f>
        <v>150000</v>
      </c>
      <c r="X2499" s="443">
        <f>X2500</f>
        <v>150000</v>
      </c>
      <c r="Y2499" s="443">
        <f>Y2500</f>
        <v>37500</v>
      </c>
      <c r="Z2499" s="443">
        <f t="shared" si="1364"/>
        <v>25</v>
      </c>
      <c r="AA2499" s="443">
        <f t="shared" si="1344"/>
        <v>0</v>
      </c>
      <c r="AB2499" s="443">
        <f>AB2500</f>
        <v>150000</v>
      </c>
      <c r="AC2499" s="443">
        <f>AC2500</f>
        <v>112500</v>
      </c>
      <c r="AD2499" s="443">
        <f t="shared" si="1355"/>
        <v>75</v>
      </c>
      <c r="AE2499" s="443">
        <f t="shared" si="1365"/>
        <v>0</v>
      </c>
      <c r="AF2499" s="443">
        <f>AF2500</f>
        <v>150000</v>
      </c>
      <c r="AG2499" s="443">
        <f>AG2500</f>
        <v>150000</v>
      </c>
      <c r="AH2499" s="443">
        <f>AH2500</f>
        <v>150000</v>
      </c>
      <c r="AI2499" s="443">
        <f>AI2500</f>
        <v>150000</v>
      </c>
      <c r="AJ2499" s="162" t="b">
        <f t="shared" si="1336"/>
        <v>1</v>
      </c>
      <c r="AK2499" s="162" t="str">
        <f t="shared" si="1337"/>
        <v>PRAZNO</v>
      </c>
      <c r="AL2499" s="446"/>
    </row>
    <row r="2500" spans="1:48" s="174" customFormat="1" ht="17.25" customHeight="1" x14ac:dyDescent="0.2">
      <c r="A2500" s="259"/>
      <c r="B2500" s="172">
        <v>3</v>
      </c>
      <c r="C2500" s="172"/>
      <c r="D2500" s="172"/>
      <c r="E2500" s="172"/>
      <c r="F2500" s="220"/>
      <c r="G2500" s="220"/>
      <c r="H2500" s="14" t="s">
        <v>524</v>
      </c>
      <c r="I2500" s="184"/>
      <c r="J2500" s="184"/>
      <c r="K2500" s="184"/>
      <c r="L2500" s="184"/>
      <c r="M2500" s="184"/>
      <c r="N2500" s="184"/>
      <c r="O2500" s="184"/>
      <c r="P2500" s="55"/>
      <c r="Q2500" s="184"/>
      <c r="R2500" s="184"/>
      <c r="S2500" s="184"/>
      <c r="T2500" s="184">
        <f t="shared" ref="T2500:AI2502" si="1366">T2501</f>
        <v>0</v>
      </c>
      <c r="U2500" s="184">
        <f t="shared" si="1366"/>
        <v>0</v>
      </c>
      <c r="V2500" s="184">
        <f t="shared" si="1366"/>
        <v>150000</v>
      </c>
      <c r="W2500" s="184">
        <f t="shared" si="1366"/>
        <v>150000</v>
      </c>
      <c r="X2500" s="184">
        <f t="shared" si="1366"/>
        <v>150000</v>
      </c>
      <c r="Y2500" s="184">
        <f t="shared" si="1366"/>
        <v>37500</v>
      </c>
      <c r="Z2500" s="184">
        <f t="shared" si="1364"/>
        <v>25</v>
      </c>
      <c r="AA2500" s="184">
        <f t="shared" si="1344"/>
        <v>0</v>
      </c>
      <c r="AB2500" s="184">
        <f t="shared" si="1366"/>
        <v>150000</v>
      </c>
      <c r="AC2500" s="184">
        <f t="shared" si="1366"/>
        <v>112500</v>
      </c>
      <c r="AD2500" s="184">
        <f t="shared" si="1355"/>
        <v>75</v>
      </c>
      <c r="AE2500" s="184">
        <f t="shared" si="1365"/>
        <v>0</v>
      </c>
      <c r="AF2500" s="184">
        <f t="shared" si="1366"/>
        <v>150000</v>
      </c>
      <c r="AG2500" s="184">
        <f t="shared" si="1366"/>
        <v>150000</v>
      </c>
      <c r="AH2500" s="184">
        <f t="shared" si="1366"/>
        <v>150000</v>
      </c>
      <c r="AI2500" s="184">
        <f t="shared" si="1366"/>
        <v>150000</v>
      </c>
      <c r="AJ2500" s="162" t="b">
        <f t="shared" si="1336"/>
        <v>1</v>
      </c>
      <c r="AK2500" s="162" t="str">
        <f t="shared" si="1337"/>
        <v>PRAZNO</v>
      </c>
      <c r="AL2500" s="173"/>
    </row>
    <row r="2501" spans="1:48" s="644" customFormat="1" ht="19.5" customHeight="1" x14ac:dyDescent="0.2">
      <c r="A2501" s="633"/>
      <c r="B2501" s="175"/>
      <c r="C2501" s="175">
        <v>36</v>
      </c>
      <c r="D2501" s="175"/>
      <c r="E2501" s="175"/>
      <c r="F2501" s="640"/>
      <c r="G2501" s="640"/>
      <c r="H2501" s="15" t="s">
        <v>751</v>
      </c>
      <c r="I2501" s="645"/>
      <c r="J2501" s="645"/>
      <c r="K2501" s="645"/>
      <c r="L2501" s="645"/>
      <c r="M2501" s="645"/>
      <c r="N2501" s="645"/>
      <c r="O2501" s="645"/>
      <c r="P2501" s="38"/>
      <c r="Q2501" s="645"/>
      <c r="R2501" s="645"/>
      <c r="S2501" s="645"/>
      <c r="T2501" s="645">
        <f t="shared" si="1366"/>
        <v>0</v>
      </c>
      <c r="U2501" s="645">
        <f t="shared" si="1366"/>
        <v>0</v>
      </c>
      <c r="V2501" s="645">
        <f t="shared" si="1366"/>
        <v>150000</v>
      </c>
      <c r="W2501" s="645">
        <f t="shared" si="1366"/>
        <v>150000</v>
      </c>
      <c r="X2501" s="645">
        <f t="shared" si="1366"/>
        <v>150000</v>
      </c>
      <c r="Y2501" s="645">
        <f t="shared" si="1366"/>
        <v>37500</v>
      </c>
      <c r="Z2501" s="645">
        <f t="shared" si="1364"/>
        <v>25</v>
      </c>
      <c r="AA2501" s="645">
        <f t="shared" si="1344"/>
        <v>0</v>
      </c>
      <c r="AB2501" s="645">
        <f t="shared" si="1366"/>
        <v>150000</v>
      </c>
      <c r="AC2501" s="645">
        <f t="shared" si="1366"/>
        <v>112500</v>
      </c>
      <c r="AD2501" s="645">
        <f t="shared" si="1355"/>
        <v>75</v>
      </c>
      <c r="AE2501" s="645">
        <f t="shared" si="1365"/>
        <v>0</v>
      </c>
      <c r="AF2501" s="645">
        <f t="shared" si="1366"/>
        <v>150000</v>
      </c>
      <c r="AG2501" s="645">
        <f t="shared" si="1366"/>
        <v>150000</v>
      </c>
      <c r="AH2501" s="645">
        <f t="shared" si="1366"/>
        <v>150000</v>
      </c>
      <c r="AI2501" s="645">
        <f t="shared" si="1366"/>
        <v>150000</v>
      </c>
      <c r="AJ2501" s="162" t="b">
        <f t="shared" si="1336"/>
        <v>1</v>
      </c>
      <c r="AK2501" s="162" t="str">
        <f t="shared" si="1337"/>
        <v>PRAZNO</v>
      </c>
      <c r="AL2501" s="643"/>
      <c r="AM2501" s="647"/>
    </row>
    <row r="2502" spans="1:48" ht="19.5" customHeight="1" x14ac:dyDescent="0.2">
      <c r="B2502" s="177"/>
      <c r="C2502" s="177"/>
      <c r="D2502" s="177">
        <v>363</v>
      </c>
      <c r="E2502" s="177"/>
      <c r="F2502" s="176"/>
      <c r="G2502" s="176"/>
      <c r="H2502" s="16" t="s">
        <v>536</v>
      </c>
      <c r="I2502" s="18"/>
      <c r="J2502" s="18"/>
      <c r="K2502" s="18"/>
      <c r="L2502" s="18"/>
      <c r="M2502" s="18"/>
      <c r="N2502" s="18"/>
      <c r="O2502" s="18"/>
      <c r="P2502" s="26"/>
      <c r="Q2502" s="18"/>
      <c r="R2502" s="18"/>
      <c r="S2502" s="18"/>
      <c r="T2502" s="27">
        <f>T2503</f>
        <v>0</v>
      </c>
      <c r="U2502" s="27">
        <f>U2503</f>
        <v>0</v>
      </c>
      <c r="V2502" s="18">
        <f t="shared" si="1366"/>
        <v>150000</v>
      </c>
      <c r="W2502" s="18">
        <f t="shared" si="1366"/>
        <v>150000</v>
      </c>
      <c r="X2502" s="18">
        <f t="shared" si="1366"/>
        <v>150000</v>
      </c>
      <c r="Y2502" s="18">
        <f t="shared" si="1366"/>
        <v>37500</v>
      </c>
      <c r="Z2502" s="18">
        <f t="shared" si="1364"/>
        <v>25</v>
      </c>
      <c r="AA2502" s="18">
        <f t="shared" si="1344"/>
        <v>0</v>
      </c>
      <c r="AB2502" s="18">
        <f t="shared" si="1366"/>
        <v>150000</v>
      </c>
      <c r="AC2502" s="18">
        <f t="shared" si="1366"/>
        <v>112500</v>
      </c>
      <c r="AD2502" s="18">
        <f t="shared" si="1355"/>
        <v>75</v>
      </c>
      <c r="AE2502" s="18">
        <f t="shared" si="1365"/>
        <v>0</v>
      </c>
      <c r="AF2502" s="18">
        <f t="shared" si="1366"/>
        <v>150000</v>
      </c>
      <c r="AG2502" s="18">
        <f t="shared" si="1366"/>
        <v>150000</v>
      </c>
      <c r="AH2502" s="18">
        <f t="shared" si="1366"/>
        <v>150000</v>
      </c>
      <c r="AI2502" s="18">
        <f t="shared" si="1366"/>
        <v>150000</v>
      </c>
      <c r="AJ2502" s="162" t="b">
        <f t="shared" si="1336"/>
        <v>1</v>
      </c>
      <c r="AK2502" s="162" t="str">
        <f t="shared" si="1337"/>
        <v>PRAZNO</v>
      </c>
      <c r="AM2502" s="164"/>
    </row>
    <row r="2503" spans="1:48" ht="18.75" customHeight="1" x14ac:dyDescent="0.2">
      <c r="B2503" s="177"/>
      <c r="C2503" s="177"/>
      <c r="D2503" s="177"/>
      <c r="E2503" s="177">
        <v>3631</v>
      </c>
      <c r="F2503" s="176">
        <v>11</v>
      </c>
      <c r="G2503" s="176"/>
      <c r="H2503" s="16" t="s">
        <v>331</v>
      </c>
      <c r="I2503" s="18"/>
      <c r="J2503" s="18"/>
      <c r="K2503" s="18"/>
      <c r="L2503" s="18"/>
      <c r="M2503" s="18"/>
      <c r="N2503" s="18"/>
      <c r="O2503" s="18"/>
      <c r="P2503" s="26"/>
      <c r="Q2503" s="18"/>
      <c r="R2503" s="18"/>
      <c r="S2503" s="18"/>
      <c r="T2503" s="27">
        <v>0</v>
      </c>
      <c r="U2503" s="27">
        <v>0</v>
      </c>
      <c r="V2503" s="18">
        <v>150000</v>
      </c>
      <c r="W2503" s="18">
        <v>150000</v>
      </c>
      <c r="X2503" s="18">
        <v>150000</v>
      </c>
      <c r="Y2503" s="18">
        <v>37500</v>
      </c>
      <c r="Z2503" s="18">
        <f t="shared" si="1364"/>
        <v>25</v>
      </c>
      <c r="AA2503" s="18">
        <f t="shared" si="1344"/>
        <v>0</v>
      </c>
      <c r="AB2503" s="18">
        <v>150000</v>
      </c>
      <c r="AC2503" s="18">
        <v>112500</v>
      </c>
      <c r="AD2503" s="18">
        <f t="shared" si="1355"/>
        <v>75</v>
      </c>
      <c r="AE2503" s="18">
        <f t="shared" si="1365"/>
        <v>0</v>
      </c>
      <c r="AF2503" s="18">
        <v>150000</v>
      </c>
      <c r="AG2503" s="18">
        <v>150000</v>
      </c>
      <c r="AH2503" s="18">
        <v>150000</v>
      </c>
      <c r="AI2503" s="18">
        <v>150000</v>
      </c>
      <c r="AJ2503" s="162" t="b">
        <f t="shared" si="1336"/>
        <v>0</v>
      </c>
      <c r="AK2503" s="162" t="str">
        <f t="shared" si="1337"/>
        <v>PUNO</v>
      </c>
      <c r="AM2503" s="164"/>
    </row>
    <row r="2504" spans="1:48" ht="48" customHeight="1" x14ac:dyDescent="0.2">
      <c r="B2504" s="209"/>
      <c r="C2504" s="209"/>
      <c r="D2504" s="209"/>
      <c r="E2504" s="209"/>
      <c r="F2504" s="219"/>
      <c r="G2504" s="219"/>
      <c r="H2504" s="12" t="s">
        <v>32</v>
      </c>
      <c r="I2504" s="242"/>
      <c r="J2504" s="242"/>
      <c r="K2504" s="242"/>
      <c r="L2504" s="242"/>
      <c r="M2504" s="242"/>
      <c r="N2504" s="242"/>
      <c r="O2504" s="242"/>
      <c r="P2504" s="205"/>
      <c r="Q2504" s="242"/>
      <c r="R2504" s="242"/>
      <c r="S2504" s="242"/>
      <c r="T2504" s="243"/>
      <c r="U2504" s="243"/>
      <c r="V2504" s="242">
        <f>V2506</f>
        <v>0</v>
      </c>
      <c r="W2504" s="242"/>
      <c r="X2504" s="242"/>
      <c r="Y2504" s="242">
        <f>Y2506</f>
        <v>0</v>
      </c>
      <c r="Z2504" s="242"/>
      <c r="AA2504" s="242">
        <f t="shared" si="1344"/>
        <v>100000</v>
      </c>
      <c r="AB2504" s="242">
        <f>AB2506</f>
        <v>100000</v>
      </c>
      <c r="AC2504" s="242">
        <f>AC2506</f>
        <v>0</v>
      </c>
      <c r="AD2504" s="242">
        <f t="shared" si="1355"/>
        <v>0</v>
      </c>
      <c r="AE2504" s="242">
        <f t="shared" si="1365"/>
        <v>0</v>
      </c>
      <c r="AF2504" s="242">
        <f>AF2506</f>
        <v>100000</v>
      </c>
      <c r="AG2504" s="242">
        <f>AG2506</f>
        <v>100000</v>
      </c>
      <c r="AH2504" s="242">
        <f>AH2506</f>
        <v>100000</v>
      </c>
      <c r="AI2504" s="242">
        <f>AI2506</f>
        <v>100000</v>
      </c>
      <c r="AJ2504" s="162" t="b">
        <f t="shared" si="1336"/>
        <v>1</v>
      </c>
      <c r="AK2504" s="162" t="str">
        <f t="shared" si="1337"/>
        <v>PRAZNO</v>
      </c>
      <c r="AM2504" s="164"/>
    </row>
    <row r="2505" spans="1:48" ht="23.25" customHeight="1" x14ac:dyDescent="0.2">
      <c r="B2505" s="177"/>
      <c r="C2505" s="177"/>
      <c r="D2505" s="177"/>
      <c r="E2505" s="177"/>
      <c r="F2505" s="176"/>
      <c r="G2505" s="176"/>
      <c r="H2505" s="441" t="s">
        <v>824</v>
      </c>
      <c r="I2505" s="18"/>
      <c r="J2505" s="18"/>
      <c r="K2505" s="18"/>
      <c r="L2505" s="18"/>
      <c r="M2505" s="18"/>
      <c r="N2505" s="18"/>
      <c r="O2505" s="18"/>
      <c r="P2505" s="26"/>
      <c r="Q2505" s="18"/>
      <c r="R2505" s="18"/>
      <c r="S2505" s="18"/>
      <c r="T2505" s="27"/>
      <c r="U2505" s="27"/>
      <c r="V2505" s="18">
        <f>V2506</f>
        <v>0</v>
      </c>
      <c r="W2505" s="18"/>
      <c r="X2505" s="18"/>
      <c r="Y2505" s="18">
        <f>Y2506</f>
        <v>0</v>
      </c>
      <c r="Z2505" s="18"/>
      <c r="AA2505" s="18">
        <f t="shared" si="1344"/>
        <v>100000</v>
      </c>
      <c r="AB2505" s="18">
        <f t="shared" ref="AB2505:AI2508" si="1367">AB2506</f>
        <v>100000</v>
      </c>
      <c r="AC2505" s="18">
        <f t="shared" si="1367"/>
        <v>0</v>
      </c>
      <c r="AD2505" s="18">
        <f t="shared" si="1355"/>
        <v>0</v>
      </c>
      <c r="AE2505" s="18">
        <f t="shared" si="1365"/>
        <v>0</v>
      </c>
      <c r="AF2505" s="18">
        <f t="shared" si="1367"/>
        <v>100000</v>
      </c>
      <c r="AG2505" s="18">
        <f t="shared" si="1367"/>
        <v>100000</v>
      </c>
      <c r="AH2505" s="18">
        <f t="shared" si="1367"/>
        <v>100000</v>
      </c>
      <c r="AI2505" s="18">
        <f t="shared" si="1367"/>
        <v>100000</v>
      </c>
      <c r="AJ2505" s="162" t="b">
        <f t="shared" ref="AJ2505:AJ2568" si="1368">ISBLANK(E2505)</f>
        <v>1</v>
      </c>
      <c r="AK2505" s="162" t="str">
        <f t="shared" ref="AK2505:AK2568" si="1369">IF(AJ2505,"PRAZNO","PUNO")</f>
        <v>PRAZNO</v>
      </c>
      <c r="AM2505" s="164"/>
    </row>
    <row r="2506" spans="1:48" ht="18.75" customHeight="1" x14ac:dyDescent="0.2">
      <c r="B2506" s="172">
        <v>3</v>
      </c>
      <c r="C2506" s="172"/>
      <c r="D2506" s="172"/>
      <c r="E2506" s="172"/>
      <c r="F2506" s="220"/>
      <c r="G2506" s="220"/>
      <c r="H2506" s="14" t="s">
        <v>524</v>
      </c>
      <c r="I2506" s="184"/>
      <c r="J2506" s="184"/>
      <c r="K2506" s="184"/>
      <c r="L2506" s="184"/>
      <c r="M2506" s="184"/>
      <c r="N2506" s="184"/>
      <c r="O2506" s="184"/>
      <c r="P2506" s="55"/>
      <c r="Q2506" s="184"/>
      <c r="R2506" s="184"/>
      <c r="S2506" s="184"/>
      <c r="T2506" s="185"/>
      <c r="U2506" s="185"/>
      <c r="V2506" s="184">
        <f>V2507</f>
        <v>0</v>
      </c>
      <c r="W2506" s="184"/>
      <c r="X2506" s="184"/>
      <c r="Y2506" s="184">
        <f>Y2507</f>
        <v>0</v>
      </c>
      <c r="Z2506" s="184"/>
      <c r="AA2506" s="184">
        <f t="shared" si="1344"/>
        <v>100000</v>
      </c>
      <c r="AB2506" s="184">
        <f t="shared" si="1367"/>
        <v>100000</v>
      </c>
      <c r="AC2506" s="184">
        <f t="shared" si="1367"/>
        <v>0</v>
      </c>
      <c r="AD2506" s="184">
        <f t="shared" si="1355"/>
        <v>0</v>
      </c>
      <c r="AE2506" s="184">
        <f t="shared" si="1365"/>
        <v>0</v>
      </c>
      <c r="AF2506" s="184">
        <f t="shared" si="1367"/>
        <v>100000</v>
      </c>
      <c r="AG2506" s="184">
        <f t="shared" si="1367"/>
        <v>100000</v>
      </c>
      <c r="AH2506" s="184">
        <f t="shared" si="1367"/>
        <v>100000</v>
      </c>
      <c r="AI2506" s="184">
        <f t="shared" si="1367"/>
        <v>100000</v>
      </c>
      <c r="AJ2506" s="162" t="b">
        <f t="shared" si="1368"/>
        <v>1</v>
      </c>
      <c r="AK2506" s="162" t="str">
        <f t="shared" si="1369"/>
        <v>PRAZNO</v>
      </c>
      <c r="AM2506" s="164"/>
    </row>
    <row r="2507" spans="1:48" s="644" customFormat="1" ht="18.75" customHeight="1" x14ac:dyDescent="0.2">
      <c r="A2507" s="633"/>
      <c r="B2507" s="175"/>
      <c r="C2507" s="175">
        <v>36</v>
      </c>
      <c r="D2507" s="175"/>
      <c r="E2507" s="175"/>
      <c r="F2507" s="640"/>
      <c r="G2507" s="640"/>
      <c r="H2507" s="15" t="s">
        <v>751</v>
      </c>
      <c r="I2507" s="645"/>
      <c r="J2507" s="645"/>
      <c r="K2507" s="645"/>
      <c r="L2507" s="645"/>
      <c r="M2507" s="645"/>
      <c r="N2507" s="645"/>
      <c r="O2507" s="645"/>
      <c r="P2507" s="38"/>
      <c r="Q2507" s="645"/>
      <c r="R2507" s="645"/>
      <c r="S2507" s="645"/>
      <c r="T2507" s="646"/>
      <c r="U2507" s="646"/>
      <c r="V2507" s="645">
        <v>0</v>
      </c>
      <c r="W2507" s="645"/>
      <c r="X2507" s="645"/>
      <c r="Y2507" s="645">
        <f>Y2508</f>
        <v>0</v>
      </c>
      <c r="Z2507" s="645"/>
      <c r="AA2507" s="645">
        <f t="shared" si="1344"/>
        <v>100000</v>
      </c>
      <c r="AB2507" s="645">
        <f t="shared" si="1367"/>
        <v>100000</v>
      </c>
      <c r="AC2507" s="645">
        <f t="shared" si="1367"/>
        <v>0</v>
      </c>
      <c r="AD2507" s="645">
        <f t="shared" si="1355"/>
        <v>0</v>
      </c>
      <c r="AE2507" s="645">
        <f t="shared" si="1365"/>
        <v>0</v>
      </c>
      <c r="AF2507" s="645">
        <f t="shared" si="1367"/>
        <v>100000</v>
      </c>
      <c r="AG2507" s="645">
        <f t="shared" si="1367"/>
        <v>100000</v>
      </c>
      <c r="AH2507" s="645">
        <f t="shared" si="1367"/>
        <v>100000</v>
      </c>
      <c r="AI2507" s="645">
        <f t="shared" si="1367"/>
        <v>100000</v>
      </c>
      <c r="AJ2507" s="162" t="b">
        <f t="shared" si="1368"/>
        <v>1</v>
      </c>
      <c r="AK2507" s="162" t="str">
        <f t="shared" si="1369"/>
        <v>PRAZNO</v>
      </c>
      <c r="AL2507" s="643"/>
      <c r="AM2507" s="647"/>
    </row>
    <row r="2508" spans="1:48" ht="18.75" customHeight="1" x14ac:dyDescent="0.2">
      <c r="B2508" s="177"/>
      <c r="C2508" s="177"/>
      <c r="D2508" s="177">
        <v>363</v>
      </c>
      <c r="E2508" s="177"/>
      <c r="F2508" s="176"/>
      <c r="G2508" s="176"/>
      <c r="H2508" s="16" t="s">
        <v>536</v>
      </c>
      <c r="I2508" s="18"/>
      <c r="J2508" s="18"/>
      <c r="K2508" s="18"/>
      <c r="L2508" s="18"/>
      <c r="M2508" s="18"/>
      <c r="N2508" s="18"/>
      <c r="O2508" s="18"/>
      <c r="P2508" s="26"/>
      <c r="Q2508" s="18"/>
      <c r="R2508" s="18"/>
      <c r="S2508" s="18"/>
      <c r="T2508" s="27"/>
      <c r="U2508" s="27"/>
      <c r="V2508" s="18">
        <f>V2509</f>
        <v>0</v>
      </c>
      <c r="W2508" s="18"/>
      <c r="X2508" s="18"/>
      <c r="Y2508" s="18">
        <f>Y2509</f>
        <v>0</v>
      </c>
      <c r="Z2508" s="18"/>
      <c r="AA2508" s="18">
        <f t="shared" si="1344"/>
        <v>100000</v>
      </c>
      <c r="AB2508" s="18">
        <f t="shared" si="1367"/>
        <v>100000</v>
      </c>
      <c r="AC2508" s="18">
        <f t="shared" si="1367"/>
        <v>0</v>
      </c>
      <c r="AD2508" s="18">
        <f t="shared" si="1355"/>
        <v>0</v>
      </c>
      <c r="AE2508" s="18">
        <f t="shared" si="1365"/>
        <v>0</v>
      </c>
      <c r="AF2508" s="18">
        <f t="shared" si="1367"/>
        <v>100000</v>
      </c>
      <c r="AG2508" s="18">
        <f t="shared" si="1367"/>
        <v>100000</v>
      </c>
      <c r="AH2508" s="18">
        <f t="shared" si="1367"/>
        <v>100000</v>
      </c>
      <c r="AI2508" s="18">
        <f t="shared" si="1367"/>
        <v>100000</v>
      </c>
      <c r="AJ2508" s="162" t="b">
        <f t="shared" si="1368"/>
        <v>1</v>
      </c>
      <c r="AK2508" s="162" t="str">
        <f t="shared" si="1369"/>
        <v>PRAZNO</v>
      </c>
      <c r="AM2508" s="164"/>
    </row>
    <row r="2509" spans="1:48" ht="18.75" customHeight="1" x14ac:dyDescent="0.2">
      <c r="B2509" s="177"/>
      <c r="C2509" s="177"/>
      <c r="D2509" s="177"/>
      <c r="E2509" s="177">
        <v>3631</v>
      </c>
      <c r="F2509" s="176">
        <v>17</v>
      </c>
      <c r="G2509" s="176"/>
      <c r="H2509" s="16" t="s">
        <v>331</v>
      </c>
      <c r="I2509" s="18"/>
      <c r="J2509" s="18"/>
      <c r="K2509" s="18"/>
      <c r="L2509" s="18"/>
      <c r="M2509" s="18"/>
      <c r="N2509" s="18"/>
      <c r="O2509" s="18"/>
      <c r="P2509" s="26"/>
      <c r="Q2509" s="18"/>
      <c r="R2509" s="18"/>
      <c r="S2509" s="18"/>
      <c r="T2509" s="27"/>
      <c r="U2509" s="27"/>
      <c r="V2509" s="18">
        <v>0</v>
      </c>
      <c r="W2509" s="18"/>
      <c r="X2509" s="18"/>
      <c r="Y2509" s="18">
        <v>0</v>
      </c>
      <c r="Z2509" s="18"/>
      <c r="AA2509" s="18">
        <f t="shared" si="1344"/>
        <v>100000</v>
      </c>
      <c r="AB2509" s="18">
        <v>100000</v>
      </c>
      <c r="AC2509" s="18">
        <v>0</v>
      </c>
      <c r="AD2509" s="18">
        <f t="shared" si="1355"/>
        <v>0</v>
      </c>
      <c r="AE2509" s="18">
        <f t="shared" si="1365"/>
        <v>0</v>
      </c>
      <c r="AF2509" s="18">
        <v>100000</v>
      </c>
      <c r="AG2509" s="18">
        <v>100000</v>
      </c>
      <c r="AH2509" s="18">
        <v>100000</v>
      </c>
      <c r="AI2509" s="18">
        <v>100000</v>
      </c>
      <c r="AJ2509" s="162" t="b">
        <f t="shared" si="1368"/>
        <v>0</v>
      </c>
      <c r="AK2509" s="162" t="str">
        <f t="shared" si="1369"/>
        <v>PUNO</v>
      </c>
      <c r="AM2509" s="164"/>
    </row>
    <row r="2510" spans="1:48" s="164" customFormat="1" ht="15.75" x14ac:dyDescent="0.2">
      <c r="A2510" s="259"/>
      <c r="B2510" s="159"/>
      <c r="C2510" s="159"/>
      <c r="D2510" s="159"/>
      <c r="E2510" s="159"/>
      <c r="F2510" s="159"/>
      <c r="G2510" s="159"/>
      <c r="H2510" s="11" t="s">
        <v>486</v>
      </c>
      <c r="I2510" s="161">
        <f>I2512</f>
        <v>1939000</v>
      </c>
      <c r="J2510" s="161">
        <f>J2512</f>
        <v>1070763.22</v>
      </c>
      <c r="K2510" s="161">
        <f t="shared" si="1350"/>
        <v>55.22</v>
      </c>
      <c r="L2510" s="161">
        <f t="shared" si="1358"/>
        <v>-626433.95000000019</v>
      </c>
      <c r="M2510" s="160">
        <f>M2512</f>
        <v>1312566.0499999998</v>
      </c>
      <c r="N2510" s="160">
        <f>N2512</f>
        <v>2059000</v>
      </c>
      <c r="O2510" s="160">
        <f>O2512</f>
        <v>840542.08000000007</v>
      </c>
      <c r="P2510" s="351">
        <f>T2510-N2510</f>
        <v>325000</v>
      </c>
      <c r="Q2510" s="160">
        <f t="shared" ref="Q2510:X2510" si="1370">Q2512</f>
        <v>2059000</v>
      </c>
      <c r="R2510" s="160">
        <f t="shared" si="1370"/>
        <v>1979000</v>
      </c>
      <c r="S2510" s="160">
        <f t="shared" si="1370"/>
        <v>2045000</v>
      </c>
      <c r="T2510" s="191">
        <f t="shared" si="1370"/>
        <v>2384000</v>
      </c>
      <c r="U2510" s="191">
        <f>U2512</f>
        <v>2230958.5999999996</v>
      </c>
      <c r="V2510" s="160">
        <f t="shared" si="1370"/>
        <v>2309000</v>
      </c>
      <c r="W2510" s="160">
        <f t="shared" si="1370"/>
        <v>2309000</v>
      </c>
      <c r="X2510" s="160">
        <f t="shared" si="1370"/>
        <v>2365000</v>
      </c>
      <c r="Y2510" s="160">
        <f>Y2512</f>
        <v>449196.23</v>
      </c>
      <c r="Z2510" s="160">
        <f t="shared" si="1364"/>
        <v>19.45</v>
      </c>
      <c r="AA2510" s="160">
        <f t="shared" si="1344"/>
        <v>30000</v>
      </c>
      <c r="AB2510" s="160">
        <f>AB2512</f>
        <v>2339000</v>
      </c>
      <c r="AC2510" s="160">
        <f>AC2512</f>
        <v>1380542.91</v>
      </c>
      <c r="AD2510" s="160">
        <f t="shared" si="1355"/>
        <v>59.022783668234283</v>
      </c>
      <c r="AE2510" s="160">
        <f t="shared" si="1365"/>
        <v>0</v>
      </c>
      <c r="AF2510" s="160">
        <f>AF2512</f>
        <v>2339000</v>
      </c>
      <c r="AG2510" s="160">
        <f>AG2512</f>
        <v>2039000</v>
      </c>
      <c r="AH2510" s="160">
        <f>AH2512</f>
        <v>2079000</v>
      </c>
      <c r="AI2510" s="160">
        <f>AI2512</f>
        <v>2079000</v>
      </c>
      <c r="AJ2510" s="162" t="b">
        <f t="shared" si="1368"/>
        <v>1</v>
      </c>
      <c r="AK2510" s="162" t="str">
        <f t="shared" si="1369"/>
        <v>PRAZNO</v>
      </c>
      <c r="AL2510" s="165"/>
      <c r="AP2510" s="166"/>
    </row>
    <row r="2511" spans="1:48" s="164" customFormat="1" ht="15.75" x14ac:dyDescent="0.2">
      <c r="A2511" s="259"/>
      <c r="B2511" s="194"/>
      <c r="C2511" s="194"/>
      <c r="D2511" s="194"/>
      <c r="E2511" s="194"/>
      <c r="F2511" s="159"/>
      <c r="G2511" s="159"/>
      <c r="H2511" s="11" t="s">
        <v>487</v>
      </c>
      <c r="I2511" s="196"/>
      <c r="J2511" s="196"/>
      <c r="K2511" s="196"/>
      <c r="L2511" s="196"/>
      <c r="M2511" s="195"/>
      <c r="N2511" s="195"/>
      <c r="O2511" s="195"/>
      <c r="P2511" s="353"/>
      <c r="Q2511" s="195"/>
      <c r="R2511" s="195"/>
      <c r="S2511" s="195"/>
      <c r="T2511" s="197"/>
      <c r="U2511" s="197"/>
      <c r="V2511" s="195"/>
      <c r="W2511" s="195"/>
      <c r="X2511" s="195"/>
      <c r="Y2511" s="195"/>
      <c r="Z2511" s="195"/>
      <c r="AA2511" s="195"/>
      <c r="AB2511" s="195"/>
      <c r="AC2511" s="195"/>
      <c r="AD2511" s="195"/>
      <c r="AE2511" s="195">
        <f t="shared" si="1365"/>
        <v>0</v>
      </c>
      <c r="AF2511" s="195"/>
      <c r="AG2511" s="195"/>
      <c r="AH2511" s="195"/>
      <c r="AI2511" s="195"/>
      <c r="AJ2511" s="162" t="b">
        <f t="shared" si="1368"/>
        <v>1</v>
      </c>
      <c r="AK2511" s="162" t="str">
        <f t="shared" si="1369"/>
        <v>PRAZNO</v>
      </c>
      <c r="AL2511" s="222"/>
      <c r="AN2511" s="222"/>
      <c r="AO2511" s="222"/>
      <c r="AP2511" s="222"/>
      <c r="AQ2511" s="222"/>
      <c r="AR2511" s="222"/>
      <c r="AS2511" s="222"/>
      <c r="AT2511" s="222"/>
      <c r="AU2511" s="222"/>
      <c r="AV2511" s="222"/>
    </row>
    <row r="2512" spans="1:48" s="164" customFormat="1" ht="21" customHeight="1" x14ac:dyDescent="0.2">
      <c r="A2512" s="259"/>
      <c r="B2512" s="278"/>
      <c r="C2512" s="278"/>
      <c r="D2512" s="278"/>
      <c r="E2512" s="278"/>
      <c r="F2512" s="278"/>
      <c r="G2512" s="278"/>
      <c r="H2512" s="279" t="s">
        <v>744</v>
      </c>
      <c r="I2512" s="285">
        <f>I2514+I2531+I2537</f>
        <v>1939000</v>
      </c>
      <c r="J2512" s="285">
        <f>J2514+J2531+J2537</f>
        <v>1070763.22</v>
      </c>
      <c r="K2512" s="285">
        <f t="shared" si="1350"/>
        <v>55.22</v>
      </c>
      <c r="L2512" s="285">
        <f t="shared" si="1358"/>
        <v>-626433.95000000019</v>
      </c>
      <c r="M2512" s="283">
        <f>M2514+M2531+M2537</f>
        <v>1312566.0499999998</v>
      </c>
      <c r="N2512" s="283">
        <f>N2514+N2531+N2537</f>
        <v>2059000</v>
      </c>
      <c r="O2512" s="283">
        <f>O2514+O2531+O2537</f>
        <v>840542.08000000007</v>
      </c>
      <c r="P2512" s="336">
        <f>T2512-N2512</f>
        <v>325000</v>
      </c>
      <c r="Q2512" s="283">
        <f t="shared" ref="Q2512:Y2512" si="1371">Q2514+Q2531+Q2537</f>
        <v>2059000</v>
      </c>
      <c r="R2512" s="283">
        <f t="shared" si="1371"/>
        <v>1979000</v>
      </c>
      <c r="S2512" s="283">
        <f t="shared" si="1371"/>
        <v>2045000</v>
      </c>
      <c r="T2512" s="284">
        <f t="shared" si="1371"/>
        <v>2384000</v>
      </c>
      <c r="U2512" s="284">
        <f t="shared" si="1371"/>
        <v>2230958.5999999996</v>
      </c>
      <c r="V2512" s="283">
        <f t="shared" si="1371"/>
        <v>2309000</v>
      </c>
      <c r="W2512" s="283">
        <f t="shared" si="1371"/>
        <v>2309000</v>
      </c>
      <c r="X2512" s="283">
        <f t="shared" si="1371"/>
        <v>2365000</v>
      </c>
      <c r="Y2512" s="283">
        <f t="shared" si="1371"/>
        <v>449196.23</v>
      </c>
      <c r="Z2512" s="283">
        <f t="shared" si="1364"/>
        <v>19.45</v>
      </c>
      <c r="AA2512" s="283">
        <f t="shared" si="1344"/>
        <v>30000</v>
      </c>
      <c r="AB2512" s="283">
        <f>AB2514+AB2531+AB2537</f>
        <v>2339000</v>
      </c>
      <c r="AC2512" s="283">
        <f>AC2514+AC2531+AC2537</f>
        <v>1380542.91</v>
      </c>
      <c r="AD2512" s="283">
        <f t="shared" si="1355"/>
        <v>59.022783668234283</v>
      </c>
      <c r="AE2512" s="283">
        <f t="shared" si="1365"/>
        <v>0</v>
      </c>
      <c r="AF2512" s="283">
        <f>AF2514+AF2531+AF2537</f>
        <v>2339000</v>
      </c>
      <c r="AG2512" s="283">
        <f>AG2514+AG2531+AG2537</f>
        <v>2039000</v>
      </c>
      <c r="AH2512" s="283">
        <f>AH2514+AH2531+AH2537</f>
        <v>2079000</v>
      </c>
      <c r="AI2512" s="283">
        <f>AI2514+AI2531+AI2537</f>
        <v>2079000</v>
      </c>
      <c r="AJ2512" s="162" t="b">
        <f t="shared" si="1368"/>
        <v>1</v>
      </c>
      <c r="AK2512" s="162" t="str">
        <f t="shared" si="1369"/>
        <v>PRAZNO</v>
      </c>
      <c r="AL2512" s="165"/>
      <c r="AP2512" s="166"/>
    </row>
    <row r="2513" spans="1:42" s="164" customFormat="1" ht="31.5" x14ac:dyDescent="0.2">
      <c r="A2513" s="259"/>
      <c r="B2513" s="159"/>
      <c r="C2513" s="159"/>
      <c r="D2513" s="159"/>
      <c r="E2513" s="159"/>
      <c r="F2513" s="159"/>
      <c r="G2513" s="159"/>
      <c r="H2513" s="11" t="s">
        <v>764</v>
      </c>
      <c r="I2513" s="161"/>
      <c r="J2513" s="161"/>
      <c r="K2513" s="161"/>
      <c r="L2513" s="161"/>
      <c r="M2513" s="160"/>
      <c r="N2513" s="160"/>
      <c r="O2513" s="160"/>
      <c r="P2513" s="353"/>
      <c r="Q2513" s="160"/>
      <c r="R2513" s="160"/>
      <c r="S2513" s="160"/>
      <c r="T2513" s="191"/>
      <c r="U2513" s="191"/>
      <c r="V2513" s="160"/>
      <c r="W2513" s="160"/>
      <c r="X2513" s="160"/>
      <c r="Y2513" s="160"/>
      <c r="Z2513" s="160"/>
      <c r="AA2513" s="160"/>
      <c r="AB2513" s="160"/>
      <c r="AC2513" s="160"/>
      <c r="AD2513" s="160"/>
      <c r="AE2513" s="160">
        <f t="shared" si="1365"/>
        <v>0</v>
      </c>
      <c r="AF2513" s="160"/>
      <c r="AG2513" s="160"/>
      <c r="AH2513" s="160"/>
      <c r="AI2513" s="160"/>
      <c r="AJ2513" s="162" t="b">
        <f t="shared" si="1368"/>
        <v>1</v>
      </c>
      <c r="AK2513" s="162" t="str">
        <f t="shared" si="1369"/>
        <v>PRAZNO</v>
      </c>
      <c r="AL2513" s="165"/>
      <c r="AP2513" s="166"/>
    </row>
    <row r="2514" spans="1:42" s="171" customFormat="1" ht="15.75" x14ac:dyDescent="0.2">
      <c r="A2514" s="259"/>
      <c r="B2514" s="168"/>
      <c r="C2514" s="168"/>
      <c r="D2514" s="168"/>
      <c r="E2514" s="168"/>
      <c r="F2514" s="168"/>
      <c r="G2514" s="168"/>
      <c r="H2514" s="13" t="s">
        <v>867</v>
      </c>
      <c r="I2514" s="169">
        <f>I2516</f>
        <v>1414000</v>
      </c>
      <c r="J2514" s="169">
        <f>J2516</f>
        <v>799978.67</v>
      </c>
      <c r="K2514" s="169">
        <f t="shared" si="1350"/>
        <v>56.58</v>
      </c>
      <c r="L2514" s="169">
        <f t="shared" si="1358"/>
        <v>-640054.83000000007</v>
      </c>
      <c r="M2514" s="19">
        <f>M2516</f>
        <v>773945.16999999993</v>
      </c>
      <c r="N2514" s="19">
        <f>N2516</f>
        <v>1444000</v>
      </c>
      <c r="O2514" s="19">
        <f>O2516</f>
        <v>606362.09</v>
      </c>
      <c r="P2514" s="303">
        <f>T2514-N2514</f>
        <v>0</v>
      </c>
      <c r="Q2514" s="19">
        <f t="shared" ref="Q2514:X2514" si="1372">Q2516</f>
        <v>1444000</v>
      </c>
      <c r="R2514" s="19">
        <f t="shared" si="1372"/>
        <v>1349000</v>
      </c>
      <c r="S2514" s="19">
        <f t="shared" si="1372"/>
        <v>1385000</v>
      </c>
      <c r="T2514" s="53">
        <f t="shared" si="1372"/>
        <v>1444000</v>
      </c>
      <c r="U2514" s="53">
        <f>U2516</f>
        <v>1331506.92</v>
      </c>
      <c r="V2514" s="19">
        <f t="shared" si="1372"/>
        <v>1494000</v>
      </c>
      <c r="W2514" s="19">
        <f t="shared" si="1372"/>
        <v>1494000</v>
      </c>
      <c r="X2514" s="19">
        <f t="shared" si="1372"/>
        <v>1540000</v>
      </c>
      <c r="Y2514" s="19">
        <f>Y2516</f>
        <v>333123.56</v>
      </c>
      <c r="Z2514" s="19">
        <f t="shared" si="1364"/>
        <v>22.3</v>
      </c>
      <c r="AA2514" s="19">
        <f t="shared" si="1344"/>
        <v>30000</v>
      </c>
      <c r="AB2514" s="19">
        <f>AB2516</f>
        <v>1524000</v>
      </c>
      <c r="AC2514" s="19">
        <f>AC2516</f>
        <v>928767.65999999992</v>
      </c>
      <c r="AD2514" s="19">
        <f t="shared" si="1355"/>
        <v>60.942759842519678</v>
      </c>
      <c r="AE2514" s="19">
        <f t="shared" si="1365"/>
        <v>0</v>
      </c>
      <c r="AF2514" s="19">
        <f>AF2516</f>
        <v>1524000</v>
      </c>
      <c r="AG2514" s="19">
        <f>AG2516</f>
        <v>1524000</v>
      </c>
      <c r="AH2514" s="19">
        <f>AH2516</f>
        <v>1524000</v>
      </c>
      <c r="AI2514" s="19">
        <f>AI2516</f>
        <v>1524000</v>
      </c>
      <c r="AJ2514" s="162" t="b">
        <f t="shared" si="1368"/>
        <v>1</v>
      </c>
      <c r="AK2514" s="162" t="str">
        <f t="shared" si="1369"/>
        <v>PRAZNO</v>
      </c>
      <c r="AL2514" s="170"/>
      <c r="AM2514" s="164"/>
    </row>
    <row r="2515" spans="1:42" s="264" customFormat="1" ht="15.75" x14ac:dyDescent="0.2">
      <c r="A2515" s="259"/>
      <c r="B2515" s="405"/>
      <c r="C2515" s="405"/>
      <c r="D2515" s="405"/>
      <c r="E2515" s="405"/>
      <c r="F2515" s="405"/>
      <c r="G2515" s="405"/>
      <c r="H2515" s="495" t="s">
        <v>824</v>
      </c>
      <c r="I2515" s="498"/>
      <c r="J2515" s="498"/>
      <c r="K2515" s="498"/>
      <c r="L2515" s="498"/>
      <c r="M2515" s="496"/>
      <c r="N2515" s="496"/>
      <c r="O2515" s="496"/>
      <c r="P2515" s="307"/>
      <c r="Q2515" s="496"/>
      <c r="R2515" s="496"/>
      <c r="S2515" s="496"/>
      <c r="T2515" s="497"/>
      <c r="U2515" s="497"/>
      <c r="V2515" s="496">
        <f>V2516</f>
        <v>1494000</v>
      </c>
      <c r="W2515" s="496">
        <f>W2516</f>
        <v>1494000</v>
      </c>
      <c r="X2515" s="496">
        <f>X2516</f>
        <v>1540000</v>
      </c>
      <c r="Y2515" s="496">
        <f>Y2516</f>
        <v>333123.56</v>
      </c>
      <c r="Z2515" s="496">
        <f t="shared" si="1364"/>
        <v>22.3</v>
      </c>
      <c r="AA2515" s="496">
        <f t="shared" si="1344"/>
        <v>30000</v>
      </c>
      <c r="AB2515" s="496">
        <f>AB2516</f>
        <v>1524000</v>
      </c>
      <c r="AC2515" s="496">
        <f>AC2516</f>
        <v>928767.65999999992</v>
      </c>
      <c r="AD2515" s="496">
        <f t="shared" si="1355"/>
        <v>60.942759842519678</v>
      </c>
      <c r="AE2515" s="496">
        <f t="shared" si="1365"/>
        <v>0</v>
      </c>
      <c r="AF2515" s="496">
        <f>AF2516</f>
        <v>1524000</v>
      </c>
      <c r="AG2515" s="496">
        <f>AG2516</f>
        <v>1524000</v>
      </c>
      <c r="AH2515" s="496">
        <f>AH2516</f>
        <v>1524000</v>
      </c>
      <c r="AI2515" s="496">
        <f>AI2516</f>
        <v>1524000</v>
      </c>
      <c r="AJ2515" s="162" t="b">
        <f t="shared" si="1368"/>
        <v>1</v>
      </c>
      <c r="AK2515" s="162" t="str">
        <f t="shared" si="1369"/>
        <v>PRAZNO</v>
      </c>
      <c r="AL2515" s="263"/>
      <c r="AP2515" s="499"/>
    </row>
    <row r="2516" spans="1:42" s="174" customFormat="1" ht="15.75" x14ac:dyDescent="0.2">
      <c r="A2516" s="259"/>
      <c r="B2516" s="172">
        <v>3</v>
      </c>
      <c r="C2516" s="172"/>
      <c r="D2516" s="172"/>
      <c r="E2516" s="172"/>
      <c r="F2516" s="172"/>
      <c r="G2516" s="172"/>
      <c r="H2516" s="14" t="s">
        <v>524</v>
      </c>
      <c r="I2516" s="20">
        <f>I2517+I2524</f>
        <v>1414000</v>
      </c>
      <c r="J2516" s="20">
        <f>J2517+J2524</f>
        <v>799978.67</v>
      </c>
      <c r="K2516" s="20">
        <f t="shared" si="1350"/>
        <v>56.58</v>
      </c>
      <c r="L2516" s="20">
        <f t="shared" si="1358"/>
        <v>-640054.83000000007</v>
      </c>
      <c r="M2516" s="20">
        <f>M2517+M2524</f>
        <v>773945.16999999993</v>
      </c>
      <c r="N2516" s="20">
        <f>N2517+N2524</f>
        <v>1444000</v>
      </c>
      <c r="O2516" s="20">
        <f>O2517+O2524</f>
        <v>606362.09</v>
      </c>
      <c r="P2516" s="55">
        <f t="shared" ref="P2516:P2531" si="1373">T2516-N2516</f>
        <v>0</v>
      </c>
      <c r="Q2516" s="20">
        <f t="shared" ref="Q2516:X2516" si="1374">Q2517+Q2524</f>
        <v>1444000</v>
      </c>
      <c r="R2516" s="20">
        <f t="shared" si="1374"/>
        <v>1349000</v>
      </c>
      <c r="S2516" s="20">
        <f t="shared" si="1374"/>
        <v>1385000</v>
      </c>
      <c r="T2516" s="55">
        <f t="shared" si="1374"/>
        <v>1444000</v>
      </c>
      <c r="U2516" s="55">
        <f>U2517+U2524</f>
        <v>1331506.92</v>
      </c>
      <c r="V2516" s="20">
        <f t="shared" si="1374"/>
        <v>1494000</v>
      </c>
      <c r="W2516" s="20">
        <f t="shared" si="1374"/>
        <v>1494000</v>
      </c>
      <c r="X2516" s="20">
        <f t="shared" si="1374"/>
        <v>1540000</v>
      </c>
      <c r="Y2516" s="20">
        <f>Y2517+Y2524</f>
        <v>333123.56</v>
      </c>
      <c r="Z2516" s="20">
        <f t="shared" si="1364"/>
        <v>22.3</v>
      </c>
      <c r="AA2516" s="20">
        <f t="shared" si="1344"/>
        <v>30000</v>
      </c>
      <c r="AB2516" s="20">
        <f>AB2517+AB2524</f>
        <v>1524000</v>
      </c>
      <c r="AC2516" s="20">
        <f>AC2517+AC2524</f>
        <v>928767.65999999992</v>
      </c>
      <c r="AD2516" s="20">
        <f t="shared" si="1355"/>
        <v>60.942759842519678</v>
      </c>
      <c r="AE2516" s="20">
        <f t="shared" si="1365"/>
        <v>0</v>
      </c>
      <c r="AF2516" s="20">
        <f>AF2517+AF2524</f>
        <v>1524000</v>
      </c>
      <c r="AG2516" s="20">
        <f>AG2517+AG2524</f>
        <v>1524000</v>
      </c>
      <c r="AH2516" s="20">
        <f>AH2517+AH2524</f>
        <v>1524000</v>
      </c>
      <c r="AI2516" s="20">
        <f>AI2517+AI2524</f>
        <v>1524000</v>
      </c>
      <c r="AJ2516" s="162" t="b">
        <f t="shared" si="1368"/>
        <v>1</v>
      </c>
      <c r="AK2516" s="162" t="str">
        <f t="shared" si="1369"/>
        <v>PRAZNO</v>
      </c>
      <c r="AL2516" s="173"/>
      <c r="AM2516" s="164"/>
    </row>
    <row r="2517" spans="1:42" s="644" customFormat="1" ht="15.75" x14ac:dyDescent="0.2">
      <c r="A2517" s="633"/>
      <c r="B2517" s="175"/>
      <c r="C2517" s="175">
        <v>36</v>
      </c>
      <c r="D2517" s="175"/>
      <c r="E2517" s="175"/>
      <c r="F2517" s="175"/>
      <c r="G2517" s="175"/>
      <c r="H2517" s="661" t="s">
        <v>751</v>
      </c>
      <c r="I2517" s="645">
        <f>I2518</f>
        <v>350000</v>
      </c>
      <c r="J2517" s="645">
        <f>J2518</f>
        <v>180147.65</v>
      </c>
      <c r="K2517" s="645">
        <f t="shared" si="1350"/>
        <v>51.47</v>
      </c>
      <c r="L2517" s="645">
        <f t="shared" si="1358"/>
        <v>-54000</v>
      </c>
      <c r="M2517" s="645">
        <f>M2518</f>
        <v>296000</v>
      </c>
      <c r="N2517" s="645">
        <f>N2518</f>
        <v>400000</v>
      </c>
      <c r="O2517" s="645">
        <f>O2518</f>
        <v>160999</v>
      </c>
      <c r="P2517" s="38">
        <f t="shared" si="1373"/>
        <v>0</v>
      </c>
      <c r="Q2517" s="645">
        <f t="shared" ref="Q2517:AI2517" si="1375">Q2518</f>
        <v>400000</v>
      </c>
      <c r="R2517" s="645">
        <f t="shared" si="1375"/>
        <v>304000</v>
      </c>
      <c r="S2517" s="645">
        <f t="shared" si="1375"/>
        <v>310000</v>
      </c>
      <c r="T2517" s="646">
        <f t="shared" si="1375"/>
        <v>400000</v>
      </c>
      <c r="U2517" s="646">
        <f t="shared" si="1375"/>
        <v>384701.27</v>
      </c>
      <c r="V2517" s="645">
        <f t="shared" si="1375"/>
        <v>450000</v>
      </c>
      <c r="W2517" s="645">
        <f t="shared" si="1375"/>
        <v>450000</v>
      </c>
      <c r="X2517" s="645">
        <f t="shared" si="1375"/>
        <v>475000</v>
      </c>
      <c r="Y2517" s="645">
        <f t="shared" si="1375"/>
        <v>125779.85999999999</v>
      </c>
      <c r="Z2517" s="645">
        <f t="shared" si="1364"/>
        <v>27.95</v>
      </c>
      <c r="AA2517" s="645">
        <f t="shared" ref="AA2517:AA2579" si="1376">AB2517-V2517</f>
        <v>0</v>
      </c>
      <c r="AB2517" s="645">
        <f t="shared" si="1375"/>
        <v>450000</v>
      </c>
      <c r="AC2517" s="645">
        <f t="shared" si="1375"/>
        <v>250715.16999999998</v>
      </c>
      <c r="AD2517" s="645">
        <f t="shared" si="1355"/>
        <v>55.714482222222216</v>
      </c>
      <c r="AE2517" s="645">
        <f t="shared" si="1365"/>
        <v>0</v>
      </c>
      <c r="AF2517" s="645">
        <f t="shared" si="1375"/>
        <v>450000</v>
      </c>
      <c r="AG2517" s="645">
        <f t="shared" si="1375"/>
        <v>490000</v>
      </c>
      <c r="AH2517" s="645">
        <f t="shared" si="1375"/>
        <v>490000</v>
      </c>
      <c r="AI2517" s="645">
        <f t="shared" si="1375"/>
        <v>490000</v>
      </c>
      <c r="AJ2517" s="162" t="b">
        <f t="shared" si="1368"/>
        <v>1</v>
      </c>
      <c r="AK2517" s="162" t="str">
        <f t="shared" si="1369"/>
        <v>PRAZNO</v>
      </c>
      <c r="AL2517" s="643"/>
      <c r="AM2517" s="647"/>
    </row>
    <row r="2518" spans="1:42" ht="15.75" x14ac:dyDescent="0.2">
      <c r="B2518" s="177"/>
      <c r="C2518" s="177"/>
      <c r="D2518" s="177">
        <v>363</v>
      </c>
      <c r="E2518" s="177"/>
      <c r="F2518" s="177"/>
      <c r="G2518" s="177"/>
      <c r="H2518" s="16" t="s">
        <v>536</v>
      </c>
      <c r="I2518" s="18">
        <f>I2520+I2521+I2523</f>
        <v>350000</v>
      </c>
      <c r="J2518" s="18">
        <f>J2520+J2521+J2523</f>
        <v>180147.65</v>
      </c>
      <c r="K2518" s="18">
        <f t="shared" si="1350"/>
        <v>51.47</v>
      </c>
      <c r="L2518" s="18">
        <f t="shared" si="1358"/>
        <v>-54000</v>
      </c>
      <c r="M2518" s="18">
        <f>SUM(M2519:M2523)</f>
        <v>296000</v>
      </c>
      <c r="N2518" s="18">
        <f>N2520+N2521+N2523+N2519</f>
        <v>400000</v>
      </c>
      <c r="O2518" s="18">
        <f>O2520+O2521+O2523+O2519</f>
        <v>160999</v>
      </c>
      <c r="P2518" s="26">
        <f t="shared" si="1373"/>
        <v>0</v>
      </c>
      <c r="Q2518" s="18">
        <f>Q2520+Q2521+Q2523+Q2519</f>
        <v>400000</v>
      </c>
      <c r="R2518" s="18">
        <f>R2520+R2521+R2523</f>
        <v>304000</v>
      </c>
      <c r="S2518" s="18">
        <f>S2520+S2521+S2523</f>
        <v>310000</v>
      </c>
      <c r="T2518" s="27">
        <f t="shared" ref="T2518:Y2518" si="1377">T2520+T2521+T2523+T2519</f>
        <v>400000</v>
      </c>
      <c r="U2518" s="27">
        <f t="shared" si="1377"/>
        <v>384701.27</v>
      </c>
      <c r="V2518" s="18">
        <f t="shared" si="1377"/>
        <v>450000</v>
      </c>
      <c r="W2518" s="18">
        <f t="shared" si="1377"/>
        <v>450000</v>
      </c>
      <c r="X2518" s="18">
        <f t="shared" si="1377"/>
        <v>475000</v>
      </c>
      <c r="Y2518" s="18">
        <f t="shared" si="1377"/>
        <v>125779.85999999999</v>
      </c>
      <c r="Z2518" s="18">
        <f t="shared" si="1364"/>
        <v>27.95</v>
      </c>
      <c r="AA2518" s="18">
        <f t="shared" si="1376"/>
        <v>0</v>
      </c>
      <c r="AB2518" s="18">
        <f>AB2520+AB2521+AB2523+AB2519</f>
        <v>450000</v>
      </c>
      <c r="AC2518" s="18">
        <f>AC2520+AC2521+AC2523+AC2519</f>
        <v>250715.16999999998</v>
      </c>
      <c r="AD2518" s="18">
        <f t="shared" si="1355"/>
        <v>55.714482222222216</v>
      </c>
      <c r="AE2518" s="18">
        <f t="shared" si="1365"/>
        <v>0</v>
      </c>
      <c r="AF2518" s="18">
        <f>AF2520+AF2521+AF2523+AF2519</f>
        <v>450000</v>
      </c>
      <c r="AG2518" s="18">
        <f>AG2520+AG2521+AG2523+AG2519</f>
        <v>490000</v>
      </c>
      <c r="AH2518" s="18">
        <f>AH2520+AH2521+AH2523+AH2519</f>
        <v>490000</v>
      </c>
      <c r="AI2518" s="18">
        <f>AI2520+AI2521+AI2523+AI2519</f>
        <v>490000</v>
      </c>
      <c r="AJ2518" s="162" t="b">
        <f t="shared" si="1368"/>
        <v>1</v>
      </c>
      <c r="AK2518" s="162" t="str">
        <f t="shared" si="1369"/>
        <v>PRAZNO</v>
      </c>
      <c r="AM2518" s="164"/>
    </row>
    <row r="2519" spans="1:42" ht="30" x14ac:dyDescent="0.2">
      <c r="B2519" s="177"/>
      <c r="C2519" s="177"/>
      <c r="D2519" s="177"/>
      <c r="E2519" s="177">
        <v>3631</v>
      </c>
      <c r="F2519" s="177">
        <v>11</v>
      </c>
      <c r="G2519" s="177"/>
      <c r="H2519" s="29" t="s">
        <v>362</v>
      </c>
      <c r="I2519" s="18"/>
      <c r="J2519" s="18"/>
      <c r="K2519" s="18"/>
      <c r="L2519" s="18"/>
      <c r="M2519" s="18">
        <v>46000</v>
      </c>
      <c r="N2519" s="18">
        <v>100000</v>
      </c>
      <c r="O2519" s="18">
        <v>4605.59</v>
      </c>
      <c r="P2519" s="26">
        <f t="shared" si="1373"/>
        <v>0</v>
      </c>
      <c r="Q2519" s="18">
        <v>100000</v>
      </c>
      <c r="R2519" s="18"/>
      <c r="S2519" s="18"/>
      <c r="T2519" s="27">
        <v>100000</v>
      </c>
      <c r="U2519" s="27">
        <v>84768.27</v>
      </c>
      <c r="V2519" s="18">
        <v>150000</v>
      </c>
      <c r="W2519" s="18">
        <v>150000</v>
      </c>
      <c r="X2519" s="18">
        <v>160000</v>
      </c>
      <c r="Y2519" s="18">
        <v>47288.38</v>
      </c>
      <c r="Z2519" s="18">
        <f t="shared" si="1364"/>
        <v>31.53</v>
      </c>
      <c r="AA2519" s="18">
        <f t="shared" si="1376"/>
        <v>0</v>
      </c>
      <c r="AB2519" s="18">
        <v>150000</v>
      </c>
      <c r="AC2519" s="18">
        <v>75822.55</v>
      </c>
      <c r="AD2519" s="18">
        <f t="shared" si="1355"/>
        <v>50.548366666666666</v>
      </c>
      <c r="AE2519" s="18">
        <f t="shared" si="1365"/>
        <v>0</v>
      </c>
      <c r="AF2519" s="18">
        <v>150000</v>
      </c>
      <c r="AG2519" s="18">
        <v>190000</v>
      </c>
      <c r="AH2519" s="18">
        <v>190000</v>
      </c>
      <c r="AI2519" s="18">
        <v>190000</v>
      </c>
      <c r="AJ2519" s="162" t="b">
        <f t="shared" si="1368"/>
        <v>0</v>
      </c>
      <c r="AK2519" s="162" t="str">
        <f t="shared" si="1369"/>
        <v>PUNO</v>
      </c>
      <c r="AM2519" s="164"/>
    </row>
    <row r="2520" spans="1:42" ht="30" x14ac:dyDescent="0.2">
      <c r="B2520" s="177"/>
      <c r="C2520" s="177"/>
      <c r="D2520" s="177"/>
      <c r="E2520" s="177">
        <v>3631</v>
      </c>
      <c r="F2520" s="176">
        <v>11</v>
      </c>
      <c r="G2520" s="176" t="s">
        <v>1040</v>
      </c>
      <c r="H2520" s="29" t="s">
        <v>362</v>
      </c>
      <c r="I2520" s="18">
        <v>100000</v>
      </c>
      <c r="J2520" s="18">
        <v>19671.5</v>
      </c>
      <c r="K2520" s="18">
        <f t="shared" si="1350"/>
        <v>19.670000000000002</v>
      </c>
      <c r="L2520" s="18">
        <f t="shared" si="1358"/>
        <v>-100000</v>
      </c>
      <c r="M2520" s="18"/>
      <c r="N2520" s="18">
        <v>50000</v>
      </c>
      <c r="O2520" s="18">
        <v>11345</v>
      </c>
      <c r="P2520" s="26">
        <f t="shared" si="1373"/>
        <v>0</v>
      </c>
      <c r="Q2520" s="18">
        <v>50000</v>
      </c>
      <c r="R2520" s="18">
        <v>50000</v>
      </c>
      <c r="S2520" s="18">
        <v>50000</v>
      </c>
      <c r="T2520" s="27">
        <v>50000</v>
      </c>
      <c r="U2520" s="27">
        <v>49933</v>
      </c>
      <c r="V2520" s="27">
        <v>50000</v>
      </c>
      <c r="W2520" s="27">
        <v>50000</v>
      </c>
      <c r="X2520" s="18">
        <v>55000</v>
      </c>
      <c r="Y2520" s="27">
        <v>8015</v>
      </c>
      <c r="Z2520" s="27">
        <f t="shared" si="1364"/>
        <v>16.03</v>
      </c>
      <c r="AA2520" s="27">
        <f t="shared" si="1376"/>
        <v>0</v>
      </c>
      <c r="AB2520" s="27">
        <v>50000</v>
      </c>
      <c r="AC2520" s="27">
        <v>20020.63</v>
      </c>
      <c r="AD2520" s="27">
        <f t="shared" si="1355"/>
        <v>40.041260000000001</v>
      </c>
      <c r="AE2520" s="27">
        <f t="shared" si="1365"/>
        <v>0</v>
      </c>
      <c r="AF2520" s="27">
        <v>50000</v>
      </c>
      <c r="AG2520" s="27">
        <v>50000</v>
      </c>
      <c r="AH2520" s="27">
        <v>50000</v>
      </c>
      <c r="AI2520" s="27">
        <v>50000</v>
      </c>
      <c r="AJ2520" s="162" t="b">
        <f t="shared" si="1368"/>
        <v>0</v>
      </c>
      <c r="AK2520" s="162" t="str">
        <f t="shared" si="1369"/>
        <v>PUNO</v>
      </c>
      <c r="AM2520" s="164"/>
    </row>
    <row r="2521" spans="1:42" ht="45" x14ac:dyDescent="0.2">
      <c r="B2521" s="177"/>
      <c r="C2521" s="177"/>
      <c r="D2521" s="177"/>
      <c r="E2521" s="177">
        <v>3631</v>
      </c>
      <c r="F2521" s="176">
        <v>11</v>
      </c>
      <c r="G2521" s="176" t="s">
        <v>1040</v>
      </c>
      <c r="H2521" s="29" t="s">
        <v>363</v>
      </c>
      <c r="I2521" s="18">
        <v>170000</v>
      </c>
      <c r="J2521" s="18">
        <v>124094.37</v>
      </c>
      <c r="K2521" s="18">
        <f t="shared" si="1350"/>
        <v>73</v>
      </c>
      <c r="L2521" s="18">
        <f t="shared" si="1358"/>
        <v>-170000</v>
      </c>
      <c r="M2521" s="18"/>
      <c r="N2521" s="18">
        <v>170000</v>
      </c>
      <c r="O2521" s="18">
        <v>108412.15</v>
      </c>
      <c r="P2521" s="26">
        <f t="shared" si="1373"/>
        <v>0</v>
      </c>
      <c r="Q2521" s="18">
        <v>170000</v>
      </c>
      <c r="R2521" s="18">
        <v>172000</v>
      </c>
      <c r="S2521" s="18">
        <v>175000</v>
      </c>
      <c r="T2521" s="27">
        <v>170000</v>
      </c>
      <c r="U2521" s="27">
        <v>170000</v>
      </c>
      <c r="V2521" s="27">
        <v>170000</v>
      </c>
      <c r="W2521" s="27">
        <v>170000</v>
      </c>
      <c r="X2521" s="18">
        <v>175000</v>
      </c>
      <c r="Y2521" s="27">
        <v>46228.24</v>
      </c>
      <c r="Z2521" s="27">
        <f t="shared" si="1364"/>
        <v>27.19</v>
      </c>
      <c r="AA2521" s="27">
        <f t="shared" si="1376"/>
        <v>0</v>
      </c>
      <c r="AB2521" s="27">
        <v>170000</v>
      </c>
      <c r="AC2521" s="27">
        <v>130623.75</v>
      </c>
      <c r="AD2521" s="27">
        <f t="shared" si="1355"/>
        <v>76.837500000000006</v>
      </c>
      <c r="AE2521" s="27">
        <f t="shared" si="1365"/>
        <v>0</v>
      </c>
      <c r="AF2521" s="27">
        <v>170000</v>
      </c>
      <c r="AG2521" s="27">
        <v>170000</v>
      </c>
      <c r="AH2521" s="27">
        <v>170000</v>
      </c>
      <c r="AI2521" s="27">
        <v>170000</v>
      </c>
      <c r="AJ2521" s="162" t="b">
        <f t="shared" si="1368"/>
        <v>0</v>
      </c>
      <c r="AK2521" s="162" t="str">
        <f t="shared" si="1369"/>
        <v>PUNO</v>
      </c>
      <c r="AM2521" s="164"/>
    </row>
    <row r="2522" spans="1:42" ht="45" x14ac:dyDescent="0.2">
      <c r="B2522" s="177"/>
      <c r="C2522" s="177"/>
      <c r="D2522" s="177"/>
      <c r="E2522" s="177">
        <v>3631</v>
      </c>
      <c r="F2522" s="176">
        <v>14</v>
      </c>
      <c r="G2522" s="176"/>
      <c r="H2522" s="29" t="s">
        <v>363</v>
      </c>
      <c r="I2522" s="18"/>
      <c r="J2522" s="18"/>
      <c r="K2522" s="18"/>
      <c r="L2522" s="18"/>
      <c r="M2522" s="18">
        <v>170000</v>
      </c>
      <c r="N2522" s="18"/>
      <c r="O2522" s="18"/>
      <c r="P2522" s="26">
        <f t="shared" si="1373"/>
        <v>0</v>
      </c>
      <c r="Q2522" s="18"/>
      <c r="R2522" s="18"/>
      <c r="S2522" s="18"/>
      <c r="T2522" s="27"/>
      <c r="U2522" s="27"/>
      <c r="V2522" s="18"/>
      <c r="W2522" s="18"/>
      <c r="X2522" s="18"/>
      <c r="Y2522" s="18"/>
      <c r="Z2522" s="18" t="e">
        <f t="shared" si="1364"/>
        <v>#DIV/0!</v>
      </c>
      <c r="AA2522" s="18">
        <f t="shared" si="1376"/>
        <v>0</v>
      </c>
      <c r="AB2522" s="18"/>
      <c r="AC2522" s="18"/>
      <c r="AD2522" s="18"/>
      <c r="AE2522" s="18">
        <f t="shared" si="1365"/>
        <v>0</v>
      </c>
      <c r="AF2522" s="18"/>
      <c r="AG2522" s="18"/>
      <c r="AH2522" s="18"/>
      <c r="AI2522" s="18"/>
      <c r="AJ2522" s="162" t="b">
        <f t="shared" si="1368"/>
        <v>0</v>
      </c>
      <c r="AK2522" s="162" t="str">
        <f t="shared" si="1369"/>
        <v>PUNO</v>
      </c>
      <c r="AM2522" s="164"/>
    </row>
    <row r="2523" spans="1:42" ht="45.75" customHeight="1" x14ac:dyDescent="0.2">
      <c r="B2523" s="177"/>
      <c r="C2523" s="177"/>
      <c r="D2523" s="177"/>
      <c r="E2523" s="177">
        <v>3631</v>
      </c>
      <c r="F2523" s="176">
        <v>11</v>
      </c>
      <c r="G2523" s="176" t="s">
        <v>1040</v>
      </c>
      <c r="H2523" s="29" t="s">
        <v>365</v>
      </c>
      <c r="I2523" s="18">
        <v>80000</v>
      </c>
      <c r="J2523" s="18">
        <v>36381.78</v>
      </c>
      <c r="K2523" s="18">
        <f t="shared" si="1350"/>
        <v>45.48</v>
      </c>
      <c r="L2523" s="18">
        <f t="shared" si="1358"/>
        <v>0</v>
      </c>
      <c r="M2523" s="18">
        <v>80000</v>
      </c>
      <c r="N2523" s="18">
        <v>80000</v>
      </c>
      <c r="O2523" s="18">
        <v>36636.26</v>
      </c>
      <c r="P2523" s="26">
        <f t="shared" si="1373"/>
        <v>0</v>
      </c>
      <c r="Q2523" s="18">
        <v>80000</v>
      </c>
      <c r="R2523" s="18">
        <v>82000</v>
      </c>
      <c r="S2523" s="18">
        <v>85000</v>
      </c>
      <c r="T2523" s="27">
        <v>80000</v>
      </c>
      <c r="U2523" s="27">
        <v>80000</v>
      </c>
      <c r="V2523" s="27">
        <v>80000</v>
      </c>
      <c r="W2523" s="27">
        <v>80000</v>
      </c>
      <c r="X2523" s="18">
        <v>85000</v>
      </c>
      <c r="Y2523" s="27">
        <v>24248.240000000002</v>
      </c>
      <c r="Z2523" s="27">
        <f t="shared" si="1364"/>
        <v>30.31</v>
      </c>
      <c r="AA2523" s="27">
        <f t="shared" si="1376"/>
        <v>0</v>
      </c>
      <c r="AB2523" s="27">
        <v>80000</v>
      </c>
      <c r="AC2523" s="27">
        <v>24248.240000000002</v>
      </c>
      <c r="AD2523" s="27">
        <f t="shared" si="1355"/>
        <v>30.310300000000002</v>
      </c>
      <c r="AE2523" s="27">
        <f t="shared" si="1365"/>
        <v>0</v>
      </c>
      <c r="AF2523" s="27">
        <v>80000</v>
      </c>
      <c r="AG2523" s="27">
        <v>80000</v>
      </c>
      <c r="AH2523" s="27">
        <v>80000</v>
      </c>
      <c r="AI2523" s="27">
        <v>80000</v>
      </c>
      <c r="AJ2523" s="162" t="b">
        <f t="shared" si="1368"/>
        <v>0</v>
      </c>
      <c r="AK2523" s="162" t="str">
        <f t="shared" si="1369"/>
        <v>PUNO</v>
      </c>
      <c r="AM2523" s="164"/>
    </row>
    <row r="2524" spans="1:42" s="644" customFormat="1" ht="18.75" customHeight="1" x14ac:dyDescent="0.2">
      <c r="A2524" s="633"/>
      <c r="B2524" s="175"/>
      <c r="C2524" s="175">
        <v>38</v>
      </c>
      <c r="D2524" s="175"/>
      <c r="E2524" s="175"/>
      <c r="F2524" s="175"/>
      <c r="G2524" s="175"/>
      <c r="H2524" s="654" t="s">
        <v>539</v>
      </c>
      <c r="I2524" s="645">
        <f>I2525</f>
        <v>1064000</v>
      </c>
      <c r="J2524" s="645">
        <f>J2525</f>
        <v>619831.02</v>
      </c>
      <c r="K2524" s="645">
        <f t="shared" si="1350"/>
        <v>58.25</v>
      </c>
      <c r="L2524" s="645">
        <f t="shared" si="1358"/>
        <v>-586054.83000000007</v>
      </c>
      <c r="M2524" s="645">
        <f>M2525</f>
        <v>477945.17</v>
      </c>
      <c r="N2524" s="645">
        <f>N2525</f>
        <v>1044000</v>
      </c>
      <c r="O2524" s="645">
        <f>O2525</f>
        <v>445363.08999999997</v>
      </c>
      <c r="P2524" s="38">
        <f t="shared" si="1373"/>
        <v>0</v>
      </c>
      <c r="Q2524" s="645">
        <f t="shared" ref="Q2524:AI2524" si="1378">Q2525</f>
        <v>1044000</v>
      </c>
      <c r="R2524" s="645">
        <f t="shared" si="1378"/>
        <v>1045000</v>
      </c>
      <c r="S2524" s="645">
        <f t="shared" si="1378"/>
        <v>1075000</v>
      </c>
      <c r="T2524" s="646">
        <f t="shared" si="1378"/>
        <v>1044000</v>
      </c>
      <c r="U2524" s="646">
        <f t="shared" si="1378"/>
        <v>946805.65</v>
      </c>
      <c r="V2524" s="645">
        <f t="shared" si="1378"/>
        <v>1044000</v>
      </c>
      <c r="W2524" s="645">
        <f t="shared" si="1378"/>
        <v>1044000</v>
      </c>
      <c r="X2524" s="645">
        <f t="shared" si="1378"/>
        <v>1065000</v>
      </c>
      <c r="Y2524" s="645">
        <f t="shared" si="1378"/>
        <v>207343.7</v>
      </c>
      <c r="Z2524" s="645">
        <f t="shared" si="1364"/>
        <v>19.86</v>
      </c>
      <c r="AA2524" s="645">
        <f t="shared" si="1376"/>
        <v>30000</v>
      </c>
      <c r="AB2524" s="645">
        <f t="shared" si="1378"/>
        <v>1074000</v>
      </c>
      <c r="AC2524" s="645">
        <f t="shared" si="1378"/>
        <v>678052.49</v>
      </c>
      <c r="AD2524" s="645">
        <f t="shared" si="1355"/>
        <v>63.133378957169462</v>
      </c>
      <c r="AE2524" s="645">
        <f t="shared" si="1365"/>
        <v>0</v>
      </c>
      <c r="AF2524" s="645">
        <f t="shared" si="1378"/>
        <v>1074000</v>
      </c>
      <c r="AG2524" s="645">
        <f t="shared" si="1378"/>
        <v>1034000</v>
      </c>
      <c r="AH2524" s="645">
        <f t="shared" si="1378"/>
        <v>1034000</v>
      </c>
      <c r="AI2524" s="645">
        <f t="shared" si="1378"/>
        <v>1034000</v>
      </c>
      <c r="AJ2524" s="162" t="b">
        <f t="shared" si="1368"/>
        <v>1</v>
      </c>
      <c r="AK2524" s="162" t="str">
        <f t="shared" si="1369"/>
        <v>PRAZNO</v>
      </c>
      <c r="AL2524" s="643"/>
      <c r="AM2524" s="647"/>
    </row>
    <row r="2525" spans="1:42" ht="18" customHeight="1" x14ac:dyDescent="0.2">
      <c r="B2525" s="177"/>
      <c r="C2525" s="177"/>
      <c r="D2525" s="177">
        <v>381</v>
      </c>
      <c r="E2525" s="177"/>
      <c r="F2525" s="177"/>
      <c r="G2525" s="177"/>
      <c r="H2525" s="29" t="s">
        <v>540</v>
      </c>
      <c r="I2525" s="18">
        <f>SUM(I2526:I2530)</f>
        <v>1064000</v>
      </c>
      <c r="J2525" s="18">
        <f>SUM(J2526:J2530)</f>
        <v>619831.02</v>
      </c>
      <c r="K2525" s="18">
        <f t="shared" si="1350"/>
        <v>58.25</v>
      </c>
      <c r="L2525" s="18">
        <f t="shared" si="1358"/>
        <v>-586054.83000000007</v>
      </c>
      <c r="M2525" s="18">
        <f>SUM(M2526:M2530)</f>
        <v>477945.17</v>
      </c>
      <c r="N2525" s="18">
        <f>SUM(N2526:N2530)</f>
        <v>1044000</v>
      </c>
      <c r="O2525" s="18">
        <f>SUM(O2526:O2530)</f>
        <v>445363.08999999997</v>
      </c>
      <c r="P2525" s="26">
        <f t="shared" si="1373"/>
        <v>0</v>
      </c>
      <c r="Q2525" s="18">
        <f t="shared" ref="Q2525:Y2525" si="1379">SUM(Q2526:Q2530)</f>
        <v>1044000</v>
      </c>
      <c r="R2525" s="18">
        <f t="shared" si="1379"/>
        <v>1045000</v>
      </c>
      <c r="S2525" s="18">
        <f t="shared" si="1379"/>
        <v>1075000</v>
      </c>
      <c r="T2525" s="27">
        <f t="shared" si="1379"/>
        <v>1044000</v>
      </c>
      <c r="U2525" s="27">
        <f>SUM(U2526:U2530)</f>
        <v>946805.65</v>
      </c>
      <c r="V2525" s="18">
        <f t="shared" si="1379"/>
        <v>1044000</v>
      </c>
      <c r="W2525" s="18">
        <f t="shared" si="1379"/>
        <v>1044000</v>
      </c>
      <c r="X2525" s="18">
        <f t="shared" si="1379"/>
        <v>1065000</v>
      </c>
      <c r="Y2525" s="18">
        <f t="shared" si="1379"/>
        <v>207343.7</v>
      </c>
      <c r="Z2525" s="18">
        <f t="shared" si="1364"/>
        <v>19.86</v>
      </c>
      <c r="AA2525" s="18">
        <f t="shared" si="1376"/>
        <v>30000</v>
      </c>
      <c r="AB2525" s="18">
        <f>SUM(AB2526:AB2530)</f>
        <v>1074000</v>
      </c>
      <c r="AC2525" s="18">
        <f>SUM(AC2526:AC2530)</f>
        <v>678052.49</v>
      </c>
      <c r="AD2525" s="18">
        <f t="shared" si="1355"/>
        <v>63.133378957169462</v>
      </c>
      <c r="AE2525" s="18">
        <f t="shared" si="1365"/>
        <v>0</v>
      </c>
      <c r="AF2525" s="18">
        <f>SUM(AF2526:AF2530)</f>
        <v>1074000</v>
      </c>
      <c r="AG2525" s="18">
        <f>SUM(AG2526:AG2530)</f>
        <v>1034000</v>
      </c>
      <c r="AH2525" s="18">
        <f>SUM(AH2526:AH2530)</f>
        <v>1034000</v>
      </c>
      <c r="AI2525" s="18">
        <f>SUM(AI2526:AI2530)</f>
        <v>1034000</v>
      </c>
      <c r="AJ2525" s="162" t="b">
        <f t="shared" si="1368"/>
        <v>1</v>
      </c>
      <c r="AK2525" s="162" t="str">
        <f t="shared" si="1369"/>
        <v>PRAZNO</v>
      </c>
      <c r="AM2525" s="164"/>
    </row>
    <row r="2526" spans="1:42" ht="30" x14ac:dyDescent="0.2">
      <c r="B2526" s="177"/>
      <c r="C2526" s="177"/>
      <c r="D2526" s="177"/>
      <c r="E2526" s="177">
        <v>3811</v>
      </c>
      <c r="F2526" s="176">
        <v>11</v>
      </c>
      <c r="G2526" s="176" t="s">
        <v>1040</v>
      </c>
      <c r="H2526" s="29" t="s">
        <v>281</v>
      </c>
      <c r="I2526" s="18">
        <v>0</v>
      </c>
      <c r="J2526" s="18">
        <v>0</v>
      </c>
      <c r="K2526" s="18"/>
      <c r="L2526" s="18">
        <f t="shared" si="1358"/>
        <v>47801.5</v>
      </c>
      <c r="M2526" s="18">
        <v>47801.5</v>
      </c>
      <c r="N2526" s="18">
        <v>50000</v>
      </c>
      <c r="O2526" s="18">
        <v>15000</v>
      </c>
      <c r="P2526" s="26">
        <f t="shared" si="1373"/>
        <v>0</v>
      </c>
      <c r="Q2526" s="18">
        <v>50000</v>
      </c>
      <c r="R2526" s="18">
        <v>50000</v>
      </c>
      <c r="S2526" s="18">
        <v>55000</v>
      </c>
      <c r="T2526" s="27">
        <v>50000</v>
      </c>
      <c r="U2526" s="27">
        <v>36558.07</v>
      </c>
      <c r="V2526" s="27">
        <v>50000</v>
      </c>
      <c r="W2526" s="27">
        <v>50000</v>
      </c>
      <c r="X2526" s="18">
        <v>55000</v>
      </c>
      <c r="Y2526" s="27">
        <v>17220.64</v>
      </c>
      <c r="Z2526" s="27">
        <f t="shared" si="1364"/>
        <v>34.44</v>
      </c>
      <c r="AA2526" s="27">
        <f t="shared" si="1376"/>
        <v>0</v>
      </c>
      <c r="AB2526" s="27">
        <v>50000</v>
      </c>
      <c r="AC2526" s="27">
        <v>29806.639999999999</v>
      </c>
      <c r="AD2526" s="27">
        <f t="shared" si="1355"/>
        <v>59.613280000000003</v>
      </c>
      <c r="AE2526" s="27">
        <f t="shared" si="1365"/>
        <v>0</v>
      </c>
      <c r="AF2526" s="27">
        <v>50000</v>
      </c>
      <c r="AG2526" s="27">
        <v>50000</v>
      </c>
      <c r="AH2526" s="27">
        <v>50000</v>
      </c>
      <c r="AI2526" s="27">
        <v>50000</v>
      </c>
      <c r="AJ2526" s="162" t="b">
        <f t="shared" si="1368"/>
        <v>0</v>
      </c>
      <c r="AK2526" s="162" t="str">
        <f t="shared" si="1369"/>
        <v>PUNO</v>
      </c>
      <c r="AM2526" s="164"/>
    </row>
    <row r="2527" spans="1:42" ht="30" x14ac:dyDescent="0.2">
      <c r="B2527" s="177"/>
      <c r="C2527" s="177"/>
      <c r="D2527" s="177"/>
      <c r="E2527" s="177">
        <v>3811</v>
      </c>
      <c r="F2527" s="176">
        <v>14</v>
      </c>
      <c r="G2527" s="176" t="s">
        <v>1040</v>
      </c>
      <c r="H2527" s="29" t="s">
        <v>282</v>
      </c>
      <c r="I2527" s="18">
        <v>600000</v>
      </c>
      <c r="J2527" s="18">
        <v>342928.36</v>
      </c>
      <c r="K2527" s="18">
        <f t="shared" si="1350"/>
        <v>57.15</v>
      </c>
      <c r="L2527" s="18">
        <f t="shared" si="1358"/>
        <v>-600000</v>
      </c>
      <c r="M2527" s="18"/>
      <c r="N2527" s="18">
        <v>510000</v>
      </c>
      <c r="O2527" s="18">
        <v>195000</v>
      </c>
      <c r="P2527" s="26">
        <f t="shared" si="1373"/>
        <v>0</v>
      </c>
      <c r="Q2527" s="18">
        <v>510000</v>
      </c>
      <c r="R2527" s="18">
        <v>530000</v>
      </c>
      <c r="S2527" s="18">
        <v>550000</v>
      </c>
      <c r="T2527" s="27">
        <v>510000</v>
      </c>
      <c r="U2527" s="27">
        <v>466993.75</v>
      </c>
      <c r="V2527" s="27">
        <v>510000</v>
      </c>
      <c r="W2527" s="27">
        <v>510000</v>
      </c>
      <c r="X2527" s="18">
        <v>515000</v>
      </c>
      <c r="Y2527" s="27">
        <v>46000</v>
      </c>
      <c r="Z2527" s="27">
        <f t="shared" si="1364"/>
        <v>9.02</v>
      </c>
      <c r="AA2527" s="27">
        <f t="shared" si="1376"/>
        <v>10000</v>
      </c>
      <c r="AB2527" s="27">
        <v>520000</v>
      </c>
      <c r="AC2527" s="27">
        <v>322374.74</v>
      </c>
      <c r="AD2527" s="27">
        <f t="shared" si="1355"/>
        <v>61.995142307692305</v>
      </c>
      <c r="AE2527" s="27">
        <f t="shared" si="1365"/>
        <v>0</v>
      </c>
      <c r="AF2527" s="27">
        <v>520000</v>
      </c>
      <c r="AG2527" s="27">
        <v>520000</v>
      </c>
      <c r="AH2527" s="27">
        <v>520000</v>
      </c>
      <c r="AI2527" s="27">
        <v>520000</v>
      </c>
      <c r="AJ2527" s="162" t="b">
        <f t="shared" si="1368"/>
        <v>0</v>
      </c>
      <c r="AK2527" s="162" t="str">
        <f t="shared" si="1369"/>
        <v>PUNO</v>
      </c>
      <c r="AM2527" s="164"/>
    </row>
    <row r="2528" spans="1:42" ht="30" customHeight="1" x14ac:dyDescent="0.2">
      <c r="B2528" s="177"/>
      <c r="C2528" s="177"/>
      <c r="D2528" s="177"/>
      <c r="E2528" s="177">
        <v>3811</v>
      </c>
      <c r="F2528" s="176">
        <v>11</v>
      </c>
      <c r="G2528" s="176" t="s">
        <v>1040</v>
      </c>
      <c r="H2528" s="16" t="s">
        <v>283</v>
      </c>
      <c r="I2528" s="18">
        <v>200000</v>
      </c>
      <c r="J2528" s="18">
        <v>109715.62</v>
      </c>
      <c r="K2528" s="18">
        <f t="shared" si="1350"/>
        <v>54.86</v>
      </c>
      <c r="L2528" s="18">
        <f t="shared" si="1358"/>
        <v>-14982.350000000006</v>
      </c>
      <c r="M2528" s="18">
        <v>185017.65</v>
      </c>
      <c r="N2528" s="18">
        <v>220000</v>
      </c>
      <c r="O2528" s="18">
        <v>99108.51</v>
      </c>
      <c r="P2528" s="26">
        <f t="shared" si="1373"/>
        <v>0</v>
      </c>
      <c r="Q2528" s="18">
        <v>220000</v>
      </c>
      <c r="R2528" s="18">
        <v>200000</v>
      </c>
      <c r="S2528" s="18">
        <v>200000</v>
      </c>
      <c r="T2528" s="27">
        <v>220000</v>
      </c>
      <c r="U2528" s="27">
        <v>192938.45</v>
      </c>
      <c r="V2528" s="27">
        <v>220000</v>
      </c>
      <c r="W2528" s="27">
        <v>220000</v>
      </c>
      <c r="X2528" s="18">
        <v>225000</v>
      </c>
      <c r="Y2528" s="27">
        <v>35000</v>
      </c>
      <c r="Z2528" s="27">
        <f t="shared" si="1364"/>
        <v>15.91</v>
      </c>
      <c r="AA2528" s="27">
        <f t="shared" si="1376"/>
        <v>20000</v>
      </c>
      <c r="AB2528" s="27">
        <v>240000</v>
      </c>
      <c r="AC2528" s="27">
        <v>129000</v>
      </c>
      <c r="AD2528" s="27">
        <f t="shared" si="1355"/>
        <v>53.75</v>
      </c>
      <c r="AE2528" s="27">
        <f t="shared" si="1365"/>
        <v>0</v>
      </c>
      <c r="AF2528" s="27">
        <v>240000</v>
      </c>
      <c r="AG2528" s="27">
        <v>200000</v>
      </c>
      <c r="AH2528" s="27">
        <v>200000</v>
      </c>
      <c r="AI2528" s="27">
        <v>200000</v>
      </c>
      <c r="AJ2528" s="162" t="b">
        <f t="shared" si="1368"/>
        <v>0</v>
      </c>
      <c r="AK2528" s="162" t="str">
        <f t="shared" si="1369"/>
        <v>PUNO</v>
      </c>
      <c r="AM2528" s="164"/>
    </row>
    <row r="2529" spans="1:46" ht="36" customHeight="1" x14ac:dyDescent="0.2">
      <c r="B2529" s="177"/>
      <c r="C2529" s="177"/>
      <c r="D2529" s="177"/>
      <c r="E2529" s="177">
        <v>3811</v>
      </c>
      <c r="F2529" s="176">
        <v>17</v>
      </c>
      <c r="G2529" s="176"/>
      <c r="H2529" s="16" t="s">
        <v>285</v>
      </c>
      <c r="I2529" s="18"/>
      <c r="J2529" s="18"/>
      <c r="K2529" s="18"/>
      <c r="L2529" s="18"/>
      <c r="M2529" s="18"/>
      <c r="N2529" s="18">
        <v>0</v>
      </c>
      <c r="O2529" s="18"/>
      <c r="P2529" s="26">
        <f t="shared" si="1373"/>
        <v>44000</v>
      </c>
      <c r="Q2529" s="18"/>
      <c r="R2529" s="18"/>
      <c r="S2529" s="18"/>
      <c r="T2529" s="27">
        <v>44000</v>
      </c>
      <c r="U2529" s="27">
        <v>26852.79</v>
      </c>
      <c r="V2529" s="18">
        <v>0</v>
      </c>
      <c r="W2529" s="18">
        <v>0</v>
      </c>
      <c r="X2529" s="18">
        <v>0</v>
      </c>
      <c r="Y2529" s="18"/>
      <c r="Z2529" s="18" t="e">
        <f t="shared" si="1364"/>
        <v>#DIV/0!</v>
      </c>
      <c r="AA2529" s="18">
        <f t="shared" si="1376"/>
        <v>0</v>
      </c>
      <c r="AB2529" s="18">
        <v>0</v>
      </c>
      <c r="AC2529" s="18"/>
      <c r="AD2529" s="18"/>
      <c r="AE2529" s="18">
        <f t="shared" si="1365"/>
        <v>0</v>
      </c>
      <c r="AF2529" s="18">
        <v>0</v>
      </c>
      <c r="AG2529" s="18">
        <v>42000</v>
      </c>
      <c r="AH2529" s="18">
        <v>41000</v>
      </c>
      <c r="AI2529" s="18">
        <v>31000</v>
      </c>
      <c r="AJ2529" s="162" t="b">
        <f t="shared" si="1368"/>
        <v>0</v>
      </c>
      <c r="AK2529" s="162" t="str">
        <f t="shared" si="1369"/>
        <v>PUNO</v>
      </c>
      <c r="AM2529" s="164"/>
    </row>
    <row r="2530" spans="1:46" ht="30.75" customHeight="1" x14ac:dyDescent="0.2">
      <c r="B2530" s="177"/>
      <c r="C2530" s="177"/>
      <c r="D2530" s="177"/>
      <c r="E2530" s="177">
        <v>3811</v>
      </c>
      <c r="F2530" s="176">
        <v>11</v>
      </c>
      <c r="G2530" s="176" t="s">
        <v>1040</v>
      </c>
      <c r="H2530" s="16" t="s">
        <v>285</v>
      </c>
      <c r="I2530" s="18">
        <v>264000</v>
      </c>
      <c r="J2530" s="18">
        <v>167187.04</v>
      </c>
      <c r="K2530" s="18">
        <f t="shared" si="1350"/>
        <v>63.33</v>
      </c>
      <c r="L2530" s="18">
        <f t="shared" si="1358"/>
        <v>-18873.98000000001</v>
      </c>
      <c r="M2530" s="18">
        <v>245126.02</v>
      </c>
      <c r="N2530" s="18">
        <v>264000</v>
      </c>
      <c r="O2530" s="18">
        <v>136254.57999999999</v>
      </c>
      <c r="P2530" s="26">
        <f t="shared" si="1373"/>
        <v>-44000</v>
      </c>
      <c r="Q2530" s="18">
        <v>264000</v>
      </c>
      <c r="R2530" s="18">
        <v>265000</v>
      </c>
      <c r="S2530" s="18">
        <v>270000</v>
      </c>
      <c r="T2530" s="27">
        <v>220000</v>
      </c>
      <c r="U2530" s="27">
        <v>223462.59</v>
      </c>
      <c r="V2530" s="27">
        <v>264000</v>
      </c>
      <c r="W2530" s="27">
        <v>264000</v>
      </c>
      <c r="X2530" s="18">
        <v>270000</v>
      </c>
      <c r="Y2530" s="27">
        <v>109123.06</v>
      </c>
      <c r="Z2530" s="27">
        <f t="shared" si="1364"/>
        <v>41.33</v>
      </c>
      <c r="AA2530" s="27">
        <f t="shared" si="1376"/>
        <v>0</v>
      </c>
      <c r="AB2530" s="27">
        <v>264000</v>
      </c>
      <c r="AC2530" s="27">
        <v>196871.11</v>
      </c>
      <c r="AD2530" s="27">
        <f t="shared" si="1355"/>
        <v>74.572390151515151</v>
      </c>
      <c r="AE2530" s="27">
        <f t="shared" si="1365"/>
        <v>0</v>
      </c>
      <c r="AF2530" s="27">
        <v>264000</v>
      </c>
      <c r="AG2530" s="27">
        <v>222000</v>
      </c>
      <c r="AH2530" s="27">
        <v>223000</v>
      </c>
      <c r="AI2530" s="27">
        <v>233000</v>
      </c>
      <c r="AJ2530" s="162" t="b">
        <f t="shared" si="1368"/>
        <v>0</v>
      </c>
      <c r="AK2530" s="162" t="str">
        <f t="shared" si="1369"/>
        <v>PUNO</v>
      </c>
      <c r="AL2530" s="179"/>
      <c r="AM2530" s="164"/>
      <c r="AN2530" s="179"/>
      <c r="AO2530" s="179"/>
      <c r="AP2530" s="179"/>
      <c r="AQ2530" s="179"/>
      <c r="AR2530" s="179"/>
      <c r="AS2530" s="179"/>
      <c r="AT2530" s="179"/>
    </row>
    <row r="2531" spans="1:46" s="171" customFormat="1" ht="38.25" customHeight="1" x14ac:dyDescent="0.2">
      <c r="A2531" s="259"/>
      <c r="B2531" s="168"/>
      <c r="C2531" s="168"/>
      <c r="D2531" s="168"/>
      <c r="E2531" s="168"/>
      <c r="F2531" s="168"/>
      <c r="G2531" s="168"/>
      <c r="H2531" s="13" t="s">
        <v>868</v>
      </c>
      <c r="I2531" s="169">
        <f>I2533</f>
        <v>175000</v>
      </c>
      <c r="J2531" s="169">
        <f>J2533</f>
        <v>77624</v>
      </c>
      <c r="K2531" s="169">
        <f t="shared" si="1350"/>
        <v>44.36</v>
      </c>
      <c r="L2531" s="169">
        <f t="shared" si="1358"/>
        <v>-43376</v>
      </c>
      <c r="M2531" s="19">
        <f>M2533</f>
        <v>131624</v>
      </c>
      <c r="N2531" s="19">
        <f>N2533</f>
        <v>175000</v>
      </c>
      <c r="O2531" s="19">
        <f>O2533</f>
        <v>96531.93</v>
      </c>
      <c r="P2531" s="303">
        <f t="shared" si="1373"/>
        <v>25000</v>
      </c>
      <c r="Q2531" s="19">
        <f t="shared" ref="Q2531:X2531" si="1380">Q2533</f>
        <v>175000</v>
      </c>
      <c r="R2531" s="19">
        <f t="shared" si="1380"/>
        <v>180000</v>
      </c>
      <c r="S2531" s="19">
        <f t="shared" si="1380"/>
        <v>190000</v>
      </c>
      <c r="T2531" s="53">
        <f t="shared" si="1380"/>
        <v>200000</v>
      </c>
      <c r="U2531" s="53">
        <f>U2533</f>
        <v>159451.88</v>
      </c>
      <c r="V2531" s="19">
        <f t="shared" si="1380"/>
        <v>175000</v>
      </c>
      <c r="W2531" s="19">
        <f t="shared" si="1380"/>
        <v>175000</v>
      </c>
      <c r="X2531" s="19">
        <f t="shared" si="1380"/>
        <v>175000</v>
      </c>
      <c r="Y2531" s="19">
        <f>Y2533</f>
        <v>35433.440000000002</v>
      </c>
      <c r="Z2531" s="19">
        <f t="shared" si="1364"/>
        <v>20.25</v>
      </c>
      <c r="AA2531" s="19">
        <f t="shared" si="1376"/>
        <v>0</v>
      </c>
      <c r="AB2531" s="19">
        <f>AB2533</f>
        <v>175000</v>
      </c>
      <c r="AC2531" s="19">
        <f>AC2533</f>
        <v>81843.039999999994</v>
      </c>
      <c r="AD2531" s="19">
        <f t="shared" si="1355"/>
        <v>46.767451428571427</v>
      </c>
      <c r="AE2531" s="19">
        <f t="shared" si="1365"/>
        <v>0</v>
      </c>
      <c r="AF2531" s="19">
        <f>AF2533</f>
        <v>175000</v>
      </c>
      <c r="AG2531" s="19">
        <f>AG2533</f>
        <v>135000</v>
      </c>
      <c r="AH2531" s="19">
        <f>AH2533</f>
        <v>175000</v>
      </c>
      <c r="AI2531" s="19">
        <f>AI2533</f>
        <v>175000</v>
      </c>
      <c r="AJ2531" s="162" t="b">
        <f t="shared" si="1368"/>
        <v>1</v>
      </c>
      <c r="AK2531" s="162" t="str">
        <f t="shared" si="1369"/>
        <v>PRAZNO</v>
      </c>
      <c r="AL2531" s="170"/>
      <c r="AM2531" s="164"/>
    </row>
    <row r="2532" spans="1:46" s="264" customFormat="1" ht="16.5" customHeight="1" x14ac:dyDescent="0.2">
      <c r="A2532" s="259"/>
      <c r="B2532" s="260"/>
      <c r="C2532" s="260"/>
      <c r="D2532" s="260"/>
      <c r="E2532" s="260"/>
      <c r="F2532" s="260"/>
      <c r="G2532" s="260"/>
      <c r="H2532" s="440" t="s">
        <v>824</v>
      </c>
      <c r="I2532" s="181"/>
      <c r="J2532" s="181"/>
      <c r="K2532" s="181"/>
      <c r="L2532" s="181"/>
      <c r="M2532" s="262"/>
      <c r="N2532" s="262"/>
      <c r="O2532" s="262"/>
      <c r="P2532" s="445"/>
      <c r="Q2532" s="262"/>
      <c r="R2532" s="262"/>
      <c r="S2532" s="262"/>
      <c r="T2532" s="342"/>
      <c r="U2532" s="342"/>
      <c r="V2532" s="262">
        <f>V2533</f>
        <v>175000</v>
      </c>
      <c r="W2532" s="262">
        <f>W2533</f>
        <v>175000</v>
      </c>
      <c r="X2532" s="262">
        <f>X2533</f>
        <v>175000</v>
      </c>
      <c r="Y2532" s="262">
        <f>Y2533</f>
        <v>35433.440000000002</v>
      </c>
      <c r="Z2532" s="262">
        <f t="shared" si="1364"/>
        <v>20.25</v>
      </c>
      <c r="AA2532" s="262">
        <f t="shared" si="1376"/>
        <v>0</v>
      </c>
      <c r="AB2532" s="262">
        <f>AB2533</f>
        <v>175000</v>
      </c>
      <c r="AC2532" s="262">
        <f>AC2533</f>
        <v>81843.039999999994</v>
      </c>
      <c r="AD2532" s="262">
        <f t="shared" si="1355"/>
        <v>46.767451428571427</v>
      </c>
      <c r="AE2532" s="262">
        <f t="shared" si="1365"/>
        <v>0</v>
      </c>
      <c r="AF2532" s="262">
        <f>AF2533</f>
        <v>175000</v>
      </c>
      <c r="AG2532" s="262">
        <f>AG2533</f>
        <v>135000</v>
      </c>
      <c r="AH2532" s="262">
        <f>AH2533</f>
        <v>175000</v>
      </c>
      <c r="AI2532" s="262">
        <f>AI2533</f>
        <v>175000</v>
      </c>
      <c r="AJ2532" s="162" t="b">
        <f t="shared" si="1368"/>
        <v>1</v>
      </c>
      <c r="AK2532" s="162" t="str">
        <f t="shared" si="1369"/>
        <v>PRAZNO</v>
      </c>
      <c r="AL2532" s="263"/>
    </row>
    <row r="2533" spans="1:46" s="174" customFormat="1" ht="15.75" x14ac:dyDescent="0.2">
      <c r="A2533" s="259"/>
      <c r="B2533" s="172">
        <v>3</v>
      </c>
      <c r="C2533" s="172"/>
      <c r="D2533" s="172"/>
      <c r="E2533" s="172"/>
      <c r="F2533" s="172"/>
      <c r="G2533" s="172"/>
      <c r="H2533" s="14" t="s">
        <v>524</v>
      </c>
      <c r="I2533" s="20">
        <f t="shared" ref="I2533:AI2535" si="1381">I2534</f>
        <v>175000</v>
      </c>
      <c r="J2533" s="20">
        <f t="shared" si="1381"/>
        <v>77624</v>
      </c>
      <c r="K2533" s="20">
        <f t="shared" si="1350"/>
        <v>44.36</v>
      </c>
      <c r="L2533" s="20">
        <f t="shared" si="1358"/>
        <v>-43376</v>
      </c>
      <c r="M2533" s="20">
        <f t="shared" si="1381"/>
        <v>131624</v>
      </c>
      <c r="N2533" s="20">
        <f t="shared" si="1381"/>
        <v>175000</v>
      </c>
      <c r="O2533" s="20">
        <f t="shared" si="1381"/>
        <v>96531.93</v>
      </c>
      <c r="P2533" s="55">
        <f t="shared" ref="P2533:P2592" si="1382">T2533-N2533</f>
        <v>25000</v>
      </c>
      <c r="Q2533" s="20">
        <f t="shared" si="1381"/>
        <v>175000</v>
      </c>
      <c r="R2533" s="20">
        <f t="shared" si="1381"/>
        <v>180000</v>
      </c>
      <c r="S2533" s="20">
        <f t="shared" si="1381"/>
        <v>190000</v>
      </c>
      <c r="T2533" s="55">
        <f t="shared" si="1381"/>
        <v>200000</v>
      </c>
      <c r="U2533" s="55">
        <f t="shared" si="1381"/>
        <v>159451.88</v>
      </c>
      <c r="V2533" s="20">
        <f t="shared" si="1381"/>
        <v>175000</v>
      </c>
      <c r="W2533" s="20">
        <f t="shared" si="1381"/>
        <v>175000</v>
      </c>
      <c r="X2533" s="20">
        <f t="shared" si="1381"/>
        <v>175000</v>
      </c>
      <c r="Y2533" s="20">
        <f t="shared" si="1381"/>
        <v>35433.440000000002</v>
      </c>
      <c r="Z2533" s="20">
        <f t="shared" si="1364"/>
        <v>20.25</v>
      </c>
      <c r="AA2533" s="20">
        <f t="shared" si="1376"/>
        <v>0</v>
      </c>
      <c r="AB2533" s="20">
        <f t="shared" si="1381"/>
        <v>175000</v>
      </c>
      <c r="AC2533" s="20">
        <f t="shared" si="1381"/>
        <v>81843.039999999994</v>
      </c>
      <c r="AD2533" s="20">
        <f t="shared" si="1355"/>
        <v>46.767451428571427</v>
      </c>
      <c r="AE2533" s="20">
        <f t="shared" si="1365"/>
        <v>0</v>
      </c>
      <c r="AF2533" s="20">
        <f t="shared" si="1381"/>
        <v>175000</v>
      </c>
      <c r="AG2533" s="20">
        <f t="shared" si="1381"/>
        <v>135000</v>
      </c>
      <c r="AH2533" s="20">
        <f t="shared" si="1381"/>
        <v>175000</v>
      </c>
      <c r="AI2533" s="20">
        <f t="shared" si="1381"/>
        <v>175000</v>
      </c>
      <c r="AJ2533" s="162" t="b">
        <f t="shared" si="1368"/>
        <v>1</v>
      </c>
      <c r="AK2533" s="162" t="str">
        <f t="shared" si="1369"/>
        <v>PRAZNO</v>
      </c>
      <c r="AL2533" s="173"/>
      <c r="AM2533" s="164"/>
    </row>
    <row r="2534" spans="1:46" s="644" customFormat="1" ht="15.75" x14ac:dyDescent="0.2">
      <c r="A2534" s="633"/>
      <c r="B2534" s="175"/>
      <c r="C2534" s="175">
        <v>32</v>
      </c>
      <c r="D2534" s="175"/>
      <c r="E2534" s="175"/>
      <c r="F2534" s="175"/>
      <c r="G2534" s="175"/>
      <c r="H2534" s="15" t="s">
        <v>525</v>
      </c>
      <c r="I2534" s="645">
        <f t="shared" si="1381"/>
        <v>175000</v>
      </c>
      <c r="J2534" s="645">
        <f t="shared" si="1381"/>
        <v>77624</v>
      </c>
      <c r="K2534" s="645">
        <f t="shared" si="1350"/>
        <v>44.36</v>
      </c>
      <c r="L2534" s="645">
        <f t="shared" si="1358"/>
        <v>-43376</v>
      </c>
      <c r="M2534" s="645">
        <f t="shared" si="1381"/>
        <v>131624</v>
      </c>
      <c r="N2534" s="645">
        <f t="shared" si="1381"/>
        <v>175000</v>
      </c>
      <c r="O2534" s="645">
        <f t="shared" si="1381"/>
        <v>96531.93</v>
      </c>
      <c r="P2534" s="38">
        <f t="shared" si="1382"/>
        <v>25000</v>
      </c>
      <c r="Q2534" s="645">
        <f t="shared" si="1381"/>
        <v>175000</v>
      </c>
      <c r="R2534" s="645">
        <f t="shared" si="1381"/>
        <v>180000</v>
      </c>
      <c r="S2534" s="645">
        <f t="shared" si="1381"/>
        <v>190000</v>
      </c>
      <c r="T2534" s="646">
        <f t="shared" si="1381"/>
        <v>200000</v>
      </c>
      <c r="U2534" s="646">
        <f t="shared" si="1381"/>
        <v>159451.88</v>
      </c>
      <c r="V2534" s="645">
        <f t="shared" si="1381"/>
        <v>175000</v>
      </c>
      <c r="W2534" s="645">
        <f t="shared" si="1381"/>
        <v>175000</v>
      </c>
      <c r="X2534" s="645">
        <f t="shared" si="1381"/>
        <v>175000</v>
      </c>
      <c r="Y2534" s="645">
        <f t="shared" si="1381"/>
        <v>35433.440000000002</v>
      </c>
      <c r="Z2534" s="645">
        <f t="shared" si="1364"/>
        <v>20.25</v>
      </c>
      <c r="AA2534" s="645">
        <f t="shared" si="1376"/>
        <v>0</v>
      </c>
      <c r="AB2534" s="645">
        <f t="shared" si="1381"/>
        <v>175000</v>
      </c>
      <c r="AC2534" s="645">
        <f t="shared" si="1381"/>
        <v>81843.039999999994</v>
      </c>
      <c r="AD2534" s="645">
        <f t="shared" si="1355"/>
        <v>46.767451428571427</v>
      </c>
      <c r="AE2534" s="645">
        <f t="shared" si="1365"/>
        <v>0</v>
      </c>
      <c r="AF2534" s="645">
        <f t="shared" si="1381"/>
        <v>175000</v>
      </c>
      <c r="AG2534" s="645">
        <f t="shared" si="1381"/>
        <v>135000</v>
      </c>
      <c r="AH2534" s="645">
        <f t="shared" si="1381"/>
        <v>175000</v>
      </c>
      <c r="AI2534" s="645">
        <f t="shared" si="1381"/>
        <v>175000</v>
      </c>
      <c r="AJ2534" s="162" t="b">
        <f t="shared" si="1368"/>
        <v>1</v>
      </c>
      <c r="AK2534" s="162" t="str">
        <f t="shared" si="1369"/>
        <v>PRAZNO</v>
      </c>
      <c r="AL2534" s="643"/>
      <c r="AM2534" s="647"/>
    </row>
    <row r="2535" spans="1:46" ht="15.75" x14ac:dyDescent="0.2">
      <c r="B2535" s="177"/>
      <c r="C2535" s="177"/>
      <c r="D2535" s="177">
        <v>322</v>
      </c>
      <c r="E2535" s="177"/>
      <c r="F2535" s="177"/>
      <c r="G2535" s="177"/>
      <c r="H2535" s="16" t="s">
        <v>547</v>
      </c>
      <c r="I2535" s="18">
        <f t="shared" si="1381"/>
        <v>175000</v>
      </c>
      <c r="J2535" s="18">
        <f t="shared" si="1381"/>
        <v>77624</v>
      </c>
      <c r="K2535" s="18">
        <f t="shared" si="1350"/>
        <v>44.36</v>
      </c>
      <c r="L2535" s="18">
        <f t="shared" si="1358"/>
        <v>-43376</v>
      </c>
      <c r="M2535" s="18">
        <f t="shared" si="1381"/>
        <v>131624</v>
      </c>
      <c r="N2535" s="18">
        <f t="shared" si="1381"/>
        <v>175000</v>
      </c>
      <c r="O2535" s="18">
        <f t="shared" si="1381"/>
        <v>96531.93</v>
      </c>
      <c r="P2535" s="26">
        <f t="shared" si="1382"/>
        <v>25000</v>
      </c>
      <c r="Q2535" s="18">
        <f t="shared" si="1381"/>
        <v>175000</v>
      </c>
      <c r="R2535" s="18">
        <f t="shared" si="1381"/>
        <v>180000</v>
      </c>
      <c r="S2535" s="18">
        <f t="shared" si="1381"/>
        <v>190000</v>
      </c>
      <c r="T2535" s="27">
        <f t="shared" si="1381"/>
        <v>200000</v>
      </c>
      <c r="U2535" s="27">
        <f t="shared" si="1381"/>
        <v>159451.88</v>
      </c>
      <c r="V2535" s="18">
        <f t="shared" si="1381"/>
        <v>175000</v>
      </c>
      <c r="W2535" s="18">
        <f t="shared" si="1381"/>
        <v>175000</v>
      </c>
      <c r="X2535" s="18">
        <f t="shared" si="1381"/>
        <v>175000</v>
      </c>
      <c r="Y2535" s="18">
        <f t="shared" si="1381"/>
        <v>35433.440000000002</v>
      </c>
      <c r="Z2535" s="18">
        <f t="shared" si="1364"/>
        <v>20.25</v>
      </c>
      <c r="AA2535" s="18">
        <f t="shared" si="1376"/>
        <v>0</v>
      </c>
      <c r="AB2535" s="18">
        <f t="shared" si="1381"/>
        <v>175000</v>
      </c>
      <c r="AC2535" s="18">
        <f t="shared" si="1381"/>
        <v>81843.039999999994</v>
      </c>
      <c r="AD2535" s="18">
        <f t="shared" si="1355"/>
        <v>46.767451428571427</v>
      </c>
      <c r="AE2535" s="18">
        <f t="shared" si="1365"/>
        <v>0</v>
      </c>
      <c r="AF2535" s="18">
        <f t="shared" si="1381"/>
        <v>175000</v>
      </c>
      <c r="AG2535" s="18">
        <f t="shared" si="1381"/>
        <v>135000</v>
      </c>
      <c r="AH2535" s="18">
        <f t="shared" si="1381"/>
        <v>175000</v>
      </c>
      <c r="AI2535" s="18">
        <f t="shared" si="1381"/>
        <v>175000</v>
      </c>
      <c r="AJ2535" s="162" t="b">
        <f t="shared" si="1368"/>
        <v>1</v>
      </c>
      <c r="AK2535" s="162" t="str">
        <f t="shared" si="1369"/>
        <v>PRAZNO</v>
      </c>
      <c r="AM2535" s="164"/>
    </row>
    <row r="2536" spans="1:46" ht="15.75" x14ac:dyDescent="0.2">
      <c r="B2536" s="177"/>
      <c r="C2536" s="177"/>
      <c r="D2536" s="177"/>
      <c r="E2536" s="177">
        <v>3221</v>
      </c>
      <c r="F2536" s="176">
        <v>11</v>
      </c>
      <c r="G2536" s="176" t="s">
        <v>1040</v>
      </c>
      <c r="H2536" s="16" t="s">
        <v>438</v>
      </c>
      <c r="I2536" s="18">
        <v>175000</v>
      </c>
      <c r="J2536" s="18">
        <v>77624</v>
      </c>
      <c r="K2536" s="18">
        <f t="shared" si="1350"/>
        <v>44.36</v>
      </c>
      <c r="L2536" s="18">
        <f t="shared" si="1358"/>
        <v>-43376</v>
      </c>
      <c r="M2536" s="18">
        <v>131624</v>
      </c>
      <c r="N2536" s="18">
        <v>175000</v>
      </c>
      <c r="O2536" s="18">
        <v>96531.93</v>
      </c>
      <c r="P2536" s="26">
        <f t="shared" si="1382"/>
        <v>25000</v>
      </c>
      <c r="Q2536" s="18">
        <v>175000</v>
      </c>
      <c r="R2536" s="18">
        <v>180000</v>
      </c>
      <c r="S2536" s="18">
        <v>190000</v>
      </c>
      <c r="T2536" s="27">
        <v>200000</v>
      </c>
      <c r="U2536" s="27">
        <v>159451.88</v>
      </c>
      <c r="V2536" s="27">
        <v>175000</v>
      </c>
      <c r="W2536" s="27">
        <v>175000</v>
      </c>
      <c r="X2536" s="27">
        <v>175000</v>
      </c>
      <c r="Y2536" s="27">
        <v>35433.440000000002</v>
      </c>
      <c r="Z2536" s="27">
        <f t="shared" si="1364"/>
        <v>20.25</v>
      </c>
      <c r="AA2536" s="27">
        <f t="shared" si="1376"/>
        <v>0</v>
      </c>
      <c r="AB2536" s="27">
        <v>175000</v>
      </c>
      <c r="AC2536" s="27">
        <v>81843.039999999994</v>
      </c>
      <c r="AD2536" s="27">
        <f t="shared" si="1355"/>
        <v>46.767451428571427</v>
      </c>
      <c r="AE2536" s="27">
        <f t="shared" si="1365"/>
        <v>0</v>
      </c>
      <c r="AF2536" s="27">
        <v>175000</v>
      </c>
      <c r="AG2536" s="697">
        <v>135000</v>
      </c>
      <c r="AH2536" s="27">
        <v>175000</v>
      </c>
      <c r="AI2536" s="27">
        <v>175000</v>
      </c>
      <c r="AJ2536" s="162" t="b">
        <f t="shared" si="1368"/>
        <v>0</v>
      </c>
      <c r="AK2536" s="162" t="str">
        <f t="shared" si="1369"/>
        <v>PUNO</v>
      </c>
      <c r="AM2536" s="164"/>
    </row>
    <row r="2537" spans="1:46" s="264" customFormat="1" ht="31.5" x14ac:dyDescent="0.2">
      <c r="A2537" s="259"/>
      <c r="B2537" s="168"/>
      <c r="C2537" s="168"/>
      <c r="D2537" s="168"/>
      <c r="E2537" s="168"/>
      <c r="F2537" s="168"/>
      <c r="G2537" s="168"/>
      <c r="H2537" s="13" t="s">
        <v>622</v>
      </c>
      <c r="I2537" s="169">
        <f>I2539</f>
        <v>350000</v>
      </c>
      <c r="J2537" s="169">
        <f>J2539</f>
        <v>193160.55</v>
      </c>
      <c r="K2537" s="169">
        <f t="shared" si="1350"/>
        <v>55.19</v>
      </c>
      <c r="L2537" s="169">
        <f t="shared" si="1358"/>
        <v>56996.880000000005</v>
      </c>
      <c r="M2537" s="19">
        <f>M2539</f>
        <v>406996.88</v>
      </c>
      <c r="N2537" s="19">
        <f>N2539</f>
        <v>440000</v>
      </c>
      <c r="O2537" s="19">
        <f>O2539</f>
        <v>137648.06</v>
      </c>
      <c r="P2537" s="303">
        <f t="shared" si="1382"/>
        <v>300000</v>
      </c>
      <c r="Q2537" s="19">
        <f t="shared" ref="Q2537:X2537" si="1383">Q2539</f>
        <v>440000</v>
      </c>
      <c r="R2537" s="19">
        <f t="shared" si="1383"/>
        <v>450000</v>
      </c>
      <c r="S2537" s="19">
        <f t="shared" si="1383"/>
        <v>470000</v>
      </c>
      <c r="T2537" s="53">
        <f t="shared" si="1383"/>
        <v>740000</v>
      </c>
      <c r="U2537" s="53">
        <f>U2539</f>
        <v>739999.8</v>
      </c>
      <c r="V2537" s="19">
        <f t="shared" si="1383"/>
        <v>640000</v>
      </c>
      <c r="W2537" s="19">
        <f t="shared" si="1383"/>
        <v>640000</v>
      </c>
      <c r="X2537" s="19">
        <f t="shared" si="1383"/>
        <v>650000</v>
      </c>
      <c r="Y2537" s="19">
        <f>Y2539</f>
        <v>80639.23</v>
      </c>
      <c r="Z2537" s="19">
        <f t="shared" si="1364"/>
        <v>12.6</v>
      </c>
      <c r="AA2537" s="19">
        <f t="shared" si="1376"/>
        <v>0</v>
      </c>
      <c r="AB2537" s="19">
        <f>AB2539</f>
        <v>640000</v>
      </c>
      <c r="AC2537" s="19">
        <f>AC2539</f>
        <v>369932.20999999996</v>
      </c>
      <c r="AD2537" s="19">
        <f t="shared" si="1355"/>
        <v>57.801907812499998</v>
      </c>
      <c r="AE2537" s="19">
        <f t="shared" si="1365"/>
        <v>0</v>
      </c>
      <c r="AF2537" s="19">
        <f>AF2539</f>
        <v>640000</v>
      </c>
      <c r="AG2537" s="19">
        <f>AG2539</f>
        <v>380000</v>
      </c>
      <c r="AH2537" s="19">
        <f>AH2539</f>
        <v>380000</v>
      </c>
      <c r="AI2537" s="19">
        <f>AI2539</f>
        <v>380000</v>
      </c>
      <c r="AJ2537" s="162" t="b">
        <f t="shared" si="1368"/>
        <v>1</v>
      </c>
      <c r="AK2537" s="162" t="str">
        <f t="shared" si="1369"/>
        <v>PRAZNO</v>
      </c>
      <c r="AL2537" s="263"/>
    </row>
    <row r="2538" spans="1:46" s="264" customFormat="1" ht="15.75" x14ac:dyDescent="0.2">
      <c r="A2538" s="259"/>
      <c r="B2538" s="260"/>
      <c r="C2538" s="260"/>
      <c r="D2538" s="260"/>
      <c r="E2538" s="260"/>
      <c r="F2538" s="260"/>
      <c r="G2538" s="260"/>
      <c r="H2538" s="440" t="s">
        <v>824</v>
      </c>
      <c r="I2538" s="181"/>
      <c r="J2538" s="181"/>
      <c r="K2538" s="181"/>
      <c r="L2538" s="181"/>
      <c r="M2538" s="262"/>
      <c r="N2538" s="262"/>
      <c r="O2538" s="262"/>
      <c r="P2538" s="445"/>
      <c r="Q2538" s="262"/>
      <c r="R2538" s="262"/>
      <c r="S2538" s="262"/>
      <c r="T2538" s="342"/>
      <c r="U2538" s="342"/>
      <c r="V2538" s="262">
        <f>V2539</f>
        <v>640000</v>
      </c>
      <c r="W2538" s="262">
        <f>W2539</f>
        <v>640000</v>
      </c>
      <c r="X2538" s="262">
        <f>X2539</f>
        <v>650000</v>
      </c>
      <c r="Y2538" s="262">
        <f>Y2539</f>
        <v>80639.23</v>
      </c>
      <c r="Z2538" s="262">
        <f t="shared" si="1364"/>
        <v>12.6</v>
      </c>
      <c r="AA2538" s="262">
        <f t="shared" si="1376"/>
        <v>0</v>
      </c>
      <c r="AB2538" s="262">
        <f>AB2539</f>
        <v>640000</v>
      </c>
      <c r="AC2538" s="262">
        <f>AC2539</f>
        <v>369932.20999999996</v>
      </c>
      <c r="AD2538" s="262">
        <f t="shared" si="1355"/>
        <v>57.801907812499998</v>
      </c>
      <c r="AE2538" s="262">
        <f t="shared" si="1365"/>
        <v>0</v>
      </c>
      <c r="AF2538" s="262">
        <f>AF2539</f>
        <v>640000</v>
      </c>
      <c r="AG2538" s="262">
        <f>AG2539</f>
        <v>380000</v>
      </c>
      <c r="AH2538" s="262">
        <f>AH2539</f>
        <v>380000</v>
      </c>
      <c r="AI2538" s="262">
        <f>AI2539</f>
        <v>380000</v>
      </c>
      <c r="AJ2538" s="162" t="b">
        <f t="shared" si="1368"/>
        <v>1</v>
      </c>
      <c r="AK2538" s="162" t="str">
        <f t="shared" si="1369"/>
        <v>PRAZNO</v>
      </c>
      <c r="AL2538" s="263"/>
    </row>
    <row r="2539" spans="1:46" s="264" customFormat="1" ht="15.75" x14ac:dyDescent="0.2">
      <c r="A2539" s="259"/>
      <c r="B2539" s="172">
        <v>3</v>
      </c>
      <c r="C2539" s="172"/>
      <c r="D2539" s="172"/>
      <c r="E2539" s="172"/>
      <c r="F2539" s="172"/>
      <c r="G2539" s="172"/>
      <c r="H2539" s="14" t="s">
        <v>524</v>
      </c>
      <c r="I2539" s="20">
        <f t="shared" ref="I2539:AI2540" si="1384">I2540</f>
        <v>350000</v>
      </c>
      <c r="J2539" s="20">
        <f t="shared" si="1384"/>
        <v>193160.55</v>
      </c>
      <c r="K2539" s="20">
        <f t="shared" si="1350"/>
        <v>55.19</v>
      </c>
      <c r="L2539" s="20">
        <f t="shared" si="1358"/>
        <v>56996.880000000005</v>
      </c>
      <c r="M2539" s="20">
        <f t="shared" si="1384"/>
        <v>406996.88</v>
      </c>
      <c r="N2539" s="20">
        <f t="shared" si="1384"/>
        <v>440000</v>
      </c>
      <c r="O2539" s="20">
        <f t="shared" si="1384"/>
        <v>137648.06</v>
      </c>
      <c r="P2539" s="55">
        <f t="shared" si="1382"/>
        <v>300000</v>
      </c>
      <c r="Q2539" s="20">
        <f t="shared" si="1384"/>
        <v>440000</v>
      </c>
      <c r="R2539" s="20">
        <f t="shared" si="1384"/>
        <v>450000</v>
      </c>
      <c r="S2539" s="20">
        <f t="shared" si="1384"/>
        <v>470000</v>
      </c>
      <c r="T2539" s="55">
        <f t="shared" si="1384"/>
        <v>740000</v>
      </c>
      <c r="U2539" s="55">
        <f t="shared" si="1384"/>
        <v>739999.8</v>
      </c>
      <c r="V2539" s="20">
        <f t="shared" si="1384"/>
        <v>640000</v>
      </c>
      <c r="W2539" s="20">
        <f t="shared" si="1384"/>
        <v>640000</v>
      </c>
      <c r="X2539" s="20">
        <f t="shared" si="1384"/>
        <v>650000</v>
      </c>
      <c r="Y2539" s="20">
        <f t="shared" si="1384"/>
        <v>80639.23</v>
      </c>
      <c r="Z2539" s="20">
        <f t="shared" si="1364"/>
        <v>12.6</v>
      </c>
      <c r="AA2539" s="20">
        <f t="shared" si="1376"/>
        <v>0</v>
      </c>
      <c r="AB2539" s="20">
        <f t="shared" si="1384"/>
        <v>640000</v>
      </c>
      <c r="AC2539" s="20">
        <f t="shared" si="1384"/>
        <v>369932.20999999996</v>
      </c>
      <c r="AD2539" s="20">
        <f t="shared" si="1355"/>
        <v>57.801907812499998</v>
      </c>
      <c r="AE2539" s="20">
        <f t="shared" si="1365"/>
        <v>0</v>
      </c>
      <c r="AF2539" s="20">
        <f t="shared" si="1384"/>
        <v>640000</v>
      </c>
      <c r="AG2539" s="20">
        <f t="shared" si="1384"/>
        <v>380000</v>
      </c>
      <c r="AH2539" s="20">
        <f t="shared" si="1384"/>
        <v>380000</v>
      </c>
      <c r="AI2539" s="20">
        <f t="shared" si="1384"/>
        <v>380000</v>
      </c>
      <c r="AJ2539" s="162" t="b">
        <f t="shared" si="1368"/>
        <v>1</v>
      </c>
      <c r="AK2539" s="162" t="str">
        <f t="shared" si="1369"/>
        <v>PRAZNO</v>
      </c>
      <c r="AL2539" s="263"/>
    </row>
    <row r="2540" spans="1:46" s="644" customFormat="1" ht="15.75" x14ac:dyDescent="0.2">
      <c r="A2540" s="633"/>
      <c r="B2540" s="175"/>
      <c r="C2540" s="175">
        <v>36</v>
      </c>
      <c r="D2540" s="175"/>
      <c r="E2540" s="175"/>
      <c r="F2540" s="175"/>
      <c r="G2540" s="175"/>
      <c r="H2540" s="661" t="s">
        <v>751</v>
      </c>
      <c r="I2540" s="22">
        <f t="shared" si="1384"/>
        <v>350000</v>
      </c>
      <c r="J2540" s="22">
        <f t="shared" si="1384"/>
        <v>193160.55</v>
      </c>
      <c r="K2540" s="22">
        <f t="shared" si="1350"/>
        <v>55.19</v>
      </c>
      <c r="L2540" s="22">
        <f t="shared" si="1358"/>
        <v>56996.880000000005</v>
      </c>
      <c r="M2540" s="22">
        <f t="shared" si="1384"/>
        <v>406996.88</v>
      </c>
      <c r="N2540" s="22">
        <f t="shared" si="1384"/>
        <v>440000</v>
      </c>
      <c r="O2540" s="22">
        <f t="shared" si="1384"/>
        <v>137648.06</v>
      </c>
      <c r="P2540" s="38">
        <f t="shared" si="1382"/>
        <v>300000</v>
      </c>
      <c r="Q2540" s="22">
        <f t="shared" si="1384"/>
        <v>440000</v>
      </c>
      <c r="R2540" s="22">
        <f t="shared" si="1384"/>
        <v>450000</v>
      </c>
      <c r="S2540" s="22">
        <f t="shared" si="1384"/>
        <v>470000</v>
      </c>
      <c r="T2540" s="38">
        <f t="shared" si="1384"/>
        <v>740000</v>
      </c>
      <c r="U2540" s="38">
        <f t="shared" si="1384"/>
        <v>739999.8</v>
      </c>
      <c r="V2540" s="22">
        <f t="shared" si="1384"/>
        <v>640000</v>
      </c>
      <c r="W2540" s="22">
        <f t="shared" si="1384"/>
        <v>640000</v>
      </c>
      <c r="X2540" s="22">
        <f t="shared" si="1384"/>
        <v>650000</v>
      </c>
      <c r="Y2540" s="22">
        <f t="shared" si="1384"/>
        <v>80639.23</v>
      </c>
      <c r="Z2540" s="22">
        <f t="shared" si="1364"/>
        <v>12.6</v>
      </c>
      <c r="AA2540" s="22">
        <f t="shared" si="1376"/>
        <v>0</v>
      </c>
      <c r="AB2540" s="22">
        <f t="shared" si="1384"/>
        <v>640000</v>
      </c>
      <c r="AC2540" s="22">
        <f t="shared" si="1384"/>
        <v>369932.20999999996</v>
      </c>
      <c r="AD2540" s="22">
        <f t="shared" si="1355"/>
        <v>57.801907812499998</v>
      </c>
      <c r="AE2540" s="22">
        <f t="shared" si="1365"/>
        <v>0</v>
      </c>
      <c r="AF2540" s="22">
        <f t="shared" si="1384"/>
        <v>640000</v>
      </c>
      <c r="AG2540" s="22">
        <f t="shared" si="1384"/>
        <v>380000</v>
      </c>
      <c r="AH2540" s="22">
        <f t="shared" si="1384"/>
        <v>380000</v>
      </c>
      <c r="AI2540" s="22">
        <f t="shared" si="1384"/>
        <v>380000</v>
      </c>
      <c r="AJ2540" s="162" t="b">
        <f t="shared" si="1368"/>
        <v>1</v>
      </c>
      <c r="AK2540" s="162" t="str">
        <f t="shared" si="1369"/>
        <v>PRAZNO</v>
      </c>
      <c r="AL2540" s="643"/>
      <c r="AM2540" s="647"/>
    </row>
    <row r="2541" spans="1:46" ht="15.75" x14ac:dyDescent="0.2">
      <c r="B2541" s="177"/>
      <c r="C2541" s="177"/>
      <c r="D2541" s="177">
        <v>363</v>
      </c>
      <c r="E2541" s="177"/>
      <c r="F2541" s="177"/>
      <c r="G2541" s="177"/>
      <c r="H2541" s="16" t="s">
        <v>536</v>
      </c>
      <c r="I2541" s="17">
        <f>SUM(I2542:I2547)</f>
        <v>350000</v>
      </c>
      <c r="J2541" s="17">
        <f>SUM(J2542:J2547)</f>
        <v>193160.55</v>
      </c>
      <c r="K2541" s="17">
        <f t="shared" si="1350"/>
        <v>55.19</v>
      </c>
      <c r="L2541" s="17">
        <f t="shared" si="1358"/>
        <v>56996.880000000005</v>
      </c>
      <c r="M2541" s="17">
        <f>SUM(M2542:M2547)</f>
        <v>406996.88</v>
      </c>
      <c r="N2541" s="17">
        <f>SUM(N2542:N2547)</f>
        <v>440000</v>
      </c>
      <c r="O2541" s="17">
        <f>SUM(O2542:O2547)</f>
        <v>137648.06</v>
      </c>
      <c r="P2541" s="26">
        <f t="shared" si="1382"/>
        <v>300000</v>
      </c>
      <c r="Q2541" s="17">
        <f t="shared" ref="Q2541:X2541" si="1385">SUM(Q2542:Q2547)</f>
        <v>440000</v>
      </c>
      <c r="R2541" s="17">
        <f t="shared" si="1385"/>
        <v>450000</v>
      </c>
      <c r="S2541" s="17">
        <f t="shared" si="1385"/>
        <v>470000</v>
      </c>
      <c r="T2541" s="26">
        <f t="shared" si="1385"/>
        <v>740000</v>
      </c>
      <c r="U2541" s="26">
        <f>SUM(U2542:U2547)</f>
        <v>739999.8</v>
      </c>
      <c r="V2541" s="17">
        <f t="shared" si="1385"/>
        <v>640000</v>
      </c>
      <c r="W2541" s="17">
        <f t="shared" si="1385"/>
        <v>640000</v>
      </c>
      <c r="X2541" s="17">
        <f t="shared" si="1385"/>
        <v>650000</v>
      </c>
      <c r="Y2541" s="17">
        <f>SUM(Y2542:Y2547)</f>
        <v>80639.23</v>
      </c>
      <c r="Z2541" s="17">
        <f t="shared" si="1364"/>
        <v>12.6</v>
      </c>
      <c r="AA2541" s="17">
        <f t="shared" si="1376"/>
        <v>0</v>
      </c>
      <c r="AB2541" s="17">
        <f>SUM(AB2542:AB2547)</f>
        <v>640000</v>
      </c>
      <c r="AC2541" s="17">
        <f>SUM(AC2542:AC2547)</f>
        <v>369932.20999999996</v>
      </c>
      <c r="AD2541" s="17">
        <f t="shared" si="1355"/>
        <v>57.801907812499998</v>
      </c>
      <c r="AE2541" s="17">
        <f t="shared" si="1365"/>
        <v>0</v>
      </c>
      <c r="AF2541" s="17">
        <f>SUM(AF2542:AF2547)</f>
        <v>640000</v>
      </c>
      <c r="AG2541" s="17">
        <f>SUM(AG2542:AG2547)</f>
        <v>380000</v>
      </c>
      <c r="AH2541" s="17">
        <f>SUM(AH2542:AH2547)</f>
        <v>380000</v>
      </c>
      <c r="AI2541" s="17">
        <f>SUM(AI2542:AI2547)</f>
        <v>380000</v>
      </c>
      <c r="AJ2541" s="162" t="b">
        <f t="shared" si="1368"/>
        <v>1</v>
      </c>
      <c r="AK2541" s="162" t="str">
        <f t="shared" si="1369"/>
        <v>PRAZNO</v>
      </c>
      <c r="AM2541" s="164"/>
    </row>
    <row r="2542" spans="1:46" ht="41.25" customHeight="1" x14ac:dyDescent="0.2">
      <c r="B2542" s="177"/>
      <c r="C2542" s="177"/>
      <c r="D2542" s="177"/>
      <c r="E2542" s="177">
        <v>3632</v>
      </c>
      <c r="F2542" s="176">
        <v>11</v>
      </c>
      <c r="G2542" s="176" t="s">
        <v>1040</v>
      </c>
      <c r="H2542" s="16" t="s">
        <v>391</v>
      </c>
      <c r="I2542" s="215">
        <v>100000</v>
      </c>
      <c r="J2542" s="215">
        <v>22000</v>
      </c>
      <c r="K2542" s="215">
        <f t="shared" si="1350"/>
        <v>22</v>
      </c>
      <c r="L2542" s="215">
        <f t="shared" si="1358"/>
        <v>-100000</v>
      </c>
      <c r="M2542" s="215"/>
      <c r="N2542" s="215">
        <v>0</v>
      </c>
      <c r="O2542" s="215">
        <v>0</v>
      </c>
      <c r="P2542" s="26">
        <f t="shared" si="1382"/>
        <v>0</v>
      </c>
      <c r="Q2542" s="215">
        <v>0</v>
      </c>
      <c r="R2542" s="215">
        <v>200000</v>
      </c>
      <c r="S2542" s="215">
        <v>220000</v>
      </c>
      <c r="T2542" s="214"/>
      <c r="U2542" s="214"/>
      <c r="V2542" s="215"/>
      <c r="W2542" s="215"/>
      <c r="X2542" s="215"/>
      <c r="Y2542" s="215"/>
      <c r="Z2542" s="215" t="e">
        <f t="shared" si="1364"/>
        <v>#DIV/0!</v>
      </c>
      <c r="AA2542" s="215">
        <f t="shared" si="1376"/>
        <v>0</v>
      </c>
      <c r="AB2542" s="215"/>
      <c r="AC2542" s="215"/>
      <c r="AD2542" s="215"/>
      <c r="AE2542" s="215">
        <f t="shared" si="1365"/>
        <v>0</v>
      </c>
      <c r="AF2542" s="215"/>
      <c r="AG2542" s="215"/>
      <c r="AH2542" s="215"/>
      <c r="AI2542" s="215"/>
      <c r="AJ2542" s="162" t="b">
        <f t="shared" si="1368"/>
        <v>0</v>
      </c>
      <c r="AK2542" s="162" t="str">
        <f t="shared" si="1369"/>
        <v>PUNO</v>
      </c>
      <c r="AM2542" s="164"/>
    </row>
    <row r="2543" spans="1:46" ht="30" x14ac:dyDescent="0.2">
      <c r="B2543" s="177"/>
      <c r="C2543" s="177"/>
      <c r="D2543" s="177"/>
      <c r="E2543" s="177">
        <v>3632</v>
      </c>
      <c r="F2543" s="176">
        <v>18</v>
      </c>
      <c r="G2543" s="176" t="s">
        <v>1040</v>
      </c>
      <c r="H2543" s="16" t="s">
        <v>735</v>
      </c>
      <c r="I2543" s="215"/>
      <c r="J2543" s="215"/>
      <c r="K2543" s="215"/>
      <c r="L2543" s="215"/>
      <c r="M2543" s="215">
        <v>62000</v>
      </c>
      <c r="N2543" s="215"/>
      <c r="O2543" s="215"/>
      <c r="P2543" s="26">
        <f t="shared" si="1382"/>
        <v>0</v>
      </c>
      <c r="Q2543" s="215"/>
      <c r="R2543" s="215"/>
      <c r="S2543" s="215"/>
      <c r="T2543" s="214"/>
      <c r="U2543" s="214"/>
      <c r="V2543" s="215"/>
      <c r="W2543" s="215"/>
      <c r="X2543" s="215"/>
      <c r="Y2543" s="215"/>
      <c r="Z2543" s="215" t="e">
        <f t="shared" si="1364"/>
        <v>#DIV/0!</v>
      </c>
      <c r="AA2543" s="215">
        <f t="shared" si="1376"/>
        <v>0</v>
      </c>
      <c r="AB2543" s="215"/>
      <c r="AC2543" s="215"/>
      <c r="AD2543" s="215"/>
      <c r="AE2543" s="215">
        <f t="shared" si="1365"/>
        <v>0</v>
      </c>
      <c r="AF2543" s="215"/>
      <c r="AG2543" s="215"/>
      <c r="AH2543" s="215"/>
      <c r="AI2543" s="215"/>
      <c r="AJ2543" s="162" t="b">
        <f t="shared" si="1368"/>
        <v>0</v>
      </c>
      <c r="AK2543" s="162" t="str">
        <f t="shared" si="1369"/>
        <v>PUNO</v>
      </c>
      <c r="AM2543" s="164"/>
    </row>
    <row r="2544" spans="1:46" ht="30" x14ac:dyDescent="0.2">
      <c r="B2544" s="177"/>
      <c r="C2544" s="177"/>
      <c r="D2544" s="177"/>
      <c r="E2544" s="177">
        <v>3632</v>
      </c>
      <c r="F2544" s="176">
        <v>71</v>
      </c>
      <c r="G2544" s="176" t="s">
        <v>1040</v>
      </c>
      <c r="H2544" s="16" t="s">
        <v>735</v>
      </c>
      <c r="I2544" s="215"/>
      <c r="J2544" s="215"/>
      <c r="K2544" s="215"/>
      <c r="L2544" s="215"/>
      <c r="M2544" s="215">
        <v>95000</v>
      </c>
      <c r="N2544" s="215"/>
      <c r="O2544" s="215"/>
      <c r="P2544" s="26">
        <f t="shared" si="1382"/>
        <v>0</v>
      </c>
      <c r="Q2544" s="215"/>
      <c r="R2544" s="215"/>
      <c r="S2544" s="215"/>
      <c r="T2544" s="214"/>
      <c r="U2544" s="214"/>
      <c r="V2544" s="215"/>
      <c r="W2544" s="215"/>
      <c r="X2544" s="215"/>
      <c r="Y2544" s="215"/>
      <c r="Z2544" s="215" t="e">
        <f t="shared" si="1364"/>
        <v>#DIV/0!</v>
      </c>
      <c r="AA2544" s="215">
        <f t="shared" si="1376"/>
        <v>0</v>
      </c>
      <c r="AB2544" s="215"/>
      <c r="AC2544" s="215"/>
      <c r="AD2544" s="215"/>
      <c r="AE2544" s="215">
        <f t="shared" si="1365"/>
        <v>0</v>
      </c>
      <c r="AF2544" s="215"/>
      <c r="AG2544" s="215"/>
      <c r="AH2544" s="215"/>
      <c r="AI2544" s="215"/>
      <c r="AJ2544" s="162" t="b">
        <f t="shared" si="1368"/>
        <v>0</v>
      </c>
      <c r="AK2544" s="162" t="str">
        <f t="shared" si="1369"/>
        <v>PUNO</v>
      </c>
      <c r="AM2544" s="164"/>
    </row>
    <row r="2545" spans="1:39" ht="30" x14ac:dyDescent="0.2">
      <c r="B2545" s="177"/>
      <c r="C2545" s="177"/>
      <c r="D2545" s="177"/>
      <c r="E2545" s="177">
        <v>3632</v>
      </c>
      <c r="F2545" s="176">
        <v>71</v>
      </c>
      <c r="G2545" s="292" t="s">
        <v>1040</v>
      </c>
      <c r="H2545" s="16" t="s">
        <v>725</v>
      </c>
      <c r="I2545" s="215"/>
      <c r="J2545" s="215"/>
      <c r="K2545" s="215"/>
      <c r="L2545" s="215"/>
      <c r="M2545" s="215">
        <v>236452.88</v>
      </c>
      <c r="N2545" s="215"/>
      <c r="O2545" s="215"/>
      <c r="P2545" s="26">
        <f t="shared" si="1382"/>
        <v>0</v>
      </c>
      <c r="Q2545" s="215"/>
      <c r="R2545" s="215"/>
      <c r="S2545" s="215"/>
      <c r="T2545" s="214"/>
      <c r="U2545" s="214"/>
      <c r="V2545" s="215"/>
      <c r="W2545" s="215"/>
      <c r="X2545" s="215"/>
      <c r="Y2545" s="215"/>
      <c r="Z2545" s="215" t="e">
        <f t="shared" si="1364"/>
        <v>#DIV/0!</v>
      </c>
      <c r="AA2545" s="215">
        <f t="shared" si="1376"/>
        <v>0</v>
      </c>
      <c r="AB2545" s="215"/>
      <c r="AC2545" s="215"/>
      <c r="AD2545" s="215"/>
      <c r="AE2545" s="215">
        <f t="shared" si="1365"/>
        <v>0</v>
      </c>
      <c r="AF2545" s="215"/>
      <c r="AG2545" s="215"/>
      <c r="AH2545" s="215"/>
      <c r="AI2545" s="215"/>
      <c r="AJ2545" s="162" t="b">
        <f t="shared" si="1368"/>
        <v>0</v>
      </c>
      <c r="AK2545" s="162" t="str">
        <f t="shared" si="1369"/>
        <v>PUNO</v>
      </c>
      <c r="AM2545" s="164"/>
    </row>
    <row r="2546" spans="1:39" ht="30" x14ac:dyDescent="0.2">
      <c r="B2546" s="177"/>
      <c r="C2546" s="177"/>
      <c r="D2546" s="177"/>
      <c r="E2546" s="177">
        <v>3632</v>
      </c>
      <c r="F2546" s="176">
        <v>11</v>
      </c>
      <c r="G2546" s="292"/>
      <c r="H2546" s="16" t="s">
        <v>922</v>
      </c>
      <c r="I2546" s="215"/>
      <c r="J2546" s="215"/>
      <c r="K2546" s="215"/>
      <c r="L2546" s="215"/>
      <c r="M2546" s="215"/>
      <c r="N2546" s="215">
        <v>190000</v>
      </c>
      <c r="O2546" s="215">
        <v>8000</v>
      </c>
      <c r="P2546" s="26">
        <f t="shared" si="1382"/>
        <v>300000</v>
      </c>
      <c r="Q2546" s="215"/>
      <c r="R2546" s="215"/>
      <c r="S2546" s="215"/>
      <c r="T2546" s="214">
        <f>190000+300000</f>
        <v>490000</v>
      </c>
      <c r="U2546" s="214">
        <v>490000</v>
      </c>
      <c r="V2546" s="214">
        <f>190000+200000</f>
        <v>390000</v>
      </c>
      <c r="W2546" s="214">
        <v>390000</v>
      </c>
      <c r="X2546" s="215">
        <v>395000</v>
      </c>
      <c r="Y2546" s="214">
        <v>0</v>
      </c>
      <c r="Z2546" s="214">
        <f t="shared" si="1364"/>
        <v>0</v>
      </c>
      <c r="AA2546" s="214">
        <f t="shared" si="1376"/>
        <v>0</v>
      </c>
      <c r="AB2546" s="214">
        <v>390000</v>
      </c>
      <c r="AC2546" s="214">
        <v>200000</v>
      </c>
      <c r="AD2546" s="214">
        <f t="shared" ref="AD2546:AD2594" si="1386">AC2546/AB2546*100</f>
        <v>51.282051282051277</v>
      </c>
      <c r="AE2546" s="214">
        <f t="shared" si="1365"/>
        <v>0</v>
      </c>
      <c r="AF2546" s="214">
        <v>390000</v>
      </c>
      <c r="AG2546" s="699">
        <v>200000</v>
      </c>
      <c r="AH2546" s="699">
        <v>200000</v>
      </c>
      <c r="AI2546" s="699">
        <v>200000</v>
      </c>
      <c r="AJ2546" s="162" t="b">
        <f t="shared" si="1368"/>
        <v>0</v>
      </c>
      <c r="AK2546" s="162" t="str">
        <f t="shared" si="1369"/>
        <v>PUNO</v>
      </c>
      <c r="AM2546" s="164"/>
    </row>
    <row r="2547" spans="1:39" ht="30" x14ac:dyDescent="0.2">
      <c r="B2547" s="177"/>
      <c r="C2547" s="177"/>
      <c r="D2547" s="177"/>
      <c r="E2547" s="177">
        <v>3632</v>
      </c>
      <c r="F2547" s="176">
        <v>11</v>
      </c>
      <c r="G2547" s="176" t="s">
        <v>1040</v>
      </c>
      <c r="H2547" s="16" t="s">
        <v>392</v>
      </c>
      <c r="I2547" s="18">
        <v>250000</v>
      </c>
      <c r="J2547" s="18">
        <v>171160.55</v>
      </c>
      <c r="K2547" s="18">
        <f t="shared" si="1350"/>
        <v>68.459999999999994</v>
      </c>
      <c r="L2547" s="18">
        <f t="shared" si="1358"/>
        <v>-236456</v>
      </c>
      <c r="M2547" s="18">
        <v>13544</v>
      </c>
      <c r="N2547" s="18">
        <v>250000</v>
      </c>
      <c r="O2547" s="18">
        <v>129648.06</v>
      </c>
      <c r="P2547" s="26">
        <f t="shared" si="1382"/>
        <v>0</v>
      </c>
      <c r="Q2547" s="18">
        <v>440000</v>
      </c>
      <c r="R2547" s="18">
        <v>250000</v>
      </c>
      <c r="S2547" s="18">
        <v>250000</v>
      </c>
      <c r="T2547" s="27">
        <v>250000</v>
      </c>
      <c r="U2547" s="27">
        <v>249999.8</v>
      </c>
      <c r="V2547" s="27">
        <v>250000</v>
      </c>
      <c r="W2547" s="27">
        <v>250000</v>
      </c>
      <c r="X2547" s="18">
        <v>255000</v>
      </c>
      <c r="Y2547" s="27">
        <v>80639.23</v>
      </c>
      <c r="Z2547" s="27">
        <f t="shared" si="1364"/>
        <v>32.26</v>
      </c>
      <c r="AA2547" s="27">
        <f t="shared" si="1376"/>
        <v>0</v>
      </c>
      <c r="AB2547" s="27">
        <v>250000</v>
      </c>
      <c r="AC2547" s="27">
        <v>169932.21</v>
      </c>
      <c r="AD2547" s="27">
        <f t="shared" si="1386"/>
        <v>67.972883999999993</v>
      </c>
      <c r="AE2547" s="27">
        <f t="shared" si="1365"/>
        <v>0</v>
      </c>
      <c r="AF2547" s="27">
        <v>250000</v>
      </c>
      <c r="AG2547" s="697">
        <v>180000</v>
      </c>
      <c r="AH2547" s="697">
        <v>180000</v>
      </c>
      <c r="AI2547" s="697">
        <v>180000</v>
      </c>
      <c r="AJ2547" s="162" t="b">
        <f t="shared" si="1368"/>
        <v>0</v>
      </c>
      <c r="AK2547" s="162" t="str">
        <f t="shared" si="1369"/>
        <v>PUNO</v>
      </c>
      <c r="AM2547" s="164"/>
    </row>
    <row r="2548" spans="1:39" s="264" customFormat="1" ht="31.5" x14ac:dyDescent="0.2">
      <c r="A2548" s="259"/>
      <c r="B2548" s="194"/>
      <c r="C2548" s="194"/>
      <c r="D2548" s="194"/>
      <c r="E2548" s="194"/>
      <c r="F2548" s="159"/>
      <c r="G2548" s="159"/>
      <c r="H2548" s="24" t="s">
        <v>494</v>
      </c>
      <c r="I2548" s="196">
        <f>I2554</f>
        <v>1280000</v>
      </c>
      <c r="J2548" s="196">
        <f>J2554</f>
        <v>1018558.21</v>
      </c>
      <c r="K2548" s="196">
        <f t="shared" si="1350"/>
        <v>79.569999999999993</v>
      </c>
      <c r="L2548" s="196">
        <f t="shared" si="1358"/>
        <v>0</v>
      </c>
      <c r="M2548" s="195">
        <f>M2554</f>
        <v>1280000</v>
      </c>
      <c r="N2548" s="195">
        <f>N2554</f>
        <v>1390000</v>
      </c>
      <c r="O2548" s="195">
        <f>O2554</f>
        <v>982667.17</v>
      </c>
      <c r="P2548" s="351">
        <f t="shared" si="1382"/>
        <v>200000</v>
      </c>
      <c r="Q2548" s="195">
        <f t="shared" ref="Q2548:X2548" si="1387">Q2554</f>
        <v>1390000</v>
      </c>
      <c r="R2548" s="195">
        <f t="shared" si="1387"/>
        <v>1380000</v>
      </c>
      <c r="S2548" s="195">
        <f t="shared" si="1387"/>
        <v>1385000</v>
      </c>
      <c r="T2548" s="197">
        <f t="shared" si="1387"/>
        <v>1590000</v>
      </c>
      <c r="U2548" s="197">
        <f>U2554</f>
        <v>1590000</v>
      </c>
      <c r="V2548" s="195">
        <f t="shared" si="1387"/>
        <v>1390000</v>
      </c>
      <c r="W2548" s="195">
        <f t="shared" si="1387"/>
        <v>1390000</v>
      </c>
      <c r="X2548" s="195">
        <f t="shared" si="1387"/>
        <v>1431000</v>
      </c>
      <c r="Y2548" s="195">
        <f>Y2554</f>
        <v>693907.72</v>
      </c>
      <c r="Z2548" s="195">
        <f t="shared" si="1364"/>
        <v>49.92</v>
      </c>
      <c r="AA2548" s="195">
        <f t="shared" si="1376"/>
        <v>230000</v>
      </c>
      <c r="AB2548" s="195">
        <f>AB2554</f>
        <v>1620000</v>
      </c>
      <c r="AC2548" s="195">
        <f>AC2554</f>
        <v>1317130.68</v>
      </c>
      <c r="AD2548" s="195">
        <f t="shared" si="1386"/>
        <v>81.304362962962955</v>
      </c>
      <c r="AE2548" s="195">
        <f t="shared" si="1365"/>
        <v>0</v>
      </c>
      <c r="AF2548" s="195">
        <f>AF2554</f>
        <v>1620000</v>
      </c>
      <c r="AG2548" s="195">
        <f>AG2550</f>
        <v>2032500</v>
      </c>
      <c r="AH2548" s="195">
        <f>AH2550</f>
        <v>1590000</v>
      </c>
      <c r="AI2548" s="195">
        <f>AI2550</f>
        <v>1590000</v>
      </c>
      <c r="AJ2548" s="162" t="b">
        <f t="shared" si="1368"/>
        <v>1</v>
      </c>
      <c r="AK2548" s="162" t="str">
        <f t="shared" si="1369"/>
        <v>PRAZNO</v>
      </c>
      <c r="AL2548" s="263"/>
    </row>
    <row r="2549" spans="1:39" s="264" customFormat="1" ht="21.75" customHeight="1" x14ac:dyDescent="0.2">
      <c r="A2549" s="259"/>
      <c r="B2549" s="194"/>
      <c r="C2549" s="194"/>
      <c r="D2549" s="194"/>
      <c r="E2549" s="194"/>
      <c r="F2549" s="159"/>
      <c r="G2549" s="159"/>
      <c r="H2549" s="11" t="s">
        <v>487</v>
      </c>
      <c r="I2549" s="196"/>
      <c r="J2549" s="196"/>
      <c r="K2549" s="196"/>
      <c r="L2549" s="196"/>
      <c r="M2549" s="195"/>
      <c r="N2549" s="195"/>
      <c r="O2549" s="195"/>
      <c r="P2549" s="353"/>
      <c r="Q2549" s="195"/>
      <c r="R2549" s="195"/>
      <c r="S2549" s="195"/>
      <c r="T2549" s="197"/>
      <c r="U2549" s="197"/>
      <c r="V2549" s="195"/>
      <c r="W2549" s="195"/>
      <c r="X2549" s="195"/>
      <c r="Y2549" s="195"/>
      <c r="Z2549" s="195"/>
      <c r="AA2549" s="195"/>
      <c r="AB2549" s="195"/>
      <c r="AC2549" s="195"/>
      <c r="AD2549" s="195"/>
      <c r="AE2549" s="195"/>
      <c r="AF2549" s="195"/>
      <c r="AG2549" s="195"/>
      <c r="AH2549" s="195"/>
      <c r="AI2549" s="195"/>
      <c r="AJ2549" s="162" t="b">
        <f t="shared" si="1368"/>
        <v>1</v>
      </c>
      <c r="AK2549" s="162" t="str">
        <f t="shared" si="1369"/>
        <v>PRAZNO</v>
      </c>
      <c r="AL2549" s="263"/>
    </row>
    <row r="2550" spans="1:39" s="264" customFormat="1" ht="15.75" x14ac:dyDescent="0.2">
      <c r="A2550" s="259"/>
      <c r="B2550" s="209"/>
      <c r="C2550" s="209"/>
      <c r="D2550" s="209"/>
      <c r="E2550" s="209"/>
      <c r="F2550" s="209"/>
      <c r="G2550" s="209"/>
      <c r="H2550" s="12" t="s">
        <v>117</v>
      </c>
      <c r="I2550" s="302">
        <f>I2552</f>
        <v>1280000</v>
      </c>
      <c r="J2550" s="302">
        <f>J2552</f>
        <v>1018558.21</v>
      </c>
      <c r="K2550" s="302">
        <f t="shared" si="1350"/>
        <v>79.569999999999993</v>
      </c>
      <c r="L2550" s="302">
        <f t="shared" si="1358"/>
        <v>0</v>
      </c>
      <c r="M2550" s="302">
        <f>M2552</f>
        <v>1280000</v>
      </c>
      <c r="N2550" s="302">
        <f>N2552</f>
        <v>1390000</v>
      </c>
      <c r="O2550" s="302">
        <f>O2552</f>
        <v>982667.17</v>
      </c>
      <c r="P2550" s="303">
        <f t="shared" si="1382"/>
        <v>200000</v>
      </c>
      <c r="Q2550" s="302">
        <f t="shared" ref="Q2550:X2550" si="1388">Q2552</f>
        <v>1390000</v>
      </c>
      <c r="R2550" s="302">
        <f t="shared" si="1388"/>
        <v>1380000</v>
      </c>
      <c r="S2550" s="302">
        <f t="shared" si="1388"/>
        <v>1385000</v>
      </c>
      <c r="T2550" s="303">
        <f t="shared" si="1388"/>
        <v>1590000</v>
      </c>
      <c r="U2550" s="303">
        <f>U2552</f>
        <v>1590000</v>
      </c>
      <c r="V2550" s="302">
        <f t="shared" si="1388"/>
        <v>1390000</v>
      </c>
      <c r="W2550" s="302">
        <f t="shared" si="1388"/>
        <v>1390000</v>
      </c>
      <c r="X2550" s="302">
        <f t="shared" si="1388"/>
        <v>1431000</v>
      </c>
      <c r="Y2550" s="302">
        <f>Y2552</f>
        <v>693907.72</v>
      </c>
      <c r="Z2550" s="302">
        <f t="shared" si="1364"/>
        <v>49.92</v>
      </c>
      <c r="AA2550" s="302">
        <f t="shared" si="1376"/>
        <v>230000</v>
      </c>
      <c r="AB2550" s="302">
        <f>AB2552</f>
        <v>1620000</v>
      </c>
      <c r="AC2550" s="302">
        <f>AC2552</f>
        <v>1317130.68</v>
      </c>
      <c r="AD2550" s="302">
        <f t="shared" si="1386"/>
        <v>81.304362962962955</v>
      </c>
      <c r="AE2550" s="302">
        <f t="shared" si="1365"/>
        <v>0</v>
      </c>
      <c r="AF2550" s="302">
        <f>AF2552</f>
        <v>1620000</v>
      </c>
      <c r="AG2550" s="302">
        <f>AG2552+AG2559</f>
        <v>2032500</v>
      </c>
      <c r="AH2550" s="302">
        <f>AH2552+AH2559</f>
        <v>1590000</v>
      </c>
      <c r="AI2550" s="302">
        <f>AI2552+AI2559</f>
        <v>1590000</v>
      </c>
      <c r="AJ2550" s="162" t="b">
        <f t="shared" si="1368"/>
        <v>1</v>
      </c>
      <c r="AK2550" s="162" t="str">
        <f t="shared" si="1369"/>
        <v>PRAZNO</v>
      </c>
      <c r="AL2550" s="263"/>
    </row>
    <row r="2551" spans="1:39" s="264" customFormat="1" ht="31.5" x14ac:dyDescent="0.2">
      <c r="A2551" s="259"/>
      <c r="B2551" s="209"/>
      <c r="C2551" s="209"/>
      <c r="D2551" s="209"/>
      <c r="E2551" s="209"/>
      <c r="F2551" s="209"/>
      <c r="G2551" s="209"/>
      <c r="H2551" s="12" t="s">
        <v>306</v>
      </c>
      <c r="I2551" s="302"/>
      <c r="J2551" s="302"/>
      <c r="K2551" s="302"/>
      <c r="L2551" s="302"/>
      <c r="M2551" s="302"/>
      <c r="N2551" s="169"/>
      <c r="O2551" s="169"/>
      <c r="P2551" s="205"/>
      <c r="Q2551" s="169"/>
      <c r="R2551" s="169"/>
      <c r="S2551" s="169"/>
      <c r="T2551" s="205"/>
      <c r="U2551" s="205"/>
      <c r="V2551" s="169"/>
      <c r="W2551" s="169"/>
      <c r="X2551" s="169"/>
      <c r="Y2551" s="169"/>
      <c r="Z2551" s="169"/>
      <c r="AA2551" s="169"/>
      <c r="AB2551" s="169"/>
      <c r="AC2551" s="169"/>
      <c r="AD2551" s="169"/>
      <c r="AE2551" s="169">
        <f t="shared" si="1365"/>
        <v>0</v>
      </c>
      <c r="AF2551" s="169"/>
      <c r="AG2551" s="169"/>
      <c r="AH2551" s="169"/>
      <c r="AI2551" s="169"/>
      <c r="AJ2551" s="162" t="b">
        <f t="shared" si="1368"/>
        <v>1</v>
      </c>
      <c r="AK2551" s="162" t="str">
        <f t="shared" si="1369"/>
        <v>PRAZNO</v>
      </c>
      <c r="AL2551" s="263"/>
    </row>
    <row r="2552" spans="1:39" s="264" customFormat="1" ht="31.5" x14ac:dyDescent="0.2">
      <c r="A2552" s="259"/>
      <c r="B2552" s="209"/>
      <c r="C2552" s="209"/>
      <c r="D2552" s="209"/>
      <c r="E2552" s="209"/>
      <c r="F2552" s="209"/>
      <c r="G2552" s="209"/>
      <c r="H2552" s="12" t="s">
        <v>872</v>
      </c>
      <c r="I2552" s="302">
        <f>I2554</f>
        <v>1280000</v>
      </c>
      <c r="J2552" s="302">
        <f>J2554</f>
        <v>1018558.21</v>
      </c>
      <c r="K2552" s="302">
        <f>ROUND(J2552/I2552*100,2)</f>
        <v>79.569999999999993</v>
      </c>
      <c r="L2552" s="302">
        <f t="shared" si="1358"/>
        <v>0</v>
      </c>
      <c r="M2552" s="302">
        <f>M2554</f>
        <v>1280000</v>
      </c>
      <c r="N2552" s="302">
        <f>N2554</f>
        <v>1390000</v>
      </c>
      <c r="O2552" s="302">
        <f>O2554</f>
        <v>982667.17</v>
      </c>
      <c r="P2552" s="303">
        <f t="shared" si="1382"/>
        <v>200000</v>
      </c>
      <c r="Q2552" s="169">
        <f t="shared" ref="Q2552:X2552" si="1389">Q2554</f>
        <v>1390000</v>
      </c>
      <c r="R2552" s="169">
        <f t="shared" si="1389"/>
        <v>1380000</v>
      </c>
      <c r="S2552" s="169">
        <f t="shared" si="1389"/>
        <v>1385000</v>
      </c>
      <c r="T2552" s="303">
        <f t="shared" si="1389"/>
        <v>1590000</v>
      </c>
      <c r="U2552" s="303">
        <f>U2554</f>
        <v>1590000</v>
      </c>
      <c r="V2552" s="302">
        <f t="shared" si="1389"/>
        <v>1390000</v>
      </c>
      <c r="W2552" s="302">
        <f t="shared" si="1389"/>
        <v>1390000</v>
      </c>
      <c r="X2552" s="302">
        <f t="shared" si="1389"/>
        <v>1431000</v>
      </c>
      <c r="Y2552" s="302">
        <f>Y2554</f>
        <v>693907.72</v>
      </c>
      <c r="Z2552" s="302">
        <f t="shared" si="1364"/>
        <v>49.92</v>
      </c>
      <c r="AA2552" s="302">
        <f t="shared" si="1376"/>
        <v>230000</v>
      </c>
      <c r="AB2552" s="302">
        <f>AB2554</f>
        <v>1620000</v>
      </c>
      <c r="AC2552" s="302">
        <f>AC2554</f>
        <v>1317130.68</v>
      </c>
      <c r="AD2552" s="302">
        <f t="shared" si="1386"/>
        <v>81.304362962962955</v>
      </c>
      <c r="AE2552" s="302">
        <f t="shared" si="1365"/>
        <v>0</v>
      </c>
      <c r="AF2552" s="302">
        <f>AF2554</f>
        <v>1620000</v>
      </c>
      <c r="AG2552" s="302">
        <f>AG2554</f>
        <v>1590000</v>
      </c>
      <c r="AH2552" s="302">
        <f>AH2554</f>
        <v>1590000</v>
      </c>
      <c r="AI2552" s="302">
        <f>AI2554</f>
        <v>1590000</v>
      </c>
      <c r="AJ2552" s="162" t="b">
        <f t="shared" si="1368"/>
        <v>1</v>
      </c>
      <c r="AK2552" s="162" t="str">
        <f t="shared" si="1369"/>
        <v>PRAZNO</v>
      </c>
      <c r="AL2552" s="263"/>
    </row>
    <row r="2553" spans="1:39" s="264" customFormat="1" ht="15.75" x14ac:dyDescent="0.2">
      <c r="A2553" s="259"/>
      <c r="B2553" s="177"/>
      <c r="C2553" s="177"/>
      <c r="D2553" s="177"/>
      <c r="E2553" s="177"/>
      <c r="F2553" s="177"/>
      <c r="G2553" s="177"/>
      <c r="H2553" s="441" t="s">
        <v>824</v>
      </c>
      <c r="I2553" s="406"/>
      <c r="J2553" s="406"/>
      <c r="K2553" s="406"/>
      <c r="L2553" s="406"/>
      <c r="M2553" s="406"/>
      <c r="N2553" s="406"/>
      <c r="O2553" s="406"/>
      <c r="P2553" s="445"/>
      <c r="Q2553" s="181"/>
      <c r="R2553" s="181"/>
      <c r="S2553" s="181"/>
      <c r="T2553" s="445"/>
      <c r="U2553" s="445"/>
      <c r="V2553" s="406">
        <f>V2554</f>
        <v>1390000</v>
      </c>
      <c r="W2553" s="406">
        <f>W2554</f>
        <v>1390000</v>
      </c>
      <c r="X2553" s="406">
        <f>X2554</f>
        <v>1431000</v>
      </c>
      <c r="Y2553" s="406">
        <f>Y2554</f>
        <v>693907.72</v>
      </c>
      <c r="Z2553" s="406">
        <f t="shared" si="1364"/>
        <v>49.92</v>
      </c>
      <c r="AA2553" s="406">
        <f t="shared" si="1376"/>
        <v>230000</v>
      </c>
      <c r="AB2553" s="406">
        <f>AB2554</f>
        <v>1620000</v>
      </c>
      <c r="AC2553" s="406">
        <f>AC2554</f>
        <v>1317130.68</v>
      </c>
      <c r="AD2553" s="406">
        <f t="shared" si="1386"/>
        <v>81.304362962962955</v>
      </c>
      <c r="AE2553" s="406">
        <f t="shared" si="1365"/>
        <v>0</v>
      </c>
      <c r="AF2553" s="406">
        <f>AF2554</f>
        <v>1620000</v>
      </c>
      <c r="AG2553" s="406">
        <f>AG2554</f>
        <v>1590000</v>
      </c>
      <c r="AH2553" s="406">
        <f>AH2554</f>
        <v>1590000</v>
      </c>
      <c r="AI2553" s="406">
        <f>AI2554</f>
        <v>1590000</v>
      </c>
      <c r="AJ2553" s="162" t="b">
        <f t="shared" si="1368"/>
        <v>1</v>
      </c>
      <c r="AK2553" s="162" t="str">
        <f t="shared" si="1369"/>
        <v>PRAZNO</v>
      </c>
      <c r="AL2553" s="263"/>
    </row>
    <row r="2554" spans="1:39" s="264" customFormat="1" ht="15.75" x14ac:dyDescent="0.2">
      <c r="A2554" s="259"/>
      <c r="B2554" s="172">
        <v>3</v>
      </c>
      <c r="C2554" s="172"/>
      <c r="D2554" s="172"/>
      <c r="E2554" s="172"/>
      <c r="F2554" s="172"/>
      <c r="G2554" s="172"/>
      <c r="H2554" s="14" t="s">
        <v>524</v>
      </c>
      <c r="I2554" s="20">
        <f t="shared" ref="I2554:AI2555" si="1390">I2555</f>
        <v>1280000</v>
      </c>
      <c r="J2554" s="20">
        <f t="shared" si="1390"/>
        <v>1018558.21</v>
      </c>
      <c r="K2554" s="20">
        <f>ROUND(J2554/I2554*100,2)</f>
        <v>79.569999999999993</v>
      </c>
      <c r="L2554" s="20">
        <f t="shared" si="1358"/>
        <v>0</v>
      </c>
      <c r="M2554" s="20">
        <f t="shared" si="1390"/>
        <v>1280000</v>
      </c>
      <c r="N2554" s="20">
        <f t="shared" si="1390"/>
        <v>1390000</v>
      </c>
      <c r="O2554" s="20">
        <f t="shared" si="1390"/>
        <v>982667.17</v>
      </c>
      <c r="P2554" s="55">
        <f t="shared" si="1382"/>
        <v>200000</v>
      </c>
      <c r="Q2554" s="20">
        <f t="shared" si="1390"/>
        <v>1390000</v>
      </c>
      <c r="R2554" s="20">
        <f t="shared" si="1390"/>
        <v>1380000</v>
      </c>
      <c r="S2554" s="20">
        <f t="shared" si="1390"/>
        <v>1385000</v>
      </c>
      <c r="T2554" s="55">
        <f t="shared" si="1390"/>
        <v>1590000</v>
      </c>
      <c r="U2554" s="55">
        <f t="shared" si="1390"/>
        <v>1590000</v>
      </c>
      <c r="V2554" s="20">
        <f t="shared" si="1390"/>
        <v>1390000</v>
      </c>
      <c r="W2554" s="20">
        <f t="shared" si="1390"/>
        <v>1390000</v>
      </c>
      <c r="X2554" s="20">
        <f t="shared" si="1390"/>
        <v>1431000</v>
      </c>
      <c r="Y2554" s="20">
        <f t="shared" si="1390"/>
        <v>693907.72</v>
      </c>
      <c r="Z2554" s="20">
        <f t="shared" si="1364"/>
        <v>49.92</v>
      </c>
      <c r="AA2554" s="20">
        <f t="shared" si="1376"/>
        <v>230000</v>
      </c>
      <c r="AB2554" s="20">
        <f t="shared" si="1390"/>
        <v>1620000</v>
      </c>
      <c r="AC2554" s="20">
        <f t="shared" si="1390"/>
        <v>1317130.68</v>
      </c>
      <c r="AD2554" s="20">
        <f t="shared" si="1386"/>
        <v>81.304362962962955</v>
      </c>
      <c r="AE2554" s="20">
        <f t="shared" si="1365"/>
        <v>0</v>
      </c>
      <c r="AF2554" s="20">
        <f t="shared" si="1390"/>
        <v>1620000</v>
      </c>
      <c r="AG2554" s="20">
        <f t="shared" si="1390"/>
        <v>1590000</v>
      </c>
      <c r="AH2554" s="20">
        <f t="shared" si="1390"/>
        <v>1590000</v>
      </c>
      <c r="AI2554" s="20">
        <f t="shared" si="1390"/>
        <v>1590000</v>
      </c>
      <c r="AJ2554" s="162" t="b">
        <f t="shared" si="1368"/>
        <v>1</v>
      </c>
      <c r="AK2554" s="162" t="str">
        <f t="shared" si="1369"/>
        <v>PRAZNO</v>
      </c>
      <c r="AL2554" s="263"/>
    </row>
    <row r="2555" spans="1:39" ht="15.75" x14ac:dyDescent="0.2">
      <c r="B2555" s="175"/>
      <c r="C2555" s="175">
        <v>38</v>
      </c>
      <c r="D2555" s="175"/>
      <c r="E2555" s="175"/>
      <c r="F2555" s="175"/>
      <c r="G2555" s="175"/>
      <c r="H2555" s="15" t="s">
        <v>539</v>
      </c>
      <c r="I2555" s="22">
        <f t="shared" si="1390"/>
        <v>1280000</v>
      </c>
      <c r="J2555" s="22">
        <f t="shared" si="1390"/>
        <v>1018558.21</v>
      </c>
      <c r="K2555" s="22">
        <f>ROUND(J2555/I2555*100,2)</f>
        <v>79.569999999999993</v>
      </c>
      <c r="L2555" s="22">
        <f t="shared" si="1358"/>
        <v>0</v>
      </c>
      <c r="M2555" s="22">
        <f t="shared" si="1390"/>
        <v>1280000</v>
      </c>
      <c r="N2555" s="22">
        <f t="shared" si="1390"/>
        <v>1390000</v>
      </c>
      <c r="O2555" s="22">
        <f t="shared" si="1390"/>
        <v>982667.17</v>
      </c>
      <c r="P2555" s="26">
        <f t="shared" si="1382"/>
        <v>200000</v>
      </c>
      <c r="Q2555" s="22">
        <f t="shared" si="1390"/>
        <v>1390000</v>
      </c>
      <c r="R2555" s="22">
        <f t="shared" si="1390"/>
        <v>1380000</v>
      </c>
      <c r="S2555" s="22">
        <f t="shared" si="1390"/>
        <v>1385000</v>
      </c>
      <c r="T2555" s="38">
        <f t="shared" si="1390"/>
        <v>1590000</v>
      </c>
      <c r="U2555" s="38">
        <f t="shared" si="1390"/>
        <v>1590000</v>
      </c>
      <c r="V2555" s="22">
        <f t="shared" si="1390"/>
        <v>1390000</v>
      </c>
      <c r="W2555" s="22">
        <f t="shared" si="1390"/>
        <v>1390000</v>
      </c>
      <c r="X2555" s="22">
        <f t="shared" si="1390"/>
        <v>1431000</v>
      </c>
      <c r="Y2555" s="22">
        <f t="shared" si="1390"/>
        <v>693907.72</v>
      </c>
      <c r="Z2555" s="22">
        <f t="shared" si="1364"/>
        <v>49.92</v>
      </c>
      <c r="AA2555" s="22">
        <f t="shared" si="1376"/>
        <v>230000</v>
      </c>
      <c r="AB2555" s="22">
        <f t="shared" si="1390"/>
        <v>1620000</v>
      </c>
      <c r="AC2555" s="22">
        <f t="shared" si="1390"/>
        <v>1317130.68</v>
      </c>
      <c r="AD2555" s="22">
        <f t="shared" si="1386"/>
        <v>81.304362962962955</v>
      </c>
      <c r="AE2555" s="22">
        <f t="shared" si="1365"/>
        <v>0</v>
      </c>
      <c r="AF2555" s="22">
        <f t="shared" si="1390"/>
        <v>1620000</v>
      </c>
      <c r="AG2555" s="22">
        <f t="shared" si="1390"/>
        <v>1590000</v>
      </c>
      <c r="AH2555" s="22">
        <f t="shared" si="1390"/>
        <v>1590000</v>
      </c>
      <c r="AI2555" s="22">
        <f t="shared" si="1390"/>
        <v>1590000</v>
      </c>
      <c r="AJ2555" s="162" t="b">
        <f t="shared" si="1368"/>
        <v>1</v>
      </c>
      <c r="AK2555" s="162" t="str">
        <f t="shared" si="1369"/>
        <v>PRAZNO</v>
      </c>
      <c r="AM2555" s="164"/>
    </row>
    <row r="2556" spans="1:39" ht="15.75" x14ac:dyDescent="0.2">
      <c r="B2556" s="177"/>
      <c r="C2556" s="177"/>
      <c r="D2556" s="177">
        <v>381</v>
      </c>
      <c r="E2556" s="177"/>
      <c r="F2556" s="177"/>
      <c r="G2556" s="177"/>
      <c r="H2556" s="16" t="s">
        <v>540</v>
      </c>
      <c r="I2556" s="17">
        <f>SUM(I2557:I2558)</f>
        <v>1280000</v>
      </c>
      <c r="J2556" s="17">
        <f>SUM(J2557:J2558)</f>
        <v>1018558.21</v>
      </c>
      <c r="K2556" s="17">
        <f>ROUND(J2556/I2556*100,2)</f>
        <v>79.569999999999993</v>
      </c>
      <c r="L2556" s="17">
        <f t="shared" si="1358"/>
        <v>0</v>
      </c>
      <c r="M2556" s="17">
        <f>SUM(M2557:M2558)</f>
        <v>1280000</v>
      </c>
      <c r="N2556" s="17">
        <f>SUM(N2557:N2558)</f>
        <v>1390000</v>
      </c>
      <c r="O2556" s="17">
        <f>SUM(O2557:O2558)</f>
        <v>982667.17</v>
      </c>
      <c r="P2556" s="26">
        <f t="shared" si="1382"/>
        <v>200000</v>
      </c>
      <c r="Q2556" s="17">
        <f t="shared" ref="Q2556:X2556" si="1391">SUM(Q2557:Q2558)</f>
        <v>1390000</v>
      </c>
      <c r="R2556" s="17">
        <f t="shared" si="1391"/>
        <v>1380000</v>
      </c>
      <c r="S2556" s="17">
        <f t="shared" si="1391"/>
        <v>1385000</v>
      </c>
      <c r="T2556" s="26">
        <f t="shared" si="1391"/>
        <v>1590000</v>
      </c>
      <c r="U2556" s="26">
        <f>SUM(U2557:U2558)</f>
        <v>1590000</v>
      </c>
      <c r="V2556" s="17">
        <f t="shared" si="1391"/>
        <v>1390000</v>
      </c>
      <c r="W2556" s="17">
        <f t="shared" si="1391"/>
        <v>1390000</v>
      </c>
      <c r="X2556" s="17">
        <f t="shared" si="1391"/>
        <v>1431000</v>
      </c>
      <c r="Y2556" s="17">
        <f>SUM(Y2557:Y2558)</f>
        <v>693907.72</v>
      </c>
      <c r="Z2556" s="17">
        <f t="shared" si="1364"/>
        <v>49.92</v>
      </c>
      <c r="AA2556" s="17">
        <f t="shared" si="1376"/>
        <v>230000</v>
      </c>
      <c r="AB2556" s="17">
        <f>SUM(AB2557:AB2558)</f>
        <v>1620000</v>
      </c>
      <c r="AC2556" s="17">
        <f>SUM(AC2557:AC2558)</f>
        <v>1317130.68</v>
      </c>
      <c r="AD2556" s="17">
        <f t="shared" si="1386"/>
        <v>81.304362962962955</v>
      </c>
      <c r="AE2556" s="17">
        <f t="shared" si="1365"/>
        <v>0</v>
      </c>
      <c r="AF2556" s="17">
        <f>SUM(AF2557:AF2558)</f>
        <v>1620000</v>
      </c>
      <c r="AG2556" s="17">
        <f>SUM(AG2557:AG2558)</f>
        <v>1590000</v>
      </c>
      <c r="AH2556" s="17">
        <f>SUM(AH2557:AH2558)</f>
        <v>1590000</v>
      </c>
      <c r="AI2556" s="17">
        <f>SUM(AI2557:AI2558)</f>
        <v>1590000</v>
      </c>
      <c r="AJ2556" s="162" t="b">
        <f t="shared" si="1368"/>
        <v>1</v>
      </c>
      <c r="AK2556" s="162" t="str">
        <f t="shared" si="1369"/>
        <v>PRAZNO</v>
      </c>
      <c r="AM2556" s="164"/>
    </row>
    <row r="2557" spans="1:39" ht="30" x14ac:dyDescent="0.2">
      <c r="B2557" s="177"/>
      <c r="C2557" s="177"/>
      <c r="D2557" s="177"/>
      <c r="E2557" s="177">
        <v>3811</v>
      </c>
      <c r="F2557" s="176">
        <v>11</v>
      </c>
      <c r="G2557" s="176" t="s">
        <v>449</v>
      </c>
      <c r="H2557" s="16" t="s">
        <v>286</v>
      </c>
      <c r="I2557" s="18">
        <v>1100000</v>
      </c>
      <c r="J2557" s="18">
        <v>895738.21</v>
      </c>
      <c r="K2557" s="18">
        <f>ROUND(J2557/I2557*100,2)</f>
        <v>81.430000000000007</v>
      </c>
      <c r="L2557" s="18">
        <f t="shared" si="1358"/>
        <v>0</v>
      </c>
      <c r="M2557" s="18">
        <v>1100000</v>
      </c>
      <c r="N2557" s="18">
        <v>1210000</v>
      </c>
      <c r="O2557" s="18">
        <v>895767.17</v>
      </c>
      <c r="P2557" s="26">
        <f t="shared" si="1382"/>
        <v>200000</v>
      </c>
      <c r="Q2557" s="18">
        <v>1210000</v>
      </c>
      <c r="R2557" s="18">
        <v>1200000</v>
      </c>
      <c r="S2557" s="18">
        <v>1200000</v>
      </c>
      <c r="T2557" s="27">
        <v>1410000</v>
      </c>
      <c r="U2557" s="27">
        <v>1410000</v>
      </c>
      <c r="V2557" s="27">
        <v>1210000</v>
      </c>
      <c r="W2557" s="27">
        <v>1210000</v>
      </c>
      <c r="X2557" s="27">
        <v>1246000</v>
      </c>
      <c r="Y2557" s="27">
        <v>661907.72</v>
      </c>
      <c r="Z2557" s="27">
        <f t="shared" si="1364"/>
        <v>54.7</v>
      </c>
      <c r="AA2557" s="27">
        <f t="shared" si="1376"/>
        <v>200000</v>
      </c>
      <c r="AB2557" s="27">
        <v>1410000</v>
      </c>
      <c r="AC2557" s="27">
        <v>1206448.21</v>
      </c>
      <c r="AD2557" s="27">
        <f t="shared" si="1386"/>
        <v>85.563702836879429</v>
      </c>
      <c r="AE2557" s="27">
        <f t="shared" si="1365"/>
        <v>0</v>
      </c>
      <c r="AF2557" s="27">
        <v>1410000</v>
      </c>
      <c r="AG2557" s="27">
        <v>1410000</v>
      </c>
      <c r="AH2557" s="27">
        <v>1410000</v>
      </c>
      <c r="AI2557" s="27">
        <v>1410000</v>
      </c>
      <c r="AJ2557" s="162" t="b">
        <f t="shared" si="1368"/>
        <v>0</v>
      </c>
      <c r="AK2557" s="162" t="str">
        <f t="shared" si="1369"/>
        <v>PUNO</v>
      </c>
      <c r="AM2557" s="164"/>
    </row>
    <row r="2558" spans="1:39" ht="30" x14ac:dyDescent="0.2">
      <c r="B2558" s="177"/>
      <c r="C2558" s="177"/>
      <c r="D2558" s="177"/>
      <c r="E2558" s="177">
        <v>3811</v>
      </c>
      <c r="F2558" s="176">
        <v>11</v>
      </c>
      <c r="G2558" s="176" t="s">
        <v>449</v>
      </c>
      <c r="H2558" s="29" t="s">
        <v>144</v>
      </c>
      <c r="I2558" s="18">
        <v>180000</v>
      </c>
      <c r="J2558" s="18">
        <v>122820</v>
      </c>
      <c r="K2558" s="18">
        <f>ROUND(J2558/I2558*100,2)</f>
        <v>68.23</v>
      </c>
      <c r="L2558" s="18">
        <f t="shared" si="1358"/>
        <v>0</v>
      </c>
      <c r="M2558" s="18">
        <v>180000</v>
      </c>
      <c r="N2558" s="18">
        <v>180000</v>
      </c>
      <c r="O2558" s="18">
        <v>86900</v>
      </c>
      <c r="P2558" s="26">
        <f t="shared" si="1382"/>
        <v>0</v>
      </c>
      <c r="Q2558" s="18">
        <v>180000</v>
      </c>
      <c r="R2558" s="18">
        <v>180000</v>
      </c>
      <c r="S2558" s="18">
        <v>185000</v>
      </c>
      <c r="T2558" s="27">
        <v>180000</v>
      </c>
      <c r="U2558" s="27">
        <v>180000</v>
      </c>
      <c r="V2558" s="266">
        <v>180000</v>
      </c>
      <c r="W2558" s="266">
        <v>180000</v>
      </c>
      <c r="X2558" s="18">
        <v>185000</v>
      </c>
      <c r="Y2558" s="266">
        <v>32000</v>
      </c>
      <c r="Z2558" s="266">
        <f t="shared" si="1364"/>
        <v>17.78</v>
      </c>
      <c r="AA2558" s="266">
        <f t="shared" si="1376"/>
        <v>30000</v>
      </c>
      <c r="AB2558" s="266">
        <v>210000</v>
      </c>
      <c r="AC2558" s="266">
        <v>110682.47</v>
      </c>
      <c r="AD2558" s="266">
        <f t="shared" si="1386"/>
        <v>52.705938095238089</v>
      </c>
      <c r="AE2558" s="266">
        <f t="shared" si="1365"/>
        <v>0</v>
      </c>
      <c r="AF2558" s="266">
        <v>210000</v>
      </c>
      <c r="AG2558" s="266">
        <v>180000</v>
      </c>
      <c r="AH2558" s="266">
        <v>180000</v>
      </c>
      <c r="AI2558" s="266">
        <v>180000</v>
      </c>
      <c r="AJ2558" s="162" t="b">
        <f t="shared" si="1368"/>
        <v>0</v>
      </c>
      <c r="AK2558" s="162" t="str">
        <f t="shared" si="1369"/>
        <v>PUNO</v>
      </c>
      <c r="AM2558" s="164"/>
    </row>
    <row r="2559" spans="1:39" s="264" customFormat="1" ht="15.75" x14ac:dyDescent="0.2">
      <c r="A2559" s="259"/>
      <c r="B2559" s="209"/>
      <c r="C2559" s="209"/>
      <c r="D2559" s="209"/>
      <c r="E2559" s="209"/>
      <c r="F2559" s="209"/>
      <c r="G2559" s="209"/>
      <c r="H2559" s="12" t="s">
        <v>318</v>
      </c>
      <c r="I2559" s="302"/>
      <c r="J2559" s="302"/>
      <c r="K2559" s="302"/>
      <c r="L2559" s="302"/>
      <c r="M2559" s="302"/>
      <c r="N2559" s="302"/>
      <c r="O2559" s="302"/>
      <c r="P2559" s="303"/>
      <c r="Q2559" s="169"/>
      <c r="R2559" s="169"/>
      <c r="S2559" s="169"/>
      <c r="T2559" s="303"/>
      <c r="U2559" s="303"/>
      <c r="V2559" s="302"/>
      <c r="W2559" s="302"/>
      <c r="X2559" s="302"/>
      <c r="Y2559" s="302"/>
      <c r="Z2559" s="302"/>
      <c r="AA2559" s="302"/>
      <c r="AB2559" s="302"/>
      <c r="AC2559" s="302"/>
      <c r="AD2559" s="302"/>
      <c r="AE2559" s="302"/>
      <c r="AF2559" s="302"/>
      <c r="AG2559" s="302">
        <f>AG2560</f>
        <v>442500</v>
      </c>
      <c r="AH2559" s="302">
        <f>AH2560</f>
        <v>0</v>
      </c>
      <c r="AI2559" s="302">
        <f>AI2560</f>
        <v>0</v>
      </c>
      <c r="AJ2559" s="162" t="b">
        <f t="shared" si="1368"/>
        <v>1</v>
      </c>
      <c r="AK2559" s="162" t="str">
        <f t="shared" si="1369"/>
        <v>PRAZNO</v>
      </c>
      <c r="AL2559" s="263"/>
    </row>
    <row r="2560" spans="1:39" s="264" customFormat="1" ht="15.75" x14ac:dyDescent="0.2">
      <c r="A2560" s="259"/>
      <c r="B2560" s="177"/>
      <c r="C2560" s="177"/>
      <c r="D2560" s="177"/>
      <c r="E2560" s="177"/>
      <c r="F2560" s="177"/>
      <c r="G2560" s="177"/>
      <c r="H2560" s="441" t="s">
        <v>824</v>
      </c>
      <c r="I2560" s="406"/>
      <c r="J2560" s="406"/>
      <c r="K2560" s="406"/>
      <c r="L2560" s="406"/>
      <c r="M2560" s="406"/>
      <c r="N2560" s="406"/>
      <c r="O2560" s="406"/>
      <c r="P2560" s="445"/>
      <c r="Q2560" s="181"/>
      <c r="R2560" s="181"/>
      <c r="S2560" s="181"/>
      <c r="T2560" s="445"/>
      <c r="U2560" s="445"/>
      <c r="V2560" s="406"/>
      <c r="W2560" s="406"/>
      <c r="X2560" s="406"/>
      <c r="Y2560" s="406"/>
      <c r="Z2560" s="406"/>
      <c r="AA2560" s="406"/>
      <c r="AB2560" s="406"/>
      <c r="AC2560" s="406"/>
      <c r="AD2560" s="406"/>
      <c r="AE2560" s="406"/>
      <c r="AF2560" s="406"/>
      <c r="AG2560" s="406">
        <f>AG2561</f>
        <v>442500</v>
      </c>
      <c r="AH2560" s="406"/>
      <c r="AI2560" s="406"/>
      <c r="AJ2560" s="162" t="b">
        <f t="shared" si="1368"/>
        <v>1</v>
      </c>
      <c r="AK2560" s="162" t="str">
        <f t="shared" si="1369"/>
        <v>PRAZNO</v>
      </c>
      <c r="AL2560" s="263"/>
    </row>
    <row r="2561" spans="1:39" s="264" customFormat="1" ht="15.75" x14ac:dyDescent="0.2">
      <c r="A2561" s="259"/>
      <c r="B2561" s="172">
        <v>3</v>
      </c>
      <c r="C2561" s="172"/>
      <c r="D2561" s="172"/>
      <c r="E2561" s="172"/>
      <c r="F2561" s="172"/>
      <c r="G2561" s="172"/>
      <c r="H2561" s="14" t="s">
        <v>524</v>
      </c>
      <c r="I2561" s="20"/>
      <c r="J2561" s="20"/>
      <c r="K2561" s="20"/>
      <c r="L2561" s="20"/>
      <c r="M2561" s="20"/>
      <c r="N2561" s="20"/>
      <c r="O2561" s="20"/>
      <c r="P2561" s="55"/>
      <c r="Q2561" s="20"/>
      <c r="R2561" s="20"/>
      <c r="S2561" s="20"/>
      <c r="T2561" s="55"/>
      <c r="U2561" s="55"/>
      <c r="V2561" s="20"/>
      <c r="W2561" s="20"/>
      <c r="X2561" s="20"/>
      <c r="Y2561" s="20"/>
      <c r="Z2561" s="20"/>
      <c r="AA2561" s="20"/>
      <c r="AB2561" s="20"/>
      <c r="AC2561" s="20"/>
      <c r="AD2561" s="20"/>
      <c r="AE2561" s="20"/>
      <c r="AF2561" s="20"/>
      <c r="AG2561" s="20">
        <f>AG2562+AG2574</f>
        <v>442500</v>
      </c>
      <c r="AH2561" s="20"/>
      <c r="AI2561" s="20"/>
      <c r="AJ2561" s="162" t="b">
        <f t="shared" si="1368"/>
        <v>1</v>
      </c>
      <c r="AK2561" s="162" t="str">
        <f t="shared" si="1369"/>
        <v>PRAZNO</v>
      </c>
      <c r="AL2561" s="263"/>
    </row>
    <row r="2562" spans="1:39" ht="15.75" x14ac:dyDescent="0.2">
      <c r="B2562" s="175"/>
      <c r="C2562" s="175">
        <v>32</v>
      </c>
      <c r="D2562" s="175"/>
      <c r="E2562" s="175"/>
      <c r="F2562" s="175"/>
      <c r="G2562" s="175"/>
      <c r="H2562" s="16" t="s">
        <v>525</v>
      </c>
      <c r="I2562" s="22"/>
      <c r="J2562" s="22"/>
      <c r="K2562" s="22"/>
      <c r="L2562" s="22"/>
      <c r="M2562" s="22"/>
      <c r="N2562" s="22"/>
      <c r="O2562" s="22"/>
      <c r="P2562" s="26"/>
      <c r="Q2562" s="22"/>
      <c r="R2562" s="22"/>
      <c r="S2562" s="22"/>
      <c r="T2562" s="38"/>
      <c r="U2562" s="38"/>
      <c r="V2562" s="22"/>
      <c r="W2562" s="22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>
        <f>AG2565+AG2571+AG2563</f>
        <v>302500</v>
      </c>
      <c r="AH2562" s="22"/>
      <c r="AI2562" s="22"/>
      <c r="AJ2562" s="162" t="b">
        <f t="shared" si="1368"/>
        <v>1</v>
      </c>
      <c r="AK2562" s="162" t="str">
        <f t="shared" si="1369"/>
        <v>PRAZNO</v>
      </c>
      <c r="AM2562" s="164"/>
    </row>
    <row r="2563" spans="1:39" ht="15.75" x14ac:dyDescent="0.2">
      <c r="B2563" s="175"/>
      <c r="C2563" s="175"/>
      <c r="D2563" s="175">
        <v>322</v>
      </c>
      <c r="E2563" s="175"/>
      <c r="F2563" s="175"/>
      <c r="G2563" s="175"/>
      <c r="H2563" s="16" t="s">
        <v>547</v>
      </c>
      <c r="I2563" s="22"/>
      <c r="J2563" s="22"/>
      <c r="K2563" s="22"/>
      <c r="L2563" s="22"/>
      <c r="M2563" s="22"/>
      <c r="N2563" s="22"/>
      <c r="O2563" s="22"/>
      <c r="P2563" s="26"/>
      <c r="Q2563" s="22"/>
      <c r="R2563" s="22"/>
      <c r="S2563" s="22"/>
      <c r="T2563" s="38"/>
      <c r="U2563" s="38"/>
      <c r="V2563" s="22"/>
      <c r="W2563" s="22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>
        <f>AG2564</f>
        <v>10000</v>
      </c>
      <c r="AH2563" s="22"/>
      <c r="AI2563" s="22"/>
      <c r="AJ2563" s="162" t="b">
        <f t="shared" si="1368"/>
        <v>1</v>
      </c>
      <c r="AK2563" s="162" t="str">
        <f t="shared" si="1369"/>
        <v>PRAZNO</v>
      </c>
      <c r="AM2563" s="164"/>
    </row>
    <row r="2564" spans="1:39" ht="15.75" x14ac:dyDescent="0.2">
      <c r="B2564" s="175"/>
      <c r="C2564" s="175"/>
      <c r="D2564" s="175"/>
      <c r="E2564" s="175">
        <v>3221</v>
      </c>
      <c r="F2564" s="175">
        <v>11</v>
      </c>
      <c r="G2564" s="175"/>
      <c r="H2564" s="16" t="s">
        <v>548</v>
      </c>
      <c r="I2564" s="22"/>
      <c r="J2564" s="22"/>
      <c r="K2564" s="22"/>
      <c r="L2564" s="22"/>
      <c r="M2564" s="22"/>
      <c r="N2564" s="22"/>
      <c r="O2564" s="22"/>
      <c r="P2564" s="26"/>
      <c r="Q2564" s="22"/>
      <c r="R2564" s="22"/>
      <c r="S2564" s="22"/>
      <c r="T2564" s="38"/>
      <c r="U2564" s="38"/>
      <c r="V2564" s="22"/>
      <c r="W2564" s="22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>
        <v>10000</v>
      </c>
      <c r="AH2564" s="22"/>
      <c r="AI2564" s="22"/>
      <c r="AJ2564" s="162" t="b">
        <f t="shared" si="1368"/>
        <v>0</v>
      </c>
      <c r="AK2564" s="162" t="str">
        <f t="shared" si="1369"/>
        <v>PUNO</v>
      </c>
      <c r="AM2564" s="164"/>
    </row>
    <row r="2565" spans="1:39" ht="18" customHeight="1" x14ac:dyDescent="0.2">
      <c r="B2565" s="177"/>
      <c r="C2565" s="177"/>
      <c r="D2565" s="177">
        <v>323</v>
      </c>
      <c r="E2565" s="177"/>
      <c r="F2565" s="177"/>
      <c r="G2565" s="177"/>
      <c r="H2565" s="16" t="s">
        <v>526</v>
      </c>
      <c r="I2565" s="18"/>
      <c r="J2565" s="18"/>
      <c r="K2565" s="18"/>
      <c r="L2565" s="18"/>
      <c r="M2565" s="18"/>
      <c r="N2565" s="18"/>
      <c r="O2565" s="18"/>
      <c r="P2565" s="26"/>
      <c r="Q2565" s="18"/>
      <c r="R2565" s="18"/>
      <c r="S2565" s="18"/>
      <c r="T2565" s="27"/>
      <c r="U2565" s="27"/>
      <c r="V2565" s="266"/>
      <c r="W2565" s="266"/>
      <c r="X2565" s="18"/>
      <c r="Y2565" s="266"/>
      <c r="Z2565" s="266"/>
      <c r="AA2565" s="266"/>
      <c r="AB2565" s="266"/>
      <c r="AC2565" s="266"/>
      <c r="AD2565" s="266"/>
      <c r="AE2565" s="266"/>
      <c r="AF2565" s="266"/>
      <c r="AG2565" s="266">
        <f>SUM(AG2566:AG2570)</f>
        <v>222500</v>
      </c>
      <c r="AH2565" s="266"/>
      <c r="AI2565" s="266"/>
      <c r="AJ2565" s="162" t="b">
        <f t="shared" si="1368"/>
        <v>1</v>
      </c>
      <c r="AK2565" s="162" t="str">
        <f t="shared" si="1369"/>
        <v>PRAZNO</v>
      </c>
      <c r="AM2565" s="164"/>
    </row>
    <row r="2566" spans="1:39" ht="18" customHeight="1" x14ac:dyDescent="0.2">
      <c r="B2566" s="177"/>
      <c r="C2566" s="177"/>
      <c r="D2566" s="177"/>
      <c r="E2566" s="695">
        <v>3231</v>
      </c>
      <c r="F2566" s="176">
        <v>11</v>
      </c>
      <c r="G2566" s="177"/>
      <c r="H2566" s="16" t="s">
        <v>206</v>
      </c>
      <c r="I2566" s="18"/>
      <c r="J2566" s="18"/>
      <c r="K2566" s="18"/>
      <c r="L2566" s="18"/>
      <c r="M2566" s="18"/>
      <c r="N2566" s="18"/>
      <c r="O2566" s="18"/>
      <c r="P2566" s="26"/>
      <c r="Q2566" s="18"/>
      <c r="R2566" s="18"/>
      <c r="S2566" s="18"/>
      <c r="T2566" s="27"/>
      <c r="U2566" s="27"/>
      <c r="V2566" s="266"/>
      <c r="W2566" s="266"/>
      <c r="X2566" s="18"/>
      <c r="Y2566" s="266"/>
      <c r="Z2566" s="266"/>
      <c r="AA2566" s="266"/>
      <c r="AB2566" s="266"/>
      <c r="AC2566" s="266"/>
      <c r="AD2566" s="266"/>
      <c r="AE2566" s="266"/>
      <c r="AF2566" s="266"/>
      <c r="AG2566" s="266">
        <v>80000</v>
      </c>
      <c r="AH2566" s="266"/>
      <c r="AI2566" s="266"/>
      <c r="AJ2566" s="162" t="b">
        <f t="shared" si="1368"/>
        <v>0</v>
      </c>
      <c r="AK2566" s="162" t="str">
        <f t="shared" si="1369"/>
        <v>PUNO</v>
      </c>
      <c r="AM2566" s="164"/>
    </row>
    <row r="2567" spans="1:39" ht="18" customHeight="1" x14ac:dyDescent="0.2">
      <c r="B2567" s="177"/>
      <c r="C2567" s="177"/>
      <c r="D2567" s="177"/>
      <c r="E2567" s="695">
        <v>3233</v>
      </c>
      <c r="F2567" s="176">
        <v>11</v>
      </c>
      <c r="G2567" s="177"/>
      <c r="H2567" s="16" t="s">
        <v>528</v>
      </c>
      <c r="I2567" s="18"/>
      <c r="J2567" s="18"/>
      <c r="K2567" s="18"/>
      <c r="L2567" s="18"/>
      <c r="M2567" s="18"/>
      <c r="N2567" s="18"/>
      <c r="O2567" s="18"/>
      <c r="P2567" s="26"/>
      <c r="Q2567" s="18"/>
      <c r="R2567" s="18"/>
      <c r="S2567" s="18"/>
      <c r="T2567" s="27"/>
      <c r="U2567" s="27"/>
      <c r="V2567" s="266"/>
      <c r="W2567" s="266"/>
      <c r="X2567" s="18"/>
      <c r="Y2567" s="266"/>
      <c r="Z2567" s="266"/>
      <c r="AA2567" s="266"/>
      <c r="AB2567" s="266"/>
      <c r="AC2567" s="266"/>
      <c r="AD2567" s="266"/>
      <c r="AE2567" s="266"/>
      <c r="AF2567" s="266"/>
      <c r="AG2567" s="266">
        <v>22500</v>
      </c>
      <c r="AH2567" s="266"/>
      <c r="AI2567" s="266"/>
      <c r="AJ2567" s="162" t="b">
        <f t="shared" si="1368"/>
        <v>0</v>
      </c>
      <c r="AK2567" s="162" t="str">
        <f t="shared" si="1369"/>
        <v>PUNO</v>
      </c>
      <c r="AM2567" s="164"/>
    </row>
    <row r="2568" spans="1:39" ht="18" customHeight="1" x14ac:dyDescent="0.2">
      <c r="B2568" s="177"/>
      <c r="C2568" s="177"/>
      <c r="D2568" s="177"/>
      <c r="E2568" s="695">
        <v>3235</v>
      </c>
      <c r="F2568" s="176">
        <v>11</v>
      </c>
      <c r="G2568" s="694"/>
      <c r="H2568" s="16" t="s">
        <v>640</v>
      </c>
      <c r="I2568" s="18"/>
      <c r="J2568" s="18"/>
      <c r="K2568" s="18"/>
      <c r="L2568" s="18"/>
      <c r="M2568" s="18"/>
      <c r="N2568" s="18"/>
      <c r="O2568" s="18"/>
      <c r="P2568" s="26"/>
      <c r="Q2568" s="18"/>
      <c r="R2568" s="18"/>
      <c r="S2568" s="18"/>
      <c r="T2568" s="27"/>
      <c r="U2568" s="27"/>
      <c r="V2568" s="266"/>
      <c r="W2568" s="266"/>
      <c r="X2568" s="18"/>
      <c r="Y2568" s="266"/>
      <c r="Z2568" s="266"/>
      <c r="AA2568" s="266"/>
      <c r="AB2568" s="266"/>
      <c r="AC2568" s="266"/>
      <c r="AD2568" s="266"/>
      <c r="AE2568" s="266"/>
      <c r="AF2568" s="266"/>
      <c r="AG2568" s="266">
        <v>40000</v>
      </c>
      <c r="AH2568" s="266"/>
      <c r="AI2568" s="266"/>
      <c r="AJ2568" s="162" t="b">
        <f t="shared" si="1368"/>
        <v>0</v>
      </c>
      <c r="AK2568" s="162" t="str">
        <f t="shared" si="1369"/>
        <v>PUNO</v>
      </c>
      <c r="AM2568" s="164"/>
    </row>
    <row r="2569" spans="1:39" ht="18" customHeight="1" x14ac:dyDescent="0.2">
      <c r="B2569" s="177"/>
      <c r="C2569" s="177"/>
      <c r="D2569" s="177"/>
      <c r="E2569" s="695">
        <v>3239</v>
      </c>
      <c r="F2569" s="176">
        <v>13</v>
      </c>
      <c r="G2569" s="694"/>
      <c r="H2569" s="16" t="s">
        <v>529</v>
      </c>
      <c r="I2569" s="18"/>
      <c r="J2569" s="18"/>
      <c r="K2569" s="18"/>
      <c r="L2569" s="18"/>
      <c r="M2569" s="18"/>
      <c r="N2569" s="18"/>
      <c r="O2569" s="18"/>
      <c r="P2569" s="26"/>
      <c r="Q2569" s="18"/>
      <c r="R2569" s="18"/>
      <c r="S2569" s="18"/>
      <c r="T2569" s="27"/>
      <c r="U2569" s="27"/>
      <c r="V2569" s="266"/>
      <c r="W2569" s="266"/>
      <c r="X2569" s="18"/>
      <c r="Y2569" s="266"/>
      <c r="Z2569" s="266"/>
      <c r="AA2569" s="266"/>
      <c r="AB2569" s="266"/>
      <c r="AC2569" s="266"/>
      <c r="AD2569" s="266"/>
      <c r="AE2569" s="266"/>
      <c r="AF2569" s="266"/>
      <c r="AG2569" s="266">
        <v>60000</v>
      </c>
      <c r="AH2569" s="266"/>
      <c r="AI2569" s="266"/>
      <c r="AJ2569" s="162" t="b">
        <f t="shared" ref="AJ2569:AJ2594" si="1392">ISBLANK(E2569)</f>
        <v>0</v>
      </c>
      <c r="AK2569" s="162" t="str">
        <f t="shared" ref="AK2569:AK2594" si="1393">IF(AJ2569,"PRAZNO","PUNO")</f>
        <v>PUNO</v>
      </c>
      <c r="AM2569" s="164"/>
    </row>
    <row r="2570" spans="1:39" ht="18" customHeight="1" x14ac:dyDescent="0.2">
      <c r="B2570" s="177"/>
      <c r="C2570" s="177"/>
      <c r="D2570" s="177"/>
      <c r="E2570" s="695">
        <v>3239</v>
      </c>
      <c r="F2570" s="176">
        <v>11</v>
      </c>
      <c r="G2570" s="177"/>
      <c r="H2570" s="16" t="s">
        <v>529</v>
      </c>
      <c r="I2570" s="18"/>
      <c r="J2570" s="18"/>
      <c r="K2570" s="18"/>
      <c r="L2570" s="18"/>
      <c r="M2570" s="18"/>
      <c r="N2570" s="18"/>
      <c r="O2570" s="18"/>
      <c r="P2570" s="26"/>
      <c r="Q2570" s="18"/>
      <c r="R2570" s="18"/>
      <c r="S2570" s="18"/>
      <c r="T2570" s="27"/>
      <c r="U2570" s="27"/>
      <c r="V2570" s="266"/>
      <c r="W2570" s="266"/>
      <c r="X2570" s="18"/>
      <c r="Y2570" s="266"/>
      <c r="Z2570" s="266"/>
      <c r="AA2570" s="266"/>
      <c r="AB2570" s="266"/>
      <c r="AC2570" s="266"/>
      <c r="AD2570" s="266"/>
      <c r="AE2570" s="266"/>
      <c r="AF2570" s="266"/>
      <c r="AG2570" s="266">
        <v>20000</v>
      </c>
      <c r="AH2570" s="266"/>
      <c r="AI2570" s="266"/>
      <c r="AJ2570" s="162" t="b">
        <f t="shared" si="1392"/>
        <v>0</v>
      </c>
      <c r="AK2570" s="162" t="str">
        <f t="shared" si="1393"/>
        <v>PUNO</v>
      </c>
      <c r="AM2570" s="164"/>
    </row>
    <row r="2571" spans="1:39" ht="18" customHeight="1" x14ac:dyDescent="0.2">
      <c r="B2571" s="177"/>
      <c r="C2571" s="177"/>
      <c r="D2571" s="177">
        <v>329</v>
      </c>
      <c r="E2571" s="177"/>
      <c r="F2571" s="177"/>
      <c r="G2571" s="177"/>
      <c r="H2571" s="16" t="s">
        <v>531</v>
      </c>
      <c r="I2571" s="18"/>
      <c r="J2571" s="18"/>
      <c r="K2571" s="18"/>
      <c r="L2571" s="18"/>
      <c r="M2571" s="18"/>
      <c r="N2571" s="18"/>
      <c r="O2571" s="18"/>
      <c r="P2571" s="26"/>
      <c r="Q2571" s="18"/>
      <c r="R2571" s="18"/>
      <c r="S2571" s="18"/>
      <c r="T2571" s="27"/>
      <c r="U2571" s="27"/>
      <c r="V2571" s="266"/>
      <c r="W2571" s="266"/>
      <c r="X2571" s="18"/>
      <c r="Y2571" s="266"/>
      <c r="Z2571" s="266"/>
      <c r="AA2571" s="266"/>
      <c r="AB2571" s="266"/>
      <c r="AC2571" s="266"/>
      <c r="AD2571" s="266"/>
      <c r="AE2571" s="266"/>
      <c r="AF2571" s="266"/>
      <c r="AG2571" s="266">
        <f>AG2573+AG2572</f>
        <v>70000</v>
      </c>
      <c r="AH2571" s="266"/>
      <c r="AI2571" s="266"/>
      <c r="AJ2571" s="162" t="b">
        <f t="shared" si="1392"/>
        <v>1</v>
      </c>
      <c r="AK2571" s="162" t="str">
        <f t="shared" si="1393"/>
        <v>PRAZNO</v>
      </c>
      <c r="AM2571" s="164"/>
    </row>
    <row r="2572" spans="1:39" ht="18" customHeight="1" x14ac:dyDescent="0.2">
      <c r="B2572" s="177"/>
      <c r="C2572" s="177"/>
      <c r="D2572" s="177"/>
      <c r="E2572" s="177">
        <v>3293</v>
      </c>
      <c r="F2572" s="176">
        <v>11</v>
      </c>
      <c r="G2572" s="177"/>
      <c r="H2572" s="16" t="s">
        <v>533</v>
      </c>
      <c r="I2572" s="18"/>
      <c r="J2572" s="18"/>
      <c r="K2572" s="18"/>
      <c r="L2572" s="18"/>
      <c r="M2572" s="18"/>
      <c r="N2572" s="18"/>
      <c r="O2572" s="18"/>
      <c r="P2572" s="26"/>
      <c r="Q2572" s="18"/>
      <c r="R2572" s="18"/>
      <c r="S2572" s="18"/>
      <c r="T2572" s="27"/>
      <c r="U2572" s="27"/>
      <c r="V2572" s="266"/>
      <c r="W2572" s="266"/>
      <c r="X2572" s="18"/>
      <c r="Y2572" s="266"/>
      <c r="Z2572" s="266"/>
      <c r="AA2572" s="266"/>
      <c r="AB2572" s="266"/>
      <c r="AC2572" s="266"/>
      <c r="AD2572" s="266"/>
      <c r="AE2572" s="266"/>
      <c r="AF2572" s="266"/>
      <c r="AG2572" s="266">
        <v>40000</v>
      </c>
      <c r="AH2572" s="266"/>
      <c r="AI2572" s="266"/>
      <c r="AJ2572" s="162" t="b">
        <f t="shared" si="1392"/>
        <v>0</v>
      </c>
      <c r="AK2572" s="162" t="str">
        <f t="shared" si="1393"/>
        <v>PUNO</v>
      </c>
      <c r="AM2572" s="164"/>
    </row>
    <row r="2573" spans="1:39" ht="15.75" x14ac:dyDescent="0.2">
      <c r="B2573" s="177"/>
      <c r="C2573" s="177"/>
      <c r="D2573" s="177"/>
      <c r="E2573" s="177">
        <v>3299</v>
      </c>
      <c r="F2573" s="176">
        <v>11</v>
      </c>
      <c r="G2573" s="177"/>
      <c r="H2573" s="16" t="s">
        <v>531</v>
      </c>
      <c r="I2573" s="18"/>
      <c r="J2573" s="18"/>
      <c r="K2573" s="18"/>
      <c r="L2573" s="18"/>
      <c r="M2573" s="18"/>
      <c r="N2573" s="18"/>
      <c r="O2573" s="18"/>
      <c r="P2573" s="26"/>
      <c r="Q2573" s="18"/>
      <c r="R2573" s="18"/>
      <c r="S2573" s="18"/>
      <c r="T2573" s="27"/>
      <c r="U2573" s="27"/>
      <c r="V2573" s="266"/>
      <c r="W2573" s="266"/>
      <c r="X2573" s="18"/>
      <c r="Y2573" s="266"/>
      <c r="Z2573" s="266"/>
      <c r="AA2573" s="266"/>
      <c r="AB2573" s="266"/>
      <c r="AC2573" s="266"/>
      <c r="AD2573" s="266"/>
      <c r="AE2573" s="266"/>
      <c r="AF2573" s="266"/>
      <c r="AG2573" s="266">
        <v>30000</v>
      </c>
      <c r="AH2573" s="266"/>
      <c r="AI2573" s="266"/>
      <c r="AJ2573" s="162" t="b">
        <f t="shared" si="1392"/>
        <v>0</v>
      </c>
      <c r="AK2573" s="162" t="str">
        <f t="shared" si="1393"/>
        <v>PUNO</v>
      </c>
      <c r="AM2573" s="164"/>
    </row>
    <row r="2574" spans="1:39" ht="15.75" x14ac:dyDescent="0.2">
      <c r="B2574" s="175"/>
      <c r="C2574" s="175">
        <v>38</v>
      </c>
      <c r="D2574" s="175"/>
      <c r="E2574" s="175"/>
      <c r="F2574" s="175"/>
      <c r="G2574" s="175"/>
      <c r="H2574" s="15" t="s">
        <v>539</v>
      </c>
      <c r="I2574" s="22"/>
      <c r="J2574" s="22"/>
      <c r="K2574" s="22"/>
      <c r="L2574" s="22"/>
      <c r="M2574" s="22"/>
      <c r="N2574" s="22"/>
      <c r="O2574" s="22"/>
      <c r="P2574" s="26"/>
      <c r="Q2574" s="22"/>
      <c r="R2574" s="22"/>
      <c r="S2574" s="22"/>
      <c r="T2574" s="38"/>
      <c r="U2574" s="38"/>
      <c r="V2574" s="22"/>
      <c r="W2574" s="22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>
        <f t="shared" ref="AG2574:AI2575" si="1394">AG2575</f>
        <v>140000</v>
      </c>
      <c r="AH2574" s="22">
        <f t="shared" si="1394"/>
        <v>0</v>
      </c>
      <c r="AI2574" s="22">
        <f t="shared" si="1394"/>
        <v>0</v>
      </c>
      <c r="AJ2574" s="162" t="b">
        <f t="shared" si="1392"/>
        <v>1</v>
      </c>
      <c r="AK2574" s="162" t="str">
        <f t="shared" si="1393"/>
        <v>PRAZNO</v>
      </c>
      <c r="AM2574" s="164"/>
    </row>
    <row r="2575" spans="1:39" ht="15.75" x14ac:dyDescent="0.2">
      <c r="B2575" s="177"/>
      <c r="C2575" s="177"/>
      <c r="D2575" s="177">
        <v>381</v>
      </c>
      <c r="E2575" s="177"/>
      <c r="F2575" s="177"/>
      <c r="G2575" s="177"/>
      <c r="H2575" s="16" t="s">
        <v>540</v>
      </c>
      <c r="I2575" s="18"/>
      <c r="J2575" s="18"/>
      <c r="K2575" s="18"/>
      <c r="L2575" s="18"/>
      <c r="M2575" s="18"/>
      <c r="N2575" s="18"/>
      <c r="O2575" s="18"/>
      <c r="P2575" s="26"/>
      <c r="Q2575" s="18"/>
      <c r="R2575" s="18"/>
      <c r="S2575" s="18"/>
      <c r="T2575" s="27"/>
      <c r="U2575" s="27"/>
      <c r="V2575" s="266"/>
      <c r="W2575" s="266"/>
      <c r="X2575" s="18"/>
      <c r="Y2575" s="266"/>
      <c r="Z2575" s="266"/>
      <c r="AA2575" s="266"/>
      <c r="AB2575" s="266"/>
      <c r="AC2575" s="266"/>
      <c r="AD2575" s="266"/>
      <c r="AE2575" s="266"/>
      <c r="AF2575" s="266"/>
      <c r="AG2575" s="266">
        <f t="shared" si="1394"/>
        <v>140000</v>
      </c>
      <c r="AH2575" s="266">
        <f t="shared" si="1394"/>
        <v>0</v>
      </c>
      <c r="AI2575" s="266">
        <f t="shared" si="1394"/>
        <v>0</v>
      </c>
      <c r="AJ2575" s="162" t="b">
        <f t="shared" si="1392"/>
        <v>1</v>
      </c>
      <c r="AK2575" s="162" t="str">
        <f t="shared" si="1393"/>
        <v>PRAZNO</v>
      </c>
      <c r="AM2575" s="164"/>
    </row>
    <row r="2576" spans="1:39" ht="15.75" x14ac:dyDescent="0.2">
      <c r="B2576" s="177"/>
      <c r="C2576" s="177"/>
      <c r="D2576" s="177"/>
      <c r="E2576" s="177">
        <v>3811</v>
      </c>
      <c r="F2576" s="176">
        <v>11</v>
      </c>
      <c r="G2576" s="176" t="s">
        <v>449</v>
      </c>
      <c r="H2576" s="16" t="s">
        <v>116</v>
      </c>
      <c r="I2576" s="18"/>
      <c r="J2576" s="18"/>
      <c r="K2576" s="18"/>
      <c r="L2576" s="18"/>
      <c r="M2576" s="18"/>
      <c r="N2576" s="18"/>
      <c r="O2576" s="18"/>
      <c r="P2576" s="26"/>
      <c r="Q2576" s="18"/>
      <c r="R2576" s="18"/>
      <c r="S2576" s="18"/>
      <c r="T2576" s="27"/>
      <c r="U2576" s="27"/>
      <c r="V2576" s="266"/>
      <c r="W2576" s="266"/>
      <c r="X2576" s="18"/>
      <c r="Y2576" s="266"/>
      <c r="Z2576" s="266"/>
      <c r="AA2576" s="266"/>
      <c r="AB2576" s="266"/>
      <c r="AC2576" s="266"/>
      <c r="AD2576" s="266"/>
      <c r="AE2576" s="266"/>
      <c r="AF2576" s="266"/>
      <c r="AG2576" s="266">
        <v>140000</v>
      </c>
      <c r="AH2576" s="266">
        <v>0</v>
      </c>
      <c r="AI2576" s="266">
        <v>0</v>
      </c>
      <c r="AJ2576" s="162" t="b">
        <f t="shared" si="1392"/>
        <v>0</v>
      </c>
      <c r="AK2576" s="162" t="str">
        <f t="shared" si="1393"/>
        <v>PUNO</v>
      </c>
      <c r="AM2576" s="164"/>
    </row>
    <row r="2577" spans="1:50" s="264" customFormat="1" ht="22.5" customHeight="1" x14ac:dyDescent="0.2">
      <c r="A2577" s="259"/>
      <c r="B2577" s="194"/>
      <c r="C2577" s="194"/>
      <c r="D2577" s="194"/>
      <c r="E2577" s="194"/>
      <c r="F2577" s="159"/>
      <c r="G2577" s="159"/>
      <c r="H2577" s="24" t="s">
        <v>495</v>
      </c>
      <c r="I2577" s="196" t="e">
        <f>I2579</f>
        <v>#REF!</v>
      </c>
      <c r="J2577" s="196" t="e">
        <f>J2579</f>
        <v>#REF!</v>
      </c>
      <c r="K2577" s="196" t="e">
        <f>ROUND(J2577/I2577*100,2)</f>
        <v>#REF!</v>
      </c>
      <c r="L2577" s="196" t="e">
        <f t="shared" si="1358"/>
        <v>#REF!</v>
      </c>
      <c r="M2577" s="195">
        <f>M2579</f>
        <v>735665.32</v>
      </c>
      <c r="N2577" s="195">
        <f>N2579</f>
        <v>865000</v>
      </c>
      <c r="O2577" s="195">
        <f>O2579</f>
        <v>498675.74</v>
      </c>
      <c r="P2577" s="351">
        <f t="shared" si="1382"/>
        <v>166000</v>
      </c>
      <c r="Q2577" s="195">
        <f t="shared" ref="Q2577:X2577" si="1395">Q2579</f>
        <v>865000</v>
      </c>
      <c r="R2577" s="195" t="e">
        <f t="shared" si="1395"/>
        <v>#REF!</v>
      </c>
      <c r="S2577" s="195" t="e">
        <f t="shared" si="1395"/>
        <v>#REF!</v>
      </c>
      <c r="T2577" s="197">
        <f t="shared" si="1395"/>
        <v>1031000</v>
      </c>
      <c r="U2577" s="197">
        <f>U2579</f>
        <v>983280.19000000006</v>
      </c>
      <c r="V2577" s="195">
        <f t="shared" si="1395"/>
        <v>971000</v>
      </c>
      <c r="W2577" s="195">
        <f t="shared" si="1395"/>
        <v>971000</v>
      </c>
      <c r="X2577" s="195">
        <f t="shared" si="1395"/>
        <v>998000</v>
      </c>
      <c r="Y2577" s="195">
        <f>Y2579</f>
        <v>200724.76</v>
      </c>
      <c r="Z2577" s="195">
        <f t="shared" si="1364"/>
        <v>20.67</v>
      </c>
      <c r="AA2577" s="195">
        <f t="shared" si="1376"/>
        <v>40000</v>
      </c>
      <c r="AB2577" s="195">
        <f>AB2579</f>
        <v>1011000</v>
      </c>
      <c r="AC2577" s="195">
        <f>AC2579</f>
        <v>500887.03000000009</v>
      </c>
      <c r="AD2577" s="195">
        <f t="shared" si="1386"/>
        <v>49.543722057368953</v>
      </c>
      <c r="AE2577" s="195">
        <f>AF2577-AB2577</f>
        <v>0</v>
      </c>
      <c r="AF2577" s="195">
        <f>AF2579</f>
        <v>1011000</v>
      </c>
      <c r="AG2577" s="195">
        <f>AG2579</f>
        <v>946000</v>
      </c>
      <c r="AH2577" s="195">
        <f>AH2579</f>
        <v>946000</v>
      </c>
      <c r="AI2577" s="195">
        <f>AI2579</f>
        <v>946000</v>
      </c>
      <c r="AJ2577" s="162" t="b">
        <f t="shared" si="1392"/>
        <v>1</v>
      </c>
      <c r="AK2577" s="162" t="str">
        <f t="shared" si="1393"/>
        <v>PRAZNO</v>
      </c>
      <c r="AL2577" s="179"/>
      <c r="AN2577" s="179"/>
      <c r="AO2577" s="179"/>
      <c r="AP2577" s="179"/>
      <c r="AQ2577" s="179"/>
      <c r="AR2577" s="179"/>
      <c r="AS2577" s="179"/>
      <c r="AT2577" s="179"/>
      <c r="AU2577" s="179"/>
      <c r="AV2577" s="179"/>
      <c r="AW2577" s="179"/>
      <c r="AX2577" s="179"/>
    </row>
    <row r="2578" spans="1:50" s="264" customFormat="1" ht="19.5" customHeight="1" x14ac:dyDescent="0.2">
      <c r="A2578" s="259"/>
      <c r="B2578" s="194"/>
      <c r="C2578" s="194"/>
      <c r="D2578" s="194"/>
      <c r="E2578" s="194"/>
      <c r="F2578" s="159"/>
      <c r="G2578" s="159"/>
      <c r="H2578" s="11" t="s">
        <v>814</v>
      </c>
      <c r="I2578" s="196"/>
      <c r="J2578" s="196"/>
      <c r="K2578" s="196"/>
      <c r="L2578" s="196"/>
      <c r="M2578" s="195"/>
      <c r="N2578" s="195"/>
      <c r="O2578" s="195"/>
      <c r="P2578" s="353"/>
      <c r="Q2578" s="195"/>
      <c r="R2578" s="195"/>
      <c r="S2578" s="195"/>
      <c r="T2578" s="197"/>
      <c r="U2578" s="197"/>
      <c r="V2578" s="195"/>
      <c r="W2578" s="195"/>
      <c r="X2578" s="195"/>
      <c r="Y2578" s="195"/>
      <c r="Z2578" s="195"/>
      <c r="AA2578" s="195">
        <f t="shared" si="1376"/>
        <v>0</v>
      </c>
      <c r="AB2578" s="195"/>
      <c r="AC2578" s="195"/>
      <c r="AD2578" s="195"/>
      <c r="AE2578" s="195"/>
      <c r="AF2578" s="195"/>
      <c r="AG2578" s="195"/>
      <c r="AH2578" s="195"/>
      <c r="AI2578" s="195"/>
      <c r="AJ2578" s="162" t="b">
        <f t="shared" si="1392"/>
        <v>1</v>
      </c>
      <c r="AK2578" s="162" t="str">
        <f t="shared" si="1393"/>
        <v>PRAZNO</v>
      </c>
      <c r="AL2578" s="263"/>
    </row>
    <row r="2579" spans="1:50" s="264" customFormat="1" ht="31.5" x14ac:dyDescent="0.2">
      <c r="A2579" s="259"/>
      <c r="B2579" s="280"/>
      <c r="C2579" s="280"/>
      <c r="D2579" s="280"/>
      <c r="E2579" s="280"/>
      <c r="F2579" s="280"/>
      <c r="G2579" s="280"/>
      <c r="H2579" s="271" t="s">
        <v>101</v>
      </c>
      <c r="I2579" s="273" t="e">
        <f>I2581+#REF!+#REF!</f>
        <v>#REF!</v>
      </c>
      <c r="J2579" s="273" t="e">
        <f>J2581+#REF!+#REF!</f>
        <v>#REF!</v>
      </c>
      <c r="K2579" s="273" t="e">
        <f>ROUND(J2579/I2579*100,2)</f>
        <v>#REF!</v>
      </c>
      <c r="L2579" s="273" t="e">
        <f t="shared" si="1358"/>
        <v>#REF!</v>
      </c>
      <c r="M2579" s="304">
        <f>M2581</f>
        <v>735665.32</v>
      </c>
      <c r="N2579" s="304">
        <f>N2581</f>
        <v>865000</v>
      </c>
      <c r="O2579" s="304">
        <f>O2581</f>
        <v>498675.74</v>
      </c>
      <c r="P2579" s="336">
        <f t="shared" si="1382"/>
        <v>166000</v>
      </c>
      <c r="Q2579" s="304">
        <f>Q2581</f>
        <v>865000</v>
      </c>
      <c r="R2579" s="304" t="e">
        <f>R2581+#REF!+#REF!</f>
        <v>#REF!</v>
      </c>
      <c r="S2579" s="304" t="e">
        <f>S2581+#REF!+#REF!</f>
        <v>#REF!</v>
      </c>
      <c r="T2579" s="336">
        <f t="shared" ref="T2579:Y2579" si="1396">T2581</f>
        <v>1031000</v>
      </c>
      <c r="U2579" s="336">
        <f t="shared" si="1396"/>
        <v>983280.19000000006</v>
      </c>
      <c r="V2579" s="304">
        <f t="shared" si="1396"/>
        <v>971000</v>
      </c>
      <c r="W2579" s="304">
        <f t="shared" si="1396"/>
        <v>971000</v>
      </c>
      <c r="X2579" s="304">
        <f t="shared" si="1396"/>
        <v>998000</v>
      </c>
      <c r="Y2579" s="304">
        <f t="shared" si="1396"/>
        <v>200724.76</v>
      </c>
      <c r="Z2579" s="304">
        <f t="shared" si="1364"/>
        <v>20.67</v>
      </c>
      <c r="AA2579" s="304">
        <f t="shared" si="1376"/>
        <v>40000</v>
      </c>
      <c r="AB2579" s="304">
        <f>AB2581</f>
        <v>1011000</v>
      </c>
      <c r="AC2579" s="304">
        <f>AC2581</f>
        <v>500887.03000000009</v>
      </c>
      <c r="AD2579" s="304">
        <f t="shared" si="1386"/>
        <v>49.543722057368953</v>
      </c>
      <c r="AE2579" s="304">
        <f>AF2579-AB2579</f>
        <v>0</v>
      </c>
      <c r="AF2579" s="304">
        <f>AF2581</f>
        <v>1011000</v>
      </c>
      <c r="AG2579" s="304">
        <f>AG2581</f>
        <v>946000</v>
      </c>
      <c r="AH2579" s="304">
        <f>AH2581</f>
        <v>946000</v>
      </c>
      <c r="AI2579" s="304">
        <f>AI2581</f>
        <v>946000</v>
      </c>
      <c r="AJ2579" s="162" t="b">
        <f t="shared" si="1392"/>
        <v>1</v>
      </c>
      <c r="AK2579" s="162" t="str">
        <f t="shared" si="1393"/>
        <v>PRAZNO</v>
      </c>
      <c r="AL2579" s="263"/>
    </row>
    <row r="2580" spans="1:50" s="264" customFormat="1" ht="31.5" x14ac:dyDescent="0.2">
      <c r="A2580" s="259"/>
      <c r="B2580" s="209"/>
      <c r="C2580" s="209"/>
      <c r="D2580" s="209"/>
      <c r="E2580" s="209"/>
      <c r="F2580" s="209"/>
      <c r="G2580" s="209"/>
      <c r="H2580" s="12" t="s">
        <v>306</v>
      </c>
      <c r="I2580" s="169"/>
      <c r="J2580" s="169"/>
      <c r="K2580" s="169"/>
      <c r="L2580" s="169"/>
      <c r="M2580" s="169"/>
      <c r="N2580" s="169"/>
      <c r="O2580" s="169"/>
      <c r="P2580" s="205"/>
      <c r="Q2580" s="169"/>
      <c r="R2580" s="169"/>
      <c r="S2580" s="169"/>
      <c r="T2580" s="205"/>
      <c r="U2580" s="205"/>
      <c r="V2580" s="169"/>
      <c r="W2580" s="169"/>
      <c r="X2580" s="169"/>
      <c r="Y2580" s="169"/>
      <c r="Z2580" s="169"/>
      <c r="AA2580" s="169"/>
      <c r="AB2580" s="169"/>
      <c r="AC2580" s="169"/>
      <c r="AD2580" s="169"/>
      <c r="AE2580" s="169"/>
      <c r="AF2580" s="169"/>
      <c r="AG2580" s="169"/>
      <c r="AH2580" s="169"/>
      <c r="AI2580" s="169"/>
      <c r="AJ2580" s="162" t="b">
        <f t="shared" si="1392"/>
        <v>1</v>
      </c>
      <c r="AK2580" s="162" t="str">
        <f t="shared" si="1393"/>
        <v>PRAZNO</v>
      </c>
      <c r="AL2580" s="263"/>
    </row>
    <row r="2581" spans="1:50" s="264" customFormat="1" ht="34.5" customHeight="1" x14ac:dyDescent="0.2">
      <c r="A2581" s="259"/>
      <c r="B2581" s="209"/>
      <c r="C2581" s="209"/>
      <c r="D2581" s="209"/>
      <c r="E2581" s="209"/>
      <c r="F2581" s="209"/>
      <c r="G2581" s="209"/>
      <c r="H2581" s="12" t="s">
        <v>873</v>
      </c>
      <c r="I2581" s="302">
        <f xml:space="preserve"> I2583</f>
        <v>785000</v>
      </c>
      <c r="J2581" s="302">
        <f xml:space="preserve"> J2583</f>
        <v>373077.66000000003</v>
      </c>
      <c r="K2581" s="302">
        <f>ROUND(J2581/I2581*100,2)</f>
        <v>47.53</v>
      </c>
      <c r="L2581" s="302">
        <f t="shared" si="1358"/>
        <v>-49334.680000000051</v>
      </c>
      <c r="M2581" s="302">
        <f xml:space="preserve"> M2583</f>
        <v>735665.32</v>
      </c>
      <c r="N2581" s="302">
        <f xml:space="preserve"> N2583</f>
        <v>865000</v>
      </c>
      <c r="O2581" s="302">
        <f xml:space="preserve"> O2583</f>
        <v>498675.74</v>
      </c>
      <c r="P2581" s="303">
        <f t="shared" si="1382"/>
        <v>166000</v>
      </c>
      <c r="Q2581" s="169">
        <f t="shared" ref="Q2581:X2581" si="1397" xml:space="preserve"> Q2583</f>
        <v>865000</v>
      </c>
      <c r="R2581" s="169">
        <f t="shared" si="1397"/>
        <v>827000</v>
      </c>
      <c r="S2581" s="169">
        <f t="shared" si="1397"/>
        <v>853500</v>
      </c>
      <c r="T2581" s="303">
        <f t="shared" si="1397"/>
        <v>1031000</v>
      </c>
      <c r="U2581" s="303">
        <f xml:space="preserve"> U2583</f>
        <v>983280.19000000006</v>
      </c>
      <c r="V2581" s="302">
        <f t="shared" si="1397"/>
        <v>971000</v>
      </c>
      <c r="W2581" s="302">
        <f t="shared" si="1397"/>
        <v>971000</v>
      </c>
      <c r="X2581" s="302">
        <f t="shared" si="1397"/>
        <v>998000</v>
      </c>
      <c r="Y2581" s="302">
        <f xml:space="preserve"> Y2583</f>
        <v>200724.76</v>
      </c>
      <c r="Z2581" s="302">
        <f t="shared" ref="Z2581:Z2594" si="1398">ROUND(Y2581/V2581*100,2)</f>
        <v>20.67</v>
      </c>
      <c r="AA2581" s="302">
        <f t="shared" ref="AA2581:AA2595" si="1399">AB2581-V2581</f>
        <v>40000</v>
      </c>
      <c r="AB2581" s="302">
        <f xml:space="preserve"> AB2583</f>
        <v>1011000</v>
      </c>
      <c r="AC2581" s="302">
        <f xml:space="preserve"> AC2583</f>
        <v>500887.03000000009</v>
      </c>
      <c r="AD2581" s="302">
        <f t="shared" si="1386"/>
        <v>49.543722057368953</v>
      </c>
      <c r="AE2581" s="302">
        <f t="shared" ref="AE2581:AE2595" si="1400">AF2581-AB2581</f>
        <v>0</v>
      </c>
      <c r="AF2581" s="302">
        <f xml:space="preserve"> AF2583</f>
        <v>1011000</v>
      </c>
      <c r="AG2581" s="302">
        <f xml:space="preserve"> AG2583</f>
        <v>946000</v>
      </c>
      <c r="AH2581" s="302">
        <f xml:space="preserve"> AH2583</f>
        <v>946000</v>
      </c>
      <c r="AI2581" s="302">
        <f xml:space="preserve"> AI2583</f>
        <v>946000</v>
      </c>
      <c r="AJ2581" s="162" t="b">
        <f t="shared" si="1392"/>
        <v>1</v>
      </c>
      <c r="AK2581" s="162" t="str">
        <f t="shared" si="1393"/>
        <v>PRAZNO</v>
      </c>
      <c r="AL2581" s="263"/>
    </row>
    <row r="2582" spans="1:50" s="264" customFormat="1" ht="15.75" x14ac:dyDescent="0.2">
      <c r="A2582" s="259"/>
      <c r="B2582" s="177"/>
      <c r="C2582" s="177"/>
      <c r="D2582" s="177"/>
      <c r="E2582" s="177"/>
      <c r="F2582" s="177"/>
      <c r="G2582" s="177"/>
      <c r="H2582" s="441" t="s">
        <v>824</v>
      </c>
      <c r="I2582" s="406"/>
      <c r="J2582" s="406"/>
      <c r="K2582" s="406"/>
      <c r="L2582" s="406"/>
      <c r="M2582" s="406"/>
      <c r="N2582" s="406"/>
      <c r="O2582" s="406"/>
      <c r="P2582" s="445"/>
      <c r="Q2582" s="181"/>
      <c r="R2582" s="181"/>
      <c r="S2582" s="181"/>
      <c r="T2582" s="445"/>
      <c r="U2582" s="445"/>
      <c r="V2582" s="406">
        <f>V2583</f>
        <v>971000</v>
      </c>
      <c r="W2582" s="406">
        <f>W2583</f>
        <v>971000</v>
      </c>
      <c r="X2582" s="406">
        <f>X2583</f>
        <v>998000</v>
      </c>
      <c r="Y2582" s="406">
        <f>Y2583</f>
        <v>200724.76</v>
      </c>
      <c r="Z2582" s="406">
        <f t="shared" si="1398"/>
        <v>20.67</v>
      </c>
      <c r="AA2582" s="406">
        <f t="shared" si="1399"/>
        <v>40000</v>
      </c>
      <c r="AB2582" s="406">
        <f>AB2583</f>
        <v>1011000</v>
      </c>
      <c r="AC2582" s="406">
        <f>AC2583</f>
        <v>500887.03000000009</v>
      </c>
      <c r="AD2582" s="406">
        <f t="shared" si="1386"/>
        <v>49.543722057368953</v>
      </c>
      <c r="AE2582" s="406">
        <f t="shared" si="1400"/>
        <v>0</v>
      </c>
      <c r="AF2582" s="406">
        <f>AF2583</f>
        <v>1011000</v>
      </c>
      <c r="AG2582" s="406">
        <f>AG2583</f>
        <v>946000</v>
      </c>
      <c r="AH2582" s="406">
        <f>AH2583</f>
        <v>946000</v>
      </c>
      <c r="AI2582" s="406">
        <f>AI2583</f>
        <v>946000</v>
      </c>
      <c r="AJ2582" s="162" t="b">
        <f t="shared" si="1392"/>
        <v>1</v>
      </c>
      <c r="AK2582" s="162" t="str">
        <f t="shared" si="1393"/>
        <v>PRAZNO</v>
      </c>
      <c r="AL2582" s="263"/>
    </row>
    <row r="2583" spans="1:50" s="264" customFormat="1" ht="15.75" x14ac:dyDescent="0.2">
      <c r="A2583" s="259"/>
      <c r="B2583" s="172">
        <v>3</v>
      </c>
      <c r="C2583" s="172"/>
      <c r="D2583" s="172"/>
      <c r="E2583" s="172"/>
      <c r="F2583" s="172"/>
      <c r="G2583" s="172"/>
      <c r="H2583" s="14" t="s">
        <v>524</v>
      </c>
      <c r="I2583" s="20">
        <f t="shared" ref="I2583:AI2584" si="1401">I2584</f>
        <v>785000</v>
      </c>
      <c r="J2583" s="20">
        <f t="shared" si="1401"/>
        <v>373077.66000000003</v>
      </c>
      <c r="K2583" s="20">
        <f t="shared" ref="K2583:K2593" si="1402">ROUND(J2583/I2583*100,2)</f>
        <v>47.53</v>
      </c>
      <c r="L2583" s="20">
        <f t="shared" si="1358"/>
        <v>-49334.680000000051</v>
      </c>
      <c r="M2583" s="20">
        <f t="shared" si="1401"/>
        <v>735665.32</v>
      </c>
      <c r="N2583" s="20">
        <f t="shared" si="1401"/>
        <v>865000</v>
      </c>
      <c r="O2583" s="20">
        <f t="shared" si="1401"/>
        <v>498675.74</v>
      </c>
      <c r="P2583" s="55">
        <f t="shared" si="1382"/>
        <v>166000</v>
      </c>
      <c r="Q2583" s="20">
        <f t="shared" si="1401"/>
        <v>865000</v>
      </c>
      <c r="R2583" s="20">
        <f t="shared" si="1401"/>
        <v>827000</v>
      </c>
      <c r="S2583" s="20">
        <f t="shared" si="1401"/>
        <v>853500</v>
      </c>
      <c r="T2583" s="55">
        <f t="shared" si="1401"/>
        <v>1031000</v>
      </c>
      <c r="U2583" s="55">
        <f t="shared" si="1401"/>
        <v>983280.19000000006</v>
      </c>
      <c r="V2583" s="20">
        <f t="shared" si="1401"/>
        <v>971000</v>
      </c>
      <c r="W2583" s="20">
        <f t="shared" si="1401"/>
        <v>971000</v>
      </c>
      <c r="X2583" s="20">
        <f t="shared" si="1401"/>
        <v>998000</v>
      </c>
      <c r="Y2583" s="20">
        <f t="shared" si="1401"/>
        <v>200724.76</v>
      </c>
      <c r="Z2583" s="20">
        <f t="shared" si="1398"/>
        <v>20.67</v>
      </c>
      <c r="AA2583" s="20">
        <f t="shared" si="1399"/>
        <v>40000</v>
      </c>
      <c r="AB2583" s="20">
        <f t="shared" si="1401"/>
        <v>1011000</v>
      </c>
      <c r="AC2583" s="20">
        <f t="shared" si="1401"/>
        <v>500887.03000000009</v>
      </c>
      <c r="AD2583" s="20">
        <f t="shared" si="1386"/>
        <v>49.543722057368953</v>
      </c>
      <c r="AE2583" s="20">
        <f t="shared" si="1400"/>
        <v>0</v>
      </c>
      <c r="AF2583" s="20">
        <f t="shared" si="1401"/>
        <v>1011000</v>
      </c>
      <c r="AG2583" s="20">
        <f t="shared" si="1401"/>
        <v>946000</v>
      </c>
      <c r="AH2583" s="20">
        <f t="shared" si="1401"/>
        <v>946000</v>
      </c>
      <c r="AI2583" s="20">
        <f t="shared" si="1401"/>
        <v>946000</v>
      </c>
      <c r="AJ2583" s="162" t="b">
        <f t="shared" si="1392"/>
        <v>1</v>
      </c>
      <c r="AK2583" s="162" t="str">
        <f t="shared" si="1393"/>
        <v>PRAZNO</v>
      </c>
      <c r="AL2583" s="263"/>
    </row>
    <row r="2584" spans="1:50" ht="15.75" x14ac:dyDescent="0.2">
      <c r="B2584" s="175"/>
      <c r="C2584" s="175">
        <v>38</v>
      </c>
      <c r="D2584" s="175"/>
      <c r="E2584" s="175"/>
      <c r="F2584" s="175"/>
      <c r="G2584" s="175"/>
      <c r="H2584" s="15" t="s">
        <v>539</v>
      </c>
      <c r="I2584" s="22">
        <f t="shared" si="1401"/>
        <v>785000</v>
      </c>
      <c r="J2584" s="22">
        <f t="shared" si="1401"/>
        <v>373077.66000000003</v>
      </c>
      <c r="K2584" s="22">
        <f t="shared" si="1402"/>
        <v>47.53</v>
      </c>
      <c r="L2584" s="22">
        <f t="shared" si="1358"/>
        <v>-49334.680000000051</v>
      </c>
      <c r="M2584" s="22">
        <f t="shared" si="1401"/>
        <v>735665.32</v>
      </c>
      <c r="N2584" s="22">
        <f t="shared" si="1401"/>
        <v>865000</v>
      </c>
      <c r="O2584" s="22">
        <f t="shared" si="1401"/>
        <v>498675.74</v>
      </c>
      <c r="P2584" s="26">
        <f t="shared" si="1382"/>
        <v>166000</v>
      </c>
      <c r="Q2584" s="22">
        <f t="shared" si="1401"/>
        <v>865000</v>
      </c>
      <c r="R2584" s="22">
        <f t="shared" si="1401"/>
        <v>827000</v>
      </c>
      <c r="S2584" s="22">
        <f t="shared" si="1401"/>
        <v>853500</v>
      </c>
      <c r="T2584" s="38">
        <f t="shared" si="1401"/>
        <v>1031000</v>
      </c>
      <c r="U2584" s="38">
        <f t="shared" si="1401"/>
        <v>983280.19000000006</v>
      </c>
      <c r="V2584" s="22">
        <f t="shared" si="1401"/>
        <v>971000</v>
      </c>
      <c r="W2584" s="22">
        <f t="shared" si="1401"/>
        <v>971000</v>
      </c>
      <c r="X2584" s="22">
        <f t="shared" si="1401"/>
        <v>998000</v>
      </c>
      <c r="Y2584" s="22">
        <f t="shared" si="1401"/>
        <v>200724.76</v>
      </c>
      <c r="Z2584" s="22">
        <f t="shared" si="1398"/>
        <v>20.67</v>
      </c>
      <c r="AA2584" s="22">
        <f t="shared" si="1399"/>
        <v>40000</v>
      </c>
      <c r="AB2584" s="22">
        <f t="shared" si="1401"/>
        <v>1011000</v>
      </c>
      <c r="AC2584" s="22">
        <f t="shared" si="1401"/>
        <v>500887.03000000009</v>
      </c>
      <c r="AD2584" s="22">
        <f t="shared" si="1386"/>
        <v>49.543722057368953</v>
      </c>
      <c r="AE2584" s="22">
        <f t="shared" si="1400"/>
        <v>0</v>
      </c>
      <c r="AF2584" s="22">
        <f t="shared" si="1401"/>
        <v>1011000</v>
      </c>
      <c r="AG2584" s="22">
        <f t="shared" si="1401"/>
        <v>946000</v>
      </c>
      <c r="AH2584" s="22">
        <f t="shared" si="1401"/>
        <v>946000</v>
      </c>
      <c r="AI2584" s="22">
        <f t="shared" si="1401"/>
        <v>946000</v>
      </c>
      <c r="AJ2584" s="162" t="b">
        <f t="shared" si="1392"/>
        <v>1</v>
      </c>
      <c r="AK2584" s="162" t="str">
        <f t="shared" si="1393"/>
        <v>PRAZNO</v>
      </c>
      <c r="AM2584" s="264"/>
    </row>
    <row r="2585" spans="1:50" ht="15.75" x14ac:dyDescent="0.2">
      <c r="B2585" s="177"/>
      <c r="C2585" s="177"/>
      <c r="D2585" s="177">
        <v>381</v>
      </c>
      <c r="E2585" s="177"/>
      <c r="F2585" s="177"/>
      <c r="G2585" s="177"/>
      <c r="H2585" s="16" t="s">
        <v>540</v>
      </c>
      <c r="I2585" s="17">
        <f>SUM(I2586:I2592)</f>
        <v>785000</v>
      </c>
      <c r="J2585" s="17">
        <f>SUM(J2586:J2592)</f>
        <v>373077.66000000003</v>
      </c>
      <c r="K2585" s="17">
        <f t="shared" si="1402"/>
        <v>47.53</v>
      </c>
      <c r="L2585" s="17">
        <f t="shared" si="1358"/>
        <v>-49334.680000000051</v>
      </c>
      <c r="M2585" s="17">
        <f>SUM(M2586:M2592)</f>
        <v>735665.32</v>
      </c>
      <c r="N2585" s="17">
        <f>SUM(N2586:N2592)</f>
        <v>865000</v>
      </c>
      <c r="O2585" s="17">
        <f>SUM(O2586:O2592)</f>
        <v>498675.74</v>
      </c>
      <c r="P2585" s="26">
        <f t="shared" si="1382"/>
        <v>166000</v>
      </c>
      <c r="Q2585" s="17">
        <f t="shared" ref="Q2585:X2585" si="1403">SUM(Q2586:Q2592)</f>
        <v>865000</v>
      </c>
      <c r="R2585" s="17">
        <f t="shared" si="1403"/>
        <v>827000</v>
      </c>
      <c r="S2585" s="17">
        <f t="shared" si="1403"/>
        <v>853500</v>
      </c>
      <c r="T2585" s="26">
        <f t="shared" si="1403"/>
        <v>1031000</v>
      </c>
      <c r="U2585" s="26">
        <f>SUM(U2586:U2592)</f>
        <v>983280.19000000006</v>
      </c>
      <c r="V2585" s="17">
        <f t="shared" si="1403"/>
        <v>971000</v>
      </c>
      <c r="W2585" s="17">
        <f t="shared" si="1403"/>
        <v>971000</v>
      </c>
      <c r="X2585" s="17">
        <f t="shared" si="1403"/>
        <v>998000</v>
      </c>
      <c r="Y2585" s="17">
        <f>SUM(Y2586:Y2592)</f>
        <v>200724.76</v>
      </c>
      <c r="Z2585" s="17">
        <f t="shared" si="1398"/>
        <v>20.67</v>
      </c>
      <c r="AA2585" s="17">
        <f t="shared" si="1399"/>
        <v>40000</v>
      </c>
      <c r="AB2585" s="17">
        <f>SUM(AB2586:AB2592)</f>
        <v>1011000</v>
      </c>
      <c r="AC2585" s="17">
        <f>SUM(AC2586:AC2592)</f>
        <v>500887.03000000009</v>
      </c>
      <c r="AD2585" s="17">
        <f t="shared" si="1386"/>
        <v>49.543722057368953</v>
      </c>
      <c r="AE2585" s="17">
        <f t="shared" si="1400"/>
        <v>0</v>
      </c>
      <c r="AF2585" s="17">
        <f>SUM(AF2586:AF2592)</f>
        <v>1011000</v>
      </c>
      <c r="AG2585" s="17">
        <f>SUM(AG2586:AG2592)</f>
        <v>946000</v>
      </c>
      <c r="AH2585" s="17">
        <f>SUM(AH2586:AH2592)</f>
        <v>946000</v>
      </c>
      <c r="AI2585" s="17">
        <f>SUM(AI2586:AI2592)</f>
        <v>946000</v>
      </c>
      <c r="AJ2585" s="162" t="b">
        <f t="shared" si="1392"/>
        <v>1</v>
      </c>
      <c r="AK2585" s="162" t="str">
        <f t="shared" si="1393"/>
        <v>PRAZNO</v>
      </c>
      <c r="AM2585" s="264"/>
    </row>
    <row r="2586" spans="1:50" ht="30" customHeight="1" x14ac:dyDescent="0.2">
      <c r="B2586" s="177"/>
      <c r="C2586" s="177"/>
      <c r="D2586" s="177"/>
      <c r="E2586" s="177">
        <v>3811</v>
      </c>
      <c r="F2586" s="176">
        <v>11</v>
      </c>
      <c r="G2586" s="177"/>
      <c r="H2586" s="16" t="s">
        <v>146</v>
      </c>
      <c r="I2586" s="17">
        <v>250000</v>
      </c>
      <c r="J2586" s="17">
        <v>139513.24</v>
      </c>
      <c r="K2586" s="17">
        <f t="shared" si="1402"/>
        <v>55.81</v>
      </c>
      <c r="L2586" s="17">
        <f t="shared" si="1358"/>
        <v>-3438.5</v>
      </c>
      <c r="M2586" s="17">
        <v>246561.5</v>
      </c>
      <c r="N2586" s="17">
        <v>250000</v>
      </c>
      <c r="O2586" s="17">
        <v>191343.91</v>
      </c>
      <c r="P2586" s="26">
        <f>T2586-N2586</f>
        <v>83000</v>
      </c>
      <c r="Q2586" s="17">
        <v>250000</v>
      </c>
      <c r="R2586" s="17">
        <v>255000</v>
      </c>
      <c r="S2586" s="17">
        <v>260000</v>
      </c>
      <c r="T2586" s="26">
        <v>333000</v>
      </c>
      <c r="U2586" s="26">
        <v>352185.27</v>
      </c>
      <c r="V2586" s="26">
        <v>273000</v>
      </c>
      <c r="W2586" s="17">
        <v>273000</v>
      </c>
      <c r="X2586" s="17">
        <v>275000</v>
      </c>
      <c r="Y2586" s="26">
        <v>80751.679999999993</v>
      </c>
      <c r="Z2586" s="26">
        <f t="shared" si="1398"/>
        <v>29.58</v>
      </c>
      <c r="AA2586" s="26">
        <f t="shared" si="1399"/>
        <v>5000</v>
      </c>
      <c r="AB2586" s="26">
        <v>278000</v>
      </c>
      <c r="AC2586" s="26">
        <v>182857.81</v>
      </c>
      <c r="AD2586" s="26">
        <f t="shared" si="1386"/>
        <v>65.776190647482011</v>
      </c>
      <c r="AE2586" s="26">
        <f t="shared" si="1400"/>
        <v>0</v>
      </c>
      <c r="AF2586" s="26">
        <v>278000</v>
      </c>
      <c r="AG2586" s="26">
        <v>278000</v>
      </c>
      <c r="AH2586" s="26">
        <v>278000</v>
      </c>
      <c r="AI2586" s="26">
        <v>278000</v>
      </c>
      <c r="AJ2586" s="162" t="b">
        <f t="shared" si="1392"/>
        <v>0</v>
      </c>
      <c r="AK2586" s="162" t="str">
        <f t="shared" si="1393"/>
        <v>PUNO</v>
      </c>
      <c r="AM2586" s="264"/>
    </row>
    <row r="2587" spans="1:50" ht="30" x14ac:dyDescent="0.2">
      <c r="B2587" s="177"/>
      <c r="C2587" s="177"/>
      <c r="D2587" s="177"/>
      <c r="E2587" s="177">
        <v>3811</v>
      </c>
      <c r="F2587" s="176">
        <v>11</v>
      </c>
      <c r="G2587" s="177"/>
      <c r="H2587" s="16" t="s">
        <v>147</v>
      </c>
      <c r="I2587" s="17">
        <v>200000</v>
      </c>
      <c r="J2587" s="17">
        <v>99384.62</v>
      </c>
      <c r="K2587" s="17">
        <f t="shared" si="1402"/>
        <v>49.69</v>
      </c>
      <c r="L2587" s="17">
        <f t="shared" si="1358"/>
        <v>-3236.3999999999942</v>
      </c>
      <c r="M2587" s="17">
        <v>196763.6</v>
      </c>
      <c r="N2587" s="17">
        <f>210000+10000</f>
        <v>220000</v>
      </c>
      <c r="O2587" s="17">
        <v>119494.7</v>
      </c>
      <c r="P2587" s="26">
        <f t="shared" si="1382"/>
        <v>33000</v>
      </c>
      <c r="Q2587" s="17">
        <f>210000+10000</f>
        <v>220000</v>
      </c>
      <c r="R2587" s="17">
        <f>220000+10000</f>
        <v>230000</v>
      </c>
      <c r="S2587" s="17">
        <f>230000+10000</f>
        <v>240000</v>
      </c>
      <c r="T2587" s="26">
        <f>238000+15000</f>
        <v>253000</v>
      </c>
      <c r="U2587" s="26">
        <v>238323.56</v>
      </c>
      <c r="V2587" s="307">
        <f>238000+15000</f>
        <v>253000</v>
      </c>
      <c r="W2587" s="307">
        <f>238000+15000</f>
        <v>253000</v>
      </c>
      <c r="X2587" s="181">
        <v>260000</v>
      </c>
      <c r="Y2587" s="307">
        <v>18417.13</v>
      </c>
      <c r="Z2587" s="307">
        <f t="shared" si="1398"/>
        <v>7.28</v>
      </c>
      <c r="AA2587" s="307">
        <f t="shared" si="1399"/>
        <v>5000</v>
      </c>
      <c r="AB2587" s="307">
        <v>258000</v>
      </c>
      <c r="AC2587" s="307">
        <v>98466.39</v>
      </c>
      <c r="AD2587" s="307">
        <f t="shared" si="1386"/>
        <v>38.165267441860465</v>
      </c>
      <c r="AE2587" s="307">
        <f t="shared" si="1400"/>
        <v>0</v>
      </c>
      <c r="AF2587" s="307">
        <v>258000</v>
      </c>
      <c r="AG2587" s="307">
        <v>258000</v>
      </c>
      <c r="AH2587" s="307">
        <v>258000</v>
      </c>
      <c r="AI2587" s="307">
        <v>258000</v>
      </c>
      <c r="AJ2587" s="162" t="b">
        <f t="shared" si="1392"/>
        <v>0</v>
      </c>
      <c r="AK2587" s="162" t="str">
        <f t="shared" si="1393"/>
        <v>PUNO</v>
      </c>
      <c r="AM2587" s="264"/>
    </row>
    <row r="2588" spans="1:50" ht="30" x14ac:dyDescent="0.2">
      <c r="B2588" s="177"/>
      <c r="C2588" s="177"/>
      <c r="D2588" s="177"/>
      <c r="E2588" s="177">
        <v>3811</v>
      </c>
      <c r="F2588" s="176">
        <v>17</v>
      </c>
      <c r="G2588" s="177"/>
      <c r="H2588" s="16" t="s">
        <v>148</v>
      </c>
      <c r="I2588" s="17">
        <v>30000</v>
      </c>
      <c r="J2588" s="17">
        <v>2000</v>
      </c>
      <c r="K2588" s="17">
        <f t="shared" si="1402"/>
        <v>6.67</v>
      </c>
      <c r="L2588" s="17">
        <f t="shared" si="1358"/>
        <v>-6500</v>
      </c>
      <c r="M2588" s="17">
        <v>23500</v>
      </c>
      <c r="N2588" s="17">
        <v>25000</v>
      </c>
      <c r="O2588" s="17">
        <v>10612</v>
      </c>
      <c r="P2588" s="26">
        <f t="shared" si="1382"/>
        <v>0</v>
      </c>
      <c r="Q2588" s="17">
        <v>25000</v>
      </c>
      <c r="R2588" s="17">
        <v>26000</v>
      </c>
      <c r="S2588" s="17">
        <v>26500</v>
      </c>
      <c r="T2588" s="26">
        <v>25000</v>
      </c>
      <c r="U2588" s="26">
        <v>20030</v>
      </c>
      <c r="V2588" s="26">
        <v>25000</v>
      </c>
      <c r="W2588" s="26">
        <v>25000</v>
      </c>
      <c r="X2588" s="26">
        <v>25000</v>
      </c>
      <c r="Y2588" s="26">
        <v>7500</v>
      </c>
      <c r="Z2588" s="26">
        <f t="shared" si="1398"/>
        <v>30</v>
      </c>
      <c r="AA2588" s="26">
        <f t="shared" si="1399"/>
        <v>0</v>
      </c>
      <c r="AB2588" s="26">
        <v>25000</v>
      </c>
      <c r="AC2588" s="26">
        <v>9347.09</v>
      </c>
      <c r="AD2588" s="26">
        <f t="shared" si="1386"/>
        <v>37.388359999999999</v>
      </c>
      <c r="AE2588" s="26">
        <f t="shared" si="1400"/>
        <v>0</v>
      </c>
      <c r="AF2588" s="26">
        <v>25000</v>
      </c>
      <c r="AG2588" s="26">
        <v>0</v>
      </c>
      <c r="AH2588" s="26">
        <v>0</v>
      </c>
      <c r="AI2588" s="26">
        <v>0</v>
      </c>
      <c r="AJ2588" s="162" t="b">
        <f t="shared" si="1392"/>
        <v>0</v>
      </c>
      <c r="AK2588" s="162" t="str">
        <f t="shared" si="1393"/>
        <v>PUNO</v>
      </c>
      <c r="AM2588" s="264"/>
    </row>
    <row r="2589" spans="1:50" ht="30" x14ac:dyDescent="0.2">
      <c r="B2589" s="177"/>
      <c r="C2589" s="177"/>
      <c r="D2589" s="177"/>
      <c r="E2589" s="177">
        <v>3811</v>
      </c>
      <c r="F2589" s="176">
        <v>11</v>
      </c>
      <c r="G2589" s="177"/>
      <c r="H2589" s="16" t="s">
        <v>178</v>
      </c>
      <c r="I2589" s="17">
        <v>95000</v>
      </c>
      <c r="J2589" s="17">
        <v>58430.66</v>
      </c>
      <c r="K2589" s="17">
        <f t="shared" si="1402"/>
        <v>61.51</v>
      </c>
      <c r="L2589" s="17">
        <f t="shared" si="1358"/>
        <v>0</v>
      </c>
      <c r="M2589" s="17">
        <v>95000</v>
      </c>
      <c r="N2589" s="17">
        <f>95000+40000</f>
        <v>135000</v>
      </c>
      <c r="O2589" s="17">
        <v>104000</v>
      </c>
      <c r="P2589" s="26">
        <f t="shared" si="1382"/>
        <v>0</v>
      </c>
      <c r="Q2589" s="17">
        <f>95000+40000</f>
        <v>135000</v>
      </c>
      <c r="R2589" s="17">
        <v>97000</v>
      </c>
      <c r="S2589" s="17">
        <v>100000</v>
      </c>
      <c r="T2589" s="26">
        <v>135000</v>
      </c>
      <c r="U2589" s="26">
        <v>135000</v>
      </c>
      <c r="V2589" s="26">
        <v>135000</v>
      </c>
      <c r="W2589" s="26">
        <v>135000</v>
      </c>
      <c r="X2589" s="17">
        <v>138000</v>
      </c>
      <c r="Y2589" s="26">
        <v>47555.95</v>
      </c>
      <c r="Z2589" s="26">
        <f t="shared" si="1398"/>
        <v>35.229999999999997</v>
      </c>
      <c r="AA2589" s="26">
        <f t="shared" si="1399"/>
        <v>0</v>
      </c>
      <c r="AB2589" s="26">
        <v>135000</v>
      </c>
      <c r="AC2589" s="26">
        <v>78164.91</v>
      </c>
      <c r="AD2589" s="26">
        <f t="shared" si="1386"/>
        <v>57.89993333333333</v>
      </c>
      <c r="AE2589" s="26">
        <f t="shared" si="1400"/>
        <v>0</v>
      </c>
      <c r="AF2589" s="26">
        <v>135000</v>
      </c>
      <c r="AG2589" s="26">
        <v>135000</v>
      </c>
      <c r="AH2589" s="26">
        <v>135000</v>
      </c>
      <c r="AI2589" s="26">
        <v>135000</v>
      </c>
      <c r="AJ2589" s="162" t="b">
        <f t="shared" si="1392"/>
        <v>0</v>
      </c>
      <c r="AK2589" s="162" t="str">
        <f t="shared" si="1393"/>
        <v>PUNO</v>
      </c>
      <c r="AM2589" s="264"/>
    </row>
    <row r="2590" spans="1:50" ht="15.75" x14ac:dyDescent="0.2">
      <c r="B2590" s="177"/>
      <c r="C2590" s="177"/>
      <c r="D2590" s="177"/>
      <c r="E2590" s="177">
        <v>3811</v>
      </c>
      <c r="F2590" s="176">
        <v>11</v>
      </c>
      <c r="G2590" s="177"/>
      <c r="H2590" s="16" t="s">
        <v>179</v>
      </c>
      <c r="I2590" s="17">
        <v>40000</v>
      </c>
      <c r="J2590" s="17">
        <v>19499.66</v>
      </c>
      <c r="K2590" s="17">
        <f t="shared" si="1402"/>
        <v>48.75</v>
      </c>
      <c r="L2590" s="17">
        <f t="shared" si="1358"/>
        <v>-4000.3399999999965</v>
      </c>
      <c r="M2590" s="17">
        <v>35999.660000000003</v>
      </c>
      <c r="N2590" s="17">
        <v>40000</v>
      </c>
      <c r="O2590" s="17">
        <v>10000</v>
      </c>
      <c r="P2590" s="26">
        <f t="shared" si="1382"/>
        <v>0</v>
      </c>
      <c r="Q2590" s="17">
        <v>40000</v>
      </c>
      <c r="R2590" s="17">
        <v>42000</v>
      </c>
      <c r="S2590" s="17">
        <v>45000</v>
      </c>
      <c r="T2590" s="26">
        <v>40000</v>
      </c>
      <c r="U2590" s="26">
        <v>36739.22</v>
      </c>
      <c r="V2590" s="26">
        <v>40000</v>
      </c>
      <c r="W2590" s="26">
        <v>40000</v>
      </c>
      <c r="X2590" s="17">
        <v>45000</v>
      </c>
      <c r="Y2590" s="26">
        <v>9500</v>
      </c>
      <c r="Z2590" s="26">
        <f t="shared" si="1398"/>
        <v>23.75</v>
      </c>
      <c r="AA2590" s="26">
        <f t="shared" si="1399"/>
        <v>20000</v>
      </c>
      <c r="AB2590" s="26">
        <v>60000</v>
      </c>
      <c r="AC2590" s="26">
        <v>23868.18</v>
      </c>
      <c r="AD2590" s="26">
        <f t="shared" si="1386"/>
        <v>39.780300000000004</v>
      </c>
      <c r="AE2590" s="26">
        <f t="shared" si="1400"/>
        <v>0</v>
      </c>
      <c r="AF2590" s="26">
        <v>60000</v>
      </c>
      <c r="AG2590" s="26">
        <v>100000</v>
      </c>
      <c r="AH2590" s="26">
        <v>100000</v>
      </c>
      <c r="AI2590" s="26">
        <v>100000</v>
      </c>
      <c r="AJ2590" s="162" t="b">
        <f t="shared" si="1392"/>
        <v>0</v>
      </c>
      <c r="AK2590" s="162" t="str">
        <f t="shared" si="1393"/>
        <v>PUNO</v>
      </c>
      <c r="AM2590" s="264"/>
    </row>
    <row r="2591" spans="1:50" ht="32.25" customHeight="1" x14ac:dyDescent="0.2">
      <c r="B2591" s="177"/>
      <c r="C2591" s="177"/>
      <c r="D2591" s="177"/>
      <c r="E2591" s="177">
        <v>3811</v>
      </c>
      <c r="F2591" s="176">
        <v>11</v>
      </c>
      <c r="G2591" s="176">
        <v>10</v>
      </c>
      <c r="H2591" s="16" t="s">
        <v>180</v>
      </c>
      <c r="I2591" s="18">
        <v>100000</v>
      </c>
      <c r="J2591" s="18">
        <v>13447.46</v>
      </c>
      <c r="K2591" s="18">
        <f t="shared" si="1402"/>
        <v>13.45</v>
      </c>
      <c r="L2591" s="18">
        <f t="shared" si="1358"/>
        <v>-31452.539999999994</v>
      </c>
      <c r="M2591" s="18">
        <v>68547.460000000006</v>
      </c>
      <c r="N2591" s="18">
        <v>95000</v>
      </c>
      <c r="O2591" s="18">
        <v>23000</v>
      </c>
      <c r="P2591" s="26">
        <f t="shared" si="1382"/>
        <v>0</v>
      </c>
      <c r="Q2591" s="18">
        <v>95000</v>
      </c>
      <c r="R2591" s="18">
        <v>97000</v>
      </c>
      <c r="S2591" s="18">
        <v>100000</v>
      </c>
      <c r="T2591" s="27">
        <v>95000</v>
      </c>
      <c r="U2591" s="27">
        <v>86948.26</v>
      </c>
      <c r="V2591" s="27">
        <v>95000</v>
      </c>
      <c r="W2591" s="27">
        <v>95000</v>
      </c>
      <c r="X2591" s="18">
        <v>100000</v>
      </c>
      <c r="Y2591" s="27">
        <v>21000</v>
      </c>
      <c r="Z2591" s="27">
        <f t="shared" si="1398"/>
        <v>22.11</v>
      </c>
      <c r="AA2591" s="27">
        <f t="shared" si="1399"/>
        <v>0</v>
      </c>
      <c r="AB2591" s="27">
        <v>95000</v>
      </c>
      <c r="AC2591" s="26">
        <v>32835.9</v>
      </c>
      <c r="AD2591" s="26">
        <f t="shared" si="1386"/>
        <v>34.564105263157899</v>
      </c>
      <c r="AE2591" s="26">
        <f t="shared" si="1400"/>
        <v>0</v>
      </c>
      <c r="AF2591" s="27">
        <v>95000</v>
      </c>
      <c r="AG2591" s="27">
        <v>95000</v>
      </c>
      <c r="AH2591" s="27">
        <v>95000</v>
      </c>
      <c r="AI2591" s="27">
        <v>95000</v>
      </c>
      <c r="AJ2591" s="162" t="b">
        <f t="shared" si="1392"/>
        <v>0</v>
      </c>
      <c r="AK2591" s="162" t="str">
        <f t="shared" si="1393"/>
        <v>PUNO</v>
      </c>
      <c r="AM2591" s="264"/>
    </row>
    <row r="2592" spans="1:50" ht="21" customHeight="1" x14ac:dyDescent="0.2">
      <c r="A2592" s="146"/>
      <c r="B2592" s="177"/>
      <c r="C2592" s="177"/>
      <c r="D2592" s="177"/>
      <c r="E2592" s="177">
        <v>3811</v>
      </c>
      <c r="F2592" s="176">
        <v>11</v>
      </c>
      <c r="G2592" s="176"/>
      <c r="H2592" s="16" t="s">
        <v>181</v>
      </c>
      <c r="I2592" s="18">
        <v>70000</v>
      </c>
      <c r="J2592" s="18">
        <v>40802.019999999997</v>
      </c>
      <c r="K2592" s="18">
        <f t="shared" si="1402"/>
        <v>58.29</v>
      </c>
      <c r="L2592" s="18">
        <f t="shared" si="1358"/>
        <v>-706.89999999999418</v>
      </c>
      <c r="M2592" s="18">
        <v>69293.100000000006</v>
      </c>
      <c r="N2592" s="18">
        <v>100000</v>
      </c>
      <c r="O2592" s="18">
        <v>40225.129999999997</v>
      </c>
      <c r="P2592" s="26">
        <f t="shared" si="1382"/>
        <v>50000</v>
      </c>
      <c r="Q2592" s="18">
        <v>100000</v>
      </c>
      <c r="R2592" s="18">
        <v>80000</v>
      </c>
      <c r="S2592" s="18">
        <v>82000</v>
      </c>
      <c r="T2592" s="27">
        <f>100000+50000</f>
        <v>150000</v>
      </c>
      <c r="U2592" s="27">
        <v>114053.88</v>
      </c>
      <c r="V2592" s="27">
        <f>100000+50000</f>
        <v>150000</v>
      </c>
      <c r="W2592" s="27">
        <f>100000+50000</f>
        <v>150000</v>
      </c>
      <c r="X2592" s="18">
        <v>155000</v>
      </c>
      <c r="Y2592" s="27">
        <v>16000</v>
      </c>
      <c r="Z2592" s="27">
        <f t="shared" si="1398"/>
        <v>10.67</v>
      </c>
      <c r="AA2592" s="27">
        <f t="shared" si="1399"/>
        <v>10000</v>
      </c>
      <c r="AB2592" s="27">
        <v>160000</v>
      </c>
      <c r="AC2592" s="27">
        <v>75346.75</v>
      </c>
      <c r="AD2592" s="27">
        <f t="shared" si="1386"/>
        <v>47.091718749999998</v>
      </c>
      <c r="AE2592" s="27">
        <f t="shared" si="1400"/>
        <v>0</v>
      </c>
      <c r="AF2592" s="27">
        <v>160000</v>
      </c>
      <c r="AG2592" s="27">
        <v>80000</v>
      </c>
      <c r="AH2592" s="27">
        <v>80000</v>
      </c>
      <c r="AI2592" s="27">
        <v>80000</v>
      </c>
      <c r="AJ2592" s="162" t="b">
        <f t="shared" si="1392"/>
        <v>0</v>
      </c>
      <c r="AK2592" s="162" t="str">
        <f t="shared" si="1393"/>
        <v>PUNO</v>
      </c>
      <c r="AM2592" s="264"/>
    </row>
    <row r="2593" spans="1:39" ht="21.75" customHeight="1" x14ac:dyDescent="0.2">
      <c r="A2593" s="146"/>
      <c r="B2593" s="223"/>
      <c r="C2593" s="223"/>
      <c r="D2593" s="223"/>
      <c r="E2593" s="223"/>
      <c r="F2593" s="224"/>
      <c r="G2593" s="224"/>
      <c r="H2593" s="225" t="s">
        <v>496</v>
      </c>
      <c r="I2593" s="226" t="e">
        <f>I10+I237+I372+I405+I471+I1282+I1713+I1131+I859</f>
        <v>#REF!</v>
      </c>
      <c r="J2593" s="226" t="e">
        <f>J10+J237+J372+J405+J471+J1282+J1713+J1131+J859</f>
        <v>#REF!</v>
      </c>
      <c r="K2593" s="226" t="e">
        <f t="shared" si="1402"/>
        <v>#REF!</v>
      </c>
      <c r="L2593" s="226" t="e">
        <f>L10+L237+L372+L405+L471+L1282+L1713+L1131+L859</f>
        <v>#REF!</v>
      </c>
      <c r="M2593" s="226" t="e">
        <f>M10+M236+M372+M405+M471+M1282+M1713+M1131+M859</f>
        <v>#REF!</v>
      </c>
      <c r="N2593" s="226" t="e">
        <f>N10+N236+N372+N405+N471+N1282+N1713+N1131+N859</f>
        <v>#REF!</v>
      </c>
      <c r="O2593" s="226" t="e">
        <f>O10+O236+O372+O405+O471+O1282+O1713+O1131+O859</f>
        <v>#REF!</v>
      </c>
      <c r="P2593" s="307" t="e">
        <f>T2593-N2593</f>
        <v>#REF!</v>
      </c>
      <c r="Q2593" s="226" t="e">
        <f t="shared" ref="Q2593:Y2593" si="1404">Q10+Q236+Q372+Q405+Q471+Q1282+Q1713+Q1131+Q859</f>
        <v>#REF!</v>
      </c>
      <c r="R2593" s="226" t="e">
        <f t="shared" si="1404"/>
        <v>#REF!</v>
      </c>
      <c r="S2593" s="226" t="e">
        <f t="shared" si="1404"/>
        <v>#REF!</v>
      </c>
      <c r="T2593" s="226" t="e">
        <f t="shared" si="1404"/>
        <v>#REF!</v>
      </c>
      <c r="U2593" s="226">
        <f t="shared" si="1404"/>
        <v>137914052.86999997</v>
      </c>
      <c r="V2593" s="226">
        <f t="shared" si="1404"/>
        <v>163125739</v>
      </c>
      <c r="W2593" s="226" t="e">
        <f t="shared" si="1404"/>
        <v>#REF!</v>
      </c>
      <c r="X2593" s="226" t="e">
        <f t="shared" si="1404"/>
        <v>#REF!</v>
      </c>
      <c r="Y2593" s="226">
        <f t="shared" si="1404"/>
        <v>49631049.379999995</v>
      </c>
      <c r="Z2593" s="226">
        <f t="shared" si="1398"/>
        <v>30.43</v>
      </c>
      <c r="AA2593" s="226">
        <f t="shared" si="1399"/>
        <v>2474218</v>
      </c>
      <c r="AB2593" s="226">
        <f>AB10+AB236+AB372+AB405+AB471+AB1282+AB1713+AB1131+AB859</f>
        <v>165599957</v>
      </c>
      <c r="AC2593" s="226">
        <f>AC10+AC236+AC372+AC405+AC471+AC1282+AC1713+AC1131+AC859</f>
        <v>97673006.949999973</v>
      </c>
      <c r="AD2593" s="226">
        <f t="shared" si="1386"/>
        <v>58.98129970528916</v>
      </c>
      <c r="AE2593" s="226">
        <f t="shared" si="1400"/>
        <v>-67851.640000015497</v>
      </c>
      <c r="AF2593" s="226">
        <f>AF10+AF236+AF372+AF405+AF471+AF1282+AF1713+AF1131+AF859</f>
        <v>165532105.35999998</v>
      </c>
      <c r="AG2593" s="226">
        <f>AG10+AG236+AG372+AG405+AG471+AG1282+AG1713+AG1131+AG859</f>
        <v>162197183.36000001</v>
      </c>
      <c r="AH2593" s="226">
        <f>AH10+AH236+AH372+AH405+AH471+AH1282+AH1713+AH1131+AH859</f>
        <v>147505836</v>
      </c>
      <c r="AI2593" s="226">
        <f>AI10+AI236+AI372+AI405+AI471+AI1282+AI1713+AI1131+AI859</f>
        <v>146040726</v>
      </c>
      <c r="AJ2593" s="162" t="b">
        <f t="shared" si="1392"/>
        <v>1</v>
      </c>
      <c r="AK2593" s="162" t="str">
        <f t="shared" si="1393"/>
        <v>PRAZNO</v>
      </c>
      <c r="AM2593" s="264"/>
    </row>
    <row r="2594" spans="1:39" ht="16.5" customHeight="1" x14ac:dyDescent="0.25">
      <c r="A2594" s="146"/>
      <c r="B2594" s="223"/>
      <c r="C2594" s="223"/>
      <c r="D2594" s="223"/>
      <c r="E2594" s="223"/>
      <c r="F2594" s="223"/>
      <c r="G2594" s="224"/>
      <c r="H2594" s="225" t="s">
        <v>497</v>
      </c>
      <c r="I2594" s="228">
        <f t="shared" ref="I2594:O2594" si="1405">SUMIF($AK$10:$AK$2592,"PUNO",I10:I2592)</f>
        <v>93577763</v>
      </c>
      <c r="J2594" s="228">
        <f t="shared" si="1405"/>
        <v>54056051.779999956</v>
      </c>
      <c r="K2594" s="228" t="e">
        <f t="shared" si="1405"/>
        <v>#DIV/0!</v>
      </c>
      <c r="L2594" s="228" t="e">
        <f t="shared" si="1405"/>
        <v>#REF!</v>
      </c>
      <c r="M2594" s="227">
        <f t="shared" si="1405"/>
        <v>90374074.230000019</v>
      </c>
      <c r="N2594" s="227">
        <f t="shared" si="1405"/>
        <v>117362605</v>
      </c>
      <c r="O2594" s="227">
        <f t="shared" si="1405"/>
        <v>57847653.950000048</v>
      </c>
      <c r="P2594" s="415">
        <f>T2594-N2594</f>
        <v>16980035</v>
      </c>
      <c r="Q2594" s="227">
        <f t="shared" ref="Q2594:Y2594" si="1406">SUMIF($AK$10:$AK$2592,"PUNO",Q10:Q2592)</f>
        <v>112935970</v>
      </c>
      <c r="R2594" s="227">
        <f t="shared" si="1406"/>
        <v>104548000</v>
      </c>
      <c r="S2594" s="227">
        <f t="shared" si="1406"/>
        <v>105811090</v>
      </c>
      <c r="T2594" s="345">
        <f t="shared" si="1406"/>
        <v>134342640</v>
      </c>
      <c r="U2594" s="345">
        <f t="shared" si="1406"/>
        <v>137914052.87000003</v>
      </c>
      <c r="V2594" s="227">
        <f t="shared" si="1406"/>
        <v>163125739</v>
      </c>
      <c r="W2594" s="227">
        <f t="shared" si="1406"/>
        <v>156220587</v>
      </c>
      <c r="X2594" s="227">
        <f t="shared" si="1406"/>
        <v>157350209</v>
      </c>
      <c r="Y2594" s="227">
        <f t="shared" si="1406"/>
        <v>51600925.020000033</v>
      </c>
      <c r="Z2594" s="227">
        <f t="shared" si="1398"/>
        <v>31.63</v>
      </c>
      <c r="AA2594" s="227">
        <f t="shared" si="1399"/>
        <v>2474218</v>
      </c>
      <c r="AB2594" s="227">
        <f>SUMIF($AK$10:$AK$2592,"PUNO",AB10:AB2592)</f>
        <v>165599957</v>
      </c>
      <c r="AC2594" s="227">
        <f>SUMIF($AK$10:$AK$2592,"PUNO",AC10:AC2592)</f>
        <v>97673006.950000003</v>
      </c>
      <c r="AD2594" s="227">
        <f t="shared" si="1386"/>
        <v>58.981299705289182</v>
      </c>
      <c r="AE2594" s="227">
        <f t="shared" si="1400"/>
        <v>-67851.639999985695</v>
      </c>
      <c r="AF2594" s="227">
        <f>SUMIF($AK$10:$AK$2592,"PUNO",AF10:AF2592)</f>
        <v>165532105.36000001</v>
      </c>
      <c r="AG2594" s="227">
        <f>SUMIF($AK$10:$AK$2592,"PUNO",AG10:AG2592)</f>
        <v>162197183.36000001</v>
      </c>
      <c r="AH2594" s="227">
        <f>SUMIF($AK$10:$AK$2592,"PUNO",AH10:AH2592)</f>
        <v>147505836</v>
      </c>
      <c r="AI2594" s="227">
        <f>SUMIF($AK$10:$AK$2592,"PUNO",AI10:AI2592)</f>
        <v>146040726</v>
      </c>
      <c r="AJ2594" s="162" t="b">
        <f t="shared" si="1392"/>
        <v>1</v>
      </c>
      <c r="AK2594" s="162" t="str">
        <f t="shared" si="1393"/>
        <v>PRAZNO</v>
      </c>
      <c r="AL2594" s="198"/>
      <c r="AM2594" s="264"/>
    </row>
    <row r="2595" spans="1:39" ht="22.5" customHeight="1" x14ac:dyDescent="0.2">
      <c r="A2595" s="146"/>
      <c r="B2595" s="142"/>
      <c r="C2595" s="142"/>
      <c r="D2595" s="142"/>
      <c r="E2595" s="142"/>
      <c r="F2595" s="143"/>
      <c r="G2595" s="143"/>
      <c r="H2595" s="142"/>
      <c r="I2595" s="229" t="e">
        <f t="shared" ref="I2595:AB2595" si="1407">I2593-I2594</f>
        <v>#REF!</v>
      </c>
      <c r="J2595" s="229" t="e">
        <f t="shared" si="1407"/>
        <v>#REF!</v>
      </c>
      <c r="K2595" s="229" t="e">
        <f t="shared" si="1407"/>
        <v>#REF!</v>
      </c>
      <c r="L2595" s="229"/>
      <c r="M2595" s="229" t="e">
        <f t="shared" si="1407"/>
        <v>#REF!</v>
      </c>
      <c r="N2595" s="229" t="e">
        <f t="shared" si="1407"/>
        <v>#REF!</v>
      </c>
      <c r="O2595" s="229" t="e">
        <f t="shared" si="1407"/>
        <v>#REF!</v>
      </c>
      <c r="P2595" s="230" t="e">
        <f>T2595-N2595</f>
        <v>#REF!</v>
      </c>
      <c r="Q2595" s="229" t="e">
        <f t="shared" si="1407"/>
        <v>#REF!</v>
      </c>
      <c r="R2595" s="229" t="e">
        <f t="shared" si="1407"/>
        <v>#REF!</v>
      </c>
      <c r="S2595" s="229" t="e">
        <f t="shared" si="1407"/>
        <v>#REF!</v>
      </c>
      <c r="T2595" s="230" t="e">
        <f t="shared" si="1407"/>
        <v>#REF!</v>
      </c>
      <c r="U2595" s="230">
        <f t="shared" si="1407"/>
        <v>0</v>
      </c>
      <c r="V2595" s="631">
        <f t="shared" si="1407"/>
        <v>0</v>
      </c>
      <c r="W2595" s="631" t="e">
        <f t="shared" si="1407"/>
        <v>#REF!</v>
      </c>
      <c r="X2595" s="631" t="e">
        <f t="shared" si="1407"/>
        <v>#REF!</v>
      </c>
      <c r="Y2595" s="631">
        <f t="shared" si="1407"/>
        <v>-1969875.6400000378</v>
      </c>
      <c r="Z2595" s="631"/>
      <c r="AA2595" s="631">
        <f t="shared" si="1399"/>
        <v>0</v>
      </c>
      <c r="AB2595" s="631">
        <f t="shared" si="1407"/>
        <v>0</v>
      </c>
      <c r="AC2595" s="631">
        <f>AC2593-AC2594</f>
        <v>0</v>
      </c>
      <c r="AD2595" s="631"/>
      <c r="AE2595" s="631">
        <f t="shared" si="1400"/>
        <v>0</v>
      </c>
      <c r="AF2595" s="631">
        <f>AF2593-AF2594</f>
        <v>0</v>
      </c>
      <c r="AG2595" s="631">
        <f>AG2593-AG2594</f>
        <v>0</v>
      </c>
      <c r="AH2595" s="631">
        <f>AH2593-AH2594</f>
        <v>0</v>
      </c>
      <c r="AI2595" s="631">
        <f>AI2593-AI2594</f>
        <v>0</v>
      </c>
      <c r="AJ2595" s="162" t="b">
        <f>ISBLANK(E2595)</f>
        <v>1</v>
      </c>
      <c r="AK2595" s="162" t="str">
        <f>IF(AJ2595,"PRAZNO","PUNO")</f>
        <v>PRAZNO</v>
      </c>
      <c r="AL2595" s="198"/>
      <c r="AM2595" s="264"/>
    </row>
    <row r="2596" spans="1:39" ht="15.75" x14ac:dyDescent="0.2">
      <c r="A2596" s="146"/>
      <c r="B2596" s="231"/>
      <c r="C2596" s="231"/>
      <c r="D2596" s="231"/>
      <c r="E2596" s="231"/>
      <c r="F2596" s="232"/>
      <c r="G2596" s="232"/>
      <c r="H2596" s="231" t="s">
        <v>860</v>
      </c>
      <c r="I2596" s="235"/>
      <c r="J2596" s="235"/>
      <c r="K2596" s="235"/>
      <c r="L2596" s="235"/>
      <c r="M2596" s="235"/>
      <c r="N2596" s="236"/>
      <c r="O2596" s="236"/>
      <c r="P2596" s="346"/>
      <c r="Q2596" s="236"/>
      <c r="R2596" s="236"/>
      <c r="S2596" s="236"/>
      <c r="T2596" s="346"/>
      <c r="U2596" s="346"/>
      <c r="V2596" s="236">
        <f ca="1">V2594-V2597</f>
        <v>0</v>
      </c>
      <c r="W2596" s="236"/>
      <c r="X2596" s="236"/>
      <c r="Y2596" s="236"/>
      <c r="Z2596" s="236"/>
      <c r="AA2596" s="236">
        <f ca="1">AA2594-AA2597</f>
        <v>-374320</v>
      </c>
      <c r="AB2596" s="236">
        <f t="shared" ref="AB2596:AG2596" ca="1" si="1408">AB2594-AB2597</f>
        <v>0</v>
      </c>
      <c r="AC2596" s="236">
        <f t="shared" ca="1" si="1408"/>
        <v>0</v>
      </c>
      <c r="AD2596" s="236"/>
      <c r="AE2596" s="236">
        <f t="shared" ca="1" si="1408"/>
        <v>1.4319084584712982E-8</v>
      </c>
      <c r="AF2596" s="236">
        <f t="shared" ca="1" si="1408"/>
        <v>0</v>
      </c>
      <c r="AG2596" s="236">
        <f t="shared" ca="1" si="1408"/>
        <v>0</v>
      </c>
      <c r="AH2596" s="236">
        <f ca="1">AH2594-AH2597</f>
        <v>0</v>
      </c>
      <c r="AI2596" s="236">
        <f ca="1">AI2594-AI2597</f>
        <v>0</v>
      </c>
      <c r="AJ2596" s="162" t="b">
        <f>ISBLANK(E2596)</f>
        <v>1</v>
      </c>
      <c r="AK2596" s="162" t="str">
        <f>IF(AJ2596,"PRAZNO","PUNO")</f>
        <v>PRAZNO</v>
      </c>
      <c r="AL2596" s="146"/>
      <c r="AM2596" s="264"/>
    </row>
    <row r="2597" spans="1:39" ht="31.5" x14ac:dyDescent="0.2">
      <c r="A2597" s="146"/>
      <c r="B2597" s="231"/>
      <c r="C2597" s="231"/>
      <c r="D2597" s="231"/>
      <c r="E2597" s="231"/>
      <c r="F2597" s="232"/>
      <c r="G2597" s="232"/>
      <c r="H2597" s="231"/>
      <c r="I2597" s="235"/>
      <c r="J2597" s="235"/>
      <c r="K2597" s="235"/>
      <c r="L2597" s="235"/>
      <c r="M2597" s="235"/>
      <c r="N2597" s="236"/>
      <c r="O2597" s="236"/>
      <c r="P2597" s="346"/>
      <c r="Q2597" s="236"/>
      <c r="R2597" s="236"/>
      <c r="S2597" s="236"/>
      <c r="T2597" s="346"/>
      <c r="U2597" s="236">
        <f ca="1">SUM(U2598:U2617)</f>
        <v>137914052.86999995</v>
      </c>
      <c r="V2597" s="236">
        <f ca="1">SUM(V2598:V2617)</f>
        <v>163125739</v>
      </c>
      <c r="W2597" s="236">
        <f t="shared" ref="W2597:AB2597" ca="1" si="1409">SUM(W2598:W2617)</f>
        <v>92848804</v>
      </c>
      <c r="X2597" s="236">
        <f t="shared" ca="1" si="1409"/>
        <v>95253348</v>
      </c>
      <c r="Y2597" s="236">
        <f t="shared" ca="1" si="1409"/>
        <v>31157822.760000009</v>
      </c>
      <c r="Z2597" s="236" t="e">
        <f t="shared" ca="1" si="1409"/>
        <v>#DIV/0!</v>
      </c>
      <c r="AA2597" s="236">
        <f t="shared" ca="1" si="1409"/>
        <v>2848538</v>
      </c>
      <c r="AB2597" s="236">
        <f t="shared" ca="1" si="1409"/>
        <v>165599957</v>
      </c>
      <c r="AC2597" s="236">
        <f ca="1">SUM(AC2598:AC2617)</f>
        <v>97673006.950000018</v>
      </c>
      <c r="AD2597" s="236">
        <f t="shared" ref="AD2597:AD2617" ca="1" si="1410">AC2597/AB2597*100</f>
        <v>58.981299705289182</v>
      </c>
      <c r="AE2597" s="236">
        <f ca="1">SUM(AE2598:AE2617)</f>
        <v>-67851.640000000014</v>
      </c>
      <c r="AF2597" s="236">
        <f ca="1">SUM(AF2598:AF2617)</f>
        <v>165532105.35999998</v>
      </c>
      <c r="AG2597" s="236">
        <f ca="1">SUM(AG2598:AG2617)</f>
        <v>162197183.36000001</v>
      </c>
      <c r="AH2597" s="236">
        <f ca="1">SUM(AH2598:AH2617)</f>
        <v>147505836</v>
      </c>
      <c r="AI2597" s="236">
        <f ca="1">SUM(AI2598:AI2617)</f>
        <v>146040726</v>
      </c>
      <c r="AJ2597" s="162" t="s">
        <v>861</v>
      </c>
      <c r="AK2597" s="162"/>
      <c r="AL2597" s="146"/>
      <c r="AM2597" s="264"/>
    </row>
    <row r="2598" spans="1:39" ht="15.75" x14ac:dyDescent="0.2">
      <c r="A2598" s="146"/>
      <c r="B2598" s="231"/>
      <c r="C2598" s="231"/>
      <c r="D2598" s="231"/>
      <c r="E2598" s="231"/>
      <c r="F2598" s="232"/>
      <c r="G2598" s="232"/>
      <c r="H2598" s="231" t="s">
        <v>905</v>
      </c>
      <c r="I2598" s="235"/>
      <c r="J2598" s="235"/>
      <c r="K2598" s="235"/>
      <c r="L2598" s="235"/>
      <c r="M2598" s="235"/>
      <c r="N2598" s="236"/>
      <c r="O2598" s="236"/>
      <c r="P2598" s="346"/>
      <c r="Q2598" s="236"/>
      <c r="R2598" s="236"/>
      <c r="S2598" s="236"/>
      <c r="T2598" s="346"/>
      <c r="U2598" s="236">
        <f t="shared" ref="U2598:U2617" ca="1" si="1411">SUMIF($F$10:$F$2593,$H2598,U$10:U$2592)</f>
        <v>35231769.089999996</v>
      </c>
      <c r="V2598" s="236">
        <f ca="1">SUMIF($F$10:$F$2593,$H$2598,V$10:V$2592)</f>
        <v>40682312</v>
      </c>
      <c r="W2598" s="236">
        <f ca="1">SUMIF($F$10:$F$2593,$H$2598,W$10:W$2592)</f>
        <v>45111052</v>
      </c>
      <c r="X2598" s="236">
        <f ca="1">SUMIF($F$10:$F$2593,$H$2598,X$10:X$2592)</f>
        <v>45942025</v>
      </c>
      <c r="Y2598" s="236">
        <f ca="1">SUMIF($F$10:$F$2593,$H$2598,Y$10:Y$2592)</f>
        <v>15945171.380000008</v>
      </c>
      <c r="Z2598" s="236" t="e">
        <f ca="1">SUMIF($F$10:$F$2593,$H$2598,Z$10:Z$2592)</f>
        <v>#DIV/0!</v>
      </c>
      <c r="AA2598" s="236">
        <f t="shared" ref="AA2598:AA2617" ca="1" si="1412">SUMIF($F$10:$F$2593,H2598,AA$10:AA$2592)</f>
        <v>3146454</v>
      </c>
      <c r="AB2598" s="236">
        <f t="shared" ref="AB2598:AB2617" ca="1" si="1413">SUMIF($F$10:$F$2593,H2598,AB$10:AB$2592)</f>
        <v>43828766</v>
      </c>
      <c r="AC2598" s="236">
        <f t="shared" ref="AC2598:AC2617" ca="1" si="1414">SUMIF($F$10:$F$2593,H2598,AC$10:AC$2592)</f>
        <v>26307885.520000011</v>
      </c>
      <c r="AD2598" s="236">
        <f t="shared" ca="1" si="1410"/>
        <v>60.024244168772654</v>
      </c>
      <c r="AE2598" s="236">
        <f t="shared" ref="AE2598:AE2617" ca="1" si="1415">SUMIF($F$10:$F$2593,H2598,AE$10:AE$2592)</f>
        <v>669406</v>
      </c>
      <c r="AF2598" s="236">
        <f t="shared" ref="AF2598:AF2617" ca="1" si="1416">SUMIF($F$10:$F$2593,H2598,AF$10:AF$2592)</f>
        <v>44498172</v>
      </c>
      <c r="AG2598" s="684">
        <f t="shared" ref="AG2598:AG2617" ca="1" si="1417">SUMIF($F$10:$F$2593,H2598,AG$10:AG$2592)</f>
        <v>45298638</v>
      </c>
      <c r="AH2598" s="236">
        <f t="shared" ref="AH2598:AH2617" ca="1" si="1418">SUMIF($F$10:$F$2593,H2598,AH$10:AH$2592)</f>
        <v>43413491</v>
      </c>
      <c r="AI2598" s="236">
        <f t="shared" ref="AI2598:AI2617" ca="1" si="1419">SUMIF($F$10:$F$2593,H2598,AI$10:AI$2592)</f>
        <v>43801095</v>
      </c>
      <c r="AJ2598" s="162" t="e">
        <f ca="1">AB2598-#REF!</f>
        <v>#REF!</v>
      </c>
      <c r="AK2598" s="162"/>
      <c r="AL2598" s="146"/>
      <c r="AM2598" s="264"/>
    </row>
    <row r="2599" spans="1:39" ht="15.75" x14ac:dyDescent="0.2">
      <c r="A2599" s="146"/>
      <c r="B2599" s="231"/>
      <c r="C2599" s="231"/>
      <c r="D2599" s="231"/>
      <c r="E2599" s="231"/>
      <c r="F2599" s="232"/>
      <c r="G2599" s="232"/>
      <c r="H2599" s="231" t="s">
        <v>456</v>
      </c>
      <c r="I2599" s="235"/>
      <c r="J2599" s="235"/>
      <c r="K2599" s="235"/>
      <c r="L2599" s="235"/>
      <c r="M2599" s="235"/>
      <c r="N2599" s="236"/>
      <c r="O2599" s="236"/>
      <c r="P2599" s="346"/>
      <c r="Q2599" s="236"/>
      <c r="R2599" s="236"/>
      <c r="S2599" s="236"/>
      <c r="T2599" s="346"/>
      <c r="U2599" s="236">
        <f t="shared" ca="1" si="1411"/>
        <v>15816525.459999997</v>
      </c>
      <c r="V2599" s="236">
        <f t="shared" ref="V2599:V2617" ca="1" si="1420">SUMIF($F$10:$F$2593,H2599,V$10:V$2592)</f>
        <v>16227000</v>
      </c>
      <c r="W2599" s="236">
        <f ca="1">SUMIF($F$10:$F$2593,"12",W$10:W$2592)</f>
        <v>16692945</v>
      </c>
      <c r="X2599" s="236">
        <f ca="1">SUMIF($F$10:$F$2593,"12",X$10:X$2592)</f>
        <v>17449330</v>
      </c>
      <c r="Y2599" s="236">
        <f ca="1">SUMIF($F$10:$F$2593,"12",Y$10:Y$2592)</f>
        <v>6367403.9600000009</v>
      </c>
      <c r="Z2599" s="236" t="e">
        <f ca="1">SUMIF($F$10:$F$2593,"12",Z$10:Z$2592)</f>
        <v>#DIV/0!</v>
      </c>
      <c r="AA2599" s="236">
        <f t="shared" ca="1" si="1412"/>
        <v>0</v>
      </c>
      <c r="AB2599" s="236">
        <f t="shared" ca="1" si="1413"/>
        <v>16227000</v>
      </c>
      <c r="AC2599" s="236">
        <f t="shared" ca="1" si="1414"/>
        <v>13467948.699999997</v>
      </c>
      <c r="AD2599" s="236">
        <f t="shared" ca="1" si="1410"/>
        <v>82.997157207123919</v>
      </c>
      <c r="AE2599" s="236">
        <f t="shared" ca="1" si="1415"/>
        <v>0</v>
      </c>
      <c r="AF2599" s="236">
        <f t="shared" ca="1" si="1416"/>
        <v>16227000</v>
      </c>
      <c r="AG2599" s="236">
        <f t="shared" ca="1" si="1417"/>
        <v>16431010</v>
      </c>
      <c r="AH2599" s="236">
        <f t="shared" ca="1" si="1418"/>
        <v>16623040</v>
      </c>
      <c r="AI2599" s="236">
        <f t="shared" ca="1" si="1419"/>
        <v>16903940</v>
      </c>
      <c r="AJ2599" s="162" t="e">
        <f ca="1">AB2599-#REF!</f>
        <v>#REF!</v>
      </c>
      <c r="AK2599" s="162"/>
      <c r="AL2599" s="146"/>
      <c r="AM2599" s="264"/>
    </row>
    <row r="2600" spans="1:39" ht="15.75" x14ac:dyDescent="0.2">
      <c r="A2600" s="146"/>
      <c r="B2600" s="231"/>
      <c r="C2600" s="231"/>
      <c r="D2600" s="231"/>
      <c r="E2600" s="231"/>
      <c r="F2600" s="232"/>
      <c r="G2600" s="232"/>
      <c r="H2600" s="231" t="s">
        <v>457</v>
      </c>
      <c r="I2600" s="235"/>
      <c r="J2600" s="235"/>
      <c r="K2600" s="235"/>
      <c r="L2600" s="235"/>
      <c r="M2600" s="235"/>
      <c r="N2600" s="236"/>
      <c r="O2600" s="236"/>
      <c r="P2600" s="346"/>
      <c r="Q2600" s="236"/>
      <c r="R2600" s="236"/>
      <c r="S2600" s="236"/>
      <c r="T2600" s="346"/>
      <c r="U2600" s="236">
        <f t="shared" ca="1" si="1411"/>
        <v>586979.22</v>
      </c>
      <c r="V2600" s="236">
        <f t="shared" ca="1" si="1420"/>
        <v>589000</v>
      </c>
      <c r="W2600" s="236">
        <f ca="1">SUMIF($F$10:$F$2593,"13",W$10:W$2592)</f>
        <v>473014</v>
      </c>
      <c r="X2600" s="236">
        <f ca="1">SUMIF($F$10:$F$2593,"13",X$10:X$2592)</f>
        <v>572000</v>
      </c>
      <c r="Y2600" s="236">
        <f ca="1">SUMIF($F$10:$F$2593,"13",Y$10:Y$2592)</f>
        <v>23554.02</v>
      </c>
      <c r="Z2600" s="236">
        <f ca="1">SUMIF($F$10:$F$2593,"13",Z$10:Z$2592)</f>
        <v>23.849999999999998</v>
      </c>
      <c r="AA2600" s="236">
        <f t="shared" ca="1" si="1412"/>
        <v>120000</v>
      </c>
      <c r="AB2600" s="236">
        <f t="shared" ca="1" si="1413"/>
        <v>709000</v>
      </c>
      <c r="AC2600" s="236">
        <f t="shared" ca="1" si="1414"/>
        <v>244406.99</v>
      </c>
      <c r="AD2600" s="236">
        <f t="shared" ca="1" si="1410"/>
        <v>34.472071932299009</v>
      </c>
      <c r="AE2600" s="236">
        <f t="shared" ca="1" si="1415"/>
        <v>-110000</v>
      </c>
      <c r="AF2600" s="236">
        <f t="shared" ca="1" si="1416"/>
        <v>599000</v>
      </c>
      <c r="AG2600" s="683">
        <f t="shared" ca="1" si="1417"/>
        <v>754000</v>
      </c>
      <c r="AH2600" s="236">
        <f t="shared" ca="1" si="1418"/>
        <v>744000</v>
      </c>
      <c r="AI2600" s="236">
        <f t="shared" ca="1" si="1419"/>
        <v>794000</v>
      </c>
      <c r="AJ2600" s="162" t="e">
        <f ca="1">AB2600-#REF!</f>
        <v>#REF!</v>
      </c>
      <c r="AK2600" s="162"/>
      <c r="AL2600" s="146"/>
      <c r="AM2600" s="264"/>
    </row>
    <row r="2601" spans="1:39" ht="15.75" x14ac:dyDescent="0.2">
      <c r="A2601" s="146"/>
      <c r="B2601" s="231"/>
      <c r="C2601" s="231"/>
      <c r="D2601" s="231"/>
      <c r="E2601" s="231"/>
      <c r="F2601" s="232"/>
      <c r="G2601" s="232"/>
      <c r="H2601" s="231" t="s">
        <v>458</v>
      </c>
      <c r="I2601" s="235"/>
      <c r="J2601" s="235"/>
      <c r="K2601" s="235"/>
      <c r="L2601" s="235"/>
      <c r="M2601" s="235"/>
      <c r="N2601" s="236"/>
      <c r="O2601" s="236"/>
      <c r="P2601" s="346"/>
      <c r="Q2601" s="236"/>
      <c r="R2601" s="236"/>
      <c r="S2601" s="236"/>
      <c r="T2601" s="346"/>
      <c r="U2601" s="236">
        <f t="shared" ca="1" si="1411"/>
        <v>22176702.339999996</v>
      </c>
      <c r="V2601" s="236">
        <f t="shared" ca="1" si="1420"/>
        <v>34945385</v>
      </c>
      <c r="W2601" s="236">
        <f ca="1">SUMIF($F$10:$F$2593,"14",W$10:W$2592)</f>
        <v>26631793</v>
      </c>
      <c r="X2601" s="236">
        <f ca="1">SUMIF($F$10:$F$2593,"14",X$10:X$2592)</f>
        <v>27671293</v>
      </c>
      <c r="Y2601" s="236">
        <f ca="1">SUMIF($F$10:$F$2593,"14",Y$10:Y$2592)</f>
        <v>7360524.4399999995</v>
      </c>
      <c r="Z2601" s="236" t="e">
        <f ca="1">SUMIF($F$10:$F$2593,"14",Z$10:Z$2592)</f>
        <v>#DIV/0!</v>
      </c>
      <c r="AA2601" s="236">
        <f t="shared" ca="1" si="1412"/>
        <v>-35006</v>
      </c>
      <c r="AB2601" s="236">
        <f t="shared" ca="1" si="1413"/>
        <v>34587059</v>
      </c>
      <c r="AC2601" s="236">
        <f t="shared" ca="1" si="1414"/>
        <v>15827766.290000003</v>
      </c>
      <c r="AD2601" s="236">
        <f t="shared" ca="1" si="1410"/>
        <v>45.762105098325947</v>
      </c>
      <c r="AE2601" s="236">
        <f t="shared" ca="1" si="1415"/>
        <v>-1436798</v>
      </c>
      <c r="AF2601" s="236">
        <f t="shared" ca="1" si="1416"/>
        <v>33150261</v>
      </c>
      <c r="AG2601" s="684">
        <f t="shared" ca="1" si="1417"/>
        <v>28858450</v>
      </c>
      <c r="AH2601" s="236">
        <f t="shared" ca="1" si="1418"/>
        <v>19039600</v>
      </c>
      <c r="AI2601" s="236">
        <f t="shared" ca="1" si="1419"/>
        <v>18779026</v>
      </c>
      <c r="AJ2601" s="162" t="e">
        <f ca="1">AB2601-#REF!</f>
        <v>#REF!</v>
      </c>
      <c r="AK2601" s="162"/>
      <c r="AL2601" s="146"/>
      <c r="AM2601" s="264"/>
    </row>
    <row r="2602" spans="1:39" ht="15.75" x14ac:dyDescent="0.2">
      <c r="A2602" s="146"/>
      <c r="B2602" s="231"/>
      <c r="C2602" s="231"/>
      <c r="D2602" s="231"/>
      <c r="E2602" s="231"/>
      <c r="F2602" s="232"/>
      <c r="G2602" s="232"/>
      <c r="H2602" s="231" t="s">
        <v>459</v>
      </c>
      <c r="I2602" s="235"/>
      <c r="J2602" s="235"/>
      <c r="K2602" s="235"/>
      <c r="L2602" s="235"/>
      <c r="M2602" s="235"/>
      <c r="N2602" s="236"/>
      <c r="O2602" s="236"/>
      <c r="P2602" s="346"/>
      <c r="Q2602" s="236"/>
      <c r="R2602" s="236"/>
      <c r="S2602" s="236"/>
      <c r="T2602" s="346"/>
      <c r="U2602" s="236">
        <f t="shared" ca="1" si="1411"/>
        <v>272159.16000000003</v>
      </c>
      <c r="V2602" s="236">
        <f t="shared" ca="1" si="1420"/>
        <v>190000</v>
      </c>
      <c r="W2602" s="236">
        <f ca="1">SUMIF($F$10:$F$2593,"15",W$10:W$2592)</f>
        <v>155000</v>
      </c>
      <c r="X2602" s="236">
        <f ca="1">SUMIF($F$10:$F$2593,"15",X$10:X$2592)</f>
        <v>223000</v>
      </c>
      <c r="Y2602" s="236">
        <f ca="1">SUMIF($F$10:$F$2593,"15",Y$10:Y$2592)</f>
        <v>19840</v>
      </c>
      <c r="Z2602" s="236" t="e">
        <f ca="1">SUMIF($F$10:$F$2593,"15",Z$10:Z$2592)</f>
        <v>#DIV/0!</v>
      </c>
      <c r="AA2602" s="236">
        <f t="shared" ca="1" si="1412"/>
        <v>0</v>
      </c>
      <c r="AB2602" s="236">
        <f t="shared" ca="1" si="1413"/>
        <v>190000</v>
      </c>
      <c r="AC2602" s="236">
        <f t="shared" ca="1" si="1414"/>
        <v>39181.910000000003</v>
      </c>
      <c r="AD2602" s="236">
        <f t="shared" ca="1" si="1410"/>
        <v>20.622057894736844</v>
      </c>
      <c r="AE2602" s="236">
        <f t="shared" ca="1" si="1415"/>
        <v>0</v>
      </c>
      <c r="AF2602" s="236">
        <f t="shared" ca="1" si="1416"/>
        <v>190000</v>
      </c>
      <c r="AG2602" s="683">
        <f t="shared" ca="1" si="1417"/>
        <v>200000</v>
      </c>
      <c r="AH2602" s="236">
        <f t="shared" ca="1" si="1418"/>
        <v>210000</v>
      </c>
      <c r="AI2602" s="236">
        <f t="shared" ca="1" si="1419"/>
        <v>210000</v>
      </c>
      <c r="AJ2602" s="162" t="e">
        <f ca="1">AB2602-#REF!</f>
        <v>#REF!</v>
      </c>
      <c r="AK2602" s="162"/>
      <c r="AL2602" s="146"/>
      <c r="AM2602" s="264"/>
    </row>
    <row r="2603" spans="1:39" ht="15.75" x14ac:dyDescent="0.2">
      <c r="A2603" s="146"/>
      <c r="B2603" s="231"/>
      <c r="C2603" s="231"/>
      <c r="D2603" s="231"/>
      <c r="E2603" s="231"/>
      <c r="F2603" s="232"/>
      <c r="G2603" s="232"/>
      <c r="H2603" s="231" t="s">
        <v>460</v>
      </c>
      <c r="I2603" s="235"/>
      <c r="J2603" s="235"/>
      <c r="K2603" s="235"/>
      <c r="L2603" s="235"/>
      <c r="M2603" s="235"/>
      <c r="N2603" s="236"/>
      <c r="O2603" s="236"/>
      <c r="P2603" s="346"/>
      <c r="Q2603" s="236"/>
      <c r="R2603" s="236"/>
      <c r="S2603" s="236"/>
      <c r="T2603" s="346"/>
      <c r="U2603" s="236">
        <f t="shared" ca="1" si="1411"/>
        <v>2072721.6099999999</v>
      </c>
      <c r="V2603" s="236">
        <f t="shared" ca="1" si="1420"/>
        <v>2340000</v>
      </c>
      <c r="W2603" s="236">
        <f ca="1">SUMIF($F$10:$F$2593,"16",W$10:W$2592)</f>
        <v>2332000</v>
      </c>
      <c r="X2603" s="236">
        <f ca="1">SUMIF($F$10:$F$2593,"16",X$10:X$2592)</f>
        <v>2409700</v>
      </c>
      <c r="Y2603" s="236">
        <f ca="1">SUMIF($F$10:$F$2593,"16",Y$10:Y$2592)</f>
        <v>835495.83000000007</v>
      </c>
      <c r="Z2603" s="236">
        <f ca="1">SUMIF($F$10:$F$2593,"16",Z$10:Z$2592)</f>
        <v>567.06000000000006</v>
      </c>
      <c r="AA2603" s="236">
        <f t="shared" ca="1" si="1412"/>
        <v>460000</v>
      </c>
      <c r="AB2603" s="236">
        <f t="shared" ca="1" si="1413"/>
        <v>2800000</v>
      </c>
      <c r="AC2603" s="236">
        <f t="shared" ca="1" si="1414"/>
        <v>1825819.4</v>
      </c>
      <c r="AD2603" s="236">
        <f t="shared" ca="1" si="1410"/>
        <v>65.207835714285707</v>
      </c>
      <c r="AE2603" s="236">
        <f t="shared" ca="1" si="1415"/>
        <v>63212.72</v>
      </c>
      <c r="AF2603" s="236">
        <f t="shared" ca="1" si="1416"/>
        <v>2863212.7199999997</v>
      </c>
      <c r="AG2603" s="236">
        <f t="shared" ca="1" si="1417"/>
        <v>3274000</v>
      </c>
      <c r="AH2603" s="236">
        <f t="shared" ca="1" si="1418"/>
        <v>3189000</v>
      </c>
      <c r="AI2603" s="236">
        <f t="shared" ca="1" si="1419"/>
        <v>2957710</v>
      </c>
      <c r="AJ2603" s="162" t="e">
        <f ca="1">AB2603-#REF!</f>
        <v>#REF!</v>
      </c>
      <c r="AK2603" s="162"/>
      <c r="AL2603" s="146"/>
      <c r="AM2603" s="264"/>
    </row>
    <row r="2604" spans="1:39" ht="15.75" x14ac:dyDescent="0.2">
      <c r="A2604" s="146"/>
      <c r="B2604" s="231"/>
      <c r="C2604" s="231"/>
      <c r="D2604" s="231"/>
      <c r="E2604" s="231"/>
      <c r="F2604" s="232"/>
      <c r="G2604" s="232"/>
      <c r="H2604" s="231" t="s">
        <v>461</v>
      </c>
      <c r="I2604" s="235"/>
      <c r="J2604" s="235"/>
      <c r="K2604" s="235"/>
      <c r="L2604" s="235"/>
      <c r="M2604" s="235"/>
      <c r="N2604" s="236"/>
      <c r="O2604" s="236"/>
      <c r="P2604" s="346"/>
      <c r="Q2604" s="236"/>
      <c r="R2604" s="236"/>
      <c r="S2604" s="236"/>
      <c r="T2604" s="346"/>
      <c r="U2604" s="236">
        <f t="shared" ca="1" si="1411"/>
        <v>3070166.0400000005</v>
      </c>
      <c r="V2604" s="236">
        <f t="shared" ca="1" si="1420"/>
        <v>578000</v>
      </c>
      <c r="W2604" s="236">
        <f ca="1">SUMIF($F$10:$F$2593,"17",W$10:W$2592)</f>
        <v>378000</v>
      </c>
      <c r="X2604" s="236">
        <f ca="1">SUMIF($F$10:$F$2593,"17",X$10:X$2592)</f>
        <v>376000</v>
      </c>
      <c r="Y2604" s="236">
        <f ca="1">SUMIF($F$10:$F$2593,"17",Y$10:Y$2592)</f>
        <v>185271.5</v>
      </c>
      <c r="Z2604" s="236" t="e">
        <f ca="1">SUMIF($F$10:$F$2593,"17",Z$10:Z$2592)</f>
        <v>#DIV/0!</v>
      </c>
      <c r="AA2604" s="236">
        <f t="shared" ca="1" si="1412"/>
        <v>98000</v>
      </c>
      <c r="AB2604" s="236">
        <f t="shared" ca="1" si="1413"/>
        <v>676000</v>
      </c>
      <c r="AC2604" s="236">
        <f t="shared" ca="1" si="1414"/>
        <v>373023.7</v>
      </c>
      <c r="AD2604" s="236">
        <f t="shared" ca="1" si="1410"/>
        <v>55.181020710059173</v>
      </c>
      <c r="AE2604" s="236">
        <f t="shared" ca="1" si="1415"/>
        <v>35000</v>
      </c>
      <c r="AF2604" s="236">
        <f t="shared" ca="1" si="1416"/>
        <v>711000</v>
      </c>
      <c r="AG2604" s="683">
        <f t="shared" ca="1" si="1417"/>
        <v>685000</v>
      </c>
      <c r="AH2604" s="236">
        <f t="shared" ca="1" si="1418"/>
        <v>654000</v>
      </c>
      <c r="AI2604" s="236">
        <f t="shared" ca="1" si="1419"/>
        <v>654000</v>
      </c>
      <c r="AJ2604" s="162" t="e">
        <f ca="1">AB2604-#REF!</f>
        <v>#REF!</v>
      </c>
      <c r="AK2604" s="162"/>
      <c r="AL2604" s="146"/>
      <c r="AM2604" s="264"/>
    </row>
    <row r="2605" spans="1:39" ht="15.75" x14ac:dyDescent="0.2">
      <c r="A2605" s="146"/>
      <c r="B2605" s="231"/>
      <c r="C2605" s="231"/>
      <c r="D2605" s="231"/>
      <c r="E2605" s="231"/>
      <c r="F2605" s="232"/>
      <c r="G2605" s="232"/>
      <c r="H2605" s="231" t="s">
        <v>462</v>
      </c>
      <c r="I2605" s="235"/>
      <c r="J2605" s="235"/>
      <c r="K2605" s="235"/>
      <c r="L2605" s="235"/>
      <c r="M2605" s="235"/>
      <c r="N2605" s="236"/>
      <c r="O2605" s="236"/>
      <c r="P2605" s="346"/>
      <c r="Q2605" s="236"/>
      <c r="R2605" s="236"/>
      <c r="S2605" s="236"/>
      <c r="T2605" s="346"/>
      <c r="U2605" s="236">
        <f t="shared" ca="1" si="1411"/>
        <v>1591100.57</v>
      </c>
      <c r="V2605" s="236">
        <f t="shared" ca="1" si="1420"/>
        <v>1075000</v>
      </c>
      <c r="W2605" s="236">
        <f ca="1">SUMIF($F$10:$F$2593,"18",W$10:W$2592)</f>
        <v>1075000</v>
      </c>
      <c r="X2605" s="236">
        <f ca="1">SUMIF($F$10:$F$2593,"18",X$10:X$2592)</f>
        <v>610000</v>
      </c>
      <c r="Y2605" s="236">
        <f ca="1">SUMIF($F$10:$F$2593,"18",Y$10:Y$2592)</f>
        <v>420561.63</v>
      </c>
      <c r="Z2605" s="236" t="e">
        <f ca="1">SUMIF($F$10:$F$2593,"18",Z$10:Z$2592)</f>
        <v>#DIV/0!</v>
      </c>
      <c r="AA2605" s="236">
        <f t="shared" ca="1" si="1412"/>
        <v>0</v>
      </c>
      <c r="AB2605" s="236">
        <f t="shared" ca="1" si="1413"/>
        <v>1075000</v>
      </c>
      <c r="AC2605" s="236">
        <f t="shared" ca="1" si="1414"/>
        <v>843045.71</v>
      </c>
      <c r="AD2605" s="236">
        <f t="shared" ca="1" si="1410"/>
        <v>78.422856744186049</v>
      </c>
      <c r="AE2605" s="236">
        <f t="shared" ca="1" si="1415"/>
        <v>710000</v>
      </c>
      <c r="AF2605" s="236">
        <f t="shared" ca="1" si="1416"/>
        <v>1785000</v>
      </c>
      <c r="AG2605" s="683">
        <f t="shared" ca="1" si="1417"/>
        <v>1765000</v>
      </c>
      <c r="AH2605" s="236">
        <f t="shared" ca="1" si="1418"/>
        <v>1655000</v>
      </c>
      <c r="AI2605" s="236">
        <f t="shared" ca="1" si="1419"/>
        <v>1455000</v>
      </c>
      <c r="AJ2605" s="162" t="e">
        <f ca="1">AB2605-#REF!</f>
        <v>#REF!</v>
      </c>
      <c r="AK2605" s="162"/>
      <c r="AL2605" s="146"/>
      <c r="AM2605" s="264"/>
    </row>
    <row r="2606" spans="1:39" ht="15.75" x14ac:dyDescent="0.2">
      <c r="A2606" s="146"/>
      <c r="B2606" s="231"/>
      <c r="C2606" s="231"/>
      <c r="D2606" s="231"/>
      <c r="E2606" s="231"/>
      <c r="F2606" s="232"/>
      <c r="G2606" s="232"/>
      <c r="H2606" s="231" t="s">
        <v>463</v>
      </c>
      <c r="I2606" s="235"/>
      <c r="J2606" s="235"/>
      <c r="K2606" s="235"/>
      <c r="L2606" s="235"/>
      <c r="M2606" s="235"/>
      <c r="N2606" s="236"/>
      <c r="O2606" s="236"/>
      <c r="P2606" s="346"/>
      <c r="Q2606" s="236"/>
      <c r="R2606" s="236"/>
      <c r="S2606" s="236"/>
      <c r="T2606" s="346"/>
      <c r="U2606" s="236">
        <f t="shared" ca="1" si="1411"/>
        <v>0</v>
      </c>
      <c r="V2606" s="236">
        <f t="shared" ca="1" si="1420"/>
        <v>2177900</v>
      </c>
      <c r="W2606" s="236"/>
      <c r="X2606" s="236"/>
      <c r="Y2606" s="236"/>
      <c r="Z2606" s="236"/>
      <c r="AA2606" s="236">
        <f t="shared" ca="1" si="1412"/>
        <v>169600</v>
      </c>
      <c r="AB2606" s="236">
        <f t="shared" ca="1" si="1413"/>
        <v>2347500</v>
      </c>
      <c r="AC2606" s="236">
        <f t="shared" ca="1" si="1414"/>
        <v>870163.81</v>
      </c>
      <c r="AD2606" s="236">
        <f t="shared" ca="1" si="1410"/>
        <v>37.067680937167204</v>
      </c>
      <c r="AE2606" s="236">
        <f t="shared" ca="1" si="1415"/>
        <v>-25000</v>
      </c>
      <c r="AF2606" s="236">
        <f t="shared" ca="1" si="1416"/>
        <v>2322500</v>
      </c>
      <c r="AG2606" s="683">
        <f t="shared" ca="1" si="1417"/>
        <v>2362000</v>
      </c>
      <c r="AH2606" s="236">
        <f t="shared" ca="1" si="1418"/>
        <v>2241000</v>
      </c>
      <c r="AI2606" s="236">
        <f t="shared" ca="1" si="1419"/>
        <v>2196400</v>
      </c>
      <c r="AJ2606" s="162" t="e">
        <f ca="1">AB2606-#REF!</f>
        <v>#REF!</v>
      </c>
      <c r="AK2606" s="162"/>
      <c r="AL2606" s="146"/>
      <c r="AM2606" s="264"/>
    </row>
    <row r="2607" spans="1:39" ht="15.75" x14ac:dyDescent="0.2">
      <c r="A2607" s="146"/>
      <c r="B2607" s="231"/>
      <c r="C2607" s="231"/>
      <c r="D2607" s="231"/>
      <c r="E2607" s="231"/>
      <c r="F2607" s="232"/>
      <c r="G2607" s="232"/>
      <c r="H2607" s="231" t="s">
        <v>464</v>
      </c>
      <c r="I2607" s="235"/>
      <c r="J2607" s="235"/>
      <c r="K2607" s="235"/>
      <c r="L2607" s="235"/>
      <c r="M2607" s="235"/>
      <c r="N2607" s="236"/>
      <c r="O2607" s="236"/>
      <c r="P2607" s="346"/>
      <c r="Q2607" s="236"/>
      <c r="R2607" s="236"/>
      <c r="S2607" s="236"/>
      <c r="T2607" s="346"/>
      <c r="U2607" s="236">
        <f t="shared" ca="1" si="1411"/>
        <v>542355</v>
      </c>
      <c r="V2607" s="236">
        <f t="shared" ca="1" si="1420"/>
        <v>1199000</v>
      </c>
      <c r="W2607" s="236"/>
      <c r="X2607" s="236"/>
      <c r="Y2607" s="236"/>
      <c r="Z2607" s="236"/>
      <c r="AA2607" s="236">
        <f t="shared" ca="1" si="1412"/>
        <v>0</v>
      </c>
      <c r="AB2607" s="236">
        <f t="shared" ca="1" si="1413"/>
        <v>1199000</v>
      </c>
      <c r="AC2607" s="236">
        <f t="shared" ca="1" si="1414"/>
        <v>0</v>
      </c>
      <c r="AD2607" s="236">
        <f t="shared" ca="1" si="1410"/>
        <v>0</v>
      </c>
      <c r="AE2607" s="236">
        <f t="shared" ca="1" si="1415"/>
        <v>0</v>
      </c>
      <c r="AF2607" s="236">
        <f t="shared" ca="1" si="1416"/>
        <v>1199000</v>
      </c>
      <c r="AG2607" s="236">
        <f t="shared" ca="1" si="1417"/>
        <v>2199000</v>
      </c>
      <c r="AH2607" s="236">
        <f t="shared" ca="1" si="1418"/>
        <v>2199000</v>
      </c>
      <c r="AI2607" s="236">
        <f t="shared" ca="1" si="1419"/>
        <v>1699000</v>
      </c>
      <c r="AJ2607" s="162" t="e">
        <f ca="1">AB2607-#REF!</f>
        <v>#REF!</v>
      </c>
      <c r="AK2607" s="162"/>
      <c r="AL2607" s="146"/>
      <c r="AM2607" s="264"/>
    </row>
    <row r="2608" spans="1:39" ht="15.75" x14ac:dyDescent="0.2">
      <c r="A2608" s="146"/>
      <c r="B2608" s="231"/>
      <c r="C2608" s="231"/>
      <c r="D2608" s="231"/>
      <c r="E2608" s="231"/>
      <c r="F2608" s="232"/>
      <c r="G2608" s="232"/>
      <c r="H2608" s="231" t="s">
        <v>465</v>
      </c>
      <c r="I2608" s="235"/>
      <c r="J2608" s="235"/>
      <c r="K2608" s="235"/>
      <c r="L2608" s="235"/>
      <c r="M2608" s="235"/>
      <c r="N2608" s="236"/>
      <c r="O2608" s="236"/>
      <c r="P2608" s="346"/>
      <c r="Q2608" s="236"/>
      <c r="R2608" s="236"/>
      <c r="S2608" s="236"/>
      <c r="T2608" s="346"/>
      <c r="U2608" s="236">
        <f t="shared" ca="1" si="1411"/>
        <v>6689239.1099999985</v>
      </c>
      <c r="V2608" s="236">
        <f t="shared" ca="1" si="1420"/>
        <v>6550000</v>
      </c>
      <c r="W2608" s="236"/>
      <c r="X2608" s="236"/>
      <c r="Y2608" s="236"/>
      <c r="Z2608" s="236"/>
      <c r="AA2608" s="236">
        <f t="shared" ca="1" si="1412"/>
        <v>50000</v>
      </c>
      <c r="AB2608" s="236">
        <f t="shared" ca="1" si="1413"/>
        <v>6600000</v>
      </c>
      <c r="AC2608" s="236">
        <f t="shared" ca="1" si="1414"/>
        <v>4545747.2299999995</v>
      </c>
      <c r="AD2608" s="236">
        <f t="shared" ca="1" si="1410"/>
        <v>68.87495803030302</v>
      </c>
      <c r="AE2608" s="236">
        <f t="shared" ca="1" si="1415"/>
        <v>0</v>
      </c>
      <c r="AF2608" s="236">
        <f t="shared" ca="1" si="1416"/>
        <v>6600000</v>
      </c>
      <c r="AG2608" s="683">
        <f t="shared" ca="1" si="1417"/>
        <v>6600000</v>
      </c>
      <c r="AH2608" s="236">
        <f t="shared" ca="1" si="1418"/>
        <v>6600000</v>
      </c>
      <c r="AI2608" s="236">
        <f t="shared" ca="1" si="1419"/>
        <v>6600000</v>
      </c>
      <c r="AJ2608" s="162" t="e">
        <f ca="1">AB2608-#REF!</f>
        <v>#REF!</v>
      </c>
      <c r="AK2608" s="162"/>
      <c r="AL2608" s="146"/>
      <c r="AM2608" s="264"/>
    </row>
    <row r="2609" spans="1:39" ht="15.75" x14ac:dyDescent="0.2">
      <c r="A2609" s="146"/>
      <c r="B2609" s="231"/>
      <c r="C2609" s="231"/>
      <c r="D2609" s="231"/>
      <c r="E2609" s="231"/>
      <c r="F2609" s="232"/>
      <c r="G2609" s="232"/>
      <c r="H2609" s="231" t="s">
        <v>466</v>
      </c>
      <c r="I2609" s="235"/>
      <c r="J2609" s="235"/>
      <c r="K2609" s="235"/>
      <c r="L2609" s="235"/>
      <c r="M2609" s="235"/>
      <c r="N2609" s="236"/>
      <c r="O2609" s="236"/>
      <c r="P2609" s="346"/>
      <c r="Q2609" s="236"/>
      <c r="R2609" s="236"/>
      <c r="S2609" s="236"/>
      <c r="T2609" s="346"/>
      <c r="U2609" s="236">
        <f t="shared" ca="1" si="1411"/>
        <v>0</v>
      </c>
      <c r="V2609" s="236">
        <f t="shared" ca="1" si="1420"/>
        <v>517368</v>
      </c>
      <c r="W2609" s="236"/>
      <c r="X2609" s="236"/>
      <c r="Y2609" s="236"/>
      <c r="Z2609" s="236"/>
      <c r="AA2609" s="236">
        <f t="shared" ca="1" si="1412"/>
        <v>-89451</v>
      </c>
      <c r="AB2609" s="236">
        <f t="shared" ca="1" si="1413"/>
        <v>412917</v>
      </c>
      <c r="AC2609" s="236">
        <f t="shared" ca="1" si="1414"/>
        <v>0</v>
      </c>
      <c r="AD2609" s="236">
        <f t="shared" ca="1" si="1410"/>
        <v>0</v>
      </c>
      <c r="AE2609" s="236">
        <f t="shared" ca="1" si="1415"/>
        <v>-17000</v>
      </c>
      <c r="AF2609" s="236">
        <f t="shared" ca="1" si="1416"/>
        <v>395917</v>
      </c>
      <c r="AG2609" s="683">
        <f t="shared" ca="1" si="1417"/>
        <v>900763</v>
      </c>
      <c r="AH2609" s="236">
        <f t="shared" ca="1" si="1418"/>
        <v>534227</v>
      </c>
      <c r="AI2609" s="236">
        <f t="shared" ca="1" si="1419"/>
        <v>433227</v>
      </c>
      <c r="AJ2609" s="162" t="e">
        <f ca="1">AB2609-#REF!</f>
        <v>#REF!</v>
      </c>
      <c r="AK2609" s="162"/>
      <c r="AL2609" s="146"/>
      <c r="AM2609" s="264"/>
    </row>
    <row r="2610" spans="1:39" ht="15.75" x14ac:dyDescent="0.2">
      <c r="A2610" s="146"/>
      <c r="B2610" s="231"/>
      <c r="C2610" s="231"/>
      <c r="D2610" s="231"/>
      <c r="E2610" s="231"/>
      <c r="F2610" s="232"/>
      <c r="G2610" s="232"/>
      <c r="H2610" s="231" t="s">
        <v>467</v>
      </c>
      <c r="I2610" s="235"/>
      <c r="J2610" s="235"/>
      <c r="K2610" s="235"/>
      <c r="L2610" s="235"/>
      <c r="M2610" s="235"/>
      <c r="N2610" s="236"/>
      <c r="O2610" s="236"/>
      <c r="P2610" s="346"/>
      <c r="Q2610" s="236"/>
      <c r="R2610" s="236"/>
      <c r="S2610" s="236"/>
      <c r="T2610" s="346"/>
      <c r="U2610" s="236">
        <f t="shared" ca="1" si="1411"/>
        <v>13888165.970000001</v>
      </c>
      <c r="V2610" s="236">
        <f t="shared" ca="1" si="1420"/>
        <v>20196700</v>
      </c>
      <c r="W2610" s="236"/>
      <c r="X2610" s="236"/>
      <c r="Y2610" s="236"/>
      <c r="Z2610" s="236"/>
      <c r="AA2610" s="236">
        <f t="shared" ca="1" si="1412"/>
        <v>-2466250</v>
      </c>
      <c r="AB2610" s="236">
        <f t="shared" ca="1" si="1413"/>
        <v>17730450</v>
      </c>
      <c r="AC2610" s="236">
        <f t="shared" ca="1" si="1414"/>
        <v>10990391.640000001</v>
      </c>
      <c r="AD2610" s="236">
        <f t="shared" ca="1" si="1410"/>
        <v>61.985971252844685</v>
      </c>
      <c r="AE2610" s="236">
        <f t="shared" ca="1" si="1415"/>
        <v>-242500</v>
      </c>
      <c r="AF2610" s="236">
        <f t="shared" ca="1" si="1416"/>
        <v>17487950</v>
      </c>
      <c r="AG2610" s="683">
        <f t="shared" ca="1" si="1417"/>
        <v>15701600</v>
      </c>
      <c r="AH2610" s="236">
        <f t="shared" ca="1" si="1418"/>
        <v>15739200</v>
      </c>
      <c r="AI2610" s="236">
        <f t="shared" ca="1" si="1419"/>
        <v>15546450</v>
      </c>
      <c r="AJ2610" s="162" t="e">
        <f ca="1">AB2610-#REF!</f>
        <v>#REF!</v>
      </c>
      <c r="AK2610" s="162"/>
      <c r="AL2610" s="146"/>
      <c r="AM2610" s="264"/>
    </row>
    <row r="2611" spans="1:39" ht="15.75" x14ac:dyDescent="0.2">
      <c r="A2611" s="146"/>
      <c r="B2611" s="231"/>
      <c r="C2611" s="231"/>
      <c r="D2611" s="231"/>
      <c r="E2611" s="231"/>
      <c r="F2611" s="232"/>
      <c r="G2611" s="232"/>
      <c r="H2611" s="231" t="s">
        <v>1036</v>
      </c>
      <c r="I2611" s="235"/>
      <c r="J2611" s="235"/>
      <c r="K2611" s="235"/>
      <c r="L2611" s="235"/>
      <c r="M2611" s="235"/>
      <c r="N2611" s="236"/>
      <c r="O2611" s="236"/>
      <c r="P2611" s="346"/>
      <c r="Q2611" s="236"/>
      <c r="R2611" s="236"/>
      <c r="S2611" s="236"/>
      <c r="T2611" s="346"/>
      <c r="U2611" s="236">
        <f t="shared" ca="1" si="1411"/>
        <v>243750</v>
      </c>
      <c r="V2611" s="236">
        <f t="shared" ca="1" si="1420"/>
        <v>125000</v>
      </c>
      <c r="W2611" s="236"/>
      <c r="X2611" s="236"/>
      <c r="Y2611" s="236"/>
      <c r="Z2611" s="236"/>
      <c r="AA2611" s="236">
        <f t="shared" ca="1" si="1412"/>
        <v>1053100</v>
      </c>
      <c r="AB2611" s="236">
        <f t="shared" ca="1" si="1413"/>
        <v>1178100</v>
      </c>
      <c r="AC2611" s="236">
        <f t="shared" ca="1" si="1414"/>
        <v>0</v>
      </c>
      <c r="AD2611" s="236">
        <f t="shared" ca="1" si="1410"/>
        <v>0</v>
      </c>
      <c r="AE2611" s="236">
        <f t="shared" ca="1" si="1415"/>
        <v>325538</v>
      </c>
      <c r="AF2611" s="236">
        <f t="shared" ca="1" si="1416"/>
        <v>1503638</v>
      </c>
      <c r="AG2611" s="683">
        <f t="shared" ca="1" si="1417"/>
        <v>2104414</v>
      </c>
      <c r="AH2611" s="236">
        <f t="shared" ca="1" si="1418"/>
        <v>380000</v>
      </c>
      <c r="AI2611" s="236">
        <f t="shared" ca="1" si="1419"/>
        <v>216000</v>
      </c>
      <c r="AJ2611" s="162" t="e">
        <f ca="1">AB2611-#REF!</f>
        <v>#REF!</v>
      </c>
      <c r="AK2611" s="162"/>
      <c r="AL2611" s="146"/>
      <c r="AM2611" s="264"/>
    </row>
    <row r="2612" spans="1:39" ht="15.75" x14ac:dyDescent="0.2">
      <c r="A2612" s="146"/>
      <c r="B2612" s="231"/>
      <c r="C2612" s="231"/>
      <c r="D2612" s="231"/>
      <c r="E2612" s="231"/>
      <c r="F2612" s="232"/>
      <c r="G2612" s="232"/>
      <c r="H2612" s="231" t="s">
        <v>468</v>
      </c>
      <c r="I2612" s="235"/>
      <c r="J2612" s="235"/>
      <c r="K2612" s="235"/>
      <c r="L2612" s="235"/>
      <c r="M2612" s="235"/>
      <c r="N2612" s="236"/>
      <c r="O2612" s="236"/>
      <c r="P2612" s="346"/>
      <c r="Q2612" s="236"/>
      <c r="R2612" s="236"/>
      <c r="S2612" s="236"/>
      <c r="T2612" s="346"/>
      <c r="U2612" s="236">
        <f t="shared" ca="1" si="1411"/>
        <v>35279676.949999996</v>
      </c>
      <c r="V2612" s="236">
        <f t="shared" ca="1" si="1420"/>
        <v>31451699</v>
      </c>
      <c r="W2612" s="236"/>
      <c r="X2612" s="236"/>
      <c r="Y2612" s="236"/>
      <c r="Z2612" s="236"/>
      <c r="AA2612" s="236">
        <f t="shared" ca="1" si="1412"/>
        <v>592991</v>
      </c>
      <c r="AB2612" s="236">
        <f t="shared" ca="1" si="1413"/>
        <v>32044690</v>
      </c>
      <c r="AC2612" s="236">
        <f t="shared" ca="1" si="1414"/>
        <v>21115484.340000011</v>
      </c>
      <c r="AD2612" s="236">
        <f t="shared" ca="1" si="1410"/>
        <v>65.893863663527441</v>
      </c>
      <c r="AE2612" s="236">
        <f t="shared" ca="1" si="1415"/>
        <v>0</v>
      </c>
      <c r="AF2612" s="236">
        <f t="shared" ca="1" si="1416"/>
        <v>32044690</v>
      </c>
      <c r="AG2612" s="685">
        <f t="shared" ca="1" si="1417"/>
        <v>31210408</v>
      </c>
      <c r="AH2612" s="236">
        <f t="shared" ca="1" si="1418"/>
        <v>31018378</v>
      </c>
      <c r="AI2612" s="236">
        <f t="shared" ca="1" si="1419"/>
        <v>30537478</v>
      </c>
      <c r="AJ2612" s="162" t="e">
        <f ca="1">AB2612-#REF!</f>
        <v>#REF!</v>
      </c>
      <c r="AK2612" s="162"/>
      <c r="AL2612" s="146"/>
      <c r="AM2612" s="264"/>
    </row>
    <row r="2613" spans="1:39" ht="15.75" x14ac:dyDescent="0.2">
      <c r="A2613" s="146"/>
      <c r="B2613" s="231"/>
      <c r="C2613" s="231"/>
      <c r="D2613" s="231"/>
      <c r="E2613" s="231"/>
      <c r="F2613" s="232"/>
      <c r="G2613" s="232"/>
      <c r="H2613" s="231" t="s">
        <v>469</v>
      </c>
      <c r="I2613" s="235"/>
      <c r="J2613" s="235"/>
      <c r="K2613" s="235"/>
      <c r="L2613" s="235"/>
      <c r="M2613" s="235"/>
      <c r="N2613" s="236"/>
      <c r="O2613" s="236"/>
      <c r="P2613" s="346"/>
      <c r="Q2613" s="236"/>
      <c r="R2613" s="236"/>
      <c r="S2613" s="236"/>
      <c r="T2613" s="346"/>
      <c r="U2613" s="236">
        <f t="shared" ca="1" si="1411"/>
        <v>50182.5</v>
      </c>
      <c r="V2613" s="236">
        <f t="shared" ca="1" si="1420"/>
        <v>3961375</v>
      </c>
      <c r="W2613" s="236"/>
      <c r="X2613" s="236"/>
      <c r="Y2613" s="236"/>
      <c r="Z2613" s="236"/>
      <c r="AA2613" s="236">
        <f t="shared" ca="1" si="1412"/>
        <v>-159900</v>
      </c>
      <c r="AB2613" s="236">
        <f t="shared" ca="1" si="1413"/>
        <v>3765475</v>
      </c>
      <c r="AC2613" s="236">
        <f t="shared" ca="1" si="1414"/>
        <v>1209749.92</v>
      </c>
      <c r="AD2613" s="236">
        <f t="shared" ca="1" si="1410"/>
        <v>32.127418718753944</v>
      </c>
      <c r="AE2613" s="236">
        <f t="shared" ca="1" si="1415"/>
        <v>163289.64000000001</v>
      </c>
      <c r="AF2613" s="236">
        <f t="shared" ca="1" si="1416"/>
        <v>3928764.64</v>
      </c>
      <c r="AG2613" s="236">
        <f t="shared" ca="1" si="1417"/>
        <v>3829900.36</v>
      </c>
      <c r="AH2613" s="236">
        <f t="shared" ca="1" si="1418"/>
        <v>3260900</v>
      </c>
      <c r="AI2613" s="236">
        <f t="shared" ca="1" si="1419"/>
        <v>3252400</v>
      </c>
      <c r="AJ2613" s="162" t="e">
        <f ca="1">AB2613-#REF!</f>
        <v>#REF!</v>
      </c>
      <c r="AK2613" s="162"/>
      <c r="AL2613" s="146"/>
      <c r="AM2613" s="264"/>
    </row>
    <row r="2614" spans="1:39" ht="15.75" x14ac:dyDescent="0.2">
      <c r="A2614" s="146"/>
      <c r="B2614" s="231"/>
      <c r="C2614" s="231"/>
      <c r="D2614" s="231"/>
      <c r="E2614" s="231"/>
      <c r="F2614" s="232"/>
      <c r="G2614" s="232"/>
      <c r="H2614" s="231" t="s">
        <v>667</v>
      </c>
      <c r="I2614" s="235"/>
      <c r="J2614" s="235"/>
      <c r="K2614" s="235"/>
      <c r="L2614" s="235"/>
      <c r="M2614" s="235"/>
      <c r="N2614" s="236"/>
      <c r="O2614" s="236"/>
      <c r="P2614" s="346"/>
      <c r="Q2614" s="236"/>
      <c r="R2614" s="236"/>
      <c r="S2614" s="236"/>
      <c r="T2614" s="346"/>
      <c r="U2614" s="236">
        <f t="shared" ca="1" si="1411"/>
        <v>75956.320000000007</v>
      </c>
      <c r="V2614" s="236">
        <f t="shared" ca="1" si="1420"/>
        <v>10000</v>
      </c>
      <c r="W2614" s="236"/>
      <c r="X2614" s="236"/>
      <c r="Y2614" s="236"/>
      <c r="Z2614" s="236"/>
      <c r="AA2614" s="236">
        <f t="shared" ca="1" si="1412"/>
        <v>-7000</v>
      </c>
      <c r="AB2614" s="236">
        <f t="shared" ca="1" si="1413"/>
        <v>3000</v>
      </c>
      <c r="AC2614" s="236">
        <f t="shared" ca="1" si="1414"/>
        <v>0</v>
      </c>
      <c r="AD2614" s="236">
        <f t="shared" ca="1" si="1410"/>
        <v>0</v>
      </c>
      <c r="AE2614" s="236">
        <f t="shared" ca="1" si="1415"/>
        <v>-3000</v>
      </c>
      <c r="AF2614" s="236">
        <f t="shared" ca="1" si="1416"/>
        <v>0</v>
      </c>
      <c r="AG2614" s="683">
        <f t="shared" ca="1" si="1417"/>
        <v>0</v>
      </c>
      <c r="AH2614" s="236">
        <f t="shared" ca="1" si="1418"/>
        <v>0</v>
      </c>
      <c r="AI2614" s="236">
        <f t="shared" ca="1" si="1419"/>
        <v>0</v>
      </c>
      <c r="AJ2614" s="162" t="e">
        <f ca="1">AB2614-#REF!</f>
        <v>#REF!</v>
      </c>
      <c r="AK2614" s="162"/>
      <c r="AL2614" s="146"/>
      <c r="AM2614" s="264"/>
    </row>
    <row r="2615" spans="1:39" ht="15.75" x14ac:dyDescent="0.2">
      <c r="A2615" s="146"/>
      <c r="B2615" s="231"/>
      <c r="C2615" s="231"/>
      <c r="D2615" s="231"/>
      <c r="E2615" s="231"/>
      <c r="F2615" s="232"/>
      <c r="G2615" s="232"/>
      <c r="H2615" s="231" t="s">
        <v>984</v>
      </c>
      <c r="I2615" s="235"/>
      <c r="J2615" s="235"/>
      <c r="K2615" s="235"/>
      <c r="L2615" s="235"/>
      <c r="M2615" s="235"/>
      <c r="N2615" s="236"/>
      <c r="O2615" s="236"/>
      <c r="P2615" s="346"/>
      <c r="Q2615" s="236"/>
      <c r="R2615" s="236"/>
      <c r="S2615" s="236"/>
      <c r="T2615" s="346"/>
      <c r="U2615" s="236">
        <f t="shared" ca="1" si="1411"/>
        <v>277404.14</v>
      </c>
      <c r="V2615" s="236">
        <f t="shared" ca="1" si="1420"/>
        <v>300000</v>
      </c>
      <c r="W2615" s="236"/>
      <c r="X2615" s="236"/>
      <c r="Y2615" s="236"/>
      <c r="Z2615" s="236"/>
      <c r="AA2615" s="236">
        <f t="shared" ca="1" si="1412"/>
        <v>-100000</v>
      </c>
      <c r="AB2615" s="236">
        <f t="shared" ca="1" si="1413"/>
        <v>200000</v>
      </c>
      <c r="AC2615" s="236">
        <f t="shared" ca="1" si="1414"/>
        <v>0</v>
      </c>
      <c r="AD2615" s="236">
        <f t="shared" ca="1" si="1410"/>
        <v>0</v>
      </c>
      <c r="AE2615" s="236">
        <f t="shared" ca="1" si="1415"/>
        <v>-200000</v>
      </c>
      <c r="AF2615" s="236">
        <f t="shared" ca="1" si="1416"/>
        <v>0</v>
      </c>
      <c r="AG2615" s="236">
        <f t="shared" ca="1" si="1417"/>
        <v>0</v>
      </c>
      <c r="AH2615" s="236">
        <f t="shared" ca="1" si="1418"/>
        <v>0</v>
      </c>
      <c r="AI2615" s="236">
        <f t="shared" ca="1" si="1419"/>
        <v>0</v>
      </c>
      <c r="AJ2615" s="162" t="e">
        <f ca="1">AB2615-#REF!</f>
        <v>#REF!</v>
      </c>
      <c r="AK2615" s="162"/>
      <c r="AL2615" s="146"/>
      <c r="AM2615" s="264"/>
    </row>
    <row r="2616" spans="1:39" ht="15.75" x14ac:dyDescent="0.2">
      <c r="A2616" s="146"/>
      <c r="B2616" s="231"/>
      <c r="C2616" s="231"/>
      <c r="D2616" s="231"/>
      <c r="E2616" s="231"/>
      <c r="F2616" s="232"/>
      <c r="G2616" s="232"/>
      <c r="H2616" s="231" t="s">
        <v>169</v>
      </c>
      <c r="I2616" s="235"/>
      <c r="J2616" s="235"/>
      <c r="K2616" s="235"/>
      <c r="L2616" s="235"/>
      <c r="M2616" s="235"/>
      <c r="N2616" s="236"/>
      <c r="O2616" s="236"/>
      <c r="P2616" s="346"/>
      <c r="Q2616" s="236"/>
      <c r="R2616" s="236"/>
      <c r="S2616" s="236"/>
      <c r="T2616" s="346"/>
      <c r="U2616" s="236">
        <f t="shared" ca="1" si="1411"/>
        <v>49199.39</v>
      </c>
      <c r="V2616" s="236">
        <f t="shared" ca="1" si="1420"/>
        <v>10000</v>
      </c>
      <c r="W2616" s="236"/>
      <c r="X2616" s="236"/>
      <c r="Y2616" s="236"/>
      <c r="Z2616" s="236"/>
      <c r="AA2616" s="236">
        <f t="shared" ca="1" si="1412"/>
        <v>16000</v>
      </c>
      <c r="AB2616" s="236">
        <f t="shared" ca="1" si="1413"/>
        <v>26000</v>
      </c>
      <c r="AC2616" s="236">
        <f t="shared" ca="1" si="1414"/>
        <v>12391.79</v>
      </c>
      <c r="AD2616" s="236">
        <f t="shared" ca="1" si="1410"/>
        <v>47.660730769230774</v>
      </c>
      <c r="AE2616" s="236">
        <f t="shared" ca="1" si="1415"/>
        <v>0</v>
      </c>
      <c r="AF2616" s="236">
        <f t="shared" ca="1" si="1416"/>
        <v>26000</v>
      </c>
      <c r="AG2616" s="236">
        <f t="shared" ca="1" si="1417"/>
        <v>23000</v>
      </c>
      <c r="AH2616" s="236">
        <f t="shared" ca="1" si="1418"/>
        <v>5000</v>
      </c>
      <c r="AI2616" s="236">
        <f t="shared" ca="1" si="1419"/>
        <v>5000</v>
      </c>
      <c r="AJ2616" s="162" t="e">
        <f ca="1">AB2616-#REF!</f>
        <v>#REF!</v>
      </c>
      <c r="AK2616" s="162"/>
      <c r="AL2616" s="146"/>
      <c r="AM2616" s="264"/>
    </row>
    <row r="2617" spans="1:39" ht="15.75" x14ac:dyDescent="0.2">
      <c r="A2617" s="146"/>
      <c r="B2617" s="231"/>
      <c r="C2617" s="231"/>
      <c r="D2617" s="231"/>
      <c r="E2617" s="231"/>
      <c r="F2617" s="232"/>
      <c r="G2617" s="232"/>
      <c r="H2617" s="231" t="s">
        <v>994</v>
      </c>
      <c r="I2617" s="235"/>
      <c r="J2617" s="235"/>
      <c r="K2617" s="235"/>
      <c r="L2617" s="235"/>
      <c r="M2617" s="235"/>
      <c r="N2617" s="236"/>
      <c r="O2617" s="236"/>
      <c r="P2617" s="346"/>
      <c r="Q2617" s="236"/>
      <c r="R2617" s="236"/>
      <c r="S2617" s="236"/>
      <c r="T2617" s="346"/>
      <c r="U2617" s="236">
        <f t="shared" ca="1" si="1411"/>
        <v>0</v>
      </c>
      <c r="V2617" s="236">
        <f t="shared" ca="1" si="1420"/>
        <v>0</v>
      </c>
      <c r="W2617" s="236"/>
      <c r="X2617" s="236"/>
      <c r="Y2617" s="236"/>
      <c r="Z2617" s="236"/>
      <c r="AA2617" s="236">
        <f t="shared" ca="1" si="1412"/>
        <v>0</v>
      </c>
      <c r="AB2617" s="236">
        <f t="shared" ca="1" si="1413"/>
        <v>0</v>
      </c>
      <c r="AC2617" s="236">
        <f t="shared" ca="1" si="1414"/>
        <v>0</v>
      </c>
      <c r="AD2617" s="236" t="e">
        <f t="shared" ca="1" si="1410"/>
        <v>#DIV/0!</v>
      </c>
      <c r="AE2617" s="236">
        <f t="shared" ca="1" si="1415"/>
        <v>0</v>
      </c>
      <c r="AF2617" s="236">
        <f t="shared" ca="1" si="1416"/>
        <v>0</v>
      </c>
      <c r="AG2617" s="236">
        <f t="shared" ca="1" si="1417"/>
        <v>0</v>
      </c>
      <c r="AH2617" s="236">
        <f t="shared" ca="1" si="1418"/>
        <v>0</v>
      </c>
      <c r="AI2617" s="236">
        <f t="shared" ca="1" si="1419"/>
        <v>0</v>
      </c>
      <c r="AJ2617" s="162" t="e">
        <f ca="1">AB2617-#REF!</f>
        <v>#REF!</v>
      </c>
      <c r="AK2617" s="162"/>
      <c r="AL2617" s="146"/>
      <c r="AM2617" s="264"/>
    </row>
    <row r="2618" spans="1:39" ht="15.75" x14ac:dyDescent="0.2">
      <c r="A2618" s="146"/>
      <c r="B2618" s="231"/>
      <c r="C2618" s="231"/>
      <c r="D2618" s="231"/>
      <c r="E2618" s="231"/>
      <c r="F2618" s="232"/>
      <c r="G2618" s="232"/>
      <c r="H2618" s="231"/>
      <c r="I2618" s="235"/>
      <c r="J2618" s="235"/>
      <c r="K2618" s="235"/>
      <c r="L2618" s="235"/>
      <c r="M2618" s="235"/>
      <c r="N2618" s="236"/>
      <c r="O2618" s="236"/>
      <c r="P2618" s="346"/>
      <c r="Q2618" s="236"/>
      <c r="R2618" s="236"/>
      <c r="S2618" s="236"/>
      <c r="T2618" s="346"/>
      <c r="U2618" s="236">
        <f t="shared" ref="U2618:AA2618" ca="1" si="1421">SUM(U2598:U2617)</f>
        <v>137914052.86999995</v>
      </c>
      <c r="V2618" s="236">
        <f t="shared" ca="1" si="1421"/>
        <v>163125739</v>
      </c>
      <c r="W2618" s="236">
        <f t="shared" ca="1" si="1421"/>
        <v>92848804</v>
      </c>
      <c r="X2618" s="236">
        <f t="shared" ca="1" si="1421"/>
        <v>95253348</v>
      </c>
      <c r="Y2618" s="236">
        <f t="shared" ca="1" si="1421"/>
        <v>31157822.760000009</v>
      </c>
      <c r="Z2618" s="236" t="e">
        <f t="shared" ca="1" si="1421"/>
        <v>#DIV/0!</v>
      </c>
      <c r="AA2618" s="236">
        <f t="shared" ca="1" si="1421"/>
        <v>2848538</v>
      </c>
      <c r="AB2618" s="236">
        <f ca="1">SUM(AB2598:AB2617)</f>
        <v>165599957</v>
      </c>
      <c r="AC2618" s="236">
        <f ca="1">SUM(AC2598:AC2617)</f>
        <v>97673006.950000018</v>
      </c>
      <c r="AD2618" s="236"/>
      <c r="AE2618" s="236">
        <f ca="1">SUM(AE2598:AE2617)</f>
        <v>-67851.640000000014</v>
      </c>
      <c r="AF2618" s="236">
        <f ca="1">SUM(AF2598:AF2617)</f>
        <v>165532105.35999998</v>
      </c>
      <c r="AG2618" s="236">
        <f ca="1">SUM(AG2598:AG2617)</f>
        <v>162197183.36000001</v>
      </c>
      <c r="AH2618" s="236">
        <f ca="1">SUM(AH2598:AH2617)</f>
        <v>147505836</v>
      </c>
      <c r="AI2618" s="236">
        <f ca="1">SUM(AI2598:AI2617)</f>
        <v>146040726</v>
      </c>
      <c r="AJ2618" s="162"/>
      <c r="AK2618" s="162"/>
      <c r="AL2618" s="146"/>
      <c r="AM2618" s="264"/>
    </row>
    <row r="2619" spans="1:39" ht="15.75" x14ac:dyDescent="0.2">
      <c r="A2619" s="146"/>
      <c r="B2619" s="231"/>
      <c r="C2619" s="231"/>
      <c r="D2619" s="231"/>
      <c r="E2619" s="231"/>
      <c r="F2619" s="232"/>
      <c r="G2619" s="232"/>
      <c r="H2619" s="231"/>
      <c r="I2619" s="235"/>
      <c r="J2619" s="235"/>
      <c r="K2619" s="235"/>
      <c r="L2619" s="235"/>
      <c r="M2619" s="235"/>
      <c r="N2619" s="236"/>
      <c r="O2619" s="236"/>
      <c r="P2619" s="346"/>
      <c r="Q2619" s="236"/>
      <c r="R2619" s="236"/>
      <c r="S2619" s="236"/>
      <c r="T2619" s="346"/>
      <c r="U2619" s="346"/>
      <c r="V2619" s="236"/>
      <c r="W2619" s="236"/>
      <c r="X2619" s="236"/>
      <c r="Y2619" s="236"/>
      <c r="Z2619" s="236"/>
      <c r="AA2619" s="236"/>
      <c r="AB2619" s="236"/>
      <c r="AC2619" s="236"/>
      <c r="AD2619" s="236"/>
      <c r="AE2619" s="236"/>
      <c r="AF2619" s="236"/>
      <c r="AG2619" s="236"/>
      <c r="AH2619" s="236"/>
      <c r="AI2619" s="236"/>
      <c r="AJ2619" s="162"/>
      <c r="AK2619" s="162"/>
      <c r="AL2619" s="146"/>
      <c r="AM2619" s="264"/>
    </row>
    <row r="2620" spans="1:39" ht="15.75" x14ac:dyDescent="0.2">
      <c r="A2620" s="146"/>
      <c r="B2620" s="231"/>
      <c r="C2620" s="231"/>
      <c r="D2620" s="231"/>
      <c r="E2620" s="231"/>
      <c r="F2620" s="232"/>
      <c r="G2620" s="232"/>
      <c r="H2620" s="231"/>
      <c r="I2620" s="235"/>
      <c r="J2620" s="235"/>
      <c r="K2620" s="235"/>
      <c r="L2620" s="235"/>
      <c r="M2620" s="235"/>
      <c r="N2620" s="236"/>
      <c r="O2620" s="236"/>
      <c r="P2620" s="346"/>
      <c r="Q2620" s="236"/>
      <c r="R2620" s="236"/>
      <c r="S2620" s="236"/>
      <c r="T2620" s="346"/>
      <c r="U2620" s="346"/>
      <c r="V2620" s="236"/>
      <c r="W2620" s="236"/>
      <c r="X2620" s="236"/>
      <c r="Y2620" s="236"/>
      <c r="Z2620" s="236"/>
      <c r="AA2620" s="236"/>
      <c r="AB2620" s="236"/>
      <c r="AC2620" s="236"/>
      <c r="AD2620" s="236"/>
      <c r="AE2620" s="236"/>
      <c r="AF2620" s="236"/>
      <c r="AG2620" s="236"/>
      <c r="AH2620" s="236"/>
      <c r="AI2620" s="236"/>
      <c r="AJ2620" s="162"/>
      <c r="AK2620" s="162"/>
      <c r="AL2620" s="146"/>
      <c r="AM2620" s="264"/>
    </row>
    <row r="2621" spans="1:39" ht="15.75" x14ac:dyDescent="0.2">
      <c r="A2621" s="146"/>
      <c r="B2621" s="231"/>
      <c r="C2621" s="231"/>
      <c r="D2621" s="231"/>
      <c r="E2621" s="231"/>
      <c r="F2621" s="232"/>
      <c r="G2621" s="232"/>
      <c r="H2621" s="231"/>
      <c r="I2621" s="235"/>
      <c r="J2621" s="235"/>
      <c r="K2621" s="235"/>
      <c r="L2621" s="235"/>
      <c r="M2621" s="235"/>
      <c r="N2621" s="236"/>
      <c r="O2621" s="236"/>
      <c r="P2621" s="346"/>
      <c r="Q2621" s="236"/>
      <c r="R2621" s="236"/>
      <c r="S2621" s="236"/>
      <c r="T2621" s="346"/>
      <c r="U2621" s="346"/>
      <c r="V2621" s="236"/>
      <c r="W2621" s="236"/>
      <c r="X2621" s="236"/>
      <c r="Y2621" s="236"/>
      <c r="Z2621" s="236"/>
      <c r="AA2621" s="236"/>
      <c r="AB2621" s="236"/>
      <c r="AC2621" s="236"/>
      <c r="AD2621" s="236"/>
      <c r="AE2621" s="236"/>
      <c r="AF2621" s="236"/>
      <c r="AG2621" s="236"/>
      <c r="AH2621" s="236"/>
      <c r="AI2621" s="236"/>
      <c r="AJ2621" s="162"/>
      <c r="AK2621" s="162"/>
      <c r="AL2621" s="146"/>
      <c r="AM2621" s="264"/>
    </row>
    <row r="2622" spans="1:39" ht="15.75" x14ac:dyDescent="0.2">
      <c r="A2622" s="146"/>
      <c r="B2622" s="231"/>
      <c r="C2622" s="231"/>
      <c r="D2622" s="231"/>
      <c r="E2622" s="231"/>
      <c r="F2622" s="232"/>
      <c r="G2622" s="232"/>
      <c r="H2622" s="231"/>
      <c r="I2622" s="235"/>
      <c r="J2622" s="235"/>
      <c r="K2622" s="235"/>
      <c r="L2622" s="235"/>
      <c r="M2622" s="235"/>
      <c r="N2622" s="236"/>
      <c r="O2622" s="236"/>
      <c r="P2622" s="346"/>
      <c r="Q2622" s="236"/>
      <c r="R2622" s="236"/>
      <c r="S2622" s="236"/>
      <c r="T2622" s="346"/>
      <c r="U2622" s="346"/>
      <c r="V2622" s="236"/>
      <c r="W2622" s="236"/>
      <c r="X2622" s="236"/>
      <c r="Y2622" s="236"/>
      <c r="Z2622" s="236"/>
      <c r="AA2622" s="236"/>
      <c r="AB2622" s="236"/>
      <c r="AC2622" s="236"/>
      <c r="AD2622" s="236"/>
      <c r="AE2622" s="236"/>
      <c r="AF2622" s="236"/>
      <c r="AG2622" s="236"/>
      <c r="AH2622" s="236"/>
      <c r="AI2622" s="236"/>
      <c r="AJ2622" s="162"/>
      <c r="AK2622" s="162"/>
      <c r="AL2622" s="146"/>
      <c r="AM2622" s="264"/>
    </row>
    <row r="2623" spans="1:39" ht="15.75" x14ac:dyDescent="0.2">
      <c r="A2623" s="146"/>
      <c r="B2623" s="231"/>
      <c r="C2623" s="231"/>
      <c r="D2623" s="231"/>
      <c r="E2623" s="231"/>
      <c r="F2623" s="232"/>
      <c r="G2623" s="232"/>
      <c r="H2623" s="231"/>
      <c r="I2623" s="235"/>
      <c r="J2623" s="235"/>
      <c r="K2623" s="235"/>
      <c r="L2623" s="235"/>
      <c r="M2623" s="235"/>
      <c r="N2623" s="236"/>
      <c r="O2623" s="236"/>
      <c r="P2623" s="346"/>
      <c r="Q2623" s="236"/>
      <c r="R2623" s="236"/>
      <c r="S2623" s="236"/>
      <c r="T2623" s="346"/>
      <c r="U2623" s="346"/>
      <c r="V2623" s="236"/>
      <c r="W2623" s="236"/>
      <c r="X2623" s="236"/>
      <c r="Y2623" s="236"/>
      <c r="Z2623" s="236"/>
      <c r="AA2623" s="236"/>
      <c r="AB2623" s="236"/>
      <c r="AC2623" s="236"/>
      <c r="AD2623" s="236"/>
      <c r="AE2623" s="236"/>
      <c r="AF2623" s="236"/>
      <c r="AG2623" s="236"/>
      <c r="AH2623" s="236"/>
      <c r="AI2623" s="236"/>
      <c r="AJ2623" s="162"/>
      <c r="AK2623" s="162"/>
      <c r="AL2623" s="146"/>
      <c r="AM2623" s="264"/>
    </row>
    <row r="2624" spans="1:39" ht="15.75" x14ac:dyDescent="0.2">
      <c r="A2624" s="146"/>
      <c r="B2624" s="231"/>
      <c r="C2624" s="231"/>
      <c r="D2624" s="231"/>
      <c r="E2624" s="231"/>
      <c r="F2624" s="232"/>
      <c r="G2624" s="232"/>
      <c r="H2624" s="231"/>
      <c r="I2624" s="235"/>
      <c r="J2624" s="235"/>
      <c r="K2624" s="235"/>
      <c r="L2624" s="235"/>
      <c r="M2624" s="235"/>
      <c r="N2624" s="236"/>
      <c r="O2624" s="236"/>
      <c r="P2624" s="346"/>
      <c r="Q2624" s="236"/>
      <c r="R2624" s="236"/>
      <c r="S2624" s="236"/>
      <c r="T2624" s="346"/>
      <c r="U2624" s="346"/>
      <c r="V2624" s="236"/>
      <c r="W2624" s="236"/>
      <c r="X2624" s="236"/>
      <c r="Y2624" s="236"/>
      <c r="Z2624" s="236"/>
      <c r="AA2624" s="236"/>
      <c r="AB2624" s="236"/>
      <c r="AC2624" s="236"/>
      <c r="AD2624" s="236"/>
      <c r="AE2624" s="236"/>
      <c r="AF2624" s="236"/>
      <c r="AG2624" s="236"/>
      <c r="AH2624" s="236"/>
      <c r="AI2624" s="236"/>
      <c r="AJ2624" s="162"/>
      <c r="AK2624" s="162"/>
      <c r="AL2624" s="146"/>
      <c r="AM2624" s="264"/>
    </row>
    <row r="2625" spans="1:39" ht="15.75" x14ac:dyDescent="0.2">
      <c r="A2625" s="146"/>
      <c r="B2625" s="231"/>
      <c r="C2625" s="231"/>
      <c r="D2625" s="231"/>
      <c r="E2625" s="231"/>
      <c r="F2625" s="232"/>
      <c r="G2625" s="232"/>
      <c r="H2625" s="231"/>
      <c r="I2625" s="235"/>
      <c r="J2625" s="235"/>
      <c r="K2625" s="235"/>
      <c r="L2625" s="235"/>
      <c r="M2625" s="235"/>
      <c r="N2625" s="236"/>
      <c r="O2625" s="236"/>
      <c r="P2625" s="346"/>
      <c r="Q2625" s="236"/>
      <c r="R2625" s="236"/>
      <c r="S2625" s="236"/>
      <c r="T2625" s="346"/>
      <c r="U2625" s="346"/>
      <c r="V2625" s="236"/>
      <c r="W2625" s="236"/>
      <c r="X2625" s="236"/>
      <c r="Y2625" s="236"/>
      <c r="Z2625" s="236"/>
      <c r="AA2625" s="236"/>
      <c r="AB2625" s="236"/>
      <c r="AC2625" s="236"/>
      <c r="AD2625" s="236"/>
      <c r="AE2625" s="236"/>
      <c r="AF2625" s="236"/>
      <c r="AG2625" s="236"/>
      <c r="AH2625" s="236"/>
      <c r="AI2625" s="236"/>
      <c r="AJ2625" s="162"/>
      <c r="AK2625" s="162"/>
      <c r="AL2625" s="146"/>
      <c r="AM2625" s="264"/>
    </row>
    <row r="2626" spans="1:39" ht="15.75" x14ac:dyDescent="0.2">
      <c r="A2626" s="146"/>
      <c r="B2626" s="231"/>
      <c r="C2626" s="231"/>
      <c r="D2626" s="231"/>
      <c r="E2626" s="231"/>
      <c r="F2626" s="232"/>
      <c r="G2626" s="232"/>
      <c r="H2626" s="231"/>
      <c r="I2626" s="235"/>
      <c r="J2626" s="235"/>
      <c r="K2626" s="235"/>
      <c r="L2626" s="235"/>
      <c r="M2626" s="235"/>
      <c r="N2626" s="236"/>
      <c r="O2626" s="236"/>
      <c r="P2626" s="346"/>
      <c r="Q2626" s="236"/>
      <c r="R2626" s="236"/>
      <c r="S2626" s="236"/>
      <c r="T2626" s="346"/>
      <c r="U2626" s="346"/>
      <c r="V2626" s="236"/>
      <c r="W2626" s="236"/>
      <c r="X2626" s="236"/>
      <c r="Y2626" s="236"/>
      <c r="Z2626" s="236"/>
      <c r="AA2626" s="236"/>
      <c r="AB2626" s="236"/>
      <c r="AC2626" s="236"/>
      <c r="AD2626" s="236"/>
      <c r="AE2626" s="236"/>
      <c r="AF2626" s="236"/>
      <c r="AG2626" s="236"/>
      <c r="AH2626" s="236"/>
      <c r="AI2626" s="236"/>
      <c r="AJ2626" s="162"/>
      <c r="AK2626" s="162"/>
      <c r="AL2626" s="146"/>
      <c r="AM2626" s="264"/>
    </row>
    <row r="2627" spans="1:39" ht="15.75" x14ac:dyDescent="0.2">
      <c r="A2627" s="146"/>
      <c r="B2627" s="231"/>
      <c r="C2627" s="231"/>
      <c r="D2627" s="231"/>
      <c r="E2627" s="231"/>
      <c r="F2627" s="232"/>
      <c r="G2627" s="232"/>
      <c r="H2627" s="231"/>
      <c r="I2627" s="235"/>
      <c r="J2627" s="235"/>
      <c r="K2627" s="235"/>
      <c r="L2627" s="235"/>
      <c r="M2627" s="235"/>
      <c r="N2627" s="236"/>
      <c r="O2627" s="236"/>
      <c r="P2627" s="346"/>
      <c r="Q2627" s="236"/>
      <c r="R2627" s="236"/>
      <c r="S2627" s="236"/>
      <c r="T2627" s="346"/>
      <c r="U2627" s="346"/>
      <c r="V2627" s="236"/>
      <c r="W2627" s="236"/>
      <c r="X2627" s="236"/>
      <c r="Y2627" s="236"/>
      <c r="Z2627" s="236"/>
      <c r="AA2627" s="236"/>
      <c r="AB2627" s="236"/>
      <c r="AC2627" s="236"/>
      <c r="AD2627" s="236"/>
      <c r="AE2627" s="236"/>
      <c r="AF2627" s="236"/>
      <c r="AG2627" s="236"/>
      <c r="AH2627" s="236"/>
      <c r="AI2627" s="236"/>
      <c r="AJ2627" s="162"/>
      <c r="AK2627" s="162"/>
      <c r="AL2627" s="146"/>
      <c r="AM2627" s="264"/>
    </row>
    <row r="2628" spans="1:39" ht="15.75" x14ac:dyDescent="0.2">
      <c r="A2628" s="146"/>
      <c r="B2628" s="231"/>
      <c r="C2628" s="231"/>
      <c r="D2628" s="231"/>
      <c r="E2628" s="231"/>
      <c r="F2628" s="232"/>
      <c r="G2628" s="232"/>
      <c r="H2628" s="231"/>
      <c r="I2628" s="235"/>
      <c r="J2628" s="235"/>
      <c r="K2628" s="235"/>
      <c r="L2628" s="235"/>
      <c r="M2628" s="235"/>
      <c r="N2628" s="236"/>
      <c r="O2628" s="236"/>
      <c r="P2628" s="346"/>
      <c r="Q2628" s="236"/>
      <c r="R2628" s="236"/>
      <c r="S2628" s="236"/>
      <c r="T2628" s="346"/>
      <c r="U2628" s="346"/>
      <c r="V2628" s="236"/>
      <c r="W2628" s="236"/>
      <c r="X2628" s="236"/>
      <c r="Y2628" s="236"/>
      <c r="Z2628" s="236"/>
      <c r="AA2628" s="236"/>
      <c r="AB2628" s="236"/>
      <c r="AC2628" s="236"/>
      <c r="AD2628" s="236"/>
      <c r="AE2628" s="236"/>
      <c r="AF2628" s="236"/>
      <c r="AG2628" s="236"/>
      <c r="AH2628" s="236"/>
      <c r="AI2628" s="236"/>
      <c r="AJ2628" s="162"/>
      <c r="AK2628" s="162"/>
      <c r="AL2628" s="146"/>
      <c r="AM2628" s="264"/>
    </row>
    <row r="2629" spans="1:39" ht="15.75" x14ac:dyDescent="0.2">
      <c r="A2629" s="146"/>
      <c r="B2629" s="231"/>
      <c r="C2629" s="231"/>
      <c r="D2629" s="231"/>
      <c r="E2629" s="231"/>
      <c r="F2629" s="232"/>
      <c r="G2629" s="232"/>
      <c r="H2629" s="231"/>
      <c r="I2629" s="235"/>
      <c r="J2629" s="235"/>
      <c r="K2629" s="235"/>
      <c r="L2629" s="235"/>
      <c r="M2629" s="235"/>
      <c r="N2629" s="236"/>
      <c r="O2629" s="236"/>
      <c r="P2629" s="346"/>
      <c r="Q2629" s="236"/>
      <c r="R2629" s="236"/>
      <c r="S2629" s="236"/>
      <c r="T2629" s="346"/>
      <c r="U2629" s="346"/>
      <c r="V2629" s="236"/>
      <c r="W2629" s="236"/>
      <c r="X2629" s="236"/>
      <c r="Y2629" s="236"/>
      <c r="Z2629" s="236"/>
      <c r="AA2629" s="236"/>
      <c r="AB2629" s="236"/>
      <c r="AC2629" s="236"/>
      <c r="AD2629" s="236"/>
      <c r="AE2629" s="236"/>
      <c r="AF2629" s="236"/>
      <c r="AG2629" s="236"/>
      <c r="AH2629" s="236"/>
      <c r="AI2629" s="236"/>
      <c r="AJ2629" s="162"/>
      <c r="AK2629" s="162"/>
      <c r="AL2629" s="146"/>
      <c r="AM2629" s="264"/>
    </row>
    <row r="2630" spans="1:39" ht="15.75" x14ac:dyDescent="0.2">
      <c r="A2630" s="146"/>
      <c r="B2630" s="231"/>
      <c r="C2630" s="231"/>
      <c r="D2630" s="231"/>
      <c r="E2630" s="231"/>
      <c r="F2630" s="232"/>
      <c r="G2630" s="232"/>
      <c r="H2630" s="231"/>
      <c r="I2630" s="235"/>
      <c r="J2630" s="235"/>
      <c r="K2630" s="235"/>
      <c r="L2630" s="235"/>
      <c r="M2630" s="235"/>
      <c r="N2630" s="236"/>
      <c r="O2630" s="236"/>
      <c r="P2630" s="346"/>
      <c r="Q2630" s="236"/>
      <c r="R2630" s="236"/>
      <c r="S2630" s="236"/>
      <c r="T2630" s="346"/>
      <c r="U2630" s="346"/>
      <c r="V2630" s="236"/>
      <c r="W2630" s="236"/>
      <c r="X2630" s="236"/>
      <c r="Y2630" s="236"/>
      <c r="Z2630" s="236"/>
      <c r="AA2630" s="236"/>
      <c r="AB2630" s="236"/>
      <c r="AC2630" s="236"/>
      <c r="AD2630" s="236"/>
      <c r="AE2630" s="236"/>
      <c r="AF2630" s="236"/>
      <c r="AG2630" s="236"/>
      <c r="AH2630" s="236"/>
      <c r="AI2630" s="236"/>
      <c r="AJ2630" s="162"/>
      <c r="AK2630" s="162"/>
      <c r="AL2630" s="146"/>
      <c r="AM2630" s="264"/>
    </row>
    <row r="2631" spans="1:39" ht="15.75" x14ac:dyDescent="0.2">
      <c r="A2631" s="146"/>
      <c r="B2631" s="231"/>
      <c r="C2631" s="231"/>
      <c r="D2631" s="231"/>
      <c r="E2631" s="231"/>
      <c r="F2631" s="232"/>
      <c r="G2631" s="232"/>
      <c r="H2631" s="231"/>
      <c r="I2631" s="235"/>
      <c r="J2631" s="235"/>
      <c r="K2631" s="235"/>
      <c r="L2631" s="235"/>
      <c r="M2631" s="235"/>
      <c r="N2631" s="236"/>
      <c r="O2631" s="236"/>
      <c r="P2631" s="346"/>
      <c r="Q2631" s="236"/>
      <c r="R2631" s="236"/>
      <c r="S2631" s="236"/>
      <c r="T2631" s="346"/>
      <c r="U2631" s="346"/>
      <c r="V2631" s="236"/>
      <c r="W2631" s="236"/>
      <c r="X2631" s="236"/>
      <c r="Y2631" s="236"/>
      <c r="Z2631" s="236"/>
      <c r="AA2631" s="236"/>
      <c r="AB2631" s="236"/>
      <c r="AC2631" s="236"/>
      <c r="AD2631" s="236"/>
      <c r="AE2631" s="236"/>
      <c r="AF2631" s="236"/>
      <c r="AG2631" s="236"/>
      <c r="AH2631" s="236"/>
      <c r="AI2631" s="236"/>
      <c r="AJ2631" s="162"/>
      <c r="AK2631" s="162"/>
      <c r="AL2631" s="146"/>
      <c r="AM2631" s="264"/>
    </row>
    <row r="2632" spans="1:39" ht="15.75" x14ac:dyDescent="0.2">
      <c r="A2632" s="146"/>
      <c r="B2632" s="231"/>
      <c r="C2632" s="231"/>
      <c r="D2632" s="231"/>
      <c r="E2632" s="231"/>
      <c r="F2632" s="232"/>
      <c r="G2632" s="232"/>
      <c r="H2632" s="231"/>
      <c r="I2632" s="235"/>
      <c r="J2632" s="235"/>
      <c r="K2632" s="235"/>
      <c r="L2632" s="235"/>
      <c r="M2632" s="235"/>
      <c r="N2632" s="236"/>
      <c r="O2632" s="236"/>
      <c r="P2632" s="346"/>
      <c r="Q2632" s="236"/>
      <c r="R2632" s="236"/>
      <c r="S2632" s="236"/>
      <c r="T2632" s="346"/>
      <c r="U2632" s="346"/>
      <c r="V2632" s="236"/>
      <c r="W2632" s="236"/>
      <c r="X2632" s="236"/>
      <c r="Y2632" s="236"/>
      <c r="Z2632" s="236"/>
      <c r="AA2632" s="236"/>
      <c r="AB2632" s="236"/>
      <c r="AC2632" s="236"/>
      <c r="AD2632" s="236"/>
      <c r="AE2632" s="236"/>
      <c r="AF2632" s="236"/>
      <c r="AG2632" s="236"/>
      <c r="AH2632" s="236"/>
      <c r="AI2632" s="236"/>
      <c r="AJ2632" s="162"/>
      <c r="AK2632" s="162"/>
      <c r="AL2632" s="146"/>
      <c r="AM2632" s="264"/>
    </row>
    <row r="2633" spans="1:39" ht="15.75" x14ac:dyDescent="0.2">
      <c r="A2633" s="146"/>
      <c r="B2633" s="231"/>
      <c r="C2633" s="231"/>
      <c r="D2633" s="231"/>
      <c r="E2633" s="231"/>
      <c r="F2633" s="232"/>
      <c r="G2633" s="232"/>
      <c r="H2633" s="231"/>
      <c r="I2633" s="235"/>
      <c r="J2633" s="235"/>
      <c r="K2633" s="235"/>
      <c r="L2633" s="235"/>
      <c r="M2633" s="235"/>
      <c r="N2633" s="236"/>
      <c r="O2633" s="236"/>
      <c r="P2633" s="346"/>
      <c r="Q2633" s="236"/>
      <c r="R2633" s="236"/>
      <c r="S2633" s="236"/>
      <c r="T2633" s="346"/>
      <c r="U2633" s="346"/>
      <c r="V2633" s="236"/>
      <c r="W2633" s="236"/>
      <c r="X2633" s="236"/>
      <c r="Y2633" s="236"/>
      <c r="Z2633" s="236"/>
      <c r="AA2633" s="236"/>
      <c r="AB2633" s="236"/>
      <c r="AC2633" s="236"/>
      <c r="AD2633" s="236"/>
      <c r="AE2633" s="236"/>
      <c r="AF2633" s="236"/>
      <c r="AG2633" s="236"/>
      <c r="AH2633" s="236"/>
      <c r="AI2633" s="236"/>
      <c r="AJ2633" s="162"/>
      <c r="AK2633" s="162"/>
      <c r="AL2633" s="146"/>
      <c r="AM2633" s="264"/>
    </row>
    <row r="2634" spans="1:39" ht="15.75" x14ac:dyDescent="0.2">
      <c r="A2634" s="146"/>
      <c r="B2634" s="231"/>
      <c r="C2634" s="231"/>
      <c r="D2634" s="231"/>
      <c r="E2634" s="231"/>
      <c r="F2634" s="232"/>
      <c r="G2634" s="232"/>
      <c r="H2634" s="231"/>
      <c r="I2634" s="235"/>
      <c r="J2634" s="235"/>
      <c r="K2634" s="235"/>
      <c r="L2634" s="235"/>
      <c r="M2634" s="235"/>
      <c r="N2634" s="236"/>
      <c r="O2634" s="236"/>
      <c r="P2634" s="346"/>
      <c r="Q2634" s="236"/>
      <c r="R2634" s="236"/>
      <c r="S2634" s="236"/>
      <c r="T2634" s="346"/>
      <c r="U2634" s="346"/>
      <c r="V2634" s="236"/>
      <c r="W2634" s="236"/>
      <c r="X2634" s="236"/>
      <c r="Y2634" s="236"/>
      <c r="Z2634" s="236"/>
      <c r="AA2634" s="236"/>
      <c r="AB2634" s="236"/>
      <c r="AC2634" s="236"/>
      <c r="AD2634" s="236"/>
      <c r="AE2634" s="236"/>
      <c r="AF2634" s="236"/>
      <c r="AG2634" s="236"/>
      <c r="AH2634" s="236"/>
      <c r="AI2634" s="236"/>
      <c r="AJ2634" s="162"/>
      <c r="AK2634" s="162"/>
      <c r="AL2634" s="146"/>
      <c r="AM2634" s="264"/>
    </row>
    <row r="2635" spans="1:39" ht="15.75" x14ac:dyDescent="0.2">
      <c r="A2635" s="146"/>
      <c r="B2635" s="231"/>
      <c r="C2635" s="231"/>
      <c r="D2635" s="231"/>
      <c r="E2635" s="231"/>
      <c r="F2635" s="232"/>
      <c r="G2635" s="232"/>
      <c r="H2635" s="231"/>
      <c r="I2635" s="235"/>
      <c r="J2635" s="235"/>
      <c r="K2635" s="235"/>
      <c r="L2635" s="235"/>
      <c r="M2635" s="235"/>
      <c r="N2635" s="236"/>
      <c r="O2635" s="236"/>
      <c r="P2635" s="346"/>
      <c r="Q2635" s="236"/>
      <c r="R2635" s="236"/>
      <c r="S2635" s="236"/>
      <c r="T2635" s="346"/>
      <c r="U2635" s="346"/>
      <c r="V2635" s="236"/>
      <c r="W2635" s="236"/>
      <c r="X2635" s="236"/>
      <c r="Y2635" s="236"/>
      <c r="Z2635" s="236"/>
      <c r="AA2635" s="236"/>
      <c r="AB2635" s="236"/>
      <c r="AC2635" s="236"/>
      <c r="AD2635" s="236"/>
      <c r="AE2635" s="236"/>
      <c r="AF2635" s="236"/>
      <c r="AG2635" s="236"/>
      <c r="AH2635" s="236"/>
      <c r="AI2635" s="236"/>
      <c r="AJ2635" s="162"/>
      <c r="AK2635" s="162"/>
      <c r="AL2635" s="146"/>
      <c r="AM2635" s="264"/>
    </row>
    <row r="2636" spans="1:39" ht="15.75" x14ac:dyDescent="0.2">
      <c r="A2636" s="146"/>
      <c r="B2636" s="231"/>
      <c r="C2636" s="231"/>
      <c r="D2636" s="231"/>
      <c r="E2636" s="231"/>
      <c r="F2636" s="232"/>
      <c r="G2636" s="232"/>
      <c r="H2636" s="231"/>
      <c r="I2636" s="235"/>
      <c r="J2636" s="235"/>
      <c r="K2636" s="235"/>
      <c r="L2636" s="235"/>
      <c r="M2636" s="235"/>
      <c r="N2636" s="236"/>
      <c r="O2636" s="236"/>
      <c r="P2636" s="346"/>
      <c r="Q2636" s="236"/>
      <c r="R2636" s="236"/>
      <c r="S2636" s="236"/>
      <c r="T2636" s="346"/>
      <c r="U2636" s="346"/>
      <c r="V2636" s="236"/>
      <c r="W2636" s="236"/>
      <c r="X2636" s="236"/>
      <c r="Y2636" s="236"/>
      <c r="Z2636" s="236"/>
      <c r="AA2636" s="236"/>
      <c r="AB2636" s="236"/>
      <c r="AC2636" s="236"/>
      <c r="AD2636" s="236"/>
      <c r="AE2636" s="236"/>
      <c r="AF2636" s="236"/>
      <c r="AG2636" s="236"/>
      <c r="AH2636" s="236"/>
      <c r="AI2636" s="236"/>
      <c r="AJ2636" s="162"/>
      <c r="AK2636" s="162"/>
      <c r="AL2636" s="146"/>
      <c r="AM2636" s="264"/>
    </row>
    <row r="2637" spans="1:39" ht="15.75" x14ac:dyDescent="0.2">
      <c r="A2637" s="146"/>
      <c r="B2637" s="231"/>
      <c r="C2637" s="231"/>
      <c r="D2637" s="231"/>
      <c r="E2637" s="231"/>
      <c r="F2637" s="232"/>
      <c r="G2637" s="232"/>
      <c r="H2637" s="231"/>
      <c r="I2637" s="235"/>
      <c r="J2637" s="235"/>
      <c r="K2637" s="235"/>
      <c r="L2637" s="235"/>
      <c r="M2637" s="235"/>
      <c r="N2637" s="236"/>
      <c r="O2637" s="236"/>
      <c r="P2637" s="346"/>
      <c r="Q2637" s="236"/>
      <c r="R2637" s="236"/>
      <c r="S2637" s="236"/>
      <c r="T2637" s="346"/>
      <c r="U2637" s="346"/>
      <c r="V2637" s="236"/>
      <c r="W2637" s="236"/>
      <c r="X2637" s="236"/>
      <c r="Y2637" s="236"/>
      <c r="Z2637" s="236"/>
      <c r="AA2637" s="236"/>
      <c r="AB2637" s="236"/>
      <c r="AC2637" s="236"/>
      <c r="AD2637" s="236"/>
      <c r="AE2637" s="236"/>
      <c r="AF2637" s="236"/>
      <c r="AG2637" s="236"/>
      <c r="AH2637" s="236"/>
      <c r="AI2637" s="236"/>
      <c r="AJ2637" s="162"/>
      <c r="AK2637" s="162"/>
      <c r="AL2637" s="146"/>
      <c r="AM2637" s="264"/>
    </row>
    <row r="2638" spans="1:39" ht="15.75" x14ac:dyDescent="0.2">
      <c r="A2638" s="146"/>
      <c r="B2638" s="231"/>
      <c r="C2638" s="231"/>
      <c r="D2638" s="231"/>
      <c r="E2638" s="231"/>
      <c r="F2638" s="232"/>
      <c r="G2638" s="232"/>
      <c r="H2638" s="231"/>
      <c r="I2638" s="235"/>
      <c r="J2638" s="235"/>
      <c r="K2638" s="235"/>
      <c r="L2638" s="235"/>
      <c r="M2638" s="235"/>
      <c r="N2638" s="236"/>
      <c r="O2638" s="236"/>
      <c r="P2638" s="346"/>
      <c r="Q2638" s="236"/>
      <c r="R2638" s="236"/>
      <c r="S2638" s="236"/>
      <c r="T2638" s="346"/>
      <c r="U2638" s="346"/>
      <c r="V2638" s="236"/>
      <c r="W2638" s="236"/>
      <c r="X2638" s="236"/>
      <c r="Y2638" s="236"/>
      <c r="Z2638" s="236"/>
      <c r="AA2638" s="236"/>
      <c r="AB2638" s="236"/>
      <c r="AC2638" s="236"/>
      <c r="AD2638" s="236"/>
      <c r="AE2638" s="236"/>
      <c r="AF2638" s="236"/>
      <c r="AG2638" s="236"/>
      <c r="AH2638" s="236"/>
      <c r="AI2638" s="236"/>
      <c r="AJ2638" s="162"/>
      <c r="AK2638" s="162"/>
      <c r="AL2638" s="146"/>
      <c r="AM2638" s="264"/>
    </row>
    <row r="2639" spans="1:39" ht="15.75" x14ac:dyDescent="0.2">
      <c r="A2639" s="146"/>
      <c r="B2639" s="231"/>
      <c r="C2639" s="231"/>
      <c r="D2639" s="231"/>
      <c r="E2639" s="231"/>
      <c r="F2639" s="232"/>
      <c r="G2639" s="232"/>
      <c r="H2639" s="231"/>
      <c r="I2639" s="235"/>
      <c r="J2639" s="235"/>
      <c r="K2639" s="235"/>
      <c r="L2639" s="235"/>
      <c r="M2639" s="235"/>
      <c r="N2639" s="236"/>
      <c r="O2639" s="236"/>
      <c r="P2639" s="346"/>
      <c r="Q2639" s="236"/>
      <c r="R2639" s="236"/>
      <c r="S2639" s="236"/>
      <c r="T2639" s="346"/>
      <c r="U2639" s="346"/>
      <c r="V2639" s="236"/>
      <c r="W2639" s="236"/>
      <c r="X2639" s="236"/>
      <c r="Y2639" s="236"/>
      <c r="Z2639" s="236"/>
      <c r="AA2639" s="236"/>
      <c r="AB2639" s="236"/>
      <c r="AC2639" s="236"/>
      <c r="AD2639" s="236"/>
      <c r="AE2639" s="236"/>
      <c r="AF2639" s="236"/>
      <c r="AG2639" s="236"/>
      <c r="AH2639" s="236"/>
      <c r="AI2639" s="236"/>
      <c r="AJ2639" s="162"/>
      <c r="AK2639" s="162"/>
      <c r="AL2639" s="146"/>
      <c r="AM2639" s="264"/>
    </row>
    <row r="2640" spans="1:39" ht="15.75" x14ac:dyDescent="0.2">
      <c r="B2640" s="231"/>
      <c r="C2640" s="231"/>
      <c r="D2640" s="231"/>
      <c r="E2640" s="231"/>
      <c r="F2640" s="232"/>
      <c r="G2640" s="232"/>
      <c r="H2640" s="231"/>
      <c r="I2640" s="235"/>
      <c r="J2640" s="235"/>
      <c r="K2640" s="235"/>
      <c r="L2640" s="235"/>
      <c r="M2640" s="235"/>
      <c r="N2640" s="236"/>
      <c r="O2640" s="236"/>
      <c r="P2640" s="346"/>
      <c r="Q2640" s="236"/>
      <c r="R2640" s="236"/>
      <c r="S2640" s="236"/>
      <c r="T2640" s="346"/>
      <c r="U2640" s="346"/>
      <c r="V2640" s="236"/>
      <c r="W2640" s="236"/>
      <c r="X2640" s="236"/>
      <c r="Y2640" s="236"/>
      <c r="Z2640" s="236"/>
      <c r="AA2640" s="236"/>
      <c r="AB2640" s="236"/>
      <c r="AC2640" s="236"/>
      <c r="AD2640" s="236"/>
      <c r="AE2640" s="236"/>
      <c r="AF2640" s="236"/>
      <c r="AG2640" s="236"/>
      <c r="AH2640" s="236"/>
      <c r="AI2640" s="236"/>
      <c r="AJ2640" s="162"/>
      <c r="AK2640" s="162"/>
      <c r="AL2640" s="146"/>
      <c r="AM2640" s="264"/>
    </row>
    <row r="2641" spans="1:39" ht="15.75" x14ac:dyDescent="0.2">
      <c r="B2641" s="231"/>
      <c r="C2641" s="231"/>
      <c r="D2641" s="231"/>
      <c r="E2641" s="231"/>
      <c r="F2641" s="232"/>
      <c r="G2641" s="232"/>
      <c r="H2641" s="231"/>
      <c r="I2641" s="235"/>
      <c r="J2641" s="235"/>
      <c r="K2641" s="235"/>
      <c r="L2641" s="235"/>
      <c r="M2641" s="235"/>
      <c r="N2641" s="236"/>
      <c r="O2641" s="236"/>
      <c r="P2641" s="346"/>
      <c r="Q2641" s="236"/>
      <c r="R2641" s="236"/>
      <c r="S2641" s="236"/>
      <c r="T2641" s="346"/>
      <c r="U2641" s="346"/>
      <c r="V2641" s="236"/>
      <c r="W2641" s="236"/>
      <c r="X2641" s="236"/>
      <c r="Y2641" s="236"/>
      <c r="Z2641" s="236"/>
      <c r="AA2641" s="236"/>
      <c r="AB2641" s="236"/>
      <c r="AC2641" s="236"/>
      <c r="AD2641" s="236"/>
      <c r="AE2641" s="236"/>
      <c r="AF2641" s="236"/>
      <c r="AG2641" s="236"/>
      <c r="AH2641" s="236"/>
      <c r="AI2641" s="236"/>
      <c r="AJ2641" s="162"/>
      <c r="AK2641" s="162"/>
      <c r="AL2641" s="146"/>
      <c r="AM2641" s="264"/>
    </row>
    <row r="2642" spans="1:39" ht="15.75" x14ac:dyDescent="0.2">
      <c r="B2642" s="231"/>
      <c r="C2642" s="231"/>
      <c r="D2642" s="231"/>
      <c r="E2642" s="231"/>
      <c r="F2642" s="232"/>
      <c r="G2642" s="232"/>
      <c r="H2642" s="231"/>
      <c r="I2642" s="235"/>
      <c r="J2642" s="235"/>
      <c r="K2642" s="235"/>
      <c r="L2642" s="235"/>
      <c r="M2642" s="235"/>
      <c r="N2642" s="236"/>
      <c r="O2642" s="236"/>
      <c r="P2642" s="346"/>
      <c r="Q2642" s="236"/>
      <c r="R2642" s="236"/>
      <c r="S2642" s="236"/>
      <c r="T2642" s="346"/>
      <c r="U2642" s="346"/>
      <c r="V2642" s="236"/>
      <c r="W2642" s="236"/>
      <c r="X2642" s="236"/>
      <c r="Y2642" s="236"/>
      <c r="Z2642" s="236"/>
      <c r="AA2642" s="236"/>
      <c r="AB2642" s="236"/>
      <c r="AC2642" s="236"/>
      <c r="AD2642" s="236"/>
      <c r="AE2642" s="236"/>
      <c r="AF2642" s="236"/>
      <c r="AG2642" s="236"/>
      <c r="AH2642" s="236"/>
      <c r="AI2642" s="236"/>
      <c r="AJ2642" s="162"/>
      <c r="AK2642" s="162"/>
      <c r="AL2642" s="146"/>
      <c r="AM2642" s="264"/>
    </row>
    <row r="2643" spans="1:39" ht="15.75" x14ac:dyDescent="0.2">
      <c r="B2643" s="231"/>
      <c r="C2643" s="231"/>
      <c r="D2643" s="231"/>
      <c r="E2643" s="231"/>
      <c r="F2643" s="232"/>
      <c r="G2643" s="232"/>
      <c r="H2643" s="231"/>
      <c r="I2643" s="235"/>
      <c r="J2643" s="235"/>
      <c r="K2643" s="235"/>
      <c r="L2643" s="235"/>
      <c r="M2643" s="235"/>
      <c r="N2643" s="236"/>
      <c r="O2643" s="236"/>
      <c r="P2643" s="346"/>
      <c r="Q2643" s="236"/>
      <c r="R2643" s="236"/>
      <c r="S2643" s="236"/>
      <c r="T2643" s="346"/>
      <c r="U2643" s="346"/>
      <c r="V2643" s="236"/>
      <c r="W2643" s="236"/>
      <c r="X2643" s="236"/>
      <c r="Y2643" s="236"/>
      <c r="Z2643" s="236"/>
      <c r="AA2643" s="236"/>
      <c r="AB2643" s="236"/>
      <c r="AC2643" s="236"/>
      <c r="AD2643" s="236"/>
      <c r="AE2643" s="236"/>
      <c r="AF2643" s="236"/>
      <c r="AG2643" s="236"/>
      <c r="AH2643" s="236"/>
      <c r="AI2643" s="236"/>
      <c r="AJ2643" s="162"/>
      <c r="AK2643" s="162"/>
      <c r="AL2643" s="146"/>
      <c r="AM2643" s="264"/>
    </row>
    <row r="2644" spans="1:39" ht="24.75" customHeight="1" x14ac:dyDescent="0.2">
      <c r="B2644" s="771" t="s">
        <v>916</v>
      </c>
      <c r="C2644" s="771"/>
      <c r="D2644" s="771"/>
      <c r="E2644" s="771"/>
      <c r="F2644" s="771"/>
      <c r="G2644" s="771"/>
      <c r="H2644" s="771"/>
      <c r="I2644" s="235"/>
      <c r="J2644" s="235"/>
      <c r="K2644" s="235"/>
      <c r="L2644" s="235"/>
      <c r="M2644" s="235"/>
      <c r="N2644" s="236"/>
      <c r="O2644" s="236"/>
      <c r="P2644" s="346"/>
      <c r="Q2644" s="236"/>
      <c r="R2644" s="236"/>
      <c r="S2644" s="236"/>
      <c r="T2644" s="346"/>
      <c r="U2644" s="346"/>
      <c r="V2644" s="236"/>
      <c r="W2644" s="236"/>
      <c r="X2644" s="236"/>
      <c r="Y2644" s="236"/>
      <c r="Z2644" s="236"/>
      <c r="AA2644" s="236"/>
      <c r="AB2644" s="236"/>
      <c r="AC2644" s="236"/>
      <c r="AD2644" s="236"/>
      <c r="AE2644" s="236"/>
      <c r="AF2644" s="236"/>
      <c r="AG2644" s="236"/>
      <c r="AH2644" s="236"/>
      <c r="AI2644" s="236"/>
      <c r="AJ2644" s="162"/>
      <c r="AK2644" s="162"/>
      <c r="AL2644" s="146"/>
      <c r="AM2644" s="264"/>
    </row>
    <row r="2645" spans="1:39" ht="24.75" customHeight="1" x14ac:dyDescent="0.2">
      <c r="B2645" s="772" t="s">
        <v>834</v>
      </c>
      <c r="C2645" s="772"/>
      <c r="D2645" s="772"/>
      <c r="E2645" s="772"/>
      <c r="F2645" s="772"/>
      <c r="G2645" s="772"/>
      <c r="H2645" s="772"/>
      <c r="I2645" s="772"/>
      <c r="J2645" s="772"/>
      <c r="K2645" s="772"/>
      <c r="L2645" s="772"/>
      <c r="M2645" s="772"/>
      <c r="N2645" s="772"/>
      <c r="O2645" s="772"/>
      <c r="P2645" s="772"/>
      <c r="Q2645" s="772"/>
      <c r="R2645" s="772"/>
      <c r="S2645" s="772"/>
      <c r="T2645" s="772"/>
      <c r="U2645" s="772"/>
      <c r="V2645" s="772"/>
      <c r="W2645" s="772"/>
      <c r="X2645" s="772"/>
      <c r="Y2645" s="772"/>
      <c r="Z2645" s="772"/>
      <c r="AA2645" s="772"/>
      <c r="AB2645" s="772"/>
      <c r="AC2645" s="479"/>
      <c r="AD2645" s="479"/>
      <c r="AE2645" s="479"/>
      <c r="AF2645" s="479"/>
      <c r="AG2645" s="479"/>
      <c r="AH2645" s="479"/>
      <c r="AI2645" s="479"/>
      <c r="AJ2645" s="162" t="b">
        <f>ISBLANK(E2645)</f>
        <v>1</v>
      </c>
      <c r="AK2645" s="162" t="str">
        <f>IF(AJ2645,"PRAZNO","PUNO")</f>
        <v>PRAZNO</v>
      </c>
      <c r="AL2645" s="146"/>
      <c r="AM2645" s="264"/>
    </row>
    <row r="2646" spans="1:39" ht="36.75" customHeight="1" x14ac:dyDescent="0.2">
      <c r="B2646" s="773" t="s">
        <v>109</v>
      </c>
      <c r="C2646" s="773"/>
      <c r="D2646" s="773"/>
      <c r="E2646" s="773"/>
      <c r="F2646" s="773"/>
      <c r="G2646" s="773"/>
      <c r="H2646" s="773"/>
      <c r="I2646" s="773"/>
      <c r="J2646" s="773"/>
      <c r="K2646" s="773"/>
      <c r="L2646" s="773"/>
      <c r="M2646" s="773"/>
      <c r="N2646" s="773"/>
      <c r="O2646" s="773"/>
      <c r="P2646" s="773"/>
      <c r="Q2646" s="773"/>
      <c r="R2646" s="773"/>
      <c r="S2646" s="773"/>
      <c r="T2646" s="773"/>
      <c r="U2646" s="773"/>
      <c r="V2646" s="773"/>
      <c r="W2646" s="773"/>
      <c r="X2646" s="773"/>
      <c r="Y2646" s="773"/>
      <c r="Z2646" s="773"/>
      <c r="AA2646" s="773"/>
      <c r="AB2646" s="773"/>
      <c r="AC2646" s="663"/>
      <c r="AD2646" s="663"/>
      <c r="AE2646" s="663"/>
      <c r="AF2646" s="663"/>
      <c r="AG2646" s="663"/>
      <c r="AH2646" s="663"/>
      <c r="AI2646" s="663"/>
      <c r="AJ2646" s="162" t="b">
        <f>ISBLANK(E2646)</f>
        <v>1</v>
      </c>
      <c r="AK2646" s="162" t="str">
        <f>IF(AJ2646,"PRAZNO","PUNO")</f>
        <v>PRAZNO</v>
      </c>
      <c r="AL2646" s="146"/>
    </row>
    <row r="2647" spans="1:39" ht="11.25" customHeight="1" x14ac:dyDescent="0.2">
      <c r="B2647" s="772"/>
      <c r="C2647" s="772"/>
      <c r="D2647" s="772"/>
      <c r="E2647" s="772"/>
      <c r="F2647" s="772"/>
      <c r="G2647" s="772"/>
      <c r="H2647" s="772"/>
      <c r="I2647" s="48"/>
      <c r="J2647" s="48"/>
      <c r="K2647" s="48"/>
      <c r="L2647" s="48"/>
      <c r="M2647" s="48"/>
      <c r="N2647" s="50"/>
      <c r="O2647" s="50"/>
      <c r="P2647" s="347"/>
      <c r="Q2647" s="50"/>
      <c r="R2647" s="50"/>
      <c r="S2647" s="50"/>
      <c r="T2647" s="347"/>
      <c r="U2647" s="347"/>
      <c r="V2647" s="50"/>
      <c r="W2647" s="50"/>
      <c r="X2647" s="50"/>
      <c r="Y2647" s="50"/>
      <c r="Z2647" s="50"/>
      <c r="AA2647" s="50"/>
      <c r="AB2647" s="50"/>
      <c r="AC2647" s="50"/>
      <c r="AD2647" s="50"/>
      <c r="AE2647" s="50"/>
      <c r="AF2647" s="50"/>
      <c r="AG2647" s="50"/>
      <c r="AH2647" s="50"/>
      <c r="AI2647" s="50"/>
      <c r="AJ2647" s="162" t="b">
        <f>ISBLANK(E2647)</f>
        <v>1</v>
      </c>
      <c r="AK2647" s="162" t="str">
        <f>IF(AJ2647,"PRAZNO","PUNO")</f>
        <v>PRAZNO</v>
      </c>
      <c r="AL2647" s="146"/>
    </row>
    <row r="2648" spans="1:39" ht="23.25" customHeight="1" x14ac:dyDescent="0.2">
      <c r="B2648" s="479"/>
      <c r="C2648" s="479"/>
      <c r="D2648" s="479"/>
      <c r="E2648" s="479"/>
      <c r="F2648" s="479"/>
      <c r="G2648" s="479"/>
      <c r="H2648" s="479"/>
      <c r="I2648" s="479"/>
      <c r="J2648" s="479"/>
      <c r="K2648" s="479"/>
      <c r="L2648" s="479"/>
      <c r="M2648" s="479"/>
      <c r="N2648" s="479"/>
      <c r="O2648" s="479"/>
      <c r="P2648" s="479"/>
      <c r="Q2648" s="479"/>
      <c r="R2648" s="479"/>
      <c r="S2648" s="479"/>
      <c r="T2648" s="479"/>
      <c r="U2648" s="479"/>
      <c r="V2648" s="479"/>
      <c r="W2648" s="479"/>
      <c r="X2648" s="479"/>
      <c r="Y2648" s="479"/>
      <c r="Z2648" s="479"/>
      <c r="AA2648" s="479"/>
      <c r="AB2648" s="479"/>
      <c r="AC2648" s="479"/>
      <c r="AD2648" s="479"/>
      <c r="AE2648" s="479"/>
      <c r="AF2648" s="479"/>
      <c r="AG2648" s="479"/>
      <c r="AH2648" s="479"/>
      <c r="AI2648" s="479"/>
      <c r="AJ2648" s="162"/>
      <c r="AK2648" s="162"/>
      <c r="AL2648" s="146"/>
    </row>
    <row r="2649" spans="1:39" ht="18.75" customHeight="1" x14ac:dyDescent="0.2">
      <c r="B2649" s="774" t="s">
        <v>502</v>
      </c>
      <c r="C2649" s="774"/>
      <c r="D2649" s="774"/>
      <c r="E2649" s="774"/>
      <c r="F2649" s="774"/>
      <c r="G2649" s="774"/>
      <c r="H2649" s="774"/>
      <c r="I2649" s="774"/>
      <c r="J2649" s="774"/>
      <c r="K2649" s="774"/>
      <c r="L2649" s="774"/>
      <c r="M2649" s="774"/>
      <c r="N2649" s="774"/>
      <c r="O2649" s="774"/>
      <c r="P2649" s="774"/>
      <c r="Q2649" s="774"/>
      <c r="R2649" s="774"/>
      <c r="S2649" s="774"/>
      <c r="T2649" s="774"/>
      <c r="U2649" s="774"/>
      <c r="V2649" s="774"/>
      <c r="W2649" s="774"/>
      <c r="X2649" s="774"/>
      <c r="Y2649" s="774"/>
      <c r="Z2649" s="774"/>
      <c r="AA2649" s="774"/>
      <c r="AB2649" s="774"/>
      <c r="AC2649" s="664"/>
      <c r="AD2649" s="664"/>
      <c r="AE2649" s="664"/>
      <c r="AF2649" s="664"/>
      <c r="AG2649" s="664"/>
      <c r="AH2649" s="664"/>
      <c r="AI2649" s="664"/>
      <c r="AJ2649" s="162" t="b">
        <f>ISBLANK(E2649)</f>
        <v>1</v>
      </c>
      <c r="AK2649" s="162" t="str">
        <f>IF(AJ2649,"PRAZNO","PUNO")</f>
        <v>PRAZNO</v>
      </c>
      <c r="AL2649" s="146"/>
    </row>
    <row r="2650" spans="1:39" ht="14.25" customHeight="1" x14ac:dyDescent="0.2">
      <c r="A2650" s="431"/>
      <c r="B2650" s="772" t="s">
        <v>503</v>
      </c>
      <c r="C2650" s="772"/>
      <c r="D2650" s="772"/>
      <c r="E2650" s="772"/>
      <c r="F2650" s="772"/>
      <c r="G2650" s="772"/>
      <c r="H2650" s="772"/>
      <c r="I2650" s="772"/>
      <c r="J2650" s="772"/>
      <c r="K2650" s="772"/>
      <c r="L2650" s="772"/>
      <c r="M2650" s="772"/>
      <c r="N2650" s="772"/>
      <c r="O2650" s="772"/>
      <c r="P2650" s="772"/>
      <c r="Q2650" s="772"/>
      <c r="R2650" s="772"/>
      <c r="S2650" s="772"/>
      <c r="T2650" s="772"/>
      <c r="U2650" s="772"/>
      <c r="V2650" s="772"/>
      <c r="W2650" s="772"/>
      <c r="X2650" s="772"/>
      <c r="Y2650" s="772"/>
      <c r="Z2650" s="772"/>
      <c r="AA2650" s="772"/>
      <c r="AB2650" s="772"/>
      <c r="AC2650" s="479"/>
      <c r="AD2650" s="479"/>
      <c r="AE2650" s="479"/>
      <c r="AF2650" s="479"/>
      <c r="AG2650" s="479"/>
      <c r="AH2650" s="479"/>
      <c r="AI2650" s="479"/>
      <c r="AJ2650" s="162" t="b">
        <f>ISBLANK(E2650)</f>
        <v>1</v>
      </c>
      <c r="AK2650" s="162" t="str">
        <f>IF(AJ2650,"PRAZNO","PUNO")</f>
        <v>PRAZNO</v>
      </c>
      <c r="AL2650" s="146"/>
    </row>
    <row r="2651" spans="1:39" ht="14.25" customHeight="1" x14ac:dyDescent="0.2">
      <c r="A2651" s="431"/>
      <c r="B2651" s="479"/>
      <c r="C2651" s="479"/>
      <c r="D2651" s="479"/>
      <c r="E2651" s="479"/>
      <c r="F2651" s="479"/>
      <c r="G2651" s="479"/>
      <c r="H2651" s="479"/>
      <c r="I2651" s="479"/>
      <c r="J2651" s="479"/>
      <c r="K2651" s="479"/>
      <c r="L2651" s="479"/>
      <c r="M2651" s="479"/>
      <c r="N2651" s="479"/>
      <c r="O2651" s="479"/>
      <c r="P2651" s="479"/>
      <c r="Q2651" s="479"/>
      <c r="R2651" s="479"/>
      <c r="S2651" s="479"/>
      <c r="T2651" s="479"/>
      <c r="U2651" s="479"/>
      <c r="V2651" s="479"/>
      <c r="W2651" s="479"/>
      <c r="X2651" s="479"/>
      <c r="Y2651" s="479"/>
      <c r="Z2651" s="479"/>
      <c r="AA2651" s="479"/>
      <c r="AB2651" s="479"/>
      <c r="AC2651" s="479"/>
      <c r="AD2651" s="479"/>
      <c r="AE2651" s="479"/>
      <c r="AF2651" s="479"/>
      <c r="AG2651" s="479"/>
      <c r="AH2651" s="479"/>
      <c r="AI2651" s="479"/>
      <c r="AJ2651" s="162"/>
      <c r="AK2651" s="162"/>
      <c r="AL2651" s="146"/>
    </row>
    <row r="2652" spans="1:39" ht="14.25" customHeight="1" x14ac:dyDescent="0.2">
      <c r="A2652" s="431"/>
      <c r="B2652" s="479"/>
      <c r="C2652" s="479"/>
      <c r="D2652" s="479"/>
      <c r="E2652" s="479"/>
      <c r="F2652" s="479"/>
      <c r="G2652" s="479"/>
      <c r="H2652" s="479"/>
      <c r="I2652" s="479"/>
      <c r="J2652" s="479"/>
      <c r="K2652" s="479"/>
      <c r="L2652" s="479"/>
      <c r="M2652" s="479"/>
      <c r="N2652" s="479"/>
      <c r="O2652" s="479"/>
      <c r="P2652" s="479"/>
      <c r="Q2652" s="479"/>
      <c r="R2652" s="479"/>
      <c r="S2652" s="479"/>
      <c r="T2652" s="479"/>
      <c r="U2652" s="479"/>
      <c r="V2652" s="479"/>
      <c r="W2652" s="479"/>
      <c r="X2652" s="479"/>
      <c r="Y2652" s="479"/>
      <c r="Z2652" s="479"/>
      <c r="AA2652" s="479"/>
      <c r="AB2652" s="479"/>
      <c r="AC2652" s="479"/>
      <c r="AD2652" s="479"/>
      <c r="AE2652" s="479"/>
      <c r="AF2652" s="479"/>
      <c r="AG2652" s="479"/>
      <c r="AH2652" s="479"/>
      <c r="AI2652" s="479"/>
      <c r="AJ2652" s="162"/>
      <c r="AK2652" s="162"/>
      <c r="AL2652" s="146"/>
    </row>
    <row r="2653" spans="1:39" ht="14.25" customHeight="1" x14ac:dyDescent="0.2">
      <c r="A2653" s="431"/>
      <c r="B2653" s="479"/>
      <c r="C2653" s="479"/>
      <c r="D2653" s="479"/>
      <c r="E2653" s="479"/>
      <c r="F2653" s="479"/>
      <c r="G2653" s="479"/>
      <c r="H2653" s="479"/>
      <c r="I2653" s="479"/>
      <c r="J2653" s="479"/>
      <c r="K2653" s="479"/>
      <c r="L2653" s="479"/>
      <c r="M2653" s="479"/>
      <c r="N2653" s="479"/>
      <c r="O2653" s="479"/>
      <c r="P2653" s="479"/>
      <c r="Q2653" s="479"/>
      <c r="R2653" s="479"/>
      <c r="S2653" s="479"/>
      <c r="T2653" s="479"/>
      <c r="U2653" s="479"/>
      <c r="V2653" s="479"/>
      <c r="W2653" s="479"/>
      <c r="X2653" s="479"/>
      <c r="Y2653" s="479"/>
      <c r="Z2653" s="479"/>
      <c r="AA2653" s="479"/>
      <c r="AB2653" s="479"/>
      <c r="AC2653" s="479"/>
      <c r="AD2653" s="479"/>
      <c r="AE2653" s="479"/>
      <c r="AF2653" s="479"/>
      <c r="AG2653" s="479"/>
      <c r="AH2653" s="479"/>
      <c r="AI2653" s="479"/>
      <c r="AJ2653" s="162"/>
      <c r="AK2653" s="162"/>
      <c r="AL2653" s="146"/>
    </row>
    <row r="2654" spans="1:39" ht="14.25" customHeight="1" x14ac:dyDescent="0.2">
      <c r="B2654" s="238" t="s">
        <v>110</v>
      </c>
      <c r="H2654" s="239"/>
      <c r="V2654" s="783" t="s">
        <v>453</v>
      </c>
      <c r="W2654" s="783"/>
      <c r="X2654" s="783"/>
      <c r="Y2654" s="294"/>
      <c r="Z2654" s="294"/>
      <c r="AA2654" s="294"/>
      <c r="AB2654" s="294"/>
      <c r="AC2654" s="294"/>
      <c r="AD2654" s="294"/>
      <c r="AE2654" s="294"/>
      <c r="AF2654" s="294"/>
      <c r="AG2654" s="294"/>
      <c r="AH2654" s="294"/>
      <c r="AI2654" s="294"/>
      <c r="AJ2654" s="162" t="b">
        <f>ISBLANK(E2654)</f>
        <v>1</v>
      </c>
      <c r="AK2654" s="162" t="str">
        <f t="shared" ref="AK2654:AK2680" si="1422">IF(AJ2654,"PRAZNO","PUNO")</f>
        <v>PRAZNO</v>
      </c>
      <c r="AL2654" s="146"/>
    </row>
    <row r="2655" spans="1:39" ht="15.75" x14ac:dyDescent="0.2">
      <c r="B2655" s="146" t="s">
        <v>111</v>
      </c>
      <c r="H2655" s="239"/>
      <c r="I2655" s="240"/>
      <c r="J2655" s="240"/>
      <c r="K2655" s="240"/>
      <c r="L2655" s="240"/>
      <c r="M2655" s="240"/>
      <c r="N2655" s="241"/>
      <c r="O2655" s="217" t="s">
        <v>969</v>
      </c>
      <c r="P2655" s="349"/>
      <c r="Q2655" s="241"/>
      <c r="R2655" s="241"/>
      <c r="S2655" s="241"/>
      <c r="T2655" s="349"/>
      <c r="U2655" s="349"/>
      <c r="V2655" s="662" t="s">
        <v>454</v>
      </c>
      <c r="W2655" s="662"/>
      <c r="X2655" s="662"/>
      <c r="Y2655" s="599"/>
      <c r="Z2655" s="599"/>
      <c r="AA2655" s="599"/>
      <c r="AB2655" s="599"/>
      <c r="AC2655" s="599"/>
      <c r="AD2655" s="599"/>
      <c r="AE2655" s="599"/>
      <c r="AF2655" s="599"/>
      <c r="AG2655" s="599"/>
      <c r="AH2655" s="599"/>
      <c r="AI2655" s="599"/>
      <c r="AJ2655" s="162" t="b">
        <f>ISBLANK(E2655)</f>
        <v>1</v>
      </c>
      <c r="AK2655" s="162" t="str">
        <f t="shared" si="1422"/>
        <v>PRAZNO</v>
      </c>
      <c r="AL2655" s="146"/>
    </row>
    <row r="2656" spans="1:39" ht="15.75" x14ac:dyDescent="0.2">
      <c r="A2656" s="146"/>
      <c r="B2656" s="52" t="s">
        <v>455</v>
      </c>
      <c r="H2656" s="239"/>
      <c r="I2656" s="240"/>
      <c r="J2656" s="240"/>
      <c r="K2656" s="240"/>
      <c r="L2656" s="240" t="s">
        <v>433</v>
      </c>
      <c r="M2656" s="240"/>
      <c r="N2656" s="241"/>
      <c r="O2656" s="770" t="s">
        <v>266</v>
      </c>
      <c r="P2656" s="770"/>
      <c r="Q2656" s="241"/>
      <c r="R2656" s="241" t="s">
        <v>835</v>
      </c>
      <c r="S2656" s="241"/>
      <c r="T2656" s="349"/>
      <c r="U2656" s="349"/>
      <c r="V2656" s="241"/>
      <c r="W2656" s="241"/>
      <c r="X2656" s="241"/>
      <c r="Y2656" s="241"/>
      <c r="Z2656" s="241"/>
      <c r="AA2656" s="241"/>
      <c r="AB2656" s="241"/>
      <c r="AC2656" s="241"/>
      <c r="AD2656" s="241"/>
      <c r="AE2656" s="241"/>
      <c r="AF2656" s="241"/>
      <c r="AG2656" s="241"/>
      <c r="AH2656" s="241"/>
      <c r="AI2656" s="241"/>
      <c r="AJ2656" s="162" t="b">
        <f>ISBLANK(E2656)</f>
        <v>1</v>
      </c>
      <c r="AK2656" s="162" t="str">
        <f t="shared" si="1422"/>
        <v>PRAZNO</v>
      </c>
      <c r="AL2656" s="146"/>
    </row>
    <row r="2657" spans="1:38" ht="15.75" x14ac:dyDescent="0.2">
      <c r="A2657" s="146"/>
      <c r="H2657" s="7"/>
      <c r="AK2657" s="162" t="str">
        <f t="shared" si="1422"/>
        <v>PUNO</v>
      </c>
    </row>
    <row r="2658" spans="1:38" ht="15.75" x14ac:dyDescent="0.2">
      <c r="A2658" s="146"/>
      <c r="H2658" s="7"/>
      <c r="O2658" s="294"/>
      <c r="AK2658" s="162" t="str">
        <f t="shared" si="1422"/>
        <v>PUNO</v>
      </c>
    </row>
    <row r="2659" spans="1:38" ht="15.75" x14ac:dyDescent="0.2">
      <c r="A2659" s="146"/>
      <c r="H2659" s="7"/>
      <c r="AK2659" s="162" t="str">
        <f t="shared" si="1422"/>
        <v>PUNO</v>
      </c>
    </row>
    <row r="2660" spans="1:38" ht="15.75" x14ac:dyDescent="0.2">
      <c r="A2660" s="146"/>
      <c r="H2660" s="7"/>
      <c r="AK2660" s="162" t="str">
        <f t="shared" si="1422"/>
        <v>PUNO</v>
      </c>
    </row>
    <row r="2661" spans="1:38" ht="15.75" x14ac:dyDescent="0.2">
      <c r="A2661" s="146"/>
      <c r="H2661" s="7"/>
      <c r="AK2661" s="162" t="str">
        <f t="shared" si="1422"/>
        <v>PUNO</v>
      </c>
    </row>
    <row r="2662" spans="1:38" ht="15.75" x14ac:dyDescent="0.2">
      <c r="A2662" s="146"/>
      <c r="H2662" s="7"/>
      <c r="AK2662" s="162" t="str">
        <f t="shared" si="1422"/>
        <v>PUNO</v>
      </c>
    </row>
    <row r="2663" spans="1:38" ht="15.75" x14ac:dyDescent="0.2">
      <c r="A2663" s="146"/>
      <c r="H2663" s="7"/>
      <c r="AK2663" s="162" t="str">
        <f t="shared" si="1422"/>
        <v>PUNO</v>
      </c>
    </row>
    <row r="2664" spans="1:38" ht="15.75" x14ac:dyDescent="0.2">
      <c r="A2664" s="146"/>
      <c r="H2664" s="7"/>
      <c r="AK2664" s="162" t="str">
        <f t="shared" si="1422"/>
        <v>PUNO</v>
      </c>
    </row>
    <row r="2665" spans="1:38" ht="15.75" x14ac:dyDescent="0.2">
      <c r="A2665" s="146"/>
      <c r="H2665" s="7"/>
      <c r="AK2665" s="162" t="str">
        <f t="shared" si="1422"/>
        <v>PUNO</v>
      </c>
    </row>
    <row r="2666" spans="1:38" ht="15.75" x14ac:dyDescent="0.2">
      <c r="A2666" s="146"/>
      <c r="H2666" s="7"/>
      <c r="AK2666" s="162" t="str">
        <f t="shared" si="1422"/>
        <v>PUNO</v>
      </c>
    </row>
    <row r="2667" spans="1:38" ht="15.75" x14ac:dyDescent="0.2">
      <c r="A2667" s="146"/>
      <c r="H2667" s="7"/>
      <c r="AK2667" s="162" t="str">
        <f t="shared" si="1422"/>
        <v>PUNO</v>
      </c>
    </row>
    <row r="2668" spans="1:38" ht="15.75" x14ac:dyDescent="0.2">
      <c r="A2668" s="146"/>
      <c r="AK2668" s="162" t="str">
        <f t="shared" si="1422"/>
        <v>PUNO</v>
      </c>
    </row>
    <row r="2669" spans="1:38" ht="15.75" x14ac:dyDescent="0.2">
      <c r="A2669" s="146"/>
      <c r="AK2669" s="162" t="str">
        <f t="shared" si="1422"/>
        <v>PUNO</v>
      </c>
    </row>
    <row r="2670" spans="1:38" ht="15.75" x14ac:dyDescent="0.2">
      <c r="A2670" s="146"/>
      <c r="AK2670" s="162" t="str">
        <f t="shared" si="1422"/>
        <v>PUNO</v>
      </c>
    </row>
    <row r="2671" spans="1:38" ht="15.75" x14ac:dyDescent="0.2">
      <c r="A2671" s="146"/>
      <c r="AK2671" s="162" t="str">
        <f t="shared" si="1422"/>
        <v>PUNO</v>
      </c>
    </row>
    <row r="2672" spans="1:38" ht="15.75" x14ac:dyDescent="0.2">
      <c r="A2672" s="146"/>
      <c r="B2672" s="146"/>
      <c r="C2672" s="146"/>
      <c r="D2672" s="146"/>
      <c r="E2672" s="146"/>
      <c r="F2672" s="146"/>
      <c r="G2672" s="146"/>
      <c r="H2672" s="146"/>
      <c r="I2672" s="146"/>
      <c r="J2672" s="146"/>
      <c r="K2672" s="146"/>
      <c r="L2672" s="146"/>
      <c r="M2672" s="146"/>
      <c r="N2672" s="146"/>
      <c r="O2672" s="146"/>
      <c r="P2672" s="146"/>
      <c r="Q2672" s="146"/>
      <c r="R2672" s="146"/>
      <c r="S2672" s="146"/>
      <c r="T2672" s="146"/>
      <c r="U2672" s="146"/>
      <c r="V2672" s="146"/>
      <c r="W2672" s="146"/>
      <c r="X2672" s="146"/>
      <c r="Y2672" s="146"/>
      <c r="Z2672" s="146"/>
      <c r="AA2672" s="146"/>
      <c r="AB2672" s="146"/>
      <c r="AC2672" s="146"/>
      <c r="AD2672" s="146"/>
      <c r="AE2672" s="146"/>
      <c r="AF2672" s="146"/>
      <c r="AG2672" s="146"/>
      <c r="AH2672" s="146"/>
      <c r="AI2672" s="146"/>
      <c r="AJ2672" s="146"/>
      <c r="AK2672" s="162" t="str">
        <f t="shared" si="1422"/>
        <v>PUNO</v>
      </c>
      <c r="AL2672" s="146"/>
    </row>
    <row r="2673" spans="1:38" ht="15.75" x14ac:dyDescent="0.2">
      <c r="A2673" s="146"/>
      <c r="B2673" s="146"/>
      <c r="C2673" s="146"/>
      <c r="D2673" s="146"/>
      <c r="E2673" s="146"/>
      <c r="F2673" s="146"/>
      <c r="G2673" s="146"/>
      <c r="H2673" s="146"/>
      <c r="I2673" s="146"/>
      <c r="J2673" s="146"/>
      <c r="K2673" s="146"/>
      <c r="L2673" s="146"/>
      <c r="M2673" s="146"/>
      <c r="N2673" s="146"/>
      <c r="O2673" s="146"/>
      <c r="P2673" s="146"/>
      <c r="Q2673" s="146"/>
      <c r="R2673" s="146"/>
      <c r="S2673" s="146"/>
      <c r="T2673" s="146"/>
      <c r="U2673" s="146"/>
      <c r="V2673" s="146"/>
      <c r="W2673" s="146"/>
      <c r="X2673" s="146"/>
      <c r="Y2673" s="146"/>
      <c r="Z2673" s="146"/>
      <c r="AA2673" s="146"/>
      <c r="AB2673" s="146"/>
      <c r="AC2673" s="146"/>
      <c r="AD2673" s="146"/>
      <c r="AE2673" s="146"/>
      <c r="AF2673" s="146"/>
      <c r="AG2673" s="146"/>
      <c r="AH2673" s="146"/>
      <c r="AI2673" s="146"/>
      <c r="AJ2673" s="146"/>
      <c r="AK2673" s="162" t="str">
        <f t="shared" si="1422"/>
        <v>PUNO</v>
      </c>
      <c r="AL2673" s="146"/>
    </row>
    <row r="2674" spans="1:38" ht="15.75" x14ac:dyDescent="0.2">
      <c r="A2674" s="146"/>
      <c r="B2674" s="146"/>
      <c r="C2674" s="146"/>
      <c r="D2674" s="146"/>
      <c r="E2674" s="146"/>
      <c r="F2674" s="146"/>
      <c r="G2674" s="146"/>
      <c r="H2674" s="146"/>
      <c r="I2674" s="146"/>
      <c r="J2674" s="146"/>
      <c r="K2674" s="146"/>
      <c r="L2674" s="146"/>
      <c r="M2674" s="146"/>
      <c r="N2674" s="146"/>
      <c r="O2674" s="146"/>
      <c r="P2674" s="146"/>
      <c r="Q2674" s="146"/>
      <c r="R2674" s="146"/>
      <c r="S2674" s="146"/>
      <c r="T2674" s="146"/>
      <c r="U2674" s="146"/>
      <c r="V2674" s="146"/>
      <c r="W2674" s="146"/>
      <c r="X2674" s="146"/>
      <c r="Y2674" s="146"/>
      <c r="Z2674" s="146"/>
      <c r="AA2674" s="146"/>
      <c r="AB2674" s="146"/>
      <c r="AC2674" s="146"/>
      <c r="AD2674" s="146"/>
      <c r="AE2674" s="146"/>
      <c r="AF2674" s="146"/>
      <c r="AG2674" s="146"/>
      <c r="AH2674" s="146"/>
      <c r="AI2674" s="146"/>
      <c r="AJ2674" s="146"/>
      <c r="AK2674" s="162" t="str">
        <f t="shared" si="1422"/>
        <v>PUNO</v>
      </c>
      <c r="AL2674" s="146"/>
    </row>
    <row r="2675" spans="1:38" ht="15.75" x14ac:dyDescent="0.2">
      <c r="A2675" s="146"/>
      <c r="B2675" s="146"/>
      <c r="C2675" s="146"/>
      <c r="D2675" s="146"/>
      <c r="E2675" s="146"/>
      <c r="F2675" s="146"/>
      <c r="G2675" s="146"/>
      <c r="H2675" s="146"/>
      <c r="I2675" s="146"/>
      <c r="J2675" s="146"/>
      <c r="K2675" s="146"/>
      <c r="L2675" s="146"/>
      <c r="M2675" s="146"/>
      <c r="N2675" s="146"/>
      <c r="O2675" s="146"/>
      <c r="P2675" s="146"/>
      <c r="Q2675" s="146"/>
      <c r="R2675" s="146"/>
      <c r="S2675" s="146"/>
      <c r="T2675" s="146"/>
      <c r="U2675" s="146"/>
      <c r="V2675" s="146"/>
      <c r="W2675" s="146"/>
      <c r="X2675" s="146"/>
      <c r="Y2675" s="146"/>
      <c r="Z2675" s="146"/>
      <c r="AA2675" s="146"/>
      <c r="AB2675" s="146"/>
      <c r="AC2675" s="146"/>
      <c r="AD2675" s="146"/>
      <c r="AE2675" s="146"/>
      <c r="AF2675" s="146"/>
      <c r="AG2675" s="146"/>
      <c r="AH2675" s="146"/>
      <c r="AI2675" s="146"/>
      <c r="AJ2675" s="146"/>
      <c r="AK2675" s="162" t="str">
        <f t="shared" si="1422"/>
        <v>PUNO</v>
      </c>
      <c r="AL2675" s="146"/>
    </row>
    <row r="2676" spans="1:38" ht="15.75" x14ac:dyDescent="0.2">
      <c r="A2676" s="146"/>
      <c r="B2676" s="146"/>
      <c r="C2676" s="146"/>
      <c r="D2676" s="146"/>
      <c r="E2676" s="146"/>
      <c r="F2676" s="146"/>
      <c r="G2676" s="146"/>
      <c r="H2676" s="146"/>
      <c r="I2676" s="146"/>
      <c r="J2676" s="146"/>
      <c r="K2676" s="146"/>
      <c r="L2676" s="146"/>
      <c r="M2676" s="146"/>
      <c r="N2676" s="146"/>
      <c r="O2676" s="146"/>
      <c r="P2676" s="146"/>
      <c r="Q2676" s="146"/>
      <c r="R2676" s="146"/>
      <c r="S2676" s="146"/>
      <c r="T2676" s="146"/>
      <c r="U2676" s="146"/>
      <c r="V2676" s="146"/>
      <c r="W2676" s="146"/>
      <c r="X2676" s="146"/>
      <c r="Y2676" s="146"/>
      <c r="Z2676" s="146"/>
      <c r="AA2676" s="146"/>
      <c r="AB2676" s="146"/>
      <c r="AC2676" s="146"/>
      <c r="AD2676" s="146"/>
      <c r="AE2676" s="146"/>
      <c r="AF2676" s="146"/>
      <c r="AG2676" s="146"/>
      <c r="AH2676" s="146"/>
      <c r="AI2676" s="146"/>
      <c r="AJ2676" s="146"/>
      <c r="AK2676" s="162" t="str">
        <f t="shared" si="1422"/>
        <v>PUNO</v>
      </c>
      <c r="AL2676" s="146"/>
    </row>
    <row r="2677" spans="1:38" ht="15.75" x14ac:dyDescent="0.2">
      <c r="A2677" s="146"/>
      <c r="B2677" s="146"/>
      <c r="C2677" s="146"/>
      <c r="D2677" s="146"/>
      <c r="E2677" s="146"/>
      <c r="F2677" s="146"/>
      <c r="G2677" s="146"/>
      <c r="H2677" s="146"/>
      <c r="I2677" s="146"/>
      <c r="J2677" s="146"/>
      <c r="K2677" s="146"/>
      <c r="L2677" s="146"/>
      <c r="M2677" s="146"/>
      <c r="N2677" s="146"/>
      <c r="O2677" s="146"/>
      <c r="P2677" s="146"/>
      <c r="Q2677" s="146"/>
      <c r="R2677" s="146"/>
      <c r="S2677" s="146"/>
      <c r="T2677" s="146"/>
      <c r="U2677" s="146"/>
      <c r="V2677" s="146"/>
      <c r="W2677" s="146"/>
      <c r="X2677" s="146"/>
      <c r="Y2677" s="146"/>
      <c r="Z2677" s="146"/>
      <c r="AA2677" s="146"/>
      <c r="AB2677" s="146"/>
      <c r="AC2677" s="146"/>
      <c r="AD2677" s="146"/>
      <c r="AE2677" s="146"/>
      <c r="AF2677" s="146"/>
      <c r="AG2677" s="146"/>
      <c r="AH2677" s="146"/>
      <c r="AI2677" s="146"/>
      <c r="AJ2677" s="146"/>
      <c r="AK2677" s="162" t="str">
        <f t="shared" si="1422"/>
        <v>PUNO</v>
      </c>
      <c r="AL2677" s="146"/>
    </row>
    <row r="2678" spans="1:38" ht="15.75" x14ac:dyDescent="0.2">
      <c r="A2678" s="146"/>
      <c r="B2678" s="146"/>
      <c r="C2678" s="146"/>
      <c r="D2678" s="146"/>
      <c r="E2678" s="146"/>
      <c r="F2678" s="146"/>
      <c r="G2678" s="146"/>
      <c r="H2678" s="146"/>
      <c r="I2678" s="146"/>
      <c r="J2678" s="146"/>
      <c r="K2678" s="146"/>
      <c r="L2678" s="146"/>
      <c r="M2678" s="146"/>
      <c r="N2678" s="146"/>
      <c r="O2678" s="146"/>
      <c r="P2678" s="146"/>
      <c r="Q2678" s="146"/>
      <c r="R2678" s="146"/>
      <c r="S2678" s="146"/>
      <c r="T2678" s="146"/>
      <c r="U2678" s="146"/>
      <c r="V2678" s="146"/>
      <c r="W2678" s="146"/>
      <c r="X2678" s="146"/>
      <c r="Y2678" s="146"/>
      <c r="Z2678" s="146"/>
      <c r="AA2678" s="146"/>
      <c r="AB2678" s="146"/>
      <c r="AC2678" s="146"/>
      <c r="AD2678" s="146"/>
      <c r="AE2678" s="146"/>
      <c r="AF2678" s="146"/>
      <c r="AG2678" s="146"/>
      <c r="AH2678" s="146"/>
      <c r="AI2678" s="146"/>
      <c r="AJ2678" s="146"/>
      <c r="AK2678" s="162" t="str">
        <f t="shared" si="1422"/>
        <v>PUNO</v>
      </c>
      <c r="AL2678" s="146"/>
    </row>
    <row r="2679" spans="1:38" ht="15.75" x14ac:dyDescent="0.2">
      <c r="A2679" s="146"/>
      <c r="B2679" s="146"/>
      <c r="C2679" s="146"/>
      <c r="D2679" s="146"/>
      <c r="E2679" s="146"/>
      <c r="F2679" s="146"/>
      <c r="G2679" s="146"/>
      <c r="H2679" s="146"/>
      <c r="I2679" s="146"/>
      <c r="J2679" s="146"/>
      <c r="K2679" s="146"/>
      <c r="L2679" s="146"/>
      <c r="M2679" s="146"/>
      <c r="N2679" s="146"/>
      <c r="O2679" s="146"/>
      <c r="P2679" s="146"/>
      <c r="Q2679" s="146"/>
      <c r="R2679" s="146"/>
      <c r="S2679" s="146"/>
      <c r="T2679" s="146"/>
      <c r="U2679" s="146"/>
      <c r="V2679" s="146"/>
      <c r="W2679" s="146"/>
      <c r="X2679" s="146"/>
      <c r="Y2679" s="146"/>
      <c r="Z2679" s="146"/>
      <c r="AA2679" s="146"/>
      <c r="AB2679" s="146"/>
      <c r="AC2679" s="146"/>
      <c r="AD2679" s="146"/>
      <c r="AE2679" s="146"/>
      <c r="AF2679" s="146"/>
      <c r="AG2679" s="146"/>
      <c r="AH2679" s="146"/>
      <c r="AI2679" s="146"/>
      <c r="AJ2679" s="146"/>
      <c r="AK2679" s="162" t="str">
        <f t="shared" si="1422"/>
        <v>PUNO</v>
      </c>
      <c r="AL2679" s="146"/>
    </row>
    <row r="2680" spans="1:38" ht="15.75" x14ac:dyDescent="0.2">
      <c r="A2680" s="146"/>
      <c r="B2680" s="146"/>
      <c r="C2680" s="146"/>
      <c r="D2680" s="146"/>
      <c r="E2680" s="146"/>
      <c r="F2680" s="146"/>
      <c r="G2680" s="146"/>
      <c r="H2680" s="146"/>
      <c r="I2680" s="146"/>
      <c r="J2680" s="146"/>
      <c r="K2680" s="146"/>
      <c r="L2680" s="146"/>
      <c r="M2680" s="146"/>
      <c r="N2680" s="146"/>
      <c r="O2680" s="146"/>
      <c r="P2680" s="146"/>
      <c r="Q2680" s="146"/>
      <c r="R2680" s="146"/>
      <c r="S2680" s="146"/>
      <c r="T2680" s="146"/>
      <c r="U2680" s="146"/>
      <c r="V2680" s="146"/>
      <c r="W2680" s="146"/>
      <c r="X2680" s="146"/>
      <c r="Y2680" s="146"/>
      <c r="Z2680" s="146"/>
      <c r="AA2680" s="146"/>
      <c r="AB2680" s="146"/>
      <c r="AC2680" s="146"/>
      <c r="AD2680" s="146"/>
      <c r="AE2680" s="146"/>
      <c r="AF2680" s="146"/>
      <c r="AG2680" s="146"/>
      <c r="AH2680" s="146"/>
      <c r="AI2680" s="146"/>
      <c r="AJ2680" s="146"/>
      <c r="AK2680" s="162" t="str">
        <f t="shared" si="1422"/>
        <v>PUNO</v>
      </c>
      <c r="AL2680" s="146"/>
    </row>
  </sheetData>
  <autoFilter ref="B8:AL2647"/>
  <dataConsolidate/>
  <mergeCells count="12">
    <mergeCell ref="B1:H1"/>
    <mergeCell ref="B3:AI3"/>
    <mergeCell ref="B4:S4"/>
    <mergeCell ref="B5:AI5"/>
    <mergeCell ref="V2654:X2654"/>
    <mergeCell ref="O2656:P2656"/>
    <mergeCell ref="B2644:H2644"/>
    <mergeCell ref="B2645:AB2645"/>
    <mergeCell ref="B2646:AB2646"/>
    <mergeCell ref="B2647:H2647"/>
    <mergeCell ref="B2649:AB2649"/>
    <mergeCell ref="B2650:AB2650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G2577:G2590 E271:E2565 B10:D2594 G144:G145 F135:G136 F228:G234 F268:G269 F252:G253 F257:G257 F259:G259 F264:G264 F209:G210 F190:G190 F192:G192 F180:G188 F202:G202 F198:G198 F195:G196 F177 F160 F146:G154 F166:F170 G160:G162 G177:G178 F206:G206 F220:G226 F247:G247 F212:G218 F249:G249 F237:G244 G166:G171 F164:G165 F275:G277 F347 F315:G319 G347:G349 F416:G416 F414:G414 F405:G412 F419:G420 F424:G424 F428:G428 F437:G437 F441:G442 F350:G358 F366:G370 F360:G364 F383:G383 F399:G403 F386:G387 F391:G391 F393:G393 F396:G397 F372:G379 F381:G381 F446:G447 F449:G453 F91:G91 F31:G52 E23:E267 G19:G22 F10:G18 F106:G107 F100:G100 F102:G102 F94:G98 F84:G88 F54:G58 F66:G70 F60:G64 F127:G133 F481:G481 F483:G483 F486:G487 F491:G491 F493:G493 F495:G495 F471:G479 F497:G501 F517:G519 F503:G511 F623:G628 F144 G613:G618 F613:F617 F567:G571 F554:G558 F543:G547 F560:G564 G532:G542 F532:F536 F521:G525 F1037:G1041 F782:F783 F766 F775 F761 F740:G746 F747:F748 G747:G844 F750 F752 F755:F756 F845:G850 F838:F839 F794 F788:F792 F823 F811 F805 F799:F800 F796 G851:G858 F924:G928 F991:G991 F984:G987 F978:G982 F1026:G1033 F1023:G1024 F1035:G1035 F1021 G1013:G1021 F1013:F1019 F949:G953 F956:G960 F962:G966 F943:G947 F931:G935 F937:G941 F973:G976 F968:G971 F892:G900 F902:G906 F869:G869 F871:G871 F885:G889 F883:G883 F881:G881 F879:G879 F874:G875 F859:G867 F918:G922 G724:G733 F714:G716 G717 F661:G665 F669:G670 F674:G680 F682:G686 F693:G697 F650:G650 F644:G648 F656:G659 F701:G705 F709:G711 F1083:G1087 G712:G713 F1043:G1047 F1402:G1402 G1385:G1396 F1392:F1394 F1385:F1389 F1338:G1342 F1362:G1363 F1360:G1360 F1365:G1365 F1333:G1335 F1297:G1298 F1302:G1302 F1304:G1304 F1306:G1306 F1294:G1294 F1292:G1292 F1282:G1290 F1308:G1312 F1315:G1331 F1358:G1358 F1344:G1351 F1108:G1116 F1235:G1241 F1124:G1129 F1131:F1139 G1131:G1140 F1273:G1274 F1268:G1268 F1260:G1260 F1254:G1254 F1248:G1249 F1245:G1245 F1243:G1243 G1167:G1173 F1167:F1171 F1180:G1181 F1174:G1178 F1207:G1207 F1203:G1203 F1198:G1199 F1215:G1215 F1220:G1221 F1193:G1193 F1183:G1190 F1155:G1155 F1153:G1153 F1151:G1151 F1146:G1147 F1143:G1143 F1141:G1141 G1446:G1448 F1436:G1438 F1483:G1489 F1446:F1447 F1452:G1452 F1441:G1441 F2524:G2525 F2510:G2519 F2484:G2486 F2474:G2480 F2488:G2492 F2437:G2440 G2415:G2426 F2423:F2425 F2307:G2307 F2285:F2288 G2285:G2289 F2291:G2291 G2292 F2294:F2295 G2294:G2297 F2300:G2300 F2387:G2391 F2379:G2380 F2401:G2402 F2319:F2322 F2317:G2318 F2323:G2324 F2410:G2414 F2279:G2280 F2261:G2261 F2233:G2248 F2197:G2198 F1991:G1994 F2010:G2014 F1998:G2000 F2049:G2049 F2164:G2164 F2150:G2159 F2069:G2073 F2057:G2061 F2051:G2055 F2080:G2084 F1986:G1987 F1913:G1913 F1931:G1939 F1690:G1694 F1680:G1687 F1746:G1755 F1739:G1743 F1713:G1721 F1723:G1723 F1725:G1725 F1737:G1737 F1735:G1735 F1733:G1733 F1728:G1729 F1703:F1707 G1703:G1711 F1709:F1711 G1669:G1672 F1669:F1671 F1783:G1783 F1789:G1790 F1794:G1798 F1815:G1815 F1802:G1806 F1817:G1817 F1636:G1638 F1640:F1641 G1640:G1644 G1632:G1635 F1649:F1650 F1644 F1630:G1631 F1627:G1627 F1555:G1556 F1560 G1557:G1561 F1528:G1529 F1517:G1517 F1499:G1508 F1511:G1511 F1542:G1547 F1532:G1533 F1536:G1540 F1552:G1552 F1567:G1567 F1604:G1611 F1585:G1586 G1579:G1580 F1617:G1619 F1579 F1645:G1647 G1649:G1667 F1653:F1657 F1767:G1767 F1926:G1926 F1919:G1919 F1899:G1900 F1907:G1911 F1882:G1882 F1863:G1873 F2038:G2042 F2222:G2226 F2214:G2218 F2175:G2175 F2189:G2189 F2251:G2251 F2593:G2594 F2571 G2570:G2575 G2561:G2567 F2574:F2575 F2531:G2535 F2537:G2541 F2548:G2556 F2561:F2565 E2569:E2594 F2577:F2585">
      <formula1>0</formula1>
      <formula2>9999</formula2>
    </dataValidation>
  </dataValidations>
  <printOptions horizontalCentered="1"/>
  <pageMargins left="0.19685039370078741" right="0.19685039370078741" top="0.59055118110236227" bottom="0.59055118110236227" header="0.35433070866141736" footer="0"/>
  <pageSetup paperSize="9" scale="55" orientation="landscape" r:id="rId1"/>
  <headerFooter alignWithMargins="0">
    <oddFooter>&amp;R&amp;P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AL912"/>
  <sheetViews>
    <sheetView showGridLines="0" zoomScale="75" zoomScaleNormal="75" workbookViewId="0">
      <pane xSplit="8" ySplit="3" topLeftCell="I22" activePane="bottomRight" state="frozen"/>
      <selection pane="topRight" activeCell="I1" sqref="I1"/>
      <selection pane="bottomLeft" activeCell="A8" sqref="A8"/>
      <selection pane="bottomRight" activeCell="H50" sqref="H50"/>
    </sheetView>
  </sheetViews>
  <sheetFormatPr defaultRowHeight="15" x14ac:dyDescent="0.2"/>
  <cols>
    <col min="1" max="1" width="3.140625" style="259" customWidth="1"/>
    <col min="2" max="3" width="5.42578125" style="6" customWidth="1"/>
    <col min="4" max="4" width="7.5703125" style="6" customWidth="1"/>
    <col min="5" max="5" width="8.140625" style="6" customWidth="1"/>
    <col min="6" max="6" width="7.42578125" style="149" customWidth="1"/>
    <col min="7" max="7" width="7.42578125" style="149" hidden="1" customWidth="1"/>
    <col min="8" max="8" width="57.28515625" style="253" customWidth="1"/>
    <col min="9" max="9" width="18.140625" style="150" hidden="1" customWidth="1"/>
    <col min="10" max="10" width="23.28515625" style="237" hidden="1" customWidth="1"/>
    <col min="11" max="11" width="16.7109375" style="150" hidden="1" customWidth="1"/>
    <col min="12" max="12" width="18.85546875" style="150" hidden="1" customWidth="1"/>
    <col min="13" max="13" width="13.5703125" style="150" hidden="1" customWidth="1"/>
    <col min="14" max="14" width="18.85546875" style="150" hidden="1" customWidth="1"/>
    <col min="15" max="15" width="19.140625" style="150" hidden="1" customWidth="1"/>
    <col min="16" max="17" width="19.5703125" style="217" hidden="1" customWidth="1"/>
    <col min="18" max="18" width="19.5703125" style="348" hidden="1" customWidth="1"/>
    <col min="19" max="19" width="19.5703125" style="217" hidden="1" customWidth="1"/>
    <col min="20" max="21" width="19" style="217" hidden="1" customWidth="1"/>
    <col min="22" max="22" width="19.5703125" style="348" hidden="1" customWidth="1"/>
    <col min="23" max="25" width="19.5703125" style="217" customWidth="1"/>
    <col min="26" max="27" width="17.140625" style="455" customWidth="1"/>
    <col min="28" max="28" width="15.140625" style="145" customWidth="1"/>
    <col min="29" max="29" width="11.5703125" style="146" bestFit="1" customWidth="1"/>
    <col min="30" max="16384" width="9.140625" style="146"/>
  </cols>
  <sheetData>
    <row r="1" spans="1:32" ht="22.5" customHeight="1" x14ac:dyDescent="0.2">
      <c r="B1" s="776" t="s">
        <v>791</v>
      </c>
      <c r="C1" s="776"/>
      <c r="D1" s="776"/>
      <c r="E1" s="776"/>
      <c r="F1" s="776"/>
      <c r="G1" s="776"/>
      <c r="H1" s="777"/>
      <c r="I1" s="776"/>
      <c r="J1" s="3"/>
      <c r="K1" s="4"/>
      <c r="L1" s="4"/>
      <c r="M1" s="4"/>
      <c r="N1" s="4"/>
      <c r="O1" s="4"/>
      <c r="P1" s="5"/>
      <c r="Q1" s="5"/>
      <c r="R1" s="337"/>
      <c r="S1" s="5"/>
      <c r="T1" s="5"/>
      <c r="U1" s="5"/>
      <c r="V1" s="337"/>
      <c r="W1" s="5"/>
      <c r="X1" s="5"/>
      <c r="Y1" s="5"/>
      <c r="Z1" s="456"/>
      <c r="AA1" s="456"/>
    </row>
    <row r="2" spans="1:32" x14ac:dyDescent="0.2">
      <c r="J2" s="151"/>
      <c r="K2" s="152"/>
      <c r="L2" s="152"/>
      <c r="M2" s="152"/>
      <c r="N2" s="152"/>
      <c r="O2" s="152"/>
      <c r="P2" s="153"/>
      <c r="Q2" s="153"/>
      <c r="R2" s="338"/>
      <c r="S2" s="153"/>
      <c r="T2" s="153"/>
      <c r="U2" s="153"/>
      <c r="V2" s="338"/>
      <c r="W2" s="153"/>
      <c r="X2" s="153"/>
      <c r="Y2" s="153"/>
      <c r="Z2" s="458"/>
      <c r="AA2" s="458"/>
    </row>
    <row r="3" spans="1:32" ht="78" customHeight="1" x14ac:dyDescent="0.2">
      <c r="B3" s="154" t="s">
        <v>510</v>
      </c>
      <c r="C3" s="155" t="s">
        <v>511</v>
      </c>
      <c r="D3" s="155" t="s">
        <v>512</v>
      </c>
      <c r="E3" s="155" t="s">
        <v>513</v>
      </c>
      <c r="F3" s="155" t="s">
        <v>514</v>
      </c>
      <c r="G3" s="155" t="s">
        <v>515</v>
      </c>
      <c r="H3" s="254" t="s">
        <v>516</v>
      </c>
      <c r="I3" s="8" t="s">
        <v>493</v>
      </c>
      <c r="J3" s="156" t="s">
        <v>492</v>
      </c>
      <c r="K3" s="8" t="s">
        <v>489</v>
      </c>
      <c r="L3" s="8" t="s">
        <v>501</v>
      </c>
      <c r="M3" s="8" t="s">
        <v>482</v>
      </c>
      <c r="N3" s="8" t="s">
        <v>481</v>
      </c>
      <c r="O3" s="9" t="s">
        <v>869</v>
      </c>
      <c r="P3" s="9" t="s">
        <v>637</v>
      </c>
      <c r="Q3" s="9" t="s">
        <v>417</v>
      </c>
      <c r="R3" s="321" t="s">
        <v>979</v>
      </c>
      <c r="S3" s="9" t="s">
        <v>870</v>
      </c>
      <c r="T3" s="56" t="s">
        <v>488</v>
      </c>
      <c r="U3" s="9" t="s">
        <v>508</v>
      </c>
      <c r="V3" s="321" t="s">
        <v>384</v>
      </c>
      <c r="W3" s="9" t="s">
        <v>793</v>
      </c>
      <c r="X3" s="9" t="s">
        <v>792</v>
      </c>
      <c r="Y3" s="9" t="s">
        <v>802</v>
      </c>
      <c r="Z3" s="459"/>
      <c r="AA3" s="459"/>
    </row>
    <row r="4" spans="1:32" x14ac:dyDescent="0.2">
      <c r="B4" s="10">
        <v>1</v>
      </c>
      <c r="C4" s="10">
        <v>2</v>
      </c>
      <c r="D4" s="10">
        <v>3</v>
      </c>
      <c r="E4" s="10">
        <v>4</v>
      </c>
      <c r="F4" s="157">
        <v>5</v>
      </c>
      <c r="G4" s="157"/>
      <c r="H4" s="255">
        <v>6</v>
      </c>
      <c r="I4" s="10"/>
      <c r="J4" s="255">
        <v>7</v>
      </c>
      <c r="K4" s="10">
        <v>7</v>
      </c>
      <c r="L4" s="10">
        <v>8</v>
      </c>
      <c r="M4" s="10"/>
      <c r="N4" s="10">
        <v>9</v>
      </c>
      <c r="O4" s="158">
        <v>8</v>
      </c>
      <c r="P4" s="158">
        <v>9</v>
      </c>
      <c r="Q4" s="158">
        <v>10</v>
      </c>
      <c r="R4" s="339">
        <v>11</v>
      </c>
      <c r="S4" s="158"/>
      <c r="T4" s="158">
        <v>10</v>
      </c>
      <c r="U4" s="158">
        <v>11</v>
      </c>
      <c r="V4" s="339">
        <v>12</v>
      </c>
      <c r="W4" s="158">
        <v>13</v>
      </c>
      <c r="X4" s="158">
        <v>14</v>
      </c>
      <c r="Y4" s="158">
        <v>15</v>
      </c>
      <c r="Z4" s="454"/>
      <c r="AA4" s="454"/>
    </row>
    <row r="5" spans="1:32" s="164" customFormat="1" ht="15.75" x14ac:dyDescent="0.2">
      <c r="A5" s="259"/>
      <c r="B5" s="159"/>
      <c r="C5" s="159"/>
      <c r="D5" s="159"/>
      <c r="E5" s="159"/>
      <c r="F5" s="159"/>
      <c r="G5" s="159"/>
      <c r="H5" s="11" t="s">
        <v>518</v>
      </c>
      <c r="I5" s="160" t="e">
        <f>I6+#REF!</f>
        <v>#REF!</v>
      </c>
      <c r="J5" s="160" t="e">
        <f>J6+#REF!</f>
        <v>#REF!</v>
      </c>
      <c r="K5" s="161" t="e">
        <f>K6+#REF!</f>
        <v>#REF!</v>
      </c>
      <c r="L5" s="161" t="e">
        <f>L6+#REF!</f>
        <v>#REF!</v>
      </c>
      <c r="M5" s="161" t="e">
        <f>ROUND(L5/K5*100,2)</f>
        <v>#REF!</v>
      </c>
      <c r="N5" s="161" t="e">
        <f>O5-K5</f>
        <v>#REF!</v>
      </c>
      <c r="O5" s="160" t="e">
        <f>O6+#REF!</f>
        <v>#REF!</v>
      </c>
      <c r="P5" s="160" t="e">
        <f>P6+#REF!</f>
        <v>#REF!</v>
      </c>
      <c r="Q5" s="160" t="e">
        <f>Q6+#REF!</f>
        <v>#REF!</v>
      </c>
      <c r="R5" s="350" t="e">
        <f>V5-P5</f>
        <v>#REF!</v>
      </c>
      <c r="S5" s="160" t="e">
        <f>S6+#REF!</f>
        <v>#REF!</v>
      </c>
      <c r="T5" s="160" t="e">
        <f>T6+#REF!</f>
        <v>#REF!</v>
      </c>
      <c r="U5" s="160" t="e">
        <f>U6+#REF!</f>
        <v>#REF!</v>
      </c>
      <c r="V5" s="191" t="e">
        <f>V6+#REF!</f>
        <v>#REF!</v>
      </c>
      <c r="W5" s="160">
        <f>W6</f>
        <v>3000000</v>
      </c>
      <c r="X5" s="160">
        <f>X6</f>
        <v>3200000</v>
      </c>
      <c r="Y5" s="160">
        <f>Y6</f>
        <v>3200000</v>
      </c>
      <c r="Z5" s="162" t="b">
        <f t="shared" ref="Z5:Z20" si="0">ISBLANK(E5)</f>
        <v>1</v>
      </c>
      <c r="AA5" s="162" t="str">
        <f t="shared" ref="AA5:AA20" si="1">IF(Z5,"PRAZNO","PUNO")</f>
        <v>PRAZNO</v>
      </c>
      <c r="AB5" s="163"/>
    </row>
    <row r="6" spans="1:32" s="164" customFormat="1" ht="15.75" x14ac:dyDescent="0.2">
      <c r="A6" s="259"/>
      <c r="B6" s="159"/>
      <c r="C6" s="159"/>
      <c r="D6" s="159"/>
      <c r="E6" s="159"/>
      <c r="F6" s="159"/>
      <c r="G6" s="159"/>
      <c r="H6" s="11" t="s">
        <v>519</v>
      </c>
      <c r="I6" s="160" t="e">
        <f>I9+#REF!+#REF!+#REF!</f>
        <v>#REF!</v>
      </c>
      <c r="J6" s="160" t="e">
        <f>J9+#REF!+#REF!+#REF!</f>
        <v>#REF!</v>
      </c>
      <c r="K6" s="161" t="e">
        <f>K9+#REF!+#REF!+#REF!</f>
        <v>#REF!</v>
      </c>
      <c r="L6" s="161" t="e">
        <f>L9+#REF!+#REF!+#REF!</f>
        <v>#REF!</v>
      </c>
      <c r="M6" s="161" t="e">
        <f>ROUND(L6/K6*100,2)</f>
        <v>#REF!</v>
      </c>
      <c r="N6" s="161" t="e">
        <f>O6-K6</f>
        <v>#REF!</v>
      </c>
      <c r="O6" s="160" t="e">
        <f>O9+#REF!+#REF!+#REF!</f>
        <v>#REF!</v>
      </c>
      <c r="P6" s="160" t="e">
        <f>P9+#REF!+#REF!+#REF!</f>
        <v>#REF!</v>
      </c>
      <c r="Q6" s="160" t="e">
        <f>Q9+#REF!+#REF!+#REF!</f>
        <v>#REF!</v>
      </c>
      <c r="R6" s="350" t="e">
        <f>V6-P6</f>
        <v>#REF!</v>
      </c>
      <c r="S6" s="160" t="e">
        <f>S9+#REF!+#REF!+#REF!</f>
        <v>#REF!</v>
      </c>
      <c r="T6" s="160" t="e">
        <f>T9+#REF!+#REF!+#REF!</f>
        <v>#REF!</v>
      </c>
      <c r="U6" s="160" t="e">
        <f>U9+#REF!+#REF!+#REF!</f>
        <v>#REF!</v>
      </c>
      <c r="V6" s="191" t="e">
        <f>V9+#REF!+#REF!+#REF!</f>
        <v>#REF!</v>
      </c>
      <c r="W6" s="160">
        <f>W9</f>
        <v>3000000</v>
      </c>
      <c r="X6" s="160">
        <f>X9</f>
        <v>3200000</v>
      </c>
      <c r="Y6" s="160">
        <f>Y9</f>
        <v>3200000</v>
      </c>
      <c r="Z6" s="162" t="b">
        <f t="shared" si="0"/>
        <v>1</v>
      </c>
      <c r="AA6" s="162" t="str">
        <f t="shared" si="1"/>
        <v>PRAZNO</v>
      </c>
      <c r="AB6" s="165"/>
      <c r="AF6" s="166"/>
    </row>
    <row r="7" spans="1:32" s="164" customFormat="1" ht="15.75" x14ac:dyDescent="0.2">
      <c r="A7" s="259"/>
      <c r="B7" s="167"/>
      <c r="C7" s="167"/>
      <c r="D7" s="167"/>
      <c r="E7" s="167"/>
      <c r="F7" s="167"/>
      <c r="G7" s="167"/>
      <c r="H7" s="11" t="s">
        <v>520</v>
      </c>
      <c r="I7" s="160"/>
      <c r="J7" s="160"/>
      <c r="K7" s="161"/>
      <c r="L7" s="161"/>
      <c r="M7" s="161"/>
      <c r="N7" s="161"/>
      <c r="O7" s="160"/>
      <c r="P7" s="160"/>
      <c r="Q7" s="160"/>
      <c r="R7" s="350"/>
      <c r="S7" s="160"/>
      <c r="T7" s="160"/>
      <c r="U7" s="160"/>
      <c r="V7" s="191"/>
      <c r="W7" s="160"/>
      <c r="X7" s="160"/>
      <c r="Y7" s="160"/>
      <c r="Z7" s="162" t="b">
        <f t="shared" si="0"/>
        <v>1</v>
      </c>
      <c r="AA7" s="162" t="str">
        <f t="shared" si="1"/>
        <v>PRAZNO</v>
      </c>
      <c r="AB7" s="165"/>
    </row>
    <row r="8" spans="1:32" s="164" customFormat="1" ht="15.75" x14ac:dyDescent="0.2">
      <c r="A8" s="259"/>
      <c r="B8" s="167"/>
      <c r="C8" s="167"/>
      <c r="D8" s="167"/>
      <c r="E8" s="167"/>
      <c r="F8" s="167"/>
      <c r="G8" s="167"/>
      <c r="H8" s="11" t="s">
        <v>521</v>
      </c>
      <c r="I8" s="160"/>
      <c r="J8" s="160"/>
      <c r="K8" s="161"/>
      <c r="L8" s="161"/>
      <c r="M8" s="161"/>
      <c r="N8" s="161"/>
      <c r="O8" s="160"/>
      <c r="P8" s="160"/>
      <c r="Q8" s="160"/>
      <c r="R8" s="350"/>
      <c r="S8" s="160"/>
      <c r="T8" s="160"/>
      <c r="U8" s="160"/>
      <c r="V8" s="191"/>
      <c r="W8" s="160"/>
      <c r="X8" s="160"/>
      <c r="Y8" s="160"/>
      <c r="Z8" s="162" t="b">
        <f t="shared" si="0"/>
        <v>1</v>
      </c>
      <c r="AA8" s="162" t="str">
        <f t="shared" si="1"/>
        <v>PRAZNO</v>
      </c>
      <c r="AB8" s="165"/>
    </row>
    <row r="9" spans="1:32" s="171" customFormat="1" ht="31.5" x14ac:dyDescent="0.2">
      <c r="A9" s="259"/>
      <c r="B9" s="270"/>
      <c r="C9" s="270"/>
      <c r="D9" s="270"/>
      <c r="E9" s="270"/>
      <c r="F9" s="270"/>
      <c r="G9" s="270"/>
      <c r="H9" s="271" t="s">
        <v>522</v>
      </c>
      <c r="I9" s="272" t="e">
        <f>#REF!+I10+I19+#REF!+#REF!+#REF!+#REF!+#REF!+#REF!+#REF!+#REF!</f>
        <v>#REF!</v>
      </c>
      <c r="J9" s="272" t="e">
        <f>#REF!+J26+J10+J19+#REF!+#REF!+#REF!+#REF!+#REF!+#REF!</f>
        <v>#REF!</v>
      </c>
      <c r="K9" s="272" t="e">
        <f>#REF!+K26+K10+K19+#REF!+#REF!+#REF!+#REF!+#REF!+#REF!</f>
        <v>#REF!</v>
      </c>
      <c r="L9" s="272" t="e">
        <f>#REF!+L26+L10+L19+#REF!+#REF!+#REF!+#REF!+#REF!+#REF!</f>
        <v>#REF!</v>
      </c>
      <c r="M9" s="272" t="e">
        <f>#REF!+M26+M10+M19+#REF!+#REF!+#REF!+#REF!+#REF!+#REF!</f>
        <v>#REF!</v>
      </c>
      <c r="N9" s="272" t="e">
        <f>#REF!+N26+N10+N19+#REF!+#REF!+#REF!+#REF!+#REF!+#REF!</f>
        <v>#REF!</v>
      </c>
      <c r="O9" s="272" t="e">
        <f>#REF!+O26+O10+O19+#REF!+#REF!+#REF!+#REF!+#REF!+#REF!</f>
        <v>#REF!</v>
      </c>
      <c r="P9" s="272" t="e">
        <f>#REF!+P26+P10+P19+#REF!+#REF!+#REF!+#REF!+#REF!+#REF!+#REF!+#REF!+#REF!</f>
        <v>#REF!</v>
      </c>
      <c r="Q9" s="272" t="e">
        <f>#REF!+Q26+Q10+Q19+#REF!+#REF!+#REF!+#REF!+#REF!+#REF!+#REF!+#REF!+#REF!</f>
        <v>#REF!</v>
      </c>
      <c r="R9" s="275" t="e">
        <f>V9-P9</f>
        <v>#REF!</v>
      </c>
      <c r="S9" s="272" t="e">
        <f>#REF!+S26+S10+S19+#REF!+#REF!+#REF!+#REF!+#REF!+#REF!+#REF!</f>
        <v>#REF!</v>
      </c>
      <c r="T9" s="272" t="e">
        <f>#REF!+T26+T10+T19+#REF!+#REF!+#REF!+#REF!+#REF!+#REF!+#REF!+#REF!</f>
        <v>#REF!</v>
      </c>
      <c r="U9" s="272" t="e">
        <f>#REF!+U26+U10+U19+#REF!+#REF!+#REF!+#REF!+#REF!+#REF!+#REF!+#REF!</f>
        <v>#REF!</v>
      </c>
      <c r="V9" s="272" t="e">
        <f>#REF!+V26+V10+V19+#REF!+#REF!+#REF!+#REF!+#REF!+#REF!+#REF!+#REF!+#REF!</f>
        <v>#REF!</v>
      </c>
      <c r="W9" s="272">
        <f>W19</f>
        <v>3000000</v>
      </c>
      <c r="X9" s="272">
        <f>X19</f>
        <v>3200000</v>
      </c>
      <c r="Y9" s="272">
        <f>Y19</f>
        <v>3200000</v>
      </c>
      <c r="Z9" s="162" t="b">
        <f t="shared" si="0"/>
        <v>1</v>
      </c>
      <c r="AA9" s="162" t="str">
        <f t="shared" si="1"/>
        <v>PRAZNO</v>
      </c>
      <c r="AB9" s="170"/>
      <c r="AC9" s="164"/>
    </row>
    <row r="10" spans="1:32" s="171" customFormat="1" ht="15.75" hidden="1" x14ac:dyDescent="0.2">
      <c r="A10" s="259"/>
      <c r="B10" s="168"/>
      <c r="C10" s="168"/>
      <c r="D10" s="168"/>
      <c r="E10" s="168"/>
      <c r="F10" s="168"/>
      <c r="G10" s="168"/>
      <c r="H10" s="13" t="s">
        <v>574</v>
      </c>
      <c r="I10" s="19">
        <f t="shared" ref="I10:L11" si="2">I11</f>
        <v>0</v>
      </c>
      <c r="J10" s="19">
        <f t="shared" si="2"/>
        <v>0</v>
      </c>
      <c r="K10" s="169">
        <f t="shared" si="2"/>
        <v>0</v>
      </c>
      <c r="L10" s="169">
        <f t="shared" si="2"/>
        <v>0</v>
      </c>
      <c r="M10" s="169"/>
      <c r="N10" s="169">
        <f>O10-K10</f>
        <v>1765497.4300000002</v>
      </c>
      <c r="O10" s="19">
        <f t="shared" ref="O10:Q11" si="3">O11</f>
        <v>1765497.4300000002</v>
      </c>
      <c r="P10" s="19">
        <f t="shared" si="3"/>
        <v>0</v>
      </c>
      <c r="Q10" s="19">
        <f t="shared" si="3"/>
        <v>0</v>
      </c>
      <c r="R10" s="53">
        <f t="shared" ref="R10:R19" si="4">V10-P10</f>
        <v>0</v>
      </c>
      <c r="S10" s="19">
        <f t="shared" ref="S10:Y11" si="5">S11</f>
        <v>0</v>
      </c>
      <c r="T10" s="19">
        <f t="shared" si="5"/>
        <v>0</v>
      </c>
      <c r="U10" s="19">
        <f t="shared" si="5"/>
        <v>0</v>
      </c>
      <c r="V10" s="53">
        <f t="shared" si="5"/>
        <v>0</v>
      </c>
      <c r="W10" s="19">
        <f t="shared" si="5"/>
        <v>0</v>
      </c>
      <c r="X10" s="19">
        <f t="shared" si="5"/>
        <v>0</v>
      </c>
      <c r="Y10" s="19">
        <f t="shared" si="5"/>
        <v>0</v>
      </c>
      <c r="Z10" s="162" t="b">
        <f t="shared" si="0"/>
        <v>1</v>
      </c>
      <c r="AA10" s="162" t="str">
        <f t="shared" si="1"/>
        <v>PRAZNO</v>
      </c>
      <c r="AB10" s="170"/>
      <c r="AC10" s="164"/>
    </row>
    <row r="11" spans="1:32" s="174" customFormat="1" ht="15.75" hidden="1" x14ac:dyDescent="0.2">
      <c r="A11" s="259"/>
      <c r="B11" s="172">
        <v>3</v>
      </c>
      <c r="C11" s="172"/>
      <c r="D11" s="172"/>
      <c r="E11" s="172"/>
      <c r="F11" s="172"/>
      <c r="G11" s="172"/>
      <c r="H11" s="14" t="s">
        <v>524</v>
      </c>
      <c r="I11" s="20">
        <f t="shared" si="2"/>
        <v>0</v>
      </c>
      <c r="J11" s="20">
        <f t="shared" si="2"/>
        <v>0</v>
      </c>
      <c r="K11" s="20">
        <f t="shared" si="2"/>
        <v>0</v>
      </c>
      <c r="L11" s="20">
        <f t="shared" si="2"/>
        <v>0</v>
      </c>
      <c r="M11" s="20"/>
      <c r="N11" s="20">
        <f>O11-K11</f>
        <v>1765497.4300000002</v>
      </c>
      <c r="O11" s="20">
        <f t="shared" si="3"/>
        <v>1765497.4300000002</v>
      </c>
      <c r="P11" s="20">
        <f t="shared" si="3"/>
        <v>0</v>
      </c>
      <c r="Q11" s="20">
        <f t="shared" si="3"/>
        <v>0</v>
      </c>
      <c r="R11" s="54">
        <f t="shared" si="4"/>
        <v>0</v>
      </c>
      <c r="S11" s="20">
        <f t="shared" si="5"/>
        <v>0</v>
      </c>
      <c r="T11" s="20">
        <f t="shared" si="5"/>
        <v>0</v>
      </c>
      <c r="U11" s="20">
        <f t="shared" si="5"/>
        <v>0</v>
      </c>
      <c r="V11" s="55">
        <f t="shared" si="5"/>
        <v>0</v>
      </c>
      <c r="W11" s="20">
        <f t="shared" si="5"/>
        <v>0</v>
      </c>
      <c r="X11" s="20">
        <f t="shared" si="5"/>
        <v>0</v>
      </c>
      <c r="Y11" s="20">
        <f t="shared" si="5"/>
        <v>0</v>
      </c>
      <c r="Z11" s="162" t="b">
        <f t="shared" si="0"/>
        <v>1</v>
      </c>
      <c r="AA11" s="162" t="str">
        <f t="shared" si="1"/>
        <v>PRAZNO</v>
      </c>
      <c r="AB11" s="173"/>
      <c r="AC11" s="164"/>
    </row>
    <row r="12" spans="1:32" ht="15.75" hidden="1" x14ac:dyDescent="0.2">
      <c r="B12" s="175"/>
      <c r="C12" s="175">
        <v>32</v>
      </c>
      <c r="D12" s="175"/>
      <c r="E12" s="175"/>
      <c r="F12" s="175"/>
      <c r="G12" s="175"/>
      <c r="H12" s="23" t="s">
        <v>525</v>
      </c>
      <c r="I12" s="22">
        <f>I15+I17</f>
        <v>0</v>
      </c>
      <c r="J12" s="22">
        <f>J15+J17</f>
        <v>0</v>
      </c>
      <c r="K12" s="22">
        <f>K15+K17</f>
        <v>0</v>
      </c>
      <c r="L12" s="22">
        <f>L15+L17</f>
        <v>0</v>
      </c>
      <c r="M12" s="183"/>
      <c r="N12" s="22">
        <f>O12-K12</f>
        <v>1765497.4300000002</v>
      </c>
      <c r="O12" s="22">
        <f>O13+O15+O17</f>
        <v>1765497.4300000002</v>
      </c>
      <c r="P12" s="22">
        <f>P15+P17</f>
        <v>0</v>
      </c>
      <c r="Q12" s="22">
        <f>Q15+Q17</f>
        <v>0</v>
      </c>
      <c r="R12" s="204">
        <f t="shared" si="4"/>
        <v>0</v>
      </c>
      <c r="S12" s="22">
        <f t="shared" ref="S12:Y12" si="6">S15+S17</f>
        <v>0</v>
      </c>
      <c r="T12" s="22">
        <f t="shared" si="6"/>
        <v>0</v>
      </c>
      <c r="U12" s="22">
        <f t="shared" si="6"/>
        <v>0</v>
      </c>
      <c r="V12" s="38">
        <f t="shared" si="6"/>
        <v>0</v>
      </c>
      <c r="W12" s="22">
        <f t="shared" si="6"/>
        <v>0</v>
      </c>
      <c r="X12" s="22">
        <f t="shared" si="6"/>
        <v>0</v>
      </c>
      <c r="Y12" s="22">
        <f t="shared" si="6"/>
        <v>0</v>
      </c>
      <c r="Z12" s="162" t="b">
        <f t="shared" si="0"/>
        <v>1</v>
      </c>
      <c r="AA12" s="162" t="str">
        <f t="shared" si="1"/>
        <v>PRAZNO</v>
      </c>
      <c r="AC12" s="164"/>
    </row>
    <row r="13" spans="1:32" ht="15.75" hidden="1" x14ac:dyDescent="0.2">
      <c r="B13" s="175"/>
      <c r="C13" s="175"/>
      <c r="D13" s="175">
        <v>322</v>
      </c>
      <c r="E13" s="289"/>
      <c r="F13" s="289"/>
      <c r="G13" s="289"/>
      <c r="H13" s="15" t="s">
        <v>547</v>
      </c>
      <c r="I13" s="22"/>
      <c r="J13" s="22"/>
      <c r="K13" s="22"/>
      <c r="L13" s="22"/>
      <c r="M13" s="183"/>
      <c r="N13" s="22"/>
      <c r="O13" s="22">
        <f>O14</f>
        <v>2510.34</v>
      </c>
      <c r="P13" s="22"/>
      <c r="Q13" s="22"/>
      <c r="R13" s="204">
        <f t="shared" si="4"/>
        <v>0</v>
      </c>
      <c r="S13" s="22"/>
      <c r="T13" s="22"/>
      <c r="U13" s="22"/>
      <c r="V13" s="38"/>
      <c r="W13" s="22"/>
      <c r="X13" s="22"/>
      <c r="Y13" s="22"/>
      <c r="Z13" s="162" t="b">
        <f t="shared" si="0"/>
        <v>1</v>
      </c>
      <c r="AA13" s="162" t="str">
        <f t="shared" si="1"/>
        <v>PRAZNO</v>
      </c>
      <c r="AC13" s="164"/>
    </row>
    <row r="14" spans="1:32" ht="15.75" hidden="1" x14ac:dyDescent="0.2">
      <c r="B14" s="175"/>
      <c r="C14" s="175"/>
      <c r="D14" s="175"/>
      <c r="E14" s="289">
        <v>3221</v>
      </c>
      <c r="F14" s="289">
        <v>52</v>
      </c>
      <c r="G14" s="289"/>
      <c r="H14" s="16" t="s">
        <v>548</v>
      </c>
      <c r="I14" s="22"/>
      <c r="J14" s="22"/>
      <c r="K14" s="22"/>
      <c r="L14" s="22"/>
      <c r="M14" s="183"/>
      <c r="N14" s="22"/>
      <c r="O14" s="22">
        <v>2510.34</v>
      </c>
      <c r="P14" s="22"/>
      <c r="Q14" s="22"/>
      <c r="R14" s="204">
        <f t="shared" si="4"/>
        <v>0</v>
      </c>
      <c r="S14" s="22"/>
      <c r="T14" s="22"/>
      <c r="U14" s="22"/>
      <c r="V14" s="38"/>
      <c r="W14" s="22"/>
      <c r="X14" s="22"/>
      <c r="Y14" s="22"/>
      <c r="Z14" s="162" t="b">
        <f t="shared" si="0"/>
        <v>0</v>
      </c>
      <c r="AA14" s="162" t="str">
        <f t="shared" si="1"/>
        <v>PUNO</v>
      </c>
      <c r="AC14" s="164"/>
    </row>
    <row r="15" spans="1:32" ht="15.75" hidden="1" x14ac:dyDescent="0.2">
      <c r="B15" s="177"/>
      <c r="C15" s="177"/>
      <c r="D15" s="177">
        <v>323</v>
      </c>
      <c r="E15" s="177"/>
      <c r="F15" s="177"/>
      <c r="G15" s="177"/>
      <c r="H15" s="16" t="s">
        <v>526</v>
      </c>
      <c r="I15" s="17">
        <f>I16</f>
        <v>0</v>
      </c>
      <c r="J15" s="17">
        <f>J16</f>
        <v>0</v>
      </c>
      <c r="K15" s="17">
        <f>K16</f>
        <v>0</v>
      </c>
      <c r="L15" s="17">
        <f>L16</f>
        <v>0</v>
      </c>
      <c r="M15" s="181"/>
      <c r="N15" s="17">
        <f>O15-K15</f>
        <v>6396</v>
      </c>
      <c r="O15" s="17">
        <f>O16</f>
        <v>6396</v>
      </c>
      <c r="P15" s="17">
        <f>P16</f>
        <v>0</v>
      </c>
      <c r="Q15" s="17">
        <f>Q16</f>
        <v>0</v>
      </c>
      <c r="R15" s="204">
        <f t="shared" si="4"/>
        <v>0</v>
      </c>
      <c r="S15" s="17">
        <f t="shared" ref="S15:Y15" si="7">S16</f>
        <v>0</v>
      </c>
      <c r="T15" s="17">
        <f t="shared" si="7"/>
        <v>0</v>
      </c>
      <c r="U15" s="17">
        <f t="shared" si="7"/>
        <v>0</v>
      </c>
      <c r="V15" s="26">
        <f t="shared" si="7"/>
        <v>0</v>
      </c>
      <c r="W15" s="17">
        <f t="shared" si="7"/>
        <v>0</v>
      </c>
      <c r="X15" s="17">
        <f t="shared" si="7"/>
        <v>0</v>
      </c>
      <c r="Y15" s="17">
        <f t="shared" si="7"/>
        <v>0</v>
      </c>
      <c r="Z15" s="162" t="b">
        <f t="shared" si="0"/>
        <v>1</v>
      </c>
      <c r="AA15" s="162" t="str">
        <f t="shared" si="1"/>
        <v>PRAZNO</v>
      </c>
      <c r="AC15" s="164"/>
    </row>
    <row r="16" spans="1:32" ht="15.75" hidden="1" x14ac:dyDescent="0.2">
      <c r="B16" s="177"/>
      <c r="C16" s="177"/>
      <c r="D16" s="177"/>
      <c r="E16" s="177">
        <v>3233</v>
      </c>
      <c r="F16" s="176"/>
      <c r="G16" s="176"/>
      <c r="H16" s="23" t="s">
        <v>528</v>
      </c>
      <c r="I16" s="18"/>
      <c r="J16" s="18"/>
      <c r="K16" s="18">
        <v>0</v>
      </c>
      <c r="L16" s="18"/>
      <c r="M16" s="178"/>
      <c r="N16" s="18">
        <f>O16-K16</f>
        <v>6396</v>
      </c>
      <c r="O16" s="18">
        <v>6396</v>
      </c>
      <c r="P16" s="18"/>
      <c r="Q16" s="18"/>
      <c r="R16" s="204">
        <f t="shared" si="4"/>
        <v>0</v>
      </c>
      <c r="S16" s="18"/>
      <c r="T16" s="18"/>
      <c r="U16" s="18"/>
      <c r="V16" s="27"/>
      <c r="W16" s="18"/>
      <c r="X16" s="18"/>
      <c r="Y16" s="18"/>
      <c r="Z16" s="162" t="b">
        <f t="shared" si="0"/>
        <v>0</v>
      </c>
      <c r="AA16" s="162" t="str">
        <f t="shared" si="1"/>
        <v>PUNO</v>
      </c>
      <c r="AC16" s="164"/>
    </row>
    <row r="17" spans="1:29" ht="15.75" hidden="1" x14ac:dyDescent="0.2">
      <c r="B17" s="177"/>
      <c r="C17" s="177"/>
      <c r="D17" s="177">
        <v>329</v>
      </c>
      <c r="E17" s="177"/>
      <c r="F17" s="176"/>
      <c r="G17" s="176"/>
      <c r="H17" s="16" t="s">
        <v>531</v>
      </c>
      <c r="I17" s="18">
        <f>I18</f>
        <v>0</v>
      </c>
      <c r="J17" s="18">
        <f>J18</f>
        <v>0</v>
      </c>
      <c r="K17" s="18">
        <f>K18</f>
        <v>0</v>
      </c>
      <c r="L17" s="18">
        <f>L18</f>
        <v>0</v>
      </c>
      <c r="M17" s="18"/>
      <c r="N17" s="18">
        <f>O17-K17</f>
        <v>1756591.09</v>
      </c>
      <c r="O17" s="18">
        <f>O18</f>
        <v>1756591.09</v>
      </c>
      <c r="P17" s="18">
        <f>P18</f>
        <v>0</v>
      </c>
      <c r="Q17" s="18">
        <f>Q18</f>
        <v>0</v>
      </c>
      <c r="R17" s="204">
        <f t="shared" si="4"/>
        <v>0</v>
      </c>
      <c r="S17" s="18">
        <f t="shared" ref="S17:Y17" si="8">S18</f>
        <v>0</v>
      </c>
      <c r="T17" s="18">
        <f t="shared" si="8"/>
        <v>0</v>
      </c>
      <c r="U17" s="18">
        <f t="shared" si="8"/>
        <v>0</v>
      </c>
      <c r="V17" s="27">
        <f t="shared" si="8"/>
        <v>0</v>
      </c>
      <c r="W17" s="18">
        <f t="shared" si="8"/>
        <v>0</v>
      </c>
      <c r="X17" s="18">
        <f t="shared" si="8"/>
        <v>0</v>
      </c>
      <c r="Y17" s="18">
        <f t="shared" si="8"/>
        <v>0</v>
      </c>
      <c r="Z17" s="162" t="b">
        <f t="shared" si="0"/>
        <v>1</v>
      </c>
      <c r="AA17" s="162" t="str">
        <f t="shared" si="1"/>
        <v>PRAZNO</v>
      </c>
      <c r="AC17" s="164"/>
    </row>
    <row r="18" spans="1:29" ht="45" hidden="1" x14ac:dyDescent="0.2">
      <c r="B18" s="177"/>
      <c r="C18" s="177"/>
      <c r="D18" s="177"/>
      <c r="E18" s="177">
        <v>3291</v>
      </c>
      <c r="F18" s="180">
        <v>52</v>
      </c>
      <c r="G18" s="176"/>
      <c r="H18" s="16" t="s">
        <v>927</v>
      </c>
      <c r="I18" s="18"/>
      <c r="J18" s="27"/>
      <c r="K18" s="18">
        <v>0</v>
      </c>
      <c r="L18" s="18"/>
      <c r="M18" s="18"/>
      <c r="N18" s="18">
        <f>O18-K18</f>
        <v>1756591.09</v>
      </c>
      <c r="O18" s="18">
        <v>1756591.09</v>
      </c>
      <c r="P18" s="18"/>
      <c r="Q18" s="18"/>
      <c r="R18" s="204">
        <f t="shared" si="4"/>
        <v>0</v>
      </c>
      <c r="S18" s="18"/>
      <c r="T18" s="18"/>
      <c r="U18" s="18"/>
      <c r="V18" s="27"/>
      <c r="W18" s="18"/>
      <c r="X18" s="18"/>
      <c r="Y18" s="18"/>
      <c r="Z18" s="162" t="b">
        <f t="shared" si="0"/>
        <v>0</v>
      </c>
      <c r="AA18" s="162" t="str">
        <f t="shared" si="1"/>
        <v>PUNO</v>
      </c>
      <c r="AC18" s="164"/>
    </row>
    <row r="19" spans="1:29" s="171" customFormat="1" ht="31.5" x14ac:dyDescent="0.2">
      <c r="A19" s="259"/>
      <c r="B19" s="168"/>
      <c r="C19" s="168"/>
      <c r="D19" s="168"/>
      <c r="E19" s="168"/>
      <c r="F19" s="168"/>
      <c r="G19" s="168"/>
      <c r="H19" s="13" t="s">
        <v>535</v>
      </c>
      <c r="I19" s="19">
        <f>I21</f>
        <v>3047261.12</v>
      </c>
      <c r="J19" s="53">
        <f>J21</f>
        <v>2811236.82</v>
      </c>
      <c r="K19" s="169">
        <f>K21</f>
        <v>2410000</v>
      </c>
      <c r="L19" s="169">
        <f>L21</f>
        <v>1630000</v>
      </c>
      <c r="M19" s="169">
        <f>ROUND(L19/K19*100,2)</f>
        <v>67.63</v>
      </c>
      <c r="N19" s="169">
        <f>O19-K19</f>
        <v>0</v>
      </c>
      <c r="O19" s="19">
        <f>O21</f>
        <v>2410000</v>
      </c>
      <c r="P19" s="19">
        <f>P21</f>
        <v>4120000</v>
      </c>
      <c r="Q19" s="19">
        <f>Q21</f>
        <v>2053588.13</v>
      </c>
      <c r="R19" s="53">
        <f t="shared" si="4"/>
        <v>0</v>
      </c>
      <c r="S19" s="19">
        <f t="shared" ref="S19:Y19" si="9">S21</f>
        <v>4120000</v>
      </c>
      <c r="T19" s="19">
        <f t="shared" si="9"/>
        <v>2320000</v>
      </c>
      <c r="U19" s="19">
        <f t="shared" si="9"/>
        <v>2333000</v>
      </c>
      <c r="V19" s="53">
        <f t="shared" si="9"/>
        <v>4120000</v>
      </c>
      <c r="W19" s="19">
        <f t="shared" si="9"/>
        <v>3000000</v>
      </c>
      <c r="X19" s="19">
        <f t="shared" si="9"/>
        <v>3200000</v>
      </c>
      <c r="Y19" s="19">
        <f t="shared" si="9"/>
        <v>3200000</v>
      </c>
      <c r="Z19" s="162" t="b">
        <f t="shared" si="0"/>
        <v>1</v>
      </c>
      <c r="AA19" s="162" t="str">
        <f t="shared" si="1"/>
        <v>PRAZNO</v>
      </c>
      <c r="AB19" s="170"/>
      <c r="AC19" s="164"/>
    </row>
    <row r="20" spans="1:29" s="264" customFormat="1" ht="15.75" x14ac:dyDescent="0.2">
      <c r="A20" s="259"/>
      <c r="B20" s="260"/>
      <c r="C20" s="260"/>
      <c r="D20" s="260"/>
      <c r="E20" s="260"/>
      <c r="F20" s="260"/>
      <c r="G20" s="260"/>
      <c r="H20" s="440" t="s">
        <v>824</v>
      </c>
      <c r="I20" s="262"/>
      <c r="J20" s="342"/>
      <c r="K20" s="181"/>
      <c r="L20" s="181"/>
      <c r="M20" s="181"/>
      <c r="N20" s="181"/>
      <c r="O20" s="262"/>
      <c r="P20" s="262"/>
      <c r="Q20" s="262"/>
      <c r="R20" s="342"/>
      <c r="S20" s="262"/>
      <c r="T20" s="262"/>
      <c r="U20" s="262"/>
      <c r="V20" s="342"/>
      <c r="W20" s="262">
        <f t="shared" ref="W20:Y22" si="10">W21</f>
        <v>3000000</v>
      </c>
      <c r="X20" s="262">
        <f t="shared" si="10"/>
        <v>3200000</v>
      </c>
      <c r="Y20" s="262">
        <f t="shared" si="10"/>
        <v>3200000</v>
      </c>
      <c r="Z20" s="162" t="b">
        <f t="shared" si="0"/>
        <v>1</v>
      </c>
      <c r="AA20" s="162" t="str">
        <f t="shared" si="1"/>
        <v>PRAZNO</v>
      </c>
      <c r="AB20" s="263"/>
    </row>
    <row r="21" spans="1:29" s="174" customFormat="1" ht="15.75" x14ac:dyDescent="0.2">
      <c r="A21" s="259"/>
      <c r="B21" s="172">
        <v>3</v>
      </c>
      <c r="C21" s="172"/>
      <c r="D21" s="172"/>
      <c r="E21" s="172"/>
      <c r="F21" s="172"/>
      <c r="G21" s="172"/>
      <c r="H21" s="14" t="s">
        <v>524</v>
      </c>
      <c r="I21" s="20">
        <f t="shared" ref="I21:L22" si="11">I22</f>
        <v>3047261.12</v>
      </c>
      <c r="J21" s="55">
        <f t="shared" si="11"/>
        <v>2811236.82</v>
      </c>
      <c r="K21" s="20">
        <f t="shared" si="11"/>
        <v>2410000</v>
      </c>
      <c r="L21" s="20">
        <f t="shared" si="11"/>
        <v>1630000</v>
      </c>
      <c r="M21" s="20">
        <f>ROUND(L21/K21*100,2)</f>
        <v>67.63</v>
      </c>
      <c r="N21" s="20">
        <f>O21-K21</f>
        <v>0</v>
      </c>
      <c r="O21" s="20">
        <f t="shared" ref="O21:Q22" si="12">O22</f>
        <v>2410000</v>
      </c>
      <c r="P21" s="20">
        <f t="shared" si="12"/>
        <v>4120000</v>
      </c>
      <c r="Q21" s="20">
        <f t="shared" si="12"/>
        <v>2053588.13</v>
      </c>
      <c r="R21" s="54">
        <f t="shared" ref="R21:R26" si="13">V21-P21</f>
        <v>0</v>
      </c>
      <c r="S21" s="20">
        <f t="shared" ref="S21:V22" si="14">S22</f>
        <v>4120000</v>
      </c>
      <c r="T21" s="20">
        <f t="shared" si="14"/>
        <v>2320000</v>
      </c>
      <c r="U21" s="20">
        <f t="shared" si="14"/>
        <v>2333000</v>
      </c>
      <c r="V21" s="55">
        <f t="shared" si="14"/>
        <v>4120000</v>
      </c>
      <c r="W21" s="20">
        <f t="shared" si="10"/>
        <v>3000000</v>
      </c>
      <c r="X21" s="20">
        <f t="shared" si="10"/>
        <v>3200000</v>
      </c>
      <c r="Y21" s="20">
        <f t="shared" si="10"/>
        <v>3200000</v>
      </c>
      <c r="Z21" s="162" t="b">
        <f t="shared" ref="Z21:Z31" si="15">ISBLANK(E21)</f>
        <v>1</v>
      </c>
      <c r="AA21" s="162" t="str">
        <f t="shared" ref="AA21:AA31" si="16">IF(Z21,"PRAZNO","PUNO")</f>
        <v>PRAZNO</v>
      </c>
      <c r="AB21" s="173"/>
      <c r="AC21" s="164"/>
    </row>
    <row r="22" spans="1:29" ht="29.25" customHeight="1" x14ac:dyDescent="0.2">
      <c r="B22" s="175"/>
      <c r="C22" s="175">
        <v>36</v>
      </c>
      <c r="D22" s="175"/>
      <c r="E22" s="175"/>
      <c r="F22" s="175"/>
      <c r="G22" s="175"/>
      <c r="H22" s="16" t="s">
        <v>751</v>
      </c>
      <c r="I22" s="22">
        <f t="shared" si="11"/>
        <v>3047261.12</v>
      </c>
      <c r="J22" s="38">
        <f t="shared" si="11"/>
        <v>2811236.82</v>
      </c>
      <c r="K22" s="22">
        <f t="shared" si="11"/>
        <v>2410000</v>
      </c>
      <c r="L22" s="183">
        <f t="shared" si="11"/>
        <v>1630000</v>
      </c>
      <c r="M22" s="183">
        <f>ROUND(L22/K22*100,2)</f>
        <v>67.63</v>
      </c>
      <c r="N22" s="183">
        <f>O22-K22</f>
        <v>0</v>
      </c>
      <c r="O22" s="183">
        <f t="shared" si="12"/>
        <v>2410000</v>
      </c>
      <c r="P22" s="183">
        <f t="shared" si="12"/>
        <v>4120000</v>
      </c>
      <c r="Q22" s="183">
        <f t="shared" si="12"/>
        <v>2053588.13</v>
      </c>
      <c r="R22" s="204">
        <f t="shared" si="13"/>
        <v>0</v>
      </c>
      <c r="S22" s="183">
        <f t="shared" si="14"/>
        <v>4120000</v>
      </c>
      <c r="T22" s="183">
        <f t="shared" si="14"/>
        <v>2320000</v>
      </c>
      <c r="U22" s="183">
        <f t="shared" si="14"/>
        <v>2333000</v>
      </c>
      <c r="V22" s="340">
        <f t="shared" si="14"/>
        <v>4120000</v>
      </c>
      <c r="W22" s="183">
        <f t="shared" si="10"/>
        <v>3000000</v>
      </c>
      <c r="X22" s="183">
        <f t="shared" si="10"/>
        <v>3200000</v>
      </c>
      <c r="Y22" s="183">
        <f t="shared" si="10"/>
        <v>3200000</v>
      </c>
      <c r="Z22" s="162" t="b">
        <f t="shared" si="15"/>
        <v>1</v>
      </c>
      <c r="AA22" s="162" t="str">
        <f t="shared" si="16"/>
        <v>PRAZNO</v>
      </c>
      <c r="AC22" s="164"/>
    </row>
    <row r="23" spans="1:29" ht="15.75" x14ac:dyDescent="0.2">
      <c r="B23" s="177"/>
      <c r="C23" s="177"/>
      <c r="D23" s="177">
        <v>363</v>
      </c>
      <c r="E23" s="177"/>
      <c r="F23" s="177"/>
      <c r="G23" s="177"/>
      <c r="H23" s="16" t="s">
        <v>536</v>
      </c>
      <c r="I23" s="17">
        <f>SUM(I25:I25)</f>
        <v>3047261.12</v>
      </c>
      <c r="J23" s="26">
        <f>SUM(J25:J25)</f>
        <v>2811236.82</v>
      </c>
      <c r="K23" s="17">
        <f>SUM(K25:K25)</f>
        <v>2410000</v>
      </c>
      <c r="L23" s="181">
        <f>SUM(L25:L25)</f>
        <v>1630000</v>
      </c>
      <c r="M23" s="181">
        <f>ROUND(L23/K23*100,2)</f>
        <v>67.63</v>
      </c>
      <c r="N23" s="181">
        <f>O23-K23</f>
        <v>0</v>
      </c>
      <c r="O23" s="181">
        <f>O24+O25</f>
        <v>2410000</v>
      </c>
      <c r="P23" s="181">
        <f>P24+P25</f>
        <v>4120000</v>
      </c>
      <c r="Q23" s="181">
        <f>Q24+Q25</f>
        <v>2053588.13</v>
      </c>
      <c r="R23" s="204">
        <f t="shared" si="13"/>
        <v>0</v>
      </c>
      <c r="S23" s="181">
        <f>S24+S25</f>
        <v>4120000</v>
      </c>
      <c r="T23" s="181">
        <f>SUM(T25:T25)</f>
        <v>2320000</v>
      </c>
      <c r="U23" s="181">
        <f>SUM(U25:U25)</f>
        <v>2333000</v>
      </c>
      <c r="V23" s="307">
        <f>V24+V25</f>
        <v>4120000</v>
      </c>
      <c r="W23" s="181">
        <f>W24+W25</f>
        <v>3000000</v>
      </c>
      <c r="X23" s="181">
        <f>X24+X25</f>
        <v>3200000</v>
      </c>
      <c r="Y23" s="181">
        <f>Y24+Y25</f>
        <v>3200000</v>
      </c>
      <c r="Z23" s="162" t="b">
        <f t="shared" si="15"/>
        <v>1</v>
      </c>
      <c r="AA23" s="162" t="str">
        <f t="shared" si="16"/>
        <v>PRAZNO</v>
      </c>
      <c r="AC23" s="164"/>
    </row>
    <row r="24" spans="1:29" ht="15.75" x14ac:dyDescent="0.2">
      <c r="B24" s="177"/>
      <c r="C24" s="177"/>
      <c r="D24" s="177"/>
      <c r="E24" s="177">
        <v>3632</v>
      </c>
      <c r="F24" s="177">
        <v>14</v>
      </c>
      <c r="G24" s="177"/>
      <c r="H24" s="16" t="s">
        <v>538</v>
      </c>
      <c r="I24" s="17"/>
      <c r="J24" s="26"/>
      <c r="K24" s="17"/>
      <c r="L24" s="181"/>
      <c r="M24" s="181"/>
      <c r="N24" s="181"/>
      <c r="O24" s="181">
        <v>0</v>
      </c>
      <c r="P24" s="181">
        <v>1800000</v>
      </c>
      <c r="Q24" s="181">
        <v>525000</v>
      </c>
      <c r="R24" s="204">
        <f t="shared" si="13"/>
        <v>0</v>
      </c>
      <c r="S24" s="181">
        <v>1800000</v>
      </c>
      <c r="T24" s="181"/>
      <c r="U24" s="181"/>
      <c r="V24" s="307">
        <v>1800000</v>
      </c>
      <c r="W24" s="181">
        <v>3000000</v>
      </c>
      <c r="X24" s="181">
        <v>3200000</v>
      </c>
      <c r="Y24" s="181">
        <v>3200000</v>
      </c>
      <c r="Z24" s="162" t="b">
        <f t="shared" si="15"/>
        <v>0</v>
      </c>
      <c r="AA24" s="162" t="str">
        <f t="shared" si="16"/>
        <v>PUNO</v>
      </c>
      <c r="AC24" s="164"/>
    </row>
    <row r="25" spans="1:29" ht="15.75" hidden="1" x14ac:dyDescent="0.2">
      <c r="B25" s="177"/>
      <c r="C25" s="177"/>
      <c r="D25" s="177"/>
      <c r="E25" s="177">
        <v>3632</v>
      </c>
      <c r="F25" s="176">
        <v>52</v>
      </c>
      <c r="G25" s="176" t="s">
        <v>527</v>
      </c>
      <c r="H25" s="16" t="s">
        <v>538</v>
      </c>
      <c r="I25" s="18">
        <v>3047261.12</v>
      </c>
      <c r="J25" s="27">
        <v>2811236.82</v>
      </c>
      <c r="K25" s="18">
        <v>2410000</v>
      </c>
      <c r="L25" s="178">
        <v>1630000</v>
      </c>
      <c r="M25" s="178">
        <f>ROUND(L25/K25*100,2)</f>
        <v>67.63</v>
      </c>
      <c r="N25" s="178">
        <f>O25-K25</f>
        <v>0</v>
      </c>
      <c r="O25" s="178">
        <v>2410000</v>
      </c>
      <c r="P25" s="178">
        <v>2320000</v>
      </c>
      <c r="Q25" s="178">
        <v>1528588.13</v>
      </c>
      <c r="R25" s="204">
        <f t="shared" si="13"/>
        <v>0</v>
      </c>
      <c r="S25" s="178">
        <v>2320000</v>
      </c>
      <c r="T25" s="178">
        <v>2320000</v>
      </c>
      <c r="U25" s="178">
        <v>2333000</v>
      </c>
      <c r="V25" s="266">
        <v>2320000</v>
      </c>
      <c r="W25" s="178">
        <v>0</v>
      </c>
      <c r="X25" s="178">
        <v>0</v>
      </c>
      <c r="Y25" s="178">
        <v>0</v>
      </c>
      <c r="Z25" s="162" t="b">
        <f t="shared" si="15"/>
        <v>0</v>
      </c>
      <c r="AA25" s="162" t="str">
        <f t="shared" si="16"/>
        <v>PUNO</v>
      </c>
      <c r="AC25" s="164"/>
    </row>
    <row r="26" spans="1:29" s="171" customFormat="1" ht="31.5" hidden="1" x14ac:dyDescent="0.2">
      <c r="A26" s="259"/>
      <c r="B26" s="168"/>
      <c r="C26" s="168"/>
      <c r="D26" s="168"/>
      <c r="E26" s="168"/>
      <c r="F26" s="168"/>
      <c r="G26" s="168"/>
      <c r="H26" s="13" t="s">
        <v>917</v>
      </c>
      <c r="I26" s="19"/>
      <c r="J26" s="19">
        <f>J28</f>
        <v>0</v>
      </c>
      <c r="K26" s="169"/>
      <c r="L26" s="169"/>
      <c r="M26" s="169"/>
      <c r="N26" s="169"/>
      <c r="O26" s="19">
        <f>O28</f>
        <v>0</v>
      </c>
      <c r="P26" s="19">
        <f>P28</f>
        <v>100000</v>
      </c>
      <c r="Q26" s="19">
        <f>Q28</f>
        <v>100000</v>
      </c>
      <c r="R26" s="53">
        <f t="shared" si="13"/>
        <v>0</v>
      </c>
      <c r="S26" s="19">
        <f t="shared" ref="S26:Y26" si="17">S28</f>
        <v>100000</v>
      </c>
      <c r="T26" s="19">
        <f t="shared" si="17"/>
        <v>0</v>
      </c>
      <c r="U26" s="19">
        <f t="shared" si="17"/>
        <v>0</v>
      </c>
      <c r="V26" s="53">
        <f t="shared" si="17"/>
        <v>100000</v>
      </c>
      <c r="W26" s="19">
        <f t="shared" si="17"/>
        <v>0</v>
      </c>
      <c r="X26" s="19">
        <f t="shared" si="17"/>
        <v>0</v>
      </c>
      <c r="Y26" s="19">
        <f t="shared" si="17"/>
        <v>0</v>
      </c>
      <c r="Z26" s="162" t="b">
        <f t="shared" si="15"/>
        <v>1</v>
      </c>
      <c r="AA26" s="162" t="str">
        <f t="shared" si="16"/>
        <v>PRAZNO</v>
      </c>
      <c r="AB26" s="170"/>
      <c r="AC26" s="164"/>
    </row>
    <row r="27" spans="1:29" s="264" customFormat="1" ht="15.75" hidden="1" x14ac:dyDescent="0.2">
      <c r="A27" s="259"/>
      <c r="B27" s="260"/>
      <c r="C27" s="260"/>
      <c r="D27" s="260"/>
      <c r="E27" s="260"/>
      <c r="F27" s="260"/>
      <c r="G27" s="260"/>
      <c r="H27" s="440" t="s">
        <v>824</v>
      </c>
      <c r="I27" s="262"/>
      <c r="J27" s="262"/>
      <c r="K27" s="181"/>
      <c r="L27" s="181"/>
      <c r="M27" s="181"/>
      <c r="N27" s="181"/>
      <c r="O27" s="262"/>
      <c r="P27" s="262"/>
      <c r="Q27" s="262"/>
      <c r="R27" s="342"/>
      <c r="S27" s="262"/>
      <c r="T27" s="262"/>
      <c r="U27" s="262"/>
      <c r="V27" s="342"/>
      <c r="W27" s="262">
        <f t="shared" ref="W27:Y30" si="18">W28</f>
        <v>0</v>
      </c>
      <c r="X27" s="262">
        <f t="shared" si="18"/>
        <v>0</v>
      </c>
      <c r="Y27" s="262">
        <f t="shared" si="18"/>
        <v>0</v>
      </c>
      <c r="Z27" s="162" t="b">
        <f t="shared" si="15"/>
        <v>1</v>
      </c>
      <c r="AA27" s="162" t="str">
        <f t="shared" si="16"/>
        <v>PRAZNO</v>
      </c>
      <c r="AB27" s="263"/>
    </row>
    <row r="28" spans="1:29" s="174" customFormat="1" ht="15.75" hidden="1" x14ac:dyDescent="0.2">
      <c r="A28" s="259"/>
      <c r="B28" s="172">
        <v>3</v>
      </c>
      <c r="C28" s="172"/>
      <c r="D28" s="172"/>
      <c r="E28" s="172"/>
      <c r="F28" s="172"/>
      <c r="G28" s="172"/>
      <c r="H28" s="14" t="s">
        <v>524</v>
      </c>
      <c r="I28" s="20"/>
      <c r="J28" s="20">
        <f>J29</f>
        <v>0</v>
      </c>
      <c r="K28" s="20"/>
      <c r="L28" s="20"/>
      <c r="M28" s="20"/>
      <c r="N28" s="20"/>
      <c r="O28" s="20">
        <f t="shared" ref="O28:Q30" si="19">O29</f>
        <v>0</v>
      </c>
      <c r="P28" s="20">
        <f t="shared" si="19"/>
        <v>100000</v>
      </c>
      <c r="Q28" s="20">
        <f t="shared" si="19"/>
        <v>100000</v>
      </c>
      <c r="R28" s="54">
        <f t="shared" ref="R28:R33" si="20">V28-P28</f>
        <v>0</v>
      </c>
      <c r="S28" s="20">
        <f t="shared" ref="S28:V30" si="21">S29</f>
        <v>100000</v>
      </c>
      <c r="T28" s="20">
        <f t="shared" si="21"/>
        <v>0</v>
      </c>
      <c r="U28" s="20">
        <f t="shared" si="21"/>
        <v>0</v>
      </c>
      <c r="V28" s="55">
        <f t="shared" si="21"/>
        <v>100000</v>
      </c>
      <c r="W28" s="20">
        <f t="shared" si="18"/>
        <v>0</v>
      </c>
      <c r="X28" s="20">
        <f t="shared" si="18"/>
        <v>0</v>
      </c>
      <c r="Y28" s="20">
        <f t="shared" si="18"/>
        <v>0</v>
      </c>
      <c r="Z28" s="162" t="b">
        <f t="shared" si="15"/>
        <v>1</v>
      </c>
      <c r="AA28" s="162" t="str">
        <f t="shared" si="16"/>
        <v>PRAZNO</v>
      </c>
      <c r="AB28" s="173"/>
      <c r="AC28" s="164"/>
    </row>
    <row r="29" spans="1:29" ht="15.75" hidden="1" x14ac:dyDescent="0.2">
      <c r="B29" s="175"/>
      <c r="C29" s="175">
        <v>38</v>
      </c>
      <c r="D29" s="175"/>
      <c r="E29" s="175"/>
      <c r="F29" s="175"/>
      <c r="G29" s="175"/>
      <c r="H29" s="23" t="s">
        <v>539</v>
      </c>
      <c r="I29" s="22"/>
      <c r="J29" s="183">
        <f>J30</f>
        <v>0</v>
      </c>
      <c r="K29" s="22"/>
      <c r="L29" s="183"/>
      <c r="M29" s="183"/>
      <c r="N29" s="183"/>
      <c r="O29" s="183">
        <f t="shared" si="19"/>
        <v>0</v>
      </c>
      <c r="P29" s="183">
        <f t="shared" si="19"/>
        <v>100000</v>
      </c>
      <c r="Q29" s="183">
        <f t="shared" si="19"/>
        <v>100000</v>
      </c>
      <c r="R29" s="204">
        <f t="shared" si="20"/>
        <v>0</v>
      </c>
      <c r="S29" s="183">
        <f t="shared" si="21"/>
        <v>100000</v>
      </c>
      <c r="T29" s="183">
        <f t="shared" si="21"/>
        <v>0</v>
      </c>
      <c r="U29" s="183">
        <f t="shared" si="21"/>
        <v>0</v>
      </c>
      <c r="V29" s="340">
        <f t="shared" si="21"/>
        <v>100000</v>
      </c>
      <c r="W29" s="183">
        <f t="shared" si="18"/>
        <v>0</v>
      </c>
      <c r="X29" s="183">
        <f t="shared" si="18"/>
        <v>0</v>
      </c>
      <c r="Y29" s="183">
        <f t="shared" si="18"/>
        <v>0</v>
      </c>
      <c r="Z29" s="162" t="b">
        <f t="shared" si="15"/>
        <v>1</v>
      </c>
      <c r="AA29" s="162" t="str">
        <f t="shared" si="16"/>
        <v>PRAZNO</v>
      </c>
      <c r="AC29" s="164"/>
    </row>
    <row r="30" spans="1:29" ht="15.75" hidden="1" x14ac:dyDescent="0.2">
      <c r="B30" s="177"/>
      <c r="C30" s="177"/>
      <c r="D30" s="177">
        <v>382</v>
      </c>
      <c r="E30" s="177"/>
      <c r="F30" s="177"/>
      <c r="G30" s="177"/>
      <c r="H30" s="16" t="s">
        <v>230</v>
      </c>
      <c r="I30" s="17"/>
      <c r="J30" s="181">
        <f>J31</f>
        <v>0</v>
      </c>
      <c r="K30" s="17"/>
      <c r="L30" s="181"/>
      <c r="M30" s="181"/>
      <c r="N30" s="181"/>
      <c r="O30" s="181">
        <f t="shared" si="19"/>
        <v>0</v>
      </c>
      <c r="P30" s="181">
        <f t="shared" si="19"/>
        <v>100000</v>
      </c>
      <c r="Q30" s="181">
        <f t="shared" si="19"/>
        <v>100000</v>
      </c>
      <c r="R30" s="204">
        <f t="shared" si="20"/>
        <v>0</v>
      </c>
      <c r="S30" s="181">
        <f t="shared" si="21"/>
        <v>100000</v>
      </c>
      <c r="T30" s="181">
        <f t="shared" si="21"/>
        <v>0</v>
      </c>
      <c r="U30" s="181">
        <f t="shared" si="21"/>
        <v>0</v>
      </c>
      <c r="V30" s="307">
        <f t="shared" si="21"/>
        <v>100000</v>
      </c>
      <c r="W30" s="181">
        <f t="shared" si="18"/>
        <v>0</v>
      </c>
      <c r="X30" s="181">
        <f t="shared" si="18"/>
        <v>0</v>
      </c>
      <c r="Y30" s="181">
        <f t="shared" si="18"/>
        <v>0</v>
      </c>
      <c r="Z30" s="162" t="b">
        <f t="shared" si="15"/>
        <v>1</v>
      </c>
      <c r="AA30" s="162" t="str">
        <f t="shared" si="16"/>
        <v>PRAZNO</v>
      </c>
      <c r="AC30" s="164"/>
    </row>
    <row r="31" spans="1:29" ht="15.75" hidden="1" x14ac:dyDescent="0.2">
      <c r="B31" s="177"/>
      <c r="C31" s="177"/>
      <c r="D31" s="177"/>
      <c r="E31" s="177">
        <v>3821</v>
      </c>
      <c r="F31" s="176">
        <v>14</v>
      </c>
      <c r="G31" s="176"/>
      <c r="H31" s="16" t="s">
        <v>149</v>
      </c>
      <c r="I31" s="18"/>
      <c r="J31" s="27"/>
      <c r="K31" s="18"/>
      <c r="L31" s="178"/>
      <c r="M31" s="178"/>
      <c r="N31" s="178"/>
      <c r="O31" s="178"/>
      <c r="P31" s="178">
        <v>100000</v>
      </c>
      <c r="Q31" s="178">
        <v>100000</v>
      </c>
      <c r="R31" s="204">
        <f t="shared" si="20"/>
        <v>0</v>
      </c>
      <c r="S31" s="178">
        <v>100000</v>
      </c>
      <c r="T31" s="178"/>
      <c r="U31" s="178"/>
      <c r="V31" s="266">
        <v>100000</v>
      </c>
      <c r="W31" s="178">
        <v>0</v>
      </c>
      <c r="X31" s="178">
        <v>0</v>
      </c>
      <c r="Y31" s="178">
        <v>0</v>
      </c>
      <c r="Z31" s="162" t="b">
        <f t="shared" si="15"/>
        <v>0</v>
      </c>
      <c r="AA31" s="162" t="str">
        <f t="shared" si="16"/>
        <v>PUNO</v>
      </c>
      <c r="AC31" s="164"/>
    </row>
    <row r="32" spans="1:29" s="164" customFormat="1" ht="15.75" x14ac:dyDescent="0.2">
      <c r="A32" s="259"/>
      <c r="B32" s="194"/>
      <c r="C32" s="194"/>
      <c r="D32" s="194"/>
      <c r="E32" s="194"/>
      <c r="F32" s="194"/>
      <c r="G32" s="194"/>
      <c r="H32" s="11" t="s">
        <v>142</v>
      </c>
      <c r="I32" s="195" t="e">
        <f>I33+I72+I84</f>
        <v>#REF!</v>
      </c>
      <c r="J32" s="195" t="e">
        <f>J33+J72+J84</f>
        <v>#REF!</v>
      </c>
      <c r="K32" s="196"/>
      <c r="L32" s="196"/>
      <c r="M32" s="196"/>
      <c r="N32" s="196"/>
      <c r="O32" s="195" t="e">
        <f>O33+O72</f>
        <v>#REF!</v>
      </c>
      <c r="P32" s="195" t="e">
        <f>P33+P72</f>
        <v>#REF!</v>
      </c>
      <c r="Q32" s="195" t="e">
        <f>Q33+Q72</f>
        <v>#REF!</v>
      </c>
      <c r="R32" s="351" t="e">
        <f t="shared" si="20"/>
        <v>#REF!</v>
      </c>
      <c r="S32" s="195" t="e">
        <f>S33+S72</f>
        <v>#REF!</v>
      </c>
      <c r="T32" s="195" t="e">
        <f>T33+T72+#REF!</f>
        <v>#REF!</v>
      </c>
      <c r="U32" s="195" t="e">
        <f>U33+U72+#REF!</f>
        <v>#REF!</v>
      </c>
      <c r="V32" s="197" t="e">
        <f>V33+V72</f>
        <v>#REF!</v>
      </c>
      <c r="W32" s="195">
        <f>W33+W72</f>
        <v>412599</v>
      </c>
      <c r="X32" s="195">
        <f>X33+X72</f>
        <v>455422</v>
      </c>
      <c r="Y32" s="195">
        <f>Y33+Y72</f>
        <v>524000</v>
      </c>
      <c r="Z32" s="162" t="b">
        <f>ISBLANK(E32)</f>
        <v>1</v>
      </c>
      <c r="AA32" s="162" t="str">
        <f>IF(Z32,"PRAZNO","PUNO")</f>
        <v>PRAZNO</v>
      </c>
      <c r="AB32" s="165"/>
    </row>
    <row r="33" spans="1:29" s="164" customFormat="1" ht="15.75" x14ac:dyDescent="0.2">
      <c r="A33" s="259"/>
      <c r="B33" s="194"/>
      <c r="C33" s="194"/>
      <c r="D33" s="194"/>
      <c r="E33" s="194"/>
      <c r="F33" s="194"/>
      <c r="G33" s="194"/>
      <c r="H33" s="21" t="s">
        <v>218</v>
      </c>
      <c r="I33" s="195" t="e">
        <f>I35</f>
        <v>#REF!</v>
      </c>
      <c r="J33" s="195" t="e">
        <f>J35</f>
        <v>#REF!</v>
      </c>
      <c r="K33" s="196" t="e">
        <f>K35+K72+#REF!</f>
        <v>#REF!</v>
      </c>
      <c r="L33" s="196" t="e">
        <f>L35+L72+#REF!</f>
        <v>#REF!</v>
      </c>
      <c r="M33" s="196" t="e">
        <f>ROUND(L33/K33*100,2)</f>
        <v>#REF!</v>
      </c>
      <c r="N33" s="196" t="e">
        <f>O33-K33</f>
        <v>#REF!</v>
      </c>
      <c r="O33" s="195" t="e">
        <f>O35</f>
        <v>#REF!</v>
      </c>
      <c r="P33" s="195" t="e">
        <f>P35</f>
        <v>#REF!</v>
      </c>
      <c r="Q33" s="195" t="e">
        <f>Q35</f>
        <v>#REF!</v>
      </c>
      <c r="R33" s="351" t="e">
        <f t="shared" si="20"/>
        <v>#REF!</v>
      </c>
      <c r="S33" s="195" t="e">
        <f t="shared" ref="S33:Y33" si="22">S35</f>
        <v>#REF!</v>
      </c>
      <c r="T33" s="195" t="e">
        <f t="shared" si="22"/>
        <v>#REF!</v>
      </c>
      <c r="U33" s="195" t="e">
        <f t="shared" si="22"/>
        <v>#REF!</v>
      </c>
      <c r="V33" s="197" t="e">
        <f t="shared" si="22"/>
        <v>#REF!</v>
      </c>
      <c r="W33" s="195">
        <f t="shared" si="22"/>
        <v>112599</v>
      </c>
      <c r="X33" s="195">
        <f t="shared" si="22"/>
        <v>155422</v>
      </c>
      <c r="Y33" s="195">
        <f t="shared" si="22"/>
        <v>230000</v>
      </c>
      <c r="Z33" s="162" t="b">
        <f>ISBLANK(E33)</f>
        <v>1</v>
      </c>
      <c r="AA33" s="162" t="str">
        <f>IF(Z33,"PRAZNO","PUNO")</f>
        <v>PRAZNO</v>
      </c>
      <c r="AB33" s="165"/>
    </row>
    <row r="34" spans="1:29" s="164" customFormat="1" ht="15.75" x14ac:dyDescent="0.2">
      <c r="A34" s="259"/>
      <c r="B34" s="194"/>
      <c r="C34" s="194"/>
      <c r="D34" s="194"/>
      <c r="E34" s="194"/>
      <c r="F34" s="194"/>
      <c r="G34" s="194"/>
      <c r="H34" s="11" t="s">
        <v>520</v>
      </c>
      <c r="I34" s="195"/>
      <c r="J34" s="197"/>
      <c r="K34" s="196"/>
      <c r="L34" s="196"/>
      <c r="M34" s="196" t="e">
        <f>ROUND(L34/K34*100,2)</f>
        <v>#DIV/0!</v>
      </c>
      <c r="N34" s="196"/>
      <c r="O34" s="195"/>
      <c r="P34" s="195"/>
      <c r="Q34" s="195"/>
      <c r="R34" s="353"/>
      <c r="S34" s="195"/>
      <c r="T34" s="195"/>
      <c r="U34" s="195"/>
      <c r="V34" s="197"/>
      <c r="W34" s="195"/>
      <c r="X34" s="195"/>
      <c r="Y34" s="195"/>
      <c r="Z34" s="162" t="b">
        <f>ISBLANK(E34)</f>
        <v>1</v>
      </c>
      <c r="AA34" s="162" t="str">
        <f>IF(Z34,"PRAZNO","PUNO")</f>
        <v>PRAZNO</v>
      </c>
      <c r="AB34" s="165"/>
    </row>
    <row r="35" spans="1:29" s="291" customFormat="1" ht="15.75" x14ac:dyDescent="0.2">
      <c r="A35" s="259"/>
      <c r="B35" s="270"/>
      <c r="C35" s="270"/>
      <c r="D35" s="270"/>
      <c r="E35" s="270"/>
      <c r="F35" s="270"/>
      <c r="G35" s="270"/>
      <c r="H35" s="271" t="s">
        <v>707</v>
      </c>
      <c r="I35" s="272" t="e">
        <f>#REF!+I36+#REF!</f>
        <v>#REF!</v>
      </c>
      <c r="J35" s="275" t="e">
        <f>#REF!+J36+#REF!</f>
        <v>#REF!</v>
      </c>
      <c r="K35" s="273" t="e">
        <f>#REF!+K36+#REF!</f>
        <v>#REF!</v>
      </c>
      <c r="L35" s="273" t="e">
        <f>#REF!+L36+#REF!</f>
        <v>#REF!</v>
      </c>
      <c r="M35" s="273" t="e">
        <f>ROUND(L35/K35*100,2)</f>
        <v>#REF!</v>
      </c>
      <c r="N35" s="273" t="e">
        <f>O35-K35</f>
        <v>#REF!</v>
      </c>
      <c r="O35" s="272" t="e">
        <f>#REF!+O36+#REF!</f>
        <v>#REF!</v>
      </c>
      <c r="P35" s="272" t="e">
        <f>#REF!+P36+#REF!</f>
        <v>#REF!</v>
      </c>
      <c r="Q35" s="272" t="e">
        <f>#REF!+Q36+#REF!</f>
        <v>#REF!</v>
      </c>
      <c r="R35" s="336" t="e">
        <f>V35-P35</f>
        <v>#REF!</v>
      </c>
      <c r="S35" s="272" t="e">
        <f>#REF!+S36+#REF!</f>
        <v>#REF!</v>
      </c>
      <c r="T35" s="272" t="e">
        <f>#REF!+T36+#REF!</f>
        <v>#REF!</v>
      </c>
      <c r="U35" s="272" t="e">
        <f>#REF!+U36+#REF!</f>
        <v>#REF!</v>
      </c>
      <c r="V35" s="275" t="e">
        <f>#REF!+#REF!+V36</f>
        <v>#REF!</v>
      </c>
      <c r="W35" s="272">
        <f>W36+W47</f>
        <v>112599</v>
      </c>
      <c r="X35" s="272">
        <f>X36+X47</f>
        <v>155422</v>
      </c>
      <c r="Y35" s="272">
        <f>Y36+Y47</f>
        <v>230000</v>
      </c>
      <c r="Z35" s="162" t="b">
        <f>ISBLANK(E35)</f>
        <v>1</v>
      </c>
      <c r="AA35" s="162" t="str">
        <f>IF(Z35,"PRAZNO","PUNO")</f>
        <v>PRAZNO</v>
      </c>
      <c r="AB35" s="290"/>
    </row>
    <row r="36" spans="1:29" s="171" customFormat="1" ht="15.75" x14ac:dyDescent="0.2">
      <c r="A36" s="259"/>
      <c r="B36" s="168"/>
      <c r="C36" s="168"/>
      <c r="D36" s="168"/>
      <c r="E36" s="168"/>
      <c r="F36" s="168"/>
      <c r="G36" s="168"/>
      <c r="H36" s="12" t="s">
        <v>150</v>
      </c>
      <c r="I36" s="19">
        <f>I38</f>
        <v>102708.73</v>
      </c>
      <c r="J36" s="53">
        <f>J38</f>
        <v>10005.620000000001</v>
      </c>
      <c r="K36" s="169">
        <f>K38</f>
        <v>177800</v>
      </c>
      <c r="L36" s="169">
        <f>L38</f>
        <v>17977.16</v>
      </c>
      <c r="M36" s="169">
        <f>ROUND(L36/K36*100,2)</f>
        <v>10.11</v>
      </c>
      <c r="N36" s="169">
        <f>O36-K36</f>
        <v>-44489.5</v>
      </c>
      <c r="O36" s="19">
        <f>O38</f>
        <v>133310.5</v>
      </c>
      <c r="P36" s="19">
        <f>P38</f>
        <v>245400</v>
      </c>
      <c r="Q36" s="19">
        <f>Q38</f>
        <v>227687.27</v>
      </c>
      <c r="R36" s="303">
        <f>V36-P36</f>
        <v>2000</v>
      </c>
      <c r="S36" s="19">
        <f t="shared" ref="S36:Y36" si="23">S38</f>
        <v>245400</v>
      </c>
      <c r="T36" s="19">
        <f t="shared" si="23"/>
        <v>15000</v>
      </c>
      <c r="U36" s="19">
        <f t="shared" si="23"/>
        <v>15000</v>
      </c>
      <c r="V36" s="53">
        <f t="shared" si="23"/>
        <v>247400</v>
      </c>
      <c r="W36" s="19">
        <f t="shared" si="23"/>
        <v>20000</v>
      </c>
      <c r="X36" s="19">
        <f t="shared" si="23"/>
        <v>10000</v>
      </c>
      <c r="Y36" s="19">
        <f t="shared" si="23"/>
        <v>230000</v>
      </c>
      <c r="Z36" s="162" t="b">
        <f t="shared" ref="Z36:Z65" si="24">ISBLANK(E36)</f>
        <v>1</v>
      </c>
      <c r="AA36" s="162" t="str">
        <f t="shared" ref="AA36:AA65" si="25">IF(Z36,"PRAZNO","PUNO")</f>
        <v>PRAZNO</v>
      </c>
      <c r="AB36" s="170"/>
      <c r="AC36" s="164"/>
    </row>
    <row r="37" spans="1:29" s="264" customFormat="1" ht="15.75" x14ac:dyDescent="0.2">
      <c r="A37" s="259"/>
      <c r="B37" s="260"/>
      <c r="C37" s="260"/>
      <c r="D37" s="260"/>
      <c r="E37" s="260"/>
      <c r="F37" s="260"/>
      <c r="G37" s="260"/>
      <c r="H37" s="441" t="s">
        <v>824</v>
      </c>
      <c r="I37" s="262"/>
      <c r="J37" s="342"/>
      <c r="K37" s="181"/>
      <c r="L37" s="181"/>
      <c r="M37" s="181"/>
      <c r="N37" s="181"/>
      <c r="O37" s="262"/>
      <c r="P37" s="262"/>
      <c r="Q37" s="262"/>
      <c r="R37" s="445"/>
      <c r="S37" s="262"/>
      <c r="T37" s="262"/>
      <c r="U37" s="262"/>
      <c r="V37" s="342"/>
      <c r="W37" s="262">
        <f t="shared" ref="W37:Y38" si="26">W38</f>
        <v>20000</v>
      </c>
      <c r="X37" s="262">
        <f t="shared" si="26"/>
        <v>10000</v>
      </c>
      <c r="Y37" s="262">
        <f t="shared" si="26"/>
        <v>230000</v>
      </c>
      <c r="Z37" s="162" t="b">
        <f t="shared" si="24"/>
        <v>1</v>
      </c>
      <c r="AA37" s="162" t="str">
        <f t="shared" si="25"/>
        <v>PRAZNO</v>
      </c>
      <c r="AB37" s="263"/>
    </row>
    <row r="38" spans="1:29" s="174" customFormat="1" ht="15.75" x14ac:dyDescent="0.2">
      <c r="A38" s="259"/>
      <c r="B38" s="172">
        <v>4</v>
      </c>
      <c r="C38" s="172"/>
      <c r="D38" s="172"/>
      <c r="E38" s="172"/>
      <c r="F38" s="172"/>
      <c r="G38" s="172"/>
      <c r="H38" s="14" t="s">
        <v>552</v>
      </c>
      <c r="I38" s="20">
        <f>I39</f>
        <v>102708.73</v>
      </c>
      <c r="J38" s="55">
        <f>J39</f>
        <v>10005.620000000001</v>
      </c>
      <c r="K38" s="20">
        <f>K39</f>
        <v>177800</v>
      </c>
      <c r="L38" s="20">
        <f>L39</f>
        <v>17977.16</v>
      </c>
      <c r="M38" s="20">
        <f>ROUND(L38/K38*100,2)</f>
        <v>10.11</v>
      </c>
      <c r="N38" s="20">
        <f>O38-K38</f>
        <v>-44489.5</v>
      </c>
      <c r="O38" s="20">
        <f>O39</f>
        <v>133310.5</v>
      </c>
      <c r="P38" s="20">
        <f>P39</f>
        <v>245400</v>
      </c>
      <c r="Q38" s="20">
        <f>Q39</f>
        <v>227687.27</v>
      </c>
      <c r="R38" s="55">
        <f t="shared" ref="R38:R46" si="27">V38-P38</f>
        <v>2000</v>
      </c>
      <c r="S38" s="20">
        <f>S39</f>
        <v>245400</v>
      </c>
      <c r="T38" s="20">
        <f>T39</f>
        <v>15000</v>
      </c>
      <c r="U38" s="20">
        <f>U39</f>
        <v>15000</v>
      </c>
      <c r="V38" s="55">
        <f>V39</f>
        <v>247400</v>
      </c>
      <c r="W38" s="20">
        <f t="shared" si="26"/>
        <v>20000</v>
      </c>
      <c r="X38" s="20">
        <f t="shared" si="26"/>
        <v>10000</v>
      </c>
      <c r="Y38" s="20">
        <f t="shared" si="26"/>
        <v>230000</v>
      </c>
      <c r="Z38" s="162" t="b">
        <f t="shared" si="24"/>
        <v>1</v>
      </c>
      <c r="AA38" s="162" t="str">
        <f t="shared" si="25"/>
        <v>PRAZNO</v>
      </c>
      <c r="AB38" s="173"/>
      <c r="AC38" s="164"/>
    </row>
    <row r="39" spans="1:29" ht="30" customHeight="1" x14ac:dyDescent="0.2">
      <c r="B39" s="175"/>
      <c r="C39" s="175">
        <v>42</v>
      </c>
      <c r="D39" s="175"/>
      <c r="E39" s="175"/>
      <c r="F39" s="175"/>
      <c r="G39" s="175"/>
      <c r="H39" s="15" t="s">
        <v>212</v>
      </c>
      <c r="I39" s="22">
        <f>I40+I44</f>
        <v>102708.73</v>
      </c>
      <c r="J39" s="38">
        <f>J40+J44</f>
        <v>10005.620000000001</v>
      </c>
      <c r="K39" s="22">
        <f>K40+K44</f>
        <v>177800</v>
      </c>
      <c r="L39" s="22">
        <f>L40+L44</f>
        <v>17977.16</v>
      </c>
      <c r="M39" s="22">
        <f>ROUND(L39/K39*100,2)</f>
        <v>10.11</v>
      </c>
      <c r="N39" s="22">
        <f>O39-K39</f>
        <v>-44489.5</v>
      </c>
      <c r="O39" s="22">
        <f>O40+O44</f>
        <v>133310.5</v>
      </c>
      <c r="P39" s="22">
        <f>P40+P44</f>
        <v>245400</v>
      </c>
      <c r="Q39" s="22">
        <f>Q40+Q44</f>
        <v>227687.27</v>
      </c>
      <c r="R39" s="26">
        <f t="shared" si="27"/>
        <v>2000</v>
      </c>
      <c r="S39" s="22">
        <f t="shared" ref="S39:Y39" si="28">S40+S44</f>
        <v>245400</v>
      </c>
      <c r="T39" s="22">
        <f t="shared" si="28"/>
        <v>15000</v>
      </c>
      <c r="U39" s="22">
        <f t="shared" si="28"/>
        <v>15000</v>
      </c>
      <c r="V39" s="38">
        <f t="shared" si="28"/>
        <v>247400</v>
      </c>
      <c r="W39" s="22">
        <f t="shared" si="28"/>
        <v>20000</v>
      </c>
      <c r="X39" s="22">
        <f t="shared" si="28"/>
        <v>10000</v>
      </c>
      <c r="Y39" s="22">
        <f t="shared" si="28"/>
        <v>230000</v>
      </c>
      <c r="Z39" s="162" t="b">
        <f t="shared" si="24"/>
        <v>1</v>
      </c>
      <c r="AA39" s="162" t="str">
        <f t="shared" si="25"/>
        <v>PRAZNO</v>
      </c>
      <c r="AC39" s="164"/>
    </row>
    <row r="40" spans="1:29" ht="15.75" x14ac:dyDescent="0.2">
      <c r="B40" s="177"/>
      <c r="C40" s="177"/>
      <c r="D40" s="177">
        <v>422</v>
      </c>
      <c r="E40" s="177"/>
      <c r="F40" s="177"/>
      <c r="G40" s="177"/>
      <c r="H40" s="16" t="s">
        <v>555</v>
      </c>
      <c r="I40" s="17">
        <f>I41</f>
        <v>0</v>
      </c>
      <c r="J40" s="26">
        <f>J41</f>
        <v>10005.620000000001</v>
      </c>
      <c r="K40" s="17">
        <f>K41</f>
        <v>27800</v>
      </c>
      <c r="L40" s="17">
        <f>L41</f>
        <v>17977.16</v>
      </c>
      <c r="M40" s="17">
        <f>ROUND(L40/K40*100,2)</f>
        <v>64.67</v>
      </c>
      <c r="N40" s="17">
        <f>O40-K40</f>
        <v>-8096.84</v>
      </c>
      <c r="O40" s="17">
        <f>O41</f>
        <v>19703.16</v>
      </c>
      <c r="P40" s="17">
        <f>P41+P42+P43</f>
        <v>25400</v>
      </c>
      <c r="Q40" s="17">
        <f>Q41+Q42+Q43</f>
        <v>13787.27</v>
      </c>
      <c r="R40" s="26">
        <f t="shared" si="27"/>
        <v>2000</v>
      </c>
      <c r="S40" s="17">
        <f>S41+S42+S43</f>
        <v>25400</v>
      </c>
      <c r="T40" s="17">
        <f>T41</f>
        <v>15000</v>
      </c>
      <c r="U40" s="17">
        <f>U41</f>
        <v>15000</v>
      </c>
      <c r="V40" s="26">
        <f>V41+V42+V43</f>
        <v>27400</v>
      </c>
      <c r="W40" s="17">
        <f>W41+W42+W43</f>
        <v>20000</v>
      </c>
      <c r="X40" s="17">
        <f>X41+X42+X43</f>
        <v>10000</v>
      </c>
      <c r="Y40" s="17">
        <f>Y41+Y42+Y43</f>
        <v>10000</v>
      </c>
      <c r="Z40" s="162" t="b">
        <f t="shared" si="24"/>
        <v>1</v>
      </c>
      <c r="AA40" s="162" t="str">
        <f t="shared" si="25"/>
        <v>PRAZNO</v>
      </c>
      <c r="AC40" s="164"/>
    </row>
    <row r="41" spans="1:29" ht="15.75" x14ac:dyDescent="0.2">
      <c r="B41" s="177"/>
      <c r="C41" s="177"/>
      <c r="D41" s="177"/>
      <c r="E41" s="177">
        <v>4221</v>
      </c>
      <c r="F41" s="176">
        <v>11</v>
      </c>
      <c r="G41" s="176"/>
      <c r="H41" s="16" t="s">
        <v>558</v>
      </c>
      <c r="I41" s="18">
        <v>0</v>
      </c>
      <c r="J41" s="27">
        <v>10005.620000000001</v>
      </c>
      <c r="K41" s="18">
        <v>27800</v>
      </c>
      <c r="L41" s="18">
        <v>17977.16</v>
      </c>
      <c r="M41" s="18">
        <f>ROUND(L41/K41*100,2)</f>
        <v>64.67</v>
      </c>
      <c r="N41" s="18">
        <f>O41-K41</f>
        <v>-8096.84</v>
      </c>
      <c r="O41" s="18">
        <v>19703.16</v>
      </c>
      <c r="P41" s="18">
        <v>15000</v>
      </c>
      <c r="Q41" s="18">
        <v>9451.27</v>
      </c>
      <c r="R41" s="26">
        <f t="shared" si="27"/>
        <v>5400</v>
      </c>
      <c r="S41" s="18">
        <v>15000</v>
      </c>
      <c r="T41" s="18">
        <v>15000</v>
      </c>
      <c r="U41" s="18">
        <v>15000</v>
      </c>
      <c r="V41" s="266">
        <v>20400</v>
      </c>
      <c r="W41" s="178">
        <f>15000+5000</f>
        <v>20000</v>
      </c>
      <c r="X41" s="178">
        <v>10000</v>
      </c>
      <c r="Y41" s="178">
        <v>10000</v>
      </c>
      <c r="Z41" s="162" t="b">
        <f t="shared" si="24"/>
        <v>0</v>
      </c>
      <c r="AA41" s="162" t="str">
        <f t="shared" si="25"/>
        <v>PUNO</v>
      </c>
      <c r="AC41" s="164"/>
    </row>
    <row r="42" spans="1:29" ht="15.75" hidden="1" x14ac:dyDescent="0.2">
      <c r="B42" s="177"/>
      <c r="C42" s="177"/>
      <c r="D42" s="177"/>
      <c r="E42" s="177">
        <v>4222</v>
      </c>
      <c r="F42" s="176">
        <v>11</v>
      </c>
      <c r="G42" s="176"/>
      <c r="H42" s="16" t="s">
        <v>559</v>
      </c>
      <c r="I42" s="18"/>
      <c r="J42" s="27"/>
      <c r="K42" s="18"/>
      <c r="L42" s="18"/>
      <c r="M42" s="18"/>
      <c r="N42" s="18"/>
      <c r="O42" s="18"/>
      <c r="P42" s="18">
        <v>5000</v>
      </c>
      <c r="Q42" s="18">
        <v>4336</v>
      </c>
      <c r="R42" s="26">
        <f t="shared" si="27"/>
        <v>2000</v>
      </c>
      <c r="S42" s="18">
        <v>5000</v>
      </c>
      <c r="T42" s="18"/>
      <c r="U42" s="18"/>
      <c r="V42" s="27">
        <v>7000</v>
      </c>
      <c r="W42" s="18">
        <v>0</v>
      </c>
      <c r="X42" s="18">
        <v>0</v>
      </c>
      <c r="Y42" s="18">
        <v>0</v>
      </c>
      <c r="Z42" s="162" t="b">
        <f t="shared" si="24"/>
        <v>0</v>
      </c>
      <c r="AA42" s="162" t="str">
        <f t="shared" si="25"/>
        <v>PUNO</v>
      </c>
      <c r="AC42" s="164"/>
    </row>
    <row r="43" spans="1:29" ht="15.75" hidden="1" x14ac:dyDescent="0.2">
      <c r="B43" s="177"/>
      <c r="C43" s="177"/>
      <c r="D43" s="177"/>
      <c r="E43" s="177">
        <v>4225</v>
      </c>
      <c r="F43" s="176">
        <v>11</v>
      </c>
      <c r="G43" s="176"/>
      <c r="H43" s="16" t="s">
        <v>844</v>
      </c>
      <c r="I43" s="18"/>
      <c r="J43" s="27"/>
      <c r="K43" s="18"/>
      <c r="L43" s="18"/>
      <c r="M43" s="18"/>
      <c r="N43" s="18"/>
      <c r="O43" s="18"/>
      <c r="P43" s="18">
        <v>5400</v>
      </c>
      <c r="Q43" s="18">
        <v>0</v>
      </c>
      <c r="R43" s="26">
        <f t="shared" si="27"/>
        <v>-5400</v>
      </c>
      <c r="S43" s="18">
        <v>5400</v>
      </c>
      <c r="T43" s="18"/>
      <c r="U43" s="18"/>
      <c r="V43" s="27">
        <v>0</v>
      </c>
      <c r="W43" s="18">
        <v>0</v>
      </c>
      <c r="X43" s="18">
        <v>0</v>
      </c>
      <c r="Y43" s="18">
        <v>0</v>
      </c>
      <c r="Z43" s="162" t="b">
        <f t="shared" si="24"/>
        <v>0</v>
      </c>
      <c r="AA43" s="162" t="str">
        <f t="shared" si="25"/>
        <v>PUNO</v>
      </c>
      <c r="AC43" s="164"/>
    </row>
    <row r="44" spans="1:29" ht="15.75" x14ac:dyDescent="0.2">
      <c r="B44" s="177"/>
      <c r="C44" s="177"/>
      <c r="D44" s="177">
        <v>423</v>
      </c>
      <c r="E44" s="177"/>
      <c r="F44" s="177"/>
      <c r="G44" s="177"/>
      <c r="H44" s="16" t="s">
        <v>223</v>
      </c>
      <c r="I44" s="17">
        <f>I46</f>
        <v>102708.73</v>
      </c>
      <c r="J44" s="26">
        <f>J46</f>
        <v>0</v>
      </c>
      <c r="K44" s="17">
        <f>K46</f>
        <v>150000</v>
      </c>
      <c r="L44" s="17">
        <f>L46</f>
        <v>0</v>
      </c>
      <c r="M44" s="17">
        <f>ROUND(L44/K44*100,2)</f>
        <v>0</v>
      </c>
      <c r="N44" s="17">
        <f>O44-K44</f>
        <v>-36392.660000000003</v>
      </c>
      <c r="O44" s="17">
        <f>O46</f>
        <v>113607.34</v>
      </c>
      <c r="P44" s="17">
        <f>P46+P45</f>
        <v>220000</v>
      </c>
      <c r="Q44" s="17">
        <f>Q46+Q45</f>
        <v>213900</v>
      </c>
      <c r="R44" s="26">
        <f t="shared" si="27"/>
        <v>0</v>
      </c>
      <c r="S44" s="17">
        <f>S46+S45</f>
        <v>220000</v>
      </c>
      <c r="T44" s="17">
        <f>T46</f>
        <v>0</v>
      </c>
      <c r="U44" s="17">
        <f>U46</f>
        <v>0</v>
      </c>
      <c r="V44" s="26">
        <f>V46+V45</f>
        <v>220000</v>
      </c>
      <c r="W44" s="17">
        <f>W46+W45</f>
        <v>0</v>
      </c>
      <c r="X44" s="17">
        <f>X46+X45</f>
        <v>0</v>
      </c>
      <c r="Y44" s="17">
        <f>Y46+Y45</f>
        <v>220000</v>
      </c>
      <c r="Z44" s="162" t="b">
        <f t="shared" si="24"/>
        <v>1</v>
      </c>
      <c r="AA44" s="162" t="str">
        <f t="shared" si="25"/>
        <v>PRAZNO</v>
      </c>
      <c r="AC44" s="164"/>
    </row>
    <row r="45" spans="1:29" ht="15.75" x14ac:dyDescent="0.2">
      <c r="B45" s="177"/>
      <c r="C45" s="177"/>
      <c r="D45" s="177"/>
      <c r="E45" s="177">
        <v>4231</v>
      </c>
      <c r="F45" s="177">
        <v>11</v>
      </c>
      <c r="G45" s="177"/>
      <c r="H45" s="16" t="s">
        <v>224</v>
      </c>
      <c r="I45" s="17"/>
      <c r="J45" s="26"/>
      <c r="K45" s="17"/>
      <c r="L45" s="17"/>
      <c r="M45" s="17"/>
      <c r="N45" s="17"/>
      <c r="O45" s="17"/>
      <c r="P45" s="17">
        <v>180000</v>
      </c>
      <c r="Q45" s="17">
        <v>180049</v>
      </c>
      <c r="R45" s="26">
        <f t="shared" si="27"/>
        <v>0</v>
      </c>
      <c r="S45" s="17">
        <v>180000</v>
      </c>
      <c r="T45" s="17"/>
      <c r="U45" s="17"/>
      <c r="V45" s="26">
        <v>180000</v>
      </c>
      <c r="W45" s="17">
        <v>0</v>
      </c>
      <c r="X45" s="17">
        <v>0</v>
      </c>
      <c r="Y45" s="17">
        <v>220000</v>
      </c>
      <c r="Z45" s="162" t="b">
        <f t="shared" si="24"/>
        <v>0</v>
      </c>
      <c r="AA45" s="162" t="str">
        <f t="shared" si="25"/>
        <v>PUNO</v>
      </c>
      <c r="AC45" s="164"/>
    </row>
    <row r="46" spans="1:29" ht="15.75" hidden="1" x14ac:dyDescent="0.2">
      <c r="B46" s="177"/>
      <c r="C46" s="177"/>
      <c r="D46" s="177"/>
      <c r="E46" s="177">
        <v>4231</v>
      </c>
      <c r="F46" s="176">
        <v>72</v>
      </c>
      <c r="G46" s="176" t="s">
        <v>527</v>
      </c>
      <c r="H46" s="16" t="s">
        <v>224</v>
      </c>
      <c r="I46" s="18">
        <v>102708.73</v>
      </c>
      <c r="J46" s="27">
        <v>0</v>
      </c>
      <c r="K46" s="18">
        <v>150000</v>
      </c>
      <c r="L46" s="18">
        <v>0</v>
      </c>
      <c r="M46" s="18">
        <f>ROUND(L46/K46*100,2)</f>
        <v>0</v>
      </c>
      <c r="N46" s="18">
        <f>O46-K46</f>
        <v>-36392.660000000003</v>
      </c>
      <c r="O46" s="18">
        <v>113607.34</v>
      </c>
      <c r="P46" s="18">
        <v>40000</v>
      </c>
      <c r="Q46" s="18">
        <v>33851</v>
      </c>
      <c r="R46" s="26">
        <f t="shared" si="27"/>
        <v>0</v>
      </c>
      <c r="S46" s="18">
        <v>40000</v>
      </c>
      <c r="T46" s="18"/>
      <c r="U46" s="18">
        <v>0</v>
      </c>
      <c r="V46" s="27">
        <v>40000</v>
      </c>
      <c r="W46" s="18">
        <v>0</v>
      </c>
      <c r="X46" s="18">
        <v>0</v>
      </c>
      <c r="Y46" s="18">
        <v>0</v>
      </c>
      <c r="Z46" s="162" t="b">
        <f t="shared" si="24"/>
        <v>0</v>
      </c>
      <c r="AA46" s="162" t="str">
        <f t="shared" si="25"/>
        <v>PUNO</v>
      </c>
      <c r="AC46" s="164"/>
    </row>
    <row r="47" spans="1:29" s="207" customFormat="1" ht="31.5" x14ac:dyDescent="0.25">
      <c r="A47" s="378"/>
      <c r="B47" s="168"/>
      <c r="C47" s="168"/>
      <c r="D47" s="168"/>
      <c r="E47" s="168"/>
      <c r="F47" s="322"/>
      <c r="G47" s="322"/>
      <c r="H47" s="13" t="s">
        <v>702</v>
      </c>
      <c r="I47" s="308"/>
      <c r="J47" s="323"/>
      <c r="K47" s="308"/>
      <c r="L47" s="308"/>
      <c r="M47" s="308"/>
      <c r="N47" s="308"/>
      <c r="O47" s="308"/>
      <c r="P47" s="308"/>
      <c r="Q47" s="308"/>
      <c r="R47" s="53"/>
      <c r="S47" s="308"/>
      <c r="T47" s="308"/>
      <c r="U47" s="308"/>
      <c r="V47" s="323"/>
      <c r="W47" s="323">
        <f>W49+W55</f>
        <v>92599</v>
      </c>
      <c r="X47" s="323">
        <f>X49+X55</f>
        <v>145422</v>
      </c>
      <c r="Y47" s="323">
        <f>Y49+Y55</f>
        <v>0</v>
      </c>
      <c r="Z47" s="162" t="b">
        <f t="shared" si="24"/>
        <v>1</v>
      </c>
      <c r="AA47" s="162" t="str">
        <f t="shared" si="25"/>
        <v>PRAZNO</v>
      </c>
      <c r="AB47" s="206"/>
    </row>
    <row r="48" spans="1:29" s="447" customFormat="1" ht="15.75" x14ac:dyDescent="0.25">
      <c r="A48" s="378"/>
      <c r="B48" s="260"/>
      <c r="C48" s="260"/>
      <c r="D48" s="260"/>
      <c r="E48" s="260"/>
      <c r="F48" s="442"/>
      <c r="G48" s="442"/>
      <c r="H48" s="440" t="s">
        <v>824</v>
      </c>
      <c r="I48" s="443"/>
      <c r="J48" s="444"/>
      <c r="K48" s="443"/>
      <c r="L48" s="443"/>
      <c r="M48" s="443"/>
      <c r="N48" s="443"/>
      <c r="O48" s="443"/>
      <c r="P48" s="443"/>
      <c r="Q48" s="443"/>
      <c r="R48" s="342"/>
      <c r="S48" s="443"/>
      <c r="T48" s="443"/>
      <c r="U48" s="443"/>
      <c r="V48" s="444"/>
      <c r="W48" s="444">
        <f t="shared" ref="W48:Y50" si="29">W49</f>
        <v>13890</v>
      </c>
      <c r="X48" s="444">
        <f t="shared" si="29"/>
        <v>21813</v>
      </c>
      <c r="Y48" s="444">
        <f t="shared" si="29"/>
        <v>0</v>
      </c>
      <c r="Z48" s="162" t="b">
        <f t="shared" si="24"/>
        <v>1</v>
      </c>
      <c r="AA48" s="162" t="str">
        <f t="shared" si="25"/>
        <v>PRAZNO</v>
      </c>
      <c r="AB48" s="446"/>
    </row>
    <row r="49" spans="1:29" s="174" customFormat="1" ht="15.75" x14ac:dyDescent="0.2">
      <c r="A49" s="259"/>
      <c r="B49" s="172">
        <v>4</v>
      </c>
      <c r="C49" s="172"/>
      <c r="D49" s="172"/>
      <c r="E49" s="172"/>
      <c r="F49" s="220"/>
      <c r="G49" s="220"/>
      <c r="H49" s="14" t="s">
        <v>552</v>
      </c>
      <c r="I49" s="184"/>
      <c r="J49" s="185"/>
      <c r="K49" s="184"/>
      <c r="L49" s="184"/>
      <c r="M49" s="184"/>
      <c r="N49" s="184"/>
      <c r="O49" s="184"/>
      <c r="P49" s="184"/>
      <c r="Q49" s="184"/>
      <c r="R49" s="55"/>
      <c r="S49" s="184"/>
      <c r="T49" s="184"/>
      <c r="U49" s="184"/>
      <c r="V49" s="185"/>
      <c r="W49" s="185">
        <f t="shared" si="29"/>
        <v>13890</v>
      </c>
      <c r="X49" s="185">
        <f t="shared" si="29"/>
        <v>21813</v>
      </c>
      <c r="Y49" s="185">
        <f t="shared" si="29"/>
        <v>0</v>
      </c>
      <c r="Z49" s="162" t="b">
        <f t="shared" si="24"/>
        <v>1</v>
      </c>
      <c r="AA49" s="162" t="str">
        <f t="shared" si="25"/>
        <v>PRAZNO</v>
      </c>
      <c r="AB49" s="173"/>
    </row>
    <row r="50" spans="1:29" ht="15.75" x14ac:dyDescent="0.2">
      <c r="B50" s="177"/>
      <c r="C50" s="177">
        <v>42</v>
      </c>
      <c r="D50" s="177"/>
      <c r="E50" s="177"/>
      <c r="F50" s="176"/>
      <c r="G50" s="176"/>
      <c r="H50" s="16" t="s">
        <v>212</v>
      </c>
      <c r="I50" s="18"/>
      <c r="J50" s="27"/>
      <c r="K50" s="18"/>
      <c r="L50" s="18"/>
      <c r="M50" s="18"/>
      <c r="N50" s="18"/>
      <c r="O50" s="18"/>
      <c r="P50" s="18"/>
      <c r="Q50" s="18"/>
      <c r="R50" s="26"/>
      <c r="S50" s="18"/>
      <c r="T50" s="18"/>
      <c r="U50" s="18"/>
      <c r="V50" s="27"/>
      <c r="W50" s="27">
        <f t="shared" si="29"/>
        <v>13890</v>
      </c>
      <c r="X50" s="27">
        <f t="shared" si="29"/>
        <v>21813</v>
      </c>
      <c r="Y50" s="27">
        <f t="shared" si="29"/>
        <v>0</v>
      </c>
      <c r="Z50" s="162" t="b">
        <f t="shared" si="24"/>
        <v>1</v>
      </c>
      <c r="AA50" s="162" t="str">
        <f t="shared" si="25"/>
        <v>PRAZNO</v>
      </c>
      <c r="AC50" s="164"/>
    </row>
    <row r="51" spans="1:29" ht="15.75" x14ac:dyDescent="0.2">
      <c r="B51" s="177"/>
      <c r="C51" s="177"/>
      <c r="D51" s="177">
        <v>422</v>
      </c>
      <c r="E51" s="177"/>
      <c r="F51" s="176"/>
      <c r="G51" s="176"/>
      <c r="H51" s="16" t="s">
        <v>555</v>
      </c>
      <c r="I51" s="18"/>
      <c r="J51" s="27"/>
      <c r="K51" s="18"/>
      <c r="L51" s="18"/>
      <c r="M51" s="18"/>
      <c r="N51" s="18"/>
      <c r="O51" s="18"/>
      <c r="P51" s="18"/>
      <c r="Q51" s="18"/>
      <c r="R51" s="26"/>
      <c r="S51" s="18"/>
      <c r="T51" s="18"/>
      <c r="U51" s="18"/>
      <c r="V51" s="27"/>
      <c r="W51" s="27">
        <f>SUM(W52:W53)</f>
        <v>13890</v>
      </c>
      <c r="X51" s="27">
        <f>SUM(X52:X53)</f>
        <v>21813</v>
      </c>
      <c r="Y51" s="27">
        <f>SUM(Y53:Y53)</f>
        <v>0</v>
      </c>
      <c r="Z51" s="162" t="b">
        <f t="shared" si="24"/>
        <v>1</v>
      </c>
      <c r="AA51" s="162" t="str">
        <f t="shared" si="25"/>
        <v>PRAZNO</v>
      </c>
      <c r="AC51" s="164"/>
    </row>
    <row r="52" spans="1:29" ht="15.75" x14ac:dyDescent="0.2">
      <c r="B52" s="177"/>
      <c r="C52" s="177"/>
      <c r="D52" s="177"/>
      <c r="E52" s="177">
        <v>4221</v>
      </c>
      <c r="F52" s="176">
        <v>11</v>
      </c>
      <c r="G52" s="176"/>
      <c r="H52" s="16" t="s">
        <v>558</v>
      </c>
      <c r="I52" s="18"/>
      <c r="J52" s="27"/>
      <c r="K52" s="18"/>
      <c r="L52" s="18"/>
      <c r="M52" s="18"/>
      <c r="N52" s="18"/>
      <c r="O52" s="18"/>
      <c r="P52" s="18"/>
      <c r="Q52" s="18"/>
      <c r="R52" s="26"/>
      <c r="S52" s="18"/>
      <c r="T52" s="18"/>
      <c r="U52" s="18"/>
      <c r="V52" s="27"/>
      <c r="W52" s="27">
        <v>3623</v>
      </c>
      <c r="X52" s="27">
        <v>0</v>
      </c>
      <c r="Y52" s="27">
        <v>0</v>
      </c>
      <c r="Z52" s="162" t="b">
        <f t="shared" si="24"/>
        <v>0</v>
      </c>
      <c r="AA52" s="162" t="str">
        <f t="shared" si="25"/>
        <v>PUNO</v>
      </c>
      <c r="AC52" s="164"/>
    </row>
    <row r="53" spans="1:29" ht="15.75" x14ac:dyDescent="0.2">
      <c r="B53" s="177"/>
      <c r="C53" s="177"/>
      <c r="D53" s="177"/>
      <c r="E53" s="177">
        <v>4221</v>
      </c>
      <c r="F53" s="176">
        <v>11</v>
      </c>
      <c r="G53" s="176"/>
      <c r="H53" s="16" t="s">
        <v>628</v>
      </c>
      <c r="I53" s="18"/>
      <c r="J53" s="27"/>
      <c r="K53" s="18"/>
      <c r="L53" s="18"/>
      <c r="M53" s="18"/>
      <c r="N53" s="18"/>
      <c r="O53" s="18"/>
      <c r="P53" s="18"/>
      <c r="Q53" s="18"/>
      <c r="R53" s="26"/>
      <c r="S53" s="18"/>
      <c r="T53" s="18"/>
      <c r="U53" s="18"/>
      <c r="V53" s="27"/>
      <c r="W53" s="27">
        <v>10267</v>
      </c>
      <c r="X53" s="27">
        <v>21813</v>
      </c>
      <c r="Y53" s="27">
        <v>0</v>
      </c>
      <c r="Z53" s="162" t="b">
        <f t="shared" si="24"/>
        <v>0</v>
      </c>
      <c r="AA53" s="162" t="str">
        <f t="shared" si="25"/>
        <v>PUNO</v>
      </c>
      <c r="AC53" s="164"/>
    </row>
    <row r="54" spans="1:29" s="453" customFormat="1" ht="15.75" x14ac:dyDescent="0.25">
      <c r="A54" s="378"/>
      <c r="B54" s="260"/>
      <c r="C54" s="260"/>
      <c r="D54" s="260"/>
      <c r="E54" s="260"/>
      <c r="F54" s="448"/>
      <c r="G54" s="448"/>
      <c r="H54" s="440" t="s">
        <v>825</v>
      </c>
      <c r="I54" s="449"/>
      <c r="J54" s="450"/>
      <c r="K54" s="449"/>
      <c r="L54" s="449"/>
      <c r="M54" s="449"/>
      <c r="N54" s="449"/>
      <c r="O54" s="449"/>
      <c r="P54" s="449"/>
      <c r="Q54" s="449"/>
      <c r="R54" s="202"/>
      <c r="S54" s="449"/>
      <c r="T54" s="449"/>
      <c r="U54" s="449"/>
      <c r="V54" s="450"/>
      <c r="W54" s="450">
        <f t="shared" ref="W54:Y56" si="30">W55</f>
        <v>78709</v>
      </c>
      <c r="X54" s="450">
        <f t="shared" si="30"/>
        <v>123609</v>
      </c>
      <c r="Y54" s="450">
        <f t="shared" si="30"/>
        <v>0</v>
      </c>
      <c r="Z54" s="162" t="b">
        <f t="shared" si="24"/>
        <v>1</v>
      </c>
      <c r="AA54" s="162" t="str">
        <f t="shared" si="25"/>
        <v>PRAZNO</v>
      </c>
      <c r="AB54" s="452"/>
      <c r="AC54" s="287"/>
    </row>
    <row r="55" spans="1:29" s="174" customFormat="1" ht="15.75" x14ac:dyDescent="0.2">
      <c r="A55" s="259"/>
      <c r="B55" s="172">
        <v>4</v>
      </c>
      <c r="C55" s="172"/>
      <c r="D55" s="172"/>
      <c r="E55" s="172"/>
      <c r="F55" s="220"/>
      <c r="G55" s="220"/>
      <c r="H55" s="14" t="s">
        <v>552</v>
      </c>
      <c r="I55" s="184"/>
      <c r="J55" s="185"/>
      <c r="K55" s="184"/>
      <c r="L55" s="184"/>
      <c r="M55" s="184"/>
      <c r="N55" s="184"/>
      <c r="O55" s="184"/>
      <c r="P55" s="184"/>
      <c r="Q55" s="184"/>
      <c r="R55" s="55"/>
      <c r="S55" s="184"/>
      <c r="T55" s="184"/>
      <c r="U55" s="184"/>
      <c r="V55" s="185"/>
      <c r="W55" s="185">
        <f t="shared" si="30"/>
        <v>78709</v>
      </c>
      <c r="X55" s="185">
        <f t="shared" si="30"/>
        <v>123609</v>
      </c>
      <c r="Y55" s="185">
        <f t="shared" si="30"/>
        <v>0</v>
      </c>
      <c r="Z55" s="162" t="b">
        <f t="shared" si="24"/>
        <v>1</v>
      </c>
      <c r="AA55" s="162" t="str">
        <f t="shared" si="25"/>
        <v>PRAZNO</v>
      </c>
      <c r="AB55" s="173"/>
    </row>
    <row r="56" spans="1:29" ht="15.75" x14ac:dyDescent="0.2">
      <c r="B56" s="177"/>
      <c r="C56" s="177">
        <v>42</v>
      </c>
      <c r="D56" s="177"/>
      <c r="E56" s="177"/>
      <c r="F56" s="176"/>
      <c r="G56" s="176"/>
      <c r="H56" s="16" t="s">
        <v>212</v>
      </c>
      <c r="I56" s="18"/>
      <c r="J56" s="27"/>
      <c r="K56" s="18"/>
      <c r="L56" s="18"/>
      <c r="M56" s="18"/>
      <c r="N56" s="18"/>
      <c r="O56" s="18"/>
      <c r="P56" s="18"/>
      <c r="Q56" s="18"/>
      <c r="R56" s="26"/>
      <c r="S56" s="18"/>
      <c r="T56" s="18"/>
      <c r="U56" s="18"/>
      <c r="V56" s="27"/>
      <c r="W56" s="27">
        <f t="shared" si="30"/>
        <v>78709</v>
      </c>
      <c r="X56" s="27">
        <f t="shared" si="30"/>
        <v>123609</v>
      </c>
      <c r="Y56" s="27">
        <f t="shared" si="30"/>
        <v>0</v>
      </c>
      <c r="Z56" s="162" t="b">
        <f t="shared" si="24"/>
        <v>1</v>
      </c>
      <c r="AA56" s="162" t="str">
        <f t="shared" si="25"/>
        <v>PRAZNO</v>
      </c>
      <c r="AC56" s="164"/>
    </row>
    <row r="57" spans="1:29" ht="15.75" x14ac:dyDescent="0.2">
      <c r="B57" s="177"/>
      <c r="C57" s="177"/>
      <c r="D57" s="177">
        <v>422</v>
      </c>
      <c r="E57" s="177"/>
      <c r="F57" s="176"/>
      <c r="G57" s="176"/>
      <c r="H57" s="16" t="s">
        <v>555</v>
      </c>
      <c r="I57" s="18"/>
      <c r="J57" s="27"/>
      <c r="K57" s="18"/>
      <c r="L57" s="18"/>
      <c r="M57" s="18"/>
      <c r="N57" s="18"/>
      <c r="O57" s="18"/>
      <c r="P57" s="18"/>
      <c r="Q57" s="18"/>
      <c r="R57" s="26"/>
      <c r="S57" s="18"/>
      <c r="T57" s="18"/>
      <c r="U57" s="18"/>
      <c r="V57" s="27"/>
      <c r="W57" s="27">
        <f>SUM(W58:W59)</f>
        <v>78709</v>
      </c>
      <c r="X57" s="27">
        <f>SUM(X58:X59)</f>
        <v>123609</v>
      </c>
      <c r="Y57" s="27">
        <f>SUM(Y58:Y59)</f>
        <v>0</v>
      </c>
      <c r="Z57" s="162" t="b">
        <f t="shared" si="24"/>
        <v>1</v>
      </c>
      <c r="AA57" s="162" t="str">
        <f t="shared" si="25"/>
        <v>PRAZNO</v>
      </c>
      <c r="AC57" s="164"/>
    </row>
    <row r="58" spans="1:29" ht="15.75" x14ac:dyDescent="0.2">
      <c r="B58" s="177"/>
      <c r="C58" s="177"/>
      <c r="D58" s="177"/>
      <c r="E58" s="177">
        <v>4221</v>
      </c>
      <c r="F58" s="176">
        <v>51</v>
      </c>
      <c r="G58" s="176"/>
      <c r="H58" s="16" t="s">
        <v>558</v>
      </c>
      <c r="I58" s="18"/>
      <c r="J58" s="27"/>
      <c r="K58" s="18"/>
      <c r="L58" s="18"/>
      <c r="M58" s="18"/>
      <c r="N58" s="18"/>
      <c r="O58" s="18"/>
      <c r="P58" s="18"/>
      <c r="Q58" s="18"/>
      <c r="R58" s="26"/>
      <c r="S58" s="18"/>
      <c r="T58" s="18"/>
      <c r="U58" s="18"/>
      <c r="V58" s="27"/>
      <c r="W58" s="27">
        <v>20531</v>
      </c>
      <c r="X58" s="27">
        <v>0</v>
      </c>
      <c r="Y58" s="27">
        <v>0</v>
      </c>
      <c r="Z58" s="162" t="b">
        <f t="shared" si="24"/>
        <v>0</v>
      </c>
      <c r="AA58" s="162" t="str">
        <f t="shared" si="25"/>
        <v>PUNO</v>
      </c>
      <c r="AC58" s="164"/>
    </row>
    <row r="59" spans="1:29" ht="15.75" x14ac:dyDescent="0.2">
      <c r="B59" s="177"/>
      <c r="C59" s="177"/>
      <c r="D59" s="177"/>
      <c r="E59" s="177">
        <v>4223</v>
      </c>
      <c r="F59" s="176">
        <v>51</v>
      </c>
      <c r="G59" s="176"/>
      <c r="H59" s="16" t="s">
        <v>628</v>
      </c>
      <c r="I59" s="18"/>
      <c r="J59" s="27"/>
      <c r="K59" s="18"/>
      <c r="L59" s="18"/>
      <c r="M59" s="18"/>
      <c r="N59" s="18"/>
      <c r="O59" s="18"/>
      <c r="P59" s="18"/>
      <c r="Q59" s="18"/>
      <c r="R59" s="26"/>
      <c r="S59" s="18"/>
      <c r="T59" s="18"/>
      <c r="U59" s="18"/>
      <c r="V59" s="27"/>
      <c r="W59" s="27">
        <v>58178</v>
      </c>
      <c r="X59" s="27">
        <v>123609</v>
      </c>
      <c r="Y59" s="27">
        <v>0</v>
      </c>
      <c r="Z59" s="162" t="b">
        <f t="shared" si="24"/>
        <v>0</v>
      </c>
      <c r="AA59" s="162" t="str">
        <f t="shared" si="25"/>
        <v>PUNO</v>
      </c>
      <c r="AC59" s="164"/>
    </row>
    <row r="60" spans="1:29" s="164" customFormat="1" ht="15.75" hidden="1" x14ac:dyDescent="0.2">
      <c r="A60" s="259"/>
      <c r="B60" s="324"/>
      <c r="C60" s="324"/>
      <c r="D60" s="324"/>
      <c r="E60" s="324"/>
      <c r="F60" s="325"/>
      <c r="G60" s="325"/>
      <c r="H60" s="328" t="s">
        <v>369</v>
      </c>
      <c r="I60" s="326"/>
      <c r="J60" s="329">
        <f>J62</f>
        <v>62630.15</v>
      </c>
      <c r="K60" s="326"/>
      <c r="L60" s="326"/>
      <c r="M60" s="326"/>
      <c r="N60" s="326"/>
      <c r="O60" s="326"/>
      <c r="P60" s="326"/>
      <c r="Q60" s="326"/>
      <c r="R60" s="353"/>
      <c r="S60" s="326"/>
      <c r="T60" s="326"/>
      <c r="U60" s="326"/>
      <c r="V60" s="327"/>
      <c r="W60" s="326"/>
      <c r="X60" s="326"/>
      <c r="Y60" s="326"/>
      <c r="Z60" s="162" t="b">
        <f t="shared" si="24"/>
        <v>1</v>
      </c>
      <c r="AA60" s="162" t="str">
        <f t="shared" si="25"/>
        <v>PRAZNO</v>
      </c>
      <c r="AB60" s="165"/>
    </row>
    <row r="61" spans="1:29" s="164" customFormat="1" ht="15.75" hidden="1" x14ac:dyDescent="0.2">
      <c r="A61" s="259"/>
      <c r="B61" s="324"/>
      <c r="C61" s="324"/>
      <c r="D61" s="324"/>
      <c r="E61" s="324"/>
      <c r="F61" s="325"/>
      <c r="G61" s="325"/>
      <c r="H61" s="328" t="s">
        <v>370</v>
      </c>
      <c r="I61" s="326"/>
      <c r="J61" s="329"/>
      <c r="K61" s="326"/>
      <c r="L61" s="326"/>
      <c r="M61" s="326"/>
      <c r="N61" s="326"/>
      <c r="O61" s="326"/>
      <c r="P61" s="326"/>
      <c r="Q61" s="326"/>
      <c r="R61" s="353"/>
      <c r="S61" s="326"/>
      <c r="T61" s="326"/>
      <c r="U61" s="326"/>
      <c r="V61" s="327"/>
      <c r="W61" s="326"/>
      <c r="X61" s="326"/>
      <c r="Y61" s="326"/>
      <c r="Z61" s="162" t="b">
        <f t="shared" si="24"/>
        <v>1</v>
      </c>
      <c r="AA61" s="162" t="str">
        <f t="shared" si="25"/>
        <v>PRAZNO</v>
      </c>
      <c r="AB61" s="165"/>
    </row>
    <row r="62" spans="1:29" s="164" customFormat="1" ht="15.75" hidden="1" x14ac:dyDescent="0.2">
      <c r="A62" s="259"/>
      <c r="B62" s="324"/>
      <c r="C62" s="324"/>
      <c r="D62" s="324"/>
      <c r="E62" s="324"/>
      <c r="F62" s="325"/>
      <c r="G62" s="325"/>
      <c r="H62" s="328" t="s">
        <v>371</v>
      </c>
      <c r="I62" s="326"/>
      <c r="J62" s="329">
        <f>J63</f>
        <v>62630.15</v>
      </c>
      <c r="K62" s="326"/>
      <c r="L62" s="326"/>
      <c r="M62" s="326"/>
      <c r="N62" s="326"/>
      <c r="O62" s="326"/>
      <c r="P62" s="326"/>
      <c r="Q62" s="326"/>
      <c r="R62" s="353"/>
      <c r="S62" s="326"/>
      <c r="T62" s="326"/>
      <c r="U62" s="326"/>
      <c r="V62" s="327"/>
      <c r="W62" s="326"/>
      <c r="X62" s="326"/>
      <c r="Y62" s="326"/>
      <c r="Z62" s="162" t="b">
        <f t="shared" si="24"/>
        <v>1</v>
      </c>
      <c r="AA62" s="162" t="str">
        <f t="shared" si="25"/>
        <v>PRAZNO</v>
      </c>
      <c r="AB62" s="165"/>
    </row>
    <row r="63" spans="1:29" s="164" customFormat="1" ht="15.75" hidden="1" x14ac:dyDescent="0.2">
      <c r="A63" s="259"/>
      <c r="B63" s="324"/>
      <c r="C63" s="324"/>
      <c r="D63" s="324"/>
      <c r="E63" s="324"/>
      <c r="F63" s="325"/>
      <c r="G63" s="325"/>
      <c r="H63" s="328" t="s">
        <v>372</v>
      </c>
      <c r="I63" s="326"/>
      <c r="J63" s="329">
        <f>J64</f>
        <v>62630.15</v>
      </c>
      <c r="K63" s="326"/>
      <c r="L63" s="326"/>
      <c r="M63" s="326"/>
      <c r="N63" s="326"/>
      <c r="O63" s="326"/>
      <c r="P63" s="326"/>
      <c r="Q63" s="326"/>
      <c r="R63" s="353"/>
      <c r="S63" s="326"/>
      <c r="T63" s="326"/>
      <c r="U63" s="326"/>
      <c r="V63" s="327"/>
      <c r="W63" s="326"/>
      <c r="X63" s="326"/>
      <c r="Y63" s="326"/>
      <c r="Z63" s="162" t="b">
        <f t="shared" si="24"/>
        <v>1</v>
      </c>
      <c r="AA63" s="162" t="str">
        <f t="shared" si="25"/>
        <v>PRAZNO</v>
      </c>
      <c r="AB63" s="165"/>
    </row>
    <row r="64" spans="1:29" s="174" customFormat="1" ht="15.75" hidden="1" x14ac:dyDescent="0.2">
      <c r="A64" s="259"/>
      <c r="B64" s="172">
        <v>4</v>
      </c>
      <c r="C64" s="172"/>
      <c r="D64" s="172"/>
      <c r="E64" s="172"/>
      <c r="F64" s="220"/>
      <c r="G64" s="220"/>
      <c r="H64" s="14" t="s">
        <v>552</v>
      </c>
      <c r="I64" s="184"/>
      <c r="J64" s="185">
        <f>J65</f>
        <v>62630.15</v>
      </c>
      <c r="K64" s="184"/>
      <c r="L64" s="184"/>
      <c r="M64" s="184"/>
      <c r="N64" s="184"/>
      <c r="O64" s="184"/>
      <c r="P64" s="184"/>
      <c r="Q64" s="184"/>
      <c r="R64" s="55"/>
      <c r="S64" s="184"/>
      <c r="T64" s="184"/>
      <c r="U64" s="184"/>
      <c r="V64" s="185"/>
      <c r="W64" s="184"/>
      <c r="X64" s="184"/>
      <c r="Y64" s="184"/>
      <c r="Z64" s="162" t="b">
        <f t="shared" si="24"/>
        <v>1</v>
      </c>
      <c r="AA64" s="162" t="str">
        <f t="shared" si="25"/>
        <v>PRAZNO</v>
      </c>
      <c r="AB64" s="173"/>
    </row>
    <row r="65" spans="1:29" s="264" customFormat="1" ht="15.75" hidden="1" x14ac:dyDescent="0.2">
      <c r="A65" s="259"/>
      <c r="B65" s="177"/>
      <c r="C65" s="177">
        <v>42</v>
      </c>
      <c r="D65" s="177"/>
      <c r="E65" s="177"/>
      <c r="F65" s="265"/>
      <c r="G65" s="265"/>
      <c r="H65" s="16" t="s">
        <v>212</v>
      </c>
      <c r="I65" s="178"/>
      <c r="J65" s="266">
        <f>J66+J69</f>
        <v>62630.15</v>
      </c>
      <c r="K65" s="178"/>
      <c r="L65" s="178"/>
      <c r="M65" s="178"/>
      <c r="N65" s="178"/>
      <c r="O65" s="178"/>
      <c r="P65" s="178"/>
      <c r="Q65" s="178"/>
      <c r="R65" s="307"/>
      <c r="S65" s="178"/>
      <c r="T65" s="178"/>
      <c r="U65" s="178"/>
      <c r="V65" s="266"/>
      <c r="W65" s="178"/>
      <c r="X65" s="178"/>
      <c r="Y65" s="178"/>
      <c r="Z65" s="162" t="b">
        <f t="shared" si="24"/>
        <v>1</v>
      </c>
      <c r="AA65" s="162" t="str">
        <f t="shared" si="25"/>
        <v>PRAZNO</v>
      </c>
      <c r="AB65" s="263"/>
    </row>
    <row r="66" spans="1:29" ht="15.75" hidden="1" x14ac:dyDescent="0.2">
      <c r="B66" s="177"/>
      <c r="C66" s="177"/>
      <c r="D66" s="177">
        <v>422</v>
      </c>
      <c r="E66" s="177"/>
      <c r="F66" s="176"/>
      <c r="G66" s="176"/>
      <c r="H66" s="16" t="s">
        <v>368</v>
      </c>
      <c r="I66" s="18"/>
      <c r="J66" s="27">
        <f>J67+J68</f>
        <v>33650.15</v>
      </c>
      <c r="K66" s="18"/>
      <c r="L66" s="18"/>
      <c r="M66" s="18"/>
      <c r="N66" s="18"/>
      <c r="O66" s="18"/>
      <c r="P66" s="18"/>
      <c r="Q66" s="18"/>
      <c r="R66" s="26"/>
      <c r="S66" s="18"/>
      <c r="T66" s="18"/>
      <c r="U66" s="18"/>
      <c r="V66" s="27"/>
      <c r="W66" s="18"/>
      <c r="X66" s="18"/>
      <c r="Y66" s="18"/>
      <c r="Z66" s="162" t="b">
        <f t="shared" ref="Z66:Z98" si="31">ISBLANK(E66)</f>
        <v>1</v>
      </c>
      <c r="AA66" s="162" t="str">
        <f t="shared" ref="AA66:AA98" si="32">IF(Z66,"PRAZNO","PUNO")</f>
        <v>PRAZNO</v>
      </c>
      <c r="AC66" s="164"/>
    </row>
    <row r="67" spans="1:29" ht="15.75" hidden="1" x14ac:dyDescent="0.2">
      <c r="B67" s="177"/>
      <c r="C67" s="177"/>
      <c r="D67" s="177"/>
      <c r="E67" s="177">
        <v>4221</v>
      </c>
      <c r="F67" s="176" t="s">
        <v>527</v>
      </c>
      <c r="G67" s="176"/>
      <c r="H67" s="16" t="s">
        <v>558</v>
      </c>
      <c r="I67" s="18"/>
      <c r="J67" s="27">
        <v>13460.06</v>
      </c>
      <c r="K67" s="18"/>
      <c r="L67" s="18"/>
      <c r="M67" s="18"/>
      <c r="N67" s="18"/>
      <c r="O67" s="18"/>
      <c r="P67" s="18"/>
      <c r="Q67" s="18"/>
      <c r="R67" s="26"/>
      <c r="S67" s="18"/>
      <c r="T67" s="18"/>
      <c r="U67" s="18"/>
      <c r="V67" s="27"/>
      <c r="W67" s="18"/>
      <c r="X67" s="18"/>
      <c r="Y67" s="18"/>
      <c r="Z67" s="162" t="b">
        <f t="shared" si="31"/>
        <v>0</v>
      </c>
      <c r="AA67" s="162" t="str">
        <f t="shared" si="32"/>
        <v>PUNO</v>
      </c>
      <c r="AC67" s="164"/>
    </row>
    <row r="68" spans="1:29" ht="15.75" hidden="1" x14ac:dyDescent="0.2">
      <c r="B68" s="177"/>
      <c r="C68" s="177"/>
      <c r="D68" s="177"/>
      <c r="E68" s="177">
        <v>4221</v>
      </c>
      <c r="F68" s="176" t="s">
        <v>537</v>
      </c>
      <c r="G68" s="176"/>
      <c r="H68" s="16" t="s">
        <v>373</v>
      </c>
      <c r="I68" s="18"/>
      <c r="J68" s="27">
        <v>20190.09</v>
      </c>
      <c r="K68" s="18"/>
      <c r="L68" s="18"/>
      <c r="M68" s="18"/>
      <c r="N68" s="18"/>
      <c r="O68" s="18"/>
      <c r="P68" s="18"/>
      <c r="Q68" s="18"/>
      <c r="R68" s="26"/>
      <c r="S68" s="18"/>
      <c r="T68" s="18"/>
      <c r="U68" s="18"/>
      <c r="V68" s="27"/>
      <c r="W68" s="18"/>
      <c r="X68" s="18"/>
      <c r="Y68" s="18"/>
      <c r="Z68" s="162" t="b">
        <f t="shared" si="31"/>
        <v>0</v>
      </c>
      <c r="AA68" s="162" t="str">
        <f t="shared" si="32"/>
        <v>PUNO</v>
      </c>
      <c r="AC68" s="164"/>
    </row>
    <row r="69" spans="1:29" ht="15.75" hidden="1" x14ac:dyDescent="0.2">
      <c r="B69" s="177"/>
      <c r="C69" s="177"/>
      <c r="D69" s="177">
        <v>426</v>
      </c>
      <c r="E69" s="177"/>
      <c r="F69" s="176"/>
      <c r="G69" s="176"/>
      <c r="H69" s="16" t="s">
        <v>560</v>
      </c>
      <c r="I69" s="18"/>
      <c r="J69" s="27">
        <f>J70+J71</f>
        <v>28980</v>
      </c>
      <c r="K69" s="18"/>
      <c r="L69" s="18"/>
      <c r="M69" s="18"/>
      <c r="N69" s="18"/>
      <c r="O69" s="18"/>
      <c r="P69" s="18"/>
      <c r="Q69" s="18"/>
      <c r="R69" s="26"/>
      <c r="S69" s="18"/>
      <c r="T69" s="18"/>
      <c r="U69" s="18"/>
      <c r="V69" s="27"/>
      <c r="W69" s="18"/>
      <c r="X69" s="18"/>
      <c r="Y69" s="18"/>
      <c r="Z69" s="162" t="b">
        <f t="shared" si="31"/>
        <v>1</v>
      </c>
      <c r="AA69" s="162" t="str">
        <f t="shared" si="32"/>
        <v>PRAZNO</v>
      </c>
      <c r="AC69" s="164"/>
    </row>
    <row r="70" spans="1:29" ht="15.75" hidden="1" x14ac:dyDescent="0.2">
      <c r="B70" s="177"/>
      <c r="C70" s="177"/>
      <c r="D70" s="177"/>
      <c r="E70" s="177">
        <v>4262</v>
      </c>
      <c r="F70" s="176" t="s">
        <v>527</v>
      </c>
      <c r="G70" s="176"/>
      <c r="H70" s="16" t="s">
        <v>374</v>
      </c>
      <c r="I70" s="18"/>
      <c r="J70" s="27">
        <v>11592</v>
      </c>
      <c r="K70" s="18"/>
      <c r="L70" s="18"/>
      <c r="M70" s="18"/>
      <c r="N70" s="18"/>
      <c r="O70" s="18"/>
      <c r="P70" s="18"/>
      <c r="Q70" s="18"/>
      <c r="R70" s="26"/>
      <c r="S70" s="18"/>
      <c r="T70" s="18"/>
      <c r="U70" s="18"/>
      <c r="V70" s="27"/>
      <c r="W70" s="18"/>
      <c r="X70" s="18"/>
      <c r="Y70" s="18"/>
      <c r="Z70" s="162" t="b">
        <f t="shared" si="31"/>
        <v>0</v>
      </c>
      <c r="AA70" s="162" t="str">
        <f t="shared" si="32"/>
        <v>PUNO</v>
      </c>
      <c r="AC70" s="164"/>
    </row>
    <row r="71" spans="1:29" ht="15.75" hidden="1" x14ac:dyDescent="0.2">
      <c r="B71" s="177"/>
      <c r="C71" s="177"/>
      <c r="D71" s="177"/>
      <c r="E71" s="177">
        <v>4262</v>
      </c>
      <c r="F71" s="176" t="s">
        <v>537</v>
      </c>
      <c r="G71" s="176"/>
      <c r="H71" s="16" t="s">
        <v>374</v>
      </c>
      <c r="I71" s="18"/>
      <c r="J71" s="27">
        <v>17388</v>
      </c>
      <c r="K71" s="18"/>
      <c r="L71" s="18"/>
      <c r="M71" s="18"/>
      <c r="N71" s="18"/>
      <c r="O71" s="18"/>
      <c r="P71" s="18"/>
      <c r="Q71" s="18"/>
      <c r="R71" s="26"/>
      <c r="S71" s="18"/>
      <c r="T71" s="18"/>
      <c r="U71" s="18"/>
      <c r="V71" s="27"/>
      <c r="W71" s="18"/>
      <c r="X71" s="18"/>
      <c r="Y71" s="18"/>
      <c r="Z71" s="162" t="b">
        <f t="shared" si="31"/>
        <v>0</v>
      </c>
      <c r="AA71" s="162" t="str">
        <f t="shared" si="32"/>
        <v>PUNO</v>
      </c>
      <c r="AC71" s="164"/>
    </row>
    <row r="72" spans="1:29" s="164" customFormat="1" ht="15.75" x14ac:dyDescent="0.2">
      <c r="A72" s="259"/>
      <c r="B72" s="194"/>
      <c r="C72" s="194"/>
      <c r="D72" s="194"/>
      <c r="E72" s="194"/>
      <c r="F72" s="194"/>
      <c r="G72" s="194"/>
      <c r="H72" s="21" t="s">
        <v>225</v>
      </c>
      <c r="I72" s="195" t="e">
        <f>I74</f>
        <v>#REF!</v>
      </c>
      <c r="J72" s="197" t="e">
        <f>J74</f>
        <v>#REF!</v>
      </c>
      <c r="K72" s="196" t="e">
        <f>K74</f>
        <v>#REF!</v>
      </c>
      <c r="L72" s="196" t="e">
        <f>L74</f>
        <v>#REF!</v>
      </c>
      <c r="M72" s="196" t="e">
        <f>ROUND(L72/K72*100,2)</f>
        <v>#REF!</v>
      </c>
      <c r="N72" s="196" t="e">
        <f>O72-K72</f>
        <v>#REF!</v>
      </c>
      <c r="O72" s="195" t="e">
        <f>O74</f>
        <v>#REF!</v>
      </c>
      <c r="P72" s="195" t="e">
        <f>P74</f>
        <v>#REF!</v>
      </c>
      <c r="Q72" s="195" t="e">
        <f>Q74</f>
        <v>#REF!</v>
      </c>
      <c r="R72" s="351" t="e">
        <f>V72-P72</f>
        <v>#REF!</v>
      </c>
      <c r="S72" s="195" t="e">
        <f t="shared" ref="S72:Y72" si="33">S74</f>
        <v>#REF!</v>
      </c>
      <c r="T72" s="195" t="e">
        <f t="shared" si="33"/>
        <v>#REF!</v>
      </c>
      <c r="U72" s="195" t="e">
        <f t="shared" si="33"/>
        <v>#REF!</v>
      </c>
      <c r="V72" s="197" t="e">
        <f t="shared" si="33"/>
        <v>#REF!</v>
      </c>
      <c r="W72" s="195">
        <f t="shared" si="33"/>
        <v>300000</v>
      </c>
      <c r="X72" s="195">
        <f t="shared" si="33"/>
        <v>300000</v>
      </c>
      <c r="Y72" s="195">
        <f t="shared" si="33"/>
        <v>294000</v>
      </c>
      <c r="Z72" s="162" t="b">
        <f t="shared" si="31"/>
        <v>1</v>
      </c>
      <c r="AA72" s="162" t="str">
        <f t="shared" si="32"/>
        <v>PRAZNO</v>
      </c>
      <c r="AB72" s="165"/>
    </row>
    <row r="73" spans="1:29" s="164" customFormat="1" ht="15.75" x14ac:dyDescent="0.2">
      <c r="A73" s="259"/>
      <c r="B73" s="194"/>
      <c r="C73" s="194"/>
      <c r="D73" s="194"/>
      <c r="E73" s="194"/>
      <c r="F73" s="194"/>
      <c r="G73" s="194"/>
      <c r="H73" s="11" t="s">
        <v>226</v>
      </c>
      <c r="I73" s="195"/>
      <c r="J73" s="197"/>
      <c r="K73" s="196"/>
      <c r="L73" s="196"/>
      <c r="M73" s="196"/>
      <c r="N73" s="196"/>
      <c r="O73" s="195"/>
      <c r="P73" s="195"/>
      <c r="Q73" s="195"/>
      <c r="R73" s="353"/>
      <c r="S73" s="195"/>
      <c r="T73" s="195"/>
      <c r="U73" s="195"/>
      <c r="V73" s="197"/>
      <c r="W73" s="195"/>
      <c r="X73" s="195"/>
      <c r="Y73" s="195"/>
      <c r="Z73" s="162" t="b">
        <f t="shared" si="31"/>
        <v>1</v>
      </c>
      <c r="AA73" s="162" t="str">
        <f t="shared" si="32"/>
        <v>PRAZNO</v>
      </c>
      <c r="AB73" s="165"/>
    </row>
    <row r="74" spans="1:29" s="171" customFormat="1" ht="15.75" x14ac:dyDescent="0.2">
      <c r="A74" s="259"/>
      <c r="B74" s="270"/>
      <c r="C74" s="270"/>
      <c r="D74" s="270"/>
      <c r="E74" s="270"/>
      <c r="F74" s="270"/>
      <c r="G74" s="270"/>
      <c r="H74" s="274" t="s">
        <v>708</v>
      </c>
      <c r="I74" s="272" t="e">
        <f>#REF!+I76+#REF!</f>
        <v>#REF!</v>
      </c>
      <c r="J74" s="275" t="e">
        <f>#REF!+J76+#REF!</f>
        <v>#REF!</v>
      </c>
      <c r="K74" s="273" t="e">
        <f>#REF!+K76+#REF!</f>
        <v>#REF!</v>
      </c>
      <c r="L74" s="273" t="e">
        <f>#REF!+L76+#REF!</f>
        <v>#REF!</v>
      </c>
      <c r="M74" s="273" t="e">
        <f>ROUND(L74/K74*100,2)</f>
        <v>#REF!</v>
      </c>
      <c r="N74" s="273" t="e">
        <f>O74-K74</f>
        <v>#REF!</v>
      </c>
      <c r="O74" s="272" t="e">
        <f>#REF!+O76+#REF!</f>
        <v>#REF!</v>
      </c>
      <c r="P74" s="272" t="e">
        <f>#REF!+P76+#REF!</f>
        <v>#REF!</v>
      </c>
      <c r="Q74" s="272" t="e">
        <f>#REF!+Q76+#REF!</f>
        <v>#REF!</v>
      </c>
      <c r="R74" s="336" t="e">
        <f>V74-P74</f>
        <v>#REF!</v>
      </c>
      <c r="S74" s="272" t="e">
        <f>#REF!+S76+#REF!</f>
        <v>#REF!</v>
      </c>
      <c r="T74" s="272" t="e">
        <f>#REF!+T76+#REF!</f>
        <v>#REF!</v>
      </c>
      <c r="U74" s="272" t="e">
        <f>#REF!+U76+#REF!</f>
        <v>#REF!</v>
      </c>
      <c r="V74" s="275" t="e">
        <f>#REF!+V76+#REF!</f>
        <v>#REF!</v>
      </c>
      <c r="W74" s="272">
        <f>W76</f>
        <v>300000</v>
      </c>
      <c r="X74" s="272">
        <f>X76</f>
        <v>300000</v>
      </c>
      <c r="Y74" s="272">
        <f>Y76</f>
        <v>294000</v>
      </c>
      <c r="Z74" s="162" t="b">
        <f t="shared" si="31"/>
        <v>1</v>
      </c>
      <c r="AA74" s="162" t="str">
        <f t="shared" si="32"/>
        <v>PRAZNO</v>
      </c>
      <c r="AB74" s="170"/>
      <c r="AC74" s="164"/>
    </row>
    <row r="75" spans="1:29" s="171" customFormat="1" ht="15.75" x14ac:dyDescent="0.2">
      <c r="A75" s="259"/>
      <c r="B75" s="168"/>
      <c r="C75" s="168"/>
      <c r="D75" s="168"/>
      <c r="E75" s="168"/>
      <c r="F75" s="168"/>
      <c r="G75" s="168"/>
      <c r="H75" s="13" t="s">
        <v>46</v>
      </c>
      <c r="I75" s="19"/>
      <c r="J75" s="53"/>
      <c r="K75" s="169"/>
      <c r="L75" s="169"/>
      <c r="M75" s="169"/>
      <c r="N75" s="169"/>
      <c r="O75" s="19"/>
      <c r="P75" s="19"/>
      <c r="Q75" s="19"/>
      <c r="R75" s="205"/>
      <c r="S75" s="19"/>
      <c r="T75" s="19"/>
      <c r="U75" s="19"/>
      <c r="V75" s="53"/>
      <c r="W75" s="19"/>
      <c r="X75" s="19"/>
      <c r="Y75" s="19"/>
      <c r="Z75" s="162" t="b">
        <f t="shared" si="31"/>
        <v>1</v>
      </c>
      <c r="AA75" s="162" t="str">
        <f t="shared" si="32"/>
        <v>PRAZNO</v>
      </c>
      <c r="AB75" s="170"/>
      <c r="AC75" s="164"/>
    </row>
    <row r="76" spans="1:29" s="171" customFormat="1" ht="31.5" x14ac:dyDescent="0.2">
      <c r="A76" s="259"/>
      <c r="B76" s="168"/>
      <c r="C76" s="168"/>
      <c r="D76" s="168"/>
      <c r="E76" s="168"/>
      <c r="F76" s="168"/>
      <c r="G76" s="168"/>
      <c r="H76" s="13" t="s">
        <v>151</v>
      </c>
      <c r="I76" s="19">
        <f>I80</f>
        <v>390000.2</v>
      </c>
      <c r="J76" s="53">
        <f>J80</f>
        <v>395928.81</v>
      </c>
      <c r="K76" s="169">
        <f>K80</f>
        <v>396240</v>
      </c>
      <c r="L76" s="169">
        <f>L80</f>
        <v>108500</v>
      </c>
      <c r="M76" s="169">
        <f>ROUND(L76/K76*100,2)</f>
        <v>27.38</v>
      </c>
      <c r="N76" s="169">
        <f>O76-K76</f>
        <v>-240</v>
      </c>
      <c r="O76" s="19">
        <f>O80</f>
        <v>396000</v>
      </c>
      <c r="P76" s="19">
        <f>P80</f>
        <v>370000</v>
      </c>
      <c r="Q76" s="19">
        <f>Q80</f>
        <v>152000</v>
      </c>
      <c r="R76" s="303">
        <f>V76-P76</f>
        <v>20000</v>
      </c>
      <c r="S76" s="19">
        <f t="shared" ref="S76:Y76" si="34">S80</f>
        <v>370000</v>
      </c>
      <c r="T76" s="19">
        <f t="shared" si="34"/>
        <v>390000</v>
      </c>
      <c r="U76" s="19">
        <f t="shared" si="34"/>
        <v>392000</v>
      </c>
      <c r="V76" s="53">
        <f t="shared" si="34"/>
        <v>390000</v>
      </c>
      <c r="W76" s="19">
        <f t="shared" si="34"/>
        <v>300000</v>
      </c>
      <c r="X76" s="19">
        <f t="shared" si="34"/>
        <v>300000</v>
      </c>
      <c r="Y76" s="19">
        <f t="shared" si="34"/>
        <v>294000</v>
      </c>
      <c r="Z76" s="162" t="b">
        <f t="shared" si="31"/>
        <v>1</v>
      </c>
      <c r="AA76" s="162" t="str">
        <f t="shared" si="32"/>
        <v>PRAZNO</v>
      </c>
      <c r="AB76" s="170"/>
      <c r="AC76" s="164"/>
    </row>
    <row r="77" spans="1:29" s="264" customFormat="1" ht="15.75" x14ac:dyDescent="0.2">
      <c r="A77" s="259"/>
      <c r="B77" s="260"/>
      <c r="C77" s="260"/>
      <c r="D77" s="260"/>
      <c r="E77" s="260"/>
      <c r="F77" s="260"/>
      <c r="G77" s="260"/>
      <c r="H77" s="440" t="s">
        <v>824</v>
      </c>
      <c r="I77" s="262"/>
      <c r="J77" s="342"/>
      <c r="K77" s="181"/>
      <c r="L77" s="181"/>
      <c r="M77" s="181"/>
      <c r="N77" s="181"/>
      <c r="O77" s="262"/>
      <c r="P77" s="262"/>
      <c r="Q77" s="262"/>
      <c r="R77" s="445"/>
      <c r="S77" s="262"/>
      <c r="T77" s="262"/>
      <c r="U77" s="262"/>
      <c r="V77" s="342"/>
      <c r="W77" s="262">
        <f t="shared" ref="W77:Y80" si="35">W78</f>
        <v>300000</v>
      </c>
      <c r="X77" s="262">
        <f t="shared" si="35"/>
        <v>300000</v>
      </c>
      <c r="Y77" s="262">
        <f t="shared" si="35"/>
        <v>294000</v>
      </c>
      <c r="Z77" s="162" t="b">
        <f t="shared" si="31"/>
        <v>1</v>
      </c>
      <c r="AA77" s="162" t="str">
        <f t="shared" si="32"/>
        <v>PRAZNO</v>
      </c>
      <c r="AB77" s="263"/>
    </row>
    <row r="78" spans="1:29" s="174" customFormat="1" ht="15.75" x14ac:dyDescent="0.2">
      <c r="A78" s="259"/>
      <c r="B78" s="172">
        <v>3</v>
      </c>
      <c r="C78" s="172"/>
      <c r="D78" s="172"/>
      <c r="E78" s="172"/>
      <c r="F78" s="172"/>
      <c r="G78" s="172"/>
      <c r="H78" s="14" t="s">
        <v>524</v>
      </c>
      <c r="I78" s="20">
        <f t="shared" ref="I78:L80" si="36">I79</f>
        <v>390000.2</v>
      </c>
      <c r="J78" s="55">
        <f t="shared" si="36"/>
        <v>395928.81</v>
      </c>
      <c r="K78" s="20">
        <f t="shared" si="36"/>
        <v>396240</v>
      </c>
      <c r="L78" s="20">
        <f t="shared" si="36"/>
        <v>108500</v>
      </c>
      <c r="M78" s="20">
        <f>ROUND(L78/K78*100,2)</f>
        <v>27.38</v>
      </c>
      <c r="N78" s="20">
        <f>O78-K78</f>
        <v>-240</v>
      </c>
      <c r="O78" s="20">
        <f t="shared" ref="O78:Q80" si="37">O79</f>
        <v>396000</v>
      </c>
      <c r="P78" s="20">
        <f t="shared" si="37"/>
        <v>370000</v>
      </c>
      <c r="Q78" s="20">
        <f t="shared" si="37"/>
        <v>152000</v>
      </c>
      <c r="R78" s="55">
        <f>V78-P78</f>
        <v>20000</v>
      </c>
      <c r="S78" s="20">
        <f t="shared" ref="S78:V80" si="38">S79</f>
        <v>370000</v>
      </c>
      <c r="T78" s="20">
        <f t="shared" si="38"/>
        <v>390000</v>
      </c>
      <c r="U78" s="20">
        <f t="shared" si="38"/>
        <v>392000</v>
      </c>
      <c r="V78" s="55">
        <f t="shared" si="38"/>
        <v>390000</v>
      </c>
      <c r="W78" s="20">
        <f t="shared" si="35"/>
        <v>300000</v>
      </c>
      <c r="X78" s="20">
        <f t="shared" si="35"/>
        <v>300000</v>
      </c>
      <c r="Y78" s="20">
        <f t="shared" si="35"/>
        <v>294000</v>
      </c>
      <c r="Z78" s="162" t="b">
        <f t="shared" si="31"/>
        <v>1</v>
      </c>
      <c r="AA78" s="162" t="str">
        <f t="shared" si="32"/>
        <v>PRAZNO</v>
      </c>
      <c r="AB78" s="173"/>
      <c r="AC78" s="164"/>
    </row>
    <row r="79" spans="1:29" ht="15.75" x14ac:dyDescent="0.2">
      <c r="B79" s="175"/>
      <c r="C79" s="175">
        <v>38</v>
      </c>
      <c r="D79" s="175"/>
      <c r="E79" s="175"/>
      <c r="F79" s="175"/>
      <c r="G79" s="175"/>
      <c r="H79" s="15" t="s">
        <v>539</v>
      </c>
      <c r="I79" s="22">
        <f t="shared" si="36"/>
        <v>390000.2</v>
      </c>
      <c r="J79" s="38">
        <f t="shared" si="36"/>
        <v>395928.81</v>
      </c>
      <c r="K79" s="22">
        <f t="shared" si="36"/>
        <v>396240</v>
      </c>
      <c r="L79" s="22">
        <f t="shared" si="36"/>
        <v>108500</v>
      </c>
      <c r="M79" s="22">
        <f>ROUND(L79/K79*100,2)</f>
        <v>27.38</v>
      </c>
      <c r="N79" s="22">
        <f>O79-K79</f>
        <v>-240</v>
      </c>
      <c r="O79" s="22">
        <f t="shared" si="37"/>
        <v>396000</v>
      </c>
      <c r="P79" s="22">
        <f t="shared" si="37"/>
        <v>370000</v>
      </c>
      <c r="Q79" s="22">
        <f t="shared" si="37"/>
        <v>152000</v>
      </c>
      <c r="R79" s="26">
        <f>V79-P79</f>
        <v>20000</v>
      </c>
      <c r="S79" s="22">
        <f t="shared" si="38"/>
        <v>370000</v>
      </c>
      <c r="T79" s="22">
        <f t="shared" si="38"/>
        <v>390000</v>
      </c>
      <c r="U79" s="22">
        <f t="shared" si="38"/>
        <v>392000</v>
      </c>
      <c r="V79" s="38">
        <f t="shared" si="38"/>
        <v>390000</v>
      </c>
      <c r="W79" s="22">
        <f t="shared" si="35"/>
        <v>300000</v>
      </c>
      <c r="X79" s="22">
        <f t="shared" si="35"/>
        <v>300000</v>
      </c>
      <c r="Y79" s="22">
        <f t="shared" si="35"/>
        <v>294000</v>
      </c>
      <c r="Z79" s="162" t="b">
        <f t="shared" si="31"/>
        <v>1</v>
      </c>
      <c r="AA79" s="162" t="str">
        <f t="shared" si="32"/>
        <v>PRAZNO</v>
      </c>
      <c r="AC79" s="164"/>
    </row>
    <row r="80" spans="1:29" ht="15.75" x14ac:dyDescent="0.2">
      <c r="B80" s="177"/>
      <c r="C80" s="177"/>
      <c r="D80" s="177">
        <v>382</v>
      </c>
      <c r="E80" s="177"/>
      <c r="F80" s="177"/>
      <c r="G80" s="177"/>
      <c r="H80" s="16" t="s">
        <v>230</v>
      </c>
      <c r="I80" s="17">
        <f t="shared" si="36"/>
        <v>390000.2</v>
      </c>
      <c r="J80" s="26">
        <f t="shared" si="36"/>
        <v>395928.81</v>
      </c>
      <c r="K80" s="17">
        <f t="shared" si="36"/>
        <v>396240</v>
      </c>
      <c r="L80" s="17">
        <f t="shared" si="36"/>
        <v>108500</v>
      </c>
      <c r="M80" s="17">
        <f>ROUND(L80/K80*100,2)</f>
        <v>27.38</v>
      </c>
      <c r="N80" s="17">
        <f>O80-K80</f>
        <v>-240</v>
      </c>
      <c r="O80" s="17">
        <f t="shared" si="37"/>
        <v>396000</v>
      </c>
      <c r="P80" s="17">
        <f t="shared" si="37"/>
        <v>370000</v>
      </c>
      <c r="Q80" s="17">
        <f t="shared" si="37"/>
        <v>152000</v>
      </c>
      <c r="R80" s="26">
        <f>V80-P80</f>
        <v>20000</v>
      </c>
      <c r="S80" s="17">
        <f t="shared" si="38"/>
        <v>370000</v>
      </c>
      <c r="T80" s="17">
        <f t="shared" si="38"/>
        <v>390000</v>
      </c>
      <c r="U80" s="17">
        <f t="shared" si="38"/>
        <v>392000</v>
      </c>
      <c r="V80" s="26">
        <f t="shared" si="38"/>
        <v>390000</v>
      </c>
      <c r="W80" s="17">
        <f t="shared" si="35"/>
        <v>300000</v>
      </c>
      <c r="X80" s="17">
        <f t="shared" si="35"/>
        <v>300000</v>
      </c>
      <c r="Y80" s="17">
        <f t="shared" si="35"/>
        <v>294000</v>
      </c>
      <c r="Z80" s="162" t="b">
        <f t="shared" si="31"/>
        <v>1</v>
      </c>
      <c r="AA80" s="162" t="str">
        <f t="shared" si="32"/>
        <v>PRAZNO</v>
      </c>
      <c r="AC80" s="164"/>
    </row>
    <row r="81" spans="1:29" ht="30" x14ac:dyDescent="0.2">
      <c r="B81" s="177"/>
      <c r="C81" s="177"/>
      <c r="D81" s="177"/>
      <c r="E81" s="177">
        <v>3821</v>
      </c>
      <c r="F81" s="176">
        <v>11</v>
      </c>
      <c r="G81" s="176" t="s">
        <v>228</v>
      </c>
      <c r="H81" s="16" t="s">
        <v>929</v>
      </c>
      <c r="I81" s="18">
        <v>390000.2</v>
      </c>
      <c r="J81" s="27">
        <v>395928.81</v>
      </c>
      <c r="K81" s="18">
        <v>396240</v>
      </c>
      <c r="L81" s="18">
        <v>108500</v>
      </c>
      <c r="M81" s="18">
        <f>ROUND(L81/K81*100,2)</f>
        <v>27.38</v>
      </c>
      <c r="N81" s="18">
        <f>O81-K81</f>
        <v>-240</v>
      </c>
      <c r="O81" s="18">
        <v>396000</v>
      </c>
      <c r="P81" s="18">
        <v>370000</v>
      </c>
      <c r="Q81" s="18">
        <v>152000</v>
      </c>
      <c r="R81" s="26">
        <f>V81-P81</f>
        <v>20000</v>
      </c>
      <c r="S81" s="18">
        <v>370000</v>
      </c>
      <c r="T81" s="18">
        <v>390000</v>
      </c>
      <c r="U81" s="18">
        <v>392000</v>
      </c>
      <c r="V81" s="27">
        <v>390000</v>
      </c>
      <c r="W81" s="27">
        <v>300000</v>
      </c>
      <c r="X81" s="27">
        <v>300000</v>
      </c>
      <c r="Y81" s="27">
        <v>294000</v>
      </c>
      <c r="Z81" s="162" t="b">
        <f t="shared" si="31"/>
        <v>0</v>
      </c>
      <c r="AA81" s="162" t="str">
        <f t="shared" si="32"/>
        <v>PUNO</v>
      </c>
      <c r="AC81" s="164"/>
    </row>
    <row r="82" spans="1:29" ht="15.75" hidden="1" x14ac:dyDescent="0.2">
      <c r="B82" s="177"/>
      <c r="C82" s="177"/>
      <c r="D82" s="177"/>
      <c r="E82" s="177"/>
      <c r="F82" s="176"/>
      <c r="G82" s="176"/>
      <c r="H82" s="16"/>
      <c r="I82" s="18"/>
      <c r="J82" s="27"/>
      <c r="K82" s="18"/>
      <c r="L82" s="18"/>
      <c r="M82" s="18"/>
      <c r="N82" s="18"/>
      <c r="O82" s="18"/>
      <c r="P82" s="18"/>
      <c r="Q82" s="18"/>
      <c r="R82" s="26"/>
      <c r="S82" s="18"/>
      <c r="T82" s="18"/>
      <c r="U82" s="18"/>
      <c r="V82" s="27"/>
      <c r="W82" s="27"/>
      <c r="X82" s="27"/>
      <c r="Y82" s="27"/>
      <c r="Z82" s="162" t="b">
        <f t="shared" si="31"/>
        <v>1</v>
      </c>
      <c r="AA82" s="162" t="str">
        <f t="shared" si="32"/>
        <v>PRAZNO</v>
      </c>
      <c r="AC82" s="164"/>
    </row>
    <row r="83" spans="1:29" ht="15.75" hidden="1" x14ac:dyDescent="0.2">
      <c r="B83" s="177"/>
      <c r="C83" s="177"/>
      <c r="D83" s="177"/>
      <c r="E83" s="177"/>
      <c r="F83" s="176"/>
      <c r="G83" s="176"/>
      <c r="H83" s="16"/>
      <c r="I83" s="18"/>
      <c r="J83" s="27"/>
      <c r="K83" s="18"/>
      <c r="L83" s="18"/>
      <c r="M83" s="18"/>
      <c r="N83" s="18"/>
      <c r="O83" s="18"/>
      <c r="P83" s="18"/>
      <c r="Q83" s="18"/>
      <c r="R83" s="26"/>
      <c r="S83" s="18"/>
      <c r="T83" s="18"/>
      <c r="U83" s="18"/>
      <c r="V83" s="27"/>
      <c r="W83" s="27"/>
      <c r="X83" s="27"/>
      <c r="Y83" s="27"/>
      <c r="Z83" s="162" t="b">
        <f t="shared" si="31"/>
        <v>1</v>
      </c>
      <c r="AA83" s="162" t="str">
        <f t="shared" si="32"/>
        <v>PRAZNO</v>
      </c>
      <c r="AC83" s="164"/>
    </row>
    <row r="84" spans="1:29" s="164" customFormat="1" ht="15.75" hidden="1" x14ac:dyDescent="0.2">
      <c r="A84" s="259"/>
      <c r="B84" s="324"/>
      <c r="C84" s="324"/>
      <c r="D84" s="324"/>
      <c r="E84" s="324"/>
      <c r="F84" s="325"/>
      <c r="G84" s="325"/>
      <c r="H84" s="328" t="s">
        <v>369</v>
      </c>
      <c r="I84" s="326"/>
      <c r="J84" s="329">
        <f>J86</f>
        <v>62630.15</v>
      </c>
      <c r="K84" s="326"/>
      <c r="L84" s="326"/>
      <c r="M84" s="326"/>
      <c r="N84" s="326"/>
      <c r="O84" s="326"/>
      <c r="P84" s="326"/>
      <c r="Q84" s="326"/>
      <c r="R84" s="353"/>
      <c r="S84" s="326"/>
      <c r="T84" s="326"/>
      <c r="U84" s="326"/>
      <c r="V84" s="327"/>
      <c r="W84" s="326"/>
      <c r="X84" s="326"/>
      <c r="Y84" s="326"/>
      <c r="Z84" s="162" t="b">
        <f t="shared" si="31"/>
        <v>1</v>
      </c>
      <c r="AA84" s="162" t="str">
        <f t="shared" si="32"/>
        <v>PRAZNO</v>
      </c>
      <c r="AB84" s="165"/>
    </row>
    <row r="85" spans="1:29" s="164" customFormat="1" ht="15.75" hidden="1" x14ac:dyDescent="0.2">
      <c r="A85" s="259"/>
      <c r="B85" s="324"/>
      <c r="C85" s="324"/>
      <c r="D85" s="324"/>
      <c r="E85" s="324"/>
      <c r="F85" s="325"/>
      <c r="G85" s="325"/>
      <c r="H85" s="328" t="s">
        <v>370</v>
      </c>
      <c r="I85" s="326"/>
      <c r="J85" s="329"/>
      <c r="K85" s="326"/>
      <c r="L85" s="326"/>
      <c r="M85" s="326"/>
      <c r="N85" s="326"/>
      <c r="O85" s="326"/>
      <c r="P85" s="326"/>
      <c r="Q85" s="326"/>
      <c r="R85" s="353"/>
      <c r="S85" s="326"/>
      <c r="T85" s="326"/>
      <c r="U85" s="326"/>
      <c r="V85" s="327"/>
      <c r="W85" s="326"/>
      <c r="X85" s="326"/>
      <c r="Y85" s="326"/>
      <c r="Z85" s="162" t="b">
        <f t="shared" si="31"/>
        <v>1</v>
      </c>
      <c r="AA85" s="162" t="str">
        <f t="shared" si="32"/>
        <v>PRAZNO</v>
      </c>
      <c r="AB85" s="165"/>
    </row>
    <row r="86" spans="1:29" s="164" customFormat="1" ht="15.75" hidden="1" x14ac:dyDescent="0.2">
      <c r="A86" s="259"/>
      <c r="B86" s="324"/>
      <c r="C86" s="324"/>
      <c r="D86" s="324"/>
      <c r="E86" s="324"/>
      <c r="F86" s="325"/>
      <c r="G86" s="325"/>
      <c r="H86" s="328" t="s">
        <v>371</v>
      </c>
      <c r="I86" s="326"/>
      <c r="J86" s="329">
        <f>J87</f>
        <v>62630.15</v>
      </c>
      <c r="K86" s="326"/>
      <c r="L86" s="326"/>
      <c r="M86" s="326"/>
      <c r="N86" s="326"/>
      <c r="O86" s="326"/>
      <c r="P86" s="326"/>
      <c r="Q86" s="326"/>
      <c r="R86" s="353"/>
      <c r="S86" s="326"/>
      <c r="T86" s="326"/>
      <c r="U86" s="326"/>
      <c r="V86" s="327"/>
      <c r="W86" s="326"/>
      <c r="X86" s="326"/>
      <c r="Y86" s="326"/>
      <c r="Z86" s="162" t="b">
        <f t="shared" si="31"/>
        <v>1</v>
      </c>
      <c r="AA86" s="162" t="str">
        <f t="shared" si="32"/>
        <v>PRAZNO</v>
      </c>
      <c r="AB86" s="165"/>
    </row>
    <row r="87" spans="1:29" s="164" customFormat="1" ht="15.75" hidden="1" x14ac:dyDescent="0.2">
      <c r="A87" s="259"/>
      <c r="B87" s="324"/>
      <c r="C87" s="324"/>
      <c r="D87" s="324"/>
      <c r="E87" s="324"/>
      <c r="F87" s="325"/>
      <c r="G87" s="325"/>
      <c r="H87" s="328" t="s">
        <v>372</v>
      </c>
      <c r="I87" s="326"/>
      <c r="J87" s="329">
        <f>J88</f>
        <v>62630.15</v>
      </c>
      <c r="K87" s="326"/>
      <c r="L87" s="326"/>
      <c r="M87" s="326"/>
      <c r="N87" s="326"/>
      <c r="O87" s="326"/>
      <c r="P87" s="326"/>
      <c r="Q87" s="326"/>
      <c r="R87" s="353"/>
      <c r="S87" s="326"/>
      <c r="T87" s="326"/>
      <c r="U87" s="326"/>
      <c r="V87" s="327"/>
      <c r="W87" s="326"/>
      <c r="X87" s="326"/>
      <c r="Y87" s="326"/>
      <c r="Z87" s="162" t="b">
        <f t="shared" si="31"/>
        <v>1</v>
      </c>
      <c r="AA87" s="162" t="str">
        <f t="shared" si="32"/>
        <v>PRAZNO</v>
      </c>
      <c r="AB87" s="165"/>
    </row>
    <row r="88" spans="1:29" s="174" customFormat="1" ht="15.75" hidden="1" x14ac:dyDescent="0.2">
      <c r="A88" s="259"/>
      <c r="B88" s="172">
        <v>4</v>
      </c>
      <c r="C88" s="172"/>
      <c r="D88" s="172"/>
      <c r="E88" s="172"/>
      <c r="F88" s="220"/>
      <c r="G88" s="220"/>
      <c r="H88" s="14" t="s">
        <v>552</v>
      </c>
      <c r="I88" s="184"/>
      <c r="J88" s="185">
        <f>J89</f>
        <v>62630.15</v>
      </c>
      <c r="K88" s="184"/>
      <c r="L88" s="184"/>
      <c r="M88" s="184"/>
      <c r="N88" s="184"/>
      <c r="O88" s="184"/>
      <c r="P88" s="184"/>
      <c r="Q88" s="184"/>
      <c r="R88" s="55"/>
      <c r="S88" s="184"/>
      <c r="T88" s="184"/>
      <c r="U88" s="184"/>
      <c r="V88" s="185"/>
      <c r="W88" s="184"/>
      <c r="X88" s="184"/>
      <c r="Y88" s="184"/>
      <c r="Z88" s="162" t="b">
        <f t="shared" si="31"/>
        <v>1</v>
      </c>
      <c r="AA88" s="162" t="str">
        <f t="shared" si="32"/>
        <v>PRAZNO</v>
      </c>
      <c r="AB88" s="173"/>
    </row>
    <row r="89" spans="1:29" s="264" customFormat="1" ht="15.75" hidden="1" x14ac:dyDescent="0.2">
      <c r="A89" s="259"/>
      <c r="B89" s="177"/>
      <c r="C89" s="177">
        <v>42</v>
      </c>
      <c r="D89" s="177"/>
      <c r="E89" s="177"/>
      <c r="F89" s="265"/>
      <c r="G89" s="265"/>
      <c r="H89" s="16" t="s">
        <v>212</v>
      </c>
      <c r="I89" s="178"/>
      <c r="J89" s="266">
        <f>J90+J93</f>
        <v>62630.15</v>
      </c>
      <c r="K89" s="178"/>
      <c r="L89" s="178"/>
      <c r="M89" s="178"/>
      <c r="N89" s="178"/>
      <c r="O89" s="178"/>
      <c r="P89" s="178"/>
      <c r="Q89" s="178"/>
      <c r="R89" s="307"/>
      <c r="S89" s="178"/>
      <c r="T89" s="178"/>
      <c r="U89" s="178"/>
      <c r="V89" s="266"/>
      <c r="W89" s="178"/>
      <c r="X89" s="178"/>
      <c r="Y89" s="178"/>
      <c r="Z89" s="162" t="b">
        <f t="shared" si="31"/>
        <v>1</v>
      </c>
      <c r="AA89" s="162" t="str">
        <f t="shared" si="32"/>
        <v>PRAZNO</v>
      </c>
      <c r="AB89" s="263"/>
    </row>
    <row r="90" spans="1:29" ht="15.75" hidden="1" x14ac:dyDescent="0.2">
      <c r="B90" s="177"/>
      <c r="C90" s="177"/>
      <c r="D90" s="177">
        <v>422</v>
      </c>
      <c r="E90" s="177"/>
      <c r="F90" s="176"/>
      <c r="G90" s="176"/>
      <c r="H90" s="16" t="s">
        <v>368</v>
      </c>
      <c r="I90" s="18"/>
      <c r="J90" s="27">
        <f>J91+J92</f>
        <v>33650.15</v>
      </c>
      <c r="K90" s="18"/>
      <c r="L90" s="18"/>
      <c r="M90" s="18"/>
      <c r="N90" s="18"/>
      <c r="O90" s="18"/>
      <c r="P90" s="18"/>
      <c r="Q90" s="18"/>
      <c r="R90" s="26"/>
      <c r="S90" s="18"/>
      <c r="T90" s="18"/>
      <c r="U90" s="18"/>
      <c r="V90" s="27"/>
      <c r="W90" s="18"/>
      <c r="X90" s="18"/>
      <c r="Y90" s="18"/>
      <c r="Z90" s="162" t="b">
        <f t="shared" si="31"/>
        <v>1</v>
      </c>
      <c r="AA90" s="162" t="str">
        <f t="shared" si="32"/>
        <v>PRAZNO</v>
      </c>
      <c r="AC90" s="164"/>
    </row>
    <row r="91" spans="1:29" ht="15.75" hidden="1" x14ac:dyDescent="0.2">
      <c r="B91" s="177"/>
      <c r="C91" s="177"/>
      <c r="D91" s="177"/>
      <c r="E91" s="177">
        <v>4221</v>
      </c>
      <c r="F91" s="176" t="s">
        <v>527</v>
      </c>
      <c r="G91" s="176"/>
      <c r="H91" s="16" t="s">
        <v>558</v>
      </c>
      <c r="I91" s="18"/>
      <c r="J91" s="27">
        <v>13460.06</v>
      </c>
      <c r="K91" s="18"/>
      <c r="L91" s="18"/>
      <c r="M91" s="18"/>
      <c r="N91" s="18"/>
      <c r="O91" s="18"/>
      <c r="P91" s="18"/>
      <c r="Q91" s="18"/>
      <c r="R91" s="26"/>
      <c r="S91" s="18"/>
      <c r="T91" s="18"/>
      <c r="U91" s="18"/>
      <c r="V91" s="27"/>
      <c r="W91" s="18"/>
      <c r="X91" s="18"/>
      <c r="Y91" s="18"/>
      <c r="Z91" s="162" t="b">
        <f t="shared" si="31"/>
        <v>0</v>
      </c>
      <c r="AA91" s="162" t="str">
        <f t="shared" si="32"/>
        <v>PUNO</v>
      </c>
      <c r="AC91" s="164"/>
    </row>
    <row r="92" spans="1:29" ht="15.75" hidden="1" x14ac:dyDescent="0.2">
      <c r="B92" s="177"/>
      <c r="C92" s="177"/>
      <c r="D92" s="177"/>
      <c r="E92" s="177">
        <v>4221</v>
      </c>
      <c r="F92" s="176" t="s">
        <v>537</v>
      </c>
      <c r="G92" s="176"/>
      <c r="H92" s="16" t="s">
        <v>373</v>
      </c>
      <c r="I92" s="18"/>
      <c r="J92" s="27">
        <v>20190.09</v>
      </c>
      <c r="K92" s="18"/>
      <c r="L92" s="18"/>
      <c r="M92" s="18"/>
      <c r="N92" s="18"/>
      <c r="O92" s="18"/>
      <c r="P92" s="18"/>
      <c r="Q92" s="18"/>
      <c r="R92" s="26"/>
      <c r="S92" s="18"/>
      <c r="T92" s="18"/>
      <c r="U92" s="18"/>
      <c r="V92" s="27"/>
      <c r="W92" s="18"/>
      <c r="X92" s="18"/>
      <c r="Y92" s="18"/>
      <c r="Z92" s="162" t="b">
        <f t="shared" si="31"/>
        <v>0</v>
      </c>
      <c r="AA92" s="162" t="str">
        <f t="shared" si="32"/>
        <v>PUNO</v>
      </c>
      <c r="AC92" s="164"/>
    </row>
    <row r="93" spans="1:29" ht="15.75" hidden="1" x14ac:dyDescent="0.2">
      <c r="B93" s="177"/>
      <c r="C93" s="177"/>
      <c r="D93" s="177">
        <v>426</v>
      </c>
      <c r="E93" s="177"/>
      <c r="F93" s="176"/>
      <c r="G93" s="176"/>
      <c r="H93" s="16" t="s">
        <v>560</v>
      </c>
      <c r="I93" s="18"/>
      <c r="J93" s="27">
        <f>J94+J95</f>
        <v>28980</v>
      </c>
      <c r="K93" s="18"/>
      <c r="L93" s="18"/>
      <c r="M93" s="18"/>
      <c r="N93" s="18"/>
      <c r="O93" s="18"/>
      <c r="P93" s="18"/>
      <c r="Q93" s="18"/>
      <c r="R93" s="26"/>
      <c r="S93" s="18"/>
      <c r="T93" s="18"/>
      <c r="U93" s="18"/>
      <c r="V93" s="27"/>
      <c r="W93" s="18"/>
      <c r="X93" s="18"/>
      <c r="Y93" s="18"/>
      <c r="Z93" s="162" t="b">
        <f t="shared" si="31"/>
        <v>1</v>
      </c>
      <c r="AA93" s="162" t="str">
        <f t="shared" si="32"/>
        <v>PRAZNO</v>
      </c>
      <c r="AC93" s="164"/>
    </row>
    <row r="94" spans="1:29" ht="15.75" hidden="1" x14ac:dyDescent="0.2">
      <c r="B94" s="177"/>
      <c r="C94" s="177"/>
      <c r="D94" s="177"/>
      <c r="E94" s="177">
        <v>4262</v>
      </c>
      <c r="F94" s="176" t="s">
        <v>527</v>
      </c>
      <c r="G94" s="176"/>
      <c r="H94" s="16" t="s">
        <v>374</v>
      </c>
      <c r="I94" s="18"/>
      <c r="J94" s="27">
        <v>11592</v>
      </c>
      <c r="K94" s="18"/>
      <c r="L94" s="18"/>
      <c r="M94" s="18"/>
      <c r="N94" s="18"/>
      <c r="O94" s="18"/>
      <c r="P94" s="18"/>
      <c r="Q94" s="18"/>
      <c r="R94" s="26"/>
      <c r="S94" s="18"/>
      <c r="T94" s="18"/>
      <c r="U94" s="18"/>
      <c r="V94" s="27"/>
      <c r="W94" s="18"/>
      <c r="X94" s="18"/>
      <c r="Y94" s="18"/>
      <c r="Z94" s="162" t="b">
        <f t="shared" si="31"/>
        <v>0</v>
      </c>
      <c r="AA94" s="162" t="str">
        <f t="shared" si="32"/>
        <v>PUNO</v>
      </c>
      <c r="AC94" s="164"/>
    </row>
    <row r="95" spans="1:29" ht="15.75" hidden="1" x14ac:dyDescent="0.2">
      <c r="B95" s="177"/>
      <c r="C95" s="177"/>
      <c r="D95" s="177"/>
      <c r="E95" s="177">
        <v>4262</v>
      </c>
      <c r="F95" s="176" t="s">
        <v>537</v>
      </c>
      <c r="G95" s="176"/>
      <c r="H95" s="16" t="s">
        <v>374</v>
      </c>
      <c r="I95" s="18"/>
      <c r="J95" s="27">
        <v>17388</v>
      </c>
      <c r="K95" s="18"/>
      <c r="L95" s="18"/>
      <c r="M95" s="18"/>
      <c r="N95" s="18"/>
      <c r="O95" s="18"/>
      <c r="P95" s="18"/>
      <c r="Q95" s="18"/>
      <c r="R95" s="26"/>
      <c r="S95" s="18"/>
      <c r="T95" s="18"/>
      <c r="U95" s="18"/>
      <c r="V95" s="27"/>
      <c r="W95" s="18"/>
      <c r="X95" s="18"/>
      <c r="Y95" s="18"/>
      <c r="Z95" s="162" t="b">
        <f t="shared" si="31"/>
        <v>0</v>
      </c>
      <c r="AA95" s="162" t="str">
        <f t="shared" si="32"/>
        <v>PUNO</v>
      </c>
      <c r="AC95" s="164"/>
    </row>
    <row r="96" spans="1:29" s="164" customFormat="1" ht="15.75" x14ac:dyDescent="0.2">
      <c r="A96" s="259"/>
      <c r="B96" s="194"/>
      <c r="C96" s="194"/>
      <c r="D96" s="194"/>
      <c r="E96" s="194"/>
      <c r="F96" s="194"/>
      <c r="G96" s="194"/>
      <c r="H96" s="21" t="s">
        <v>231</v>
      </c>
      <c r="I96" s="195" t="e">
        <f>I98</f>
        <v>#REF!</v>
      </c>
      <c r="J96" s="197" t="e">
        <f>J98</f>
        <v>#REF!</v>
      </c>
      <c r="K96" s="196" t="e">
        <f>K98</f>
        <v>#REF!</v>
      </c>
      <c r="L96" s="196" t="e">
        <f>L98</f>
        <v>#REF!</v>
      </c>
      <c r="M96" s="196" t="e">
        <f>ROUND(L96/K96*100,2)</f>
        <v>#REF!</v>
      </c>
      <c r="N96" s="196" t="e">
        <f>O96-K96</f>
        <v>#REF!</v>
      </c>
      <c r="O96" s="195" t="e">
        <f>O98</f>
        <v>#REF!</v>
      </c>
      <c r="P96" s="195" t="e">
        <f>P98</f>
        <v>#REF!</v>
      </c>
      <c r="Q96" s="195" t="e">
        <f>Q98</f>
        <v>#REF!</v>
      </c>
      <c r="R96" s="351" t="e">
        <f>V96-P96</f>
        <v>#REF!</v>
      </c>
      <c r="S96" s="195" t="e">
        <f t="shared" ref="S96:Y96" si="39">S98</f>
        <v>#REF!</v>
      </c>
      <c r="T96" s="195" t="e">
        <f t="shared" si="39"/>
        <v>#REF!</v>
      </c>
      <c r="U96" s="195" t="e">
        <f t="shared" si="39"/>
        <v>#REF!</v>
      </c>
      <c r="V96" s="197" t="e">
        <f t="shared" si="39"/>
        <v>#REF!</v>
      </c>
      <c r="W96" s="195">
        <f t="shared" si="39"/>
        <v>10000</v>
      </c>
      <c r="X96" s="195">
        <f t="shared" si="39"/>
        <v>5000</v>
      </c>
      <c r="Y96" s="195">
        <f t="shared" si="39"/>
        <v>5000</v>
      </c>
      <c r="Z96" s="162" t="b">
        <f t="shared" si="31"/>
        <v>1</v>
      </c>
      <c r="AA96" s="162" t="str">
        <f t="shared" si="32"/>
        <v>PRAZNO</v>
      </c>
      <c r="AB96" s="163"/>
    </row>
    <row r="97" spans="1:29" s="164" customFormat="1" ht="15.75" x14ac:dyDescent="0.2">
      <c r="A97" s="259"/>
      <c r="B97" s="194"/>
      <c r="C97" s="194"/>
      <c r="D97" s="194"/>
      <c r="E97" s="194"/>
      <c r="F97" s="194"/>
      <c r="G97" s="194"/>
      <c r="H97" s="11" t="s">
        <v>573</v>
      </c>
      <c r="I97" s="195"/>
      <c r="J97" s="197"/>
      <c r="K97" s="196"/>
      <c r="L97" s="196"/>
      <c r="M97" s="196" t="e">
        <f>ROUND(L97/K97*100,2)</f>
        <v>#DIV/0!</v>
      </c>
      <c r="N97" s="196"/>
      <c r="O97" s="195"/>
      <c r="P97" s="195"/>
      <c r="Q97" s="195"/>
      <c r="R97" s="353"/>
      <c r="S97" s="195"/>
      <c r="T97" s="195"/>
      <c r="U97" s="195"/>
      <c r="V97" s="197"/>
      <c r="W97" s="195"/>
      <c r="X97" s="195"/>
      <c r="Y97" s="195"/>
      <c r="Z97" s="162" t="b">
        <f t="shared" si="31"/>
        <v>1</v>
      </c>
      <c r="AA97" s="162" t="str">
        <f t="shared" si="32"/>
        <v>PRAZNO</v>
      </c>
      <c r="AB97" s="165"/>
    </row>
    <row r="98" spans="1:29" s="171" customFormat="1" ht="15.75" x14ac:dyDescent="0.2">
      <c r="A98" s="259"/>
      <c r="B98" s="270"/>
      <c r="C98" s="270"/>
      <c r="D98" s="270"/>
      <c r="E98" s="270"/>
      <c r="F98" s="270"/>
      <c r="G98" s="270"/>
      <c r="H98" s="271" t="s">
        <v>236</v>
      </c>
      <c r="I98" s="272" t="e">
        <f>#REF!+I99</f>
        <v>#REF!</v>
      </c>
      <c r="J98" s="275" t="e">
        <f>#REF!+J99</f>
        <v>#REF!</v>
      </c>
      <c r="K98" s="273" t="e">
        <f>#REF!+K99</f>
        <v>#REF!</v>
      </c>
      <c r="L98" s="273" t="e">
        <f>#REF!+L99</f>
        <v>#REF!</v>
      </c>
      <c r="M98" s="273" t="e">
        <f>ROUND(L98/K98*100,2)</f>
        <v>#REF!</v>
      </c>
      <c r="N98" s="273" t="e">
        <f>O98-K98</f>
        <v>#REF!</v>
      </c>
      <c r="O98" s="272" t="e">
        <f>#REF!+O99</f>
        <v>#REF!</v>
      </c>
      <c r="P98" s="272" t="e">
        <f>#REF!+P99</f>
        <v>#REF!</v>
      </c>
      <c r="Q98" s="272" t="e">
        <f>#REF!+Q99</f>
        <v>#REF!</v>
      </c>
      <c r="R98" s="336" t="e">
        <f>V98-P98</f>
        <v>#REF!</v>
      </c>
      <c r="S98" s="272" t="e">
        <f>#REF!+S99</f>
        <v>#REF!</v>
      </c>
      <c r="T98" s="272" t="e">
        <f>#REF!+T99</f>
        <v>#REF!</v>
      </c>
      <c r="U98" s="272" t="e">
        <f>#REF!+U99</f>
        <v>#REF!</v>
      </c>
      <c r="V98" s="275" t="e">
        <f>#REF!+V99</f>
        <v>#REF!</v>
      </c>
      <c r="W98" s="272">
        <f>W99</f>
        <v>10000</v>
      </c>
      <c r="X98" s="272">
        <f>X99</f>
        <v>5000</v>
      </c>
      <c r="Y98" s="272">
        <f>Y99</f>
        <v>5000</v>
      </c>
      <c r="Z98" s="162" t="b">
        <f t="shared" si="31"/>
        <v>1</v>
      </c>
      <c r="AA98" s="162" t="str">
        <f t="shared" si="32"/>
        <v>PRAZNO</v>
      </c>
      <c r="AB98" s="170"/>
      <c r="AC98" s="164"/>
    </row>
    <row r="99" spans="1:29" s="171" customFormat="1" ht="15.75" x14ac:dyDescent="0.2">
      <c r="A99" s="259"/>
      <c r="B99" s="168"/>
      <c r="C99" s="168"/>
      <c r="D99" s="168"/>
      <c r="E99" s="168"/>
      <c r="F99" s="168"/>
      <c r="G99" s="168"/>
      <c r="H99" s="12" t="s">
        <v>152</v>
      </c>
      <c r="I99" s="19">
        <f>I101</f>
        <v>98212.99</v>
      </c>
      <c r="J99" s="53">
        <f>J101</f>
        <v>0</v>
      </c>
      <c r="K99" s="169">
        <f>K101</f>
        <v>8800</v>
      </c>
      <c r="L99" s="169">
        <f>L101</f>
        <v>6745.71</v>
      </c>
      <c r="M99" s="169">
        <f>ROUND(L99/K99*100,2)</f>
        <v>76.66</v>
      </c>
      <c r="N99" s="169">
        <f>O99-K99</f>
        <v>-78.290000000000873</v>
      </c>
      <c r="O99" s="19">
        <f>O101</f>
        <v>8721.7099999999991</v>
      </c>
      <c r="P99" s="19">
        <f>P101</f>
        <v>5000</v>
      </c>
      <c r="Q99" s="19">
        <f>Q101</f>
        <v>3099</v>
      </c>
      <c r="R99" s="303">
        <f>V99-P99</f>
        <v>15000</v>
      </c>
      <c r="S99" s="19">
        <f t="shared" ref="S99:Y99" si="40">S101</f>
        <v>5000</v>
      </c>
      <c r="T99" s="19">
        <f t="shared" si="40"/>
        <v>5000</v>
      </c>
      <c r="U99" s="19">
        <f t="shared" si="40"/>
        <v>6000</v>
      </c>
      <c r="V99" s="53">
        <f t="shared" si="40"/>
        <v>20000</v>
      </c>
      <c r="W99" s="19">
        <f t="shared" si="40"/>
        <v>10000</v>
      </c>
      <c r="X99" s="19">
        <f t="shared" si="40"/>
        <v>5000</v>
      </c>
      <c r="Y99" s="19">
        <f t="shared" si="40"/>
        <v>5000</v>
      </c>
      <c r="Z99" s="162" t="b">
        <f t="shared" ref="Z99:Z112" si="41">ISBLANK(E99)</f>
        <v>1</v>
      </c>
      <c r="AA99" s="162" t="str">
        <f t="shared" ref="AA99:AA112" si="42">IF(Z99,"PRAZNO","PUNO")</f>
        <v>PRAZNO</v>
      </c>
      <c r="AB99" s="170"/>
      <c r="AC99" s="164"/>
    </row>
    <row r="100" spans="1:29" s="264" customFormat="1" ht="15.75" x14ac:dyDescent="0.2">
      <c r="A100" s="259"/>
      <c r="B100" s="260"/>
      <c r="C100" s="260"/>
      <c r="D100" s="260"/>
      <c r="E100" s="260"/>
      <c r="F100" s="260"/>
      <c r="G100" s="260"/>
      <c r="H100" s="441" t="s">
        <v>826</v>
      </c>
      <c r="I100" s="262"/>
      <c r="J100" s="342"/>
      <c r="K100" s="181"/>
      <c r="L100" s="181"/>
      <c r="M100" s="181"/>
      <c r="N100" s="181"/>
      <c r="O100" s="262"/>
      <c r="P100" s="262"/>
      <c r="Q100" s="262"/>
      <c r="R100" s="445"/>
      <c r="S100" s="262"/>
      <c r="T100" s="262"/>
      <c r="U100" s="262"/>
      <c r="V100" s="342"/>
      <c r="W100" s="262">
        <f t="shared" ref="W100:Y102" si="43">W101</f>
        <v>10000</v>
      </c>
      <c r="X100" s="262">
        <f t="shared" si="43"/>
        <v>5000</v>
      </c>
      <c r="Y100" s="262">
        <f t="shared" si="43"/>
        <v>5000</v>
      </c>
      <c r="Z100" s="162" t="b">
        <f t="shared" si="41"/>
        <v>1</v>
      </c>
      <c r="AA100" s="162" t="str">
        <f t="shared" si="42"/>
        <v>PRAZNO</v>
      </c>
      <c r="AB100" s="263"/>
    </row>
    <row r="101" spans="1:29" s="174" customFormat="1" ht="15.75" x14ac:dyDescent="0.2">
      <c r="A101" s="259"/>
      <c r="B101" s="172">
        <v>4</v>
      </c>
      <c r="C101" s="172"/>
      <c r="D101" s="172"/>
      <c r="E101" s="172"/>
      <c r="F101" s="172"/>
      <c r="G101" s="172"/>
      <c r="H101" s="14" t="s">
        <v>552</v>
      </c>
      <c r="I101" s="20">
        <f t="shared" ref="I101:L102" si="44">I102</f>
        <v>98212.99</v>
      </c>
      <c r="J101" s="55">
        <f t="shared" si="44"/>
        <v>0</v>
      </c>
      <c r="K101" s="20">
        <f t="shared" si="44"/>
        <v>8800</v>
      </c>
      <c r="L101" s="20">
        <f t="shared" si="44"/>
        <v>6745.71</v>
      </c>
      <c r="M101" s="20">
        <f>ROUND(L101/K101*100,2)</f>
        <v>76.66</v>
      </c>
      <c r="N101" s="20">
        <f>O101-K101</f>
        <v>-78.290000000000873</v>
      </c>
      <c r="O101" s="20">
        <f t="shared" ref="O101:Q102" si="45">O102</f>
        <v>8721.7099999999991</v>
      </c>
      <c r="P101" s="20">
        <f t="shared" si="45"/>
        <v>5000</v>
      </c>
      <c r="Q101" s="20">
        <f t="shared" si="45"/>
        <v>3099</v>
      </c>
      <c r="R101" s="55">
        <f t="shared" ref="R101:R107" si="46">V101-P101</f>
        <v>15000</v>
      </c>
      <c r="S101" s="20">
        <f t="shared" ref="S101:V102" si="47">S102</f>
        <v>5000</v>
      </c>
      <c r="T101" s="20">
        <f t="shared" si="47"/>
        <v>5000</v>
      </c>
      <c r="U101" s="20">
        <f t="shared" si="47"/>
        <v>6000</v>
      </c>
      <c r="V101" s="55">
        <f t="shared" si="47"/>
        <v>20000</v>
      </c>
      <c r="W101" s="20">
        <f t="shared" si="43"/>
        <v>10000</v>
      </c>
      <c r="X101" s="20">
        <f t="shared" si="43"/>
        <v>5000</v>
      </c>
      <c r="Y101" s="20">
        <f t="shared" si="43"/>
        <v>5000</v>
      </c>
      <c r="Z101" s="162" t="b">
        <f t="shared" si="41"/>
        <v>1</v>
      </c>
      <c r="AA101" s="162" t="str">
        <f t="shared" si="42"/>
        <v>PRAZNO</v>
      </c>
      <c r="AB101" s="173"/>
      <c r="AC101" s="164"/>
    </row>
    <row r="102" spans="1:29" ht="27" customHeight="1" x14ac:dyDescent="0.2">
      <c r="B102" s="175"/>
      <c r="C102" s="212">
        <v>42</v>
      </c>
      <c r="D102" s="212"/>
      <c r="E102" s="212"/>
      <c r="F102" s="212"/>
      <c r="G102" s="212"/>
      <c r="H102" s="23" t="s">
        <v>212</v>
      </c>
      <c r="I102" s="203">
        <f t="shared" si="44"/>
        <v>98212.99</v>
      </c>
      <c r="J102" s="204">
        <f t="shared" si="44"/>
        <v>0</v>
      </c>
      <c r="K102" s="203">
        <f t="shared" si="44"/>
        <v>8800</v>
      </c>
      <c r="L102" s="203">
        <f t="shared" si="44"/>
        <v>6745.71</v>
      </c>
      <c r="M102" s="203">
        <f>ROUND(L102/K102*100,2)</f>
        <v>76.66</v>
      </c>
      <c r="N102" s="203">
        <f>O102-K102</f>
        <v>-78.290000000000873</v>
      </c>
      <c r="O102" s="203">
        <f t="shared" si="45"/>
        <v>8721.7099999999991</v>
      </c>
      <c r="P102" s="203">
        <f t="shared" si="45"/>
        <v>5000</v>
      </c>
      <c r="Q102" s="203">
        <f t="shared" si="45"/>
        <v>3099</v>
      </c>
      <c r="R102" s="26">
        <f t="shared" si="46"/>
        <v>15000</v>
      </c>
      <c r="S102" s="22">
        <f t="shared" si="47"/>
        <v>5000</v>
      </c>
      <c r="T102" s="22">
        <f t="shared" si="47"/>
        <v>5000</v>
      </c>
      <c r="U102" s="22">
        <f t="shared" si="47"/>
        <v>6000</v>
      </c>
      <c r="V102" s="204">
        <f t="shared" si="47"/>
        <v>20000</v>
      </c>
      <c r="W102" s="203">
        <f t="shared" si="43"/>
        <v>10000</v>
      </c>
      <c r="X102" s="203">
        <f t="shared" si="43"/>
        <v>5000</v>
      </c>
      <c r="Y102" s="203">
        <f t="shared" si="43"/>
        <v>5000</v>
      </c>
      <c r="Z102" s="162" t="b">
        <f t="shared" si="41"/>
        <v>1</v>
      </c>
      <c r="AA102" s="162" t="str">
        <f t="shared" si="42"/>
        <v>PRAZNO</v>
      </c>
      <c r="AC102" s="164"/>
    </row>
    <row r="103" spans="1:29" ht="15.75" x14ac:dyDescent="0.2">
      <c r="B103" s="177"/>
      <c r="C103" s="177"/>
      <c r="D103" s="177">
        <v>422</v>
      </c>
      <c r="E103" s="177"/>
      <c r="F103" s="177"/>
      <c r="G103" s="177"/>
      <c r="H103" s="16" t="s">
        <v>555</v>
      </c>
      <c r="I103" s="17">
        <f>I105</f>
        <v>98212.99</v>
      </c>
      <c r="J103" s="26">
        <f>J105</f>
        <v>0</v>
      </c>
      <c r="K103" s="17">
        <f>K105</f>
        <v>8800</v>
      </c>
      <c r="L103" s="17">
        <f>L105</f>
        <v>6745.71</v>
      </c>
      <c r="M103" s="17">
        <f>ROUND(L103/K103*100,2)</f>
        <v>76.66</v>
      </c>
      <c r="N103" s="17">
        <f>O103-K103</f>
        <v>-78.290000000000873</v>
      </c>
      <c r="O103" s="17">
        <f>O105</f>
        <v>8721.7099999999991</v>
      </c>
      <c r="P103" s="17">
        <f>P105+P106</f>
        <v>5000</v>
      </c>
      <c r="Q103" s="17">
        <f>Q105</f>
        <v>3099</v>
      </c>
      <c r="R103" s="26">
        <f t="shared" si="46"/>
        <v>15000</v>
      </c>
      <c r="S103" s="17">
        <f>S105+S106</f>
        <v>5000</v>
      </c>
      <c r="T103" s="17">
        <f>T105</f>
        <v>5000</v>
      </c>
      <c r="U103" s="17">
        <f>U105</f>
        <v>6000</v>
      </c>
      <c r="V103" s="26">
        <f>V105+V106</f>
        <v>20000</v>
      </c>
      <c r="W103" s="17">
        <f>W105+W106</f>
        <v>10000</v>
      </c>
      <c r="X103" s="17">
        <f>X105+X106</f>
        <v>5000</v>
      </c>
      <c r="Y103" s="17">
        <f>Y105+Y106</f>
        <v>5000</v>
      </c>
      <c r="Z103" s="162" t="b">
        <f t="shared" si="41"/>
        <v>1</v>
      </c>
      <c r="AA103" s="162" t="str">
        <f t="shared" si="42"/>
        <v>PRAZNO</v>
      </c>
      <c r="AC103" s="164"/>
    </row>
    <row r="104" spans="1:29" ht="15.75" hidden="1" x14ac:dyDescent="0.2">
      <c r="B104" s="177"/>
      <c r="C104" s="177"/>
      <c r="D104" s="177"/>
      <c r="E104" s="177"/>
      <c r="F104" s="177"/>
      <c r="G104" s="177"/>
      <c r="H104" s="16"/>
      <c r="I104" s="17"/>
      <c r="J104" s="26"/>
      <c r="K104" s="17"/>
      <c r="L104" s="17"/>
      <c r="M104" s="17"/>
      <c r="N104" s="17"/>
      <c r="O104" s="17"/>
      <c r="P104" s="17"/>
      <c r="Q104" s="17"/>
      <c r="R104" s="26">
        <f t="shared" si="46"/>
        <v>0</v>
      </c>
      <c r="S104" s="17"/>
      <c r="T104" s="17"/>
      <c r="U104" s="17"/>
      <c r="V104" s="26"/>
      <c r="W104" s="17"/>
      <c r="X104" s="17"/>
      <c r="Y104" s="17"/>
      <c r="Z104" s="162" t="b">
        <f t="shared" si="41"/>
        <v>1</v>
      </c>
      <c r="AA104" s="162" t="str">
        <f t="shared" si="42"/>
        <v>PRAZNO</v>
      </c>
      <c r="AC104" s="164"/>
    </row>
    <row r="105" spans="1:29" ht="15.75" x14ac:dyDescent="0.2">
      <c r="B105" s="177"/>
      <c r="C105" s="177"/>
      <c r="D105" s="177"/>
      <c r="E105" s="177">
        <v>4221</v>
      </c>
      <c r="F105" s="176">
        <v>72</v>
      </c>
      <c r="G105" s="176" t="s">
        <v>527</v>
      </c>
      <c r="H105" s="16" t="s">
        <v>558</v>
      </c>
      <c r="I105" s="18">
        <v>98212.99</v>
      </c>
      <c r="J105" s="27">
        <v>0</v>
      </c>
      <c r="K105" s="18">
        <v>8800</v>
      </c>
      <c r="L105" s="18">
        <v>6745.71</v>
      </c>
      <c r="M105" s="18">
        <f>ROUND(L105/K105*100,2)</f>
        <v>76.66</v>
      </c>
      <c r="N105" s="18">
        <f>O105-K105</f>
        <v>-78.290000000000873</v>
      </c>
      <c r="O105" s="18">
        <v>8721.7099999999991</v>
      </c>
      <c r="P105" s="18">
        <f>5000-1100</f>
        <v>3900</v>
      </c>
      <c r="Q105" s="18">
        <v>3099</v>
      </c>
      <c r="R105" s="26">
        <f t="shared" si="46"/>
        <v>15000</v>
      </c>
      <c r="S105" s="18">
        <f>5000-1100</f>
        <v>3900</v>
      </c>
      <c r="T105" s="18">
        <v>5000</v>
      </c>
      <c r="U105" s="18">
        <v>6000</v>
      </c>
      <c r="V105" s="266">
        <f>3900+15000</f>
        <v>18900</v>
      </c>
      <c r="W105" s="266">
        <v>10000</v>
      </c>
      <c r="X105" s="266">
        <v>5000</v>
      </c>
      <c r="Y105" s="266">
        <v>5000</v>
      </c>
      <c r="Z105" s="162" t="b">
        <f t="shared" si="41"/>
        <v>0</v>
      </c>
      <c r="AA105" s="162" t="str">
        <f t="shared" si="42"/>
        <v>PUNO</v>
      </c>
      <c r="AC105" s="164"/>
    </row>
    <row r="106" spans="1:29" ht="15.75" hidden="1" x14ac:dyDescent="0.2">
      <c r="B106" s="177"/>
      <c r="C106" s="177"/>
      <c r="D106" s="177"/>
      <c r="E106" s="177">
        <v>4222</v>
      </c>
      <c r="F106" s="176">
        <v>11</v>
      </c>
      <c r="G106" s="176"/>
      <c r="H106" s="16" t="s">
        <v>559</v>
      </c>
      <c r="I106" s="18"/>
      <c r="J106" s="27"/>
      <c r="K106" s="18"/>
      <c r="L106" s="18"/>
      <c r="M106" s="18"/>
      <c r="N106" s="18"/>
      <c r="O106" s="18"/>
      <c r="P106" s="18">
        <v>1100</v>
      </c>
      <c r="Q106" s="18">
        <v>0</v>
      </c>
      <c r="R106" s="26">
        <f t="shared" si="46"/>
        <v>0</v>
      </c>
      <c r="S106" s="18">
        <v>1100</v>
      </c>
      <c r="T106" s="18"/>
      <c r="U106" s="18"/>
      <c r="V106" s="27">
        <v>1100</v>
      </c>
      <c r="W106" s="18"/>
      <c r="X106" s="18"/>
      <c r="Y106" s="18"/>
      <c r="Z106" s="162" t="b">
        <f t="shared" si="41"/>
        <v>0</v>
      </c>
      <c r="AA106" s="162" t="str">
        <f t="shared" si="42"/>
        <v>PUNO</v>
      </c>
      <c r="AC106" s="164"/>
    </row>
    <row r="107" spans="1:29" s="164" customFormat="1" ht="31.5" x14ac:dyDescent="0.2">
      <c r="A107" s="259"/>
      <c r="B107" s="194"/>
      <c r="C107" s="194"/>
      <c r="D107" s="194"/>
      <c r="E107" s="194"/>
      <c r="F107" s="194"/>
      <c r="G107" s="194"/>
      <c r="H107" s="21" t="s">
        <v>235</v>
      </c>
      <c r="I107" s="195" t="e">
        <f>I109</f>
        <v>#REF!</v>
      </c>
      <c r="J107" s="197" t="e">
        <f>J109</f>
        <v>#REF!</v>
      </c>
      <c r="K107" s="196" t="e">
        <f>K109</f>
        <v>#REF!</v>
      </c>
      <c r="L107" s="196" t="e">
        <f>L109</f>
        <v>#REF!</v>
      </c>
      <c r="M107" s="196" t="e">
        <f>ROUND(L107/K107*100,2)</f>
        <v>#REF!</v>
      </c>
      <c r="N107" s="196" t="e">
        <f>O107-K107</f>
        <v>#REF!</v>
      </c>
      <c r="O107" s="195" t="e">
        <f>O109</f>
        <v>#REF!</v>
      </c>
      <c r="P107" s="195" t="e">
        <f>P109</f>
        <v>#REF!</v>
      </c>
      <c r="Q107" s="195" t="e">
        <f>Q109</f>
        <v>#REF!</v>
      </c>
      <c r="R107" s="351" t="e">
        <f t="shared" si="46"/>
        <v>#REF!</v>
      </c>
      <c r="S107" s="195" t="e">
        <f t="shared" ref="S107:Y107" si="48">S109</f>
        <v>#REF!</v>
      </c>
      <c r="T107" s="195" t="e">
        <f t="shared" si="48"/>
        <v>#REF!</v>
      </c>
      <c r="U107" s="195" t="e">
        <f t="shared" si="48"/>
        <v>#REF!</v>
      </c>
      <c r="V107" s="197" t="e">
        <f t="shared" si="48"/>
        <v>#REF!</v>
      </c>
      <c r="W107" s="195">
        <f t="shared" si="48"/>
        <v>24000</v>
      </c>
      <c r="X107" s="195">
        <f t="shared" si="48"/>
        <v>24000</v>
      </c>
      <c r="Y107" s="195">
        <f t="shared" si="48"/>
        <v>35000</v>
      </c>
      <c r="Z107" s="162" t="b">
        <f t="shared" si="41"/>
        <v>1</v>
      </c>
      <c r="AA107" s="162" t="str">
        <f t="shared" si="42"/>
        <v>PRAZNO</v>
      </c>
      <c r="AB107" s="163"/>
    </row>
    <row r="108" spans="1:29" s="164" customFormat="1" ht="15.75" x14ac:dyDescent="0.2">
      <c r="A108" s="259"/>
      <c r="B108" s="194"/>
      <c r="C108" s="194"/>
      <c r="D108" s="194"/>
      <c r="E108" s="194"/>
      <c r="F108" s="194"/>
      <c r="G108" s="194"/>
      <c r="H108" s="11" t="s">
        <v>573</v>
      </c>
      <c r="I108" s="195"/>
      <c r="J108" s="197"/>
      <c r="K108" s="196"/>
      <c r="L108" s="196"/>
      <c r="M108" s="196"/>
      <c r="N108" s="196"/>
      <c r="O108" s="195"/>
      <c r="P108" s="195"/>
      <c r="Q108" s="195"/>
      <c r="R108" s="351"/>
      <c r="S108" s="195"/>
      <c r="T108" s="195"/>
      <c r="U108" s="195"/>
      <c r="V108" s="197"/>
      <c r="W108" s="195"/>
      <c r="X108" s="195"/>
      <c r="Y108" s="195"/>
      <c r="Z108" s="162" t="b">
        <f t="shared" si="41"/>
        <v>1</v>
      </c>
      <c r="AA108" s="162" t="str">
        <f t="shared" si="42"/>
        <v>PRAZNO</v>
      </c>
      <c r="AB108" s="165"/>
    </row>
    <row r="109" spans="1:29" s="171" customFormat="1" ht="15.75" x14ac:dyDescent="0.2">
      <c r="A109" s="259"/>
      <c r="B109" s="270"/>
      <c r="C109" s="270"/>
      <c r="D109" s="270"/>
      <c r="E109" s="270"/>
      <c r="F109" s="270"/>
      <c r="G109" s="270"/>
      <c r="H109" s="271" t="s">
        <v>422</v>
      </c>
      <c r="I109" s="272" t="e">
        <f>#REF!+I110</f>
        <v>#REF!</v>
      </c>
      <c r="J109" s="272" t="e">
        <f>#REF!+J110+#REF!</f>
        <v>#REF!</v>
      </c>
      <c r="K109" s="272" t="e">
        <f>#REF!+K110+#REF!</f>
        <v>#REF!</v>
      </c>
      <c r="L109" s="272" t="e">
        <f>#REF!+L110+#REF!</f>
        <v>#REF!</v>
      </c>
      <c r="M109" s="272" t="e">
        <f>#REF!+M110+#REF!</f>
        <v>#REF!</v>
      </c>
      <c r="N109" s="272" t="e">
        <f>#REF!+N110+#REF!</f>
        <v>#REF!</v>
      </c>
      <c r="O109" s="272" t="e">
        <f>#REF!+O110+#REF!</f>
        <v>#REF!</v>
      </c>
      <c r="P109" s="272" t="e">
        <f>#REF!+P110+#REF!</f>
        <v>#REF!</v>
      </c>
      <c r="Q109" s="272" t="e">
        <f>#REF!+Q110+#REF!</f>
        <v>#REF!</v>
      </c>
      <c r="R109" s="336" t="e">
        <f>V109-P109</f>
        <v>#REF!</v>
      </c>
      <c r="S109" s="272" t="e">
        <f>#REF!+S110+#REF!</f>
        <v>#REF!</v>
      </c>
      <c r="T109" s="272" t="e">
        <f>#REF!+T110+#REF!</f>
        <v>#REF!</v>
      </c>
      <c r="U109" s="272" t="e">
        <f>#REF!+U110+#REF!</f>
        <v>#REF!</v>
      </c>
      <c r="V109" s="275" t="e">
        <f>#REF!+V110+#REF!</f>
        <v>#REF!</v>
      </c>
      <c r="W109" s="272">
        <f>W110</f>
        <v>24000</v>
      </c>
      <c r="X109" s="272">
        <f>X110</f>
        <v>24000</v>
      </c>
      <c r="Y109" s="272">
        <f>Y110</f>
        <v>35000</v>
      </c>
      <c r="Z109" s="162" t="b">
        <f t="shared" si="41"/>
        <v>1</v>
      </c>
      <c r="AA109" s="162" t="str">
        <f t="shared" si="42"/>
        <v>PRAZNO</v>
      </c>
      <c r="AB109" s="170"/>
      <c r="AC109" s="164"/>
    </row>
    <row r="110" spans="1:29" s="171" customFormat="1" ht="31.5" x14ac:dyDescent="0.2">
      <c r="A110" s="259"/>
      <c r="B110" s="168"/>
      <c r="C110" s="168"/>
      <c r="D110" s="168"/>
      <c r="E110" s="168"/>
      <c r="F110" s="168"/>
      <c r="G110" s="168"/>
      <c r="H110" s="12" t="s">
        <v>153</v>
      </c>
      <c r="I110" s="19">
        <f>I112</f>
        <v>61019.68</v>
      </c>
      <c r="J110" s="53">
        <f>J112</f>
        <v>5238.57</v>
      </c>
      <c r="K110" s="169">
        <f>K112</f>
        <v>15000</v>
      </c>
      <c r="L110" s="169">
        <f>L112</f>
        <v>13495.51</v>
      </c>
      <c r="M110" s="169">
        <f>ROUND(L110/K110*100,2)</f>
        <v>89.97</v>
      </c>
      <c r="N110" s="169">
        <f>O110-K110</f>
        <v>20790.11</v>
      </c>
      <c r="O110" s="19">
        <f>O112</f>
        <v>35790.11</v>
      </c>
      <c r="P110" s="19">
        <f>P112</f>
        <v>34000</v>
      </c>
      <c r="Q110" s="19">
        <f>Q112</f>
        <v>12799.83</v>
      </c>
      <c r="R110" s="303">
        <f>V110-P110</f>
        <v>0</v>
      </c>
      <c r="S110" s="19">
        <f t="shared" ref="S110:Y110" si="49">S112</f>
        <v>34000</v>
      </c>
      <c r="T110" s="19">
        <f t="shared" si="49"/>
        <v>26000</v>
      </c>
      <c r="U110" s="19">
        <f t="shared" si="49"/>
        <v>25000</v>
      </c>
      <c r="V110" s="53">
        <f t="shared" si="49"/>
        <v>34000</v>
      </c>
      <c r="W110" s="19">
        <f t="shared" si="49"/>
        <v>24000</v>
      </c>
      <c r="X110" s="19">
        <f t="shared" si="49"/>
        <v>24000</v>
      </c>
      <c r="Y110" s="19">
        <f t="shared" si="49"/>
        <v>35000</v>
      </c>
      <c r="Z110" s="162" t="b">
        <f t="shared" si="41"/>
        <v>1</v>
      </c>
      <c r="AA110" s="162" t="str">
        <f t="shared" si="42"/>
        <v>PRAZNO</v>
      </c>
      <c r="AB110" s="170"/>
      <c r="AC110" s="164"/>
    </row>
    <row r="111" spans="1:29" s="264" customFormat="1" ht="15.75" x14ac:dyDescent="0.2">
      <c r="A111" s="259"/>
      <c r="B111" s="260"/>
      <c r="C111" s="260"/>
      <c r="D111" s="260"/>
      <c r="E111" s="260"/>
      <c r="F111" s="260"/>
      <c r="G111" s="260"/>
      <c r="H111" s="441" t="s">
        <v>824</v>
      </c>
      <c r="I111" s="262"/>
      <c r="J111" s="342"/>
      <c r="K111" s="181"/>
      <c r="L111" s="181"/>
      <c r="M111" s="181"/>
      <c r="N111" s="181"/>
      <c r="O111" s="262"/>
      <c r="P111" s="262"/>
      <c r="Q111" s="262"/>
      <c r="R111" s="445"/>
      <c r="S111" s="262"/>
      <c r="T111" s="262"/>
      <c r="U111" s="262"/>
      <c r="V111" s="342"/>
      <c r="W111" s="262">
        <f t="shared" ref="W111:Y112" si="50">W112</f>
        <v>24000</v>
      </c>
      <c r="X111" s="262">
        <f t="shared" si="50"/>
        <v>24000</v>
      </c>
      <c r="Y111" s="262">
        <f t="shared" si="50"/>
        <v>35000</v>
      </c>
      <c r="Z111" s="162" t="b">
        <f t="shared" si="41"/>
        <v>1</v>
      </c>
      <c r="AA111" s="162" t="str">
        <f t="shared" si="42"/>
        <v>PRAZNO</v>
      </c>
      <c r="AB111" s="263"/>
    </row>
    <row r="112" spans="1:29" s="174" customFormat="1" ht="15.75" x14ac:dyDescent="0.2">
      <c r="A112" s="259"/>
      <c r="B112" s="172">
        <v>4</v>
      </c>
      <c r="C112" s="172"/>
      <c r="D112" s="172"/>
      <c r="E112" s="172"/>
      <c r="F112" s="172"/>
      <c r="G112" s="172"/>
      <c r="H112" s="14" t="s">
        <v>552</v>
      </c>
      <c r="I112" s="20">
        <f>I113</f>
        <v>61019.68</v>
      </c>
      <c r="J112" s="20">
        <f>J113</f>
        <v>5238.57</v>
      </c>
      <c r="K112" s="20">
        <f>K113</f>
        <v>15000</v>
      </c>
      <c r="L112" s="20">
        <f>L113</f>
        <v>13495.51</v>
      </c>
      <c r="M112" s="20">
        <f>ROUND(L112/K112*100,2)</f>
        <v>89.97</v>
      </c>
      <c r="N112" s="20">
        <f>O112-K112</f>
        <v>20790.11</v>
      </c>
      <c r="O112" s="20">
        <f>O113</f>
        <v>35790.11</v>
      </c>
      <c r="P112" s="20">
        <f>P113</f>
        <v>34000</v>
      </c>
      <c r="Q112" s="20">
        <f>Q113</f>
        <v>12799.83</v>
      </c>
      <c r="R112" s="55">
        <f t="shared" ref="R112:R120" si="51">V112-P112</f>
        <v>0</v>
      </c>
      <c r="S112" s="20">
        <f>S113</f>
        <v>34000</v>
      </c>
      <c r="T112" s="20">
        <f>T113</f>
        <v>26000</v>
      </c>
      <c r="U112" s="20">
        <f>U113</f>
        <v>25000</v>
      </c>
      <c r="V112" s="55">
        <f>V113</f>
        <v>34000</v>
      </c>
      <c r="W112" s="20">
        <f t="shared" si="50"/>
        <v>24000</v>
      </c>
      <c r="X112" s="20">
        <f t="shared" si="50"/>
        <v>24000</v>
      </c>
      <c r="Y112" s="20">
        <f t="shared" si="50"/>
        <v>35000</v>
      </c>
      <c r="Z112" s="162" t="b">
        <f t="shared" si="41"/>
        <v>1</v>
      </c>
      <c r="AA112" s="162" t="str">
        <f t="shared" si="42"/>
        <v>PRAZNO</v>
      </c>
      <c r="AB112" s="173"/>
      <c r="AC112" s="164"/>
    </row>
    <row r="113" spans="1:29" ht="33.75" customHeight="1" x14ac:dyDescent="0.2">
      <c r="B113" s="175"/>
      <c r="C113" s="175">
        <v>42</v>
      </c>
      <c r="D113" s="175"/>
      <c r="E113" s="175"/>
      <c r="F113" s="175"/>
      <c r="G113" s="175"/>
      <c r="H113" s="15" t="s">
        <v>212</v>
      </c>
      <c r="I113" s="22">
        <f>I114+I119</f>
        <v>61019.68</v>
      </c>
      <c r="J113" s="38">
        <f>J114+J119</f>
        <v>5238.57</v>
      </c>
      <c r="K113" s="22">
        <f>K114+K119</f>
        <v>15000</v>
      </c>
      <c r="L113" s="22">
        <f>L114+L119</f>
        <v>13495.51</v>
      </c>
      <c r="M113" s="22">
        <f>ROUND(L113/K113*100,2)</f>
        <v>89.97</v>
      </c>
      <c r="N113" s="22">
        <f>O113-K113</f>
        <v>20790.11</v>
      </c>
      <c r="O113" s="22">
        <f>O114+O120</f>
        <v>35790.11</v>
      </c>
      <c r="P113" s="22">
        <f>P114+P119</f>
        <v>34000</v>
      </c>
      <c r="Q113" s="22">
        <f>Q114+Q119</f>
        <v>12799.83</v>
      </c>
      <c r="R113" s="26">
        <f t="shared" si="51"/>
        <v>0</v>
      </c>
      <c r="S113" s="22">
        <f t="shared" ref="S113:Y113" si="52">S114+S119</f>
        <v>34000</v>
      </c>
      <c r="T113" s="22">
        <f t="shared" si="52"/>
        <v>26000</v>
      </c>
      <c r="U113" s="22">
        <f t="shared" si="52"/>
        <v>25000</v>
      </c>
      <c r="V113" s="38">
        <f t="shared" si="52"/>
        <v>34000</v>
      </c>
      <c r="W113" s="22">
        <f t="shared" si="52"/>
        <v>24000</v>
      </c>
      <c r="X113" s="22">
        <f t="shared" si="52"/>
        <v>24000</v>
      </c>
      <c r="Y113" s="22">
        <f t="shared" si="52"/>
        <v>35000</v>
      </c>
      <c r="Z113" s="162" t="b">
        <f t="shared" ref="Z113:Z134" si="53">ISBLANK(E113)</f>
        <v>1</v>
      </c>
      <c r="AA113" s="162" t="str">
        <f t="shared" ref="AA113:AA134" si="54">IF(Z113,"PRAZNO","PUNO")</f>
        <v>PRAZNO</v>
      </c>
      <c r="AC113" s="164"/>
    </row>
    <row r="114" spans="1:29" ht="15.75" x14ac:dyDescent="0.2">
      <c r="B114" s="177"/>
      <c r="C114" s="177"/>
      <c r="D114" s="177">
        <v>422</v>
      </c>
      <c r="E114" s="177"/>
      <c r="F114" s="177"/>
      <c r="G114" s="177"/>
      <c r="H114" s="16" t="s">
        <v>555</v>
      </c>
      <c r="I114" s="17">
        <f>I115+I116+I117</f>
        <v>29408.68</v>
      </c>
      <c r="J114" s="26">
        <f>SUM(J115:J116)</f>
        <v>4623.57</v>
      </c>
      <c r="K114" s="17">
        <f>SUM(K115:K116)</f>
        <v>15000</v>
      </c>
      <c r="L114" s="17">
        <f>SUM(L115:L116)</f>
        <v>13495.51</v>
      </c>
      <c r="M114" s="17">
        <f>ROUND(L114/K114*100,2)</f>
        <v>89.97</v>
      </c>
      <c r="N114" s="17">
        <f>O114-K114</f>
        <v>20790.11</v>
      </c>
      <c r="O114" s="17">
        <f>SUM(O115:O119)</f>
        <v>35790.11</v>
      </c>
      <c r="P114" s="17">
        <f>SUM(P115:P116)</f>
        <v>34000</v>
      </c>
      <c r="Q114" s="17">
        <f>SUM(Q115:Q116)</f>
        <v>12799.83</v>
      </c>
      <c r="R114" s="26">
        <f t="shared" si="51"/>
        <v>0</v>
      </c>
      <c r="S114" s="17">
        <f t="shared" ref="S114:Y114" si="55">SUM(S115:S116)</f>
        <v>34000</v>
      </c>
      <c r="T114" s="17">
        <f t="shared" si="55"/>
        <v>26000</v>
      </c>
      <c r="U114" s="17">
        <f t="shared" si="55"/>
        <v>25000</v>
      </c>
      <c r="V114" s="26">
        <f t="shared" si="55"/>
        <v>34000</v>
      </c>
      <c r="W114" s="17">
        <f t="shared" si="55"/>
        <v>24000</v>
      </c>
      <c r="X114" s="17">
        <f t="shared" si="55"/>
        <v>24000</v>
      </c>
      <c r="Y114" s="17">
        <f t="shared" si="55"/>
        <v>35000</v>
      </c>
      <c r="Z114" s="162" t="b">
        <f t="shared" si="53"/>
        <v>1</v>
      </c>
      <c r="AA114" s="162" t="str">
        <f t="shared" si="54"/>
        <v>PRAZNO</v>
      </c>
      <c r="AC114" s="164"/>
    </row>
    <row r="115" spans="1:29" ht="15.75" x14ac:dyDescent="0.2">
      <c r="B115" s="177"/>
      <c r="C115" s="177"/>
      <c r="D115" s="177"/>
      <c r="E115" s="177">
        <v>4221</v>
      </c>
      <c r="F115" s="176">
        <v>11</v>
      </c>
      <c r="G115" s="176" t="s">
        <v>527</v>
      </c>
      <c r="H115" s="16" t="s">
        <v>558</v>
      </c>
      <c r="I115" s="18">
        <v>26529.040000000001</v>
      </c>
      <c r="J115" s="27">
        <v>4623.57</v>
      </c>
      <c r="K115" s="18">
        <v>6000</v>
      </c>
      <c r="L115" s="18">
        <v>4891.66</v>
      </c>
      <c r="M115" s="18">
        <f>ROUND(L115/K115*100,2)</f>
        <v>81.53</v>
      </c>
      <c r="N115" s="18">
        <f>O115-K115</f>
        <v>-1108.3400000000001</v>
      </c>
      <c r="O115" s="18">
        <v>4891.66</v>
      </c>
      <c r="P115" s="18">
        <v>30000</v>
      </c>
      <c r="Q115" s="18">
        <v>10600.99</v>
      </c>
      <c r="R115" s="26">
        <f t="shared" si="51"/>
        <v>0</v>
      </c>
      <c r="S115" s="18">
        <v>30000</v>
      </c>
      <c r="T115" s="18">
        <v>20000</v>
      </c>
      <c r="U115" s="18">
        <v>15000</v>
      </c>
      <c r="V115" s="266">
        <v>30000</v>
      </c>
      <c r="W115" s="178">
        <v>20000</v>
      </c>
      <c r="X115" s="178">
        <v>20000</v>
      </c>
      <c r="Y115" s="178">
        <v>25000</v>
      </c>
      <c r="Z115" s="162" t="b">
        <f t="shared" si="53"/>
        <v>0</v>
      </c>
      <c r="AA115" s="162" t="str">
        <f t="shared" si="54"/>
        <v>PUNO</v>
      </c>
      <c r="AB115" s="198"/>
      <c r="AC115" s="164"/>
    </row>
    <row r="116" spans="1:29" ht="15.75" x14ac:dyDescent="0.2">
      <c r="B116" s="177"/>
      <c r="C116" s="177"/>
      <c r="D116" s="177"/>
      <c r="E116" s="177">
        <v>4222</v>
      </c>
      <c r="F116" s="176">
        <v>11</v>
      </c>
      <c r="G116" s="176"/>
      <c r="H116" s="16" t="s">
        <v>559</v>
      </c>
      <c r="I116" s="18">
        <v>0</v>
      </c>
      <c r="J116" s="27">
        <v>0</v>
      </c>
      <c r="K116" s="18">
        <v>9000</v>
      </c>
      <c r="L116" s="18">
        <v>8603.85</v>
      </c>
      <c r="M116" s="18">
        <f>ROUND(L116/K116*100,2)</f>
        <v>95.6</v>
      </c>
      <c r="N116" s="18">
        <f>O116-K116</f>
        <v>-396.14999999999964</v>
      </c>
      <c r="O116" s="18">
        <v>8603.85</v>
      </c>
      <c r="P116" s="18">
        <v>4000</v>
      </c>
      <c r="Q116" s="18">
        <v>2198.84</v>
      </c>
      <c r="R116" s="26">
        <f t="shared" si="51"/>
        <v>0</v>
      </c>
      <c r="S116" s="18">
        <v>4000</v>
      </c>
      <c r="T116" s="18">
        <v>6000</v>
      </c>
      <c r="U116" s="18">
        <v>10000</v>
      </c>
      <c r="V116" s="266">
        <v>4000</v>
      </c>
      <c r="W116" s="178">
        <v>4000</v>
      </c>
      <c r="X116" s="178">
        <v>4000</v>
      </c>
      <c r="Y116" s="178">
        <v>10000</v>
      </c>
      <c r="Z116" s="162" t="b">
        <f t="shared" si="53"/>
        <v>0</v>
      </c>
      <c r="AA116" s="162" t="str">
        <f t="shared" si="54"/>
        <v>PUNO</v>
      </c>
      <c r="AC116" s="164"/>
    </row>
    <row r="117" spans="1:29" ht="15" hidden="1" customHeight="1" x14ac:dyDescent="0.2">
      <c r="B117" s="177"/>
      <c r="C117" s="177"/>
      <c r="D117" s="177"/>
      <c r="E117" s="177">
        <v>4227</v>
      </c>
      <c r="F117" s="176">
        <v>11</v>
      </c>
      <c r="G117" s="176"/>
      <c r="H117" s="16" t="s">
        <v>386</v>
      </c>
      <c r="I117" s="18">
        <v>2879.64</v>
      </c>
      <c r="J117" s="27"/>
      <c r="K117" s="18"/>
      <c r="L117" s="18"/>
      <c r="M117" s="18"/>
      <c r="N117" s="18"/>
      <c r="O117" s="18"/>
      <c r="P117" s="18"/>
      <c r="Q117" s="18"/>
      <c r="R117" s="26">
        <f t="shared" si="51"/>
        <v>0</v>
      </c>
      <c r="S117" s="18"/>
      <c r="T117" s="18"/>
      <c r="U117" s="18"/>
      <c r="V117" s="27"/>
      <c r="W117" s="18"/>
      <c r="X117" s="18"/>
      <c r="Y117" s="18"/>
      <c r="Z117" s="162" t="b">
        <f t="shared" si="53"/>
        <v>0</v>
      </c>
      <c r="AA117" s="162" t="str">
        <f t="shared" si="54"/>
        <v>PUNO</v>
      </c>
      <c r="AC117" s="164"/>
    </row>
    <row r="118" spans="1:29" ht="15" hidden="1" customHeight="1" x14ac:dyDescent="0.2">
      <c r="B118" s="177"/>
      <c r="C118" s="177"/>
      <c r="D118" s="177"/>
      <c r="E118" s="177">
        <v>4222</v>
      </c>
      <c r="F118" s="176">
        <v>51</v>
      </c>
      <c r="G118" s="176"/>
      <c r="H118" s="16" t="s">
        <v>558</v>
      </c>
      <c r="I118" s="18"/>
      <c r="J118" s="27"/>
      <c r="K118" s="18"/>
      <c r="L118" s="18"/>
      <c r="M118" s="18"/>
      <c r="N118" s="18"/>
      <c r="O118" s="18">
        <v>22294.6</v>
      </c>
      <c r="P118" s="18"/>
      <c r="Q118" s="18"/>
      <c r="R118" s="26">
        <f t="shared" si="51"/>
        <v>0</v>
      </c>
      <c r="S118" s="18"/>
      <c r="T118" s="18"/>
      <c r="U118" s="18"/>
      <c r="V118" s="27"/>
      <c r="W118" s="18"/>
      <c r="X118" s="18"/>
      <c r="Y118" s="18"/>
      <c r="Z118" s="162" t="b">
        <f t="shared" si="53"/>
        <v>0</v>
      </c>
      <c r="AA118" s="162" t="str">
        <f t="shared" si="54"/>
        <v>PUNO</v>
      </c>
      <c r="AC118" s="164"/>
    </row>
    <row r="119" spans="1:29" ht="15" hidden="1" customHeight="1" x14ac:dyDescent="0.2">
      <c r="B119" s="177"/>
      <c r="C119" s="177"/>
      <c r="D119" s="177">
        <v>426</v>
      </c>
      <c r="E119" s="177"/>
      <c r="F119" s="177"/>
      <c r="G119" s="177"/>
      <c r="H119" s="16" t="s">
        <v>560</v>
      </c>
      <c r="I119" s="17">
        <f>I120</f>
        <v>31611</v>
      </c>
      <c r="J119" s="26">
        <f>J120</f>
        <v>615</v>
      </c>
      <c r="K119" s="17">
        <f>K120</f>
        <v>0</v>
      </c>
      <c r="L119" s="17">
        <f>L120</f>
        <v>0</v>
      </c>
      <c r="M119" s="17" t="e">
        <f t="shared" ref="M119:M125" si="56">ROUND(L119/K119*100,2)</f>
        <v>#DIV/0!</v>
      </c>
      <c r="N119" s="17">
        <f>O119-K119</f>
        <v>0</v>
      </c>
      <c r="O119" s="17">
        <f>O120</f>
        <v>0</v>
      </c>
      <c r="P119" s="17">
        <f>P120</f>
        <v>0</v>
      </c>
      <c r="Q119" s="17">
        <f>Q120</f>
        <v>0</v>
      </c>
      <c r="R119" s="26">
        <f t="shared" si="51"/>
        <v>0</v>
      </c>
      <c r="S119" s="17">
        <f t="shared" ref="S119:Y119" si="57">S120</f>
        <v>0</v>
      </c>
      <c r="T119" s="17">
        <f t="shared" si="57"/>
        <v>0</v>
      </c>
      <c r="U119" s="17">
        <f t="shared" si="57"/>
        <v>0</v>
      </c>
      <c r="V119" s="26">
        <f t="shared" si="57"/>
        <v>0</v>
      </c>
      <c r="W119" s="17">
        <f t="shared" si="57"/>
        <v>0</v>
      </c>
      <c r="X119" s="17">
        <f t="shared" si="57"/>
        <v>0</v>
      </c>
      <c r="Y119" s="17">
        <f t="shared" si="57"/>
        <v>0</v>
      </c>
      <c r="Z119" s="162" t="b">
        <f t="shared" si="53"/>
        <v>1</v>
      </c>
      <c r="AA119" s="162" t="str">
        <f t="shared" si="54"/>
        <v>PRAZNO</v>
      </c>
      <c r="AC119" s="164"/>
    </row>
    <row r="120" spans="1:29" ht="15.75" hidden="1" x14ac:dyDescent="0.2">
      <c r="B120" s="177"/>
      <c r="C120" s="177"/>
      <c r="D120" s="177"/>
      <c r="E120" s="177">
        <v>4262</v>
      </c>
      <c r="F120" s="176" t="s">
        <v>527</v>
      </c>
      <c r="G120" s="176" t="s">
        <v>527</v>
      </c>
      <c r="H120" s="16" t="s">
        <v>561</v>
      </c>
      <c r="I120" s="18">
        <v>31611</v>
      </c>
      <c r="J120" s="27">
        <v>615</v>
      </c>
      <c r="K120" s="18">
        <v>0</v>
      </c>
      <c r="L120" s="18">
        <v>0</v>
      </c>
      <c r="M120" s="18" t="e">
        <f t="shared" si="56"/>
        <v>#DIV/0!</v>
      </c>
      <c r="N120" s="18">
        <f>O120-K120</f>
        <v>0</v>
      </c>
      <c r="O120" s="18"/>
      <c r="P120" s="18"/>
      <c r="Q120" s="18"/>
      <c r="R120" s="26">
        <f t="shared" si="51"/>
        <v>0</v>
      </c>
      <c r="S120" s="18"/>
      <c r="T120" s="18"/>
      <c r="U120" s="18"/>
      <c r="V120" s="27"/>
      <c r="W120" s="18"/>
      <c r="X120" s="18"/>
      <c r="Y120" s="18"/>
      <c r="Z120" s="162" t="b">
        <f t="shared" si="53"/>
        <v>0</v>
      </c>
      <c r="AA120" s="162" t="str">
        <f t="shared" si="54"/>
        <v>PUNO</v>
      </c>
      <c r="AC120" s="164"/>
    </row>
    <row r="121" spans="1:29" s="287" customFormat="1" ht="31.5" x14ac:dyDescent="0.25">
      <c r="A121" s="378"/>
      <c r="B121" s="194"/>
      <c r="C121" s="194"/>
      <c r="D121" s="194"/>
      <c r="E121" s="194"/>
      <c r="F121" s="159"/>
      <c r="G121" s="159"/>
      <c r="H121" s="24" t="s">
        <v>419</v>
      </c>
      <c r="I121" s="267" t="e">
        <f>I122+I131+I209</f>
        <v>#REF!</v>
      </c>
      <c r="J121" s="195" t="e">
        <f>J122+J131+J209</f>
        <v>#REF!</v>
      </c>
      <c r="K121" s="195" t="e">
        <f>K122+K131+#REF!+K209</f>
        <v>#REF!</v>
      </c>
      <c r="L121" s="195" t="e">
        <f>L122+L131+#REF!+L209</f>
        <v>#REF!</v>
      </c>
      <c r="M121" s="195" t="e">
        <f t="shared" si="56"/>
        <v>#REF!</v>
      </c>
      <c r="N121" s="195" t="e">
        <f>O121-K121</f>
        <v>#REF!</v>
      </c>
      <c r="O121" s="195" t="e">
        <f>O122+O131+O209</f>
        <v>#REF!</v>
      </c>
      <c r="P121" s="195" t="e">
        <f>P122+P131+P209</f>
        <v>#REF!</v>
      </c>
      <c r="Q121" s="195" t="e">
        <f>Q122+Q131+Q209</f>
        <v>#REF!</v>
      </c>
      <c r="R121" s="351" t="e">
        <f>V121-P121</f>
        <v>#REF!</v>
      </c>
      <c r="S121" s="195" t="e">
        <f t="shared" ref="S121:Y121" si="58">S122+S131+S209</f>
        <v>#REF!</v>
      </c>
      <c r="T121" s="195" t="e">
        <f t="shared" si="58"/>
        <v>#REF!</v>
      </c>
      <c r="U121" s="195" t="e">
        <f t="shared" si="58"/>
        <v>#REF!</v>
      </c>
      <c r="V121" s="197" t="e">
        <f t="shared" si="58"/>
        <v>#REF!</v>
      </c>
      <c r="W121" s="195">
        <f t="shared" si="58"/>
        <v>4007500</v>
      </c>
      <c r="X121" s="195">
        <f t="shared" si="58"/>
        <v>3667500</v>
      </c>
      <c r="Y121" s="195">
        <f t="shared" si="58"/>
        <v>3817500</v>
      </c>
      <c r="Z121" s="162" t="b">
        <f t="shared" si="53"/>
        <v>1</v>
      </c>
      <c r="AA121" s="162" t="str">
        <f t="shared" si="54"/>
        <v>PRAZNO</v>
      </c>
      <c r="AB121" s="286"/>
    </row>
    <row r="122" spans="1:29" s="287" customFormat="1" ht="31.5" x14ac:dyDescent="0.25">
      <c r="A122" s="378"/>
      <c r="B122" s="194"/>
      <c r="C122" s="194"/>
      <c r="D122" s="194"/>
      <c r="E122" s="194"/>
      <c r="F122" s="159"/>
      <c r="G122" s="159"/>
      <c r="H122" s="24" t="s">
        <v>420</v>
      </c>
      <c r="I122" s="195" t="e">
        <f>I124</f>
        <v>#REF!</v>
      </c>
      <c r="J122" s="195" t="e">
        <f>J124</f>
        <v>#REF!</v>
      </c>
      <c r="K122" s="195" t="e">
        <f>K124</f>
        <v>#REF!</v>
      </c>
      <c r="L122" s="195" t="e">
        <f>L124</f>
        <v>#REF!</v>
      </c>
      <c r="M122" s="195" t="e">
        <f t="shared" si="56"/>
        <v>#REF!</v>
      </c>
      <c r="N122" s="195" t="e">
        <f>O122-K122</f>
        <v>#REF!</v>
      </c>
      <c r="O122" s="195" t="e">
        <f>O124</f>
        <v>#REF!</v>
      </c>
      <c r="P122" s="195" t="e">
        <f>P124</f>
        <v>#REF!</v>
      </c>
      <c r="Q122" s="195" t="e">
        <f>Q124</f>
        <v>#REF!</v>
      </c>
      <c r="R122" s="351" t="e">
        <f>V122-P122</f>
        <v>#REF!</v>
      </c>
      <c r="S122" s="195" t="e">
        <f t="shared" ref="S122:Y122" si="59">S124</f>
        <v>#REF!</v>
      </c>
      <c r="T122" s="195" t="e">
        <f t="shared" si="59"/>
        <v>#REF!</v>
      </c>
      <c r="U122" s="195" t="e">
        <f t="shared" si="59"/>
        <v>#REF!</v>
      </c>
      <c r="V122" s="197" t="e">
        <f t="shared" si="59"/>
        <v>#REF!</v>
      </c>
      <c r="W122" s="195">
        <f t="shared" si="59"/>
        <v>15000</v>
      </c>
      <c r="X122" s="195">
        <f t="shared" si="59"/>
        <v>5000</v>
      </c>
      <c r="Y122" s="195">
        <f t="shared" si="59"/>
        <v>5000</v>
      </c>
      <c r="Z122" s="162" t="b">
        <f t="shared" si="53"/>
        <v>1</v>
      </c>
      <c r="AA122" s="162" t="str">
        <f t="shared" si="54"/>
        <v>PRAZNO</v>
      </c>
      <c r="AB122" s="288"/>
    </row>
    <row r="123" spans="1:29" s="287" customFormat="1" ht="15.75" x14ac:dyDescent="0.25">
      <c r="A123" s="378"/>
      <c r="B123" s="194"/>
      <c r="C123" s="194"/>
      <c r="D123" s="194"/>
      <c r="E123" s="194"/>
      <c r="F123" s="159"/>
      <c r="G123" s="159"/>
      <c r="H123" s="11" t="s">
        <v>421</v>
      </c>
      <c r="I123" s="195"/>
      <c r="J123" s="197"/>
      <c r="K123" s="195"/>
      <c r="L123" s="195"/>
      <c r="M123" s="195" t="e">
        <f t="shared" si="56"/>
        <v>#DIV/0!</v>
      </c>
      <c r="N123" s="195"/>
      <c r="O123" s="195"/>
      <c r="P123" s="195"/>
      <c r="Q123" s="195"/>
      <c r="R123" s="353"/>
      <c r="S123" s="195"/>
      <c r="T123" s="195"/>
      <c r="U123" s="195"/>
      <c r="V123" s="197"/>
      <c r="W123" s="195"/>
      <c r="X123" s="195"/>
      <c r="Y123" s="195"/>
      <c r="Z123" s="162" t="b">
        <f t="shared" si="53"/>
        <v>1</v>
      </c>
      <c r="AA123" s="162" t="str">
        <f t="shared" si="54"/>
        <v>PRAZNO</v>
      </c>
      <c r="AB123" s="288"/>
    </row>
    <row r="124" spans="1:29" s="171" customFormat="1" ht="15.75" x14ac:dyDescent="0.2">
      <c r="A124" s="259"/>
      <c r="B124" s="270"/>
      <c r="C124" s="270"/>
      <c r="D124" s="270"/>
      <c r="E124" s="270"/>
      <c r="F124" s="270"/>
      <c r="G124" s="270"/>
      <c r="H124" s="271" t="s">
        <v>709</v>
      </c>
      <c r="I124" s="272" t="e">
        <f>#REF!+I125</f>
        <v>#REF!</v>
      </c>
      <c r="J124" s="275" t="e">
        <f>#REF!+J125</f>
        <v>#REF!</v>
      </c>
      <c r="K124" s="273" t="e">
        <f>#REF!+K125</f>
        <v>#REF!</v>
      </c>
      <c r="L124" s="273" t="e">
        <f>#REF!+L125</f>
        <v>#REF!</v>
      </c>
      <c r="M124" s="273" t="e">
        <f t="shared" si="56"/>
        <v>#REF!</v>
      </c>
      <c r="N124" s="273" t="e">
        <f>O124-K124</f>
        <v>#REF!</v>
      </c>
      <c r="O124" s="304" t="e">
        <f>#REF!+O125</f>
        <v>#REF!</v>
      </c>
      <c r="P124" s="304" t="e">
        <f>#REF!+P125</f>
        <v>#REF!</v>
      </c>
      <c r="Q124" s="304" t="e">
        <f>#REF!+Q125</f>
        <v>#REF!</v>
      </c>
      <c r="R124" s="336" t="e">
        <f>V124-P124</f>
        <v>#REF!</v>
      </c>
      <c r="S124" s="273" t="e">
        <f>#REF!+S125</f>
        <v>#REF!</v>
      </c>
      <c r="T124" s="272" t="e">
        <f>#REF!+T125</f>
        <v>#REF!</v>
      </c>
      <c r="U124" s="272" t="e">
        <f>#REF!+U125</f>
        <v>#REF!</v>
      </c>
      <c r="V124" s="336" t="e">
        <f>#REF!+V125</f>
        <v>#REF!</v>
      </c>
      <c r="W124" s="304">
        <f>W125</f>
        <v>15000</v>
      </c>
      <c r="X124" s="304">
        <f>X125</f>
        <v>5000</v>
      </c>
      <c r="Y124" s="304">
        <f>Y125</f>
        <v>5000</v>
      </c>
      <c r="Z124" s="162" t="b">
        <f t="shared" si="53"/>
        <v>1</v>
      </c>
      <c r="AA124" s="162" t="str">
        <f t="shared" si="54"/>
        <v>PRAZNO</v>
      </c>
      <c r="AB124" s="170"/>
      <c r="AC124" s="164"/>
    </row>
    <row r="125" spans="1:29" s="171" customFormat="1" ht="31.5" x14ac:dyDescent="0.2">
      <c r="A125" s="259"/>
      <c r="B125" s="168"/>
      <c r="C125" s="168"/>
      <c r="D125" s="168"/>
      <c r="E125" s="168"/>
      <c r="F125" s="168"/>
      <c r="G125" s="168"/>
      <c r="H125" s="12" t="s">
        <v>155</v>
      </c>
      <c r="I125" s="19">
        <f>I127</f>
        <v>19755.12</v>
      </c>
      <c r="J125" s="53">
        <f>J127</f>
        <v>0</v>
      </c>
      <c r="K125" s="169">
        <f>K127</f>
        <v>6000</v>
      </c>
      <c r="L125" s="169">
        <f>L127</f>
        <v>4207.29</v>
      </c>
      <c r="M125" s="169">
        <f t="shared" si="56"/>
        <v>70.12</v>
      </c>
      <c r="N125" s="169">
        <f>O125-K125</f>
        <v>3977.3199999999997</v>
      </c>
      <c r="O125" s="19">
        <f>O127</f>
        <v>9977.32</v>
      </c>
      <c r="P125" s="19">
        <f>P127</f>
        <v>5000</v>
      </c>
      <c r="Q125" s="19">
        <f>Q127</f>
        <v>0</v>
      </c>
      <c r="R125" s="303">
        <f>V125-P125</f>
        <v>0</v>
      </c>
      <c r="S125" s="19">
        <f t="shared" ref="S125:Y125" si="60">S127</f>
        <v>5000</v>
      </c>
      <c r="T125" s="19">
        <f t="shared" si="60"/>
        <v>5000</v>
      </c>
      <c r="U125" s="19">
        <f t="shared" si="60"/>
        <v>5000</v>
      </c>
      <c r="V125" s="53">
        <f t="shared" si="60"/>
        <v>5000</v>
      </c>
      <c r="W125" s="19">
        <f t="shared" si="60"/>
        <v>15000</v>
      </c>
      <c r="X125" s="19">
        <f t="shared" si="60"/>
        <v>5000</v>
      </c>
      <c r="Y125" s="19">
        <f t="shared" si="60"/>
        <v>5000</v>
      </c>
      <c r="Z125" s="162" t="b">
        <f t="shared" si="53"/>
        <v>1</v>
      </c>
      <c r="AA125" s="162" t="str">
        <f t="shared" si="54"/>
        <v>PRAZNO</v>
      </c>
      <c r="AB125" s="170"/>
      <c r="AC125" s="164"/>
    </row>
    <row r="126" spans="1:29" s="264" customFormat="1" ht="15.75" x14ac:dyDescent="0.2">
      <c r="A126" s="259"/>
      <c r="B126" s="260"/>
      <c r="C126" s="260"/>
      <c r="D126" s="260"/>
      <c r="E126" s="260"/>
      <c r="F126" s="260"/>
      <c r="G126" s="260"/>
      <c r="H126" s="441" t="s">
        <v>824</v>
      </c>
      <c r="I126" s="262"/>
      <c r="J126" s="342"/>
      <c r="K126" s="181"/>
      <c r="L126" s="181"/>
      <c r="M126" s="181"/>
      <c r="N126" s="181"/>
      <c r="O126" s="262"/>
      <c r="P126" s="262"/>
      <c r="Q126" s="262"/>
      <c r="R126" s="445"/>
      <c r="S126" s="262"/>
      <c r="T126" s="262"/>
      <c r="U126" s="262"/>
      <c r="V126" s="342"/>
      <c r="W126" s="262">
        <f t="shared" ref="W126:Y129" si="61">W127</f>
        <v>15000</v>
      </c>
      <c r="X126" s="262">
        <f t="shared" si="61"/>
        <v>5000</v>
      </c>
      <c r="Y126" s="262">
        <f t="shared" si="61"/>
        <v>5000</v>
      </c>
      <c r="Z126" s="162" t="b">
        <f t="shared" si="53"/>
        <v>1</v>
      </c>
      <c r="AA126" s="162" t="str">
        <f t="shared" si="54"/>
        <v>PRAZNO</v>
      </c>
      <c r="AB126" s="263"/>
    </row>
    <row r="127" spans="1:29" s="174" customFormat="1" ht="15.75" x14ac:dyDescent="0.2">
      <c r="A127" s="259"/>
      <c r="B127" s="172">
        <v>4</v>
      </c>
      <c r="C127" s="172"/>
      <c r="D127" s="172"/>
      <c r="E127" s="172"/>
      <c r="F127" s="172"/>
      <c r="G127" s="172"/>
      <c r="H127" s="14" t="s">
        <v>552</v>
      </c>
      <c r="I127" s="20">
        <f t="shared" ref="I127:L129" si="62">I128</f>
        <v>19755.12</v>
      </c>
      <c r="J127" s="55">
        <f t="shared" si="62"/>
        <v>0</v>
      </c>
      <c r="K127" s="20">
        <f t="shared" si="62"/>
        <v>6000</v>
      </c>
      <c r="L127" s="20">
        <f t="shared" si="62"/>
        <v>4207.29</v>
      </c>
      <c r="M127" s="20">
        <f t="shared" ref="M127:M133" si="63">ROUND(L127/K127*100,2)</f>
        <v>70.12</v>
      </c>
      <c r="N127" s="20">
        <f>O127-K127</f>
        <v>3977.3199999999997</v>
      </c>
      <c r="O127" s="20">
        <f t="shared" ref="O127:Q128" si="64">O128</f>
        <v>9977.32</v>
      </c>
      <c r="P127" s="20">
        <f t="shared" si="64"/>
        <v>5000</v>
      </c>
      <c r="Q127" s="20">
        <f t="shared" si="64"/>
        <v>0</v>
      </c>
      <c r="R127" s="55">
        <f>V127-P127</f>
        <v>0</v>
      </c>
      <c r="S127" s="20">
        <f t="shared" ref="S127:V128" si="65">S128</f>
        <v>5000</v>
      </c>
      <c r="T127" s="20">
        <f t="shared" si="65"/>
        <v>5000</v>
      </c>
      <c r="U127" s="20">
        <f t="shared" si="65"/>
        <v>5000</v>
      </c>
      <c r="V127" s="55">
        <f t="shared" si="65"/>
        <v>5000</v>
      </c>
      <c r="W127" s="20">
        <f t="shared" si="61"/>
        <v>15000</v>
      </c>
      <c r="X127" s="20">
        <f t="shared" si="61"/>
        <v>5000</v>
      </c>
      <c r="Y127" s="20">
        <f t="shared" si="61"/>
        <v>5000</v>
      </c>
      <c r="Z127" s="162" t="b">
        <f t="shared" si="53"/>
        <v>1</v>
      </c>
      <c r="AA127" s="162" t="str">
        <f t="shared" si="54"/>
        <v>PRAZNO</v>
      </c>
      <c r="AB127" s="173"/>
      <c r="AC127" s="164"/>
    </row>
    <row r="128" spans="1:29" ht="15.75" x14ac:dyDescent="0.2">
      <c r="B128" s="177"/>
      <c r="C128" s="177">
        <v>42</v>
      </c>
      <c r="D128" s="177"/>
      <c r="E128" s="177"/>
      <c r="F128" s="177"/>
      <c r="G128" s="177"/>
      <c r="H128" s="16" t="s">
        <v>212</v>
      </c>
      <c r="I128" s="17">
        <f t="shared" si="62"/>
        <v>19755.12</v>
      </c>
      <c r="J128" s="26">
        <f t="shared" si="62"/>
        <v>0</v>
      </c>
      <c r="K128" s="17">
        <f t="shared" si="62"/>
        <v>6000</v>
      </c>
      <c r="L128" s="17">
        <f t="shared" si="62"/>
        <v>4207.29</v>
      </c>
      <c r="M128" s="17">
        <f t="shared" si="63"/>
        <v>70.12</v>
      </c>
      <c r="N128" s="17">
        <f>O128-K128</f>
        <v>3977.3199999999997</v>
      </c>
      <c r="O128" s="17">
        <f t="shared" si="64"/>
        <v>9977.32</v>
      </c>
      <c r="P128" s="17">
        <f t="shared" si="64"/>
        <v>5000</v>
      </c>
      <c r="Q128" s="17">
        <f t="shared" si="64"/>
        <v>0</v>
      </c>
      <c r="R128" s="26">
        <f>V128-P128</f>
        <v>0</v>
      </c>
      <c r="S128" s="17">
        <f t="shared" si="65"/>
        <v>5000</v>
      </c>
      <c r="T128" s="17">
        <f t="shared" si="65"/>
        <v>5000</v>
      </c>
      <c r="U128" s="17">
        <f t="shared" si="65"/>
        <v>5000</v>
      </c>
      <c r="V128" s="26">
        <f t="shared" si="65"/>
        <v>5000</v>
      </c>
      <c r="W128" s="17">
        <f t="shared" si="61"/>
        <v>15000</v>
      </c>
      <c r="X128" s="17">
        <f t="shared" si="61"/>
        <v>5000</v>
      </c>
      <c r="Y128" s="17">
        <f t="shared" si="61"/>
        <v>5000</v>
      </c>
      <c r="Z128" s="162" t="b">
        <f t="shared" si="53"/>
        <v>1</v>
      </c>
      <c r="AA128" s="162" t="str">
        <f t="shared" si="54"/>
        <v>PRAZNO</v>
      </c>
      <c r="AC128" s="164"/>
    </row>
    <row r="129" spans="1:29" ht="15.75" x14ac:dyDescent="0.2">
      <c r="B129" s="177"/>
      <c r="C129" s="177"/>
      <c r="D129" s="177">
        <v>422</v>
      </c>
      <c r="E129" s="177"/>
      <c r="F129" s="177"/>
      <c r="G129" s="177"/>
      <c r="H129" s="16" t="s">
        <v>555</v>
      </c>
      <c r="I129" s="17">
        <f t="shared" si="62"/>
        <v>19755.12</v>
      </c>
      <c r="J129" s="26">
        <f t="shared" si="62"/>
        <v>0</v>
      </c>
      <c r="K129" s="17">
        <f t="shared" si="62"/>
        <v>6000</v>
      </c>
      <c r="L129" s="17">
        <f t="shared" si="62"/>
        <v>4207.29</v>
      </c>
      <c r="M129" s="17">
        <f t="shared" si="63"/>
        <v>70.12</v>
      </c>
      <c r="N129" s="17">
        <f>O129-K129</f>
        <v>3977.3199999999997</v>
      </c>
      <c r="O129" s="17">
        <f>O130</f>
        <v>9977.32</v>
      </c>
      <c r="P129" s="17">
        <v>5000</v>
      </c>
      <c r="Q129" s="17">
        <f>Q130</f>
        <v>0</v>
      </c>
      <c r="R129" s="26">
        <f>V129-P129</f>
        <v>0</v>
      </c>
      <c r="S129" s="17">
        <v>5000</v>
      </c>
      <c r="T129" s="17">
        <v>5000</v>
      </c>
      <c r="U129" s="17">
        <v>5000</v>
      </c>
      <c r="V129" s="26">
        <f>V130</f>
        <v>5000</v>
      </c>
      <c r="W129" s="26">
        <f t="shared" si="61"/>
        <v>15000</v>
      </c>
      <c r="X129" s="26">
        <f t="shared" si="61"/>
        <v>5000</v>
      </c>
      <c r="Y129" s="26">
        <f t="shared" si="61"/>
        <v>5000</v>
      </c>
      <c r="Z129" s="162" t="b">
        <f t="shared" si="53"/>
        <v>1</v>
      </c>
      <c r="AA129" s="162" t="str">
        <f t="shared" si="54"/>
        <v>PRAZNO</v>
      </c>
      <c r="AC129" s="164"/>
    </row>
    <row r="130" spans="1:29" ht="15.75" x14ac:dyDescent="0.2">
      <c r="B130" s="177"/>
      <c r="C130" s="177"/>
      <c r="D130" s="177"/>
      <c r="E130" s="177">
        <v>4221</v>
      </c>
      <c r="F130" s="176">
        <v>11</v>
      </c>
      <c r="G130" s="176" t="s">
        <v>424</v>
      </c>
      <c r="H130" s="16" t="s">
        <v>558</v>
      </c>
      <c r="I130" s="18">
        <v>19755.12</v>
      </c>
      <c r="J130" s="27">
        <v>0</v>
      </c>
      <c r="K130" s="18">
        <v>6000</v>
      </c>
      <c r="L130" s="18">
        <v>4207.29</v>
      </c>
      <c r="M130" s="18">
        <f t="shared" si="63"/>
        <v>70.12</v>
      </c>
      <c r="N130" s="18">
        <f>O130-K130</f>
        <v>3977.3199999999997</v>
      </c>
      <c r="O130" s="18">
        <v>9977.32</v>
      </c>
      <c r="P130" s="18">
        <v>5000</v>
      </c>
      <c r="Q130" s="18">
        <v>0</v>
      </c>
      <c r="R130" s="26">
        <f>V130-P130</f>
        <v>0</v>
      </c>
      <c r="S130" s="18">
        <v>5000</v>
      </c>
      <c r="T130" s="18">
        <v>5000</v>
      </c>
      <c r="U130" s="18">
        <v>5000</v>
      </c>
      <c r="V130" s="27">
        <v>5000</v>
      </c>
      <c r="W130" s="266">
        <v>15000</v>
      </c>
      <c r="X130" s="27">
        <v>5000</v>
      </c>
      <c r="Y130" s="27">
        <v>5000</v>
      </c>
      <c r="Z130" s="162" t="b">
        <f t="shared" si="53"/>
        <v>0</v>
      </c>
      <c r="AA130" s="162" t="str">
        <f t="shared" si="54"/>
        <v>PUNO</v>
      </c>
      <c r="AC130" s="164"/>
    </row>
    <row r="131" spans="1:29" s="164" customFormat="1" ht="15.75" x14ac:dyDescent="0.2">
      <c r="A131" s="259"/>
      <c r="B131" s="194"/>
      <c r="C131" s="194"/>
      <c r="D131" s="194"/>
      <c r="E131" s="194"/>
      <c r="F131" s="194"/>
      <c r="G131" s="159"/>
      <c r="H131" s="24" t="s">
        <v>425</v>
      </c>
      <c r="I131" s="195" t="e">
        <f>I133+I151+I183+#REF!</f>
        <v>#REF!</v>
      </c>
      <c r="J131" s="195" t="e">
        <f>J133+J151+J183+#REF!</f>
        <v>#REF!</v>
      </c>
      <c r="K131" s="196" t="e">
        <f>K133+#REF!+K183</f>
        <v>#REF!</v>
      </c>
      <c r="L131" s="196" t="e">
        <f>L133+#REF!+L183</f>
        <v>#REF!</v>
      </c>
      <c r="M131" s="196" t="e">
        <f t="shared" si="63"/>
        <v>#REF!</v>
      </c>
      <c r="N131" s="196" t="e">
        <f>O131-K131</f>
        <v>#REF!</v>
      </c>
      <c r="O131" s="195" t="e">
        <f>O133+O151+O183+#REF!</f>
        <v>#REF!</v>
      </c>
      <c r="P131" s="195" t="e">
        <f>P133+P151+P183+#REF!</f>
        <v>#REF!</v>
      </c>
      <c r="Q131" s="195" t="e">
        <f>Q133+Q151+Q183+#REF!</f>
        <v>#REF!</v>
      </c>
      <c r="R131" s="351" t="e">
        <f>V131-P131</f>
        <v>#REF!</v>
      </c>
      <c r="S131" s="195" t="e">
        <f>S133+S151+S183+#REF!</f>
        <v>#REF!</v>
      </c>
      <c r="T131" s="195" t="e">
        <f>T133+T151+T183+#REF!</f>
        <v>#REF!</v>
      </c>
      <c r="U131" s="195" t="e">
        <f>U133+U151+U183+#REF!</f>
        <v>#REF!</v>
      </c>
      <c r="V131" s="197" t="e">
        <f>V133+V151+V183+#REF!</f>
        <v>#REF!</v>
      </c>
      <c r="W131" s="195">
        <f>W133+W151+W183</f>
        <v>3970000</v>
      </c>
      <c r="X131" s="195">
        <f>X133+X151+X183</f>
        <v>3640000</v>
      </c>
      <c r="Y131" s="195">
        <f>Y133+Y151+Y183</f>
        <v>3790000</v>
      </c>
      <c r="Z131" s="162" t="b">
        <f t="shared" si="53"/>
        <v>1</v>
      </c>
      <c r="AA131" s="162" t="str">
        <f t="shared" si="54"/>
        <v>PRAZNO</v>
      </c>
      <c r="AB131" s="163"/>
    </row>
    <row r="132" spans="1:29" s="164" customFormat="1" ht="15.75" x14ac:dyDescent="0.2">
      <c r="A132" s="259"/>
      <c r="B132" s="194"/>
      <c r="C132" s="194"/>
      <c r="D132" s="194"/>
      <c r="E132" s="194"/>
      <c r="F132" s="194"/>
      <c r="G132" s="159"/>
      <c r="H132" s="11" t="s">
        <v>421</v>
      </c>
      <c r="I132" s="195"/>
      <c r="J132" s="196"/>
      <c r="K132" s="196"/>
      <c r="L132" s="196"/>
      <c r="M132" s="196" t="e">
        <f t="shared" si="63"/>
        <v>#DIV/0!</v>
      </c>
      <c r="N132" s="196"/>
      <c r="O132" s="195"/>
      <c r="P132" s="195"/>
      <c r="Q132" s="195"/>
      <c r="R132" s="353"/>
      <c r="S132" s="195"/>
      <c r="T132" s="195"/>
      <c r="U132" s="195"/>
      <c r="V132" s="197"/>
      <c r="W132" s="195"/>
      <c r="X132" s="195"/>
      <c r="Y132" s="195"/>
      <c r="Z132" s="162" t="b">
        <f t="shared" si="53"/>
        <v>1</v>
      </c>
      <c r="AA132" s="162" t="str">
        <f t="shared" si="54"/>
        <v>PRAZNO</v>
      </c>
      <c r="AB132" s="165"/>
    </row>
    <row r="133" spans="1:29" s="171" customFormat="1" ht="15.75" x14ac:dyDescent="0.2">
      <c r="A133" s="259"/>
      <c r="B133" s="270"/>
      <c r="C133" s="270"/>
      <c r="D133" s="270"/>
      <c r="E133" s="270"/>
      <c r="F133" s="270"/>
      <c r="G133" s="270"/>
      <c r="H133" s="271" t="s">
        <v>710</v>
      </c>
      <c r="I133" s="272" t="e">
        <f>#REF!+I135+#REF!+#REF!+#REF!+#REF!+I141</f>
        <v>#REF!</v>
      </c>
      <c r="J133" s="272" t="e">
        <f>#REF!+J135+#REF!+#REF!+#REF!+#REF!+J141</f>
        <v>#REF!</v>
      </c>
      <c r="K133" s="273" t="e">
        <f>#REF!+#REF!+K153+#REF!+#REF!</f>
        <v>#REF!</v>
      </c>
      <c r="L133" s="273" t="e">
        <f>#REF!+#REF!+L153+#REF!+#REF!</f>
        <v>#REF!</v>
      </c>
      <c r="M133" s="273" t="e">
        <f t="shared" si="63"/>
        <v>#REF!</v>
      </c>
      <c r="N133" s="273" t="e">
        <f>O133-K133</f>
        <v>#REF!</v>
      </c>
      <c r="O133" s="272" t="e">
        <f>#REF!+O135+#REF!+#REF!+#REF!+#REF!+O141</f>
        <v>#REF!</v>
      </c>
      <c r="P133" s="272" t="e">
        <f>#REF!+P135+#REF!+#REF!+#REF!+#REF!+P141</f>
        <v>#REF!</v>
      </c>
      <c r="Q133" s="272" t="e">
        <f>#REF!+Q135+#REF!+#REF!+#REF!+#REF!+Q141</f>
        <v>#REF!</v>
      </c>
      <c r="R133" s="336" t="e">
        <f>V133-P133</f>
        <v>#REF!</v>
      </c>
      <c r="S133" s="272" t="e">
        <f>#REF!+S135+#REF!+#REF!+#REF!+#REF!+S141</f>
        <v>#REF!</v>
      </c>
      <c r="T133" s="272" t="e">
        <f>#REF!+T135+#REF!+#REF!+#REF!+#REF!+T141</f>
        <v>#REF!</v>
      </c>
      <c r="U133" s="272" t="e">
        <f>#REF!+U135+#REF!+#REF!+#REF!+#REF!+U141</f>
        <v>#REF!</v>
      </c>
      <c r="V133" s="275" t="e">
        <f>#REF!+V135+#REF!+#REF!+#REF!+#REF!+V141</f>
        <v>#REF!</v>
      </c>
      <c r="W133" s="272">
        <f>W141</f>
        <v>600000</v>
      </c>
      <c r="X133" s="272">
        <f>X141</f>
        <v>640000</v>
      </c>
      <c r="Y133" s="272">
        <f>Y141</f>
        <v>790000</v>
      </c>
      <c r="Z133" s="162" t="b">
        <f t="shared" si="53"/>
        <v>1</v>
      </c>
      <c r="AA133" s="162" t="str">
        <f t="shared" si="54"/>
        <v>PRAZNO</v>
      </c>
      <c r="AB133" s="170"/>
      <c r="AC133" s="164"/>
    </row>
    <row r="134" spans="1:29" s="171" customFormat="1" ht="35.25" customHeight="1" x14ac:dyDescent="0.2">
      <c r="A134" s="259"/>
      <c r="B134" s="168"/>
      <c r="C134" s="168"/>
      <c r="D134" s="168"/>
      <c r="E134" s="168"/>
      <c r="F134" s="168"/>
      <c r="G134" s="168"/>
      <c r="H134" s="12" t="s">
        <v>443</v>
      </c>
      <c r="I134" s="19"/>
      <c r="J134" s="19"/>
      <c r="K134" s="169"/>
      <c r="L134" s="169"/>
      <c r="M134" s="169"/>
      <c r="N134" s="169"/>
      <c r="O134" s="19"/>
      <c r="P134" s="19"/>
      <c r="Q134" s="19"/>
      <c r="R134" s="205"/>
      <c r="S134" s="19"/>
      <c r="T134" s="19"/>
      <c r="U134" s="19"/>
      <c r="V134" s="53"/>
      <c r="W134" s="19"/>
      <c r="X134" s="19"/>
      <c r="Y134" s="19"/>
      <c r="Z134" s="162" t="b">
        <f t="shared" si="53"/>
        <v>1</v>
      </c>
      <c r="AA134" s="162" t="str">
        <f t="shared" si="54"/>
        <v>PRAZNO</v>
      </c>
      <c r="AB134" s="170"/>
      <c r="AC134" s="164"/>
    </row>
    <row r="135" spans="1:29" s="171" customFormat="1" ht="31.5" hidden="1" x14ac:dyDescent="0.2">
      <c r="A135" s="259"/>
      <c r="B135" s="168"/>
      <c r="C135" s="168"/>
      <c r="D135" s="168"/>
      <c r="E135" s="168"/>
      <c r="F135" s="168"/>
      <c r="G135" s="168"/>
      <c r="H135" s="25" t="s">
        <v>1</v>
      </c>
      <c r="I135" s="19">
        <f t="shared" ref="I135:L137" si="66">I136</f>
        <v>0</v>
      </c>
      <c r="J135" s="169">
        <f t="shared" si="66"/>
        <v>0</v>
      </c>
      <c r="K135" s="169">
        <f t="shared" si="66"/>
        <v>60000</v>
      </c>
      <c r="L135" s="169">
        <f t="shared" si="66"/>
        <v>0</v>
      </c>
      <c r="M135" s="169">
        <f t="shared" ref="M135:M140" si="67">ROUND(L135/K135*100,2)</f>
        <v>0</v>
      </c>
      <c r="N135" s="169">
        <f t="shared" ref="N135:N140" si="68">O135-K135</f>
        <v>-60000</v>
      </c>
      <c r="O135" s="19">
        <f t="shared" ref="O135:Q137" si="69">O136</f>
        <v>0</v>
      </c>
      <c r="P135" s="19">
        <f t="shared" si="69"/>
        <v>0</v>
      </c>
      <c r="Q135" s="19">
        <f t="shared" si="69"/>
        <v>0</v>
      </c>
      <c r="R135" s="26">
        <f t="shared" ref="R135:R140" si="70">V135-P135</f>
        <v>0</v>
      </c>
      <c r="S135" s="19">
        <f t="shared" ref="S135:Y137" si="71">S136</f>
        <v>0</v>
      </c>
      <c r="T135" s="19">
        <f t="shared" si="71"/>
        <v>0</v>
      </c>
      <c r="U135" s="19">
        <f t="shared" si="71"/>
        <v>0</v>
      </c>
      <c r="V135" s="53">
        <f t="shared" si="71"/>
        <v>0</v>
      </c>
      <c r="W135" s="19">
        <f t="shared" si="71"/>
        <v>0</v>
      </c>
      <c r="X135" s="19">
        <f t="shared" si="71"/>
        <v>0</v>
      </c>
      <c r="Y135" s="19">
        <f t="shared" si="71"/>
        <v>0</v>
      </c>
      <c r="Z135" s="162" t="b">
        <f t="shared" ref="Z135:Z147" si="72">ISBLANK(E135)</f>
        <v>1</v>
      </c>
      <c r="AA135" s="162" t="str">
        <f t="shared" ref="AA135:AA147" si="73">IF(Z135,"PRAZNO","PUNO")</f>
        <v>PRAZNO</v>
      </c>
      <c r="AB135" s="170"/>
      <c r="AC135" s="164"/>
    </row>
    <row r="136" spans="1:29" s="174" customFormat="1" ht="15.75" hidden="1" x14ac:dyDescent="0.2">
      <c r="A136" s="259"/>
      <c r="B136" s="172">
        <v>3</v>
      </c>
      <c r="C136" s="172"/>
      <c r="D136" s="172"/>
      <c r="E136" s="172"/>
      <c r="F136" s="172"/>
      <c r="G136" s="172"/>
      <c r="H136" s="14" t="s">
        <v>524</v>
      </c>
      <c r="I136" s="20">
        <f t="shared" si="66"/>
        <v>0</v>
      </c>
      <c r="J136" s="55">
        <f t="shared" si="66"/>
        <v>0</v>
      </c>
      <c r="K136" s="20">
        <f t="shared" si="66"/>
        <v>60000</v>
      </c>
      <c r="L136" s="20">
        <f t="shared" si="66"/>
        <v>0</v>
      </c>
      <c r="M136" s="20">
        <f t="shared" si="67"/>
        <v>0</v>
      </c>
      <c r="N136" s="20">
        <f t="shared" si="68"/>
        <v>-60000</v>
      </c>
      <c r="O136" s="20">
        <f t="shared" si="69"/>
        <v>0</v>
      </c>
      <c r="P136" s="20">
        <f t="shared" si="69"/>
        <v>0</v>
      </c>
      <c r="Q136" s="20">
        <f t="shared" si="69"/>
        <v>0</v>
      </c>
      <c r="R136" s="26">
        <f t="shared" si="70"/>
        <v>0</v>
      </c>
      <c r="S136" s="20">
        <f t="shared" si="71"/>
        <v>0</v>
      </c>
      <c r="T136" s="20">
        <f t="shared" si="71"/>
        <v>0</v>
      </c>
      <c r="U136" s="20">
        <f t="shared" si="71"/>
        <v>0</v>
      </c>
      <c r="V136" s="55">
        <f t="shared" si="71"/>
        <v>0</v>
      </c>
      <c r="W136" s="20">
        <f t="shared" si="71"/>
        <v>0</v>
      </c>
      <c r="X136" s="20">
        <f t="shared" si="71"/>
        <v>0</v>
      </c>
      <c r="Y136" s="20">
        <f t="shared" si="71"/>
        <v>0</v>
      </c>
      <c r="Z136" s="162" t="b">
        <f t="shared" si="72"/>
        <v>1</v>
      </c>
      <c r="AA136" s="162" t="str">
        <f t="shared" si="73"/>
        <v>PRAZNO</v>
      </c>
      <c r="AB136" s="173"/>
      <c r="AC136" s="164"/>
    </row>
    <row r="137" spans="1:29" ht="15.75" hidden="1" x14ac:dyDescent="0.2">
      <c r="B137" s="175"/>
      <c r="C137" s="175">
        <v>35</v>
      </c>
      <c r="D137" s="175"/>
      <c r="E137" s="175"/>
      <c r="F137" s="175"/>
      <c r="G137" s="175"/>
      <c r="H137" s="28" t="s">
        <v>747</v>
      </c>
      <c r="I137" s="22">
        <f t="shared" si="66"/>
        <v>0</v>
      </c>
      <c r="J137" s="38">
        <f t="shared" si="66"/>
        <v>0</v>
      </c>
      <c r="K137" s="22">
        <f t="shared" si="66"/>
        <v>60000</v>
      </c>
      <c r="L137" s="22">
        <f t="shared" si="66"/>
        <v>0</v>
      </c>
      <c r="M137" s="22">
        <f t="shared" si="67"/>
        <v>0</v>
      </c>
      <c r="N137" s="22">
        <f t="shared" si="68"/>
        <v>-60000</v>
      </c>
      <c r="O137" s="22">
        <f t="shared" si="69"/>
        <v>0</v>
      </c>
      <c r="P137" s="22">
        <f t="shared" si="69"/>
        <v>0</v>
      </c>
      <c r="Q137" s="22">
        <f t="shared" si="69"/>
        <v>0</v>
      </c>
      <c r="R137" s="26">
        <f t="shared" si="70"/>
        <v>0</v>
      </c>
      <c r="S137" s="22">
        <f t="shared" si="71"/>
        <v>0</v>
      </c>
      <c r="T137" s="22">
        <f t="shared" si="71"/>
        <v>0</v>
      </c>
      <c r="U137" s="22">
        <f t="shared" si="71"/>
        <v>0</v>
      </c>
      <c r="V137" s="38">
        <f t="shared" si="71"/>
        <v>0</v>
      </c>
      <c r="W137" s="22">
        <f t="shared" si="71"/>
        <v>0</v>
      </c>
      <c r="X137" s="22">
        <f t="shared" si="71"/>
        <v>0</v>
      </c>
      <c r="Y137" s="22">
        <f t="shared" si="71"/>
        <v>0</v>
      </c>
      <c r="Z137" s="162" t="b">
        <f t="shared" si="72"/>
        <v>1</v>
      </c>
      <c r="AA137" s="162" t="str">
        <f t="shared" si="73"/>
        <v>PRAZNO</v>
      </c>
      <c r="AC137" s="164"/>
    </row>
    <row r="138" spans="1:29" ht="30" hidden="1" x14ac:dyDescent="0.2">
      <c r="B138" s="177"/>
      <c r="C138" s="177"/>
      <c r="D138" s="177">
        <v>352</v>
      </c>
      <c r="E138" s="177"/>
      <c r="F138" s="177"/>
      <c r="G138" s="177"/>
      <c r="H138" s="29" t="s">
        <v>748</v>
      </c>
      <c r="I138" s="17">
        <f>SUM(I139:I140)</f>
        <v>0</v>
      </c>
      <c r="J138" s="26">
        <f>SUM(J139:J140)</f>
        <v>0</v>
      </c>
      <c r="K138" s="17">
        <f>SUM(K139:K140)</f>
        <v>60000</v>
      </c>
      <c r="L138" s="17">
        <f>SUM(L139:L140)</f>
        <v>0</v>
      </c>
      <c r="M138" s="17">
        <f t="shared" si="67"/>
        <v>0</v>
      </c>
      <c r="N138" s="17">
        <f t="shared" si="68"/>
        <v>-60000</v>
      </c>
      <c r="O138" s="17">
        <f>SUM(O139:O140)</f>
        <v>0</v>
      </c>
      <c r="P138" s="17">
        <f>SUM(P139:P140)</f>
        <v>0</v>
      </c>
      <c r="Q138" s="17">
        <f>SUM(Q139:Q140)</f>
        <v>0</v>
      </c>
      <c r="R138" s="26">
        <f t="shared" si="70"/>
        <v>0</v>
      </c>
      <c r="S138" s="17">
        <f t="shared" ref="S138:Y138" si="74">SUM(S139:S140)</f>
        <v>0</v>
      </c>
      <c r="T138" s="17">
        <f t="shared" si="74"/>
        <v>0</v>
      </c>
      <c r="U138" s="17">
        <f t="shared" si="74"/>
        <v>0</v>
      </c>
      <c r="V138" s="26">
        <f t="shared" si="74"/>
        <v>0</v>
      </c>
      <c r="W138" s="17">
        <f t="shared" si="74"/>
        <v>0</v>
      </c>
      <c r="X138" s="17">
        <f t="shared" si="74"/>
        <v>0</v>
      </c>
      <c r="Y138" s="17">
        <f t="shared" si="74"/>
        <v>0</v>
      </c>
      <c r="Z138" s="162" t="b">
        <f t="shared" si="72"/>
        <v>1</v>
      </c>
      <c r="AA138" s="162" t="str">
        <f t="shared" si="73"/>
        <v>PRAZNO</v>
      </c>
      <c r="AC138" s="164"/>
    </row>
    <row r="139" spans="1:29" ht="45" hidden="1" customHeight="1" x14ac:dyDescent="0.2">
      <c r="B139" s="177"/>
      <c r="C139" s="177"/>
      <c r="D139" s="177"/>
      <c r="E139" s="177">
        <v>3523</v>
      </c>
      <c r="F139" s="176">
        <v>52</v>
      </c>
      <c r="G139" s="176"/>
      <c r="H139" s="256" t="s">
        <v>330</v>
      </c>
      <c r="I139" s="18"/>
      <c r="J139" s="27">
        <v>0</v>
      </c>
      <c r="K139" s="18">
        <v>19800</v>
      </c>
      <c r="L139" s="18">
        <v>0</v>
      </c>
      <c r="M139" s="18">
        <f t="shared" si="67"/>
        <v>0</v>
      </c>
      <c r="N139" s="18">
        <f t="shared" si="68"/>
        <v>-19800</v>
      </c>
      <c r="O139" s="18"/>
      <c r="P139" s="18">
        <v>0</v>
      </c>
      <c r="Q139" s="18"/>
      <c r="R139" s="26">
        <f t="shared" si="70"/>
        <v>0</v>
      </c>
      <c r="S139" s="18">
        <v>0</v>
      </c>
      <c r="T139" s="18">
        <v>0</v>
      </c>
      <c r="U139" s="18">
        <v>0</v>
      </c>
      <c r="V139" s="27"/>
      <c r="W139" s="18"/>
      <c r="X139" s="18"/>
      <c r="Y139" s="18"/>
      <c r="Z139" s="162" t="b">
        <f t="shared" si="72"/>
        <v>0</v>
      </c>
      <c r="AA139" s="162" t="str">
        <f t="shared" si="73"/>
        <v>PUNO</v>
      </c>
      <c r="AC139" s="164"/>
    </row>
    <row r="140" spans="1:29" ht="48" hidden="1" customHeight="1" x14ac:dyDescent="0.2">
      <c r="B140" s="177"/>
      <c r="C140" s="177"/>
      <c r="D140" s="177"/>
      <c r="E140" s="177">
        <v>3523</v>
      </c>
      <c r="F140" s="176">
        <v>14</v>
      </c>
      <c r="G140" s="176"/>
      <c r="H140" s="256" t="s">
        <v>330</v>
      </c>
      <c r="I140" s="18"/>
      <c r="J140" s="27">
        <v>0</v>
      </c>
      <c r="K140" s="18">
        <v>40200</v>
      </c>
      <c r="L140" s="18">
        <v>0</v>
      </c>
      <c r="M140" s="18">
        <f t="shared" si="67"/>
        <v>0</v>
      </c>
      <c r="N140" s="18">
        <f t="shared" si="68"/>
        <v>-40200</v>
      </c>
      <c r="O140" s="18"/>
      <c r="P140" s="18">
        <v>0</v>
      </c>
      <c r="Q140" s="18"/>
      <c r="R140" s="26">
        <f t="shared" si="70"/>
        <v>0</v>
      </c>
      <c r="S140" s="18">
        <v>0</v>
      </c>
      <c r="T140" s="18">
        <v>0</v>
      </c>
      <c r="U140" s="18">
        <v>0</v>
      </c>
      <c r="V140" s="27"/>
      <c r="W140" s="18"/>
      <c r="X140" s="18"/>
      <c r="Y140" s="18"/>
      <c r="Z140" s="162" t="b">
        <f t="shared" si="72"/>
        <v>0</v>
      </c>
      <c r="AA140" s="162" t="str">
        <f t="shared" si="73"/>
        <v>PUNO</v>
      </c>
      <c r="AC140" s="164"/>
    </row>
    <row r="141" spans="1:29" s="171" customFormat="1" ht="15.75" x14ac:dyDescent="0.2">
      <c r="A141" s="259"/>
      <c r="B141" s="168"/>
      <c r="C141" s="168"/>
      <c r="D141" s="168"/>
      <c r="E141" s="168"/>
      <c r="F141" s="168"/>
      <c r="G141" s="168"/>
      <c r="H141" s="12" t="s">
        <v>156</v>
      </c>
      <c r="I141" s="19">
        <f>I143</f>
        <v>316269.33</v>
      </c>
      <c r="J141" s="169">
        <f>J143</f>
        <v>95508.51</v>
      </c>
      <c r="K141" s="169">
        <f>K143</f>
        <v>300000</v>
      </c>
      <c r="L141" s="169">
        <f>L143</f>
        <v>0</v>
      </c>
      <c r="M141" s="169">
        <f>ROUND(L141/K141*100,2)</f>
        <v>0</v>
      </c>
      <c r="N141" s="169">
        <f>O141-K141</f>
        <v>200000</v>
      </c>
      <c r="O141" s="19">
        <f>O143</f>
        <v>500000</v>
      </c>
      <c r="P141" s="19">
        <f>P143</f>
        <v>800000</v>
      </c>
      <c r="Q141" s="19">
        <f>Q143</f>
        <v>437874.16</v>
      </c>
      <c r="R141" s="303">
        <f>V141-P141</f>
        <v>200000</v>
      </c>
      <c r="S141" s="19">
        <f t="shared" ref="S141:Y141" si="75">S143</f>
        <v>800000</v>
      </c>
      <c r="T141" s="19">
        <f t="shared" si="75"/>
        <v>650000</v>
      </c>
      <c r="U141" s="19">
        <f t="shared" si="75"/>
        <v>850000</v>
      </c>
      <c r="V141" s="53">
        <f t="shared" si="75"/>
        <v>1000000</v>
      </c>
      <c r="W141" s="19">
        <f t="shared" si="75"/>
        <v>600000</v>
      </c>
      <c r="X141" s="19">
        <f t="shared" si="75"/>
        <v>640000</v>
      </c>
      <c r="Y141" s="19">
        <f t="shared" si="75"/>
        <v>790000</v>
      </c>
      <c r="Z141" s="162" t="b">
        <f t="shared" si="72"/>
        <v>1</v>
      </c>
      <c r="AA141" s="162" t="str">
        <f t="shared" si="73"/>
        <v>PRAZNO</v>
      </c>
      <c r="AB141" s="170"/>
      <c r="AC141" s="164"/>
    </row>
    <row r="142" spans="1:29" s="264" customFormat="1" ht="15.75" x14ac:dyDescent="0.2">
      <c r="A142" s="259"/>
      <c r="B142" s="260"/>
      <c r="C142" s="260"/>
      <c r="D142" s="260"/>
      <c r="E142" s="260"/>
      <c r="F142" s="260"/>
      <c r="G142" s="260"/>
      <c r="H142" s="441" t="s">
        <v>824</v>
      </c>
      <c r="I142" s="262"/>
      <c r="J142" s="181"/>
      <c r="K142" s="181"/>
      <c r="L142" s="181"/>
      <c r="M142" s="181"/>
      <c r="N142" s="181"/>
      <c r="O142" s="262"/>
      <c r="P142" s="262"/>
      <c r="Q142" s="262"/>
      <c r="R142" s="445"/>
      <c r="S142" s="262"/>
      <c r="T142" s="262"/>
      <c r="U142" s="262"/>
      <c r="V142" s="342"/>
      <c r="W142" s="262">
        <f t="shared" ref="W142:Y144" si="76">W143</f>
        <v>600000</v>
      </c>
      <c r="X142" s="262">
        <f t="shared" si="76"/>
        <v>640000</v>
      </c>
      <c r="Y142" s="262">
        <f t="shared" si="76"/>
        <v>790000</v>
      </c>
      <c r="Z142" s="162" t="b">
        <f t="shared" si="72"/>
        <v>1</v>
      </c>
      <c r="AA142" s="162" t="str">
        <f t="shared" si="73"/>
        <v>PRAZNO</v>
      </c>
      <c r="AB142" s="263"/>
    </row>
    <row r="143" spans="1:29" s="174" customFormat="1" ht="15.75" x14ac:dyDescent="0.2">
      <c r="A143" s="259"/>
      <c r="B143" s="172">
        <v>3</v>
      </c>
      <c r="C143" s="172"/>
      <c r="D143" s="172"/>
      <c r="E143" s="172"/>
      <c r="F143" s="172"/>
      <c r="G143" s="172"/>
      <c r="H143" s="14" t="s">
        <v>524</v>
      </c>
      <c r="I143" s="20">
        <f t="shared" ref="I143:L144" si="77">I144</f>
        <v>316269.33</v>
      </c>
      <c r="J143" s="20">
        <f t="shared" si="77"/>
        <v>95508.51</v>
      </c>
      <c r="K143" s="20">
        <f t="shared" si="77"/>
        <v>300000</v>
      </c>
      <c r="L143" s="20">
        <f t="shared" si="77"/>
        <v>0</v>
      </c>
      <c r="M143" s="20">
        <f>ROUND(L143/K143*100,2)</f>
        <v>0</v>
      </c>
      <c r="N143" s="20">
        <f>O143-K143</f>
        <v>200000</v>
      </c>
      <c r="O143" s="20">
        <f t="shared" ref="O143:Q144" si="78">O144</f>
        <v>500000</v>
      </c>
      <c r="P143" s="20">
        <f t="shared" si="78"/>
        <v>800000</v>
      </c>
      <c r="Q143" s="20">
        <f t="shared" si="78"/>
        <v>437874.16</v>
      </c>
      <c r="R143" s="55">
        <f>V143-P143</f>
        <v>200000</v>
      </c>
      <c r="S143" s="20">
        <f t="shared" ref="S143:V144" si="79">S144</f>
        <v>800000</v>
      </c>
      <c r="T143" s="20">
        <f t="shared" si="79"/>
        <v>650000</v>
      </c>
      <c r="U143" s="20">
        <f t="shared" si="79"/>
        <v>850000</v>
      </c>
      <c r="V143" s="55">
        <f t="shared" si="79"/>
        <v>1000000</v>
      </c>
      <c r="W143" s="20">
        <f t="shared" si="76"/>
        <v>600000</v>
      </c>
      <c r="X143" s="20">
        <f t="shared" si="76"/>
        <v>640000</v>
      </c>
      <c r="Y143" s="20">
        <f t="shared" si="76"/>
        <v>790000</v>
      </c>
      <c r="Z143" s="162" t="b">
        <f t="shared" si="72"/>
        <v>1</v>
      </c>
      <c r="AA143" s="162" t="str">
        <f t="shared" si="73"/>
        <v>PRAZNO</v>
      </c>
      <c r="AB143" s="173"/>
      <c r="AC143" s="164"/>
    </row>
    <row r="144" spans="1:29" ht="27.75" customHeight="1" x14ac:dyDescent="0.2">
      <c r="B144" s="177"/>
      <c r="C144" s="177">
        <v>36</v>
      </c>
      <c r="D144" s="177"/>
      <c r="E144" s="177"/>
      <c r="F144" s="177"/>
      <c r="G144" s="177"/>
      <c r="H144" s="16" t="s">
        <v>751</v>
      </c>
      <c r="I144" s="18">
        <f t="shared" si="77"/>
        <v>316269.33</v>
      </c>
      <c r="J144" s="18">
        <f t="shared" si="77"/>
        <v>95508.51</v>
      </c>
      <c r="K144" s="18">
        <f t="shared" si="77"/>
        <v>300000</v>
      </c>
      <c r="L144" s="18">
        <f t="shared" si="77"/>
        <v>0</v>
      </c>
      <c r="M144" s="18">
        <f>ROUND(L144/K144*100,2)</f>
        <v>0</v>
      </c>
      <c r="N144" s="18">
        <f>O144-K144</f>
        <v>200000</v>
      </c>
      <c r="O144" s="18">
        <f t="shared" si="78"/>
        <v>500000</v>
      </c>
      <c r="P144" s="18">
        <f t="shared" si="78"/>
        <v>800000</v>
      </c>
      <c r="Q144" s="18">
        <f t="shared" si="78"/>
        <v>437874.16</v>
      </c>
      <c r="R144" s="26">
        <f>V144-P144</f>
        <v>200000</v>
      </c>
      <c r="S144" s="18">
        <f t="shared" si="79"/>
        <v>800000</v>
      </c>
      <c r="T144" s="18">
        <f t="shared" si="79"/>
        <v>650000</v>
      </c>
      <c r="U144" s="18">
        <f t="shared" si="79"/>
        <v>850000</v>
      </c>
      <c r="V144" s="27">
        <f t="shared" si="79"/>
        <v>1000000</v>
      </c>
      <c r="W144" s="18">
        <f t="shared" si="76"/>
        <v>600000</v>
      </c>
      <c r="X144" s="18">
        <f t="shared" si="76"/>
        <v>640000</v>
      </c>
      <c r="Y144" s="18">
        <f t="shared" si="76"/>
        <v>790000</v>
      </c>
      <c r="Z144" s="162" t="b">
        <f t="shared" si="72"/>
        <v>1</v>
      </c>
      <c r="AA144" s="162" t="str">
        <f t="shared" si="73"/>
        <v>PRAZNO</v>
      </c>
      <c r="AC144" s="164"/>
    </row>
    <row r="145" spans="1:30" ht="15.75" x14ac:dyDescent="0.2">
      <c r="B145" s="177"/>
      <c r="C145" s="177"/>
      <c r="D145" s="177">
        <v>363</v>
      </c>
      <c r="E145" s="177"/>
      <c r="F145" s="177"/>
      <c r="G145" s="177"/>
      <c r="H145" s="16" t="s">
        <v>536</v>
      </c>
      <c r="I145" s="18">
        <f>SUM(I146:I146)</f>
        <v>316269.33</v>
      </c>
      <c r="J145" s="18">
        <f>SUM(J146:J146)</f>
        <v>95508.51</v>
      </c>
      <c r="K145" s="18">
        <f>SUM(K146:K146)</f>
        <v>300000</v>
      </c>
      <c r="L145" s="18">
        <f>SUM(L146:L146)</f>
        <v>0</v>
      </c>
      <c r="M145" s="18">
        <f>ROUND(L145/K145*100,2)</f>
        <v>0</v>
      </c>
      <c r="N145" s="18">
        <f>O145-K145</f>
        <v>200000</v>
      </c>
      <c r="O145" s="18">
        <f>SUM(O146:O146)</f>
        <v>500000</v>
      </c>
      <c r="P145" s="18">
        <f>P146+P147</f>
        <v>800000</v>
      </c>
      <c r="Q145" s="18">
        <f>SUM(Q146:Q146)</f>
        <v>437874.16</v>
      </c>
      <c r="R145" s="26">
        <f>V145-P145</f>
        <v>200000</v>
      </c>
      <c r="S145" s="18">
        <f t="shared" ref="S145:Y145" si="80">S146+S147</f>
        <v>800000</v>
      </c>
      <c r="T145" s="18">
        <f t="shared" si="80"/>
        <v>650000</v>
      </c>
      <c r="U145" s="18">
        <f t="shared" si="80"/>
        <v>850000</v>
      </c>
      <c r="V145" s="27">
        <f t="shared" si="80"/>
        <v>1000000</v>
      </c>
      <c r="W145" s="18">
        <f t="shared" si="80"/>
        <v>600000</v>
      </c>
      <c r="X145" s="18">
        <f t="shared" si="80"/>
        <v>640000</v>
      </c>
      <c r="Y145" s="18">
        <f t="shared" si="80"/>
        <v>790000</v>
      </c>
      <c r="Z145" s="162" t="b">
        <f t="shared" si="72"/>
        <v>1</v>
      </c>
      <c r="AA145" s="162" t="str">
        <f t="shared" si="73"/>
        <v>PRAZNO</v>
      </c>
      <c r="AC145" s="164"/>
    </row>
    <row r="146" spans="1:30" ht="60" customHeight="1" x14ac:dyDescent="0.2">
      <c r="B146" s="177"/>
      <c r="C146" s="177"/>
      <c r="D146" s="177"/>
      <c r="E146" s="177">
        <v>3632</v>
      </c>
      <c r="F146" s="176">
        <v>14</v>
      </c>
      <c r="G146" s="176"/>
      <c r="H146" s="16" t="s">
        <v>389</v>
      </c>
      <c r="I146" s="18">
        <v>316269.33</v>
      </c>
      <c r="J146" s="27">
        <v>95508.51</v>
      </c>
      <c r="K146" s="18">
        <v>300000</v>
      </c>
      <c r="L146" s="18">
        <v>0</v>
      </c>
      <c r="M146" s="18">
        <f>ROUND(L146/K146*100,2)</f>
        <v>0</v>
      </c>
      <c r="N146" s="18">
        <f>O146-K146</f>
        <v>200000</v>
      </c>
      <c r="O146" s="18">
        <v>500000</v>
      </c>
      <c r="P146" s="18">
        <v>400000</v>
      </c>
      <c r="Q146" s="18">
        <v>437874.16</v>
      </c>
      <c r="R146" s="26">
        <f>V146-P146</f>
        <v>400000</v>
      </c>
      <c r="S146" s="18">
        <v>400000</v>
      </c>
      <c r="T146" s="18">
        <v>200000</v>
      </c>
      <c r="U146" s="18">
        <v>250000</v>
      </c>
      <c r="V146" s="27">
        <v>800000</v>
      </c>
      <c r="W146" s="18">
        <v>400000</v>
      </c>
      <c r="X146" s="18">
        <v>440000</v>
      </c>
      <c r="Y146" s="18">
        <v>540000</v>
      </c>
      <c r="Z146" s="162" t="b">
        <f t="shared" si="72"/>
        <v>0</v>
      </c>
      <c r="AA146" s="162" t="str">
        <f t="shared" si="73"/>
        <v>PUNO</v>
      </c>
      <c r="AC146" s="164"/>
    </row>
    <row r="147" spans="1:30" ht="59.25" customHeight="1" x14ac:dyDescent="0.2">
      <c r="B147" s="177"/>
      <c r="C147" s="177"/>
      <c r="D147" s="177"/>
      <c r="E147" s="177">
        <v>3632</v>
      </c>
      <c r="F147" s="176">
        <v>14</v>
      </c>
      <c r="G147" s="176"/>
      <c r="H147" s="16" t="s">
        <v>388</v>
      </c>
      <c r="I147" s="18"/>
      <c r="J147" s="27"/>
      <c r="K147" s="18"/>
      <c r="L147" s="18"/>
      <c r="M147" s="18"/>
      <c r="N147" s="18"/>
      <c r="O147" s="18"/>
      <c r="P147" s="18">
        <v>400000</v>
      </c>
      <c r="Q147" s="18">
        <v>0</v>
      </c>
      <c r="R147" s="26">
        <f>V147-P147</f>
        <v>-200000</v>
      </c>
      <c r="S147" s="18">
        <v>400000</v>
      </c>
      <c r="T147" s="18">
        <v>450000</v>
      </c>
      <c r="U147" s="18">
        <v>600000</v>
      </c>
      <c r="V147" s="27">
        <v>200000</v>
      </c>
      <c r="W147" s="18">
        <v>200000</v>
      </c>
      <c r="X147" s="18">
        <v>200000</v>
      </c>
      <c r="Y147" s="18">
        <v>250000</v>
      </c>
      <c r="Z147" s="162" t="b">
        <f t="shared" si="72"/>
        <v>0</v>
      </c>
      <c r="AA147" s="162" t="str">
        <f t="shared" si="73"/>
        <v>PUNO</v>
      </c>
      <c r="AC147" s="164"/>
    </row>
    <row r="148" spans="1:30" ht="15.75" hidden="1" x14ac:dyDescent="0.2">
      <c r="B148" s="177"/>
      <c r="C148" s="177"/>
      <c r="D148" s="177"/>
      <c r="E148" s="177"/>
      <c r="F148" s="176"/>
      <c r="G148" s="176"/>
      <c r="H148" s="16"/>
      <c r="I148" s="18"/>
      <c r="J148" s="27"/>
      <c r="K148" s="18"/>
      <c r="L148" s="18"/>
      <c r="M148" s="18"/>
      <c r="N148" s="18"/>
      <c r="O148" s="18"/>
      <c r="P148" s="18"/>
      <c r="Q148" s="18"/>
      <c r="R148" s="26"/>
      <c r="S148" s="18"/>
      <c r="T148" s="18"/>
      <c r="U148" s="18"/>
      <c r="V148" s="27"/>
      <c r="W148" s="18"/>
      <c r="X148" s="18"/>
      <c r="Y148" s="18"/>
      <c r="Z148" s="162" t="b">
        <f t="shared" ref="Z148:Z176" si="81">ISBLANK(E148)</f>
        <v>1</v>
      </c>
      <c r="AA148" s="162" t="str">
        <f t="shared" ref="AA148:AA176" si="82">IF(Z148,"PRAZNO","PUNO")</f>
        <v>PRAZNO</v>
      </c>
      <c r="AC148" s="164"/>
    </row>
    <row r="149" spans="1:30" ht="15.75" hidden="1" x14ac:dyDescent="0.2">
      <c r="B149" s="177"/>
      <c r="C149" s="177"/>
      <c r="D149" s="177"/>
      <c r="E149" s="177"/>
      <c r="F149" s="176"/>
      <c r="G149" s="176"/>
      <c r="H149" s="16"/>
      <c r="I149" s="18"/>
      <c r="J149" s="27"/>
      <c r="K149" s="18"/>
      <c r="L149" s="18"/>
      <c r="M149" s="18"/>
      <c r="N149" s="18"/>
      <c r="O149" s="18"/>
      <c r="P149" s="18"/>
      <c r="Q149" s="18"/>
      <c r="R149" s="26"/>
      <c r="S149" s="18"/>
      <c r="T149" s="18"/>
      <c r="U149" s="18"/>
      <c r="V149" s="27"/>
      <c r="W149" s="18"/>
      <c r="X149" s="18"/>
      <c r="Y149" s="18"/>
      <c r="Z149" s="162" t="b">
        <f t="shared" si="81"/>
        <v>1</v>
      </c>
      <c r="AA149" s="162" t="str">
        <f t="shared" si="82"/>
        <v>PRAZNO</v>
      </c>
      <c r="AC149" s="164"/>
    </row>
    <row r="150" spans="1:30" s="164" customFormat="1" ht="15.75" x14ac:dyDescent="0.2">
      <c r="A150" s="259"/>
      <c r="B150" s="194"/>
      <c r="C150" s="194"/>
      <c r="D150" s="194"/>
      <c r="E150" s="194"/>
      <c r="F150" s="159"/>
      <c r="G150" s="159"/>
      <c r="H150" s="11" t="s">
        <v>304</v>
      </c>
      <c r="I150" s="195"/>
      <c r="J150" s="196"/>
      <c r="K150" s="196"/>
      <c r="L150" s="196"/>
      <c r="M150" s="196"/>
      <c r="N150" s="196"/>
      <c r="O150" s="195"/>
      <c r="P150" s="195"/>
      <c r="Q150" s="195"/>
      <c r="R150" s="353"/>
      <c r="S150" s="195"/>
      <c r="T150" s="195"/>
      <c r="U150" s="195"/>
      <c r="V150" s="197"/>
      <c r="W150" s="195"/>
      <c r="X150" s="195"/>
      <c r="Y150" s="195"/>
      <c r="Z150" s="162" t="b">
        <f t="shared" si="81"/>
        <v>1</v>
      </c>
      <c r="AA150" s="162" t="str">
        <f t="shared" si="82"/>
        <v>PRAZNO</v>
      </c>
      <c r="AB150" s="165"/>
    </row>
    <row r="151" spans="1:30" s="171" customFormat="1" ht="15.75" x14ac:dyDescent="0.2">
      <c r="A151" s="259"/>
      <c r="B151" s="270"/>
      <c r="C151" s="270"/>
      <c r="D151" s="270"/>
      <c r="E151" s="270"/>
      <c r="F151" s="270"/>
      <c r="G151" s="270"/>
      <c r="H151" s="276" t="s">
        <v>711</v>
      </c>
      <c r="I151" s="272" t="e">
        <f>I153+#REF!+#REF!+#REF!+I158+I170+I176</f>
        <v>#REF!</v>
      </c>
      <c r="J151" s="272" t="e">
        <f>J153+#REF!+#REF!+#REF!+J158+J170+J176</f>
        <v>#REF!</v>
      </c>
      <c r="K151" s="273"/>
      <c r="L151" s="273"/>
      <c r="M151" s="273"/>
      <c r="N151" s="273"/>
      <c r="O151" s="272" t="e">
        <f>O153+#REF!+#REF!+#REF!+O158+O170+O176</f>
        <v>#REF!</v>
      </c>
      <c r="P151" s="272" t="e">
        <f>P153+#REF!+#REF!+#REF!+P158+P170+P176</f>
        <v>#REF!</v>
      </c>
      <c r="Q151" s="272" t="e">
        <f>Q153+#REF!+#REF!+#REF!+Q158+Q170+Q176</f>
        <v>#REF!</v>
      </c>
      <c r="R151" s="336" t="e">
        <f>V151-P151</f>
        <v>#REF!</v>
      </c>
      <c r="S151" s="272" t="e">
        <f>S153+#REF!+#REF!+#REF!+S158+S170+S176</f>
        <v>#REF!</v>
      </c>
      <c r="T151" s="272" t="e">
        <f>T153+#REF!+#REF!+#REF!+T158+T170+T176</f>
        <v>#REF!</v>
      </c>
      <c r="U151" s="272" t="e">
        <f>U153+#REF!+#REF!+#REF!+U158+U170+U176</f>
        <v>#REF!</v>
      </c>
      <c r="V151" s="275" t="e">
        <f>V153+#REF!+#REF!+#REF!+V158+V170+V176</f>
        <v>#REF!</v>
      </c>
      <c r="W151" s="272">
        <f>W158+W170+W176</f>
        <v>1070000</v>
      </c>
      <c r="X151" s="272">
        <f>X158+X170+X176</f>
        <v>0</v>
      </c>
      <c r="Y151" s="272">
        <f>Y158+Y170+Y176</f>
        <v>0</v>
      </c>
      <c r="Z151" s="162" t="b">
        <f t="shared" si="81"/>
        <v>1</v>
      </c>
      <c r="AA151" s="162" t="str">
        <f t="shared" si="82"/>
        <v>PRAZNO</v>
      </c>
      <c r="AB151" s="170"/>
      <c r="AC151" s="164"/>
    </row>
    <row r="152" spans="1:30" s="171" customFormat="1" ht="15.75" x14ac:dyDescent="0.2">
      <c r="A152" s="259"/>
      <c r="B152" s="168"/>
      <c r="C152" s="168"/>
      <c r="D152" s="168"/>
      <c r="E152" s="168"/>
      <c r="F152" s="168"/>
      <c r="G152" s="168"/>
      <c r="H152" s="25" t="s">
        <v>444</v>
      </c>
      <c r="I152" s="19"/>
      <c r="J152" s="19"/>
      <c r="K152" s="169"/>
      <c r="L152" s="169"/>
      <c r="M152" s="169"/>
      <c r="N152" s="169"/>
      <c r="O152" s="19"/>
      <c r="P152" s="19"/>
      <c r="Q152" s="19"/>
      <c r="R152" s="303"/>
      <c r="S152" s="19"/>
      <c r="T152" s="19"/>
      <c r="U152" s="19"/>
      <c r="V152" s="53"/>
      <c r="W152" s="19"/>
      <c r="X152" s="19"/>
      <c r="Y152" s="19"/>
      <c r="Z152" s="162" t="b">
        <f t="shared" si="81"/>
        <v>1</v>
      </c>
      <c r="AA152" s="162" t="str">
        <f t="shared" si="82"/>
        <v>PRAZNO</v>
      </c>
      <c r="AB152" s="170"/>
      <c r="AC152" s="164"/>
    </row>
    <row r="153" spans="1:30" s="264" customFormat="1" ht="31.5" hidden="1" x14ac:dyDescent="0.2">
      <c r="A153" s="259"/>
      <c r="B153" s="260"/>
      <c r="C153" s="260"/>
      <c r="D153" s="260"/>
      <c r="E153" s="260"/>
      <c r="F153" s="260"/>
      <c r="G153" s="260"/>
      <c r="H153" s="261" t="s">
        <v>428</v>
      </c>
      <c r="I153" s="262">
        <f t="shared" ref="I153:L156" si="83">I154</f>
        <v>839000</v>
      </c>
      <c r="J153" s="262">
        <f t="shared" si="83"/>
        <v>0</v>
      </c>
      <c r="K153" s="181">
        <f t="shared" si="83"/>
        <v>0</v>
      </c>
      <c r="L153" s="181">
        <f t="shared" si="83"/>
        <v>0</v>
      </c>
      <c r="M153" s="181" t="e">
        <f t="shared" ref="M153:M158" si="84">ROUND(L153/K153*100,2)</f>
        <v>#DIV/0!</v>
      </c>
      <c r="N153" s="181">
        <f t="shared" ref="N153:N158" si="85">O153-K153</f>
        <v>0</v>
      </c>
      <c r="O153" s="262">
        <f t="shared" ref="O153:Q156" si="86">O154</f>
        <v>0</v>
      </c>
      <c r="P153" s="262">
        <f t="shared" si="86"/>
        <v>0</v>
      </c>
      <c r="Q153" s="262">
        <f t="shared" si="86"/>
        <v>0</v>
      </c>
      <c r="R153" s="343">
        <f t="shared" ref="R153:R158" si="87">V153-P153</f>
        <v>0</v>
      </c>
      <c r="S153" s="262">
        <f t="shared" ref="S153:Y156" si="88">S154</f>
        <v>0</v>
      </c>
      <c r="T153" s="262">
        <f t="shared" si="88"/>
        <v>0</v>
      </c>
      <c r="U153" s="262">
        <f t="shared" si="88"/>
        <v>0</v>
      </c>
      <c r="V153" s="342">
        <f t="shared" si="88"/>
        <v>0</v>
      </c>
      <c r="W153" s="262">
        <f t="shared" si="88"/>
        <v>0</v>
      </c>
      <c r="X153" s="262">
        <f t="shared" si="88"/>
        <v>0</v>
      </c>
      <c r="Y153" s="262">
        <f t="shared" si="88"/>
        <v>0</v>
      </c>
      <c r="Z153" s="162" t="b">
        <f t="shared" si="81"/>
        <v>1</v>
      </c>
      <c r="AA153" s="162" t="str">
        <f t="shared" si="82"/>
        <v>PRAZNO</v>
      </c>
      <c r="AB153" s="263"/>
    </row>
    <row r="154" spans="1:30" s="264" customFormat="1" ht="15.75" hidden="1" x14ac:dyDescent="0.2">
      <c r="A154" s="259"/>
      <c r="B154" s="172">
        <v>5</v>
      </c>
      <c r="C154" s="172"/>
      <c r="D154" s="172"/>
      <c r="E154" s="172"/>
      <c r="F154" s="220"/>
      <c r="G154" s="36"/>
      <c r="H154" s="36" t="s">
        <v>415</v>
      </c>
      <c r="I154" s="184">
        <f t="shared" si="83"/>
        <v>839000</v>
      </c>
      <c r="J154" s="184">
        <f t="shared" si="83"/>
        <v>0</v>
      </c>
      <c r="K154" s="184">
        <f t="shared" si="83"/>
        <v>0</v>
      </c>
      <c r="L154" s="184">
        <f t="shared" si="83"/>
        <v>0</v>
      </c>
      <c r="M154" s="172" t="e">
        <f t="shared" si="84"/>
        <v>#DIV/0!</v>
      </c>
      <c r="N154" s="172">
        <f t="shared" si="85"/>
        <v>0</v>
      </c>
      <c r="O154" s="172">
        <f t="shared" si="86"/>
        <v>0</v>
      </c>
      <c r="P154" s="172">
        <f t="shared" si="86"/>
        <v>0</v>
      </c>
      <c r="Q154" s="172">
        <f t="shared" si="86"/>
        <v>0</v>
      </c>
      <c r="R154" s="343">
        <f t="shared" si="87"/>
        <v>0</v>
      </c>
      <c r="S154" s="172">
        <f t="shared" si="88"/>
        <v>0</v>
      </c>
      <c r="T154" s="220">
        <f t="shared" si="88"/>
        <v>0</v>
      </c>
      <c r="U154" s="36">
        <f t="shared" si="88"/>
        <v>0</v>
      </c>
      <c r="V154" s="411">
        <f t="shared" si="88"/>
        <v>0</v>
      </c>
      <c r="W154" s="172">
        <f t="shared" si="88"/>
        <v>0</v>
      </c>
      <c r="X154" s="172">
        <f t="shared" si="88"/>
        <v>0</v>
      </c>
      <c r="Y154" s="172">
        <f t="shared" si="88"/>
        <v>0</v>
      </c>
      <c r="Z154" s="162" t="b">
        <f t="shared" si="81"/>
        <v>1</v>
      </c>
      <c r="AA154" s="162" t="str">
        <f t="shared" si="82"/>
        <v>PRAZNO</v>
      </c>
      <c r="AB154" s="184"/>
      <c r="AC154" s="184"/>
      <c r="AD154" s="184"/>
    </row>
    <row r="155" spans="1:30" s="264" customFormat="1" ht="15.75" hidden="1" x14ac:dyDescent="0.2">
      <c r="A155" s="259"/>
      <c r="B155" s="177"/>
      <c r="C155" s="177">
        <v>53</v>
      </c>
      <c r="D155" s="177"/>
      <c r="E155" s="177"/>
      <c r="F155" s="177"/>
      <c r="G155" s="177"/>
      <c r="H155" s="16" t="s">
        <v>429</v>
      </c>
      <c r="I155" s="178">
        <f t="shared" si="83"/>
        <v>839000</v>
      </c>
      <c r="J155" s="178">
        <f t="shared" si="83"/>
        <v>0</v>
      </c>
      <c r="K155" s="178">
        <f t="shared" si="83"/>
        <v>0</v>
      </c>
      <c r="L155" s="178">
        <f t="shared" si="83"/>
        <v>0</v>
      </c>
      <c r="M155" s="178" t="e">
        <f t="shared" si="84"/>
        <v>#DIV/0!</v>
      </c>
      <c r="N155" s="178">
        <f t="shared" si="85"/>
        <v>0</v>
      </c>
      <c r="O155" s="178">
        <f t="shared" si="86"/>
        <v>0</v>
      </c>
      <c r="P155" s="178">
        <f t="shared" si="86"/>
        <v>0</v>
      </c>
      <c r="Q155" s="178">
        <f t="shared" si="86"/>
        <v>0</v>
      </c>
      <c r="R155" s="343">
        <f t="shared" si="87"/>
        <v>0</v>
      </c>
      <c r="S155" s="178">
        <f t="shared" si="88"/>
        <v>0</v>
      </c>
      <c r="T155" s="178">
        <f t="shared" si="88"/>
        <v>0</v>
      </c>
      <c r="U155" s="178">
        <f t="shared" si="88"/>
        <v>0</v>
      </c>
      <c r="V155" s="266">
        <f t="shared" si="88"/>
        <v>0</v>
      </c>
      <c r="W155" s="178">
        <f t="shared" si="88"/>
        <v>0</v>
      </c>
      <c r="X155" s="178">
        <f t="shared" si="88"/>
        <v>0</v>
      </c>
      <c r="Y155" s="178">
        <f t="shared" si="88"/>
        <v>0</v>
      </c>
      <c r="Z155" s="162" t="b">
        <f t="shared" si="81"/>
        <v>1</v>
      </c>
      <c r="AA155" s="162" t="str">
        <f t="shared" si="82"/>
        <v>PRAZNO</v>
      </c>
      <c r="AB155" s="263"/>
    </row>
    <row r="156" spans="1:30" s="264" customFormat="1" ht="30" hidden="1" x14ac:dyDescent="0.2">
      <c r="A156" s="259"/>
      <c r="B156" s="177"/>
      <c r="C156" s="177"/>
      <c r="D156" s="177">
        <v>532</v>
      </c>
      <c r="E156" s="177"/>
      <c r="F156" s="177"/>
      <c r="G156" s="177"/>
      <c r="H156" s="16" t="s">
        <v>430</v>
      </c>
      <c r="I156" s="178">
        <f t="shared" si="83"/>
        <v>839000</v>
      </c>
      <c r="J156" s="178">
        <f t="shared" si="83"/>
        <v>0</v>
      </c>
      <c r="K156" s="178">
        <f t="shared" si="83"/>
        <v>0</v>
      </c>
      <c r="L156" s="178">
        <f t="shared" si="83"/>
        <v>0</v>
      </c>
      <c r="M156" s="178" t="e">
        <f t="shared" si="84"/>
        <v>#DIV/0!</v>
      </c>
      <c r="N156" s="178">
        <f t="shared" si="85"/>
        <v>0</v>
      </c>
      <c r="O156" s="178">
        <f t="shared" si="86"/>
        <v>0</v>
      </c>
      <c r="P156" s="178">
        <f t="shared" si="86"/>
        <v>0</v>
      </c>
      <c r="Q156" s="178">
        <f t="shared" si="86"/>
        <v>0</v>
      </c>
      <c r="R156" s="343">
        <f t="shared" si="87"/>
        <v>0</v>
      </c>
      <c r="S156" s="178">
        <f t="shared" si="88"/>
        <v>0</v>
      </c>
      <c r="T156" s="178">
        <f t="shared" si="88"/>
        <v>0</v>
      </c>
      <c r="U156" s="178">
        <f t="shared" si="88"/>
        <v>0</v>
      </c>
      <c r="V156" s="266">
        <f t="shared" si="88"/>
        <v>0</v>
      </c>
      <c r="W156" s="178">
        <f t="shared" si="88"/>
        <v>0</v>
      </c>
      <c r="X156" s="178">
        <f t="shared" si="88"/>
        <v>0</v>
      </c>
      <c r="Y156" s="178">
        <f t="shared" si="88"/>
        <v>0</v>
      </c>
      <c r="Z156" s="162" t="b">
        <f t="shared" si="81"/>
        <v>1</v>
      </c>
      <c r="AA156" s="162" t="str">
        <f t="shared" si="82"/>
        <v>PRAZNO</v>
      </c>
      <c r="AB156" s="263"/>
    </row>
    <row r="157" spans="1:30" s="264" customFormat="1" ht="45" hidden="1" x14ac:dyDescent="0.2">
      <c r="A157" s="259"/>
      <c r="B157" s="177"/>
      <c r="C157" s="177"/>
      <c r="D157" s="177"/>
      <c r="E157" s="177">
        <v>5321</v>
      </c>
      <c r="F157" s="265" t="s">
        <v>527</v>
      </c>
      <c r="G157" s="265"/>
      <c r="H157" s="16" t="s">
        <v>194</v>
      </c>
      <c r="I157" s="178">
        <v>839000</v>
      </c>
      <c r="J157" s="266">
        <v>0</v>
      </c>
      <c r="K157" s="178">
        <v>0</v>
      </c>
      <c r="L157" s="178">
        <v>0</v>
      </c>
      <c r="M157" s="178" t="e">
        <f t="shared" si="84"/>
        <v>#DIV/0!</v>
      </c>
      <c r="N157" s="178">
        <f t="shared" si="85"/>
        <v>0</v>
      </c>
      <c r="O157" s="178"/>
      <c r="P157" s="178"/>
      <c r="Q157" s="178"/>
      <c r="R157" s="343">
        <f t="shared" si="87"/>
        <v>0</v>
      </c>
      <c r="S157" s="178"/>
      <c r="T157" s="178"/>
      <c r="U157" s="178"/>
      <c r="V157" s="266"/>
      <c r="W157" s="178"/>
      <c r="X157" s="178"/>
      <c r="Y157" s="178"/>
      <c r="Z157" s="162" t="b">
        <f t="shared" si="81"/>
        <v>0</v>
      </c>
      <c r="AA157" s="162" t="str">
        <f t="shared" si="82"/>
        <v>PUNO</v>
      </c>
      <c r="AB157" s="263"/>
    </row>
    <row r="158" spans="1:30" s="171" customFormat="1" ht="31.5" x14ac:dyDescent="0.2">
      <c r="A158" s="259"/>
      <c r="B158" s="168"/>
      <c r="C158" s="168"/>
      <c r="D158" s="168"/>
      <c r="E158" s="168"/>
      <c r="F158" s="168"/>
      <c r="G158" s="168"/>
      <c r="H158" s="25" t="s">
        <v>157</v>
      </c>
      <c r="I158" s="19">
        <f>I160</f>
        <v>295463.52</v>
      </c>
      <c r="J158" s="53">
        <f>J160</f>
        <v>2030725.1200000001</v>
      </c>
      <c r="K158" s="169" t="e">
        <f>K160</f>
        <v>#REF!</v>
      </c>
      <c r="L158" s="169" t="e">
        <f>L160</f>
        <v>#REF!</v>
      </c>
      <c r="M158" s="169" t="e">
        <f t="shared" si="84"/>
        <v>#REF!</v>
      </c>
      <c r="N158" s="169" t="e">
        <f t="shared" si="85"/>
        <v>#REF!</v>
      </c>
      <c r="O158" s="19">
        <f>O160</f>
        <v>553575.74</v>
      </c>
      <c r="P158" s="19">
        <f>P160</f>
        <v>200000</v>
      </c>
      <c r="Q158" s="19">
        <f>Q160</f>
        <v>86410.25</v>
      </c>
      <c r="R158" s="303">
        <f t="shared" si="87"/>
        <v>-60000</v>
      </c>
      <c r="S158" s="19">
        <f t="shared" ref="S158:Y158" si="89">S160</f>
        <v>200000</v>
      </c>
      <c r="T158" s="19">
        <f t="shared" si="89"/>
        <v>300000</v>
      </c>
      <c r="U158" s="19">
        <f t="shared" si="89"/>
        <v>200000</v>
      </c>
      <c r="V158" s="53">
        <f t="shared" si="89"/>
        <v>140000</v>
      </c>
      <c r="W158" s="19">
        <f t="shared" si="89"/>
        <v>300000</v>
      </c>
      <c r="X158" s="19">
        <f t="shared" si="89"/>
        <v>0</v>
      </c>
      <c r="Y158" s="19">
        <f t="shared" si="89"/>
        <v>0</v>
      </c>
      <c r="Z158" s="162" t="b">
        <f t="shared" si="81"/>
        <v>1</v>
      </c>
      <c r="AA158" s="162" t="str">
        <f t="shared" si="82"/>
        <v>PRAZNO</v>
      </c>
      <c r="AB158" s="170"/>
      <c r="AC158" s="164"/>
    </row>
    <row r="159" spans="1:30" s="264" customFormat="1" ht="15.75" x14ac:dyDescent="0.2">
      <c r="A159" s="259"/>
      <c r="B159" s="260"/>
      <c r="C159" s="260"/>
      <c r="D159" s="260"/>
      <c r="E159" s="260"/>
      <c r="F159" s="260"/>
      <c r="G159" s="260"/>
      <c r="H159" s="261" t="s">
        <v>826</v>
      </c>
      <c r="I159" s="262"/>
      <c r="J159" s="342"/>
      <c r="K159" s="181"/>
      <c r="L159" s="181"/>
      <c r="M159" s="181"/>
      <c r="N159" s="181"/>
      <c r="O159" s="262"/>
      <c r="P159" s="262"/>
      <c r="Q159" s="262"/>
      <c r="R159" s="445"/>
      <c r="S159" s="262"/>
      <c r="T159" s="262"/>
      <c r="U159" s="262"/>
      <c r="V159" s="342"/>
      <c r="W159" s="262">
        <f>W160</f>
        <v>300000</v>
      </c>
      <c r="X159" s="262">
        <f>X160</f>
        <v>0</v>
      </c>
      <c r="Y159" s="262">
        <f>Y160</f>
        <v>0</v>
      </c>
      <c r="Z159" s="162" t="b">
        <f t="shared" si="81"/>
        <v>1</v>
      </c>
      <c r="AA159" s="162" t="str">
        <f t="shared" si="82"/>
        <v>PRAZNO</v>
      </c>
      <c r="AB159" s="263"/>
    </row>
    <row r="160" spans="1:30" s="174" customFormat="1" ht="15.75" x14ac:dyDescent="0.2">
      <c r="A160" s="259"/>
      <c r="B160" s="172">
        <v>4</v>
      </c>
      <c r="C160" s="172"/>
      <c r="D160" s="172"/>
      <c r="E160" s="172"/>
      <c r="F160" s="172"/>
      <c r="G160" s="172"/>
      <c r="H160" s="14" t="s">
        <v>552</v>
      </c>
      <c r="I160" s="20">
        <f>I167+I161</f>
        <v>295463.52</v>
      </c>
      <c r="J160" s="55">
        <f>J167+J161</f>
        <v>2030725.1200000001</v>
      </c>
      <c r="K160" s="20" t="e">
        <f>K167+K161</f>
        <v>#REF!</v>
      </c>
      <c r="L160" s="20" t="e">
        <f>L167+L161</f>
        <v>#REF!</v>
      </c>
      <c r="M160" s="20" t="e">
        <f>ROUND(L160/K160*100,2)</f>
        <v>#REF!</v>
      </c>
      <c r="N160" s="20" t="e">
        <f>O160-K160</f>
        <v>#REF!</v>
      </c>
      <c r="O160" s="20">
        <f>O167+O161</f>
        <v>553575.74</v>
      </c>
      <c r="P160" s="20">
        <f>P167+P161</f>
        <v>200000</v>
      </c>
      <c r="Q160" s="20">
        <f>Q167+Q161</f>
        <v>86410.25</v>
      </c>
      <c r="R160" s="55">
        <f t="shared" ref="R160:R170" si="90">V160-P160</f>
        <v>-60000</v>
      </c>
      <c r="S160" s="20">
        <f t="shared" ref="S160:Y160" si="91">S167+S161</f>
        <v>200000</v>
      </c>
      <c r="T160" s="20">
        <f t="shared" si="91"/>
        <v>300000</v>
      </c>
      <c r="U160" s="20">
        <f t="shared" si="91"/>
        <v>200000</v>
      </c>
      <c r="V160" s="55">
        <f t="shared" si="91"/>
        <v>140000</v>
      </c>
      <c r="W160" s="20">
        <f t="shared" si="91"/>
        <v>300000</v>
      </c>
      <c r="X160" s="20">
        <f t="shared" si="91"/>
        <v>0</v>
      </c>
      <c r="Y160" s="20">
        <f t="shared" si="91"/>
        <v>0</v>
      </c>
      <c r="Z160" s="162" t="b">
        <f t="shared" si="81"/>
        <v>1</v>
      </c>
      <c r="AA160" s="162" t="str">
        <f t="shared" si="82"/>
        <v>PRAZNO</v>
      </c>
      <c r="AB160" s="173"/>
      <c r="AC160" s="164"/>
    </row>
    <row r="161" spans="1:29" ht="30" customHeight="1" x14ac:dyDescent="0.2">
      <c r="B161" s="200"/>
      <c r="C161" s="200">
        <v>41</v>
      </c>
      <c r="D161" s="200"/>
      <c r="E161" s="200"/>
      <c r="F161" s="200"/>
      <c r="G161" s="200"/>
      <c r="H161" s="30" t="s">
        <v>753</v>
      </c>
      <c r="I161" s="203">
        <f>I162</f>
        <v>94176</v>
      </c>
      <c r="J161" s="204">
        <f>J162</f>
        <v>39778.119999999995</v>
      </c>
      <c r="K161" s="203">
        <f>K162</f>
        <v>126380</v>
      </c>
      <c r="L161" s="203">
        <f>L162</f>
        <v>49003.380000000005</v>
      </c>
      <c r="M161" s="203">
        <f>ROUND(L161/K161*100,2)</f>
        <v>38.770000000000003</v>
      </c>
      <c r="N161" s="203">
        <f>O161-K161</f>
        <v>427195.74</v>
      </c>
      <c r="O161" s="203">
        <f>O162</f>
        <v>553575.74</v>
      </c>
      <c r="P161" s="203">
        <f>P162</f>
        <v>200000</v>
      </c>
      <c r="Q161" s="203">
        <f>Q162</f>
        <v>86410.25</v>
      </c>
      <c r="R161" s="26">
        <f t="shared" si="90"/>
        <v>-60000</v>
      </c>
      <c r="S161" s="203">
        <f t="shared" ref="S161:Y161" si="92">S162</f>
        <v>200000</v>
      </c>
      <c r="T161" s="203">
        <f t="shared" si="92"/>
        <v>300000</v>
      </c>
      <c r="U161" s="203">
        <f t="shared" si="92"/>
        <v>200000</v>
      </c>
      <c r="V161" s="204">
        <f t="shared" si="92"/>
        <v>140000</v>
      </c>
      <c r="W161" s="203">
        <f t="shared" si="92"/>
        <v>300000</v>
      </c>
      <c r="X161" s="203">
        <f t="shared" si="92"/>
        <v>0</v>
      </c>
      <c r="Y161" s="203">
        <f t="shared" si="92"/>
        <v>0</v>
      </c>
      <c r="Z161" s="162" t="b">
        <f t="shared" si="81"/>
        <v>1</v>
      </c>
      <c r="AA161" s="162" t="str">
        <f t="shared" si="82"/>
        <v>PRAZNO</v>
      </c>
      <c r="AC161" s="164"/>
    </row>
    <row r="162" spans="1:29" ht="15.75" x14ac:dyDescent="0.2">
      <c r="B162" s="177"/>
      <c r="C162" s="177"/>
      <c r="D162" s="177">
        <v>411</v>
      </c>
      <c r="E162" s="177"/>
      <c r="F162" s="177"/>
      <c r="G162" s="177"/>
      <c r="H162" s="29" t="s">
        <v>754</v>
      </c>
      <c r="I162" s="18">
        <f>SUM(I163:I163)</f>
        <v>94176</v>
      </c>
      <c r="J162" s="27">
        <f>J163+J164+J165+J166</f>
        <v>39778.119999999995</v>
      </c>
      <c r="K162" s="18">
        <f>SUM(K163:K166)</f>
        <v>126380</v>
      </c>
      <c r="L162" s="18">
        <f>SUM(L163:L166)</f>
        <v>49003.380000000005</v>
      </c>
      <c r="M162" s="18">
        <f>ROUND(L162/K162*100,2)</f>
        <v>38.770000000000003</v>
      </c>
      <c r="N162" s="18">
        <f>O162-K162</f>
        <v>427195.74</v>
      </c>
      <c r="O162" s="18">
        <f>SUM(O163:O166)</f>
        <v>553575.74</v>
      </c>
      <c r="P162" s="18">
        <f>SUM(P163:P166)</f>
        <v>200000</v>
      </c>
      <c r="Q162" s="18">
        <f>SUM(Q163:Q166)</f>
        <v>86410.25</v>
      </c>
      <c r="R162" s="26">
        <f t="shared" si="90"/>
        <v>-60000</v>
      </c>
      <c r="S162" s="18">
        <f t="shared" ref="S162:Y162" si="93">SUM(S163:S166)</f>
        <v>200000</v>
      </c>
      <c r="T162" s="18">
        <f t="shared" si="93"/>
        <v>300000</v>
      </c>
      <c r="U162" s="18">
        <f t="shared" si="93"/>
        <v>200000</v>
      </c>
      <c r="V162" s="27">
        <f t="shared" si="93"/>
        <v>140000</v>
      </c>
      <c r="W162" s="18">
        <f t="shared" si="93"/>
        <v>300000</v>
      </c>
      <c r="X162" s="18">
        <f t="shared" si="93"/>
        <v>0</v>
      </c>
      <c r="Y162" s="18">
        <f t="shared" si="93"/>
        <v>0</v>
      </c>
      <c r="Z162" s="162" t="b">
        <f t="shared" si="81"/>
        <v>1</v>
      </c>
      <c r="AA162" s="162" t="str">
        <f t="shared" si="82"/>
        <v>PRAZNO</v>
      </c>
      <c r="AC162" s="164"/>
    </row>
    <row r="163" spans="1:29" ht="15.75" hidden="1" x14ac:dyDescent="0.2">
      <c r="B163" s="177"/>
      <c r="C163" s="177"/>
      <c r="D163" s="177"/>
      <c r="E163" s="177">
        <v>4111</v>
      </c>
      <c r="F163" s="176">
        <v>11</v>
      </c>
      <c r="G163" s="176" t="s">
        <v>424</v>
      </c>
      <c r="H163" s="29" t="s">
        <v>755</v>
      </c>
      <c r="I163" s="18">
        <v>94176</v>
      </c>
      <c r="J163" s="27">
        <v>26278.12</v>
      </c>
      <c r="K163" s="189">
        <v>43380</v>
      </c>
      <c r="L163" s="189">
        <v>31824.36</v>
      </c>
      <c r="M163" s="189">
        <f>ROUND(L163/K163*100,2)</f>
        <v>73.36</v>
      </c>
      <c r="N163" s="189">
        <f>O163-K163</f>
        <v>-43380</v>
      </c>
      <c r="O163" s="189"/>
      <c r="P163" s="189">
        <v>0</v>
      </c>
      <c r="Q163" s="189"/>
      <c r="R163" s="26">
        <f t="shared" si="90"/>
        <v>0</v>
      </c>
      <c r="S163" s="189">
        <v>0</v>
      </c>
      <c r="T163" s="189">
        <v>0</v>
      </c>
      <c r="U163" s="189">
        <v>0</v>
      </c>
      <c r="V163" s="190"/>
      <c r="W163" s="189">
        <v>0</v>
      </c>
      <c r="X163" s="189"/>
      <c r="Y163" s="189"/>
      <c r="Z163" s="162" t="b">
        <f t="shared" si="81"/>
        <v>0</v>
      </c>
      <c r="AA163" s="162" t="str">
        <f t="shared" si="82"/>
        <v>PUNO</v>
      </c>
      <c r="AC163" s="164"/>
    </row>
    <row r="164" spans="1:29" ht="15.75" hidden="1" x14ac:dyDescent="0.2">
      <c r="B164" s="177"/>
      <c r="C164" s="177"/>
      <c r="D164" s="177"/>
      <c r="E164" s="177">
        <v>4111</v>
      </c>
      <c r="F164" s="176">
        <v>52</v>
      </c>
      <c r="G164" s="176"/>
      <c r="H164" s="29" t="s">
        <v>755</v>
      </c>
      <c r="I164" s="18"/>
      <c r="J164" s="27"/>
      <c r="K164" s="189"/>
      <c r="L164" s="189"/>
      <c r="M164" s="189"/>
      <c r="N164" s="189"/>
      <c r="O164" s="189">
        <v>168650.1</v>
      </c>
      <c r="P164" s="189"/>
      <c r="Q164" s="189"/>
      <c r="R164" s="26">
        <f t="shared" si="90"/>
        <v>0</v>
      </c>
      <c r="S164" s="189"/>
      <c r="T164" s="189"/>
      <c r="U164" s="189"/>
      <c r="V164" s="190"/>
      <c r="W164" s="189">
        <v>0</v>
      </c>
      <c r="X164" s="189"/>
      <c r="Y164" s="189"/>
      <c r="Z164" s="162" t="b">
        <f t="shared" si="81"/>
        <v>0</v>
      </c>
      <c r="AA164" s="162" t="str">
        <f t="shared" si="82"/>
        <v>PUNO</v>
      </c>
      <c r="AC164" s="164"/>
    </row>
    <row r="165" spans="1:29" ht="15.75" hidden="1" x14ac:dyDescent="0.2">
      <c r="B165" s="177"/>
      <c r="C165" s="177"/>
      <c r="D165" s="177"/>
      <c r="E165" s="177">
        <v>4111</v>
      </c>
      <c r="F165" s="176">
        <v>53</v>
      </c>
      <c r="G165" s="176"/>
      <c r="H165" s="29" t="s">
        <v>755</v>
      </c>
      <c r="I165" s="18"/>
      <c r="J165" s="27">
        <v>13500</v>
      </c>
      <c r="K165" s="189"/>
      <c r="L165" s="189"/>
      <c r="M165" s="189"/>
      <c r="N165" s="189"/>
      <c r="O165" s="189">
        <v>326342.12</v>
      </c>
      <c r="P165" s="189"/>
      <c r="Q165" s="189"/>
      <c r="R165" s="26">
        <f t="shared" si="90"/>
        <v>0</v>
      </c>
      <c r="S165" s="189"/>
      <c r="T165" s="189"/>
      <c r="U165" s="189"/>
      <c r="V165" s="190"/>
      <c r="W165" s="189">
        <v>0</v>
      </c>
      <c r="X165" s="189"/>
      <c r="Y165" s="189"/>
      <c r="Z165" s="162" t="b">
        <f t="shared" si="81"/>
        <v>0</v>
      </c>
      <c r="AA165" s="162" t="str">
        <f t="shared" si="82"/>
        <v>PUNO</v>
      </c>
      <c r="AC165" s="164"/>
    </row>
    <row r="166" spans="1:29" ht="15.75" x14ac:dyDescent="0.2">
      <c r="B166" s="177"/>
      <c r="C166" s="177"/>
      <c r="D166" s="177"/>
      <c r="E166" s="177">
        <v>4111</v>
      </c>
      <c r="F166" s="176">
        <v>71</v>
      </c>
      <c r="G166" s="176" t="s">
        <v>424</v>
      </c>
      <c r="H166" s="29" t="s">
        <v>755</v>
      </c>
      <c r="I166" s="18">
        <v>0</v>
      </c>
      <c r="J166" s="27">
        <v>0</v>
      </c>
      <c r="K166" s="189">
        <v>83000</v>
      </c>
      <c r="L166" s="189">
        <v>17179.02</v>
      </c>
      <c r="M166" s="189">
        <f>ROUND(L166/K166*100,2)</f>
        <v>20.7</v>
      </c>
      <c r="N166" s="189">
        <f>O166-K166</f>
        <v>-24416.480000000003</v>
      </c>
      <c r="O166" s="189">
        <v>58583.519999999997</v>
      </c>
      <c r="P166" s="189">
        <v>200000</v>
      </c>
      <c r="Q166" s="189">
        <v>86410.25</v>
      </c>
      <c r="R166" s="26">
        <f t="shared" si="90"/>
        <v>-60000</v>
      </c>
      <c r="S166" s="189">
        <v>200000</v>
      </c>
      <c r="T166" s="189">
        <v>300000</v>
      </c>
      <c r="U166" s="189">
        <v>200000</v>
      </c>
      <c r="V166" s="190">
        <v>140000</v>
      </c>
      <c r="W166" s="189">
        <v>300000</v>
      </c>
      <c r="X166" s="189">
        <v>0</v>
      </c>
      <c r="Y166" s="189">
        <v>0</v>
      </c>
      <c r="Z166" s="162" t="b">
        <f t="shared" si="81"/>
        <v>0</v>
      </c>
      <c r="AA166" s="162" t="str">
        <f t="shared" si="82"/>
        <v>PUNO</v>
      </c>
      <c r="AC166" s="164"/>
    </row>
    <row r="167" spans="1:29" ht="15.75" hidden="1" x14ac:dyDescent="0.2">
      <c r="B167" s="177"/>
      <c r="C167" s="177">
        <v>42</v>
      </c>
      <c r="D167" s="177"/>
      <c r="E167" s="177"/>
      <c r="F167" s="177"/>
      <c r="G167" s="177"/>
      <c r="H167" s="29" t="s">
        <v>756</v>
      </c>
      <c r="I167" s="18">
        <f>I168</f>
        <v>201287.52</v>
      </c>
      <c r="J167" s="27">
        <f>J168</f>
        <v>1990947</v>
      </c>
      <c r="K167" s="18" t="e">
        <f>K168</f>
        <v>#REF!</v>
      </c>
      <c r="L167" s="18" t="e">
        <f>L168</f>
        <v>#REF!</v>
      </c>
      <c r="M167" s="18" t="e">
        <f>ROUND(L167/K167*100,2)</f>
        <v>#REF!</v>
      </c>
      <c r="N167" s="18" t="e">
        <f>O167-K167</f>
        <v>#REF!</v>
      </c>
      <c r="O167" s="18">
        <f t="shared" ref="O167:Q168" si="94">O168</f>
        <v>0</v>
      </c>
      <c r="P167" s="18">
        <f t="shared" si="94"/>
        <v>0</v>
      </c>
      <c r="Q167" s="18">
        <f t="shared" si="94"/>
        <v>0</v>
      </c>
      <c r="R167" s="26">
        <f t="shared" si="90"/>
        <v>0</v>
      </c>
      <c r="S167" s="18">
        <f t="shared" ref="S167:Y168" si="95">S168</f>
        <v>0</v>
      </c>
      <c r="T167" s="18">
        <f t="shared" si="95"/>
        <v>0</v>
      </c>
      <c r="U167" s="18">
        <f t="shared" si="95"/>
        <v>0</v>
      </c>
      <c r="V167" s="27">
        <f t="shared" si="95"/>
        <v>0</v>
      </c>
      <c r="W167" s="18">
        <f t="shared" si="95"/>
        <v>0</v>
      </c>
      <c r="X167" s="18">
        <f t="shared" si="95"/>
        <v>0</v>
      </c>
      <c r="Y167" s="18">
        <f t="shared" si="95"/>
        <v>0</v>
      </c>
      <c r="Z167" s="162" t="b">
        <f t="shared" si="81"/>
        <v>1</v>
      </c>
      <c r="AA167" s="162" t="str">
        <f t="shared" si="82"/>
        <v>PRAZNO</v>
      </c>
      <c r="AC167" s="164"/>
    </row>
    <row r="168" spans="1:29" ht="15.75" hidden="1" x14ac:dyDescent="0.2">
      <c r="B168" s="177"/>
      <c r="C168" s="177"/>
      <c r="D168" s="177">
        <v>421</v>
      </c>
      <c r="E168" s="177"/>
      <c r="F168" s="177"/>
      <c r="G168" s="177"/>
      <c r="H168" s="29" t="s">
        <v>759</v>
      </c>
      <c r="I168" s="18">
        <f>I169</f>
        <v>201287.52</v>
      </c>
      <c r="J168" s="18">
        <f>J169</f>
        <v>1990947</v>
      </c>
      <c r="K168" s="18" t="e">
        <f>K169+#REF!</f>
        <v>#REF!</v>
      </c>
      <c r="L168" s="18" t="e">
        <f>L169+#REF!</f>
        <v>#REF!</v>
      </c>
      <c r="M168" s="18" t="e">
        <f>M169+#REF!</f>
        <v>#REF!</v>
      </c>
      <c r="N168" s="18" t="e">
        <f>N169+#REF!</f>
        <v>#REF!</v>
      </c>
      <c r="O168" s="18">
        <f t="shared" si="94"/>
        <v>0</v>
      </c>
      <c r="P168" s="18">
        <f t="shared" si="94"/>
        <v>0</v>
      </c>
      <c r="Q168" s="18">
        <f t="shared" si="94"/>
        <v>0</v>
      </c>
      <c r="R168" s="26">
        <f t="shared" si="90"/>
        <v>0</v>
      </c>
      <c r="S168" s="18">
        <f t="shared" si="95"/>
        <v>0</v>
      </c>
      <c r="T168" s="18">
        <f t="shared" si="95"/>
        <v>0</v>
      </c>
      <c r="U168" s="18">
        <f t="shared" si="95"/>
        <v>0</v>
      </c>
      <c r="V168" s="27">
        <f t="shared" si="95"/>
        <v>0</v>
      </c>
      <c r="W168" s="18">
        <f t="shared" si="95"/>
        <v>0</v>
      </c>
      <c r="X168" s="18">
        <f t="shared" si="95"/>
        <v>0</v>
      </c>
      <c r="Y168" s="18">
        <f t="shared" si="95"/>
        <v>0</v>
      </c>
      <c r="Z168" s="162" t="b">
        <f t="shared" si="81"/>
        <v>1</v>
      </c>
      <c r="AA168" s="162" t="str">
        <f t="shared" si="82"/>
        <v>PRAZNO</v>
      </c>
      <c r="AC168" s="164"/>
    </row>
    <row r="169" spans="1:29" ht="31.5" hidden="1" customHeight="1" x14ac:dyDescent="0.2">
      <c r="B169" s="177"/>
      <c r="C169" s="177"/>
      <c r="D169" s="177"/>
      <c r="E169" s="177">
        <v>4214</v>
      </c>
      <c r="F169" s="176">
        <v>53</v>
      </c>
      <c r="G169" s="176" t="s">
        <v>424</v>
      </c>
      <c r="H169" s="29" t="s">
        <v>193</v>
      </c>
      <c r="I169" s="18">
        <v>201287.52</v>
      </c>
      <c r="J169" s="27">
        <v>1990947</v>
      </c>
      <c r="K169" s="18">
        <v>2430000</v>
      </c>
      <c r="L169" s="18">
        <v>0</v>
      </c>
      <c r="M169" s="18">
        <f>ROUND(L169/K169*100,2)</f>
        <v>0</v>
      </c>
      <c r="N169" s="18">
        <f>O169-K169</f>
        <v>-2430000</v>
      </c>
      <c r="O169" s="18"/>
      <c r="P169" s="18"/>
      <c r="Q169" s="18"/>
      <c r="R169" s="26">
        <f t="shared" si="90"/>
        <v>0</v>
      </c>
      <c r="S169" s="18"/>
      <c r="T169" s="18"/>
      <c r="U169" s="18"/>
      <c r="V169" s="27"/>
      <c r="W169" s="18"/>
      <c r="X169" s="18"/>
      <c r="Y169" s="18"/>
      <c r="Z169" s="162" t="b">
        <f t="shared" si="81"/>
        <v>0</v>
      </c>
      <c r="AA169" s="162" t="str">
        <f t="shared" si="82"/>
        <v>PUNO</v>
      </c>
      <c r="AC169" s="164"/>
    </row>
    <row r="170" spans="1:29" s="171" customFormat="1" ht="31.5" x14ac:dyDescent="0.2">
      <c r="A170" s="259"/>
      <c r="B170" s="168"/>
      <c r="C170" s="168"/>
      <c r="D170" s="168"/>
      <c r="E170" s="168"/>
      <c r="F170" s="168"/>
      <c r="G170" s="168"/>
      <c r="H170" s="12" t="s">
        <v>158</v>
      </c>
      <c r="I170" s="19">
        <f>I172</f>
        <v>341975.86</v>
      </c>
      <c r="J170" s="53">
        <f>J172</f>
        <v>0</v>
      </c>
      <c r="K170" s="169">
        <f>K172</f>
        <v>200000</v>
      </c>
      <c r="L170" s="169">
        <f>L172</f>
        <v>0</v>
      </c>
      <c r="M170" s="169">
        <f>ROUND(L170/K170*100,2)</f>
        <v>0</v>
      </c>
      <c r="N170" s="169">
        <f>O170-K170</f>
        <v>-200000</v>
      </c>
      <c r="O170" s="19">
        <f>O172</f>
        <v>0</v>
      </c>
      <c r="P170" s="19">
        <f>P172</f>
        <v>300000</v>
      </c>
      <c r="Q170" s="19">
        <f>Q172</f>
        <v>0</v>
      </c>
      <c r="R170" s="303">
        <f t="shared" si="90"/>
        <v>0</v>
      </c>
      <c r="S170" s="19">
        <f t="shared" ref="S170:Y170" si="96">S172</f>
        <v>300000</v>
      </c>
      <c r="T170" s="19">
        <f t="shared" si="96"/>
        <v>100000</v>
      </c>
      <c r="U170" s="19">
        <f t="shared" si="96"/>
        <v>100000</v>
      </c>
      <c r="V170" s="53">
        <f t="shared" si="96"/>
        <v>300000</v>
      </c>
      <c r="W170" s="19">
        <f t="shared" si="96"/>
        <v>300000</v>
      </c>
      <c r="X170" s="19">
        <f t="shared" si="96"/>
        <v>0</v>
      </c>
      <c r="Y170" s="19">
        <f t="shared" si="96"/>
        <v>0</v>
      </c>
      <c r="Z170" s="162" t="b">
        <f t="shared" si="81"/>
        <v>1</v>
      </c>
      <c r="AA170" s="162" t="str">
        <f t="shared" si="82"/>
        <v>PRAZNO</v>
      </c>
      <c r="AB170" s="170"/>
      <c r="AC170" s="164"/>
    </row>
    <row r="171" spans="1:29" s="264" customFormat="1" ht="15.75" x14ac:dyDescent="0.2">
      <c r="A171" s="259"/>
      <c r="B171" s="260"/>
      <c r="C171" s="260"/>
      <c r="D171" s="260"/>
      <c r="E171" s="260"/>
      <c r="F171" s="260"/>
      <c r="G171" s="260"/>
      <c r="H171" s="441" t="s">
        <v>824</v>
      </c>
      <c r="I171" s="262"/>
      <c r="J171" s="342"/>
      <c r="K171" s="181"/>
      <c r="L171" s="181"/>
      <c r="M171" s="181"/>
      <c r="N171" s="181"/>
      <c r="O171" s="262"/>
      <c r="P171" s="262"/>
      <c r="Q171" s="262"/>
      <c r="R171" s="445"/>
      <c r="S171" s="262"/>
      <c r="T171" s="262"/>
      <c r="U171" s="262"/>
      <c r="V171" s="342"/>
      <c r="W171" s="262">
        <f t="shared" ref="W171:Y173" si="97">W172</f>
        <v>300000</v>
      </c>
      <c r="X171" s="262">
        <f t="shared" si="97"/>
        <v>0</v>
      </c>
      <c r="Y171" s="262">
        <f t="shared" si="97"/>
        <v>0</v>
      </c>
      <c r="Z171" s="162" t="b">
        <f t="shared" si="81"/>
        <v>1</v>
      </c>
      <c r="AA171" s="162" t="str">
        <f t="shared" si="82"/>
        <v>PRAZNO</v>
      </c>
      <c r="AB171" s="263"/>
    </row>
    <row r="172" spans="1:29" s="174" customFormat="1" ht="15.75" x14ac:dyDescent="0.2">
      <c r="A172" s="259"/>
      <c r="B172" s="172">
        <v>3</v>
      </c>
      <c r="C172" s="172"/>
      <c r="D172" s="172"/>
      <c r="E172" s="172"/>
      <c r="F172" s="172"/>
      <c r="G172" s="172"/>
      <c r="H172" s="14" t="s">
        <v>524</v>
      </c>
      <c r="I172" s="20">
        <f t="shared" ref="I172:L173" si="98">I173</f>
        <v>341975.86</v>
      </c>
      <c r="J172" s="55">
        <f t="shared" si="98"/>
        <v>0</v>
      </c>
      <c r="K172" s="20">
        <f t="shared" si="98"/>
        <v>200000</v>
      </c>
      <c r="L172" s="20">
        <f t="shared" si="98"/>
        <v>0</v>
      </c>
      <c r="M172" s="20">
        <f>ROUND(L172/K172*100,2)</f>
        <v>0</v>
      </c>
      <c r="N172" s="20">
        <f>O172-K172</f>
        <v>-200000</v>
      </c>
      <c r="O172" s="20">
        <f t="shared" ref="O172:Q173" si="99">O173</f>
        <v>0</v>
      </c>
      <c r="P172" s="20">
        <f t="shared" si="99"/>
        <v>300000</v>
      </c>
      <c r="Q172" s="20">
        <f t="shared" si="99"/>
        <v>0</v>
      </c>
      <c r="R172" s="55">
        <f>V172-P172</f>
        <v>0</v>
      </c>
      <c r="S172" s="20">
        <f t="shared" ref="S172:V173" si="100">S173</f>
        <v>300000</v>
      </c>
      <c r="T172" s="20">
        <f t="shared" si="100"/>
        <v>100000</v>
      </c>
      <c r="U172" s="20">
        <f t="shared" si="100"/>
        <v>100000</v>
      </c>
      <c r="V172" s="55">
        <f t="shared" si="100"/>
        <v>300000</v>
      </c>
      <c r="W172" s="20">
        <f t="shared" si="97"/>
        <v>300000</v>
      </c>
      <c r="X172" s="20">
        <f t="shared" si="97"/>
        <v>0</v>
      </c>
      <c r="Y172" s="20">
        <f t="shared" si="97"/>
        <v>0</v>
      </c>
      <c r="Z172" s="162" t="b">
        <f t="shared" si="81"/>
        <v>1</v>
      </c>
      <c r="AA172" s="162" t="str">
        <f t="shared" si="82"/>
        <v>PRAZNO</v>
      </c>
      <c r="AB172" s="173"/>
      <c r="AC172" s="164"/>
    </row>
    <row r="173" spans="1:29" ht="26.25" customHeight="1" x14ac:dyDescent="0.2">
      <c r="B173" s="175"/>
      <c r="C173" s="175">
        <v>36</v>
      </c>
      <c r="D173" s="175"/>
      <c r="E173" s="175"/>
      <c r="F173" s="175"/>
      <c r="G173" s="175"/>
      <c r="H173" s="16" t="s">
        <v>751</v>
      </c>
      <c r="I173" s="22">
        <f t="shared" si="98"/>
        <v>341975.86</v>
      </c>
      <c r="J173" s="38">
        <f t="shared" si="98"/>
        <v>0</v>
      </c>
      <c r="K173" s="22">
        <f t="shared" si="98"/>
        <v>200000</v>
      </c>
      <c r="L173" s="22">
        <f t="shared" si="98"/>
        <v>0</v>
      </c>
      <c r="M173" s="22">
        <f>ROUND(L173/K173*100,2)</f>
        <v>0</v>
      </c>
      <c r="N173" s="22">
        <f>O173-K173</f>
        <v>-200000</v>
      </c>
      <c r="O173" s="22">
        <f t="shared" si="99"/>
        <v>0</v>
      </c>
      <c r="P173" s="22">
        <f t="shared" si="99"/>
        <v>300000</v>
      </c>
      <c r="Q173" s="22">
        <f t="shared" si="99"/>
        <v>0</v>
      </c>
      <c r="R173" s="26">
        <f>V173-P173</f>
        <v>0</v>
      </c>
      <c r="S173" s="22">
        <f t="shared" si="100"/>
        <v>300000</v>
      </c>
      <c r="T173" s="22">
        <f t="shared" si="100"/>
        <v>100000</v>
      </c>
      <c r="U173" s="22">
        <f t="shared" si="100"/>
        <v>100000</v>
      </c>
      <c r="V173" s="38">
        <f t="shared" si="100"/>
        <v>300000</v>
      </c>
      <c r="W173" s="22">
        <f t="shared" si="97"/>
        <v>300000</v>
      </c>
      <c r="X173" s="22">
        <f t="shared" si="97"/>
        <v>0</v>
      </c>
      <c r="Y173" s="22">
        <f t="shared" si="97"/>
        <v>0</v>
      </c>
      <c r="Z173" s="162" t="b">
        <f t="shared" si="81"/>
        <v>1</v>
      </c>
      <c r="AA173" s="162" t="str">
        <f t="shared" si="82"/>
        <v>PRAZNO</v>
      </c>
      <c r="AC173" s="164"/>
    </row>
    <row r="174" spans="1:29" ht="15.75" x14ac:dyDescent="0.2">
      <c r="B174" s="177"/>
      <c r="C174" s="177"/>
      <c r="D174" s="177">
        <v>363</v>
      </c>
      <c r="E174" s="177"/>
      <c r="F174" s="177"/>
      <c r="G174" s="177"/>
      <c r="H174" s="16" t="s">
        <v>536</v>
      </c>
      <c r="I174" s="17">
        <f>SUM(I175:I175)</f>
        <v>341975.86</v>
      </c>
      <c r="J174" s="26">
        <f>SUM(J175:J175)</f>
        <v>0</v>
      </c>
      <c r="K174" s="17">
        <f>SUM(K175:K175)</f>
        <v>200000</v>
      </c>
      <c r="L174" s="17">
        <f>SUM(L175:L175)</f>
        <v>0</v>
      </c>
      <c r="M174" s="17">
        <f>ROUND(L174/K174*100,2)</f>
        <v>0</v>
      </c>
      <c r="N174" s="17">
        <f>O174-K174</f>
        <v>-200000</v>
      </c>
      <c r="O174" s="17">
        <f>SUM(O175:O175)</f>
        <v>0</v>
      </c>
      <c r="P174" s="17">
        <f>SUM(P175:P175)</f>
        <v>300000</v>
      </c>
      <c r="Q174" s="17">
        <f>SUM(Q175:Q175)</f>
        <v>0</v>
      </c>
      <c r="R174" s="26">
        <f>V174-P174</f>
        <v>0</v>
      </c>
      <c r="S174" s="17">
        <f t="shared" ref="S174:Y174" si="101">SUM(S175:S175)</f>
        <v>300000</v>
      </c>
      <c r="T174" s="17">
        <f t="shared" si="101"/>
        <v>100000</v>
      </c>
      <c r="U174" s="17">
        <f t="shared" si="101"/>
        <v>100000</v>
      </c>
      <c r="V174" s="26">
        <f t="shared" si="101"/>
        <v>300000</v>
      </c>
      <c r="W174" s="17">
        <f t="shared" si="101"/>
        <v>300000</v>
      </c>
      <c r="X174" s="17">
        <f t="shared" si="101"/>
        <v>0</v>
      </c>
      <c r="Y174" s="17">
        <f t="shared" si="101"/>
        <v>0</v>
      </c>
      <c r="Z174" s="162" t="b">
        <f t="shared" si="81"/>
        <v>1</v>
      </c>
      <c r="AA174" s="162" t="str">
        <f t="shared" si="82"/>
        <v>PRAZNO</v>
      </c>
      <c r="AC174" s="164"/>
    </row>
    <row r="175" spans="1:29" ht="36.75" customHeight="1" x14ac:dyDescent="0.2">
      <c r="B175" s="177"/>
      <c r="C175" s="177"/>
      <c r="D175" s="177"/>
      <c r="E175" s="177">
        <v>3632</v>
      </c>
      <c r="F175" s="176">
        <v>14</v>
      </c>
      <c r="G175" s="176"/>
      <c r="H175" s="16" t="s">
        <v>367</v>
      </c>
      <c r="I175" s="18">
        <v>341975.86</v>
      </c>
      <c r="J175" s="27">
        <v>0</v>
      </c>
      <c r="K175" s="18">
        <v>200000</v>
      </c>
      <c r="L175" s="18">
        <v>0</v>
      </c>
      <c r="M175" s="18">
        <f>ROUND(L175/K175*100,2)</f>
        <v>0</v>
      </c>
      <c r="N175" s="18">
        <f>O175-K175</f>
        <v>-200000</v>
      </c>
      <c r="O175" s="18"/>
      <c r="P175" s="18">
        <v>300000</v>
      </c>
      <c r="Q175" s="18">
        <v>0</v>
      </c>
      <c r="R175" s="26">
        <f>V175-P175</f>
        <v>0</v>
      </c>
      <c r="S175" s="18">
        <v>300000</v>
      </c>
      <c r="T175" s="18">
        <v>100000</v>
      </c>
      <c r="U175" s="18">
        <v>100000</v>
      </c>
      <c r="V175" s="27">
        <v>300000</v>
      </c>
      <c r="W175" s="18">
        <v>300000</v>
      </c>
      <c r="X175" s="18">
        <v>0</v>
      </c>
      <c r="Y175" s="18">
        <v>0</v>
      </c>
      <c r="Z175" s="162" t="b">
        <f t="shared" si="81"/>
        <v>0</v>
      </c>
      <c r="AA175" s="162" t="str">
        <f t="shared" si="82"/>
        <v>PUNO</v>
      </c>
      <c r="AC175" s="164"/>
    </row>
    <row r="176" spans="1:29" s="171" customFormat="1" ht="63" x14ac:dyDescent="0.2">
      <c r="A176" s="259"/>
      <c r="B176" s="209"/>
      <c r="C176" s="209"/>
      <c r="D176" s="209"/>
      <c r="E176" s="209"/>
      <c r="F176" s="219"/>
      <c r="G176" s="219"/>
      <c r="H176" s="12" t="s">
        <v>336</v>
      </c>
      <c r="I176" s="242"/>
      <c r="J176" s="243"/>
      <c r="K176" s="242"/>
      <c r="L176" s="242"/>
      <c r="M176" s="242"/>
      <c r="N176" s="242"/>
      <c r="O176" s="242"/>
      <c r="P176" s="308">
        <f>P178</f>
        <v>600000</v>
      </c>
      <c r="Q176" s="308">
        <f>Q178</f>
        <v>0</v>
      </c>
      <c r="R176" s="303">
        <f>V176-P176</f>
        <v>0</v>
      </c>
      <c r="S176" s="242">
        <f t="shared" ref="S176:Y176" si="102">S178</f>
        <v>600000</v>
      </c>
      <c r="T176" s="242">
        <f t="shared" si="102"/>
        <v>600000</v>
      </c>
      <c r="U176" s="242">
        <f t="shared" si="102"/>
        <v>800000</v>
      </c>
      <c r="V176" s="323">
        <f t="shared" si="102"/>
        <v>600000</v>
      </c>
      <c r="W176" s="308">
        <f t="shared" si="102"/>
        <v>470000</v>
      </c>
      <c r="X176" s="308">
        <f t="shared" si="102"/>
        <v>0</v>
      </c>
      <c r="Y176" s="308">
        <f t="shared" si="102"/>
        <v>0</v>
      </c>
      <c r="Z176" s="162" t="b">
        <f t="shared" si="81"/>
        <v>1</v>
      </c>
      <c r="AA176" s="162" t="str">
        <f t="shared" si="82"/>
        <v>PRAZNO</v>
      </c>
      <c r="AB176" s="170"/>
    </row>
    <row r="177" spans="1:29" s="264" customFormat="1" ht="15.75" x14ac:dyDescent="0.2">
      <c r="A177" s="259"/>
      <c r="B177" s="177"/>
      <c r="C177" s="177"/>
      <c r="D177" s="177"/>
      <c r="E177" s="177"/>
      <c r="F177" s="265"/>
      <c r="G177" s="265"/>
      <c r="H177" s="441" t="s">
        <v>824</v>
      </c>
      <c r="I177" s="178"/>
      <c r="J177" s="266"/>
      <c r="K177" s="178"/>
      <c r="L177" s="178"/>
      <c r="M177" s="178"/>
      <c r="N177" s="178"/>
      <c r="O177" s="178"/>
      <c r="P177" s="443"/>
      <c r="Q177" s="443"/>
      <c r="R177" s="445"/>
      <c r="S177" s="178"/>
      <c r="T177" s="178"/>
      <c r="U177" s="178"/>
      <c r="V177" s="444"/>
      <c r="W177" s="443">
        <f t="shared" ref="W177:Y180" si="103">W178</f>
        <v>470000</v>
      </c>
      <c r="X177" s="443">
        <f t="shared" si="103"/>
        <v>0</v>
      </c>
      <c r="Y177" s="443">
        <f t="shared" si="103"/>
        <v>0</v>
      </c>
      <c r="Z177" s="162" t="b">
        <f t="shared" ref="Z177:Z208" si="104">ISBLANK(E177)</f>
        <v>1</v>
      </c>
      <c r="AA177" s="162" t="str">
        <f t="shared" ref="AA177:AA208" si="105">IF(Z177,"PRAZNO","PUNO")</f>
        <v>PRAZNO</v>
      </c>
      <c r="AB177" s="263"/>
    </row>
    <row r="178" spans="1:29" s="174" customFormat="1" ht="15.75" x14ac:dyDescent="0.2">
      <c r="A178" s="259"/>
      <c r="B178" s="172">
        <v>3</v>
      </c>
      <c r="C178" s="172"/>
      <c r="D178" s="172"/>
      <c r="E178" s="172"/>
      <c r="F178" s="172"/>
      <c r="G178" s="172"/>
      <c r="H178" s="14" t="s">
        <v>524</v>
      </c>
      <c r="I178" s="184"/>
      <c r="J178" s="185"/>
      <c r="K178" s="184"/>
      <c r="L178" s="184"/>
      <c r="M178" s="184"/>
      <c r="N178" s="184"/>
      <c r="O178" s="184"/>
      <c r="P178" s="184">
        <f t="shared" ref="P178:Q180" si="106">P179</f>
        <v>600000</v>
      </c>
      <c r="Q178" s="184">
        <f t="shared" si="106"/>
        <v>0</v>
      </c>
      <c r="R178" s="55">
        <f>V178-P178</f>
        <v>0</v>
      </c>
      <c r="S178" s="184">
        <f t="shared" ref="S178:V180" si="107">S179</f>
        <v>600000</v>
      </c>
      <c r="T178" s="184">
        <f t="shared" si="107"/>
        <v>600000</v>
      </c>
      <c r="U178" s="184">
        <f t="shared" si="107"/>
        <v>800000</v>
      </c>
      <c r="V178" s="185">
        <f t="shared" si="107"/>
        <v>600000</v>
      </c>
      <c r="W178" s="184">
        <f t="shared" si="103"/>
        <v>470000</v>
      </c>
      <c r="X178" s="184">
        <f t="shared" si="103"/>
        <v>0</v>
      </c>
      <c r="Y178" s="184">
        <f t="shared" si="103"/>
        <v>0</v>
      </c>
      <c r="Z178" s="162" t="b">
        <f t="shared" si="104"/>
        <v>1</v>
      </c>
      <c r="AA178" s="162" t="str">
        <f t="shared" si="105"/>
        <v>PRAZNO</v>
      </c>
      <c r="AB178" s="173"/>
    </row>
    <row r="179" spans="1:29" ht="27" customHeight="1" x14ac:dyDescent="0.2">
      <c r="B179" s="177"/>
      <c r="C179" s="177">
        <v>36</v>
      </c>
      <c r="D179" s="177"/>
      <c r="E179" s="177"/>
      <c r="F179" s="177"/>
      <c r="G179" s="177"/>
      <c r="H179" s="16" t="s">
        <v>751</v>
      </c>
      <c r="I179" s="18"/>
      <c r="J179" s="27"/>
      <c r="K179" s="18"/>
      <c r="L179" s="18"/>
      <c r="M179" s="18"/>
      <c r="N179" s="18"/>
      <c r="O179" s="18"/>
      <c r="P179" s="18">
        <f t="shared" si="106"/>
        <v>600000</v>
      </c>
      <c r="Q179" s="18">
        <f t="shared" si="106"/>
        <v>0</v>
      </c>
      <c r="R179" s="26">
        <f>V179-P179</f>
        <v>0</v>
      </c>
      <c r="S179" s="18">
        <f t="shared" si="107"/>
        <v>600000</v>
      </c>
      <c r="T179" s="18">
        <f t="shared" si="107"/>
        <v>600000</v>
      </c>
      <c r="U179" s="18">
        <f t="shared" si="107"/>
        <v>800000</v>
      </c>
      <c r="V179" s="27">
        <f t="shared" si="107"/>
        <v>600000</v>
      </c>
      <c r="W179" s="18">
        <f t="shared" si="103"/>
        <v>470000</v>
      </c>
      <c r="X179" s="18">
        <f t="shared" si="103"/>
        <v>0</v>
      </c>
      <c r="Y179" s="18">
        <f t="shared" si="103"/>
        <v>0</v>
      </c>
      <c r="Z179" s="162" t="b">
        <f t="shared" si="104"/>
        <v>1</v>
      </c>
      <c r="AA179" s="162" t="str">
        <f t="shared" si="105"/>
        <v>PRAZNO</v>
      </c>
      <c r="AC179" s="164"/>
    </row>
    <row r="180" spans="1:29" ht="15.75" x14ac:dyDescent="0.2">
      <c r="B180" s="177"/>
      <c r="C180" s="177"/>
      <c r="D180" s="177">
        <v>363</v>
      </c>
      <c r="E180" s="177"/>
      <c r="F180" s="176"/>
      <c r="G180" s="176"/>
      <c r="H180" s="16" t="s">
        <v>536</v>
      </c>
      <c r="I180" s="18"/>
      <c r="J180" s="27"/>
      <c r="K180" s="18"/>
      <c r="L180" s="18"/>
      <c r="M180" s="18"/>
      <c r="N180" s="18"/>
      <c r="O180" s="18"/>
      <c r="P180" s="18">
        <f t="shared" si="106"/>
        <v>600000</v>
      </c>
      <c r="Q180" s="18">
        <f t="shared" si="106"/>
        <v>0</v>
      </c>
      <c r="R180" s="26">
        <f>V180-P180</f>
        <v>0</v>
      </c>
      <c r="S180" s="18">
        <f t="shared" si="107"/>
        <v>600000</v>
      </c>
      <c r="T180" s="18">
        <f t="shared" si="107"/>
        <v>600000</v>
      </c>
      <c r="U180" s="18">
        <f t="shared" si="107"/>
        <v>800000</v>
      </c>
      <c r="V180" s="27">
        <f t="shared" si="107"/>
        <v>600000</v>
      </c>
      <c r="W180" s="18">
        <f t="shared" si="103"/>
        <v>470000</v>
      </c>
      <c r="X180" s="18">
        <f t="shared" si="103"/>
        <v>0</v>
      </c>
      <c r="Y180" s="18">
        <f t="shared" si="103"/>
        <v>0</v>
      </c>
      <c r="Z180" s="162" t="b">
        <f t="shared" si="104"/>
        <v>1</v>
      </c>
      <c r="AA180" s="162" t="str">
        <f t="shared" si="105"/>
        <v>PRAZNO</v>
      </c>
      <c r="AC180" s="164"/>
    </row>
    <row r="181" spans="1:29" ht="15.75" x14ac:dyDescent="0.2">
      <c r="B181" s="177"/>
      <c r="C181" s="177"/>
      <c r="D181" s="177"/>
      <c r="E181" s="177">
        <v>3632</v>
      </c>
      <c r="F181" s="176">
        <v>14</v>
      </c>
      <c r="G181" s="176"/>
      <c r="H181" s="16" t="s">
        <v>227</v>
      </c>
      <c r="I181" s="18"/>
      <c r="J181" s="27"/>
      <c r="K181" s="18"/>
      <c r="L181" s="18"/>
      <c r="M181" s="18"/>
      <c r="N181" s="18"/>
      <c r="O181" s="18"/>
      <c r="P181" s="18">
        <v>600000</v>
      </c>
      <c r="Q181" s="18">
        <v>0</v>
      </c>
      <c r="R181" s="26">
        <f>V181-P181</f>
        <v>0</v>
      </c>
      <c r="S181" s="18">
        <v>600000</v>
      </c>
      <c r="T181" s="18">
        <v>600000</v>
      </c>
      <c r="U181" s="18">
        <v>800000</v>
      </c>
      <c r="V181" s="27">
        <v>600000</v>
      </c>
      <c r="W181" s="18">
        <v>470000</v>
      </c>
      <c r="X181" s="18">
        <v>0</v>
      </c>
      <c r="Y181" s="18">
        <v>0</v>
      </c>
      <c r="Z181" s="162" t="b">
        <f t="shared" si="104"/>
        <v>0</v>
      </c>
      <c r="AA181" s="162" t="str">
        <f t="shared" si="105"/>
        <v>PUNO</v>
      </c>
      <c r="AC181" s="164"/>
    </row>
    <row r="182" spans="1:29" s="164" customFormat="1" ht="15.75" x14ac:dyDescent="0.2">
      <c r="A182" s="259"/>
      <c r="B182" s="194"/>
      <c r="C182" s="194"/>
      <c r="D182" s="194"/>
      <c r="E182" s="194"/>
      <c r="F182" s="159"/>
      <c r="G182" s="159"/>
      <c r="H182" s="11" t="s">
        <v>304</v>
      </c>
      <c r="I182" s="195"/>
      <c r="J182" s="196"/>
      <c r="K182" s="196"/>
      <c r="L182" s="196"/>
      <c r="M182" s="196"/>
      <c r="N182" s="196"/>
      <c r="O182" s="195"/>
      <c r="P182" s="195"/>
      <c r="Q182" s="195"/>
      <c r="R182" s="353"/>
      <c r="S182" s="195"/>
      <c r="T182" s="195"/>
      <c r="U182" s="195"/>
      <c r="V182" s="197"/>
      <c r="W182" s="195"/>
      <c r="X182" s="195"/>
      <c r="Y182" s="195"/>
      <c r="Z182" s="162" t="b">
        <f t="shared" si="104"/>
        <v>1</v>
      </c>
      <c r="AA182" s="162" t="str">
        <f t="shared" si="105"/>
        <v>PRAZNO</v>
      </c>
      <c r="AB182" s="165"/>
    </row>
    <row r="183" spans="1:29" s="171" customFormat="1" ht="15.75" x14ac:dyDescent="0.2">
      <c r="A183" s="259"/>
      <c r="B183" s="270"/>
      <c r="C183" s="270"/>
      <c r="D183" s="270"/>
      <c r="E183" s="270"/>
      <c r="F183" s="270"/>
      <c r="G183" s="270"/>
      <c r="H183" s="274" t="s">
        <v>712</v>
      </c>
      <c r="I183" s="272" t="e">
        <f>#REF!+I185+I196</f>
        <v>#REF!</v>
      </c>
      <c r="J183" s="272" t="e">
        <f>#REF!+J185+J196</f>
        <v>#REF!</v>
      </c>
      <c r="K183" s="273" t="e">
        <f>#REF!+K185+#REF!</f>
        <v>#REF!</v>
      </c>
      <c r="L183" s="273" t="e">
        <f>#REF!+L185+#REF!</f>
        <v>#REF!</v>
      </c>
      <c r="M183" s="273" t="e">
        <f>ROUND(L183/K183*100,2)</f>
        <v>#REF!</v>
      </c>
      <c r="N183" s="273" t="e">
        <f>O183-K183</f>
        <v>#REF!</v>
      </c>
      <c r="O183" s="272" t="e">
        <f>#REF!+O185+O196</f>
        <v>#REF!</v>
      </c>
      <c r="P183" s="272" t="e">
        <f>#REF!+P185+P196</f>
        <v>#REF!</v>
      </c>
      <c r="Q183" s="272" t="e">
        <f>#REF!+Q185+Q196</f>
        <v>#REF!</v>
      </c>
      <c r="R183" s="336" t="e">
        <f>V183-P183</f>
        <v>#REF!</v>
      </c>
      <c r="S183" s="272" t="e">
        <f>#REF!+S185+S196</f>
        <v>#REF!</v>
      </c>
      <c r="T183" s="272" t="e">
        <f>#REF!+T185+T196</f>
        <v>#REF!</v>
      </c>
      <c r="U183" s="272" t="e">
        <f>#REF!+U185+U196</f>
        <v>#REF!</v>
      </c>
      <c r="V183" s="275" t="e">
        <f>#REF!+V185+V196</f>
        <v>#REF!</v>
      </c>
      <c r="W183" s="272">
        <f>W185+W196</f>
        <v>2300000</v>
      </c>
      <c r="X183" s="272">
        <f>X185+X196</f>
        <v>3000000</v>
      </c>
      <c r="Y183" s="272">
        <f>Y185+Y196</f>
        <v>3000000</v>
      </c>
      <c r="Z183" s="162" t="b">
        <f t="shared" si="104"/>
        <v>1</v>
      </c>
      <c r="AA183" s="162" t="str">
        <f t="shared" si="105"/>
        <v>PRAZNO</v>
      </c>
      <c r="AB183" s="170"/>
      <c r="AC183" s="164"/>
    </row>
    <row r="184" spans="1:29" s="171" customFormat="1" ht="15.75" x14ac:dyDescent="0.2">
      <c r="A184" s="259"/>
      <c r="B184" s="168"/>
      <c r="C184" s="168"/>
      <c r="D184" s="168"/>
      <c r="E184" s="168"/>
      <c r="F184" s="168"/>
      <c r="G184" s="168"/>
      <c r="H184" s="13" t="s">
        <v>444</v>
      </c>
      <c r="I184" s="19"/>
      <c r="J184" s="19"/>
      <c r="K184" s="169"/>
      <c r="L184" s="169"/>
      <c r="M184" s="169"/>
      <c r="N184" s="169"/>
      <c r="O184" s="19"/>
      <c r="P184" s="19"/>
      <c r="Q184" s="19"/>
      <c r="R184" s="205"/>
      <c r="S184" s="19"/>
      <c r="T184" s="19"/>
      <c r="U184" s="19"/>
      <c r="V184" s="53"/>
      <c r="W184" s="19"/>
      <c r="X184" s="19"/>
      <c r="Y184" s="19"/>
      <c r="Z184" s="162" t="b">
        <f t="shared" si="104"/>
        <v>1</v>
      </c>
      <c r="AA184" s="162" t="str">
        <f t="shared" si="105"/>
        <v>PRAZNO</v>
      </c>
      <c r="AB184" s="170"/>
      <c r="AC184" s="164"/>
    </row>
    <row r="185" spans="1:29" s="171" customFormat="1" ht="43.5" customHeight="1" x14ac:dyDescent="0.2">
      <c r="A185" s="259"/>
      <c r="B185" s="168"/>
      <c r="C185" s="168"/>
      <c r="D185" s="168"/>
      <c r="E185" s="168"/>
      <c r="F185" s="168"/>
      <c r="G185" s="168"/>
      <c r="H185" s="13" t="s">
        <v>159</v>
      </c>
      <c r="I185" s="19">
        <f>I187</f>
        <v>598090.01</v>
      </c>
      <c r="J185" s="53">
        <f>J187</f>
        <v>383200.99</v>
      </c>
      <c r="K185" s="169">
        <f>K187</f>
        <v>800000</v>
      </c>
      <c r="L185" s="169">
        <f>L187</f>
        <v>197838</v>
      </c>
      <c r="M185" s="169">
        <f>ROUND(L185/K185*100,2)</f>
        <v>24.73</v>
      </c>
      <c r="N185" s="169">
        <f>O185-K185</f>
        <v>-602162</v>
      </c>
      <c r="O185" s="19">
        <f>O187</f>
        <v>197838</v>
      </c>
      <c r="P185" s="19">
        <f>P187</f>
        <v>660000</v>
      </c>
      <c r="Q185" s="19">
        <f>Q187</f>
        <v>100000</v>
      </c>
      <c r="R185" s="303">
        <f>V185-P185</f>
        <v>0</v>
      </c>
      <c r="S185" s="19">
        <f>S187</f>
        <v>660000</v>
      </c>
      <c r="T185" s="19">
        <f>T187</f>
        <v>100000</v>
      </c>
      <c r="U185" s="19">
        <f>U187</f>
        <v>0</v>
      </c>
      <c r="V185" s="53">
        <f>V187</f>
        <v>660000</v>
      </c>
      <c r="W185" s="19">
        <f>W187+W192</f>
        <v>300000</v>
      </c>
      <c r="X185" s="19">
        <f>X187+X192</f>
        <v>0</v>
      </c>
      <c r="Y185" s="19">
        <f>Y187+Y192</f>
        <v>0</v>
      </c>
      <c r="Z185" s="162" t="b">
        <f t="shared" si="104"/>
        <v>1</v>
      </c>
      <c r="AA185" s="162" t="str">
        <f t="shared" si="105"/>
        <v>PRAZNO</v>
      </c>
      <c r="AB185" s="170"/>
      <c r="AC185" s="164"/>
    </row>
    <row r="186" spans="1:29" s="264" customFormat="1" ht="17.25" customHeight="1" x14ac:dyDescent="0.2">
      <c r="A186" s="259"/>
      <c r="B186" s="260"/>
      <c r="C186" s="260"/>
      <c r="D186" s="260"/>
      <c r="E186" s="260"/>
      <c r="F186" s="260"/>
      <c r="G186" s="260"/>
      <c r="H186" s="440" t="s">
        <v>824</v>
      </c>
      <c r="I186" s="262"/>
      <c r="J186" s="342"/>
      <c r="K186" s="181"/>
      <c r="L186" s="181"/>
      <c r="M186" s="181"/>
      <c r="N186" s="181"/>
      <c r="O186" s="262"/>
      <c r="P186" s="262"/>
      <c r="Q186" s="262"/>
      <c r="R186" s="445"/>
      <c r="S186" s="262"/>
      <c r="T186" s="262"/>
      <c r="U186" s="262"/>
      <c r="V186" s="342"/>
      <c r="W186" s="262">
        <f t="shared" ref="W186:Y189" si="108">W187</f>
        <v>175000</v>
      </c>
      <c r="X186" s="262">
        <f t="shared" si="108"/>
        <v>0</v>
      </c>
      <c r="Y186" s="262">
        <f t="shared" si="108"/>
        <v>0</v>
      </c>
      <c r="Z186" s="162" t="b">
        <f t="shared" si="104"/>
        <v>1</v>
      </c>
      <c r="AA186" s="162" t="str">
        <f t="shared" si="105"/>
        <v>PRAZNO</v>
      </c>
      <c r="AB186" s="263"/>
    </row>
    <row r="187" spans="1:29" s="174" customFormat="1" ht="15.75" x14ac:dyDescent="0.2">
      <c r="A187" s="259"/>
      <c r="B187" s="172">
        <v>4</v>
      </c>
      <c r="C187" s="172"/>
      <c r="D187" s="172"/>
      <c r="E187" s="172"/>
      <c r="F187" s="172"/>
      <c r="G187" s="172"/>
      <c r="H187" s="14" t="s">
        <v>552</v>
      </c>
      <c r="I187" s="20">
        <f t="shared" ref="I187:L188" si="109">I188</f>
        <v>598090.01</v>
      </c>
      <c r="J187" s="55">
        <f t="shared" si="109"/>
        <v>383200.99</v>
      </c>
      <c r="K187" s="20">
        <f t="shared" si="109"/>
        <v>800000</v>
      </c>
      <c r="L187" s="20">
        <f t="shared" si="109"/>
        <v>197838</v>
      </c>
      <c r="M187" s="20">
        <f>ROUND(L187/K187*100,2)</f>
        <v>24.73</v>
      </c>
      <c r="N187" s="20">
        <f>O187-K187</f>
        <v>-602162</v>
      </c>
      <c r="O187" s="20">
        <f t="shared" ref="O187:Q188" si="110">O188</f>
        <v>197838</v>
      </c>
      <c r="P187" s="20">
        <f t="shared" si="110"/>
        <v>660000</v>
      </c>
      <c r="Q187" s="20">
        <f t="shared" si="110"/>
        <v>100000</v>
      </c>
      <c r="R187" s="55">
        <f>V187-P187</f>
        <v>0</v>
      </c>
      <c r="S187" s="20">
        <f t="shared" ref="S187:V188" si="111">S188</f>
        <v>660000</v>
      </c>
      <c r="T187" s="20">
        <f t="shared" si="111"/>
        <v>100000</v>
      </c>
      <c r="U187" s="20">
        <f t="shared" si="111"/>
        <v>0</v>
      </c>
      <c r="V187" s="55">
        <f t="shared" si="111"/>
        <v>660000</v>
      </c>
      <c r="W187" s="20">
        <f t="shared" si="108"/>
        <v>175000</v>
      </c>
      <c r="X187" s="20">
        <f t="shared" si="108"/>
        <v>0</v>
      </c>
      <c r="Y187" s="20">
        <f t="shared" si="108"/>
        <v>0</v>
      </c>
      <c r="Z187" s="162" t="b">
        <f t="shared" si="104"/>
        <v>1</v>
      </c>
      <c r="AA187" s="162" t="str">
        <f t="shared" si="105"/>
        <v>PRAZNO</v>
      </c>
      <c r="AB187" s="173"/>
      <c r="AC187" s="164"/>
    </row>
    <row r="188" spans="1:29" ht="15.75" x14ac:dyDescent="0.2">
      <c r="B188" s="177"/>
      <c r="C188" s="177">
        <v>42</v>
      </c>
      <c r="D188" s="177"/>
      <c r="E188" s="177"/>
      <c r="F188" s="177"/>
      <c r="G188" s="177"/>
      <c r="H188" s="16" t="s">
        <v>212</v>
      </c>
      <c r="I188" s="18">
        <f t="shared" si="109"/>
        <v>598090.01</v>
      </c>
      <c r="J188" s="27">
        <f t="shared" si="109"/>
        <v>383200.99</v>
      </c>
      <c r="K188" s="18">
        <f t="shared" si="109"/>
        <v>800000</v>
      </c>
      <c r="L188" s="18">
        <f t="shared" si="109"/>
        <v>197838</v>
      </c>
      <c r="M188" s="18">
        <f>ROUND(L188/K188*100,2)</f>
        <v>24.73</v>
      </c>
      <c r="N188" s="18">
        <f>O188-K188</f>
        <v>-602162</v>
      </c>
      <c r="O188" s="18">
        <f t="shared" si="110"/>
        <v>197838</v>
      </c>
      <c r="P188" s="18">
        <f t="shared" si="110"/>
        <v>660000</v>
      </c>
      <c r="Q188" s="18">
        <f t="shared" si="110"/>
        <v>100000</v>
      </c>
      <c r="R188" s="26">
        <f>V188-P188</f>
        <v>0</v>
      </c>
      <c r="S188" s="18">
        <f t="shared" si="111"/>
        <v>660000</v>
      </c>
      <c r="T188" s="18">
        <f t="shared" si="111"/>
        <v>100000</v>
      </c>
      <c r="U188" s="18">
        <f t="shared" si="111"/>
        <v>0</v>
      </c>
      <c r="V188" s="27">
        <f t="shared" si="111"/>
        <v>660000</v>
      </c>
      <c r="W188" s="18">
        <f t="shared" si="108"/>
        <v>175000</v>
      </c>
      <c r="X188" s="18">
        <f t="shared" si="108"/>
        <v>0</v>
      </c>
      <c r="Y188" s="18">
        <f t="shared" si="108"/>
        <v>0</v>
      </c>
      <c r="Z188" s="162" t="b">
        <f t="shared" si="104"/>
        <v>1</v>
      </c>
      <c r="AA188" s="162" t="str">
        <f t="shared" si="105"/>
        <v>PRAZNO</v>
      </c>
      <c r="AC188" s="164"/>
    </row>
    <row r="189" spans="1:29" ht="15.75" x14ac:dyDescent="0.2">
      <c r="B189" s="177"/>
      <c r="C189" s="177"/>
      <c r="D189" s="177">
        <v>426</v>
      </c>
      <c r="E189" s="177"/>
      <c r="F189" s="177"/>
      <c r="G189" s="177"/>
      <c r="H189" s="16" t="s">
        <v>560</v>
      </c>
      <c r="I189" s="17">
        <f>I190+I195</f>
        <v>598090.01</v>
      </c>
      <c r="J189" s="26">
        <f>J190+J195</f>
        <v>383200.99</v>
      </c>
      <c r="K189" s="17">
        <f>K190+K195</f>
        <v>800000</v>
      </c>
      <c r="L189" s="17">
        <f>L190+L195</f>
        <v>197838</v>
      </c>
      <c r="M189" s="17">
        <f>ROUND(L189/K189*100,2)</f>
        <v>24.73</v>
      </c>
      <c r="N189" s="17">
        <f>O189-K189</f>
        <v>-602162</v>
      </c>
      <c r="O189" s="17">
        <f>O190+O195</f>
        <v>197838</v>
      </c>
      <c r="P189" s="17">
        <f>P190+P195</f>
        <v>660000</v>
      </c>
      <c r="Q189" s="17">
        <f>Q190+Q195</f>
        <v>100000</v>
      </c>
      <c r="R189" s="26">
        <f>V189-P189</f>
        <v>0</v>
      </c>
      <c r="S189" s="17">
        <f>S190+S195</f>
        <v>660000</v>
      </c>
      <c r="T189" s="17">
        <f>T190+T195</f>
        <v>100000</v>
      </c>
      <c r="U189" s="17">
        <f>U190+U195</f>
        <v>0</v>
      </c>
      <c r="V189" s="26">
        <f>V190+V195</f>
        <v>660000</v>
      </c>
      <c r="W189" s="17">
        <f t="shared" si="108"/>
        <v>175000</v>
      </c>
      <c r="X189" s="17">
        <f t="shared" si="108"/>
        <v>0</v>
      </c>
      <c r="Y189" s="17">
        <f t="shared" si="108"/>
        <v>0</v>
      </c>
      <c r="Z189" s="162" t="b">
        <f t="shared" si="104"/>
        <v>1</v>
      </c>
      <c r="AA189" s="162" t="str">
        <f t="shared" si="105"/>
        <v>PRAZNO</v>
      </c>
      <c r="AC189" s="164"/>
    </row>
    <row r="190" spans="1:29" ht="31.5" customHeight="1" x14ac:dyDescent="0.2">
      <c r="B190" s="177"/>
      <c r="C190" s="177"/>
      <c r="D190" s="177"/>
      <c r="E190" s="177">
        <v>4264</v>
      </c>
      <c r="F190" s="176">
        <v>14</v>
      </c>
      <c r="G190" s="176" t="s">
        <v>424</v>
      </c>
      <c r="H190" s="16" t="s">
        <v>950</v>
      </c>
      <c r="I190" s="18">
        <v>299045.01</v>
      </c>
      <c r="J190" s="27">
        <v>191600.49</v>
      </c>
      <c r="K190" s="18">
        <v>400000</v>
      </c>
      <c r="L190" s="18">
        <v>99438</v>
      </c>
      <c r="M190" s="18">
        <f>ROUND(L190/K190*100,2)</f>
        <v>24.86</v>
      </c>
      <c r="N190" s="18">
        <f>O190-K190</f>
        <v>-300562</v>
      </c>
      <c r="O190" s="18">
        <v>99438</v>
      </c>
      <c r="P190" s="18">
        <v>330000</v>
      </c>
      <c r="Q190" s="18">
        <v>50000</v>
      </c>
      <c r="R190" s="26">
        <f>V190-P190</f>
        <v>0</v>
      </c>
      <c r="S190" s="18">
        <v>330000</v>
      </c>
      <c r="T190" s="18">
        <v>50000</v>
      </c>
      <c r="U190" s="18">
        <v>0</v>
      </c>
      <c r="V190" s="27">
        <v>330000</v>
      </c>
      <c r="W190" s="18">
        <v>175000</v>
      </c>
      <c r="X190" s="18">
        <v>0</v>
      </c>
      <c r="Y190" s="18">
        <v>0</v>
      </c>
      <c r="Z190" s="162" t="b">
        <f t="shared" si="104"/>
        <v>0</v>
      </c>
      <c r="AA190" s="162" t="str">
        <f t="shared" si="105"/>
        <v>PUNO</v>
      </c>
      <c r="AC190" s="164"/>
    </row>
    <row r="191" spans="1:29" s="453" customFormat="1" ht="16.5" customHeight="1" x14ac:dyDescent="0.25">
      <c r="A191" s="378"/>
      <c r="B191" s="260"/>
      <c r="C191" s="260"/>
      <c r="D191" s="260"/>
      <c r="E191" s="260"/>
      <c r="F191" s="448"/>
      <c r="G191" s="448"/>
      <c r="H191" s="440" t="s">
        <v>825</v>
      </c>
      <c r="I191" s="449"/>
      <c r="J191" s="450"/>
      <c r="K191" s="449"/>
      <c r="L191" s="449"/>
      <c r="M191" s="449"/>
      <c r="N191" s="449"/>
      <c r="O191" s="449"/>
      <c r="P191" s="449"/>
      <c r="Q191" s="449"/>
      <c r="R191" s="202"/>
      <c r="S191" s="449"/>
      <c r="T191" s="449"/>
      <c r="U191" s="449"/>
      <c r="V191" s="450"/>
      <c r="W191" s="449">
        <f t="shared" ref="W191:Y194" si="112">W192</f>
        <v>125000</v>
      </c>
      <c r="X191" s="449">
        <f t="shared" si="112"/>
        <v>0</v>
      </c>
      <c r="Y191" s="449">
        <f t="shared" si="112"/>
        <v>0</v>
      </c>
      <c r="Z191" s="162" t="b">
        <f t="shared" si="104"/>
        <v>1</v>
      </c>
      <c r="AA191" s="162" t="str">
        <f t="shared" si="105"/>
        <v>PRAZNO</v>
      </c>
      <c r="AB191" s="452"/>
      <c r="AC191" s="287"/>
    </row>
    <row r="192" spans="1:29" s="174" customFormat="1" ht="17.25" customHeight="1" x14ac:dyDescent="0.2">
      <c r="A192" s="259"/>
      <c r="B192" s="172">
        <v>4</v>
      </c>
      <c r="C192" s="172"/>
      <c r="D192" s="172"/>
      <c r="E192" s="172"/>
      <c r="F192" s="220"/>
      <c r="G192" s="220"/>
      <c r="H192" s="14" t="s">
        <v>294</v>
      </c>
      <c r="I192" s="184"/>
      <c r="J192" s="185"/>
      <c r="K192" s="184"/>
      <c r="L192" s="184"/>
      <c r="M192" s="184"/>
      <c r="N192" s="184"/>
      <c r="O192" s="184"/>
      <c r="P192" s="184"/>
      <c r="Q192" s="184"/>
      <c r="R192" s="55"/>
      <c r="S192" s="184"/>
      <c r="T192" s="184"/>
      <c r="U192" s="184"/>
      <c r="V192" s="185"/>
      <c r="W192" s="184">
        <f t="shared" si="112"/>
        <v>125000</v>
      </c>
      <c r="X192" s="184">
        <f t="shared" si="112"/>
        <v>0</v>
      </c>
      <c r="Y192" s="184">
        <f t="shared" si="112"/>
        <v>0</v>
      </c>
      <c r="Z192" s="162" t="b">
        <f t="shared" si="104"/>
        <v>1</v>
      </c>
      <c r="AA192" s="162" t="str">
        <f t="shared" si="105"/>
        <v>PRAZNO</v>
      </c>
      <c r="AB192" s="173"/>
    </row>
    <row r="193" spans="1:29" ht="24.75" customHeight="1" x14ac:dyDescent="0.2">
      <c r="B193" s="177"/>
      <c r="C193" s="177">
        <v>42</v>
      </c>
      <c r="D193" s="177"/>
      <c r="E193" s="177"/>
      <c r="F193" s="176"/>
      <c r="G193" s="176"/>
      <c r="H193" s="16" t="s">
        <v>212</v>
      </c>
      <c r="I193" s="18"/>
      <c r="J193" s="27"/>
      <c r="K193" s="18"/>
      <c r="L193" s="18"/>
      <c r="M193" s="18"/>
      <c r="N193" s="18"/>
      <c r="O193" s="18"/>
      <c r="P193" s="18"/>
      <c r="Q193" s="18"/>
      <c r="R193" s="26"/>
      <c r="S193" s="18"/>
      <c r="T193" s="18"/>
      <c r="U193" s="18"/>
      <c r="V193" s="27"/>
      <c r="W193" s="18">
        <f t="shared" si="112"/>
        <v>125000</v>
      </c>
      <c r="X193" s="18">
        <f t="shared" si="112"/>
        <v>0</v>
      </c>
      <c r="Y193" s="18">
        <f t="shared" si="112"/>
        <v>0</v>
      </c>
      <c r="Z193" s="162" t="b">
        <f t="shared" si="104"/>
        <v>1</v>
      </c>
      <c r="AA193" s="162" t="str">
        <f t="shared" si="105"/>
        <v>PRAZNO</v>
      </c>
      <c r="AC193" s="164"/>
    </row>
    <row r="194" spans="1:29" ht="24.75" customHeight="1" x14ac:dyDescent="0.2">
      <c r="B194" s="177"/>
      <c r="C194" s="177"/>
      <c r="D194" s="177">
        <v>426</v>
      </c>
      <c r="E194" s="177"/>
      <c r="F194" s="176"/>
      <c r="G194" s="176"/>
      <c r="H194" s="16" t="s">
        <v>560</v>
      </c>
      <c r="I194" s="18"/>
      <c r="J194" s="27"/>
      <c r="K194" s="18"/>
      <c r="L194" s="18"/>
      <c r="M194" s="18"/>
      <c r="N194" s="18"/>
      <c r="O194" s="18"/>
      <c r="P194" s="18"/>
      <c r="Q194" s="18"/>
      <c r="R194" s="26"/>
      <c r="S194" s="18"/>
      <c r="T194" s="18"/>
      <c r="U194" s="18"/>
      <c r="V194" s="27"/>
      <c r="W194" s="18">
        <f t="shared" si="112"/>
        <v>125000</v>
      </c>
      <c r="X194" s="18">
        <f t="shared" si="112"/>
        <v>0</v>
      </c>
      <c r="Y194" s="18">
        <f t="shared" si="112"/>
        <v>0</v>
      </c>
      <c r="Z194" s="162" t="b">
        <f t="shared" si="104"/>
        <v>1</v>
      </c>
      <c r="AA194" s="162" t="str">
        <f t="shared" si="105"/>
        <v>PRAZNO</v>
      </c>
      <c r="AC194" s="164"/>
    </row>
    <row r="195" spans="1:29" ht="30" customHeight="1" x14ac:dyDescent="0.2">
      <c r="B195" s="177"/>
      <c r="C195" s="177"/>
      <c r="D195" s="177"/>
      <c r="E195" s="177">
        <v>4264</v>
      </c>
      <c r="F195" s="176">
        <v>53</v>
      </c>
      <c r="G195" s="176" t="s">
        <v>424</v>
      </c>
      <c r="H195" s="16" t="s">
        <v>951</v>
      </c>
      <c r="I195" s="18">
        <v>299045</v>
      </c>
      <c r="J195" s="27">
        <v>191600.5</v>
      </c>
      <c r="K195" s="18">
        <v>400000</v>
      </c>
      <c r="L195" s="18">
        <v>98400</v>
      </c>
      <c r="M195" s="18">
        <f>ROUND(L195/K195*100,2)</f>
        <v>24.6</v>
      </c>
      <c r="N195" s="18">
        <f>O195-K195</f>
        <v>-301600</v>
      </c>
      <c r="O195" s="18">
        <v>98400</v>
      </c>
      <c r="P195" s="18">
        <v>330000</v>
      </c>
      <c r="Q195" s="18">
        <v>50000</v>
      </c>
      <c r="R195" s="26">
        <f>V195-P195</f>
        <v>0</v>
      </c>
      <c r="S195" s="18">
        <v>330000</v>
      </c>
      <c r="T195" s="18">
        <v>50000</v>
      </c>
      <c r="U195" s="18">
        <v>0</v>
      </c>
      <c r="V195" s="27">
        <v>330000</v>
      </c>
      <c r="W195" s="18">
        <v>125000</v>
      </c>
      <c r="X195" s="18">
        <v>0</v>
      </c>
      <c r="Y195" s="18">
        <v>0</v>
      </c>
      <c r="Z195" s="162" t="b">
        <f t="shared" si="104"/>
        <v>0</v>
      </c>
      <c r="AA195" s="162" t="str">
        <f t="shared" si="105"/>
        <v>PUNO</v>
      </c>
      <c r="AC195" s="164"/>
    </row>
    <row r="196" spans="1:29" s="171" customFormat="1" ht="31.5" x14ac:dyDescent="0.2">
      <c r="A196" s="259"/>
      <c r="B196" s="168"/>
      <c r="C196" s="168"/>
      <c r="D196" s="168"/>
      <c r="E196" s="168"/>
      <c r="F196" s="168"/>
      <c r="G196" s="168"/>
      <c r="H196" s="12" t="s">
        <v>1007</v>
      </c>
      <c r="I196" s="19">
        <f>I198</f>
        <v>2308024.14</v>
      </c>
      <c r="J196" s="53">
        <f>J198</f>
        <v>2000000</v>
      </c>
      <c r="K196" s="169">
        <f>K198</f>
        <v>2000000</v>
      </c>
      <c r="L196" s="169">
        <f>L198</f>
        <v>186285.39</v>
      </c>
      <c r="M196" s="169">
        <f>ROUND(L196/K196*100,2)</f>
        <v>9.31</v>
      </c>
      <c r="N196" s="169">
        <f>O196-K196</f>
        <v>-700000</v>
      </c>
      <c r="O196" s="19">
        <f>O198</f>
        <v>1300000</v>
      </c>
      <c r="P196" s="19">
        <f>P198</f>
        <v>1100000</v>
      </c>
      <c r="Q196" s="19">
        <f>Q198</f>
        <v>279795.88</v>
      </c>
      <c r="R196" s="303">
        <f>V196-P196</f>
        <v>170000</v>
      </c>
      <c r="S196" s="19">
        <f t="shared" ref="S196:Y196" si="113">S198</f>
        <v>1100000</v>
      </c>
      <c r="T196" s="19">
        <f t="shared" si="113"/>
        <v>1300000</v>
      </c>
      <c r="U196" s="19">
        <f t="shared" si="113"/>
        <v>1800000</v>
      </c>
      <c r="V196" s="53">
        <f t="shared" si="113"/>
        <v>1270000</v>
      </c>
      <c r="W196" s="19">
        <f t="shared" si="113"/>
        <v>2000000</v>
      </c>
      <c r="X196" s="19">
        <f t="shared" si="113"/>
        <v>3000000</v>
      </c>
      <c r="Y196" s="19">
        <f t="shared" si="113"/>
        <v>3000000</v>
      </c>
      <c r="Z196" s="162" t="b">
        <f t="shared" si="104"/>
        <v>1</v>
      </c>
      <c r="AA196" s="162" t="str">
        <f t="shared" si="105"/>
        <v>PRAZNO</v>
      </c>
      <c r="AB196" s="170"/>
      <c r="AC196" s="164"/>
    </row>
    <row r="197" spans="1:29" s="264" customFormat="1" ht="15.75" x14ac:dyDescent="0.2">
      <c r="A197" s="259"/>
      <c r="B197" s="260"/>
      <c r="C197" s="260"/>
      <c r="D197" s="260"/>
      <c r="E197" s="260"/>
      <c r="F197" s="260"/>
      <c r="G197" s="260"/>
      <c r="H197" s="441" t="s">
        <v>824</v>
      </c>
      <c r="I197" s="262"/>
      <c r="J197" s="342"/>
      <c r="K197" s="181"/>
      <c r="L197" s="181"/>
      <c r="M197" s="181"/>
      <c r="N197" s="181"/>
      <c r="O197" s="262"/>
      <c r="P197" s="262"/>
      <c r="Q197" s="262"/>
      <c r="R197" s="445"/>
      <c r="S197" s="262"/>
      <c r="T197" s="262"/>
      <c r="U197" s="262"/>
      <c r="V197" s="342"/>
      <c r="W197" s="262">
        <f t="shared" ref="W197:Y199" si="114">W198</f>
        <v>2000000</v>
      </c>
      <c r="X197" s="262">
        <f t="shared" si="114"/>
        <v>3000000</v>
      </c>
      <c r="Y197" s="262">
        <f t="shared" si="114"/>
        <v>3000000</v>
      </c>
      <c r="Z197" s="162" t="b">
        <f t="shared" si="104"/>
        <v>1</v>
      </c>
      <c r="AA197" s="162" t="str">
        <f t="shared" si="105"/>
        <v>PRAZNO</v>
      </c>
      <c r="AB197" s="263"/>
    </row>
    <row r="198" spans="1:29" s="174" customFormat="1" ht="15.75" x14ac:dyDescent="0.2">
      <c r="A198" s="259"/>
      <c r="B198" s="172">
        <v>3</v>
      </c>
      <c r="C198" s="172"/>
      <c r="D198" s="172"/>
      <c r="E198" s="172"/>
      <c r="F198" s="172"/>
      <c r="G198" s="172"/>
      <c r="H198" s="14" t="s">
        <v>524</v>
      </c>
      <c r="I198" s="20">
        <f t="shared" ref="I198:L199" si="115">I199</f>
        <v>2308024.14</v>
      </c>
      <c r="J198" s="55">
        <f t="shared" si="115"/>
        <v>2000000</v>
      </c>
      <c r="K198" s="20">
        <f t="shared" si="115"/>
        <v>2000000</v>
      </c>
      <c r="L198" s="20">
        <f t="shared" si="115"/>
        <v>186285.39</v>
      </c>
      <c r="M198" s="20">
        <f>ROUND(L198/K198*100,2)</f>
        <v>9.31</v>
      </c>
      <c r="N198" s="20">
        <f>O198-K198</f>
        <v>-700000</v>
      </c>
      <c r="O198" s="20">
        <f t="shared" ref="O198:Q199" si="116">O199</f>
        <v>1300000</v>
      </c>
      <c r="P198" s="20">
        <f t="shared" si="116"/>
        <v>1100000</v>
      </c>
      <c r="Q198" s="20">
        <f t="shared" si="116"/>
        <v>279795.88</v>
      </c>
      <c r="R198" s="55">
        <f>V198-P198</f>
        <v>170000</v>
      </c>
      <c r="S198" s="20">
        <f t="shared" ref="S198:V199" si="117">S199</f>
        <v>1100000</v>
      </c>
      <c r="T198" s="20">
        <f t="shared" si="117"/>
        <v>1300000</v>
      </c>
      <c r="U198" s="20">
        <f t="shared" si="117"/>
        <v>1800000</v>
      </c>
      <c r="V198" s="55">
        <f t="shared" si="117"/>
        <v>1270000</v>
      </c>
      <c r="W198" s="20">
        <f t="shared" si="114"/>
        <v>2000000</v>
      </c>
      <c r="X198" s="20">
        <f t="shared" si="114"/>
        <v>3000000</v>
      </c>
      <c r="Y198" s="20">
        <f t="shared" si="114"/>
        <v>3000000</v>
      </c>
      <c r="Z198" s="162" t="b">
        <f t="shared" si="104"/>
        <v>1</v>
      </c>
      <c r="AA198" s="162" t="str">
        <f t="shared" si="105"/>
        <v>PRAZNO</v>
      </c>
      <c r="AB198" s="173"/>
      <c r="AC198" s="164"/>
    </row>
    <row r="199" spans="1:29" ht="30.75" customHeight="1" x14ac:dyDescent="0.2">
      <c r="B199" s="175"/>
      <c r="C199" s="175">
        <v>36</v>
      </c>
      <c r="D199" s="175"/>
      <c r="E199" s="175"/>
      <c r="F199" s="175"/>
      <c r="G199" s="175"/>
      <c r="H199" s="16" t="s">
        <v>751</v>
      </c>
      <c r="I199" s="22">
        <f t="shared" si="115"/>
        <v>2308024.14</v>
      </c>
      <c r="J199" s="38">
        <f t="shared" si="115"/>
        <v>2000000</v>
      </c>
      <c r="K199" s="22">
        <f t="shared" si="115"/>
        <v>2000000</v>
      </c>
      <c r="L199" s="22">
        <f t="shared" si="115"/>
        <v>186285.39</v>
      </c>
      <c r="M199" s="22">
        <f>ROUND(L199/K199*100,2)</f>
        <v>9.31</v>
      </c>
      <c r="N199" s="22">
        <f>O199-K199</f>
        <v>-700000</v>
      </c>
      <c r="O199" s="22">
        <f t="shared" si="116"/>
        <v>1300000</v>
      </c>
      <c r="P199" s="22">
        <f t="shared" si="116"/>
        <v>1100000</v>
      </c>
      <c r="Q199" s="22">
        <f t="shared" si="116"/>
        <v>279795.88</v>
      </c>
      <c r="R199" s="26">
        <f>V199-P199</f>
        <v>170000</v>
      </c>
      <c r="S199" s="22">
        <f t="shared" si="117"/>
        <v>1100000</v>
      </c>
      <c r="T199" s="22">
        <f t="shared" si="117"/>
        <v>1300000</v>
      </c>
      <c r="U199" s="22">
        <f t="shared" si="117"/>
        <v>1800000</v>
      </c>
      <c r="V199" s="38">
        <f t="shared" si="117"/>
        <v>1270000</v>
      </c>
      <c r="W199" s="22">
        <f t="shared" si="114"/>
        <v>2000000</v>
      </c>
      <c r="X199" s="22">
        <f t="shared" si="114"/>
        <v>3000000</v>
      </c>
      <c r="Y199" s="22">
        <f t="shared" si="114"/>
        <v>3000000</v>
      </c>
      <c r="Z199" s="162" t="b">
        <f t="shared" si="104"/>
        <v>1</v>
      </c>
      <c r="AA199" s="162" t="str">
        <f t="shared" si="105"/>
        <v>PRAZNO</v>
      </c>
      <c r="AC199" s="164"/>
    </row>
    <row r="200" spans="1:29" ht="15.75" x14ac:dyDescent="0.2">
      <c r="B200" s="177"/>
      <c r="C200" s="177"/>
      <c r="D200" s="177">
        <v>363</v>
      </c>
      <c r="E200" s="177"/>
      <c r="F200" s="177"/>
      <c r="G200" s="177"/>
      <c r="H200" s="16" t="s">
        <v>536</v>
      </c>
      <c r="I200" s="17">
        <f>SUM(I201:I201)</f>
        <v>2308024.14</v>
      </c>
      <c r="J200" s="26">
        <f>SUM(J201:J201)</f>
        <v>2000000</v>
      </c>
      <c r="K200" s="17">
        <f>SUM(K201:K201)</f>
        <v>2000000</v>
      </c>
      <c r="L200" s="17">
        <f>SUM(L201:L201)</f>
        <v>186285.39</v>
      </c>
      <c r="M200" s="17">
        <f>ROUND(L200/K200*100,2)</f>
        <v>9.31</v>
      </c>
      <c r="N200" s="17">
        <f>O200-K200</f>
        <v>-700000</v>
      </c>
      <c r="O200" s="17">
        <f>SUM(O201:O201)</f>
        <v>1300000</v>
      </c>
      <c r="P200" s="17">
        <f>SUM(P201:P202)</f>
        <v>1100000</v>
      </c>
      <c r="Q200" s="17">
        <f>SUM(Q201:Q201)</f>
        <v>279795.88</v>
      </c>
      <c r="R200" s="26">
        <f>V200-P200</f>
        <v>170000</v>
      </c>
      <c r="S200" s="17">
        <f t="shared" ref="S200:Y200" si="118">SUM(S201:S202)</f>
        <v>1100000</v>
      </c>
      <c r="T200" s="17">
        <f t="shared" si="118"/>
        <v>1300000</v>
      </c>
      <c r="U200" s="17">
        <f t="shared" si="118"/>
        <v>1800000</v>
      </c>
      <c r="V200" s="26">
        <f t="shared" si="118"/>
        <v>1270000</v>
      </c>
      <c r="W200" s="17">
        <f t="shared" si="118"/>
        <v>2000000</v>
      </c>
      <c r="X200" s="17">
        <f t="shared" si="118"/>
        <v>3000000</v>
      </c>
      <c r="Y200" s="17">
        <f t="shared" si="118"/>
        <v>3000000</v>
      </c>
      <c r="Z200" s="162" t="b">
        <f t="shared" si="104"/>
        <v>1</v>
      </c>
      <c r="AA200" s="162" t="str">
        <f t="shared" si="105"/>
        <v>PRAZNO</v>
      </c>
      <c r="AC200" s="164"/>
    </row>
    <row r="201" spans="1:29" ht="30" x14ac:dyDescent="0.2">
      <c r="B201" s="177"/>
      <c r="C201" s="177"/>
      <c r="D201" s="177"/>
      <c r="E201" s="177">
        <v>3632</v>
      </c>
      <c r="F201" s="176">
        <v>14</v>
      </c>
      <c r="G201" s="176" t="s">
        <v>803</v>
      </c>
      <c r="H201" s="16" t="s">
        <v>366</v>
      </c>
      <c r="I201" s="18">
        <v>2308024.14</v>
      </c>
      <c r="J201" s="27">
        <f>2000000</f>
        <v>2000000</v>
      </c>
      <c r="K201" s="18">
        <v>2000000</v>
      </c>
      <c r="L201" s="18">
        <v>186285.39</v>
      </c>
      <c r="M201" s="18">
        <f>ROUND(L201/K201*100,2)</f>
        <v>9.31</v>
      </c>
      <c r="N201" s="18">
        <f>O201-K201</f>
        <v>-700000</v>
      </c>
      <c r="O201" s="18">
        <v>1300000</v>
      </c>
      <c r="P201" s="18">
        <v>1100000</v>
      </c>
      <c r="Q201" s="18">
        <v>279795.88</v>
      </c>
      <c r="R201" s="26">
        <f>V201-P201</f>
        <v>170000</v>
      </c>
      <c r="S201" s="18">
        <v>1100000</v>
      </c>
      <c r="T201" s="18">
        <v>900000</v>
      </c>
      <c r="U201" s="18">
        <v>1150000</v>
      </c>
      <c r="V201" s="27">
        <f>1100000+170000</f>
        <v>1270000</v>
      </c>
      <c r="W201" s="18">
        <v>2000000</v>
      </c>
      <c r="X201" s="18">
        <v>3000000</v>
      </c>
      <c r="Y201" s="18">
        <v>3000000</v>
      </c>
      <c r="Z201" s="162" t="b">
        <f t="shared" si="104"/>
        <v>0</v>
      </c>
      <c r="AA201" s="162" t="str">
        <f t="shared" si="105"/>
        <v>PUNO</v>
      </c>
      <c r="AC201" s="164"/>
    </row>
    <row r="202" spans="1:29" ht="30" hidden="1" x14ac:dyDescent="0.2">
      <c r="B202" s="177"/>
      <c r="C202" s="177"/>
      <c r="D202" s="177"/>
      <c r="E202" s="177">
        <v>3632</v>
      </c>
      <c r="F202" s="176">
        <v>14</v>
      </c>
      <c r="G202" s="176"/>
      <c r="H202" s="16" t="s">
        <v>387</v>
      </c>
      <c r="I202" s="18"/>
      <c r="J202" s="27"/>
      <c r="K202" s="18"/>
      <c r="L202" s="18"/>
      <c r="M202" s="18"/>
      <c r="N202" s="18"/>
      <c r="O202" s="18"/>
      <c r="P202" s="18">
        <v>0</v>
      </c>
      <c r="Q202" s="18">
        <v>0</v>
      </c>
      <c r="R202" s="26">
        <f>V202-P202</f>
        <v>0</v>
      </c>
      <c r="S202" s="18">
        <v>0</v>
      </c>
      <c r="T202" s="18">
        <v>400000</v>
      </c>
      <c r="U202" s="18">
        <v>650000</v>
      </c>
      <c r="V202" s="27"/>
      <c r="W202" s="18"/>
      <c r="X202" s="18"/>
      <c r="Y202" s="18"/>
      <c r="Z202" s="162" t="b">
        <f t="shared" si="104"/>
        <v>0</v>
      </c>
      <c r="AA202" s="162" t="str">
        <f t="shared" si="105"/>
        <v>PUNO</v>
      </c>
      <c r="AC202" s="164"/>
    </row>
    <row r="203" spans="1:29" ht="15.75" hidden="1" x14ac:dyDescent="0.2">
      <c r="B203" s="177"/>
      <c r="C203" s="177"/>
      <c r="D203" s="177"/>
      <c r="E203" s="177">
        <v>3239</v>
      </c>
      <c r="F203" s="176">
        <v>11</v>
      </c>
      <c r="G203" s="177"/>
      <c r="H203" s="16" t="s">
        <v>375</v>
      </c>
      <c r="I203" s="18"/>
      <c r="J203" s="181">
        <v>0</v>
      </c>
      <c r="K203" s="17"/>
      <c r="L203" s="17"/>
      <c r="M203" s="17"/>
      <c r="N203" s="17"/>
      <c r="O203" s="17">
        <v>2908.95</v>
      </c>
      <c r="P203" s="17"/>
      <c r="Q203" s="17"/>
      <c r="R203" s="26"/>
      <c r="S203" s="17"/>
      <c r="T203" s="17"/>
      <c r="U203" s="17"/>
      <c r="V203" s="26"/>
      <c r="W203" s="17">
        <v>0</v>
      </c>
      <c r="X203" s="17">
        <v>0</v>
      </c>
      <c r="Y203" s="17">
        <v>0</v>
      </c>
      <c r="Z203" s="162" t="b">
        <f t="shared" si="104"/>
        <v>0</v>
      </c>
      <c r="AA203" s="162" t="str">
        <f t="shared" si="105"/>
        <v>PUNO</v>
      </c>
      <c r="AC203" s="164"/>
    </row>
    <row r="204" spans="1:29" s="171" customFormat="1" ht="31.5" hidden="1" x14ac:dyDescent="0.2">
      <c r="A204" s="259"/>
      <c r="B204" s="168"/>
      <c r="C204" s="168"/>
      <c r="D204" s="168"/>
      <c r="E204" s="168"/>
      <c r="F204" s="168"/>
      <c r="G204" s="168"/>
      <c r="H204" s="25" t="s">
        <v>689</v>
      </c>
      <c r="I204" s="19">
        <f t="shared" ref="I204:L206" si="119">I205</f>
        <v>0</v>
      </c>
      <c r="J204" s="53">
        <f t="shared" si="119"/>
        <v>0</v>
      </c>
      <c r="K204" s="169">
        <f t="shared" si="119"/>
        <v>48000</v>
      </c>
      <c r="L204" s="169">
        <f t="shared" si="119"/>
        <v>0</v>
      </c>
      <c r="M204" s="169">
        <f>ROUND(L204/K204*100,2)</f>
        <v>0</v>
      </c>
      <c r="N204" s="169">
        <f>O204-K204</f>
        <v>-48000</v>
      </c>
      <c r="O204" s="19">
        <f t="shared" ref="O204:Q206" si="120">O205</f>
        <v>0</v>
      </c>
      <c r="P204" s="19">
        <f t="shared" si="120"/>
        <v>50000</v>
      </c>
      <c r="Q204" s="19">
        <f t="shared" si="120"/>
        <v>0</v>
      </c>
      <c r="R204" s="303">
        <f t="shared" ref="R204:R209" si="121">V204-P204</f>
        <v>-50000</v>
      </c>
      <c r="S204" s="19">
        <f t="shared" ref="S204:Y206" si="122">S205</f>
        <v>50000</v>
      </c>
      <c r="T204" s="19">
        <f t="shared" si="122"/>
        <v>80000</v>
      </c>
      <c r="U204" s="19">
        <f t="shared" si="122"/>
        <v>90000</v>
      </c>
      <c r="V204" s="53">
        <f t="shared" si="122"/>
        <v>0</v>
      </c>
      <c r="W204" s="19">
        <f t="shared" si="122"/>
        <v>0</v>
      </c>
      <c r="X204" s="19">
        <f t="shared" si="122"/>
        <v>0</v>
      </c>
      <c r="Y204" s="19">
        <f t="shared" si="122"/>
        <v>0</v>
      </c>
      <c r="Z204" s="162" t="b">
        <f t="shared" si="104"/>
        <v>1</v>
      </c>
      <c r="AA204" s="162" t="str">
        <f t="shared" si="105"/>
        <v>PRAZNO</v>
      </c>
      <c r="AB204" s="170"/>
      <c r="AC204" s="164"/>
    </row>
    <row r="205" spans="1:29" s="174" customFormat="1" ht="15.75" hidden="1" x14ac:dyDescent="0.2">
      <c r="A205" s="259"/>
      <c r="B205" s="172">
        <v>3</v>
      </c>
      <c r="C205" s="172"/>
      <c r="D205" s="172"/>
      <c r="E205" s="172"/>
      <c r="F205" s="172"/>
      <c r="G205" s="172"/>
      <c r="H205" s="14" t="s">
        <v>524</v>
      </c>
      <c r="I205" s="20">
        <f t="shared" si="119"/>
        <v>0</v>
      </c>
      <c r="J205" s="55">
        <f t="shared" si="119"/>
        <v>0</v>
      </c>
      <c r="K205" s="20">
        <f t="shared" si="119"/>
        <v>48000</v>
      </c>
      <c r="L205" s="20">
        <f t="shared" si="119"/>
        <v>0</v>
      </c>
      <c r="M205" s="20">
        <f>ROUND(L205/K205*100,2)</f>
        <v>0</v>
      </c>
      <c r="N205" s="20">
        <f>O205-K205</f>
        <v>-48000</v>
      </c>
      <c r="O205" s="20">
        <f t="shared" si="120"/>
        <v>0</v>
      </c>
      <c r="P205" s="20">
        <f t="shared" si="120"/>
        <v>50000</v>
      </c>
      <c r="Q205" s="20">
        <f t="shared" si="120"/>
        <v>0</v>
      </c>
      <c r="R205" s="55">
        <f t="shared" si="121"/>
        <v>-50000</v>
      </c>
      <c r="S205" s="20">
        <f t="shared" si="122"/>
        <v>50000</v>
      </c>
      <c r="T205" s="20">
        <f t="shared" si="122"/>
        <v>80000</v>
      </c>
      <c r="U205" s="20">
        <f t="shared" si="122"/>
        <v>90000</v>
      </c>
      <c r="V205" s="55">
        <f t="shared" si="122"/>
        <v>0</v>
      </c>
      <c r="W205" s="20">
        <f t="shared" si="122"/>
        <v>0</v>
      </c>
      <c r="X205" s="20">
        <f t="shared" si="122"/>
        <v>0</v>
      </c>
      <c r="Y205" s="20">
        <f t="shared" si="122"/>
        <v>0</v>
      </c>
      <c r="Z205" s="162" t="b">
        <f t="shared" si="104"/>
        <v>1</v>
      </c>
      <c r="AA205" s="162" t="str">
        <f t="shared" si="105"/>
        <v>PRAZNO</v>
      </c>
      <c r="AB205" s="173"/>
      <c r="AC205" s="164"/>
    </row>
    <row r="206" spans="1:29" ht="30" hidden="1" customHeight="1" x14ac:dyDescent="0.2">
      <c r="B206" s="199"/>
      <c r="C206" s="200">
        <v>36</v>
      </c>
      <c r="D206" s="200"/>
      <c r="E206" s="200"/>
      <c r="F206" s="200"/>
      <c r="G206" s="200"/>
      <c r="H206" s="30" t="s">
        <v>751</v>
      </c>
      <c r="I206" s="201">
        <f t="shared" si="119"/>
        <v>0</v>
      </c>
      <c r="J206" s="202">
        <f t="shared" si="119"/>
        <v>0</v>
      </c>
      <c r="K206" s="17">
        <f t="shared" si="119"/>
        <v>48000</v>
      </c>
      <c r="L206" s="17">
        <f t="shared" si="119"/>
        <v>0</v>
      </c>
      <c r="M206" s="17">
        <f>ROUND(L206/K206*100,2)</f>
        <v>0</v>
      </c>
      <c r="N206" s="17">
        <f>O206-K206</f>
        <v>-48000</v>
      </c>
      <c r="O206" s="201">
        <f t="shared" si="120"/>
        <v>0</v>
      </c>
      <c r="P206" s="203">
        <f t="shared" si="120"/>
        <v>50000</v>
      </c>
      <c r="Q206" s="203">
        <f t="shared" si="120"/>
        <v>0</v>
      </c>
      <c r="R206" s="26">
        <f t="shared" si="121"/>
        <v>-50000</v>
      </c>
      <c r="S206" s="201">
        <f t="shared" si="122"/>
        <v>50000</v>
      </c>
      <c r="T206" s="201">
        <f t="shared" si="122"/>
        <v>80000</v>
      </c>
      <c r="U206" s="201">
        <f t="shared" si="122"/>
        <v>90000</v>
      </c>
      <c r="V206" s="204">
        <f t="shared" si="122"/>
        <v>0</v>
      </c>
      <c r="W206" s="203">
        <f t="shared" si="122"/>
        <v>0</v>
      </c>
      <c r="X206" s="203">
        <f t="shared" si="122"/>
        <v>0</v>
      </c>
      <c r="Y206" s="203">
        <f t="shared" si="122"/>
        <v>0</v>
      </c>
      <c r="Z206" s="162" t="b">
        <f t="shared" si="104"/>
        <v>1</v>
      </c>
      <c r="AA206" s="162" t="str">
        <f t="shared" si="105"/>
        <v>PRAZNO</v>
      </c>
      <c r="AC206" s="164"/>
    </row>
    <row r="207" spans="1:29" ht="15.75" hidden="1" x14ac:dyDescent="0.2">
      <c r="B207" s="177"/>
      <c r="C207" s="177"/>
      <c r="D207" s="177">
        <v>363</v>
      </c>
      <c r="E207" s="177"/>
      <c r="F207" s="177"/>
      <c r="G207" s="177"/>
      <c r="H207" s="29" t="s">
        <v>536</v>
      </c>
      <c r="I207" s="18">
        <f>SUM(I208:I208)</f>
        <v>0</v>
      </c>
      <c r="J207" s="27">
        <f>SUM(J208:J208)</f>
        <v>0</v>
      </c>
      <c r="K207" s="18">
        <f>SUM(K208:K208)</f>
        <v>48000</v>
      </c>
      <c r="L207" s="18">
        <f>SUM(L208:L208)</f>
        <v>0</v>
      </c>
      <c r="M207" s="18">
        <f>ROUND(L207/K207*100,2)</f>
        <v>0</v>
      </c>
      <c r="N207" s="18">
        <f>O207-K207</f>
        <v>-48000</v>
      </c>
      <c r="O207" s="18">
        <f>SUM(O208:O208)</f>
        <v>0</v>
      </c>
      <c r="P207" s="18">
        <f>SUM(P208:P208)</f>
        <v>50000</v>
      </c>
      <c r="Q207" s="18">
        <f>SUM(Q208:Q208)</f>
        <v>0</v>
      </c>
      <c r="R207" s="26">
        <f t="shared" si="121"/>
        <v>-50000</v>
      </c>
      <c r="S207" s="18">
        <f t="shared" ref="S207:Y207" si="123">SUM(S208:S208)</f>
        <v>50000</v>
      </c>
      <c r="T207" s="18">
        <f t="shared" si="123"/>
        <v>80000</v>
      </c>
      <c r="U207" s="18">
        <f t="shared" si="123"/>
        <v>90000</v>
      </c>
      <c r="V207" s="27">
        <f t="shared" si="123"/>
        <v>0</v>
      </c>
      <c r="W207" s="18">
        <f t="shared" si="123"/>
        <v>0</v>
      </c>
      <c r="X207" s="18">
        <f t="shared" si="123"/>
        <v>0</v>
      </c>
      <c r="Y207" s="18">
        <f t="shared" si="123"/>
        <v>0</v>
      </c>
      <c r="Z207" s="162" t="b">
        <f t="shared" si="104"/>
        <v>1</v>
      </c>
      <c r="AA207" s="162" t="str">
        <f t="shared" si="105"/>
        <v>PRAZNO</v>
      </c>
      <c r="AC207" s="164"/>
    </row>
    <row r="208" spans="1:29" ht="15.75" hidden="1" x14ac:dyDescent="0.2">
      <c r="B208" s="177"/>
      <c r="C208" s="177"/>
      <c r="D208" s="177"/>
      <c r="E208" s="177">
        <v>3631</v>
      </c>
      <c r="F208" s="176">
        <v>14</v>
      </c>
      <c r="G208" s="176"/>
      <c r="H208" s="29" t="s">
        <v>331</v>
      </c>
      <c r="I208" s="18">
        <v>0</v>
      </c>
      <c r="J208" s="27">
        <v>0</v>
      </c>
      <c r="K208" s="18">
        <v>48000</v>
      </c>
      <c r="L208" s="18">
        <v>0</v>
      </c>
      <c r="M208" s="18">
        <f>ROUND(L208/K208*100,2)</f>
        <v>0</v>
      </c>
      <c r="N208" s="18">
        <f>O208-K208</f>
        <v>-48000</v>
      </c>
      <c r="O208" s="18">
        <v>0</v>
      </c>
      <c r="P208" s="18">
        <v>50000</v>
      </c>
      <c r="Q208" s="18">
        <v>0</v>
      </c>
      <c r="R208" s="26">
        <f t="shared" si="121"/>
        <v>-50000</v>
      </c>
      <c r="S208" s="18">
        <v>50000</v>
      </c>
      <c r="T208" s="18">
        <v>80000</v>
      </c>
      <c r="U208" s="18">
        <v>90000</v>
      </c>
      <c r="V208" s="27">
        <v>0</v>
      </c>
      <c r="W208" s="18">
        <v>0</v>
      </c>
      <c r="X208" s="18">
        <v>0</v>
      </c>
      <c r="Y208" s="18">
        <v>0</v>
      </c>
      <c r="Z208" s="162" t="b">
        <f t="shared" si="104"/>
        <v>0</v>
      </c>
      <c r="AA208" s="162" t="str">
        <f t="shared" si="105"/>
        <v>PUNO</v>
      </c>
      <c r="AC208" s="164"/>
    </row>
    <row r="209" spans="1:29" s="164" customFormat="1" ht="31.5" x14ac:dyDescent="0.2">
      <c r="A209" s="259"/>
      <c r="B209" s="194"/>
      <c r="C209" s="194"/>
      <c r="D209" s="194"/>
      <c r="E209" s="194"/>
      <c r="F209" s="159"/>
      <c r="G209" s="159"/>
      <c r="H209" s="24" t="s">
        <v>426</v>
      </c>
      <c r="I209" s="195" t="e">
        <f t="shared" ref="I209:Q209" si="124">I212</f>
        <v>#REF!</v>
      </c>
      <c r="J209" s="330" t="e">
        <f t="shared" si="124"/>
        <v>#REF!</v>
      </c>
      <c r="K209" s="330" t="e">
        <f t="shared" si="124"/>
        <v>#REF!</v>
      </c>
      <c r="L209" s="330" t="e">
        <f t="shared" si="124"/>
        <v>#REF!</v>
      </c>
      <c r="M209" s="330" t="e">
        <f t="shared" si="124"/>
        <v>#REF!</v>
      </c>
      <c r="N209" s="330" t="e">
        <f t="shared" si="124"/>
        <v>#REF!</v>
      </c>
      <c r="O209" s="330" t="e">
        <f t="shared" si="124"/>
        <v>#REF!</v>
      </c>
      <c r="P209" s="330" t="e">
        <f t="shared" si="124"/>
        <v>#REF!</v>
      </c>
      <c r="Q209" s="330" t="e">
        <f t="shared" si="124"/>
        <v>#REF!</v>
      </c>
      <c r="R209" s="351" t="e">
        <f t="shared" si="121"/>
        <v>#REF!</v>
      </c>
      <c r="S209" s="195" t="e">
        <f t="shared" ref="S209:Y209" si="125">S212</f>
        <v>#REF!</v>
      </c>
      <c r="T209" s="195" t="e">
        <f t="shared" si="125"/>
        <v>#REF!</v>
      </c>
      <c r="U209" s="195" t="e">
        <f t="shared" si="125"/>
        <v>#REF!</v>
      </c>
      <c r="V209" s="197" t="e">
        <f t="shared" si="125"/>
        <v>#REF!</v>
      </c>
      <c r="W209" s="195">
        <f t="shared" si="125"/>
        <v>22500</v>
      </c>
      <c r="X209" s="195">
        <f t="shared" si="125"/>
        <v>22500</v>
      </c>
      <c r="Y209" s="195">
        <f t="shared" si="125"/>
        <v>22500</v>
      </c>
      <c r="Z209" s="162" t="b">
        <f t="shared" ref="Z209:Z215" si="126">ISBLANK(E209)</f>
        <v>1</v>
      </c>
      <c r="AA209" s="162" t="str">
        <f t="shared" ref="AA209:AA215" si="127">IF(Z209,"PRAZNO","PUNO")</f>
        <v>PRAZNO</v>
      </c>
      <c r="AB209" s="165"/>
    </row>
    <row r="210" spans="1:29" s="164" customFormat="1" ht="15.75" hidden="1" x14ac:dyDescent="0.2">
      <c r="A210" s="259"/>
      <c r="B210" s="194"/>
      <c r="C210" s="194"/>
      <c r="D210" s="194"/>
      <c r="E210" s="194"/>
      <c r="F210" s="159"/>
      <c r="G210" s="159"/>
      <c r="H210" s="24"/>
      <c r="I210" s="195"/>
      <c r="J210" s="330"/>
      <c r="K210" s="196"/>
      <c r="L210" s="196"/>
      <c r="M210" s="196"/>
      <c r="N210" s="196"/>
      <c r="O210" s="195"/>
      <c r="P210" s="195"/>
      <c r="Q210" s="195"/>
      <c r="R210" s="351"/>
      <c r="S210" s="195"/>
      <c r="T210" s="195"/>
      <c r="U210" s="195"/>
      <c r="V210" s="197"/>
      <c r="W210" s="195"/>
      <c r="X210" s="195"/>
      <c r="Y210" s="195"/>
      <c r="Z210" s="162" t="b">
        <f t="shared" si="126"/>
        <v>1</v>
      </c>
      <c r="AA210" s="162" t="str">
        <f t="shared" si="127"/>
        <v>PRAZNO</v>
      </c>
      <c r="AB210" s="165"/>
    </row>
    <row r="211" spans="1:29" s="164" customFormat="1" ht="15.75" x14ac:dyDescent="0.2">
      <c r="A211" s="259"/>
      <c r="B211" s="194"/>
      <c r="C211" s="194"/>
      <c r="D211" s="194"/>
      <c r="E211" s="194"/>
      <c r="F211" s="159"/>
      <c r="G211" s="159"/>
      <c r="H211" s="11" t="s">
        <v>421</v>
      </c>
      <c r="I211" s="195"/>
      <c r="J211" s="196"/>
      <c r="K211" s="196"/>
      <c r="L211" s="196"/>
      <c r="M211" s="196" t="e">
        <f>ROUND(L211/K211*100,2)</f>
        <v>#DIV/0!</v>
      </c>
      <c r="N211" s="196"/>
      <c r="O211" s="195"/>
      <c r="P211" s="195"/>
      <c r="Q211" s="195"/>
      <c r="R211" s="353"/>
      <c r="S211" s="195"/>
      <c r="T211" s="195"/>
      <c r="U211" s="195"/>
      <c r="V211" s="197"/>
      <c r="W211" s="195"/>
      <c r="X211" s="195"/>
      <c r="Y211" s="195"/>
      <c r="Z211" s="162" t="b">
        <f t="shared" si="126"/>
        <v>1</v>
      </c>
      <c r="AA211" s="162" t="str">
        <f t="shared" si="127"/>
        <v>PRAZNO</v>
      </c>
      <c r="AB211" s="165"/>
    </row>
    <row r="212" spans="1:29" s="171" customFormat="1" ht="31.5" x14ac:dyDescent="0.2">
      <c r="A212" s="259"/>
      <c r="B212" s="270"/>
      <c r="C212" s="270"/>
      <c r="D212" s="270"/>
      <c r="E212" s="270"/>
      <c r="F212" s="270"/>
      <c r="G212" s="270"/>
      <c r="H212" s="274" t="s">
        <v>713</v>
      </c>
      <c r="I212" s="272" t="e">
        <f>I238+#REF!</f>
        <v>#REF!</v>
      </c>
      <c r="J212" s="304" t="e">
        <f>#REF!+J218</f>
        <v>#REF!</v>
      </c>
      <c r="K212" s="304" t="e">
        <f>#REF!+K218</f>
        <v>#REF!</v>
      </c>
      <c r="L212" s="304" t="e">
        <f>#REF!+L218</f>
        <v>#REF!</v>
      </c>
      <c r="M212" s="304" t="e">
        <f>#REF!+M218</f>
        <v>#REF!</v>
      </c>
      <c r="N212" s="304" t="e">
        <f>#REF!+N218</f>
        <v>#REF!</v>
      </c>
      <c r="O212" s="304" t="e">
        <f>#REF!+O218</f>
        <v>#REF!</v>
      </c>
      <c r="P212" s="304" t="e">
        <f>#REF!+P218</f>
        <v>#REF!</v>
      </c>
      <c r="Q212" s="304" t="e">
        <f>#REF!+Q218</f>
        <v>#REF!</v>
      </c>
      <c r="R212" s="336" t="e">
        <f t="shared" ref="R212:R218" si="128">V212-P212</f>
        <v>#REF!</v>
      </c>
      <c r="S212" s="273" t="e">
        <f>S238+#REF!</f>
        <v>#REF!</v>
      </c>
      <c r="T212" s="272" t="e">
        <f>T238+#REF!</f>
        <v>#REF!</v>
      </c>
      <c r="U212" s="272" t="e">
        <f>U238+#REF!</f>
        <v>#REF!</v>
      </c>
      <c r="V212" s="336" t="e">
        <f>#REF!+V218</f>
        <v>#REF!</v>
      </c>
      <c r="W212" s="336">
        <f>W218</f>
        <v>22500</v>
      </c>
      <c r="X212" s="336">
        <f>X218</f>
        <v>22500</v>
      </c>
      <c r="Y212" s="336">
        <f>Y218</f>
        <v>22500</v>
      </c>
      <c r="Z212" s="162" t="b">
        <f t="shared" si="126"/>
        <v>1</v>
      </c>
      <c r="AA212" s="162" t="str">
        <f t="shared" si="127"/>
        <v>PRAZNO</v>
      </c>
      <c r="AB212" s="170"/>
      <c r="AC212" s="164"/>
    </row>
    <row r="213" spans="1:29" ht="15.75" hidden="1" x14ac:dyDescent="0.2">
      <c r="B213" s="177"/>
      <c r="C213" s="177">
        <v>38</v>
      </c>
      <c r="D213" s="177"/>
      <c r="E213" s="177"/>
      <c r="F213" s="177"/>
      <c r="G213" s="177"/>
      <c r="H213" s="16" t="s">
        <v>539</v>
      </c>
      <c r="I213" s="18" t="e">
        <f>I214</f>
        <v>#REF!</v>
      </c>
      <c r="J213" s="18" t="e">
        <f>J214</f>
        <v>#REF!</v>
      </c>
      <c r="K213" s="18" t="e">
        <f>K214</f>
        <v>#REF!</v>
      </c>
      <c r="L213" s="18" t="e">
        <f>L214</f>
        <v>#REF!</v>
      </c>
      <c r="M213" s="18" t="e">
        <f>ROUND(L213/K213*100,2)</f>
        <v>#REF!</v>
      </c>
      <c r="N213" s="18" t="e">
        <f>O213-K213</f>
        <v>#REF!</v>
      </c>
      <c r="O213" s="18" t="e">
        <f>O214</f>
        <v>#REF!</v>
      </c>
      <c r="P213" s="18" t="e">
        <f>P214</f>
        <v>#REF!</v>
      </c>
      <c r="Q213" s="18" t="e">
        <f>Q214</f>
        <v>#REF!</v>
      </c>
      <c r="R213" s="26" t="e">
        <f t="shared" si="128"/>
        <v>#REF!</v>
      </c>
      <c r="S213" s="18" t="e">
        <f t="shared" ref="S213:Y213" si="129">S214</f>
        <v>#REF!</v>
      </c>
      <c r="T213" s="18" t="e">
        <f t="shared" si="129"/>
        <v>#REF!</v>
      </c>
      <c r="U213" s="18" t="e">
        <f t="shared" si="129"/>
        <v>#REF!</v>
      </c>
      <c r="V213" s="27" t="e">
        <f t="shared" si="129"/>
        <v>#REF!</v>
      </c>
      <c r="W213" s="18">
        <f t="shared" si="129"/>
        <v>0</v>
      </c>
      <c r="X213" s="18">
        <f t="shared" si="129"/>
        <v>0</v>
      </c>
      <c r="Y213" s="18">
        <f t="shared" si="129"/>
        <v>0</v>
      </c>
      <c r="Z213" s="162" t="b">
        <f t="shared" si="126"/>
        <v>1</v>
      </c>
      <c r="AA213" s="162" t="str">
        <f t="shared" si="127"/>
        <v>PRAZNO</v>
      </c>
      <c r="AC213" s="164"/>
    </row>
    <row r="214" spans="1:29" ht="15.75" hidden="1" x14ac:dyDescent="0.2">
      <c r="B214" s="177"/>
      <c r="C214" s="177"/>
      <c r="D214" s="177">
        <v>381</v>
      </c>
      <c r="E214" s="177"/>
      <c r="F214" s="177"/>
      <c r="G214" s="177"/>
      <c r="H214" s="16" t="s">
        <v>540</v>
      </c>
      <c r="I214" s="17" t="e">
        <f>I215+#REF!</f>
        <v>#REF!</v>
      </c>
      <c r="J214" s="26" t="e">
        <f>J215+#REF!</f>
        <v>#REF!</v>
      </c>
      <c r="K214" s="17" t="e">
        <f>K215+#REF!</f>
        <v>#REF!</v>
      </c>
      <c r="L214" s="17" t="e">
        <f>L215+#REF!</f>
        <v>#REF!</v>
      </c>
      <c r="M214" s="17" t="e">
        <f>ROUND(L214/K214*100,2)</f>
        <v>#REF!</v>
      </c>
      <c r="N214" s="17" t="e">
        <f>O214-K214</f>
        <v>#REF!</v>
      </c>
      <c r="O214" s="17" t="e">
        <f>O215+#REF!</f>
        <v>#REF!</v>
      </c>
      <c r="P214" s="17" t="e">
        <f>P215+#REF!</f>
        <v>#REF!</v>
      </c>
      <c r="Q214" s="17" t="e">
        <f>Q215+#REF!</f>
        <v>#REF!</v>
      </c>
      <c r="R214" s="26" t="e">
        <f t="shared" si="128"/>
        <v>#REF!</v>
      </c>
      <c r="S214" s="17" t="e">
        <f>S215+#REF!</f>
        <v>#REF!</v>
      </c>
      <c r="T214" s="17" t="e">
        <f>T215+#REF!</f>
        <v>#REF!</v>
      </c>
      <c r="U214" s="17" t="e">
        <f>U215+#REF!</f>
        <v>#REF!</v>
      </c>
      <c r="V214" s="26" t="e">
        <f>V215+#REF!</f>
        <v>#REF!</v>
      </c>
      <c r="W214" s="17">
        <f>W215</f>
        <v>0</v>
      </c>
      <c r="X214" s="17">
        <f>X215</f>
        <v>0</v>
      </c>
      <c r="Y214" s="17">
        <f>Y215</f>
        <v>0</v>
      </c>
      <c r="Z214" s="162" t="b">
        <f t="shared" si="126"/>
        <v>1</v>
      </c>
      <c r="AA214" s="162" t="str">
        <f t="shared" si="127"/>
        <v>PRAZNO</v>
      </c>
      <c r="AC214" s="164"/>
    </row>
    <row r="215" spans="1:29" ht="15.75" hidden="1" x14ac:dyDescent="0.2">
      <c r="B215" s="177"/>
      <c r="C215" s="177"/>
      <c r="D215" s="177"/>
      <c r="E215" s="177">
        <v>3811</v>
      </c>
      <c r="F215" s="176">
        <v>11</v>
      </c>
      <c r="G215" s="176" t="s">
        <v>424</v>
      </c>
      <c r="H215" s="16" t="s">
        <v>804</v>
      </c>
      <c r="I215" s="18">
        <v>1291786.83</v>
      </c>
      <c r="J215" s="27">
        <v>1235269.99</v>
      </c>
      <c r="K215" s="18">
        <v>1618137</v>
      </c>
      <c r="L215" s="178">
        <v>951321.05</v>
      </c>
      <c r="M215" s="178">
        <f>ROUND(L215/K215*100,2)</f>
        <v>58.79</v>
      </c>
      <c r="N215" s="178">
        <f>O215-K215</f>
        <v>-375538.1100000001</v>
      </c>
      <c r="O215" s="178">
        <v>1242598.8899999999</v>
      </c>
      <c r="P215" s="178">
        <f>1550000+7720</f>
        <v>1557720</v>
      </c>
      <c r="Q215" s="178">
        <v>848790.39</v>
      </c>
      <c r="R215" s="26">
        <f t="shared" si="128"/>
        <v>144496</v>
      </c>
      <c r="S215" s="178">
        <f>1550000+7720</f>
        <v>1557720</v>
      </c>
      <c r="T215" s="178">
        <v>1560000</v>
      </c>
      <c r="U215" s="178">
        <v>1610000</v>
      </c>
      <c r="V215" s="266">
        <f>1545897+156319</f>
        <v>1702216</v>
      </c>
      <c r="W215" s="266">
        <v>0</v>
      </c>
      <c r="X215" s="266">
        <v>0</v>
      </c>
      <c r="Y215" s="266">
        <v>0</v>
      </c>
      <c r="Z215" s="162" t="b">
        <f t="shared" si="126"/>
        <v>0</v>
      </c>
      <c r="AA215" s="162" t="str">
        <f t="shared" si="127"/>
        <v>PUNO</v>
      </c>
      <c r="AC215" s="164"/>
    </row>
    <row r="216" spans="1:29" s="264" customFormat="1" ht="15.75" hidden="1" x14ac:dyDescent="0.2">
      <c r="A216" s="259"/>
      <c r="B216" s="260"/>
      <c r="C216" s="212"/>
      <c r="D216" s="212"/>
      <c r="E216" s="212">
        <v>3231</v>
      </c>
      <c r="F216" s="176">
        <v>11</v>
      </c>
      <c r="G216" s="405"/>
      <c r="H216" s="402" t="s">
        <v>341</v>
      </c>
      <c r="I216" s="262"/>
      <c r="J216" s="213">
        <v>0</v>
      </c>
      <c r="K216" s="213">
        <v>0</v>
      </c>
      <c r="L216" s="213">
        <v>0</v>
      </c>
      <c r="M216" s="213">
        <v>0</v>
      </c>
      <c r="N216" s="213">
        <v>0</v>
      </c>
      <c r="O216" s="213">
        <v>0</v>
      </c>
      <c r="P216" s="213">
        <v>0</v>
      </c>
      <c r="Q216" s="213">
        <v>0</v>
      </c>
      <c r="R216" s="343">
        <f t="shared" si="128"/>
        <v>0</v>
      </c>
      <c r="S216" s="262"/>
      <c r="T216" s="262"/>
      <c r="U216" s="262"/>
      <c r="V216" s="342"/>
      <c r="W216" s="213">
        <v>0</v>
      </c>
      <c r="X216" s="213">
        <v>0</v>
      </c>
      <c r="Y216" s="213">
        <v>0</v>
      </c>
      <c r="Z216" s="162" t="b">
        <f t="shared" ref="Z216:Z247" si="130">ISBLANK(E216)</f>
        <v>0</v>
      </c>
      <c r="AA216" s="162" t="str">
        <f t="shared" ref="AA216:AA247" si="131">IF(Z216,"PRAZNO","PUNO")</f>
        <v>PUNO</v>
      </c>
      <c r="AB216" s="263"/>
    </row>
    <row r="217" spans="1:29" s="264" customFormat="1" ht="15.75" hidden="1" x14ac:dyDescent="0.2">
      <c r="A217" s="259"/>
      <c r="B217" s="260"/>
      <c r="C217" s="212"/>
      <c r="D217" s="212"/>
      <c r="E217" s="212">
        <v>3232</v>
      </c>
      <c r="F217" s="176">
        <v>11</v>
      </c>
      <c r="G217" s="405"/>
      <c r="H217" s="402" t="s">
        <v>207</v>
      </c>
      <c r="I217" s="262"/>
      <c r="J217" s="213">
        <v>0</v>
      </c>
      <c r="K217" s="213">
        <v>0</v>
      </c>
      <c r="L217" s="213">
        <v>0</v>
      </c>
      <c r="M217" s="213">
        <v>0</v>
      </c>
      <c r="N217" s="213">
        <v>0</v>
      </c>
      <c r="O217" s="213">
        <v>0</v>
      </c>
      <c r="P217" s="213">
        <v>0</v>
      </c>
      <c r="Q217" s="213">
        <v>0</v>
      </c>
      <c r="R217" s="343">
        <f t="shared" si="128"/>
        <v>0</v>
      </c>
      <c r="S217" s="262"/>
      <c r="T217" s="262"/>
      <c r="U217" s="262"/>
      <c r="V217" s="342"/>
      <c r="W217" s="213">
        <v>0</v>
      </c>
      <c r="X217" s="213">
        <v>0</v>
      </c>
      <c r="Y217" s="213">
        <v>0</v>
      </c>
      <c r="Z217" s="162" t="b">
        <f t="shared" si="130"/>
        <v>0</v>
      </c>
      <c r="AA217" s="162" t="str">
        <f t="shared" si="131"/>
        <v>PUNO</v>
      </c>
      <c r="AB217" s="263"/>
    </row>
    <row r="218" spans="1:29" s="171" customFormat="1" ht="15.75" x14ac:dyDescent="0.2">
      <c r="A218" s="259"/>
      <c r="B218" s="168"/>
      <c r="C218" s="168"/>
      <c r="D218" s="168"/>
      <c r="E218" s="168"/>
      <c r="F218" s="168"/>
      <c r="G218" s="168"/>
      <c r="H218" s="13" t="s">
        <v>644</v>
      </c>
      <c r="I218" s="19">
        <f>I220</f>
        <v>6000</v>
      </c>
      <c r="J218" s="53">
        <f>J220</f>
        <v>19723.5</v>
      </c>
      <c r="K218" s="205" t="e">
        <f>K220</f>
        <v>#REF!</v>
      </c>
      <c r="L218" s="205" t="e">
        <f>L220</f>
        <v>#REF!</v>
      </c>
      <c r="M218" s="169" t="e">
        <f>ROUND(L218/K218*100,2)</f>
        <v>#REF!</v>
      </c>
      <c r="N218" s="205" t="e">
        <f>O218-K218</f>
        <v>#REF!</v>
      </c>
      <c r="O218" s="19">
        <f>O220</f>
        <v>0</v>
      </c>
      <c r="P218" s="19">
        <f>P220</f>
        <v>20000</v>
      </c>
      <c r="Q218" s="19">
        <f>Q220</f>
        <v>20000</v>
      </c>
      <c r="R218" s="205">
        <f t="shared" si="128"/>
        <v>50324</v>
      </c>
      <c r="S218" s="19">
        <f>S220</f>
        <v>20000</v>
      </c>
      <c r="T218" s="19">
        <f>T220</f>
        <v>0</v>
      </c>
      <c r="U218" s="19">
        <f>U220</f>
        <v>0</v>
      </c>
      <c r="V218" s="53">
        <f>V220</f>
        <v>70324</v>
      </c>
      <c r="W218" s="19">
        <f>W220+W224+W232</f>
        <v>22500</v>
      </c>
      <c r="X218" s="19">
        <f>X220+X224+X232</f>
        <v>22500</v>
      </c>
      <c r="Y218" s="19">
        <f>Y220+Y224+Y232</f>
        <v>22500</v>
      </c>
      <c r="Z218" s="162" t="b">
        <f t="shared" si="130"/>
        <v>1</v>
      </c>
      <c r="AA218" s="162" t="str">
        <f t="shared" si="131"/>
        <v>PRAZNO</v>
      </c>
      <c r="AB218" s="170"/>
      <c r="AC218" s="164"/>
    </row>
    <row r="219" spans="1:29" s="264" customFormat="1" ht="15.75" x14ac:dyDescent="0.2">
      <c r="A219" s="259"/>
      <c r="B219" s="260"/>
      <c r="C219" s="260"/>
      <c r="D219" s="260"/>
      <c r="E219" s="260"/>
      <c r="F219" s="260"/>
      <c r="G219" s="260"/>
      <c r="H219" s="440" t="s">
        <v>824</v>
      </c>
      <c r="I219" s="262"/>
      <c r="J219" s="342"/>
      <c r="K219" s="307"/>
      <c r="L219" s="307"/>
      <c r="M219" s="181"/>
      <c r="N219" s="307"/>
      <c r="O219" s="262"/>
      <c r="P219" s="262"/>
      <c r="Q219" s="262"/>
      <c r="R219" s="307"/>
      <c r="S219" s="262"/>
      <c r="T219" s="262"/>
      <c r="U219" s="262"/>
      <c r="V219" s="342"/>
      <c r="W219" s="262">
        <f>W224</f>
        <v>7500</v>
      </c>
      <c r="X219" s="262">
        <f>X224</f>
        <v>7500</v>
      </c>
      <c r="Y219" s="262">
        <f>Y224</f>
        <v>7500</v>
      </c>
      <c r="Z219" s="162" t="b">
        <f t="shared" si="130"/>
        <v>1</v>
      </c>
      <c r="AA219" s="162" t="str">
        <f t="shared" si="131"/>
        <v>PRAZNO</v>
      </c>
      <c r="AB219" s="263"/>
    </row>
    <row r="220" spans="1:29" s="174" customFormat="1" ht="15.75" hidden="1" x14ac:dyDescent="0.2">
      <c r="A220" s="259"/>
      <c r="B220" s="172">
        <v>3</v>
      </c>
      <c r="C220" s="172"/>
      <c r="D220" s="172"/>
      <c r="E220" s="172"/>
      <c r="F220" s="172"/>
      <c r="G220" s="172"/>
      <c r="H220" s="14" t="s">
        <v>524</v>
      </c>
      <c r="I220" s="20">
        <f t="shared" ref="I220:L221" si="132">I221</f>
        <v>6000</v>
      </c>
      <c r="J220" s="55">
        <f t="shared" si="132"/>
        <v>19723.5</v>
      </c>
      <c r="K220" s="55" t="e">
        <f t="shared" si="132"/>
        <v>#REF!</v>
      </c>
      <c r="L220" s="55" t="e">
        <f t="shared" si="132"/>
        <v>#REF!</v>
      </c>
      <c r="M220" s="20" t="e">
        <f>ROUND(L220/K220*100,2)</f>
        <v>#REF!</v>
      </c>
      <c r="N220" s="55" t="e">
        <f>O220-K220</f>
        <v>#REF!</v>
      </c>
      <c r="O220" s="20">
        <f t="shared" ref="O220:Q222" si="133">O221</f>
        <v>0</v>
      </c>
      <c r="P220" s="20">
        <f t="shared" si="133"/>
        <v>20000</v>
      </c>
      <c r="Q220" s="20">
        <f t="shared" si="133"/>
        <v>20000</v>
      </c>
      <c r="R220" s="55">
        <f>V220-P220</f>
        <v>50324</v>
      </c>
      <c r="S220" s="20">
        <f t="shared" ref="S220:Y222" si="134">S221</f>
        <v>20000</v>
      </c>
      <c r="T220" s="20">
        <f t="shared" si="134"/>
        <v>0</v>
      </c>
      <c r="U220" s="20">
        <f t="shared" si="134"/>
        <v>0</v>
      </c>
      <c r="V220" s="55">
        <f t="shared" si="134"/>
        <v>70324</v>
      </c>
      <c r="W220" s="20">
        <f t="shared" si="134"/>
        <v>0</v>
      </c>
      <c r="X220" s="20">
        <f t="shared" si="134"/>
        <v>0</v>
      </c>
      <c r="Y220" s="20">
        <f t="shared" si="134"/>
        <v>0</v>
      </c>
      <c r="Z220" s="162" t="b">
        <f t="shared" si="130"/>
        <v>1</v>
      </c>
      <c r="AA220" s="162" t="str">
        <f t="shared" si="131"/>
        <v>PRAZNO</v>
      </c>
      <c r="AB220" s="173"/>
      <c r="AC220" s="164"/>
    </row>
    <row r="221" spans="1:29" ht="15.75" hidden="1" x14ac:dyDescent="0.2">
      <c r="B221" s="177"/>
      <c r="C221" s="177">
        <v>38</v>
      </c>
      <c r="D221" s="177"/>
      <c r="E221" s="177"/>
      <c r="F221" s="177"/>
      <c r="G221" s="177"/>
      <c r="H221" s="16" t="s">
        <v>539</v>
      </c>
      <c r="I221" s="18">
        <f t="shared" si="132"/>
        <v>6000</v>
      </c>
      <c r="J221" s="27">
        <f t="shared" si="132"/>
        <v>19723.5</v>
      </c>
      <c r="K221" s="27" t="e">
        <f t="shared" si="132"/>
        <v>#REF!</v>
      </c>
      <c r="L221" s="27" t="e">
        <f t="shared" si="132"/>
        <v>#REF!</v>
      </c>
      <c r="M221" s="18" t="e">
        <f>ROUND(L221/K221*100,2)</f>
        <v>#REF!</v>
      </c>
      <c r="N221" s="27" t="e">
        <f>O221-K221</f>
        <v>#REF!</v>
      </c>
      <c r="O221" s="18">
        <f t="shared" si="133"/>
        <v>0</v>
      </c>
      <c r="P221" s="18">
        <f t="shared" si="133"/>
        <v>20000</v>
      </c>
      <c r="Q221" s="18">
        <f t="shared" si="133"/>
        <v>20000</v>
      </c>
      <c r="R221" s="26">
        <f>V221-P221</f>
        <v>50324</v>
      </c>
      <c r="S221" s="18">
        <f t="shared" si="134"/>
        <v>20000</v>
      </c>
      <c r="T221" s="18">
        <f t="shared" si="134"/>
        <v>0</v>
      </c>
      <c r="U221" s="18">
        <f t="shared" si="134"/>
        <v>0</v>
      </c>
      <c r="V221" s="27">
        <f t="shared" si="134"/>
        <v>70324</v>
      </c>
      <c r="W221" s="18">
        <f t="shared" si="134"/>
        <v>0</v>
      </c>
      <c r="X221" s="18">
        <f t="shared" si="134"/>
        <v>0</v>
      </c>
      <c r="Y221" s="18">
        <f t="shared" si="134"/>
        <v>0</v>
      </c>
      <c r="Z221" s="162" t="b">
        <f t="shared" si="130"/>
        <v>1</v>
      </c>
      <c r="AA221" s="162" t="str">
        <f t="shared" si="131"/>
        <v>PRAZNO</v>
      </c>
      <c r="AC221" s="164"/>
    </row>
    <row r="222" spans="1:29" ht="15.75" hidden="1" x14ac:dyDescent="0.2">
      <c r="B222" s="177"/>
      <c r="C222" s="177"/>
      <c r="D222" s="177">
        <v>382</v>
      </c>
      <c r="E222" s="177"/>
      <c r="F222" s="177"/>
      <c r="G222" s="177"/>
      <c r="H222" s="16" t="s">
        <v>230</v>
      </c>
      <c r="I222" s="26">
        <f>I223</f>
        <v>6000</v>
      </c>
      <c r="J222" s="26">
        <f>J223</f>
        <v>19723.5</v>
      </c>
      <c r="K222" s="26" t="e">
        <f>K223+#REF!</f>
        <v>#REF!</v>
      </c>
      <c r="L222" s="26" t="e">
        <f>L223+#REF!</f>
        <v>#REF!</v>
      </c>
      <c r="M222" s="26" t="e">
        <f>SUM(#REF!)</f>
        <v>#REF!</v>
      </c>
      <c r="N222" s="26" t="e">
        <f>O222-K222</f>
        <v>#REF!</v>
      </c>
      <c r="O222" s="26">
        <f t="shared" si="133"/>
        <v>0</v>
      </c>
      <c r="P222" s="26">
        <f t="shared" si="133"/>
        <v>20000</v>
      </c>
      <c r="Q222" s="26">
        <f t="shared" si="133"/>
        <v>20000</v>
      </c>
      <c r="R222" s="26">
        <f>V222-P222</f>
        <v>50324</v>
      </c>
      <c r="S222" s="26">
        <f t="shared" si="134"/>
        <v>20000</v>
      </c>
      <c r="T222" s="26">
        <f t="shared" si="134"/>
        <v>0</v>
      </c>
      <c r="U222" s="26">
        <f t="shared" si="134"/>
        <v>0</v>
      </c>
      <c r="V222" s="26">
        <f t="shared" si="134"/>
        <v>70324</v>
      </c>
      <c r="W222" s="26">
        <f t="shared" si="134"/>
        <v>0</v>
      </c>
      <c r="X222" s="26">
        <f t="shared" si="134"/>
        <v>0</v>
      </c>
      <c r="Y222" s="26">
        <f t="shared" si="134"/>
        <v>0</v>
      </c>
      <c r="Z222" s="162" t="b">
        <f t="shared" si="130"/>
        <v>1</v>
      </c>
      <c r="AA222" s="162" t="str">
        <f t="shared" si="131"/>
        <v>PRAZNO</v>
      </c>
      <c r="AC222" s="164"/>
    </row>
    <row r="223" spans="1:29" ht="30" hidden="1" x14ac:dyDescent="0.2">
      <c r="B223" s="177"/>
      <c r="C223" s="177"/>
      <c r="D223" s="177"/>
      <c r="E223" s="177">
        <v>3821</v>
      </c>
      <c r="F223" s="176">
        <v>11</v>
      </c>
      <c r="G223" s="176" t="s">
        <v>424</v>
      </c>
      <c r="H223" s="16" t="s">
        <v>930</v>
      </c>
      <c r="I223" s="26">
        <v>6000</v>
      </c>
      <c r="J223" s="27">
        <v>19723.5</v>
      </c>
      <c r="K223" s="26">
        <v>0</v>
      </c>
      <c r="L223" s="26">
        <v>0</v>
      </c>
      <c r="M223" s="26"/>
      <c r="N223" s="26">
        <f>O223-K223</f>
        <v>0</v>
      </c>
      <c r="O223" s="26"/>
      <c r="P223" s="26">
        <v>20000</v>
      </c>
      <c r="Q223" s="26">
        <v>20000</v>
      </c>
      <c r="R223" s="26">
        <f>V223-P223</f>
        <v>50324</v>
      </c>
      <c r="S223" s="26">
        <v>20000</v>
      </c>
      <c r="T223" s="26"/>
      <c r="U223" s="26"/>
      <c r="V223" s="26">
        <v>70324</v>
      </c>
      <c r="W223" s="26">
        <v>0</v>
      </c>
      <c r="X223" s="26">
        <v>0</v>
      </c>
      <c r="Y223" s="26">
        <v>0</v>
      </c>
      <c r="Z223" s="162" t="b">
        <f t="shared" si="130"/>
        <v>0</v>
      </c>
      <c r="AA223" s="162" t="str">
        <f t="shared" si="131"/>
        <v>PUNO</v>
      </c>
      <c r="AC223" s="164"/>
    </row>
    <row r="224" spans="1:29" s="174" customFormat="1" ht="15.75" x14ac:dyDescent="0.2">
      <c r="A224" s="259"/>
      <c r="B224" s="247">
        <v>4</v>
      </c>
      <c r="C224" s="247"/>
      <c r="D224" s="247"/>
      <c r="E224" s="247"/>
      <c r="F224" s="220"/>
      <c r="G224" s="408"/>
      <c r="H224" s="421" t="s">
        <v>552</v>
      </c>
      <c r="I224" s="409"/>
      <c r="J224" s="37"/>
      <c r="K224" s="37"/>
      <c r="L224" s="37"/>
      <c r="M224" s="37"/>
      <c r="N224" s="37"/>
      <c r="O224" s="37"/>
      <c r="P224" s="37"/>
      <c r="Q224" s="37"/>
      <c r="R224" s="54"/>
      <c r="S224" s="409"/>
      <c r="T224" s="409"/>
      <c r="U224" s="409"/>
      <c r="V224" s="422"/>
      <c r="W224" s="37">
        <f>W225+W228</f>
        <v>7500</v>
      </c>
      <c r="X224" s="37">
        <f>X225+X228</f>
        <v>7500</v>
      </c>
      <c r="Y224" s="37">
        <f>Y225+Y228</f>
        <v>7500</v>
      </c>
      <c r="Z224" s="162" t="b">
        <f t="shared" si="130"/>
        <v>1</v>
      </c>
      <c r="AA224" s="162" t="str">
        <f t="shared" si="131"/>
        <v>PRAZNO</v>
      </c>
      <c r="AB224" s="173"/>
    </row>
    <row r="225" spans="1:29" s="264" customFormat="1" ht="15.75" x14ac:dyDescent="0.2">
      <c r="A225" s="259"/>
      <c r="B225" s="260"/>
      <c r="C225" s="212">
        <v>41</v>
      </c>
      <c r="D225" s="212"/>
      <c r="E225" s="212"/>
      <c r="F225" s="176"/>
      <c r="G225" s="405"/>
      <c r="H225" s="402" t="s">
        <v>753</v>
      </c>
      <c r="I225" s="262"/>
      <c r="J225" s="213"/>
      <c r="K225" s="213"/>
      <c r="L225" s="213"/>
      <c r="M225" s="213"/>
      <c r="N225" s="213"/>
      <c r="O225" s="213"/>
      <c r="P225" s="213"/>
      <c r="Q225" s="213"/>
      <c r="R225" s="343"/>
      <c r="S225" s="262"/>
      <c r="T225" s="262"/>
      <c r="U225" s="262"/>
      <c r="V225" s="342"/>
      <c r="W225" s="213">
        <f t="shared" ref="W225:Y226" si="135">W226</f>
        <v>2500</v>
      </c>
      <c r="X225" s="213">
        <f t="shared" si="135"/>
        <v>2500</v>
      </c>
      <c r="Y225" s="213">
        <f t="shared" si="135"/>
        <v>2500</v>
      </c>
      <c r="Z225" s="162" t="b">
        <f t="shared" si="130"/>
        <v>1</v>
      </c>
      <c r="AA225" s="162" t="str">
        <f t="shared" si="131"/>
        <v>PRAZNO</v>
      </c>
      <c r="AB225" s="263"/>
    </row>
    <row r="226" spans="1:29" s="264" customFormat="1" ht="15.75" x14ac:dyDescent="0.2">
      <c r="A226" s="259"/>
      <c r="B226" s="260"/>
      <c r="C226" s="212"/>
      <c r="D226" s="212">
        <v>412</v>
      </c>
      <c r="E226" s="212"/>
      <c r="F226" s="176"/>
      <c r="G226" s="405"/>
      <c r="H226" s="402" t="s">
        <v>553</v>
      </c>
      <c r="I226" s="262"/>
      <c r="J226" s="213"/>
      <c r="K226" s="213"/>
      <c r="L226" s="213"/>
      <c r="M226" s="213"/>
      <c r="N226" s="213"/>
      <c r="O226" s="213"/>
      <c r="P226" s="213"/>
      <c r="Q226" s="213"/>
      <c r="R226" s="343"/>
      <c r="S226" s="262"/>
      <c r="T226" s="262"/>
      <c r="U226" s="262"/>
      <c r="V226" s="342"/>
      <c r="W226" s="213">
        <f t="shared" si="135"/>
        <v>2500</v>
      </c>
      <c r="X226" s="213">
        <f t="shared" si="135"/>
        <v>2500</v>
      </c>
      <c r="Y226" s="213">
        <f t="shared" si="135"/>
        <v>2500</v>
      </c>
      <c r="Z226" s="162" t="b">
        <f t="shared" si="130"/>
        <v>1</v>
      </c>
      <c r="AA226" s="162" t="str">
        <f t="shared" si="131"/>
        <v>PRAZNO</v>
      </c>
      <c r="AB226" s="263"/>
    </row>
    <row r="227" spans="1:29" s="264" customFormat="1" ht="15.75" x14ac:dyDescent="0.2">
      <c r="A227" s="259"/>
      <c r="B227" s="260"/>
      <c r="C227" s="212"/>
      <c r="D227" s="212"/>
      <c r="E227" s="212">
        <v>4123</v>
      </c>
      <c r="F227" s="176">
        <v>11</v>
      </c>
      <c r="G227" s="405"/>
      <c r="H227" s="402" t="s">
        <v>554</v>
      </c>
      <c r="I227" s="262"/>
      <c r="J227" s="213"/>
      <c r="K227" s="213"/>
      <c r="L227" s="213"/>
      <c r="M227" s="213"/>
      <c r="N227" s="213"/>
      <c r="O227" s="213"/>
      <c r="P227" s="213"/>
      <c r="Q227" s="213"/>
      <c r="R227" s="343"/>
      <c r="S227" s="262"/>
      <c r="T227" s="262"/>
      <c r="U227" s="262"/>
      <c r="V227" s="342"/>
      <c r="W227" s="213">
        <v>2500</v>
      </c>
      <c r="X227" s="213">
        <v>2500</v>
      </c>
      <c r="Y227" s="213">
        <f>2500</f>
        <v>2500</v>
      </c>
      <c r="Z227" s="162" t="b">
        <f t="shared" si="130"/>
        <v>0</v>
      </c>
      <c r="AA227" s="162" t="str">
        <f t="shared" si="131"/>
        <v>PUNO</v>
      </c>
      <c r="AB227" s="263"/>
    </row>
    <row r="228" spans="1:29" s="264" customFormat="1" ht="15.75" x14ac:dyDescent="0.2">
      <c r="A228" s="259"/>
      <c r="B228" s="260"/>
      <c r="C228" s="212">
        <v>42</v>
      </c>
      <c r="D228" s="212"/>
      <c r="E228" s="212"/>
      <c r="F228" s="176"/>
      <c r="G228" s="405"/>
      <c r="H228" s="402" t="s">
        <v>212</v>
      </c>
      <c r="I228" s="262"/>
      <c r="J228" s="213"/>
      <c r="K228" s="213"/>
      <c r="L228" s="213"/>
      <c r="M228" s="213"/>
      <c r="N228" s="213"/>
      <c r="O228" s="213"/>
      <c r="P228" s="213"/>
      <c r="Q228" s="213"/>
      <c r="R228" s="343"/>
      <c r="S228" s="262"/>
      <c r="T228" s="262"/>
      <c r="U228" s="262"/>
      <c r="V228" s="342"/>
      <c r="W228" s="213">
        <f t="shared" ref="W228:Y229" si="136">W229</f>
        <v>5000</v>
      </c>
      <c r="X228" s="213">
        <f t="shared" si="136"/>
        <v>5000</v>
      </c>
      <c r="Y228" s="213">
        <f t="shared" si="136"/>
        <v>5000</v>
      </c>
      <c r="Z228" s="162" t="b">
        <f t="shared" si="130"/>
        <v>1</v>
      </c>
      <c r="AA228" s="162" t="str">
        <f t="shared" si="131"/>
        <v>PRAZNO</v>
      </c>
      <c r="AB228" s="263"/>
    </row>
    <row r="229" spans="1:29" s="264" customFormat="1" ht="15.75" x14ac:dyDescent="0.2">
      <c r="A229" s="259"/>
      <c r="B229" s="260"/>
      <c r="C229" s="212"/>
      <c r="D229" s="212">
        <v>422</v>
      </c>
      <c r="E229" s="212"/>
      <c r="F229" s="176"/>
      <c r="G229" s="405"/>
      <c r="H229" s="402" t="s">
        <v>555</v>
      </c>
      <c r="I229" s="262"/>
      <c r="J229" s="213"/>
      <c r="K229" s="213"/>
      <c r="L229" s="213"/>
      <c r="M229" s="213"/>
      <c r="N229" s="213"/>
      <c r="O229" s="213"/>
      <c r="P229" s="213"/>
      <c r="Q229" s="213"/>
      <c r="R229" s="343"/>
      <c r="S229" s="262"/>
      <c r="T229" s="262"/>
      <c r="U229" s="262"/>
      <c r="V229" s="342"/>
      <c r="W229" s="213">
        <f t="shared" si="136"/>
        <v>5000</v>
      </c>
      <c r="X229" s="213">
        <f t="shared" si="136"/>
        <v>5000</v>
      </c>
      <c r="Y229" s="213">
        <f t="shared" si="136"/>
        <v>5000</v>
      </c>
      <c r="Z229" s="162" t="b">
        <f t="shared" si="130"/>
        <v>1</v>
      </c>
      <c r="AA229" s="162" t="str">
        <f t="shared" si="131"/>
        <v>PRAZNO</v>
      </c>
      <c r="AB229" s="263"/>
    </row>
    <row r="230" spans="1:29" s="264" customFormat="1" ht="15.75" x14ac:dyDescent="0.2">
      <c r="A230" s="259"/>
      <c r="B230" s="260"/>
      <c r="C230" s="212"/>
      <c r="D230" s="212"/>
      <c r="E230" s="212">
        <v>4221</v>
      </c>
      <c r="F230" s="176">
        <v>11</v>
      </c>
      <c r="G230" s="405"/>
      <c r="H230" s="402" t="s">
        <v>558</v>
      </c>
      <c r="I230" s="262"/>
      <c r="J230" s="213"/>
      <c r="K230" s="213"/>
      <c r="L230" s="213"/>
      <c r="M230" s="213"/>
      <c r="N230" s="213"/>
      <c r="O230" s="213"/>
      <c r="P230" s="213"/>
      <c r="Q230" s="213"/>
      <c r="R230" s="343"/>
      <c r="S230" s="262"/>
      <c r="T230" s="262"/>
      <c r="U230" s="262"/>
      <c r="V230" s="342"/>
      <c r="W230" s="213">
        <v>5000</v>
      </c>
      <c r="X230" s="213">
        <v>5000</v>
      </c>
      <c r="Y230" s="213">
        <v>5000</v>
      </c>
      <c r="Z230" s="162" t="b">
        <f t="shared" si="130"/>
        <v>0</v>
      </c>
      <c r="AA230" s="162" t="str">
        <f t="shared" si="131"/>
        <v>PUNO</v>
      </c>
      <c r="AB230" s="263"/>
    </row>
    <row r="231" spans="1:29" s="447" customFormat="1" ht="15.75" x14ac:dyDescent="0.25">
      <c r="A231" s="378"/>
      <c r="B231" s="260"/>
      <c r="C231" s="469"/>
      <c r="D231" s="469"/>
      <c r="E231" s="469"/>
      <c r="F231" s="448"/>
      <c r="G231" s="405"/>
      <c r="H231" s="470" t="s">
        <v>825</v>
      </c>
      <c r="I231" s="262"/>
      <c r="J231" s="406"/>
      <c r="K231" s="406"/>
      <c r="L231" s="406"/>
      <c r="M231" s="406"/>
      <c r="N231" s="406"/>
      <c r="O231" s="406"/>
      <c r="P231" s="406"/>
      <c r="Q231" s="406"/>
      <c r="R231" s="445"/>
      <c r="S231" s="262"/>
      <c r="T231" s="262"/>
      <c r="U231" s="262"/>
      <c r="V231" s="342"/>
      <c r="W231" s="406">
        <f t="shared" ref="W231:Y234" si="137">W232</f>
        <v>15000</v>
      </c>
      <c r="X231" s="406">
        <f t="shared" si="137"/>
        <v>15000</v>
      </c>
      <c r="Y231" s="406">
        <f t="shared" si="137"/>
        <v>15000</v>
      </c>
      <c r="Z231" s="162" t="b">
        <f t="shared" si="130"/>
        <v>1</v>
      </c>
      <c r="AA231" s="162" t="str">
        <f t="shared" si="131"/>
        <v>PRAZNO</v>
      </c>
      <c r="AB231" s="446"/>
    </row>
    <row r="232" spans="1:29" s="174" customFormat="1" ht="15.75" x14ac:dyDescent="0.2">
      <c r="A232" s="259"/>
      <c r="B232" s="247">
        <v>4</v>
      </c>
      <c r="C232" s="247"/>
      <c r="D232" s="247"/>
      <c r="E232" s="247"/>
      <c r="F232" s="220"/>
      <c r="G232" s="408"/>
      <c r="H232" s="421" t="s">
        <v>552</v>
      </c>
      <c r="I232" s="409"/>
      <c r="J232" s="37"/>
      <c r="K232" s="37"/>
      <c r="L232" s="37"/>
      <c r="M232" s="37"/>
      <c r="N232" s="37"/>
      <c r="O232" s="37"/>
      <c r="P232" s="37"/>
      <c r="Q232" s="37"/>
      <c r="R232" s="54"/>
      <c r="S232" s="409"/>
      <c r="T232" s="409"/>
      <c r="U232" s="409"/>
      <c r="V232" s="422"/>
      <c r="W232" s="37">
        <f t="shared" si="137"/>
        <v>15000</v>
      </c>
      <c r="X232" s="37">
        <f t="shared" si="137"/>
        <v>15000</v>
      </c>
      <c r="Y232" s="37">
        <f t="shared" si="137"/>
        <v>15000</v>
      </c>
      <c r="Z232" s="162" t="b">
        <f t="shared" si="130"/>
        <v>1</v>
      </c>
      <c r="AA232" s="162" t="str">
        <f t="shared" si="131"/>
        <v>PRAZNO</v>
      </c>
      <c r="AB232" s="173"/>
    </row>
    <row r="233" spans="1:29" s="264" customFormat="1" ht="15.75" x14ac:dyDescent="0.2">
      <c r="A233" s="259"/>
      <c r="B233" s="260"/>
      <c r="C233" s="212">
        <v>42</v>
      </c>
      <c r="D233" s="212"/>
      <c r="E233" s="212"/>
      <c r="F233" s="176"/>
      <c r="G233" s="405"/>
      <c r="H233" s="402" t="s">
        <v>212</v>
      </c>
      <c r="I233" s="262"/>
      <c r="J233" s="213"/>
      <c r="K233" s="213"/>
      <c r="L233" s="213"/>
      <c r="M233" s="213"/>
      <c r="N233" s="213"/>
      <c r="O233" s="213"/>
      <c r="P233" s="213"/>
      <c r="Q233" s="213"/>
      <c r="R233" s="343"/>
      <c r="S233" s="262"/>
      <c r="T233" s="262"/>
      <c r="U233" s="262"/>
      <c r="V233" s="342"/>
      <c r="W233" s="213">
        <f t="shared" si="137"/>
        <v>15000</v>
      </c>
      <c r="X233" s="213">
        <f t="shared" si="137"/>
        <v>15000</v>
      </c>
      <c r="Y233" s="213">
        <f t="shared" si="137"/>
        <v>15000</v>
      </c>
      <c r="Z233" s="162" t="b">
        <f t="shared" si="130"/>
        <v>1</v>
      </c>
      <c r="AA233" s="162" t="str">
        <f t="shared" si="131"/>
        <v>PRAZNO</v>
      </c>
      <c r="AB233" s="263"/>
    </row>
    <row r="234" spans="1:29" s="264" customFormat="1" ht="15.75" x14ac:dyDescent="0.2">
      <c r="A234" s="259"/>
      <c r="B234" s="260"/>
      <c r="C234" s="212"/>
      <c r="D234" s="212">
        <v>422</v>
      </c>
      <c r="E234" s="212"/>
      <c r="F234" s="176"/>
      <c r="G234" s="405"/>
      <c r="H234" s="402" t="s">
        <v>555</v>
      </c>
      <c r="I234" s="262"/>
      <c r="J234" s="213"/>
      <c r="K234" s="213"/>
      <c r="L234" s="213"/>
      <c r="M234" s="213"/>
      <c r="N234" s="213"/>
      <c r="O234" s="213"/>
      <c r="P234" s="213"/>
      <c r="Q234" s="213"/>
      <c r="R234" s="343"/>
      <c r="S234" s="262"/>
      <c r="T234" s="262"/>
      <c r="U234" s="262"/>
      <c r="V234" s="342"/>
      <c r="W234" s="213">
        <f t="shared" si="137"/>
        <v>15000</v>
      </c>
      <c r="X234" s="213">
        <f t="shared" si="137"/>
        <v>15000</v>
      </c>
      <c r="Y234" s="213">
        <f t="shared" si="137"/>
        <v>15000</v>
      </c>
      <c r="Z234" s="162" t="b">
        <f t="shared" si="130"/>
        <v>1</v>
      </c>
      <c r="AA234" s="162" t="str">
        <f t="shared" si="131"/>
        <v>PRAZNO</v>
      </c>
      <c r="AB234" s="263"/>
    </row>
    <row r="235" spans="1:29" s="264" customFormat="1" ht="15.75" x14ac:dyDescent="0.2">
      <c r="A235" s="259"/>
      <c r="B235" s="260"/>
      <c r="C235" s="212"/>
      <c r="D235" s="212"/>
      <c r="E235" s="212">
        <v>4221</v>
      </c>
      <c r="F235" s="176">
        <v>51</v>
      </c>
      <c r="G235" s="405"/>
      <c r="H235" s="402" t="s">
        <v>645</v>
      </c>
      <c r="I235" s="262"/>
      <c r="J235" s="213"/>
      <c r="K235" s="213"/>
      <c r="L235" s="213"/>
      <c r="M235" s="213"/>
      <c r="N235" s="213"/>
      <c r="O235" s="213"/>
      <c r="P235" s="213"/>
      <c r="Q235" s="213"/>
      <c r="R235" s="343"/>
      <c r="S235" s="262"/>
      <c r="T235" s="262"/>
      <c r="U235" s="262"/>
      <c r="V235" s="342"/>
      <c r="W235" s="213">
        <v>15000</v>
      </c>
      <c r="X235" s="213">
        <v>15000</v>
      </c>
      <c r="Y235" s="213">
        <v>15000</v>
      </c>
      <c r="Z235" s="162" t="b">
        <f t="shared" si="130"/>
        <v>0</v>
      </c>
      <c r="AA235" s="162" t="str">
        <f t="shared" si="131"/>
        <v>PUNO</v>
      </c>
      <c r="AB235" s="263"/>
    </row>
    <row r="236" spans="1:29" s="264" customFormat="1" ht="15.75" hidden="1" x14ac:dyDescent="0.2">
      <c r="A236" s="259"/>
      <c r="B236" s="260"/>
      <c r="C236" s="212"/>
      <c r="D236" s="212"/>
      <c r="E236" s="212"/>
      <c r="F236" s="176"/>
      <c r="G236" s="405"/>
      <c r="H236" s="402"/>
      <c r="I236" s="262"/>
      <c r="J236" s="213"/>
      <c r="K236" s="213"/>
      <c r="L236" s="213"/>
      <c r="M236" s="213"/>
      <c r="N236" s="213"/>
      <c r="O236" s="213"/>
      <c r="P236" s="213"/>
      <c r="Q236" s="213"/>
      <c r="R236" s="343"/>
      <c r="S236" s="262"/>
      <c r="T236" s="262"/>
      <c r="U236" s="262"/>
      <c r="V236" s="342"/>
      <c r="W236" s="213"/>
      <c r="X236" s="213"/>
      <c r="Y236" s="213"/>
      <c r="Z236" s="162" t="b">
        <f t="shared" si="130"/>
        <v>1</v>
      </c>
      <c r="AA236" s="162" t="str">
        <f t="shared" si="131"/>
        <v>PRAZNO</v>
      </c>
      <c r="AB236" s="263"/>
    </row>
    <row r="237" spans="1:29" s="264" customFormat="1" ht="15.75" hidden="1" x14ac:dyDescent="0.2">
      <c r="A237" s="259"/>
      <c r="B237" s="260"/>
      <c r="C237" s="212"/>
      <c r="D237" s="212"/>
      <c r="E237" s="212"/>
      <c r="F237" s="176"/>
      <c r="G237" s="405"/>
      <c r="H237" s="402"/>
      <c r="I237" s="262"/>
      <c r="J237" s="213"/>
      <c r="K237" s="213"/>
      <c r="L237" s="213"/>
      <c r="M237" s="213"/>
      <c r="N237" s="213"/>
      <c r="O237" s="213"/>
      <c r="P237" s="213"/>
      <c r="Q237" s="213"/>
      <c r="R237" s="343"/>
      <c r="S237" s="262"/>
      <c r="T237" s="262"/>
      <c r="U237" s="262"/>
      <c r="V237" s="342"/>
      <c r="W237" s="213"/>
      <c r="X237" s="213"/>
      <c r="Y237" s="213"/>
      <c r="Z237" s="162" t="b">
        <f t="shared" si="130"/>
        <v>1</v>
      </c>
      <c r="AA237" s="162" t="str">
        <f t="shared" si="131"/>
        <v>PRAZNO</v>
      </c>
      <c r="AB237" s="263"/>
    </row>
    <row r="238" spans="1:29" s="171" customFormat="1" ht="31.5" hidden="1" x14ac:dyDescent="0.2">
      <c r="A238" s="259"/>
      <c r="B238" s="168"/>
      <c r="C238" s="168"/>
      <c r="D238" s="168"/>
      <c r="E238" s="168"/>
      <c r="F238" s="168"/>
      <c r="G238" s="168"/>
      <c r="H238" s="13" t="s">
        <v>585</v>
      </c>
      <c r="I238" s="19">
        <f t="shared" ref="I238:L240" si="138">I239</f>
        <v>1291786.83</v>
      </c>
      <c r="J238" s="302">
        <f t="shared" si="138"/>
        <v>95853.43</v>
      </c>
      <c r="K238" s="169">
        <f t="shared" si="138"/>
        <v>0</v>
      </c>
      <c r="L238" s="169">
        <f t="shared" si="138"/>
        <v>0</v>
      </c>
      <c r="M238" s="169" t="e">
        <f>ROUND(L238/K238*100,2)</f>
        <v>#DIV/0!</v>
      </c>
      <c r="N238" s="169">
        <f>O238-K238</f>
        <v>0</v>
      </c>
      <c r="O238" s="19">
        <f t="shared" ref="O238:Q240" si="139">O239</f>
        <v>0</v>
      </c>
      <c r="P238" s="19">
        <f t="shared" si="139"/>
        <v>0</v>
      </c>
      <c r="Q238" s="19">
        <f t="shared" si="139"/>
        <v>0</v>
      </c>
      <c r="R238" s="303">
        <f t="shared" ref="R238:R245" si="140">V238-P238</f>
        <v>0</v>
      </c>
      <c r="S238" s="19">
        <f t="shared" ref="S238:Y240" si="141">S239</f>
        <v>1557720</v>
      </c>
      <c r="T238" s="19">
        <f t="shared" si="141"/>
        <v>1560000</v>
      </c>
      <c r="U238" s="19">
        <f t="shared" si="141"/>
        <v>1610000</v>
      </c>
      <c r="V238" s="53">
        <f t="shared" si="141"/>
        <v>0</v>
      </c>
      <c r="W238" s="19">
        <f t="shared" si="141"/>
        <v>0</v>
      </c>
      <c r="X238" s="19">
        <f t="shared" si="141"/>
        <v>0</v>
      </c>
      <c r="Y238" s="19">
        <f t="shared" si="141"/>
        <v>0</v>
      </c>
      <c r="Z238" s="162" t="b">
        <f t="shared" si="130"/>
        <v>1</v>
      </c>
      <c r="AA238" s="162" t="str">
        <f t="shared" si="131"/>
        <v>PRAZNO</v>
      </c>
      <c r="AB238" s="170"/>
      <c r="AC238" s="164"/>
    </row>
    <row r="239" spans="1:29" s="174" customFormat="1" ht="15.75" hidden="1" x14ac:dyDescent="0.2">
      <c r="A239" s="259"/>
      <c r="B239" s="172">
        <v>3</v>
      </c>
      <c r="C239" s="172"/>
      <c r="D239" s="172"/>
      <c r="E239" s="172"/>
      <c r="F239" s="172"/>
      <c r="G239" s="172"/>
      <c r="H239" s="14" t="s">
        <v>524</v>
      </c>
      <c r="I239" s="20">
        <f t="shared" si="138"/>
        <v>1291786.83</v>
      </c>
      <c r="J239" s="20">
        <f t="shared" si="138"/>
        <v>95853.43</v>
      </c>
      <c r="K239" s="20">
        <f t="shared" si="138"/>
        <v>0</v>
      </c>
      <c r="L239" s="20">
        <f t="shared" si="138"/>
        <v>0</v>
      </c>
      <c r="M239" s="20" t="e">
        <f>ROUND(L239/K239*100,2)</f>
        <v>#DIV/0!</v>
      </c>
      <c r="N239" s="20">
        <f>O239-K239</f>
        <v>0</v>
      </c>
      <c r="O239" s="20">
        <f t="shared" si="139"/>
        <v>0</v>
      </c>
      <c r="P239" s="20">
        <f t="shared" si="139"/>
        <v>0</v>
      </c>
      <c r="Q239" s="20">
        <f t="shared" si="139"/>
        <v>0</v>
      </c>
      <c r="R239" s="55">
        <f t="shared" si="140"/>
        <v>0</v>
      </c>
      <c r="S239" s="20">
        <f t="shared" si="141"/>
        <v>1557720</v>
      </c>
      <c r="T239" s="20">
        <f t="shared" si="141"/>
        <v>1560000</v>
      </c>
      <c r="U239" s="20">
        <f t="shared" si="141"/>
        <v>1610000</v>
      </c>
      <c r="V239" s="55">
        <f t="shared" si="141"/>
        <v>0</v>
      </c>
      <c r="W239" s="20">
        <f t="shared" si="141"/>
        <v>0</v>
      </c>
      <c r="X239" s="20">
        <f t="shared" si="141"/>
        <v>0</v>
      </c>
      <c r="Y239" s="20">
        <f t="shared" si="141"/>
        <v>0</v>
      </c>
      <c r="Z239" s="162" t="b">
        <f t="shared" si="130"/>
        <v>1</v>
      </c>
      <c r="AA239" s="162" t="str">
        <f t="shared" si="131"/>
        <v>PRAZNO</v>
      </c>
      <c r="AB239" s="173"/>
      <c r="AC239" s="164"/>
    </row>
    <row r="240" spans="1:29" ht="15.75" hidden="1" x14ac:dyDescent="0.2">
      <c r="B240" s="177"/>
      <c r="C240" s="177">
        <v>38</v>
      </c>
      <c r="D240" s="177"/>
      <c r="E240" s="177"/>
      <c r="F240" s="177"/>
      <c r="G240" s="177"/>
      <c r="H240" s="16" t="s">
        <v>539</v>
      </c>
      <c r="I240" s="18">
        <f t="shared" si="138"/>
        <v>1291786.83</v>
      </c>
      <c r="J240" s="18">
        <f t="shared" si="138"/>
        <v>95853.43</v>
      </c>
      <c r="K240" s="18">
        <f t="shared" si="138"/>
        <v>0</v>
      </c>
      <c r="L240" s="18">
        <f t="shared" si="138"/>
        <v>0</v>
      </c>
      <c r="M240" s="18" t="e">
        <f>ROUND(L240/K240*100,2)</f>
        <v>#DIV/0!</v>
      </c>
      <c r="N240" s="18">
        <f>O240-K240</f>
        <v>0</v>
      </c>
      <c r="O240" s="18">
        <f t="shared" si="139"/>
        <v>0</v>
      </c>
      <c r="P240" s="18">
        <f t="shared" si="139"/>
        <v>0</v>
      </c>
      <c r="Q240" s="18">
        <f t="shared" si="139"/>
        <v>0</v>
      </c>
      <c r="R240" s="26">
        <f t="shared" si="140"/>
        <v>0</v>
      </c>
      <c r="S240" s="18">
        <f t="shared" si="141"/>
        <v>1557720</v>
      </c>
      <c r="T240" s="18">
        <f t="shared" si="141"/>
        <v>1560000</v>
      </c>
      <c r="U240" s="18">
        <f t="shared" si="141"/>
        <v>1610000</v>
      </c>
      <c r="V240" s="27">
        <f t="shared" si="141"/>
        <v>0</v>
      </c>
      <c r="W240" s="18">
        <f t="shared" si="141"/>
        <v>0</v>
      </c>
      <c r="X240" s="18">
        <f t="shared" si="141"/>
        <v>0</v>
      </c>
      <c r="Y240" s="18">
        <f t="shared" si="141"/>
        <v>0</v>
      </c>
      <c r="Z240" s="162" t="b">
        <f t="shared" si="130"/>
        <v>1</v>
      </c>
      <c r="AA240" s="162" t="str">
        <f t="shared" si="131"/>
        <v>PRAZNO</v>
      </c>
      <c r="AC240" s="164"/>
    </row>
    <row r="241" spans="1:29" ht="15.75" hidden="1" x14ac:dyDescent="0.2">
      <c r="B241" s="177"/>
      <c r="C241" s="177"/>
      <c r="D241" s="177">
        <v>381</v>
      </c>
      <c r="E241" s="177"/>
      <c r="F241" s="177"/>
      <c r="G241" s="177"/>
      <c r="H241" s="16" t="s">
        <v>540</v>
      </c>
      <c r="I241" s="17">
        <f>I242+I243</f>
        <v>1291786.83</v>
      </c>
      <c r="J241" s="26">
        <f>J242+J243</f>
        <v>95853.43</v>
      </c>
      <c r="K241" s="17">
        <f>K242+K243</f>
        <v>0</v>
      </c>
      <c r="L241" s="17">
        <f>L242+L243</f>
        <v>0</v>
      </c>
      <c r="M241" s="17" t="e">
        <f>ROUND(L241/K241*100,2)</f>
        <v>#DIV/0!</v>
      </c>
      <c r="N241" s="17">
        <f>O241-K241</f>
        <v>0</v>
      </c>
      <c r="O241" s="17">
        <f>O242+O243</f>
        <v>0</v>
      </c>
      <c r="P241" s="17">
        <f>P242+P243</f>
        <v>0</v>
      </c>
      <c r="Q241" s="17">
        <f>Q242+Q243</f>
        <v>0</v>
      </c>
      <c r="R241" s="26">
        <f t="shared" si="140"/>
        <v>0</v>
      </c>
      <c r="S241" s="17">
        <f t="shared" ref="S241:Y241" si="142">S242+S243</f>
        <v>1557720</v>
      </c>
      <c r="T241" s="17">
        <f t="shared" si="142"/>
        <v>1560000</v>
      </c>
      <c r="U241" s="17">
        <f t="shared" si="142"/>
        <v>1610000</v>
      </c>
      <c r="V241" s="26">
        <f t="shared" si="142"/>
        <v>0</v>
      </c>
      <c r="W241" s="17">
        <f t="shared" si="142"/>
        <v>0</v>
      </c>
      <c r="X241" s="17">
        <f t="shared" si="142"/>
        <v>0</v>
      </c>
      <c r="Y241" s="17">
        <f t="shared" si="142"/>
        <v>0</v>
      </c>
      <c r="Z241" s="162" t="b">
        <f t="shared" si="130"/>
        <v>1</v>
      </c>
      <c r="AA241" s="162" t="str">
        <f t="shared" si="131"/>
        <v>PRAZNO</v>
      </c>
      <c r="AC241" s="164"/>
    </row>
    <row r="242" spans="1:29" ht="15.75" hidden="1" x14ac:dyDescent="0.2">
      <c r="B242" s="177"/>
      <c r="C242" s="177"/>
      <c r="D242" s="177"/>
      <c r="E242" s="177">
        <v>3811</v>
      </c>
      <c r="F242" s="176">
        <v>11</v>
      </c>
      <c r="G242" s="176" t="s">
        <v>424</v>
      </c>
      <c r="H242" s="16" t="s">
        <v>804</v>
      </c>
      <c r="I242" s="18">
        <v>1291786.83</v>
      </c>
      <c r="J242" s="27">
        <v>0</v>
      </c>
      <c r="K242" s="27">
        <v>0</v>
      </c>
      <c r="L242" s="27">
        <v>0</v>
      </c>
      <c r="M242" s="27">
        <v>0</v>
      </c>
      <c r="N242" s="27">
        <v>0</v>
      </c>
      <c r="O242" s="27">
        <v>0</v>
      </c>
      <c r="P242" s="27">
        <v>0</v>
      </c>
      <c r="Q242" s="27">
        <v>0</v>
      </c>
      <c r="R242" s="26">
        <f t="shared" si="140"/>
        <v>0</v>
      </c>
      <c r="S242" s="178">
        <f>1550000+7720</f>
        <v>1557720</v>
      </c>
      <c r="T242" s="178">
        <v>1560000</v>
      </c>
      <c r="U242" s="178">
        <v>1610000</v>
      </c>
      <c r="V242" s="266">
        <v>0</v>
      </c>
      <c r="W242" s="266">
        <v>0</v>
      </c>
      <c r="X242" s="266">
        <v>0</v>
      </c>
      <c r="Y242" s="266">
        <v>0</v>
      </c>
      <c r="Z242" s="162" t="b">
        <f t="shared" si="130"/>
        <v>0</v>
      </c>
      <c r="AA242" s="162" t="str">
        <f t="shared" si="131"/>
        <v>PUNO</v>
      </c>
      <c r="AC242" s="164"/>
    </row>
    <row r="243" spans="1:29" ht="30.75" hidden="1" customHeight="1" x14ac:dyDescent="0.2">
      <c r="B243" s="177"/>
      <c r="C243" s="177"/>
      <c r="D243" s="177"/>
      <c r="E243" s="177">
        <v>3811</v>
      </c>
      <c r="F243" s="176" t="s">
        <v>527</v>
      </c>
      <c r="G243" s="176" t="s">
        <v>424</v>
      </c>
      <c r="H243" s="16" t="s">
        <v>806</v>
      </c>
      <c r="I243" s="18">
        <v>0</v>
      </c>
      <c r="J243" s="27">
        <v>95853.43</v>
      </c>
      <c r="K243" s="18">
        <v>0</v>
      </c>
      <c r="L243" s="18"/>
      <c r="M243" s="18" t="e">
        <f t="shared" ref="M243:M248" si="143">ROUND(L243/K243*100,2)</f>
        <v>#DIV/0!</v>
      </c>
      <c r="N243" s="18">
        <f>O243-K243</f>
        <v>0</v>
      </c>
      <c r="O243" s="18"/>
      <c r="P243" s="18"/>
      <c r="Q243" s="18"/>
      <c r="R243" s="26">
        <f t="shared" si="140"/>
        <v>0</v>
      </c>
      <c r="S243" s="18"/>
      <c r="T243" s="18"/>
      <c r="U243" s="18"/>
      <c r="V243" s="27"/>
      <c r="W243" s="18"/>
      <c r="X243" s="18"/>
      <c r="Y243" s="18"/>
      <c r="Z243" s="162" t="b">
        <f t="shared" si="130"/>
        <v>0</v>
      </c>
      <c r="AA243" s="162" t="str">
        <f t="shared" si="131"/>
        <v>PUNO</v>
      </c>
      <c r="AC243" s="164"/>
    </row>
    <row r="244" spans="1:29" s="287" customFormat="1" ht="31.5" x14ac:dyDescent="0.25">
      <c r="A244" s="378"/>
      <c r="B244" s="194"/>
      <c r="C244" s="194"/>
      <c r="D244" s="194"/>
      <c r="E244" s="194"/>
      <c r="F244" s="159"/>
      <c r="G244" s="159"/>
      <c r="H244" s="24" t="s">
        <v>918</v>
      </c>
      <c r="I244" s="195" t="e">
        <f>I245+I255+#REF!</f>
        <v>#REF!</v>
      </c>
      <c r="J244" s="195" t="e">
        <f>J245+J255+#REF!</f>
        <v>#REF!</v>
      </c>
      <c r="K244" s="195" t="e">
        <f>K245+K255+#REF!</f>
        <v>#REF!</v>
      </c>
      <c r="L244" s="195" t="e">
        <f>L245+L255+#REF!</f>
        <v>#REF!</v>
      </c>
      <c r="M244" s="195" t="e">
        <f t="shared" si="143"/>
        <v>#REF!</v>
      </c>
      <c r="N244" s="195" t="e">
        <f>O244-K244</f>
        <v>#REF!</v>
      </c>
      <c r="O244" s="195" t="e">
        <f>O245+O255+#REF!</f>
        <v>#REF!</v>
      </c>
      <c r="P244" s="195" t="e">
        <f>P245+P255+#REF!</f>
        <v>#REF!</v>
      </c>
      <c r="Q244" s="195" t="e">
        <f>Q245+Q255+#REF!</f>
        <v>#REF!</v>
      </c>
      <c r="R244" s="351" t="e">
        <f t="shared" si="140"/>
        <v>#REF!</v>
      </c>
      <c r="S244" s="195" t="e">
        <f>S245+S255+#REF!</f>
        <v>#REF!</v>
      </c>
      <c r="T244" s="195" t="e">
        <f>T245+T255+#REF!</f>
        <v>#REF!</v>
      </c>
      <c r="U244" s="195" t="e">
        <f>U245+U255+#REF!</f>
        <v>#REF!</v>
      </c>
      <c r="V244" s="197" t="e">
        <f>V245+V255+#REF!</f>
        <v>#REF!</v>
      </c>
      <c r="W244" s="195">
        <f>W245+W255</f>
        <v>307000</v>
      </c>
      <c r="X244" s="195">
        <f>X245+X255</f>
        <v>307000</v>
      </c>
      <c r="Y244" s="195">
        <f>Y245+Y255</f>
        <v>307000</v>
      </c>
      <c r="Z244" s="162" t="b">
        <f t="shared" si="130"/>
        <v>1</v>
      </c>
      <c r="AA244" s="162" t="str">
        <f t="shared" si="131"/>
        <v>PRAZNO</v>
      </c>
      <c r="AB244" s="288"/>
    </row>
    <row r="245" spans="1:29" s="287" customFormat="1" ht="31.5" x14ac:dyDescent="0.25">
      <c r="A245" s="378"/>
      <c r="B245" s="194"/>
      <c r="C245" s="194"/>
      <c r="D245" s="194"/>
      <c r="E245" s="194"/>
      <c r="F245" s="159"/>
      <c r="G245" s="159"/>
      <c r="H245" s="11" t="s">
        <v>810</v>
      </c>
      <c r="I245" s="195" t="e">
        <f>I247</f>
        <v>#REF!</v>
      </c>
      <c r="J245" s="195" t="e">
        <f>J247</f>
        <v>#REF!</v>
      </c>
      <c r="K245" s="195" t="e">
        <f>K247</f>
        <v>#REF!</v>
      </c>
      <c r="L245" s="195" t="e">
        <f>L247</f>
        <v>#REF!</v>
      </c>
      <c r="M245" s="195" t="e">
        <f t="shared" si="143"/>
        <v>#REF!</v>
      </c>
      <c r="N245" s="195" t="e">
        <f>O245-K245</f>
        <v>#REF!</v>
      </c>
      <c r="O245" s="195" t="e">
        <f>O247</f>
        <v>#REF!</v>
      </c>
      <c r="P245" s="195" t="e">
        <f>P247</f>
        <v>#REF!</v>
      </c>
      <c r="Q245" s="195" t="e">
        <f>Q247</f>
        <v>#REF!</v>
      </c>
      <c r="R245" s="351" t="e">
        <f t="shared" si="140"/>
        <v>#REF!</v>
      </c>
      <c r="S245" s="195" t="e">
        <f t="shared" ref="S245:Y245" si="144">S247</f>
        <v>#REF!</v>
      </c>
      <c r="T245" s="195" t="e">
        <f t="shared" si="144"/>
        <v>#REF!</v>
      </c>
      <c r="U245" s="195" t="e">
        <f t="shared" si="144"/>
        <v>#REF!</v>
      </c>
      <c r="V245" s="197" t="e">
        <f t="shared" si="144"/>
        <v>#REF!</v>
      </c>
      <c r="W245" s="195">
        <f t="shared" si="144"/>
        <v>7000</v>
      </c>
      <c r="X245" s="195">
        <f t="shared" si="144"/>
        <v>7000</v>
      </c>
      <c r="Y245" s="195">
        <f t="shared" si="144"/>
        <v>7000</v>
      </c>
      <c r="Z245" s="162" t="b">
        <f t="shared" si="130"/>
        <v>1</v>
      </c>
      <c r="AA245" s="162" t="str">
        <f t="shared" si="131"/>
        <v>PRAZNO</v>
      </c>
      <c r="AB245" s="288"/>
    </row>
    <row r="246" spans="1:29" s="287" customFormat="1" ht="15.75" x14ac:dyDescent="0.25">
      <c r="A246" s="378"/>
      <c r="B246" s="194"/>
      <c r="C246" s="194"/>
      <c r="D246" s="194"/>
      <c r="E246" s="194"/>
      <c r="F246" s="159"/>
      <c r="G246" s="159"/>
      <c r="H246" s="11" t="s">
        <v>421</v>
      </c>
      <c r="I246" s="195"/>
      <c r="J246" s="197"/>
      <c r="K246" s="195"/>
      <c r="L246" s="195"/>
      <c r="M246" s="195" t="e">
        <f t="shared" si="143"/>
        <v>#DIV/0!</v>
      </c>
      <c r="N246" s="195"/>
      <c r="O246" s="195"/>
      <c r="P246" s="195"/>
      <c r="Q246" s="195"/>
      <c r="R246" s="353"/>
      <c r="S246" s="195"/>
      <c r="T246" s="195"/>
      <c r="U246" s="195"/>
      <c r="V246" s="197"/>
      <c r="W246" s="195"/>
      <c r="X246" s="195"/>
      <c r="Y246" s="195"/>
      <c r="Z246" s="162" t="b">
        <f t="shared" si="130"/>
        <v>1</v>
      </c>
      <c r="AA246" s="162" t="str">
        <f t="shared" si="131"/>
        <v>PRAZNO</v>
      </c>
      <c r="AB246" s="288"/>
    </row>
    <row r="247" spans="1:29" s="207" customFormat="1" ht="15.75" x14ac:dyDescent="0.25">
      <c r="A247" s="378"/>
      <c r="B247" s="270"/>
      <c r="C247" s="270"/>
      <c r="D247" s="270"/>
      <c r="E247" s="270"/>
      <c r="F247" s="270"/>
      <c r="G247" s="270"/>
      <c r="H247" s="274" t="s">
        <v>714</v>
      </c>
      <c r="I247" s="272" t="e">
        <f>#REF!+I248</f>
        <v>#REF!</v>
      </c>
      <c r="J247" s="272" t="e">
        <f>#REF!+J248</f>
        <v>#REF!</v>
      </c>
      <c r="K247" s="272" t="e">
        <f>#REF!+K248</f>
        <v>#REF!</v>
      </c>
      <c r="L247" s="272" t="e">
        <f>#REF!+L248</f>
        <v>#REF!</v>
      </c>
      <c r="M247" s="272" t="e">
        <f t="shared" si="143"/>
        <v>#REF!</v>
      </c>
      <c r="N247" s="272" t="e">
        <f>O247-K247</f>
        <v>#REF!</v>
      </c>
      <c r="O247" s="272" t="e">
        <f>#REF!+O248</f>
        <v>#REF!</v>
      </c>
      <c r="P247" s="272" t="e">
        <f>#REF!+P248</f>
        <v>#REF!</v>
      </c>
      <c r="Q247" s="272" t="e">
        <f>#REF!+Q248</f>
        <v>#REF!</v>
      </c>
      <c r="R247" s="336" t="e">
        <f>V247-P247</f>
        <v>#REF!</v>
      </c>
      <c r="S247" s="272" t="e">
        <f>#REF!+S248</f>
        <v>#REF!</v>
      </c>
      <c r="T247" s="272" t="e">
        <f>#REF!+T248</f>
        <v>#REF!</v>
      </c>
      <c r="U247" s="272" t="e">
        <f>#REF!+U248</f>
        <v>#REF!</v>
      </c>
      <c r="V247" s="275" t="e">
        <f>#REF!+V248</f>
        <v>#REF!</v>
      </c>
      <c r="W247" s="272">
        <f>W248</f>
        <v>7000</v>
      </c>
      <c r="X247" s="272">
        <f>X248</f>
        <v>7000</v>
      </c>
      <c r="Y247" s="272">
        <f>Y248</f>
        <v>7000</v>
      </c>
      <c r="Z247" s="162" t="b">
        <f t="shared" si="130"/>
        <v>1</v>
      </c>
      <c r="AA247" s="162" t="str">
        <f t="shared" si="131"/>
        <v>PRAZNO</v>
      </c>
      <c r="AB247" s="206"/>
      <c r="AC247" s="287"/>
    </row>
    <row r="248" spans="1:29" s="171" customFormat="1" ht="31.5" x14ac:dyDescent="0.2">
      <c r="A248" s="259"/>
      <c r="B248" s="168"/>
      <c r="C248" s="168"/>
      <c r="D248" s="168"/>
      <c r="E248" s="168"/>
      <c r="F248" s="168"/>
      <c r="G248" s="168"/>
      <c r="H248" s="13" t="s">
        <v>160</v>
      </c>
      <c r="I248" s="19">
        <f>I250</f>
        <v>31589.599999999999</v>
      </c>
      <c r="J248" s="53">
        <f>J250</f>
        <v>0</v>
      </c>
      <c r="K248" s="169">
        <f>K250</f>
        <v>7000</v>
      </c>
      <c r="L248" s="169">
        <f>L250</f>
        <v>5573.71</v>
      </c>
      <c r="M248" s="169">
        <f t="shared" si="143"/>
        <v>79.62</v>
      </c>
      <c r="N248" s="169">
        <f>O248-K248</f>
        <v>-1426.29</v>
      </c>
      <c r="O248" s="19">
        <f>O250</f>
        <v>5573.71</v>
      </c>
      <c r="P248" s="19">
        <f>P250</f>
        <v>5000</v>
      </c>
      <c r="Q248" s="19">
        <f>Q250</f>
        <v>3919.11</v>
      </c>
      <c r="R248" s="303">
        <f>V248-P248</f>
        <v>0</v>
      </c>
      <c r="S248" s="19">
        <f t="shared" ref="S248:Y248" si="145">S250</f>
        <v>5000</v>
      </c>
      <c r="T248" s="19">
        <f t="shared" si="145"/>
        <v>5000</v>
      </c>
      <c r="U248" s="19">
        <f t="shared" si="145"/>
        <v>4000</v>
      </c>
      <c r="V248" s="53">
        <f t="shared" si="145"/>
        <v>5000</v>
      </c>
      <c r="W248" s="19">
        <f t="shared" si="145"/>
        <v>7000</v>
      </c>
      <c r="X248" s="19">
        <f t="shared" si="145"/>
        <v>7000</v>
      </c>
      <c r="Y248" s="19">
        <f t="shared" si="145"/>
        <v>7000</v>
      </c>
      <c r="Z248" s="162" t="b">
        <f t="shared" ref="Z248:Z256" si="146">ISBLANK(E248)</f>
        <v>1</v>
      </c>
      <c r="AA248" s="162" t="str">
        <f t="shared" ref="AA248:AA256" si="147">IF(Z248,"PRAZNO","PUNO")</f>
        <v>PRAZNO</v>
      </c>
      <c r="AB248" s="170"/>
      <c r="AC248" s="164"/>
    </row>
    <row r="249" spans="1:29" s="264" customFormat="1" ht="15.75" x14ac:dyDescent="0.2">
      <c r="A249" s="259"/>
      <c r="B249" s="260"/>
      <c r="C249" s="260"/>
      <c r="D249" s="260"/>
      <c r="E249" s="260"/>
      <c r="F249" s="260"/>
      <c r="G249" s="260"/>
      <c r="H249" s="440" t="s">
        <v>824</v>
      </c>
      <c r="I249" s="262"/>
      <c r="J249" s="342"/>
      <c r="K249" s="181"/>
      <c r="L249" s="181"/>
      <c r="M249" s="181"/>
      <c r="N249" s="181"/>
      <c r="O249" s="262"/>
      <c r="P249" s="262"/>
      <c r="Q249" s="262"/>
      <c r="R249" s="445"/>
      <c r="S249" s="262"/>
      <c r="T249" s="262"/>
      <c r="U249" s="262"/>
      <c r="V249" s="342"/>
      <c r="W249" s="262">
        <f t="shared" ref="W249:Y251" si="148">W250</f>
        <v>7000</v>
      </c>
      <c r="X249" s="262">
        <f t="shared" si="148"/>
        <v>7000</v>
      </c>
      <c r="Y249" s="262">
        <f t="shared" si="148"/>
        <v>7000</v>
      </c>
      <c r="Z249" s="162" t="b">
        <f t="shared" si="146"/>
        <v>1</v>
      </c>
      <c r="AA249" s="162" t="str">
        <f t="shared" si="147"/>
        <v>PRAZNO</v>
      </c>
      <c r="AB249" s="263"/>
    </row>
    <row r="250" spans="1:29" s="174" customFormat="1" ht="15.75" x14ac:dyDescent="0.2">
      <c r="A250" s="259"/>
      <c r="B250" s="172">
        <v>4</v>
      </c>
      <c r="C250" s="172"/>
      <c r="D250" s="172"/>
      <c r="E250" s="172"/>
      <c r="F250" s="172"/>
      <c r="G250" s="172"/>
      <c r="H250" s="14" t="s">
        <v>552</v>
      </c>
      <c r="I250" s="20">
        <f t="shared" ref="I250:L251" si="149">I251</f>
        <v>31589.599999999999</v>
      </c>
      <c r="J250" s="55">
        <f t="shared" si="149"/>
        <v>0</v>
      </c>
      <c r="K250" s="20">
        <f t="shared" si="149"/>
        <v>7000</v>
      </c>
      <c r="L250" s="20">
        <f t="shared" si="149"/>
        <v>5573.71</v>
      </c>
      <c r="M250" s="20">
        <f>ROUND(L250/K250*100,2)</f>
        <v>79.62</v>
      </c>
      <c r="N250" s="20">
        <f>O250-K250</f>
        <v>-1426.29</v>
      </c>
      <c r="O250" s="20">
        <f t="shared" ref="O250:Q251" si="150">O251</f>
        <v>5573.71</v>
      </c>
      <c r="P250" s="20">
        <f t="shared" si="150"/>
        <v>5000</v>
      </c>
      <c r="Q250" s="20">
        <f t="shared" si="150"/>
        <v>3919.11</v>
      </c>
      <c r="R250" s="55">
        <f t="shared" ref="R250:R255" si="151">V250-P250</f>
        <v>0</v>
      </c>
      <c r="S250" s="20">
        <f t="shared" ref="S250:V251" si="152">S251</f>
        <v>5000</v>
      </c>
      <c r="T250" s="20">
        <f t="shared" si="152"/>
        <v>5000</v>
      </c>
      <c r="U250" s="20">
        <f t="shared" si="152"/>
        <v>4000</v>
      </c>
      <c r="V250" s="55">
        <f t="shared" si="152"/>
        <v>5000</v>
      </c>
      <c r="W250" s="20">
        <f t="shared" si="148"/>
        <v>7000</v>
      </c>
      <c r="X250" s="20">
        <f t="shared" si="148"/>
        <v>7000</v>
      </c>
      <c r="Y250" s="20">
        <f t="shared" si="148"/>
        <v>7000</v>
      </c>
      <c r="Z250" s="162" t="b">
        <f t="shared" si="146"/>
        <v>1</v>
      </c>
      <c r="AA250" s="162" t="str">
        <f t="shared" si="147"/>
        <v>PRAZNO</v>
      </c>
      <c r="AB250" s="173"/>
      <c r="AC250" s="164"/>
    </row>
    <row r="251" spans="1:29" ht="15.75" x14ac:dyDescent="0.2">
      <c r="B251" s="177"/>
      <c r="C251" s="177">
        <v>42</v>
      </c>
      <c r="D251" s="177"/>
      <c r="E251" s="177"/>
      <c r="F251" s="177"/>
      <c r="G251" s="177"/>
      <c r="H251" s="16" t="s">
        <v>212</v>
      </c>
      <c r="I251" s="18">
        <f t="shared" si="149"/>
        <v>31589.599999999999</v>
      </c>
      <c r="J251" s="27">
        <f t="shared" si="149"/>
        <v>0</v>
      </c>
      <c r="K251" s="18">
        <f t="shared" si="149"/>
        <v>7000</v>
      </c>
      <c r="L251" s="18">
        <f t="shared" si="149"/>
        <v>5573.71</v>
      </c>
      <c r="M251" s="18">
        <f>ROUND(L251/K251*100,2)</f>
        <v>79.62</v>
      </c>
      <c r="N251" s="18">
        <f>O251-K251</f>
        <v>-1426.29</v>
      </c>
      <c r="O251" s="18">
        <f t="shared" si="150"/>
        <v>5573.71</v>
      </c>
      <c r="P251" s="18">
        <f t="shared" si="150"/>
        <v>5000</v>
      </c>
      <c r="Q251" s="18">
        <f t="shared" si="150"/>
        <v>3919.11</v>
      </c>
      <c r="R251" s="26">
        <f t="shared" si="151"/>
        <v>0</v>
      </c>
      <c r="S251" s="18">
        <f t="shared" si="152"/>
        <v>5000</v>
      </c>
      <c r="T251" s="18">
        <f t="shared" si="152"/>
        <v>5000</v>
      </c>
      <c r="U251" s="18">
        <f t="shared" si="152"/>
        <v>4000</v>
      </c>
      <c r="V251" s="27">
        <f t="shared" si="152"/>
        <v>5000</v>
      </c>
      <c r="W251" s="18">
        <f t="shared" si="148"/>
        <v>7000</v>
      </c>
      <c r="X251" s="18">
        <f t="shared" si="148"/>
        <v>7000</v>
      </c>
      <c r="Y251" s="18">
        <f t="shared" si="148"/>
        <v>7000</v>
      </c>
      <c r="Z251" s="162" t="b">
        <f t="shared" si="146"/>
        <v>1</v>
      </c>
      <c r="AA251" s="162" t="str">
        <f t="shared" si="147"/>
        <v>PRAZNO</v>
      </c>
      <c r="AC251" s="164"/>
    </row>
    <row r="252" spans="1:29" ht="15.75" x14ac:dyDescent="0.2">
      <c r="B252" s="177"/>
      <c r="C252" s="177"/>
      <c r="D252" s="177">
        <v>422</v>
      </c>
      <c r="E252" s="177"/>
      <c r="F252" s="177"/>
      <c r="G252" s="177"/>
      <c r="H252" s="16" t="s">
        <v>555</v>
      </c>
      <c r="I252" s="18">
        <f>I253+I254</f>
        <v>31589.599999999999</v>
      </c>
      <c r="J252" s="27">
        <f>J253+J254</f>
        <v>0</v>
      </c>
      <c r="K252" s="18">
        <f>K253+K254</f>
        <v>7000</v>
      </c>
      <c r="L252" s="18">
        <f>L253+L254</f>
        <v>5573.71</v>
      </c>
      <c r="M252" s="18">
        <f>ROUND(L252/K252*100,2)</f>
        <v>79.62</v>
      </c>
      <c r="N252" s="18">
        <f>O252-K252</f>
        <v>-1426.29</v>
      </c>
      <c r="O252" s="18">
        <f>O253+O254</f>
        <v>5573.71</v>
      </c>
      <c r="P252" s="18">
        <f>P253+P254</f>
        <v>5000</v>
      </c>
      <c r="Q252" s="18">
        <f>Q253+Q254</f>
        <v>3919.11</v>
      </c>
      <c r="R252" s="26">
        <f t="shared" si="151"/>
        <v>0</v>
      </c>
      <c r="S252" s="18">
        <f t="shared" ref="S252:Y252" si="153">S253+S254</f>
        <v>5000</v>
      </c>
      <c r="T252" s="18">
        <f t="shared" si="153"/>
        <v>5000</v>
      </c>
      <c r="U252" s="18">
        <f t="shared" si="153"/>
        <v>4000</v>
      </c>
      <c r="V252" s="27">
        <f t="shared" si="153"/>
        <v>5000</v>
      </c>
      <c r="W252" s="18">
        <f t="shared" si="153"/>
        <v>7000</v>
      </c>
      <c r="X252" s="18">
        <f t="shared" si="153"/>
        <v>7000</v>
      </c>
      <c r="Y252" s="18">
        <f t="shared" si="153"/>
        <v>7000</v>
      </c>
      <c r="Z252" s="162" t="b">
        <f t="shared" si="146"/>
        <v>1</v>
      </c>
      <c r="AA252" s="162" t="str">
        <f t="shared" si="147"/>
        <v>PRAZNO</v>
      </c>
      <c r="AC252" s="164"/>
    </row>
    <row r="253" spans="1:29" ht="15.75" x14ac:dyDescent="0.2">
      <c r="B253" s="177"/>
      <c r="C253" s="177"/>
      <c r="D253" s="177"/>
      <c r="E253" s="177">
        <v>4221</v>
      </c>
      <c r="F253" s="176">
        <v>11</v>
      </c>
      <c r="G253" s="176" t="s">
        <v>424</v>
      </c>
      <c r="H253" s="16" t="s">
        <v>558</v>
      </c>
      <c r="I253" s="18">
        <v>29635.26</v>
      </c>
      <c r="J253" s="27">
        <v>0</v>
      </c>
      <c r="K253" s="18">
        <v>7000</v>
      </c>
      <c r="L253" s="18">
        <v>5573.71</v>
      </c>
      <c r="M253" s="18">
        <f>ROUND(L253/K253*100,2)</f>
        <v>79.62</v>
      </c>
      <c r="N253" s="18">
        <f>O253-K253</f>
        <v>-1426.29</v>
      </c>
      <c r="O253" s="18">
        <v>5573.71</v>
      </c>
      <c r="P253" s="18">
        <v>5000</v>
      </c>
      <c r="Q253" s="18">
        <v>3919.11</v>
      </c>
      <c r="R253" s="26">
        <f t="shared" si="151"/>
        <v>0</v>
      </c>
      <c r="S253" s="18">
        <v>5000</v>
      </c>
      <c r="T253" s="18">
        <v>5000</v>
      </c>
      <c r="U253" s="18">
        <v>4000</v>
      </c>
      <c r="V253" s="27">
        <v>5000</v>
      </c>
      <c r="W253" s="18">
        <v>7000</v>
      </c>
      <c r="X253" s="18">
        <v>7000</v>
      </c>
      <c r="Y253" s="18">
        <v>7000</v>
      </c>
      <c r="Z253" s="162" t="b">
        <f t="shared" si="146"/>
        <v>0</v>
      </c>
      <c r="AA253" s="162" t="str">
        <f t="shared" si="147"/>
        <v>PUNO</v>
      </c>
      <c r="AC253" s="164"/>
    </row>
    <row r="254" spans="1:29" ht="15.75" hidden="1" x14ac:dyDescent="0.2">
      <c r="B254" s="177"/>
      <c r="C254" s="177"/>
      <c r="D254" s="177"/>
      <c r="E254" s="177">
        <v>4222</v>
      </c>
      <c r="F254" s="176">
        <v>11</v>
      </c>
      <c r="G254" s="176" t="s">
        <v>424</v>
      </c>
      <c r="H254" s="16" t="s">
        <v>559</v>
      </c>
      <c r="I254" s="18">
        <v>1954.34</v>
      </c>
      <c r="J254" s="27">
        <v>0</v>
      </c>
      <c r="K254" s="18"/>
      <c r="L254" s="18"/>
      <c r="M254" s="18" t="e">
        <f>ROUND(L254/K254*100,2)</f>
        <v>#DIV/0!</v>
      </c>
      <c r="N254" s="18">
        <f>O254-K254</f>
        <v>0</v>
      </c>
      <c r="O254" s="18"/>
      <c r="P254" s="18"/>
      <c r="Q254" s="18"/>
      <c r="R254" s="26">
        <f t="shared" si="151"/>
        <v>0</v>
      </c>
      <c r="S254" s="18"/>
      <c r="T254" s="18"/>
      <c r="U254" s="18"/>
      <c r="V254" s="27"/>
      <c r="W254" s="18"/>
      <c r="X254" s="18"/>
      <c r="Y254" s="18"/>
      <c r="Z254" s="162" t="b">
        <f t="shared" si="146"/>
        <v>0</v>
      </c>
      <c r="AA254" s="162" t="str">
        <f t="shared" si="147"/>
        <v>PUNO</v>
      </c>
      <c r="AC254" s="164"/>
    </row>
    <row r="255" spans="1:29" s="164" customFormat="1" ht="15.75" x14ac:dyDescent="0.2">
      <c r="A255" s="259"/>
      <c r="B255" s="194"/>
      <c r="C255" s="194"/>
      <c r="D255" s="194"/>
      <c r="E255" s="194"/>
      <c r="F255" s="159"/>
      <c r="G255" s="159"/>
      <c r="H255" s="11" t="s">
        <v>812</v>
      </c>
      <c r="I255" s="267" t="e">
        <f>#REF!+#REF!+I257</f>
        <v>#REF!</v>
      </c>
      <c r="J255" s="195" t="e">
        <f>#REF!+#REF!+J257</f>
        <v>#REF!</v>
      </c>
      <c r="K255" s="195" t="e">
        <f>#REF!+#REF!+K257</f>
        <v>#REF!</v>
      </c>
      <c r="L255" s="195" t="e">
        <f>#REF!+#REF!+L257</f>
        <v>#REF!</v>
      </c>
      <c r="M255" s="195" t="e">
        <f>#REF!+#REF!+M257</f>
        <v>#REF!</v>
      </c>
      <c r="N255" s="195" t="e">
        <f>#REF!+#REF!+N257</f>
        <v>#REF!</v>
      </c>
      <c r="O255" s="195" t="e">
        <f>#REF!+#REF!+O257</f>
        <v>#REF!</v>
      </c>
      <c r="P255" s="195" t="e">
        <f>#REF!+#REF!+P257</f>
        <v>#REF!</v>
      </c>
      <c r="Q255" s="195" t="e">
        <f>#REF!+#REF!+Q257</f>
        <v>#REF!</v>
      </c>
      <c r="R255" s="351" t="e">
        <f t="shared" si="151"/>
        <v>#REF!</v>
      </c>
      <c r="S255" s="195" t="e">
        <f>#REF!+#REF!+S257</f>
        <v>#REF!</v>
      </c>
      <c r="T255" s="195" t="e">
        <f>#REF!+#REF!+T257</f>
        <v>#REF!</v>
      </c>
      <c r="U255" s="195" t="e">
        <f>#REF!+#REF!+U257</f>
        <v>#REF!</v>
      </c>
      <c r="V255" s="197" t="e">
        <f>#REF!+#REF!+V257</f>
        <v>#REF!</v>
      </c>
      <c r="W255" s="195">
        <f>W257</f>
        <v>300000</v>
      </c>
      <c r="X255" s="195">
        <f>X257</f>
        <v>300000</v>
      </c>
      <c r="Y255" s="195">
        <f>Y257</f>
        <v>300000</v>
      </c>
      <c r="Z255" s="162" t="b">
        <f t="shared" si="146"/>
        <v>1</v>
      </c>
      <c r="AA255" s="162" t="str">
        <f t="shared" si="147"/>
        <v>PRAZNO</v>
      </c>
      <c r="AB255" s="165"/>
    </row>
    <row r="256" spans="1:29" s="164" customFormat="1" ht="15.75" x14ac:dyDescent="0.2">
      <c r="A256" s="259"/>
      <c r="B256" s="194"/>
      <c r="C256" s="194"/>
      <c r="D256" s="194"/>
      <c r="E256" s="194"/>
      <c r="F256" s="159"/>
      <c r="G256" s="159"/>
      <c r="H256" s="11" t="s">
        <v>421</v>
      </c>
      <c r="I256" s="195"/>
      <c r="J256" s="197"/>
      <c r="K256" s="196"/>
      <c r="L256" s="196"/>
      <c r="M256" s="196" t="e">
        <f>ROUND(L256/K256*100,2)</f>
        <v>#DIV/0!</v>
      </c>
      <c r="N256" s="196"/>
      <c r="O256" s="195"/>
      <c r="P256" s="195"/>
      <c r="Q256" s="195"/>
      <c r="R256" s="353"/>
      <c r="S256" s="195"/>
      <c r="T256" s="195"/>
      <c r="U256" s="195"/>
      <c r="V256" s="197"/>
      <c r="W256" s="195"/>
      <c r="X256" s="195"/>
      <c r="Y256" s="195"/>
      <c r="Z256" s="162" t="b">
        <f t="shared" si="146"/>
        <v>1</v>
      </c>
      <c r="AA256" s="162" t="str">
        <f t="shared" si="147"/>
        <v>PRAZNO</v>
      </c>
      <c r="AB256" s="165"/>
    </row>
    <row r="257" spans="1:29" s="171" customFormat="1" ht="21.75" customHeight="1" x14ac:dyDescent="0.2">
      <c r="A257" s="259"/>
      <c r="B257" s="270"/>
      <c r="C257" s="270"/>
      <c r="D257" s="270"/>
      <c r="E257" s="270"/>
      <c r="F257" s="270"/>
      <c r="G257" s="270"/>
      <c r="H257" s="277" t="s">
        <v>717</v>
      </c>
      <c r="I257" s="272" t="e">
        <f>#REF!+#REF!+#REF!+#REF!+#REF!+#REF!</f>
        <v>#REF!</v>
      </c>
      <c r="J257" s="272" t="e">
        <f>#REF!+#REF!+#REF!+J269+#REF!+#REF!+#REF!+#REF!</f>
        <v>#REF!</v>
      </c>
      <c r="K257" s="272" t="e">
        <f>#REF!+#REF!+#REF!+K269+#REF!+#REF!+#REF!+#REF!</f>
        <v>#REF!</v>
      </c>
      <c r="L257" s="272" t="e">
        <f>#REF!+#REF!+#REF!+L269+#REF!+#REF!+#REF!+#REF!</f>
        <v>#REF!</v>
      </c>
      <c r="M257" s="272" t="e">
        <f>#REF!+#REF!+#REF!+M269+#REF!+#REF!+#REF!+#REF!</f>
        <v>#REF!</v>
      </c>
      <c r="N257" s="272" t="e">
        <f>#REF!+#REF!+#REF!+N269+#REF!+#REF!+#REF!+#REF!</f>
        <v>#REF!</v>
      </c>
      <c r="O257" s="272" t="e">
        <f>#REF!+#REF!+#REF!+O269+#REF!+#REF!+#REF!+#REF!</f>
        <v>#REF!</v>
      </c>
      <c r="P257" s="272" t="e">
        <f>#REF!+#REF!+#REF!+P269+#REF!+#REF!+#REF!+#REF!</f>
        <v>#REF!</v>
      </c>
      <c r="Q257" s="272" t="e">
        <f>#REF!+#REF!+#REF!+Q269+#REF!+#REF!+#REF!+#REF!</f>
        <v>#REF!</v>
      </c>
      <c r="R257" s="336" t="e">
        <f t="shared" ref="R257:R265" si="154">V257-P257</f>
        <v>#REF!</v>
      </c>
      <c r="S257" s="272" t="e">
        <f>#REF!+#REF!+#REF!+#REF!+#REF!+#REF!</f>
        <v>#REF!</v>
      </c>
      <c r="T257" s="272" t="e">
        <f>#REF!+#REF!+#REF!+#REF!+#REF!+#REF!</f>
        <v>#REF!</v>
      </c>
      <c r="U257" s="272" t="e">
        <f>#REF!+#REF!+#REF!+#REF!+#REF!+#REF!</f>
        <v>#REF!</v>
      </c>
      <c r="V257" s="272" t="e">
        <f>#REF!+#REF!+#REF!+#REF!+#REF!+#REF!+V275+V269+#REF!</f>
        <v>#REF!</v>
      </c>
      <c r="W257" s="272">
        <f>W269</f>
        <v>300000</v>
      </c>
      <c r="X257" s="272">
        <f>X269</f>
        <v>300000</v>
      </c>
      <c r="Y257" s="272">
        <f>Y269</f>
        <v>300000</v>
      </c>
      <c r="Z257" s="162" t="b">
        <f t="shared" ref="Z257:Z266" si="155">ISBLANK(E257)</f>
        <v>1</v>
      </c>
      <c r="AA257" s="162" t="str">
        <f t="shared" ref="AA257:AA266" si="156">IF(Z257,"PRAZNO","PUNO")</f>
        <v>PRAZNO</v>
      </c>
      <c r="AB257" s="170"/>
      <c r="AC257" s="164"/>
    </row>
    <row r="258" spans="1:29" s="171" customFormat="1" ht="15.75" hidden="1" customHeight="1" x14ac:dyDescent="0.2">
      <c r="A258" s="259"/>
      <c r="B258" s="168"/>
      <c r="C258" s="168"/>
      <c r="D258" s="168"/>
      <c r="E258" s="168"/>
      <c r="F258" s="168"/>
      <c r="G258" s="168"/>
      <c r="H258" s="31" t="s">
        <v>837</v>
      </c>
      <c r="I258" s="19">
        <f>I259</f>
        <v>127068.7</v>
      </c>
      <c r="J258" s="19">
        <f>J259</f>
        <v>0</v>
      </c>
      <c r="K258" s="169">
        <f>K259</f>
        <v>0</v>
      </c>
      <c r="L258" s="169">
        <f>L259</f>
        <v>0</v>
      </c>
      <c r="M258" s="169" t="e">
        <f t="shared" ref="M258:M265" si="157">ROUND(L258/K258*100,2)</f>
        <v>#DIV/0!</v>
      </c>
      <c r="N258" s="169">
        <f t="shared" ref="N258:N265" si="158">O258-K258</f>
        <v>0</v>
      </c>
      <c r="O258" s="19">
        <f>O259</f>
        <v>0</v>
      </c>
      <c r="P258" s="19">
        <f>P259</f>
        <v>0</v>
      </c>
      <c r="Q258" s="19">
        <f>Q259</f>
        <v>0</v>
      </c>
      <c r="R258" s="205">
        <f t="shared" si="154"/>
        <v>0</v>
      </c>
      <c r="S258" s="19">
        <f t="shared" ref="S258:Y258" si="159">S259</f>
        <v>0</v>
      </c>
      <c r="T258" s="19">
        <f t="shared" si="159"/>
        <v>0</v>
      </c>
      <c r="U258" s="19">
        <f t="shared" si="159"/>
        <v>0</v>
      </c>
      <c r="V258" s="53">
        <f t="shared" si="159"/>
        <v>0</v>
      </c>
      <c r="W258" s="19">
        <f t="shared" si="159"/>
        <v>0</v>
      </c>
      <c r="X258" s="19">
        <f t="shared" si="159"/>
        <v>0</v>
      </c>
      <c r="Y258" s="19">
        <f t="shared" si="159"/>
        <v>0</v>
      </c>
      <c r="Z258" s="162" t="b">
        <f t="shared" si="155"/>
        <v>1</v>
      </c>
      <c r="AA258" s="162" t="str">
        <f t="shared" si="156"/>
        <v>PRAZNO</v>
      </c>
      <c r="AB258" s="170"/>
      <c r="AC258" s="164"/>
    </row>
    <row r="259" spans="1:29" s="174" customFormat="1" ht="15.75" hidden="1" x14ac:dyDescent="0.2">
      <c r="A259" s="259"/>
      <c r="B259" s="172">
        <v>4</v>
      </c>
      <c r="C259" s="172"/>
      <c r="D259" s="172"/>
      <c r="E259" s="172"/>
      <c r="F259" s="172"/>
      <c r="G259" s="172"/>
      <c r="H259" s="14" t="s">
        <v>552</v>
      </c>
      <c r="I259" s="20">
        <f>I260+I263</f>
        <v>127068.7</v>
      </c>
      <c r="J259" s="20">
        <f>J260+J263</f>
        <v>0</v>
      </c>
      <c r="K259" s="20">
        <f>K260+K263</f>
        <v>0</v>
      </c>
      <c r="L259" s="20">
        <f>L260+L263</f>
        <v>0</v>
      </c>
      <c r="M259" s="20" t="e">
        <f t="shared" si="157"/>
        <v>#DIV/0!</v>
      </c>
      <c r="N259" s="20">
        <f t="shared" si="158"/>
        <v>0</v>
      </c>
      <c r="O259" s="20">
        <f>O260+O263</f>
        <v>0</v>
      </c>
      <c r="P259" s="20">
        <f>P260+P263</f>
        <v>0</v>
      </c>
      <c r="Q259" s="20">
        <f>Q260+Q263</f>
        <v>0</v>
      </c>
      <c r="R259" s="26">
        <f t="shared" si="154"/>
        <v>0</v>
      </c>
      <c r="S259" s="20">
        <f t="shared" ref="S259:Y259" si="160">S260+S263</f>
        <v>0</v>
      </c>
      <c r="T259" s="20">
        <f t="shared" si="160"/>
        <v>0</v>
      </c>
      <c r="U259" s="20">
        <f t="shared" si="160"/>
        <v>0</v>
      </c>
      <c r="V259" s="55">
        <f t="shared" si="160"/>
        <v>0</v>
      </c>
      <c r="W259" s="20">
        <f t="shared" si="160"/>
        <v>0</v>
      </c>
      <c r="X259" s="20">
        <f t="shared" si="160"/>
        <v>0</v>
      </c>
      <c r="Y259" s="20">
        <f t="shared" si="160"/>
        <v>0</v>
      </c>
      <c r="Z259" s="162" t="b">
        <f t="shared" si="155"/>
        <v>1</v>
      </c>
      <c r="AA259" s="162" t="str">
        <f t="shared" si="156"/>
        <v>PRAZNO</v>
      </c>
      <c r="AB259" s="173"/>
      <c r="AC259" s="164"/>
    </row>
    <row r="260" spans="1:29" ht="15.75" hidden="1" customHeight="1" x14ac:dyDescent="0.2">
      <c r="B260" s="177"/>
      <c r="C260" s="177">
        <v>41</v>
      </c>
      <c r="D260" s="177"/>
      <c r="E260" s="177"/>
      <c r="F260" s="177"/>
      <c r="G260" s="177"/>
      <c r="H260" s="30" t="s">
        <v>753</v>
      </c>
      <c r="I260" s="18">
        <f t="shared" ref="I260:L261" si="161">I261</f>
        <v>122390</v>
      </c>
      <c r="J260" s="18">
        <f t="shared" si="161"/>
        <v>0</v>
      </c>
      <c r="K260" s="18">
        <f t="shared" si="161"/>
        <v>0</v>
      </c>
      <c r="L260" s="18">
        <f t="shared" si="161"/>
        <v>0</v>
      </c>
      <c r="M260" s="18" t="e">
        <f t="shared" si="157"/>
        <v>#DIV/0!</v>
      </c>
      <c r="N260" s="18">
        <f t="shared" si="158"/>
        <v>0</v>
      </c>
      <c r="O260" s="18">
        <f t="shared" ref="O260:Q261" si="162">O261</f>
        <v>0</v>
      </c>
      <c r="P260" s="18">
        <f t="shared" si="162"/>
        <v>0</v>
      </c>
      <c r="Q260" s="18">
        <f t="shared" si="162"/>
        <v>0</v>
      </c>
      <c r="R260" s="26">
        <f t="shared" si="154"/>
        <v>0</v>
      </c>
      <c r="S260" s="18">
        <f t="shared" ref="S260:Y261" si="163">S261</f>
        <v>0</v>
      </c>
      <c r="T260" s="18">
        <f t="shared" si="163"/>
        <v>0</v>
      </c>
      <c r="U260" s="18">
        <f t="shared" si="163"/>
        <v>0</v>
      </c>
      <c r="V260" s="27">
        <f t="shared" si="163"/>
        <v>0</v>
      </c>
      <c r="W260" s="18">
        <f t="shared" si="163"/>
        <v>0</v>
      </c>
      <c r="X260" s="18">
        <f t="shared" si="163"/>
        <v>0</v>
      </c>
      <c r="Y260" s="18">
        <f t="shared" si="163"/>
        <v>0</v>
      </c>
      <c r="Z260" s="162" t="b">
        <f t="shared" si="155"/>
        <v>1</v>
      </c>
      <c r="AA260" s="162" t="str">
        <f t="shared" si="156"/>
        <v>PRAZNO</v>
      </c>
      <c r="AC260" s="164"/>
    </row>
    <row r="261" spans="1:29" ht="15.75" hidden="1" customHeight="1" x14ac:dyDescent="0.2">
      <c r="B261" s="177"/>
      <c r="C261" s="177"/>
      <c r="D261" s="177">
        <v>412</v>
      </c>
      <c r="E261" s="177"/>
      <c r="F261" s="177"/>
      <c r="G261" s="177"/>
      <c r="H261" s="16" t="s">
        <v>553</v>
      </c>
      <c r="I261" s="18">
        <f t="shared" si="161"/>
        <v>122390</v>
      </c>
      <c r="J261" s="18">
        <f t="shared" si="161"/>
        <v>0</v>
      </c>
      <c r="K261" s="18">
        <f t="shared" si="161"/>
        <v>0</v>
      </c>
      <c r="L261" s="18">
        <f t="shared" si="161"/>
        <v>0</v>
      </c>
      <c r="M261" s="18" t="e">
        <f t="shared" si="157"/>
        <v>#DIV/0!</v>
      </c>
      <c r="N261" s="18">
        <f t="shared" si="158"/>
        <v>0</v>
      </c>
      <c r="O261" s="18">
        <f t="shared" si="162"/>
        <v>0</v>
      </c>
      <c r="P261" s="18">
        <f t="shared" si="162"/>
        <v>0</v>
      </c>
      <c r="Q261" s="18">
        <f t="shared" si="162"/>
        <v>0</v>
      </c>
      <c r="R261" s="26">
        <f t="shared" si="154"/>
        <v>0</v>
      </c>
      <c r="S261" s="18">
        <f t="shared" si="163"/>
        <v>0</v>
      </c>
      <c r="T261" s="18">
        <f t="shared" si="163"/>
        <v>0</v>
      </c>
      <c r="U261" s="18">
        <f t="shared" si="163"/>
        <v>0</v>
      </c>
      <c r="V261" s="27">
        <f t="shared" si="163"/>
        <v>0</v>
      </c>
      <c r="W261" s="18">
        <f t="shared" si="163"/>
        <v>0</v>
      </c>
      <c r="X261" s="18">
        <f t="shared" si="163"/>
        <v>0</v>
      </c>
      <c r="Y261" s="18">
        <f t="shared" si="163"/>
        <v>0</v>
      </c>
      <c r="Z261" s="162" t="b">
        <f t="shared" si="155"/>
        <v>1</v>
      </c>
      <c r="AA261" s="162" t="str">
        <f t="shared" si="156"/>
        <v>PRAZNO</v>
      </c>
      <c r="AC261" s="164"/>
    </row>
    <row r="262" spans="1:29" ht="15.75" hidden="1" customHeight="1" x14ac:dyDescent="0.2">
      <c r="B262" s="177"/>
      <c r="C262" s="177"/>
      <c r="D262" s="177"/>
      <c r="E262" s="177">
        <v>4124</v>
      </c>
      <c r="F262" s="176" t="s">
        <v>537</v>
      </c>
      <c r="G262" s="176" t="s">
        <v>424</v>
      </c>
      <c r="H262" s="16" t="s">
        <v>838</v>
      </c>
      <c r="I262" s="18">
        <v>122390</v>
      </c>
      <c r="J262" s="18"/>
      <c r="K262" s="18">
        <v>0</v>
      </c>
      <c r="L262" s="18">
        <v>0</v>
      </c>
      <c r="M262" s="18" t="e">
        <f t="shared" si="157"/>
        <v>#DIV/0!</v>
      </c>
      <c r="N262" s="18">
        <f t="shared" si="158"/>
        <v>0</v>
      </c>
      <c r="O262" s="18"/>
      <c r="P262" s="18"/>
      <c r="Q262" s="18"/>
      <c r="R262" s="26">
        <f t="shared" si="154"/>
        <v>0</v>
      </c>
      <c r="S262" s="18"/>
      <c r="T262" s="18"/>
      <c r="U262" s="18"/>
      <c r="V262" s="27"/>
      <c r="W262" s="18"/>
      <c r="X262" s="18"/>
      <c r="Y262" s="18"/>
      <c r="Z262" s="162" t="b">
        <f t="shared" si="155"/>
        <v>0</v>
      </c>
      <c r="AA262" s="162" t="str">
        <f t="shared" si="156"/>
        <v>PUNO</v>
      </c>
      <c r="AC262" s="164"/>
    </row>
    <row r="263" spans="1:29" ht="15.75" hidden="1" customHeight="1" x14ac:dyDescent="0.2">
      <c r="B263" s="177"/>
      <c r="C263" s="177">
        <v>42</v>
      </c>
      <c r="D263" s="177"/>
      <c r="E263" s="177"/>
      <c r="F263" s="176"/>
      <c r="G263" s="176"/>
      <c r="H263" s="16" t="s">
        <v>212</v>
      </c>
      <c r="I263" s="18">
        <f t="shared" ref="I263:L264" si="164">I264</f>
        <v>4678.7</v>
      </c>
      <c r="J263" s="18">
        <f t="shared" si="164"/>
        <v>0</v>
      </c>
      <c r="K263" s="18">
        <f t="shared" si="164"/>
        <v>0</v>
      </c>
      <c r="L263" s="18">
        <f t="shared" si="164"/>
        <v>0</v>
      </c>
      <c r="M263" s="18" t="e">
        <f t="shared" si="157"/>
        <v>#DIV/0!</v>
      </c>
      <c r="N263" s="18">
        <f t="shared" si="158"/>
        <v>0</v>
      </c>
      <c r="O263" s="18">
        <f t="shared" ref="O263:Q264" si="165">O264</f>
        <v>0</v>
      </c>
      <c r="P263" s="18">
        <f t="shared" si="165"/>
        <v>0</v>
      </c>
      <c r="Q263" s="18">
        <f t="shared" si="165"/>
        <v>0</v>
      </c>
      <c r="R263" s="26">
        <f t="shared" si="154"/>
        <v>0</v>
      </c>
      <c r="S263" s="18">
        <f t="shared" ref="S263:Y264" si="166">S264</f>
        <v>0</v>
      </c>
      <c r="T263" s="18">
        <f t="shared" si="166"/>
        <v>0</v>
      </c>
      <c r="U263" s="18">
        <f t="shared" si="166"/>
        <v>0</v>
      </c>
      <c r="V263" s="27">
        <f t="shared" si="166"/>
        <v>0</v>
      </c>
      <c r="W263" s="18">
        <f t="shared" si="166"/>
        <v>0</v>
      </c>
      <c r="X263" s="18">
        <f t="shared" si="166"/>
        <v>0</v>
      </c>
      <c r="Y263" s="18">
        <f t="shared" si="166"/>
        <v>0</v>
      </c>
      <c r="Z263" s="162" t="b">
        <f t="shared" si="155"/>
        <v>1</v>
      </c>
      <c r="AA263" s="162" t="str">
        <f t="shared" si="156"/>
        <v>PRAZNO</v>
      </c>
      <c r="AC263" s="164"/>
    </row>
    <row r="264" spans="1:29" ht="15.75" hidden="1" customHeight="1" x14ac:dyDescent="0.2">
      <c r="B264" s="177"/>
      <c r="C264" s="177"/>
      <c r="D264" s="177">
        <v>425</v>
      </c>
      <c r="E264" s="177"/>
      <c r="F264" s="176"/>
      <c r="G264" s="176"/>
      <c r="H264" s="16" t="s">
        <v>839</v>
      </c>
      <c r="I264" s="18">
        <f t="shared" si="164"/>
        <v>4678.7</v>
      </c>
      <c r="J264" s="18">
        <f t="shared" si="164"/>
        <v>0</v>
      </c>
      <c r="K264" s="18">
        <f t="shared" si="164"/>
        <v>0</v>
      </c>
      <c r="L264" s="18">
        <f t="shared" si="164"/>
        <v>0</v>
      </c>
      <c r="M264" s="18" t="e">
        <f t="shared" si="157"/>
        <v>#DIV/0!</v>
      </c>
      <c r="N264" s="18">
        <f t="shared" si="158"/>
        <v>0</v>
      </c>
      <c r="O264" s="18">
        <f t="shared" si="165"/>
        <v>0</v>
      </c>
      <c r="P264" s="18">
        <f t="shared" si="165"/>
        <v>0</v>
      </c>
      <c r="Q264" s="18">
        <f t="shared" si="165"/>
        <v>0</v>
      </c>
      <c r="R264" s="26">
        <f t="shared" si="154"/>
        <v>0</v>
      </c>
      <c r="S264" s="18">
        <f t="shared" si="166"/>
        <v>0</v>
      </c>
      <c r="T264" s="18">
        <f t="shared" si="166"/>
        <v>0</v>
      </c>
      <c r="U264" s="18">
        <f t="shared" si="166"/>
        <v>0</v>
      </c>
      <c r="V264" s="27">
        <f t="shared" si="166"/>
        <v>0</v>
      </c>
      <c r="W264" s="18">
        <f t="shared" si="166"/>
        <v>0</v>
      </c>
      <c r="X264" s="18">
        <f t="shared" si="166"/>
        <v>0</v>
      </c>
      <c r="Y264" s="18">
        <f t="shared" si="166"/>
        <v>0</v>
      </c>
      <c r="Z264" s="162" t="b">
        <f t="shared" si="155"/>
        <v>1</v>
      </c>
      <c r="AA264" s="162" t="str">
        <f t="shared" si="156"/>
        <v>PRAZNO</v>
      </c>
      <c r="AC264" s="164"/>
    </row>
    <row r="265" spans="1:29" ht="15.75" hidden="1" customHeight="1" x14ac:dyDescent="0.2">
      <c r="B265" s="177"/>
      <c r="C265" s="177"/>
      <c r="D265" s="177"/>
      <c r="E265" s="177">
        <v>4251</v>
      </c>
      <c r="F265" s="176" t="s">
        <v>537</v>
      </c>
      <c r="G265" s="176"/>
      <c r="H265" s="16" t="s">
        <v>840</v>
      </c>
      <c r="I265" s="18">
        <v>4678.7</v>
      </c>
      <c r="J265" s="18"/>
      <c r="K265" s="18">
        <v>0</v>
      </c>
      <c r="L265" s="18">
        <v>0</v>
      </c>
      <c r="M265" s="18" t="e">
        <f t="shared" si="157"/>
        <v>#DIV/0!</v>
      </c>
      <c r="N265" s="18">
        <f t="shared" si="158"/>
        <v>0</v>
      </c>
      <c r="O265" s="18"/>
      <c r="P265" s="18"/>
      <c r="Q265" s="18"/>
      <c r="R265" s="26">
        <f t="shared" si="154"/>
        <v>0</v>
      </c>
      <c r="S265" s="18"/>
      <c r="T265" s="18"/>
      <c r="U265" s="18"/>
      <c r="V265" s="27"/>
      <c r="W265" s="18"/>
      <c r="X265" s="18"/>
      <c r="Y265" s="18"/>
      <c r="Z265" s="162" t="b">
        <f t="shared" si="155"/>
        <v>0</v>
      </c>
      <c r="AA265" s="162" t="str">
        <f t="shared" si="156"/>
        <v>PUNO</v>
      </c>
      <c r="AC265" s="164"/>
    </row>
    <row r="266" spans="1:29" s="171" customFormat="1" ht="35.25" customHeight="1" x14ac:dyDescent="0.2">
      <c r="A266" s="259"/>
      <c r="B266" s="168"/>
      <c r="C266" s="168"/>
      <c r="D266" s="168"/>
      <c r="E266" s="168"/>
      <c r="F266" s="168"/>
      <c r="G266" s="168"/>
      <c r="H266" s="31" t="s">
        <v>40</v>
      </c>
      <c r="I266" s="19"/>
      <c r="J266" s="19"/>
      <c r="K266" s="19"/>
      <c r="L266" s="19"/>
      <c r="M266" s="19"/>
      <c r="N266" s="19"/>
      <c r="O266" s="19"/>
      <c r="P266" s="19"/>
      <c r="Q266" s="19"/>
      <c r="R266" s="303"/>
      <c r="S266" s="19"/>
      <c r="T266" s="19"/>
      <c r="U266" s="19"/>
      <c r="V266" s="53"/>
      <c r="W266" s="19"/>
      <c r="X266" s="19"/>
      <c r="Y266" s="19"/>
      <c r="Z266" s="162" t="b">
        <f t="shared" si="155"/>
        <v>1</v>
      </c>
      <c r="AA266" s="162" t="str">
        <f t="shared" si="156"/>
        <v>PRAZNO</v>
      </c>
      <c r="AB266" s="170"/>
      <c r="AC266" s="164"/>
    </row>
    <row r="267" spans="1:29" ht="15.75" hidden="1" customHeight="1" x14ac:dyDescent="0.2">
      <c r="B267" s="177"/>
      <c r="C267" s="177"/>
      <c r="D267" s="177"/>
      <c r="E267" s="177"/>
      <c r="F267" s="176"/>
      <c r="G267" s="176"/>
      <c r="H267" s="16"/>
      <c r="I267" s="18"/>
      <c r="J267" s="27"/>
      <c r="K267" s="18"/>
      <c r="L267" s="18"/>
      <c r="M267" s="18"/>
      <c r="N267" s="18"/>
      <c r="O267" s="178"/>
      <c r="P267" s="178"/>
      <c r="Q267" s="178"/>
      <c r="R267" s="26"/>
      <c r="S267" s="178"/>
      <c r="T267" s="18"/>
      <c r="U267" s="18"/>
      <c r="V267" s="266"/>
      <c r="W267" s="266"/>
      <c r="X267" s="266"/>
      <c r="Y267" s="266"/>
      <c r="Z267" s="162" t="b">
        <f t="shared" ref="Z267:Z279" si="167">ISBLANK(E267)</f>
        <v>1</v>
      </c>
      <c r="AA267" s="162" t="str">
        <f t="shared" ref="AA267:AA279" si="168">IF(Z267,"PRAZNO","PUNO")</f>
        <v>PRAZNO</v>
      </c>
      <c r="AC267" s="164"/>
    </row>
    <row r="268" spans="1:29" ht="15.75" hidden="1" customHeight="1" x14ac:dyDescent="0.2">
      <c r="B268" s="177"/>
      <c r="C268" s="177"/>
      <c r="D268" s="177"/>
      <c r="E268" s="177"/>
      <c r="F268" s="176"/>
      <c r="G268" s="176"/>
      <c r="H268" s="16"/>
      <c r="I268" s="18"/>
      <c r="J268" s="27"/>
      <c r="K268" s="18"/>
      <c r="L268" s="18"/>
      <c r="M268" s="18"/>
      <c r="N268" s="18"/>
      <c r="O268" s="178"/>
      <c r="P268" s="178"/>
      <c r="Q268" s="178"/>
      <c r="R268" s="26"/>
      <c r="S268" s="178"/>
      <c r="T268" s="18"/>
      <c r="U268" s="18"/>
      <c r="V268" s="266"/>
      <c r="W268" s="266"/>
      <c r="X268" s="266"/>
      <c r="Y268" s="266"/>
      <c r="Z268" s="162" t="b">
        <f t="shared" si="167"/>
        <v>1</v>
      </c>
      <c r="AA268" s="162" t="str">
        <f t="shared" si="168"/>
        <v>PRAZNO</v>
      </c>
      <c r="AC268" s="164"/>
    </row>
    <row r="269" spans="1:29" s="171" customFormat="1" ht="45.75" customHeight="1" x14ac:dyDescent="0.2">
      <c r="A269" s="259"/>
      <c r="B269" s="209"/>
      <c r="C269" s="209"/>
      <c r="D269" s="209"/>
      <c r="E269" s="209"/>
      <c r="F269" s="219"/>
      <c r="G269" s="219"/>
      <c r="H269" s="12" t="s">
        <v>293</v>
      </c>
      <c r="I269" s="242"/>
      <c r="J269" s="305">
        <f t="shared" ref="J269:Q269" si="169">J271</f>
        <v>0</v>
      </c>
      <c r="K269" s="305">
        <f t="shared" si="169"/>
        <v>0</v>
      </c>
      <c r="L269" s="305">
        <f t="shared" si="169"/>
        <v>0</v>
      </c>
      <c r="M269" s="305">
        <f t="shared" si="169"/>
        <v>0</v>
      </c>
      <c r="N269" s="305">
        <f t="shared" si="169"/>
        <v>0</v>
      </c>
      <c r="O269" s="305">
        <f t="shared" si="169"/>
        <v>0</v>
      </c>
      <c r="P269" s="301">
        <f t="shared" si="169"/>
        <v>0</v>
      </c>
      <c r="Q269" s="301">
        <f t="shared" si="169"/>
        <v>0</v>
      </c>
      <c r="R269" s="303">
        <f>V269-P269</f>
        <v>0</v>
      </c>
      <c r="S269" s="301">
        <f t="shared" ref="S269:Y269" si="170">S271</f>
        <v>0</v>
      </c>
      <c r="T269" s="301">
        <f t="shared" si="170"/>
        <v>0</v>
      </c>
      <c r="U269" s="301">
        <f t="shared" si="170"/>
        <v>200000</v>
      </c>
      <c r="V269" s="305">
        <f t="shared" si="170"/>
        <v>0</v>
      </c>
      <c r="W269" s="301">
        <f t="shared" si="170"/>
        <v>300000</v>
      </c>
      <c r="X269" s="301">
        <f t="shared" si="170"/>
        <v>300000</v>
      </c>
      <c r="Y269" s="301">
        <f t="shared" si="170"/>
        <v>300000</v>
      </c>
      <c r="Z269" s="162" t="b">
        <f t="shared" si="167"/>
        <v>1</v>
      </c>
      <c r="AA269" s="162" t="str">
        <f t="shared" si="168"/>
        <v>PRAZNO</v>
      </c>
      <c r="AB269" s="170"/>
    </row>
    <row r="270" spans="1:29" s="264" customFormat="1" ht="18.75" customHeight="1" x14ac:dyDescent="0.2">
      <c r="A270" s="259"/>
      <c r="B270" s="177"/>
      <c r="C270" s="177"/>
      <c r="D270" s="177"/>
      <c r="E270" s="177"/>
      <c r="F270" s="265"/>
      <c r="G270" s="265"/>
      <c r="H270" s="441" t="s">
        <v>824</v>
      </c>
      <c r="I270" s="178"/>
      <c r="J270" s="430"/>
      <c r="K270" s="430"/>
      <c r="L270" s="430"/>
      <c r="M270" s="430"/>
      <c r="N270" s="430"/>
      <c r="O270" s="430"/>
      <c r="P270" s="462"/>
      <c r="Q270" s="462"/>
      <c r="R270" s="445"/>
      <c r="S270" s="462"/>
      <c r="T270" s="462"/>
      <c r="U270" s="462"/>
      <c r="V270" s="430"/>
      <c r="W270" s="462">
        <f t="shared" ref="W270:Y273" si="171">W271</f>
        <v>300000</v>
      </c>
      <c r="X270" s="462">
        <f t="shared" si="171"/>
        <v>300000</v>
      </c>
      <c r="Y270" s="462">
        <f t="shared" si="171"/>
        <v>300000</v>
      </c>
      <c r="Z270" s="162" t="b">
        <f t="shared" si="167"/>
        <v>1</v>
      </c>
      <c r="AA270" s="162" t="str">
        <f t="shared" si="168"/>
        <v>PRAZNO</v>
      </c>
      <c r="AB270" s="263"/>
    </row>
    <row r="271" spans="1:29" s="174" customFormat="1" ht="17.25" customHeight="1" x14ac:dyDescent="0.2">
      <c r="A271" s="259"/>
      <c r="B271" s="172">
        <v>3</v>
      </c>
      <c r="C271" s="172"/>
      <c r="D271" s="172"/>
      <c r="E271" s="172"/>
      <c r="F271" s="220"/>
      <c r="G271" s="220"/>
      <c r="H271" s="14" t="s">
        <v>524</v>
      </c>
      <c r="I271" s="184"/>
      <c r="J271" s="185">
        <f t="shared" ref="J271:Q273" si="172">J272</f>
        <v>0</v>
      </c>
      <c r="K271" s="185">
        <f t="shared" si="172"/>
        <v>0</v>
      </c>
      <c r="L271" s="185">
        <f t="shared" si="172"/>
        <v>0</v>
      </c>
      <c r="M271" s="185">
        <f t="shared" si="172"/>
        <v>0</v>
      </c>
      <c r="N271" s="185">
        <f t="shared" si="172"/>
        <v>0</v>
      </c>
      <c r="O271" s="185">
        <f t="shared" si="172"/>
        <v>0</v>
      </c>
      <c r="P271" s="184">
        <f t="shared" si="172"/>
        <v>0</v>
      </c>
      <c r="Q271" s="184">
        <f t="shared" si="172"/>
        <v>0</v>
      </c>
      <c r="R271" s="55">
        <f>V271-P271</f>
        <v>0</v>
      </c>
      <c r="S271" s="184">
        <f t="shared" ref="S271:V273" si="173">S272</f>
        <v>0</v>
      </c>
      <c r="T271" s="184">
        <f t="shared" si="173"/>
        <v>0</v>
      </c>
      <c r="U271" s="184">
        <f t="shared" si="173"/>
        <v>200000</v>
      </c>
      <c r="V271" s="185">
        <f t="shared" si="173"/>
        <v>0</v>
      </c>
      <c r="W271" s="184">
        <f t="shared" si="171"/>
        <v>300000</v>
      </c>
      <c r="X271" s="184">
        <f t="shared" si="171"/>
        <v>300000</v>
      </c>
      <c r="Y271" s="184">
        <f t="shared" si="171"/>
        <v>300000</v>
      </c>
      <c r="Z271" s="162" t="b">
        <f t="shared" si="167"/>
        <v>1</v>
      </c>
      <c r="AA271" s="162" t="str">
        <f t="shared" si="168"/>
        <v>PRAZNO</v>
      </c>
      <c r="AB271" s="173"/>
    </row>
    <row r="272" spans="1:29" ht="33" customHeight="1" x14ac:dyDescent="0.2">
      <c r="B272" s="177"/>
      <c r="C272" s="177">
        <v>36</v>
      </c>
      <c r="D272" s="177"/>
      <c r="E272" s="177"/>
      <c r="F272" s="176"/>
      <c r="G272" s="176"/>
      <c r="H272" s="16" t="s">
        <v>751</v>
      </c>
      <c r="I272" s="18"/>
      <c r="J272" s="27">
        <f t="shared" si="172"/>
        <v>0</v>
      </c>
      <c r="K272" s="27">
        <f t="shared" si="172"/>
        <v>0</v>
      </c>
      <c r="L272" s="27">
        <f t="shared" si="172"/>
        <v>0</v>
      </c>
      <c r="M272" s="27">
        <f t="shared" si="172"/>
        <v>0</v>
      </c>
      <c r="N272" s="27">
        <f t="shared" si="172"/>
        <v>0</v>
      </c>
      <c r="O272" s="27">
        <f t="shared" si="172"/>
        <v>0</v>
      </c>
      <c r="P272" s="18">
        <f t="shared" si="172"/>
        <v>0</v>
      </c>
      <c r="Q272" s="18">
        <f t="shared" si="172"/>
        <v>0</v>
      </c>
      <c r="R272" s="26">
        <f>V272-P272</f>
        <v>0</v>
      </c>
      <c r="S272" s="18">
        <f t="shared" si="173"/>
        <v>0</v>
      </c>
      <c r="T272" s="18">
        <f t="shared" si="173"/>
        <v>0</v>
      </c>
      <c r="U272" s="18">
        <f t="shared" si="173"/>
        <v>200000</v>
      </c>
      <c r="V272" s="27">
        <f t="shared" si="173"/>
        <v>0</v>
      </c>
      <c r="W272" s="18">
        <f t="shared" si="171"/>
        <v>300000</v>
      </c>
      <c r="X272" s="18">
        <f t="shared" si="171"/>
        <v>300000</v>
      </c>
      <c r="Y272" s="18">
        <f t="shared" si="171"/>
        <v>300000</v>
      </c>
      <c r="Z272" s="162" t="b">
        <f t="shared" si="167"/>
        <v>1</v>
      </c>
      <c r="AA272" s="162" t="str">
        <f t="shared" si="168"/>
        <v>PRAZNO</v>
      </c>
      <c r="AC272" s="164"/>
    </row>
    <row r="273" spans="1:29" ht="18" customHeight="1" x14ac:dyDescent="0.2">
      <c r="B273" s="177"/>
      <c r="C273" s="177"/>
      <c r="D273" s="177">
        <v>363</v>
      </c>
      <c r="E273" s="177"/>
      <c r="F273" s="176"/>
      <c r="G273" s="176"/>
      <c r="H273" s="16" t="s">
        <v>536</v>
      </c>
      <c r="I273" s="18"/>
      <c r="J273" s="27">
        <f t="shared" si="172"/>
        <v>0</v>
      </c>
      <c r="K273" s="27">
        <f t="shared" si="172"/>
        <v>0</v>
      </c>
      <c r="L273" s="27">
        <f t="shared" si="172"/>
        <v>0</v>
      </c>
      <c r="M273" s="27">
        <f t="shared" si="172"/>
        <v>0</v>
      </c>
      <c r="N273" s="27">
        <f t="shared" si="172"/>
        <v>0</v>
      </c>
      <c r="O273" s="27">
        <f t="shared" si="172"/>
        <v>0</v>
      </c>
      <c r="P273" s="18">
        <f t="shared" si="172"/>
        <v>0</v>
      </c>
      <c r="Q273" s="18">
        <f t="shared" si="172"/>
        <v>0</v>
      </c>
      <c r="R273" s="26">
        <f>V273-P273</f>
        <v>0</v>
      </c>
      <c r="S273" s="18">
        <f t="shared" si="173"/>
        <v>0</v>
      </c>
      <c r="T273" s="18">
        <f t="shared" si="173"/>
        <v>0</v>
      </c>
      <c r="U273" s="18">
        <f t="shared" si="173"/>
        <v>200000</v>
      </c>
      <c r="V273" s="27">
        <f t="shared" si="173"/>
        <v>0</v>
      </c>
      <c r="W273" s="18">
        <f t="shared" si="171"/>
        <v>300000</v>
      </c>
      <c r="X273" s="18">
        <f t="shared" si="171"/>
        <v>300000</v>
      </c>
      <c r="Y273" s="18">
        <f t="shared" si="171"/>
        <v>300000</v>
      </c>
      <c r="Z273" s="162" t="b">
        <f t="shared" si="167"/>
        <v>1</v>
      </c>
      <c r="AA273" s="162" t="str">
        <f t="shared" si="168"/>
        <v>PRAZNO</v>
      </c>
      <c r="AC273" s="164"/>
    </row>
    <row r="274" spans="1:29" ht="33" customHeight="1" x14ac:dyDescent="0.2">
      <c r="B274" s="177"/>
      <c r="C274" s="177"/>
      <c r="D274" s="177"/>
      <c r="E274" s="177">
        <v>3632</v>
      </c>
      <c r="F274" s="176">
        <v>14</v>
      </c>
      <c r="G274" s="176"/>
      <c r="H274" s="16" t="s">
        <v>227</v>
      </c>
      <c r="I274" s="18"/>
      <c r="J274" s="27">
        <v>0</v>
      </c>
      <c r="K274" s="27">
        <v>0</v>
      </c>
      <c r="L274" s="27">
        <v>0</v>
      </c>
      <c r="M274" s="27">
        <v>0</v>
      </c>
      <c r="N274" s="27">
        <v>0</v>
      </c>
      <c r="O274" s="27">
        <v>0</v>
      </c>
      <c r="P274" s="18">
        <v>0</v>
      </c>
      <c r="Q274" s="18">
        <v>0</v>
      </c>
      <c r="R274" s="26">
        <f>V274-P274</f>
        <v>0</v>
      </c>
      <c r="S274" s="18">
        <v>0</v>
      </c>
      <c r="T274" s="18">
        <v>0</v>
      </c>
      <c r="U274" s="18">
        <v>200000</v>
      </c>
      <c r="V274" s="27">
        <v>0</v>
      </c>
      <c r="W274" s="18">
        <v>300000</v>
      </c>
      <c r="X274" s="18">
        <v>300000</v>
      </c>
      <c r="Y274" s="18">
        <v>300000</v>
      </c>
      <c r="Z274" s="162" t="b">
        <f t="shared" si="167"/>
        <v>0</v>
      </c>
      <c r="AA274" s="162" t="str">
        <f t="shared" si="168"/>
        <v>PUNO</v>
      </c>
      <c r="AC274" s="164"/>
    </row>
    <row r="275" spans="1:29" s="207" customFormat="1" ht="45" hidden="1" customHeight="1" x14ac:dyDescent="0.25">
      <c r="A275" s="378"/>
      <c r="B275" s="168"/>
      <c r="C275" s="168"/>
      <c r="D275" s="168"/>
      <c r="E275" s="168"/>
      <c r="F275" s="322"/>
      <c r="G275" s="322"/>
      <c r="H275" s="13" t="s">
        <v>875</v>
      </c>
      <c r="I275" s="308"/>
      <c r="J275" s="323"/>
      <c r="K275" s="323"/>
      <c r="L275" s="323"/>
      <c r="M275" s="323"/>
      <c r="N275" s="323"/>
      <c r="O275" s="323"/>
      <c r="P275" s="308"/>
      <c r="Q275" s="308"/>
      <c r="R275" s="53"/>
      <c r="S275" s="308"/>
      <c r="T275" s="308"/>
      <c r="U275" s="308"/>
      <c r="V275" s="323"/>
      <c r="W275" s="308">
        <f t="shared" ref="W275:Y278" si="174">W276</f>
        <v>0</v>
      </c>
      <c r="X275" s="308">
        <f t="shared" si="174"/>
        <v>0</v>
      </c>
      <c r="Y275" s="308">
        <f t="shared" si="174"/>
        <v>0</v>
      </c>
      <c r="Z275" s="162" t="b">
        <f t="shared" si="167"/>
        <v>1</v>
      </c>
      <c r="AA275" s="162" t="str">
        <f t="shared" si="168"/>
        <v>PRAZNO</v>
      </c>
      <c r="AB275" s="206"/>
    </row>
    <row r="276" spans="1:29" s="174" customFormat="1" ht="18" hidden="1" customHeight="1" x14ac:dyDescent="0.2">
      <c r="A276" s="259"/>
      <c r="B276" s="172">
        <v>3</v>
      </c>
      <c r="C276" s="172"/>
      <c r="D276" s="172"/>
      <c r="E276" s="172"/>
      <c r="F276" s="220"/>
      <c r="G276" s="220"/>
      <c r="H276" s="14" t="s">
        <v>524</v>
      </c>
      <c r="I276" s="184"/>
      <c r="J276" s="185"/>
      <c r="K276" s="185"/>
      <c r="L276" s="185"/>
      <c r="M276" s="185"/>
      <c r="N276" s="185"/>
      <c r="O276" s="185"/>
      <c r="P276" s="184"/>
      <c r="Q276" s="184"/>
      <c r="R276" s="55"/>
      <c r="S276" s="184"/>
      <c r="T276" s="184"/>
      <c r="U276" s="184"/>
      <c r="V276" s="185"/>
      <c r="W276" s="184">
        <f t="shared" si="174"/>
        <v>0</v>
      </c>
      <c r="X276" s="184">
        <f t="shared" si="174"/>
        <v>0</v>
      </c>
      <c r="Y276" s="184">
        <f t="shared" si="174"/>
        <v>0</v>
      </c>
      <c r="Z276" s="162" t="b">
        <f t="shared" si="167"/>
        <v>1</v>
      </c>
      <c r="AA276" s="162" t="str">
        <f t="shared" si="168"/>
        <v>PRAZNO</v>
      </c>
      <c r="AB276" s="173"/>
    </row>
    <row r="277" spans="1:29" ht="21" hidden="1" customHeight="1" x14ac:dyDescent="0.2">
      <c r="B277" s="177"/>
      <c r="C277" s="177">
        <v>35</v>
      </c>
      <c r="D277" s="177"/>
      <c r="E277" s="177"/>
      <c r="F277" s="176"/>
      <c r="G277" s="176"/>
      <c r="H277" s="16" t="s">
        <v>749</v>
      </c>
      <c r="I277" s="18"/>
      <c r="J277" s="27"/>
      <c r="K277" s="27"/>
      <c r="L277" s="27"/>
      <c r="M277" s="27"/>
      <c r="N277" s="27"/>
      <c r="O277" s="27"/>
      <c r="P277" s="18"/>
      <c r="Q277" s="18"/>
      <c r="R277" s="26"/>
      <c r="S277" s="18"/>
      <c r="T277" s="18"/>
      <c r="U277" s="18"/>
      <c r="V277" s="27"/>
      <c r="W277" s="18">
        <f t="shared" si="174"/>
        <v>0</v>
      </c>
      <c r="X277" s="18">
        <f t="shared" si="174"/>
        <v>0</v>
      </c>
      <c r="Y277" s="18">
        <f t="shared" si="174"/>
        <v>0</v>
      </c>
      <c r="Z277" s="162" t="b">
        <f t="shared" si="167"/>
        <v>1</v>
      </c>
      <c r="AA277" s="162" t="str">
        <f t="shared" si="168"/>
        <v>PRAZNO</v>
      </c>
      <c r="AC277" s="164"/>
    </row>
    <row r="278" spans="1:29" ht="33" hidden="1" customHeight="1" x14ac:dyDescent="0.2">
      <c r="B278" s="177"/>
      <c r="C278" s="177"/>
      <c r="D278" s="177">
        <v>352</v>
      </c>
      <c r="E278" s="177"/>
      <c r="F278" s="176"/>
      <c r="G278" s="176"/>
      <c r="H278" s="16" t="s">
        <v>748</v>
      </c>
      <c r="I278" s="18"/>
      <c r="J278" s="27"/>
      <c r="K278" s="27"/>
      <c r="L278" s="27"/>
      <c r="M278" s="27"/>
      <c r="N278" s="27"/>
      <c r="O278" s="27"/>
      <c r="P278" s="18"/>
      <c r="Q278" s="18"/>
      <c r="R278" s="26"/>
      <c r="S278" s="18"/>
      <c r="T278" s="18"/>
      <c r="U278" s="18"/>
      <c r="V278" s="27"/>
      <c r="W278" s="18">
        <f t="shared" si="174"/>
        <v>0</v>
      </c>
      <c r="X278" s="18">
        <f t="shared" si="174"/>
        <v>0</v>
      </c>
      <c r="Y278" s="18">
        <f t="shared" si="174"/>
        <v>0</v>
      </c>
      <c r="Z278" s="162" t="b">
        <f t="shared" si="167"/>
        <v>1</v>
      </c>
      <c r="AA278" s="162" t="str">
        <f t="shared" si="168"/>
        <v>PRAZNO</v>
      </c>
      <c r="AC278" s="164"/>
    </row>
    <row r="279" spans="1:29" ht="23.25" hidden="1" customHeight="1" x14ac:dyDescent="0.2">
      <c r="B279" s="177"/>
      <c r="C279" s="177"/>
      <c r="D279" s="177"/>
      <c r="E279" s="177">
        <v>3522</v>
      </c>
      <c r="F279" s="176">
        <v>14</v>
      </c>
      <c r="G279" s="176"/>
      <c r="H279" s="16" t="s">
        <v>498</v>
      </c>
      <c r="I279" s="18"/>
      <c r="J279" s="27"/>
      <c r="K279" s="27"/>
      <c r="L279" s="27"/>
      <c r="M279" s="27"/>
      <c r="N279" s="27"/>
      <c r="O279" s="27"/>
      <c r="P279" s="18"/>
      <c r="Q279" s="18"/>
      <c r="R279" s="26"/>
      <c r="S279" s="18"/>
      <c r="T279" s="18"/>
      <c r="U279" s="18"/>
      <c r="V279" s="27"/>
      <c r="W279" s="18">
        <v>0</v>
      </c>
      <c r="X279" s="18">
        <v>0</v>
      </c>
      <c r="Y279" s="18">
        <v>0</v>
      </c>
      <c r="Z279" s="162" t="b">
        <f t="shared" si="167"/>
        <v>0</v>
      </c>
      <c r="AA279" s="162" t="str">
        <f t="shared" si="168"/>
        <v>PUNO</v>
      </c>
      <c r="AC279" s="164"/>
    </row>
    <row r="280" spans="1:29" ht="15.75" hidden="1" x14ac:dyDescent="0.2">
      <c r="B280" s="177"/>
      <c r="C280" s="177"/>
      <c r="D280" s="177"/>
      <c r="E280" s="177">
        <v>3811</v>
      </c>
      <c r="F280" s="176" t="s">
        <v>527</v>
      </c>
      <c r="G280" s="176"/>
      <c r="H280" s="16" t="s">
        <v>278</v>
      </c>
      <c r="I280" s="18">
        <v>0</v>
      </c>
      <c r="J280" s="27">
        <v>55553.31</v>
      </c>
      <c r="K280" s="18"/>
      <c r="L280" s="18"/>
      <c r="M280" s="18" t="e">
        <f>ROUND(L280/K280*100,2)</f>
        <v>#DIV/0!</v>
      </c>
      <c r="N280" s="18">
        <f>O280-K280</f>
        <v>0</v>
      </c>
      <c r="O280" s="18"/>
      <c r="P280" s="18"/>
      <c r="Q280" s="18"/>
      <c r="R280" s="26">
        <f>V280-P280</f>
        <v>0</v>
      </c>
      <c r="S280" s="18"/>
      <c r="T280" s="18"/>
      <c r="U280" s="18"/>
      <c r="V280" s="27"/>
      <c r="W280" s="18"/>
      <c r="X280" s="18"/>
      <c r="Y280" s="18"/>
      <c r="Z280" s="162" t="b">
        <f t="shared" ref="Z280:Z293" si="175">ISBLANK(E280)</f>
        <v>0</v>
      </c>
      <c r="AA280" s="162" t="str">
        <f t="shared" ref="AA280:AA293" si="176">IF(Z280,"PRAZNO","PUNO")</f>
        <v>PUNO</v>
      </c>
      <c r="AC280" s="164"/>
    </row>
    <row r="281" spans="1:29" ht="15.75" hidden="1" x14ac:dyDescent="0.2">
      <c r="B281" s="177"/>
      <c r="C281" s="177"/>
      <c r="D281" s="177" t="str">
        <f>LEFT(E282,3)</f>
        <v>382</v>
      </c>
      <c r="E281" s="177"/>
      <c r="F281" s="177"/>
      <c r="G281" s="177"/>
      <c r="H281" s="43" t="s">
        <v>230</v>
      </c>
      <c r="I281" s="17">
        <f>I282</f>
        <v>122465.19</v>
      </c>
      <c r="J281" s="26">
        <f>J282</f>
        <v>0</v>
      </c>
      <c r="K281" s="17">
        <f>K282</f>
        <v>0</v>
      </c>
      <c r="L281" s="17">
        <f>L282</f>
        <v>0</v>
      </c>
      <c r="M281" s="17" t="e">
        <f>ROUND(L281/K281*100,2)</f>
        <v>#DIV/0!</v>
      </c>
      <c r="N281" s="17">
        <f>O281-K281</f>
        <v>0</v>
      </c>
      <c r="O281" s="17">
        <f>O282</f>
        <v>0</v>
      </c>
      <c r="P281" s="17">
        <f>P282</f>
        <v>0</v>
      </c>
      <c r="Q281" s="17">
        <f>Q282</f>
        <v>0</v>
      </c>
      <c r="R281" s="26">
        <f>V281-P281</f>
        <v>0</v>
      </c>
      <c r="S281" s="17">
        <f t="shared" ref="S281:Y281" si="177">S282</f>
        <v>0</v>
      </c>
      <c r="T281" s="17">
        <f t="shared" si="177"/>
        <v>0</v>
      </c>
      <c r="U281" s="17">
        <f t="shared" si="177"/>
        <v>0</v>
      </c>
      <c r="V281" s="26">
        <f t="shared" si="177"/>
        <v>0</v>
      </c>
      <c r="W281" s="17">
        <f t="shared" si="177"/>
        <v>0</v>
      </c>
      <c r="X281" s="17">
        <f t="shared" si="177"/>
        <v>0</v>
      </c>
      <c r="Y281" s="17">
        <f t="shared" si="177"/>
        <v>0</v>
      </c>
      <c r="Z281" s="162" t="b">
        <f t="shared" si="175"/>
        <v>1</v>
      </c>
      <c r="AA281" s="162" t="str">
        <f t="shared" si="176"/>
        <v>PRAZNO</v>
      </c>
      <c r="AC281" s="164"/>
    </row>
    <row r="282" spans="1:29" ht="30" hidden="1" x14ac:dyDescent="0.2">
      <c r="B282" s="177"/>
      <c r="C282" s="177"/>
      <c r="D282" s="177"/>
      <c r="E282" s="177">
        <v>3821</v>
      </c>
      <c r="F282" s="176" t="s">
        <v>527</v>
      </c>
      <c r="G282" s="176" t="s">
        <v>424</v>
      </c>
      <c r="H282" s="16" t="s">
        <v>183</v>
      </c>
      <c r="I282" s="18">
        <v>122465.19</v>
      </c>
      <c r="J282" s="27">
        <v>0</v>
      </c>
      <c r="K282" s="18"/>
      <c r="L282" s="18"/>
      <c r="M282" s="18" t="e">
        <f>ROUND(L282/K282*100,2)</f>
        <v>#DIV/0!</v>
      </c>
      <c r="N282" s="18">
        <f>O282-K282</f>
        <v>0</v>
      </c>
      <c r="O282" s="18"/>
      <c r="P282" s="18"/>
      <c r="Q282" s="18"/>
      <c r="R282" s="26">
        <f>V282-P282</f>
        <v>0</v>
      </c>
      <c r="S282" s="18"/>
      <c r="T282" s="18"/>
      <c r="U282" s="18"/>
      <c r="V282" s="27"/>
      <c r="W282" s="18"/>
      <c r="X282" s="18"/>
      <c r="Y282" s="18"/>
      <c r="Z282" s="162" t="b">
        <f t="shared" si="175"/>
        <v>0</v>
      </c>
      <c r="AA282" s="162" t="str">
        <f t="shared" si="176"/>
        <v>PUNO</v>
      </c>
      <c r="AC282" s="164"/>
    </row>
    <row r="283" spans="1:29" s="164" customFormat="1" ht="31.5" x14ac:dyDescent="0.2">
      <c r="A283" s="259"/>
      <c r="B283" s="194"/>
      <c r="C283" s="194"/>
      <c r="D283" s="194"/>
      <c r="E283" s="194"/>
      <c r="F283" s="194"/>
      <c r="G283" s="194"/>
      <c r="H283" s="32" t="s">
        <v>846</v>
      </c>
      <c r="I283" s="195" t="e">
        <f>#REF!+#REF!+I284</f>
        <v>#REF!</v>
      </c>
      <c r="J283" s="330" t="e">
        <f>J284+#REF!+J296</f>
        <v>#REF!</v>
      </c>
      <c r="K283" s="330" t="e">
        <f>K284+#REF!+K296</f>
        <v>#REF!</v>
      </c>
      <c r="L283" s="330" t="e">
        <f>L284+#REF!+L296</f>
        <v>#REF!</v>
      </c>
      <c r="M283" s="330" t="e">
        <f>M284+#REF!+M296</f>
        <v>#REF!</v>
      </c>
      <c r="N283" s="330" t="e">
        <f>N284+#REF!+N296</f>
        <v>#REF!</v>
      </c>
      <c r="O283" s="330" t="e">
        <f>O284+#REF!+O296</f>
        <v>#REF!</v>
      </c>
      <c r="P283" s="330" t="e">
        <f>P284+#REF!+P296</f>
        <v>#REF!</v>
      </c>
      <c r="Q283" s="330" t="e">
        <f>Q284+#REF!+Q296</f>
        <v>#REF!</v>
      </c>
      <c r="R283" s="351" t="e">
        <f>V283-P283</f>
        <v>#REF!</v>
      </c>
      <c r="S283" s="195" t="e">
        <f>#REF!+#REF!+S284</f>
        <v>#REF!</v>
      </c>
      <c r="T283" s="195" t="e">
        <f>#REF!+#REF!+T284</f>
        <v>#REF!</v>
      </c>
      <c r="U283" s="195" t="e">
        <f>#REF!+#REF!+U284</f>
        <v>#REF!</v>
      </c>
      <c r="V283" s="197" t="e">
        <f>V284+#REF!+V296</f>
        <v>#REF!</v>
      </c>
      <c r="W283" s="197">
        <f>W284+W296</f>
        <v>21000</v>
      </c>
      <c r="X283" s="197">
        <f>X284+X296</f>
        <v>21000</v>
      </c>
      <c r="Y283" s="197">
        <f>Y284+Y296</f>
        <v>19000</v>
      </c>
      <c r="Z283" s="162" t="b">
        <f t="shared" si="175"/>
        <v>1</v>
      </c>
      <c r="AA283" s="162" t="str">
        <f t="shared" si="176"/>
        <v>PRAZNO</v>
      </c>
      <c r="AB283" s="163"/>
    </row>
    <row r="284" spans="1:29" s="164" customFormat="1" ht="31.5" customHeight="1" x14ac:dyDescent="0.2">
      <c r="A284" s="259"/>
      <c r="B284" s="194"/>
      <c r="C284" s="194"/>
      <c r="D284" s="194"/>
      <c r="E284" s="194"/>
      <c r="F284" s="194"/>
      <c r="G284" s="194"/>
      <c r="H284" s="21" t="s">
        <v>847</v>
      </c>
      <c r="I284" s="195" t="e">
        <f t="shared" ref="I284:Q284" si="178">I286</f>
        <v>#REF!</v>
      </c>
      <c r="J284" s="330" t="e">
        <f t="shared" si="178"/>
        <v>#REF!</v>
      </c>
      <c r="K284" s="330" t="e">
        <f t="shared" si="178"/>
        <v>#REF!</v>
      </c>
      <c r="L284" s="330" t="e">
        <f t="shared" si="178"/>
        <v>#REF!</v>
      </c>
      <c r="M284" s="330" t="e">
        <f t="shared" si="178"/>
        <v>#REF!</v>
      </c>
      <c r="N284" s="330" t="e">
        <f t="shared" si="178"/>
        <v>#REF!</v>
      </c>
      <c r="O284" s="330" t="e">
        <f t="shared" si="178"/>
        <v>#REF!</v>
      </c>
      <c r="P284" s="330" t="e">
        <f t="shared" si="178"/>
        <v>#REF!</v>
      </c>
      <c r="Q284" s="330" t="e">
        <f t="shared" si="178"/>
        <v>#REF!</v>
      </c>
      <c r="R284" s="351" t="e">
        <f>V284-P284</f>
        <v>#REF!</v>
      </c>
      <c r="S284" s="195" t="e">
        <f t="shared" ref="S284:Y284" si="179">S286</f>
        <v>#REF!</v>
      </c>
      <c r="T284" s="195" t="e">
        <f t="shared" si="179"/>
        <v>#REF!</v>
      </c>
      <c r="U284" s="195" t="e">
        <f t="shared" si="179"/>
        <v>#REF!</v>
      </c>
      <c r="V284" s="197" t="e">
        <f t="shared" si="179"/>
        <v>#REF!</v>
      </c>
      <c r="W284" s="195">
        <f t="shared" si="179"/>
        <v>16000</v>
      </c>
      <c r="X284" s="195">
        <f t="shared" si="179"/>
        <v>16000</v>
      </c>
      <c r="Y284" s="195">
        <f t="shared" si="179"/>
        <v>18000</v>
      </c>
      <c r="Z284" s="162" t="b">
        <f t="shared" si="175"/>
        <v>1</v>
      </c>
      <c r="AA284" s="162" t="str">
        <f t="shared" si="176"/>
        <v>PRAZNO</v>
      </c>
      <c r="AB284" s="165"/>
    </row>
    <row r="285" spans="1:29" s="164" customFormat="1" ht="15.75" x14ac:dyDescent="0.2">
      <c r="A285" s="259"/>
      <c r="B285" s="194"/>
      <c r="C285" s="194"/>
      <c r="D285" s="194"/>
      <c r="E285" s="194"/>
      <c r="F285" s="194"/>
      <c r="G285" s="194"/>
      <c r="H285" s="11" t="s">
        <v>765</v>
      </c>
      <c r="I285" s="195"/>
      <c r="J285" s="197"/>
      <c r="K285" s="196"/>
      <c r="L285" s="196"/>
      <c r="M285" s="196" t="e">
        <f>ROUND(L285/K285*100,2)</f>
        <v>#DIV/0!</v>
      </c>
      <c r="N285" s="196"/>
      <c r="O285" s="195"/>
      <c r="P285" s="195"/>
      <c r="Q285" s="195"/>
      <c r="R285" s="353"/>
      <c r="S285" s="195"/>
      <c r="T285" s="195"/>
      <c r="U285" s="195"/>
      <c r="V285" s="197"/>
      <c r="W285" s="195"/>
      <c r="X285" s="195"/>
      <c r="Y285" s="195"/>
      <c r="Z285" s="162" t="b">
        <f t="shared" si="175"/>
        <v>1</v>
      </c>
      <c r="AA285" s="162" t="str">
        <f t="shared" si="176"/>
        <v>PRAZNO</v>
      </c>
      <c r="AB285" s="165"/>
    </row>
    <row r="286" spans="1:29" s="171" customFormat="1" ht="15.75" x14ac:dyDescent="0.2">
      <c r="A286" s="259"/>
      <c r="B286" s="270"/>
      <c r="C286" s="270"/>
      <c r="D286" s="270"/>
      <c r="E286" s="270"/>
      <c r="F286" s="270"/>
      <c r="G286" s="270"/>
      <c r="H286" s="271" t="s">
        <v>719</v>
      </c>
      <c r="I286" s="272" t="e">
        <f>#REF!+I287+#REF!+#REF!</f>
        <v>#REF!</v>
      </c>
      <c r="J286" s="272" t="e">
        <f>#REF!+#REF!+J287</f>
        <v>#REF!</v>
      </c>
      <c r="K286" s="273" t="e">
        <f>#REF!+K287+#REF!+#REF!</f>
        <v>#REF!</v>
      </c>
      <c r="L286" s="273" t="e">
        <f>#REF!+L287+#REF!+#REF!</f>
        <v>#REF!</v>
      </c>
      <c r="M286" s="273" t="e">
        <f>ROUND(L286/K286*100,2)</f>
        <v>#REF!</v>
      </c>
      <c r="N286" s="273" t="e">
        <f>O286-K286</f>
        <v>#REF!</v>
      </c>
      <c r="O286" s="272" t="e">
        <f>#REF!+O287+#REF!</f>
        <v>#REF!</v>
      </c>
      <c r="P286" s="272" t="e">
        <f>#REF!+P287+#REF!</f>
        <v>#REF!</v>
      </c>
      <c r="Q286" s="272" t="e">
        <f>#REF!+Q287+#REF!</f>
        <v>#REF!</v>
      </c>
      <c r="R286" s="336" t="e">
        <f>V286-P286</f>
        <v>#REF!</v>
      </c>
      <c r="S286" s="272" t="e">
        <f>#REF!+S287+#REF!</f>
        <v>#REF!</v>
      </c>
      <c r="T286" s="272" t="e">
        <f>#REF!+T287+#REF!+#REF!</f>
        <v>#REF!</v>
      </c>
      <c r="U286" s="272" t="e">
        <f>#REF!+U287+#REF!+#REF!</f>
        <v>#REF!</v>
      </c>
      <c r="V286" s="275" t="e">
        <f>#REF!+V287+#REF!</f>
        <v>#REF!</v>
      </c>
      <c r="W286" s="272">
        <f>W287</f>
        <v>16000</v>
      </c>
      <c r="X286" s="272">
        <f>X287</f>
        <v>16000</v>
      </c>
      <c r="Y286" s="272">
        <f>Y287</f>
        <v>18000</v>
      </c>
      <c r="Z286" s="162" t="b">
        <f t="shared" si="175"/>
        <v>1</v>
      </c>
      <c r="AA286" s="162" t="str">
        <f t="shared" si="176"/>
        <v>PRAZNO</v>
      </c>
      <c r="AB286" s="170"/>
      <c r="AC286" s="164"/>
    </row>
    <row r="287" spans="1:29" s="171" customFormat="1" ht="31.5" x14ac:dyDescent="0.2">
      <c r="A287" s="259"/>
      <c r="B287" s="168"/>
      <c r="C287" s="168"/>
      <c r="D287" s="168"/>
      <c r="E287" s="168"/>
      <c r="F287" s="168"/>
      <c r="G287" s="168"/>
      <c r="H287" s="12" t="s">
        <v>161</v>
      </c>
      <c r="I287" s="19">
        <f>I289</f>
        <v>79220.179999999993</v>
      </c>
      <c r="J287" s="53">
        <f>J289</f>
        <v>12135.7</v>
      </c>
      <c r="K287" s="169">
        <f>K289</f>
        <v>23500</v>
      </c>
      <c r="L287" s="169">
        <f>L289</f>
        <v>7372.62</v>
      </c>
      <c r="M287" s="169">
        <f>ROUND(L287/K287*100,2)</f>
        <v>31.37</v>
      </c>
      <c r="N287" s="169">
        <f>O287-K287</f>
        <v>-10500.51</v>
      </c>
      <c r="O287" s="19">
        <f>O289</f>
        <v>12999.49</v>
      </c>
      <c r="P287" s="19">
        <f>P289</f>
        <v>26000</v>
      </c>
      <c r="Q287" s="19">
        <f>Q289</f>
        <v>11533.93</v>
      </c>
      <c r="R287" s="303">
        <f>V287-P287</f>
        <v>0</v>
      </c>
      <c r="S287" s="19">
        <f t="shared" ref="S287:Y287" si="180">S289</f>
        <v>26000</v>
      </c>
      <c r="T287" s="19">
        <f t="shared" si="180"/>
        <v>12000</v>
      </c>
      <c r="U287" s="19">
        <f t="shared" si="180"/>
        <v>10000</v>
      </c>
      <c r="V287" s="53">
        <f t="shared" si="180"/>
        <v>26000</v>
      </c>
      <c r="W287" s="19">
        <f t="shared" si="180"/>
        <v>16000</v>
      </c>
      <c r="X287" s="19">
        <f t="shared" si="180"/>
        <v>16000</v>
      </c>
      <c r="Y287" s="19">
        <f t="shared" si="180"/>
        <v>18000</v>
      </c>
      <c r="Z287" s="162" t="b">
        <f t="shared" si="175"/>
        <v>1</v>
      </c>
      <c r="AA287" s="162" t="str">
        <f t="shared" si="176"/>
        <v>PRAZNO</v>
      </c>
      <c r="AB287" s="170"/>
      <c r="AC287" s="164"/>
    </row>
    <row r="288" spans="1:29" s="264" customFormat="1" ht="15.75" x14ac:dyDescent="0.2">
      <c r="A288" s="259"/>
      <c r="B288" s="260"/>
      <c r="C288" s="260"/>
      <c r="D288" s="260"/>
      <c r="E288" s="260"/>
      <c r="F288" s="260"/>
      <c r="G288" s="260"/>
      <c r="H288" s="441" t="s">
        <v>824</v>
      </c>
      <c r="I288" s="262"/>
      <c r="J288" s="342"/>
      <c r="K288" s="181"/>
      <c r="L288" s="181"/>
      <c r="M288" s="181"/>
      <c r="N288" s="181"/>
      <c r="O288" s="262"/>
      <c r="P288" s="262"/>
      <c r="Q288" s="262"/>
      <c r="R288" s="445"/>
      <c r="S288" s="262"/>
      <c r="T288" s="262"/>
      <c r="U288" s="262"/>
      <c r="V288" s="342"/>
      <c r="W288" s="262">
        <f>W289</f>
        <v>16000</v>
      </c>
      <c r="X288" s="262">
        <f>X289</f>
        <v>16000</v>
      </c>
      <c r="Y288" s="262">
        <f>Y289</f>
        <v>18000</v>
      </c>
      <c r="Z288" s="162" t="b">
        <f t="shared" si="175"/>
        <v>1</v>
      </c>
      <c r="AA288" s="162" t="str">
        <f t="shared" si="176"/>
        <v>PRAZNO</v>
      </c>
      <c r="AB288" s="263"/>
    </row>
    <row r="289" spans="1:29" s="174" customFormat="1" ht="15.75" x14ac:dyDescent="0.2">
      <c r="A289" s="259"/>
      <c r="B289" s="172">
        <v>4</v>
      </c>
      <c r="C289" s="172"/>
      <c r="D289" s="172"/>
      <c r="E289" s="172"/>
      <c r="F289" s="172"/>
      <c r="G289" s="172"/>
      <c r="H289" s="14" t="s">
        <v>552</v>
      </c>
      <c r="I289" s="20">
        <f>I293+I290</f>
        <v>79220.179999999993</v>
      </c>
      <c r="J289" s="55">
        <f>J293+J290</f>
        <v>12135.7</v>
      </c>
      <c r="K289" s="20">
        <f>K293+K290</f>
        <v>23500</v>
      </c>
      <c r="L289" s="20">
        <f>L293+L290</f>
        <v>7372.62</v>
      </c>
      <c r="M289" s="20">
        <f t="shared" ref="M289:M295" si="181">ROUND(L289/K289*100,2)</f>
        <v>31.37</v>
      </c>
      <c r="N289" s="20">
        <f t="shared" ref="N289:N295" si="182">O289-K289</f>
        <v>-10500.51</v>
      </c>
      <c r="O289" s="20">
        <f>O293+O290</f>
        <v>12999.49</v>
      </c>
      <c r="P289" s="20">
        <f>P293+P290</f>
        <v>26000</v>
      </c>
      <c r="Q289" s="20">
        <f>Q293+Q290</f>
        <v>11533.93</v>
      </c>
      <c r="R289" s="55">
        <f t="shared" ref="R289:R295" si="183">V289-P289</f>
        <v>0</v>
      </c>
      <c r="S289" s="20">
        <f t="shared" ref="S289:Y289" si="184">S293+S290</f>
        <v>26000</v>
      </c>
      <c r="T289" s="20">
        <f t="shared" si="184"/>
        <v>12000</v>
      </c>
      <c r="U289" s="20">
        <f t="shared" si="184"/>
        <v>10000</v>
      </c>
      <c r="V289" s="55">
        <f t="shared" si="184"/>
        <v>26000</v>
      </c>
      <c r="W289" s="20">
        <f t="shared" si="184"/>
        <v>16000</v>
      </c>
      <c r="X289" s="20">
        <f t="shared" si="184"/>
        <v>16000</v>
      </c>
      <c r="Y289" s="20">
        <f t="shared" si="184"/>
        <v>18000</v>
      </c>
      <c r="Z289" s="162" t="b">
        <f t="shared" si="175"/>
        <v>1</v>
      </c>
      <c r="AA289" s="162" t="str">
        <f t="shared" si="176"/>
        <v>PRAZNO</v>
      </c>
      <c r="AB289" s="173"/>
      <c r="AC289" s="164"/>
    </row>
    <row r="290" spans="1:29" ht="30" hidden="1" customHeight="1" x14ac:dyDescent="0.2">
      <c r="B290" s="177"/>
      <c r="C290" s="177">
        <v>41</v>
      </c>
      <c r="D290" s="177"/>
      <c r="E290" s="177"/>
      <c r="F290" s="177"/>
      <c r="G290" s="177"/>
      <c r="H290" s="30" t="s">
        <v>753</v>
      </c>
      <c r="I290" s="18">
        <f t="shared" ref="I290:L291" si="185">I291</f>
        <v>29033.57</v>
      </c>
      <c r="J290" s="27">
        <f t="shared" si="185"/>
        <v>0</v>
      </c>
      <c r="K290" s="18">
        <f t="shared" si="185"/>
        <v>0</v>
      </c>
      <c r="L290" s="18">
        <f t="shared" si="185"/>
        <v>0</v>
      </c>
      <c r="M290" s="18" t="e">
        <f t="shared" si="181"/>
        <v>#DIV/0!</v>
      </c>
      <c r="N290" s="18">
        <f t="shared" si="182"/>
        <v>0</v>
      </c>
      <c r="O290" s="18">
        <f t="shared" ref="O290:Q291" si="186">O291</f>
        <v>0</v>
      </c>
      <c r="P290" s="18">
        <f t="shared" si="186"/>
        <v>0</v>
      </c>
      <c r="Q290" s="18">
        <f t="shared" si="186"/>
        <v>0</v>
      </c>
      <c r="R290" s="26">
        <f t="shared" si="183"/>
        <v>0</v>
      </c>
      <c r="S290" s="18">
        <f t="shared" ref="S290:Y291" si="187">S291</f>
        <v>0</v>
      </c>
      <c r="T290" s="18">
        <f t="shared" si="187"/>
        <v>0</v>
      </c>
      <c r="U290" s="18">
        <f t="shared" si="187"/>
        <v>0</v>
      </c>
      <c r="V290" s="27">
        <f t="shared" si="187"/>
        <v>0</v>
      </c>
      <c r="W290" s="18">
        <f t="shared" si="187"/>
        <v>0</v>
      </c>
      <c r="X290" s="18">
        <f t="shared" si="187"/>
        <v>0</v>
      </c>
      <c r="Y290" s="18">
        <f t="shared" si="187"/>
        <v>0</v>
      </c>
      <c r="Z290" s="162" t="b">
        <f t="shared" si="175"/>
        <v>1</v>
      </c>
      <c r="AA290" s="162" t="str">
        <f t="shared" si="176"/>
        <v>PRAZNO</v>
      </c>
      <c r="AC290" s="164"/>
    </row>
    <row r="291" spans="1:29" ht="15.75" hidden="1" x14ac:dyDescent="0.2">
      <c r="B291" s="177"/>
      <c r="C291" s="177"/>
      <c r="D291" s="177">
        <v>412</v>
      </c>
      <c r="E291" s="177"/>
      <c r="F291" s="177"/>
      <c r="G291" s="177"/>
      <c r="H291" s="16" t="s">
        <v>553</v>
      </c>
      <c r="I291" s="17">
        <f t="shared" si="185"/>
        <v>29033.57</v>
      </c>
      <c r="J291" s="26">
        <f t="shared" si="185"/>
        <v>0</v>
      </c>
      <c r="K291" s="17">
        <f t="shared" si="185"/>
        <v>0</v>
      </c>
      <c r="L291" s="17">
        <f t="shared" si="185"/>
        <v>0</v>
      </c>
      <c r="M291" s="17" t="e">
        <f t="shared" si="181"/>
        <v>#DIV/0!</v>
      </c>
      <c r="N291" s="17">
        <f t="shared" si="182"/>
        <v>0</v>
      </c>
      <c r="O291" s="17">
        <f t="shared" si="186"/>
        <v>0</v>
      </c>
      <c r="P291" s="17">
        <f t="shared" si="186"/>
        <v>0</v>
      </c>
      <c r="Q291" s="17">
        <f t="shared" si="186"/>
        <v>0</v>
      </c>
      <c r="R291" s="26">
        <f t="shared" si="183"/>
        <v>0</v>
      </c>
      <c r="S291" s="17">
        <f t="shared" si="187"/>
        <v>0</v>
      </c>
      <c r="T291" s="17">
        <f t="shared" si="187"/>
        <v>0</v>
      </c>
      <c r="U291" s="17">
        <f t="shared" si="187"/>
        <v>0</v>
      </c>
      <c r="V291" s="26">
        <f t="shared" si="187"/>
        <v>0</v>
      </c>
      <c r="W291" s="17">
        <f t="shared" si="187"/>
        <v>0</v>
      </c>
      <c r="X291" s="17">
        <f t="shared" si="187"/>
        <v>0</v>
      </c>
      <c r="Y291" s="17">
        <f t="shared" si="187"/>
        <v>0</v>
      </c>
      <c r="Z291" s="162" t="b">
        <f t="shared" si="175"/>
        <v>1</v>
      </c>
      <c r="AA291" s="162" t="str">
        <f t="shared" si="176"/>
        <v>PRAZNO</v>
      </c>
      <c r="AC291" s="164"/>
    </row>
    <row r="292" spans="1:29" ht="15.75" hidden="1" x14ac:dyDescent="0.2">
      <c r="B292" s="177"/>
      <c r="C292" s="177"/>
      <c r="D292" s="177"/>
      <c r="E292" s="177">
        <v>4123</v>
      </c>
      <c r="F292" s="176" t="s">
        <v>527</v>
      </c>
      <c r="G292" s="176" t="s">
        <v>803</v>
      </c>
      <c r="H292" s="16" t="s">
        <v>554</v>
      </c>
      <c r="I292" s="18">
        <v>29033.57</v>
      </c>
      <c r="J292" s="27">
        <v>0</v>
      </c>
      <c r="K292" s="18"/>
      <c r="L292" s="18"/>
      <c r="M292" s="18" t="e">
        <f t="shared" si="181"/>
        <v>#DIV/0!</v>
      </c>
      <c r="N292" s="18">
        <f t="shared" si="182"/>
        <v>0</v>
      </c>
      <c r="O292" s="18"/>
      <c r="P292" s="18"/>
      <c r="Q292" s="18"/>
      <c r="R292" s="26">
        <f t="shared" si="183"/>
        <v>0</v>
      </c>
      <c r="S292" s="18"/>
      <c r="T292" s="18"/>
      <c r="U292" s="18"/>
      <c r="V292" s="27"/>
      <c r="W292" s="18"/>
      <c r="X292" s="18"/>
      <c r="Y292" s="18"/>
      <c r="Z292" s="162" t="b">
        <f t="shared" si="175"/>
        <v>0</v>
      </c>
      <c r="AA292" s="162" t="str">
        <f t="shared" si="176"/>
        <v>PUNO</v>
      </c>
      <c r="AC292" s="164"/>
    </row>
    <row r="293" spans="1:29" ht="25.5" customHeight="1" x14ac:dyDescent="0.2">
      <c r="B293" s="175"/>
      <c r="C293" s="175">
        <v>42</v>
      </c>
      <c r="D293" s="175"/>
      <c r="E293" s="175"/>
      <c r="F293" s="175"/>
      <c r="G293" s="175"/>
      <c r="H293" s="15" t="s">
        <v>212</v>
      </c>
      <c r="I293" s="22">
        <f t="shared" ref="I293:L294" si="188">I294</f>
        <v>50186.61</v>
      </c>
      <c r="J293" s="38">
        <f t="shared" si="188"/>
        <v>12135.7</v>
      </c>
      <c r="K293" s="22">
        <f t="shared" si="188"/>
        <v>23500</v>
      </c>
      <c r="L293" s="22">
        <f t="shared" si="188"/>
        <v>7372.62</v>
      </c>
      <c r="M293" s="22">
        <f t="shared" si="181"/>
        <v>31.37</v>
      </c>
      <c r="N293" s="22">
        <f t="shared" si="182"/>
        <v>-10500.51</v>
      </c>
      <c r="O293" s="22">
        <f t="shared" ref="O293:Q294" si="189">O294</f>
        <v>12999.49</v>
      </c>
      <c r="P293" s="22">
        <f t="shared" si="189"/>
        <v>26000</v>
      </c>
      <c r="Q293" s="22">
        <f t="shared" si="189"/>
        <v>11533.93</v>
      </c>
      <c r="R293" s="26">
        <f t="shared" si="183"/>
        <v>0</v>
      </c>
      <c r="S293" s="22">
        <f t="shared" ref="S293:Y294" si="190">S294</f>
        <v>26000</v>
      </c>
      <c r="T293" s="22">
        <f t="shared" si="190"/>
        <v>12000</v>
      </c>
      <c r="U293" s="22">
        <f t="shared" si="190"/>
        <v>10000</v>
      </c>
      <c r="V293" s="38">
        <f t="shared" si="190"/>
        <v>26000</v>
      </c>
      <c r="W293" s="22">
        <f t="shared" si="190"/>
        <v>16000</v>
      </c>
      <c r="X293" s="22">
        <f t="shared" si="190"/>
        <v>16000</v>
      </c>
      <c r="Y293" s="22">
        <f t="shared" si="190"/>
        <v>18000</v>
      </c>
      <c r="Z293" s="162" t="b">
        <f t="shared" si="175"/>
        <v>1</v>
      </c>
      <c r="AA293" s="162" t="str">
        <f t="shared" si="176"/>
        <v>PRAZNO</v>
      </c>
      <c r="AC293" s="164"/>
    </row>
    <row r="294" spans="1:29" ht="15.75" x14ac:dyDescent="0.2">
      <c r="B294" s="177"/>
      <c r="C294" s="177"/>
      <c r="D294" s="177">
        <v>422</v>
      </c>
      <c r="E294" s="177"/>
      <c r="F294" s="177"/>
      <c r="G294" s="177"/>
      <c r="H294" s="16" t="s">
        <v>555</v>
      </c>
      <c r="I294" s="17">
        <f t="shared" si="188"/>
        <v>50186.61</v>
      </c>
      <c r="J294" s="26">
        <f t="shared" si="188"/>
        <v>12135.7</v>
      </c>
      <c r="K294" s="17">
        <f t="shared" si="188"/>
        <v>23500</v>
      </c>
      <c r="L294" s="17">
        <f t="shared" si="188"/>
        <v>7372.62</v>
      </c>
      <c r="M294" s="17">
        <f t="shared" si="181"/>
        <v>31.37</v>
      </c>
      <c r="N294" s="17">
        <f t="shared" si="182"/>
        <v>-10500.51</v>
      </c>
      <c r="O294" s="17">
        <f t="shared" si="189"/>
        <v>12999.49</v>
      </c>
      <c r="P294" s="17">
        <f t="shared" si="189"/>
        <v>26000</v>
      </c>
      <c r="Q294" s="17">
        <f t="shared" si="189"/>
        <v>11533.93</v>
      </c>
      <c r="R294" s="26">
        <f t="shared" si="183"/>
        <v>0</v>
      </c>
      <c r="S294" s="17">
        <f t="shared" si="190"/>
        <v>26000</v>
      </c>
      <c r="T294" s="17">
        <f t="shared" si="190"/>
        <v>12000</v>
      </c>
      <c r="U294" s="17">
        <f t="shared" si="190"/>
        <v>10000</v>
      </c>
      <c r="V294" s="26">
        <f t="shared" si="190"/>
        <v>26000</v>
      </c>
      <c r="W294" s="17">
        <f t="shared" si="190"/>
        <v>16000</v>
      </c>
      <c r="X294" s="17">
        <f t="shared" si="190"/>
        <v>16000</v>
      </c>
      <c r="Y294" s="17">
        <f t="shared" si="190"/>
        <v>18000</v>
      </c>
      <c r="Z294" s="162" t="b">
        <f>ISBLANK(E294)</f>
        <v>1</v>
      </c>
      <c r="AA294" s="162" t="str">
        <f>IF(Z294,"PRAZNO","PUNO")</f>
        <v>PRAZNO</v>
      </c>
      <c r="AC294" s="164"/>
    </row>
    <row r="295" spans="1:29" ht="15.75" x14ac:dyDescent="0.2">
      <c r="B295" s="177"/>
      <c r="C295" s="177"/>
      <c r="D295" s="177"/>
      <c r="E295" s="177">
        <v>4221</v>
      </c>
      <c r="F295" s="176">
        <v>16</v>
      </c>
      <c r="G295" s="176" t="s">
        <v>803</v>
      </c>
      <c r="H295" s="16" t="s">
        <v>558</v>
      </c>
      <c r="I295" s="18">
        <v>50186.61</v>
      </c>
      <c r="J295" s="27">
        <v>12135.7</v>
      </c>
      <c r="K295" s="18">
        <f>10000+13500</f>
        <v>23500</v>
      </c>
      <c r="L295" s="178">
        <v>7372.62</v>
      </c>
      <c r="M295" s="178">
        <f t="shared" si="181"/>
        <v>31.37</v>
      </c>
      <c r="N295" s="178">
        <f t="shared" si="182"/>
        <v>-10500.51</v>
      </c>
      <c r="O295" s="178">
        <v>12999.49</v>
      </c>
      <c r="P295" s="178">
        <f>12000+14000</f>
        <v>26000</v>
      </c>
      <c r="Q295" s="178">
        <v>11533.93</v>
      </c>
      <c r="R295" s="26">
        <f t="shared" si="183"/>
        <v>0</v>
      </c>
      <c r="S295" s="178">
        <f>12000+14000</f>
        <v>26000</v>
      </c>
      <c r="T295" s="178">
        <v>12000</v>
      </c>
      <c r="U295" s="178">
        <v>10000</v>
      </c>
      <c r="V295" s="266">
        <v>26000</v>
      </c>
      <c r="W295" s="266">
        <v>16000</v>
      </c>
      <c r="X295" s="266">
        <v>16000</v>
      </c>
      <c r="Y295" s="266">
        <v>18000</v>
      </c>
      <c r="Z295" s="162" t="b">
        <f>ISBLANK(E295)</f>
        <v>0</v>
      </c>
      <c r="AA295" s="162" t="str">
        <f>IF(Z295,"PRAZNO","PUNO")</f>
        <v>PUNO</v>
      </c>
      <c r="AC295" s="164"/>
    </row>
    <row r="296" spans="1:29" s="287" customFormat="1" ht="47.25" x14ac:dyDescent="0.25">
      <c r="A296" s="378"/>
      <c r="B296" s="194"/>
      <c r="C296" s="194"/>
      <c r="D296" s="194"/>
      <c r="E296" s="194"/>
      <c r="F296" s="423"/>
      <c r="G296" s="423"/>
      <c r="H296" s="21" t="s">
        <v>435</v>
      </c>
      <c r="I296" s="424"/>
      <c r="J296" s="425" t="e">
        <f t="shared" ref="J296:Q296" si="191">J298</f>
        <v>#REF!</v>
      </c>
      <c r="K296" s="425" t="e">
        <f t="shared" si="191"/>
        <v>#REF!</v>
      </c>
      <c r="L296" s="425" t="e">
        <f t="shared" si="191"/>
        <v>#REF!</v>
      </c>
      <c r="M296" s="425" t="e">
        <f t="shared" si="191"/>
        <v>#REF!</v>
      </c>
      <c r="N296" s="425" t="e">
        <f t="shared" si="191"/>
        <v>#REF!</v>
      </c>
      <c r="O296" s="425" t="e">
        <f t="shared" si="191"/>
        <v>#REF!</v>
      </c>
      <c r="P296" s="425" t="e">
        <f t="shared" si="191"/>
        <v>#REF!</v>
      </c>
      <c r="Q296" s="425" t="e">
        <f t="shared" si="191"/>
        <v>#REF!</v>
      </c>
      <c r="R296" s="197" t="e">
        <f>V296-P296</f>
        <v>#REF!</v>
      </c>
      <c r="S296" s="424"/>
      <c r="T296" s="424"/>
      <c r="U296" s="424"/>
      <c r="V296" s="425" t="e">
        <f>V298</f>
        <v>#REF!</v>
      </c>
      <c r="W296" s="424">
        <f>W298</f>
        <v>5000</v>
      </c>
      <c r="X296" s="424">
        <f>X298</f>
        <v>5000</v>
      </c>
      <c r="Y296" s="424">
        <f>Y298</f>
        <v>1000</v>
      </c>
      <c r="Z296" s="162" t="b">
        <f>ISBLANK(E296)</f>
        <v>1</v>
      </c>
      <c r="AA296" s="162" t="str">
        <f>IF(Z296,"PRAZNO","PUNO")</f>
        <v>PRAZNO</v>
      </c>
      <c r="AB296" s="288"/>
    </row>
    <row r="297" spans="1:29" s="164" customFormat="1" ht="15.75" x14ac:dyDescent="0.2">
      <c r="A297" s="259"/>
      <c r="B297" s="194"/>
      <c r="C297" s="194"/>
      <c r="D297" s="194"/>
      <c r="E297" s="194"/>
      <c r="F297" s="159"/>
      <c r="G297" s="159"/>
      <c r="H297" s="11" t="s">
        <v>851</v>
      </c>
      <c r="I297" s="195"/>
      <c r="J297" s="197"/>
      <c r="K297" s="196"/>
      <c r="L297" s="196"/>
      <c r="M297" s="196"/>
      <c r="N297" s="196"/>
      <c r="O297" s="195"/>
      <c r="P297" s="195"/>
      <c r="Q297" s="195"/>
      <c r="R297" s="353"/>
      <c r="S297" s="195"/>
      <c r="T297" s="195"/>
      <c r="U297" s="195"/>
      <c r="V297" s="197"/>
      <c r="W297" s="195"/>
      <c r="X297" s="195"/>
      <c r="Y297" s="195"/>
      <c r="Z297" s="162" t="b">
        <f>ISBLANK(E297)</f>
        <v>1</v>
      </c>
      <c r="AA297" s="162" t="str">
        <f>IF(Z297,"PRAZNO","PUNO")</f>
        <v>PRAZNO</v>
      </c>
      <c r="AB297" s="165"/>
    </row>
    <row r="298" spans="1:29" s="164" customFormat="1" ht="31.5" x14ac:dyDescent="0.2">
      <c r="A298" s="259"/>
      <c r="B298" s="270"/>
      <c r="C298" s="270"/>
      <c r="D298" s="270"/>
      <c r="E298" s="270"/>
      <c r="F298" s="278"/>
      <c r="G298" s="278"/>
      <c r="H298" s="279" t="s">
        <v>721</v>
      </c>
      <c r="I298" s="272" t="e">
        <f>#REF!+I299</f>
        <v>#REF!</v>
      </c>
      <c r="J298" s="275" t="e">
        <f>#REF!+J299</f>
        <v>#REF!</v>
      </c>
      <c r="K298" s="273" t="e">
        <f>#REF!+K299</f>
        <v>#REF!</v>
      </c>
      <c r="L298" s="273" t="e">
        <f>#REF!+L299</f>
        <v>#REF!</v>
      </c>
      <c r="M298" s="273" t="e">
        <f>ROUND(L298/K298*100,2)</f>
        <v>#REF!</v>
      </c>
      <c r="N298" s="273" t="e">
        <f>O298-K298</f>
        <v>#REF!</v>
      </c>
      <c r="O298" s="272" t="e">
        <f>#REF!+O299</f>
        <v>#REF!</v>
      </c>
      <c r="P298" s="272" t="e">
        <f>#REF!+P299</f>
        <v>#REF!</v>
      </c>
      <c r="Q298" s="272" t="e">
        <f>#REF!+Q299</f>
        <v>#REF!</v>
      </c>
      <c r="R298" s="336" t="e">
        <f>V298-P298</f>
        <v>#REF!</v>
      </c>
      <c r="S298" s="272" t="e">
        <f>#REF!+S299</f>
        <v>#REF!</v>
      </c>
      <c r="T298" s="272" t="e">
        <f>#REF!+T299</f>
        <v>#REF!</v>
      </c>
      <c r="U298" s="272" t="e">
        <f>#REF!+U299</f>
        <v>#REF!</v>
      </c>
      <c r="V298" s="275" t="e">
        <f>#REF!+V306</f>
        <v>#REF!</v>
      </c>
      <c r="W298" s="275">
        <f>W306</f>
        <v>5000</v>
      </c>
      <c r="X298" s="275">
        <f>X306</f>
        <v>5000</v>
      </c>
      <c r="Y298" s="275">
        <f>Y306</f>
        <v>1000</v>
      </c>
      <c r="Z298" s="162" t="b">
        <f>ISBLANK(E298)</f>
        <v>1</v>
      </c>
      <c r="AA298" s="162" t="str">
        <f>IF(Z298,"PRAZNO","PUNO")</f>
        <v>PRAZNO</v>
      </c>
      <c r="AB298" s="165"/>
    </row>
    <row r="299" spans="1:29" s="171" customFormat="1" ht="15.75" hidden="1" x14ac:dyDescent="0.2">
      <c r="A299" s="259"/>
      <c r="B299" s="168"/>
      <c r="C299" s="168"/>
      <c r="D299" s="168"/>
      <c r="E299" s="168"/>
      <c r="F299" s="168"/>
      <c r="G299" s="168"/>
      <c r="H299" s="12" t="s">
        <v>601</v>
      </c>
      <c r="I299" s="19">
        <f t="shared" ref="I299:L300" si="192">I300</f>
        <v>0</v>
      </c>
      <c r="J299" s="53">
        <f t="shared" si="192"/>
        <v>14631.810000000001</v>
      </c>
      <c r="K299" s="169">
        <f t="shared" si="192"/>
        <v>0</v>
      </c>
      <c r="L299" s="169">
        <f t="shared" si="192"/>
        <v>0</v>
      </c>
      <c r="M299" s="169" t="e">
        <f t="shared" ref="M299:M305" si="193">ROUND(L299/K299*100,2)</f>
        <v>#DIV/0!</v>
      </c>
      <c r="N299" s="169">
        <f t="shared" ref="N299:N305" si="194">O299-K299</f>
        <v>0</v>
      </c>
      <c r="O299" s="19">
        <f t="shared" ref="O299:Q300" si="195">O300</f>
        <v>0</v>
      </c>
      <c r="P299" s="19">
        <f t="shared" si="195"/>
        <v>0</v>
      </c>
      <c r="Q299" s="19">
        <f t="shared" si="195"/>
        <v>0</v>
      </c>
      <c r="R299" s="26">
        <f t="shared" ref="R299:R306" si="196">V299-P299</f>
        <v>0</v>
      </c>
      <c r="S299" s="302">
        <f t="shared" ref="S299:Y300" si="197">S300</f>
        <v>0</v>
      </c>
      <c r="T299" s="302">
        <f t="shared" si="197"/>
        <v>0</v>
      </c>
      <c r="U299" s="302">
        <f t="shared" si="197"/>
        <v>0</v>
      </c>
      <c r="V299" s="303">
        <f t="shared" si="197"/>
        <v>0</v>
      </c>
      <c r="W299" s="302">
        <f t="shared" si="197"/>
        <v>0</v>
      </c>
      <c r="X299" s="19">
        <f t="shared" si="197"/>
        <v>0</v>
      </c>
      <c r="Y299" s="19">
        <f t="shared" si="197"/>
        <v>0</v>
      </c>
      <c r="Z299" s="162" t="b">
        <f t="shared" ref="Z299:Z316" si="198">ISBLANK(E299)</f>
        <v>1</v>
      </c>
      <c r="AA299" s="162" t="str">
        <f t="shared" ref="AA299:AA316" si="199">IF(Z299,"PRAZNO","PUNO")</f>
        <v>PRAZNO</v>
      </c>
      <c r="AB299" s="170"/>
      <c r="AC299" s="164"/>
    </row>
    <row r="300" spans="1:29" s="174" customFormat="1" ht="15.75" hidden="1" x14ac:dyDescent="0.2">
      <c r="A300" s="259"/>
      <c r="B300" s="172">
        <v>4</v>
      </c>
      <c r="C300" s="172"/>
      <c r="D300" s="172"/>
      <c r="E300" s="172"/>
      <c r="F300" s="172"/>
      <c r="G300" s="172"/>
      <c r="H300" s="14" t="s">
        <v>552</v>
      </c>
      <c r="I300" s="20">
        <f t="shared" si="192"/>
        <v>0</v>
      </c>
      <c r="J300" s="55">
        <f t="shared" si="192"/>
        <v>14631.810000000001</v>
      </c>
      <c r="K300" s="20">
        <f t="shared" si="192"/>
        <v>0</v>
      </c>
      <c r="L300" s="20">
        <f t="shared" si="192"/>
        <v>0</v>
      </c>
      <c r="M300" s="20" t="e">
        <f t="shared" si="193"/>
        <v>#DIV/0!</v>
      </c>
      <c r="N300" s="20">
        <f t="shared" si="194"/>
        <v>0</v>
      </c>
      <c r="O300" s="20">
        <f t="shared" si="195"/>
        <v>0</v>
      </c>
      <c r="P300" s="20">
        <f t="shared" si="195"/>
        <v>0</v>
      </c>
      <c r="Q300" s="20">
        <f t="shared" si="195"/>
        <v>0</v>
      </c>
      <c r="R300" s="26">
        <f t="shared" si="196"/>
        <v>0</v>
      </c>
      <c r="S300" s="20">
        <f t="shared" si="197"/>
        <v>0</v>
      </c>
      <c r="T300" s="20">
        <f t="shared" si="197"/>
        <v>0</v>
      </c>
      <c r="U300" s="20">
        <f t="shared" si="197"/>
        <v>0</v>
      </c>
      <c r="V300" s="55">
        <f t="shared" si="197"/>
        <v>0</v>
      </c>
      <c r="W300" s="20">
        <f t="shared" si="197"/>
        <v>0</v>
      </c>
      <c r="X300" s="20">
        <f t="shared" si="197"/>
        <v>0</v>
      </c>
      <c r="Y300" s="20">
        <f t="shared" si="197"/>
        <v>0</v>
      </c>
      <c r="Z300" s="162" t="b">
        <f t="shared" si="198"/>
        <v>1</v>
      </c>
      <c r="AA300" s="162" t="str">
        <f t="shared" si="199"/>
        <v>PRAZNO</v>
      </c>
      <c r="AB300" s="173"/>
      <c r="AC300" s="164"/>
    </row>
    <row r="301" spans="1:29" ht="15.75" hidden="1" x14ac:dyDescent="0.2">
      <c r="B301" s="177"/>
      <c r="C301" s="177">
        <v>42</v>
      </c>
      <c r="D301" s="177"/>
      <c r="E301" s="177"/>
      <c r="F301" s="176"/>
      <c r="G301" s="176"/>
      <c r="H301" s="16" t="s">
        <v>212</v>
      </c>
      <c r="I301" s="18">
        <f>I302+I304</f>
        <v>0</v>
      </c>
      <c r="J301" s="27">
        <f>J302+J304</f>
        <v>14631.810000000001</v>
      </c>
      <c r="K301" s="18">
        <f>K302+K304</f>
        <v>0</v>
      </c>
      <c r="L301" s="18">
        <f>L302+L304</f>
        <v>0</v>
      </c>
      <c r="M301" s="18" t="e">
        <f t="shared" si="193"/>
        <v>#DIV/0!</v>
      </c>
      <c r="N301" s="18">
        <f t="shared" si="194"/>
        <v>0</v>
      </c>
      <c r="O301" s="18">
        <f>O302+O304</f>
        <v>0</v>
      </c>
      <c r="P301" s="18">
        <f>P302+P304</f>
        <v>0</v>
      </c>
      <c r="Q301" s="18">
        <f>Q302+Q304</f>
        <v>0</v>
      </c>
      <c r="R301" s="26">
        <f t="shared" si="196"/>
        <v>0</v>
      </c>
      <c r="S301" s="18">
        <f t="shared" ref="S301:Y301" si="200">S302+S304</f>
        <v>0</v>
      </c>
      <c r="T301" s="18">
        <f t="shared" si="200"/>
        <v>0</v>
      </c>
      <c r="U301" s="18">
        <f t="shared" si="200"/>
        <v>0</v>
      </c>
      <c r="V301" s="27">
        <f t="shared" si="200"/>
        <v>0</v>
      </c>
      <c r="W301" s="18">
        <f t="shared" si="200"/>
        <v>0</v>
      </c>
      <c r="X301" s="18">
        <f t="shared" si="200"/>
        <v>0</v>
      </c>
      <c r="Y301" s="18">
        <f t="shared" si="200"/>
        <v>0</v>
      </c>
      <c r="Z301" s="162" t="b">
        <f t="shared" si="198"/>
        <v>1</v>
      </c>
      <c r="AA301" s="162" t="str">
        <f t="shared" si="199"/>
        <v>PRAZNO</v>
      </c>
      <c r="AC301" s="164"/>
    </row>
    <row r="302" spans="1:29" ht="15.75" hidden="1" x14ac:dyDescent="0.2">
      <c r="B302" s="177"/>
      <c r="C302" s="177"/>
      <c r="D302" s="177">
        <v>421</v>
      </c>
      <c r="E302" s="177"/>
      <c r="F302" s="176"/>
      <c r="G302" s="176"/>
      <c r="H302" s="29" t="s">
        <v>759</v>
      </c>
      <c r="I302" s="18">
        <f>I303</f>
        <v>0</v>
      </c>
      <c r="J302" s="27">
        <f>J303</f>
        <v>9874.17</v>
      </c>
      <c r="K302" s="18">
        <f>K303</f>
        <v>0</v>
      </c>
      <c r="L302" s="18">
        <f>L303</f>
        <v>0</v>
      </c>
      <c r="M302" s="18" t="e">
        <f t="shared" si="193"/>
        <v>#DIV/0!</v>
      </c>
      <c r="N302" s="18">
        <f t="shared" si="194"/>
        <v>0</v>
      </c>
      <c r="O302" s="18">
        <f>O303</f>
        <v>0</v>
      </c>
      <c r="P302" s="18">
        <f>P303</f>
        <v>0</v>
      </c>
      <c r="Q302" s="18">
        <f>Q303</f>
        <v>0</v>
      </c>
      <c r="R302" s="26">
        <f t="shared" si="196"/>
        <v>0</v>
      </c>
      <c r="S302" s="18">
        <f t="shared" ref="S302:Y302" si="201">S303</f>
        <v>0</v>
      </c>
      <c r="T302" s="18">
        <f t="shared" si="201"/>
        <v>0</v>
      </c>
      <c r="U302" s="18">
        <f t="shared" si="201"/>
        <v>0</v>
      </c>
      <c r="V302" s="27">
        <f t="shared" si="201"/>
        <v>0</v>
      </c>
      <c r="W302" s="18">
        <f t="shared" si="201"/>
        <v>0</v>
      </c>
      <c r="X302" s="18">
        <f t="shared" si="201"/>
        <v>0</v>
      </c>
      <c r="Y302" s="18">
        <f t="shared" si="201"/>
        <v>0</v>
      </c>
      <c r="Z302" s="162" t="b">
        <f t="shared" si="198"/>
        <v>1</v>
      </c>
      <c r="AA302" s="162" t="str">
        <f t="shared" si="199"/>
        <v>PRAZNO</v>
      </c>
      <c r="AC302" s="164"/>
    </row>
    <row r="303" spans="1:29" ht="15.75" hidden="1" x14ac:dyDescent="0.2">
      <c r="B303" s="177"/>
      <c r="C303" s="177"/>
      <c r="D303" s="177"/>
      <c r="E303" s="177">
        <v>4221</v>
      </c>
      <c r="F303" s="176" t="s">
        <v>527</v>
      </c>
      <c r="G303" s="176"/>
      <c r="H303" s="16" t="s">
        <v>558</v>
      </c>
      <c r="I303" s="18">
        <v>0</v>
      </c>
      <c r="J303" s="27">
        <v>9874.17</v>
      </c>
      <c r="K303" s="18">
        <v>0</v>
      </c>
      <c r="L303" s="18"/>
      <c r="M303" s="18" t="e">
        <f t="shared" si="193"/>
        <v>#DIV/0!</v>
      </c>
      <c r="N303" s="18">
        <f t="shared" si="194"/>
        <v>0</v>
      </c>
      <c r="O303" s="18"/>
      <c r="P303" s="18"/>
      <c r="Q303" s="18"/>
      <c r="R303" s="26">
        <f t="shared" si="196"/>
        <v>0</v>
      </c>
      <c r="S303" s="18"/>
      <c r="T303" s="18"/>
      <c r="U303" s="18"/>
      <c r="V303" s="27"/>
      <c r="W303" s="18"/>
      <c r="X303" s="18"/>
      <c r="Y303" s="18"/>
      <c r="Z303" s="162" t="b">
        <f t="shared" si="198"/>
        <v>0</v>
      </c>
      <c r="AA303" s="162" t="str">
        <f t="shared" si="199"/>
        <v>PUNO</v>
      </c>
      <c r="AC303" s="164"/>
    </row>
    <row r="304" spans="1:29" ht="15.75" hidden="1" x14ac:dyDescent="0.2">
      <c r="B304" s="177"/>
      <c r="C304" s="177"/>
      <c r="D304" s="177">
        <v>426</v>
      </c>
      <c r="E304" s="177"/>
      <c r="F304" s="176"/>
      <c r="G304" s="176"/>
      <c r="H304" s="16" t="s">
        <v>560</v>
      </c>
      <c r="I304" s="18">
        <f>I305</f>
        <v>0</v>
      </c>
      <c r="J304" s="27">
        <f>J305</f>
        <v>4757.6400000000003</v>
      </c>
      <c r="K304" s="18">
        <f>K305</f>
        <v>0</v>
      </c>
      <c r="L304" s="18">
        <f>L305</f>
        <v>0</v>
      </c>
      <c r="M304" s="18" t="e">
        <f t="shared" si="193"/>
        <v>#DIV/0!</v>
      </c>
      <c r="N304" s="18">
        <f t="shared" si="194"/>
        <v>0</v>
      </c>
      <c r="O304" s="18">
        <f>O305</f>
        <v>0</v>
      </c>
      <c r="P304" s="18">
        <f>P305</f>
        <v>0</v>
      </c>
      <c r="Q304" s="18">
        <f>Q305</f>
        <v>0</v>
      </c>
      <c r="R304" s="26">
        <f t="shared" si="196"/>
        <v>0</v>
      </c>
      <c r="S304" s="18">
        <f t="shared" ref="S304:Y304" si="202">S305</f>
        <v>0</v>
      </c>
      <c r="T304" s="18">
        <f t="shared" si="202"/>
        <v>0</v>
      </c>
      <c r="U304" s="18">
        <f t="shared" si="202"/>
        <v>0</v>
      </c>
      <c r="V304" s="27">
        <f t="shared" si="202"/>
        <v>0</v>
      </c>
      <c r="W304" s="18">
        <f t="shared" si="202"/>
        <v>0</v>
      </c>
      <c r="X304" s="18">
        <f t="shared" si="202"/>
        <v>0</v>
      </c>
      <c r="Y304" s="18">
        <f t="shared" si="202"/>
        <v>0</v>
      </c>
      <c r="Z304" s="162" t="b">
        <f t="shared" si="198"/>
        <v>1</v>
      </c>
      <c r="AA304" s="162" t="str">
        <f t="shared" si="199"/>
        <v>PRAZNO</v>
      </c>
      <c r="AC304" s="164"/>
    </row>
    <row r="305" spans="1:29" ht="15.75" hidden="1" x14ac:dyDescent="0.2">
      <c r="B305" s="177"/>
      <c r="C305" s="177"/>
      <c r="D305" s="177"/>
      <c r="E305" s="177">
        <v>4262</v>
      </c>
      <c r="F305" s="176" t="s">
        <v>527</v>
      </c>
      <c r="G305" s="176"/>
      <c r="H305" s="16" t="s">
        <v>561</v>
      </c>
      <c r="I305" s="18">
        <v>0</v>
      </c>
      <c r="J305" s="27">
        <v>4757.6400000000003</v>
      </c>
      <c r="K305" s="18">
        <v>0</v>
      </c>
      <c r="L305" s="18"/>
      <c r="M305" s="18" t="e">
        <f t="shared" si="193"/>
        <v>#DIV/0!</v>
      </c>
      <c r="N305" s="18">
        <f t="shared" si="194"/>
        <v>0</v>
      </c>
      <c r="O305" s="18"/>
      <c r="P305" s="18"/>
      <c r="Q305" s="18"/>
      <c r="R305" s="26">
        <f t="shared" si="196"/>
        <v>0</v>
      </c>
      <c r="S305" s="18"/>
      <c r="T305" s="18"/>
      <c r="U305" s="18"/>
      <c r="V305" s="27"/>
      <c r="W305" s="18"/>
      <c r="X305" s="18"/>
      <c r="Y305" s="18"/>
      <c r="Z305" s="162" t="b">
        <f t="shared" si="198"/>
        <v>0</v>
      </c>
      <c r="AA305" s="162" t="str">
        <f t="shared" si="199"/>
        <v>PUNO</v>
      </c>
      <c r="AC305" s="164"/>
    </row>
    <row r="306" spans="1:29" s="207" customFormat="1" ht="47.25" x14ac:dyDescent="0.25">
      <c r="A306" s="378"/>
      <c r="B306" s="168"/>
      <c r="C306" s="168"/>
      <c r="D306" s="168"/>
      <c r="E306" s="168"/>
      <c r="F306" s="322"/>
      <c r="G306" s="322"/>
      <c r="H306" s="13" t="s">
        <v>268</v>
      </c>
      <c r="I306" s="308"/>
      <c r="J306" s="323">
        <f t="shared" ref="J306:Q306" si="203">J308</f>
        <v>0</v>
      </c>
      <c r="K306" s="323">
        <f t="shared" si="203"/>
        <v>0</v>
      </c>
      <c r="L306" s="323">
        <f t="shared" si="203"/>
        <v>0</v>
      </c>
      <c r="M306" s="323">
        <f t="shared" si="203"/>
        <v>0</v>
      </c>
      <c r="N306" s="323">
        <f t="shared" si="203"/>
        <v>0</v>
      </c>
      <c r="O306" s="323">
        <f t="shared" si="203"/>
        <v>0</v>
      </c>
      <c r="P306" s="323">
        <f t="shared" si="203"/>
        <v>0</v>
      </c>
      <c r="Q306" s="323">
        <f t="shared" si="203"/>
        <v>0</v>
      </c>
      <c r="R306" s="53">
        <f t="shared" si="196"/>
        <v>20000</v>
      </c>
      <c r="S306" s="308"/>
      <c r="T306" s="308"/>
      <c r="U306" s="308"/>
      <c r="V306" s="323">
        <f>V308</f>
        <v>20000</v>
      </c>
      <c r="W306" s="323">
        <f>W308</f>
        <v>5000</v>
      </c>
      <c r="X306" s="323">
        <f>X308</f>
        <v>5000</v>
      </c>
      <c r="Y306" s="323">
        <f>Y308</f>
        <v>1000</v>
      </c>
      <c r="Z306" s="162" t="b">
        <f t="shared" si="198"/>
        <v>1</v>
      </c>
      <c r="AA306" s="162" t="str">
        <f t="shared" si="199"/>
        <v>PRAZNO</v>
      </c>
      <c r="AB306" s="206"/>
    </row>
    <row r="307" spans="1:29" s="447" customFormat="1" ht="15.75" x14ac:dyDescent="0.25">
      <c r="A307" s="378"/>
      <c r="B307" s="260"/>
      <c r="C307" s="260"/>
      <c r="D307" s="260"/>
      <c r="E307" s="260"/>
      <c r="F307" s="442"/>
      <c r="G307" s="442"/>
      <c r="H307" s="440" t="s">
        <v>824</v>
      </c>
      <c r="I307" s="443"/>
      <c r="J307" s="444"/>
      <c r="K307" s="444"/>
      <c r="L307" s="444"/>
      <c r="M307" s="444"/>
      <c r="N307" s="444"/>
      <c r="O307" s="444"/>
      <c r="P307" s="444"/>
      <c r="Q307" s="444"/>
      <c r="R307" s="342"/>
      <c r="S307" s="443"/>
      <c r="T307" s="443"/>
      <c r="U307" s="443"/>
      <c r="V307" s="444"/>
      <c r="W307" s="444">
        <f t="shared" ref="W307:Y310" si="204">W308</f>
        <v>5000</v>
      </c>
      <c r="X307" s="444">
        <f t="shared" si="204"/>
        <v>5000</v>
      </c>
      <c r="Y307" s="444">
        <f t="shared" si="204"/>
        <v>1000</v>
      </c>
      <c r="Z307" s="162" t="b">
        <f t="shared" si="198"/>
        <v>1</v>
      </c>
      <c r="AA307" s="162" t="str">
        <f t="shared" si="199"/>
        <v>PRAZNO</v>
      </c>
      <c r="AB307" s="446"/>
    </row>
    <row r="308" spans="1:29" s="174" customFormat="1" ht="15.75" x14ac:dyDescent="0.2">
      <c r="A308" s="259"/>
      <c r="B308" s="172">
        <v>4</v>
      </c>
      <c r="C308" s="172"/>
      <c r="D308" s="172"/>
      <c r="E308" s="172"/>
      <c r="F308" s="220"/>
      <c r="G308" s="220"/>
      <c r="H308" s="14" t="s">
        <v>552</v>
      </c>
      <c r="I308" s="184"/>
      <c r="J308" s="185">
        <f t="shared" ref="J308:Q310" si="205">J309</f>
        <v>0</v>
      </c>
      <c r="K308" s="185">
        <f t="shared" si="205"/>
        <v>0</v>
      </c>
      <c r="L308" s="185">
        <f t="shared" si="205"/>
        <v>0</v>
      </c>
      <c r="M308" s="185">
        <f t="shared" si="205"/>
        <v>0</v>
      </c>
      <c r="N308" s="185">
        <f t="shared" si="205"/>
        <v>0</v>
      </c>
      <c r="O308" s="185">
        <f t="shared" si="205"/>
        <v>0</v>
      </c>
      <c r="P308" s="185">
        <f t="shared" si="205"/>
        <v>0</v>
      </c>
      <c r="Q308" s="185">
        <f t="shared" si="205"/>
        <v>0</v>
      </c>
      <c r="R308" s="55">
        <f t="shared" ref="R308:R313" si="206">V308-P308</f>
        <v>20000</v>
      </c>
      <c r="S308" s="184"/>
      <c r="T308" s="184"/>
      <c r="U308" s="184"/>
      <c r="V308" s="185">
        <f>V309</f>
        <v>20000</v>
      </c>
      <c r="W308" s="185">
        <f t="shared" si="204"/>
        <v>5000</v>
      </c>
      <c r="X308" s="185">
        <f t="shared" si="204"/>
        <v>5000</v>
      </c>
      <c r="Y308" s="185">
        <f t="shared" si="204"/>
        <v>1000</v>
      </c>
      <c r="Z308" s="162" t="b">
        <f t="shared" si="198"/>
        <v>1</v>
      </c>
      <c r="AA308" s="162" t="str">
        <f t="shared" si="199"/>
        <v>PRAZNO</v>
      </c>
      <c r="AB308" s="173"/>
    </row>
    <row r="309" spans="1:29" ht="15.75" x14ac:dyDescent="0.2">
      <c r="B309" s="177"/>
      <c r="C309" s="177">
        <v>42</v>
      </c>
      <c r="D309" s="177"/>
      <c r="E309" s="177"/>
      <c r="F309" s="176"/>
      <c r="G309" s="176"/>
      <c r="H309" s="16" t="s">
        <v>212</v>
      </c>
      <c r="I309" s="18"/>
      <c r="J309" s="27">
        <f t="shared" si="205"/>
        <v>0</v>
      </c>
      <c r="K309" s="27">
        <f t="shared" si="205"/>
        <v>0</v>
      </c>
      <c r="L309" s="27">
        <f t="shared" si="205"/>
        <v>0</v>
      </c>
      <c r="M309" s="27">
        <f t="shared" si="205"/>
        <v>0</v>
      </c>
      <c r="N309" s="27">
        <f t="shared" si="205"/>
        <v>0</v>
      </c>
      <c r="O309" s="27">
        <f t="shared" si="205"/>
        <v>0</v>
      </c>
      <c r="P309" s="27">
        <f t="shared" si="205"/>
        <v>0</v>
      </c>
      <c r="Q309" s="27">
        <f t="shared" si="205"/>
        <v>0</v>
      </c>
      <c r="R309" s="26">
        <f t="shared" si="206"/>
        <v>20000</v>
      </c>
      <c r="S309" s="18"/>
      <c r="T309" s="18"/>
      <c r="U309" s="18"/>
      <c r="V309" s="27">
        <f>V310</f>
        <v>20000</v>
      </c>
      <c r="W309" s="27">
        <f t="shared" si="204"/>
        <v>5000</v>
      </c>
      <c r="X309" s="27">
        <f t="shared" si="204"/>
        <v>5000</v>
      </c>
      <c r="Y309" s="27">
        <f t="shared" si="204"/>
        <v>1000</v>
      </c>
      <c r="Z309" s="162" t="b">
        <f t="shared" si="198"/>
        <v>1</v>
      </c>
      <c r="AA309" s="162" t="str">
        <f t="shared" si="199"/>
        <v>PRAZNO</v>
      </c>
      <c r="AC309" s="164"/>
    </row>
    <row r="310" spans="1:29" ht="15.75" x14ac:dyDescent="0.2">
      <c r="B310" s="177"/>
      <c r="C310" s="177"/>
      <c r="D310" s="177">
        <v>422</v>
      </c>
      <c r="E310" s="177"/>
      <c r="F310" s="176"/>
      <c r="G310" s="176"/>
      <c r="H310" s="16" t="s">
        <v>555</v>
      </c>
      <c r="I310" s="18"/>
      <c r="J310" s="27">
        <f t="shared" si="205"/>
        <v>0</v>
      </c>
      <c r="K310" s="27">
        <f t="shared" si="205"/>
        <v>0</v>
      </c>
      <c r="L310" s="27">
        <f t="shared" si="205"/>
        <v>0</v>
      </c>
      <c r="M310" s="27">
        <f t="shared" si="205"/>
        <v>0</v>
      </c>
      <c r="N310" s="27">
        <f t="shared" si="205"/>
        <v>0</v>
      </c>
      <c r="O310" s="27">
        <f t="shared" si="205"/>
        <v>0</v>
      </c>
      <c r="P310" s="27">
        <f t="shared" si="205"/>
        <v>0</v>
      </c>
      <c r="Q310" s="27">
        <f t="shared" si="205"/>
        <v>0</v>
      </c>
      <c r="R310" s="26">
        <f t="shared" si="206"/>
        <v>20000</v>
      </c>
      <c r="S310" s="18"/>
      <c r="T310" s="18"/>
      <c r="U310" s="18"/>
      <c r="V310" s="27">
        <f>V311</f>
        <v>20000</v>
      </c>
      <c r="W310" s="27">
        <f t="shared" si="204"/>
        <v>5000</v>
      </c>
      <c r="X310" s="27">
        <f t="shared" si="204"/>
        <v>5000</v>
      </c>
      <c r="Y310" s="27">
        <f t="shared" si="204"/>
        <v>1000</v>
      </c>
      <c r="Z310" s="162" t="b">
        <f t="shared" si="198"/>
        <v>1</v>
      </c>
      <c r="AA310" s="162" t="str">
        <f t="shared" si="199"/>
        <v>PRAZNO</v>
      </c>
      <c r="AC310" s="164"/>
    </row>
    <row r="311" spans="1:29" ht="15.75" x14ac:dyDescent="0.2">
      <c r="B311" s="177"/>
      <c r="C311" s="177"/>
      <c r="D311" s="177"/>
      <c r="E311" s="177">
        <v>4221</v>
      </c>
      <c r="F311" s="176">
        <v>16</v>
      </c>
      <c r="G311" s="176"/>
      <c r="H311" s="16" t="s">
        <v>558</v>
      </c>
      <c r="I311" s="18"/>
      <c r="J311" s="27">
        <v>0</v>
      </c>
      <c r="K311" s="18"/>
      <c r="L311" s="18"/>
      <c r="M311" s="18"/>
      <c r="N311" s="18"/>
      <c r="O311" s="18">
        <v>0</v>
      </c>
      <c r="P311" s="18">
        <v>0</v>
      </c>
      <c r="Q311" s="18">
        <v>0</v>
      </c>
      <c r="R311" s="26">
        <f t="shared" si="206"/>
        <v>20000</v>
      </c>
      <c r="S311" s="18"/>
      <c r="T311" s="18"/>
      <c r="U311" s="18"/>
      <c r="V311" s="27">
        <v>20000</v>
      </c>
      <c r="W311" s="18">
        <v>5000</v>
      </c>
      <c r="X311" s="18">
        <v>5000</v>
      </c>
      <c r="Y311" s="18">
        <v>1000</v>
      </c>
      <c r="Z311" s="162" t="b">
        <f t="shared" si="198"/>
        <v>0</v>
      </c>
      <c r="AA311" s="162" t="str">
        <f t="shared" si="199"/>
        <v>PUNO</v>
      </c>
      <c r="AC311" s="164"/>
    </row>
    <row r="312" spans="1:29" s="164" customFormat="1" ht="31.5" x14ac:dyDescent="0.2">
      <c r="A312" s="259"/>
      <c r="B312" s="194"/>
      <c r="C312" s="194"/>
      <c r="D312" s="194"/>
      <c r="E312" s="194"/>
      <c r="F312" s="159"/>
      <c r="G312" s="159"/>
      <c r="H312" s="24" t="s">
        <v>624</v>
      </c>
      <c r="I312" s="195" t="e">
        <f>I313+I323+I406+#REF!</f>
        <v>#REF!</v>
      </c>
      <c r="J312" s="330" t="e">
        <f>J313+J323+J406+#REF!</f>
        <v>#REF!</v>
      </c>
      <c r="K312" s="196" t="e">
        <f>K313+K323+K406+#REF!</f>
        <v>#REF!</v>
      </c>
      <c r="L312" s="196" t="e">
        <f>L313+L323+L406+#REF!</f>
        <v>#REF!</v>
      </c>
      <c r="M312" s="196" t="e">
        <f>ROUND(L312/K312*100,2)</f>
        <v>#REF!</v>
      </c>
      <c r="N312" s="196" t="e">
        <f>O312-K312</f>
        <v>#REF!</v>
      </c>
      <c r="O312" s="195" t="e">
        <f>O313+O323+O406+#REF!</f>
        <v>#REF!</v>
      </c>
      <c r="P312" s="195" t="e">
        <f>P313+P323+P406+#REF!</f>
        <v>#REF!</v>
      </c>
      <c r="Q312" s="195" t="e">
        <f>Q313+Q323+Q406+#REF!</f>
        <v>#REF!</v>
      </c>
      <c r="R312" s="351" t="e">
        <f t="shared" si="206"/>
        <v>#REF!</v>
      </c>
      <c r="S312" s="195" t="e">
        <f>S313+S323+S406+#REF!</f>
        <v>#REF!</v>
      </c>
      <c r="T312" s="195" t="e">
        <f>T313+T323+T406+#REF!</f>
        <v>#REF!</v>
      </c>
      <c r="U312" s="195" t="e">
        <f>U313+U323+U406+#REF!</f>
        <v>#REF!</v>
      </c>
      <c r="V312" s="197" t="e">
        <f>V313+V323+V406+#REF!</f>
        <v>#REF!</v>
      </c>
      <c r="W312" s="195">
        <f>W313+W323+W406</f>
        <v>6194041</v>
      </c>
      <c r="X312" s="195">
        <f>X313+X323+X406</f>
        <v>5802956</v>
      </c>
      <c r="Y312" s="195">
        <f>Y313+Y323+Y406</f>
        <v>6357125</v>
      </c>
      <c r="Z312" s="162" t="b">
        <f t="shared" si="198"/>
        <v>1</v>
      </c>
      <c r="AA312" s="162" t="str">
        <f t="shared" si="199"/>
        <v>PRAZNO</v>
      </c>
      <c r="AB312" s="163"/>
    </row>
    <row r="313" spans="1:29" s="164" customFormat="1" ht="15.75" x14ac:dyDescent="0.2">
      <c r="A313" s="259"/>
      <c r="B313" s="194"/>
      <c r="C313" s="194"/>
      <c r="D313" s="194"/>
      <c r="E313" s="194"/>
      <c r="F313" s="159"/>
      <c r="G313" s="159"/>
      <c r="H313" s="24" t="s">
        <v>625</v>
      </c>
      <c r="I313" s="195" t="e">
        <f>I315</f>
        <v>#REF!</v>
      </c>
      <c r="J313" s="197" t="e">
        <f>J315</f>
        <v>#REF!</v>
      </c>
      <c r="K313" s="196" t="e">
        <f>K315</f>
        <v>#REF!</v>
      </c>
      <c r="L313" s="196" t="e">
        <f>L315</f>
        <v>#REF!</v>
      </c>
      <c r="M313" s="196" t="e">
        <f>ROUND(L313/K313*100,2)</f>
        <v>#REF!</v>
      </c>
      <c r="N313" s="196" t="e">
        <f>O313-K313</f>
        <v>#REF!</v>
      </c>
      <c r="O313" s="195" t="e">
        <f>O315</f>
        <v>#REF!</v>
      </c>
      <c r="P313" s="195" t="e">
        <f>P315</f>
        <v>#REF!</v>
      </c>
      <c r="Q313" s="195" t="e">
        <f>Q315</f>
        <v>#REF!</v>
      </c>
      <c r="R313" s="351" t="e">
        <f t="shared" si="206"/>
        <v>#REF!</v>
      </c>
      <c r="S313" s="195" t="e">
        <f t="shared" ref="S313:Y313" si="207">S315</f>
        <v>#REF!</v>
      </c>
      <c r="T313" s="195" t="e">
        <f t="shared" si="207"/>
        <v>#REF!</v>
      </c>
      <c r="U313" s="195" t="e">
        <f t="shared" si="207"/>
        <v>#REF!</v>
      </c>
      <c r="V313" s="197" t="e">
        <f t="shared" si="207"/>
        <v>#REF!</v>
      </c>
      <c r="W313" s="195">
        <f t="shared" si="207"/>
        <v>5000</v>
      </c>
      <c r="X313" s="195">
        <f t="shared" si="207"/>
        <v>5000</v>
      </c>
      <c r="Y313" s="195">
        <f t="shared" si="207"/>
        <v>5000</v>
      </c>
      <c r="Z313" s="162" t="b">
        <f t="shared" si="198"/>
        <v>1</v>
      </c>
      <c r="AA313" s="162" t="str">
        <f t="shared" si="199"/>
        <v>PRAZNO</v>
      </c>
      <c r="AB313" s="165"/>
    </row>
    <row r="314" spans="1:29" s="164" customFormat="1" ht="15.75" x14ac:dyDescent="0.2">
      <c r="A314" s="259"/>
      <c r="B314" s="194"/>
      <c r="C314" s="194"/>
      <c r="D314" s="194"/>
      <c r="E314" s="194"/>
      <c r="F314" s="159"/>
      <c r="G314" s="159"/>
      <c r="H314" s="11" t="s">
        <v>626</v>
      </c>
      <c r="I314" s="195"/>
      <c r="J314" s="197"/>
      <c r="K314" s="196"/>
      <c r="L314" s="196"/>
      <c r="M314" s="196" t="e">
        <f>ROUND(L314/K314*100,2)</f>
        <v>#DIV/0!</v>
      </c>
      <c r="N314" s="196"/>
      <c r="O314" s="195"/>
      <c r="P314" s="195"/>
      <c r="Q314" s="195"/>
      <c r="R314" s="353"/>
      <c r="S314" s="195"/>
      <c r="T314" s="195"/>
      <c r="U314" s="195"/>
      <c r="V314" s="197"/>
      <c r="W314" s="195"/>
      <c r="X314" s="195"/>
      <c r="Y314" s="195"/>
      <c r="Z314" s="162" t="b">
        <f t="shared" si="198"/>
        <v>1</v>
      </c>
      <c r="AA314" s="162" t="str">
        <f t="shared" si="199"/>
        <v>PRAZNO</v>
      </c>
      <c r="AB314" s="165"/>
    </row>
    <row r="315" spans="1:29" s="171" customFormat="1" ht="15.75" x14ac:dyDescent="0.2">
      <c r="A315" s="259"/>
      <c r="B315" s="280"/>
      <c r="C315" s="280"/>
      <c r="D315" s="280"/>
      <c r="E315" s="280"/>
      <c r="F315" s="280"/>
      <c r="G315" s="280"/>
      <c r="H315" s="271" t="s">
        <v>850</v>
      </c>
      <c r="I315" s="273" t="e">
        <f>#REF!+I316</f>
        <v>#REF!</v>
      </c>
      <c r="J315" s="281" t="e">
        <f>#REF!+J316</f>
        <v>#REF!</v>
      </c>
      <c r="K315" s="273" t="e">
        <f>#REF!+K316</f>
        <v>#REF!</v>
      </c>
      <c r="L315" s="273" t="e">
        <f>#REF!+L316</f>
        <v>#REF!</v>
      </c>
      <c r="M315" s="273" t="e">
        <f>ROUND(L315/K315*100,2)</f>
        <v>#REF!</v>
      </c>
      <c r="N315" s="273" t="e">
        <f>O315-K315</f>
        <v>#REF!</v>
      </c>
      <c r="O315" s="273" t="e">
        <f>#REF!+O316</f>
        <v>#REF!</v>
      </c>
      <c r="P315" s="304" t="e">
        <f>#REF!+P316</f>
        <v>#REF!</v>
      </c>
      <c r="Q315" s="304" t="e">
        <f>#REF!+Q316</f>
        <v>#REF!</v>
      </c>
      <c r="R315" s="336" t="e">
        <f>V315-P315</f>
        <v>#REF!</v>
      </c>
      <c r="S315" s="304" t="e">
        <f>#REF!+S316</f>
        <v>#REF!</v>
      </c>
      <c r="T315" s="304" t="e">
        <f>#REF!+T316</f>
        <v>#REF!</v>
      </c>
      <c r="U315" s="304" t="e">
        <f>#REF!+U316</f>
        <v>#REF!</v>
      </c>
      <c r="V315" s="336" t="e">
        <f>#REF!+V316</f>
        <v>#REF!</v>
      </c>
      <c r="W315" s="304">
        <f>W316</f>
        <v>5000</v>
      </c>
      <c r="X315" s="304">
        <f>X316</f>
        <v>5000</v>
      </c>
      <c r="Y315" s="304">
        <f>Y316</f>
        <v>5000</v>
      </c>
      <c r="Z315" s="162" t="b">
        <f t="shared" si="198"/>
        <v>1</v>
      </c>
      <c r="AA315" s="162" t="str">
        <f t="shared" si="199"/>
        <v>PRAZNO</v>
      </c>
      <c r="AB315" s="170"/>
      <c r="AC315" s="164"/>
    </row>
    <row r="316" spans="1:29" s="171" customFormat="1" ht="31.5" x14ac:dyDescent="0.2">
      <c r="A316" s="259"/>
      <c r="B316" s="168"/>
      <c r="C316" s="168"/>
      <c r="D316" s="168"/>
      <c r="E316" s="168"/>
      <c r="F316" s="168"/>
      <c r="G316" s="168"/>
      <c r="H316" s="12" t="s">
        <v>162</v>
      </c>
      <c r="I316" s="19">
        <f>I318</f>
        <v>11806.32</v>
      </c>
      <c r="J316" s="53">
        <f>J318</f>
        <v>0</v>
      </c>
      <c r="K316" s="169">
        <f>K318</f>
        <v>5000</v>
      </c>
      <c r="L316" s="169">
        <f>L318</f>
        <v>2414.54</v>
      </c>
      <c r="M316" s="169">
        <f>ROUND(L316/K316*100,2)</f>
        <v>48.29</v>
      </c>
      <c r="N316" s="169">
        <f>O316-K316</f>
        <v>-270.17000000000007</v>
      </c>
      <c r="O316" s="19">
        <f>O318</f>
        <v>4729.83</v>
      </c>
      <c r="P316" s="19">
        <f>P318</f>
        <v>5000</v>
      </c>
      <c r="Q316" s="19">
        <f>Q318</f>
        <v>0</v>
      </c>
      <c r="R316" s="303">
        <f>V316-P316</f>
        <v>2000</v>
      </c>
      <c r="S316" s="19">
        <f t="shared" ref="S316:Y316" si="208">S318</f>
        <v>5000</v>
      </c>
      <c r="T316" s="19">
        <f t="shared" si="208"/>
        <v>5000</v>
      </c>
      <c r="U316" s="19">
        <f t="shared" si="208"/>
        <v>5000</v>
      </c>
      <c r="V316" s="53">
        <f t="shared" si="208"/>
        <v>7000</v>
      </c>
      <c r="W316" s="19">
        <f t="shared" si="208"/>
        <v>5000</v>
      </c>
      <c r="X316" s="19">
        <f t="shared" si="208"/>
        <v>5000</v>
      </c>
      <c r="Y316" s="19">
        <f t="shared" si="208"/>
        <v>5000</v>
      </c>
      <c r="Z316" s="162" t="b">
        <f t="shared" si="198"/>
        <v>1</v>
      </c>
      <c r="AA316" s="162" t="str">
        <f t="shared" si="199"/>
        <v>PRAZNO</v>
      </c>
      <c r="AB316" s="170"/>
      <c r="AC316" s="164"/>
    </row>
    <row r="317" spans="1:29" s="264" customFormat="1" ht="15.75" x14ac:dyDescent="0.2">
      <c r="A317" s="259"/>
      <c r="B317" s="260"/>
      <c r="C317" s="260"/>
      <c r="D317" s="260"/>
      <c r="E317" s="260"/>
      <c r="F317" s="260"/>
      <c r="G317" s="260"/>
      <c r="H317" s="441" t="s">
        <v>824</v>
      </c>
      <c r="I317" s="262"/>
      <c r="J317" s="342"/>
      <c r="K317" s="181"/>
      <c r="L317" s="181"/>
      <c r="M317" s="181"/>
      <c r="N317" s="181"/>
      <c r="O317" s="262"/>
      <c r="P317" s="262"/>
      <c r="Q317" s="262"/>
      <c r="R317" s="445"/>
      <c r="S317" s="262"/>
      <c r="T317" s="262"/>
      <c r="U317" s="262"/>
      <c r="V317" s="342"/>
      <c r="W317" s="262">
        <f t="shared" ref="W317:Y319" si="209">W318</f>
        <v>5000</v>
      </c>
      <c r="X317" s="262">
        <f t="shared" si="209"/>
        <v>5000</v>
      </c>
      <c r="Y317" s="262">
        <f t="shared" si="209"/>
        <v>5000</v>
      </c>
      <c r="Z317" s="162" t="b">
        <f t="shared" ref="Z317:Z361" si="210">ISBLANK(E317)</f>
        <v>1</v>
      </c>
      <c r="AA317" s="162" t="str">
        <f t="shared" ref="AA317:AA361" si="211">IF(Z317,"PRAZNO","PUNO")</f>
        <v>PRAZNO</v>
      </c>
      <c r="AB317" s="263"/>
    </row>
    <row r="318" spans="1:29" s="174" customFormat="1" ht="15.75" x14ac:dyDescent="0.2">
      <c r="A318" s="259"/>
      <c r="B318" s="172">
        <v>4</v>
      </c>
      <c r="C318" s="172"/>
      <c r="D318" s="172"/>
      <c r="E318" s="172"/>
      <c r="F318" s="172"/>
      <c r="G318" s="172"/>
      <c r="H318" s="14" t="s">
        <v>552</v>
      </c>
      <c r="I318" s="20">
        <f t="shared" ref="I318:L319" si="212">I319</f>
        <v>11806.32</v>
      </c>
      <c r="J318" s="55">
        <f t="shared" si="212"/>
        <v>0</v>
      </c>
      <c r="K318" s="20">
        <f t="shared" si="212"/>
        <v>5000</v>
      </c>
      <c r="L318" s="20">
        <f t="shared" si="212"/>
        <v>2414.54</v>
      </c>
      <c r="M318" s="20">
        <f t="shared" ref="M318:M325" si="213">ROUND(L318/K318*100,2)</f>
        <v>48.29</v>
      </c>
      <c r="N318" s="20">
        <f t="shared" ref="N318:N323" si="214">O318-K318</f>
        <v>-270.17000000000007</v>
      </c>
      <c r="O318" s="20">
        <f t="shared" ref="O318:Q319" si="215">O319</f>
        <v>4729.83</v>
      </c>
      <c r="P318" s="20">
        <f t="shared" si="215"/>
        <v>5000</v>
      </c>
      <c r="Q318" s="20">
        <f t="shared" si="215"/>
        <v>0</v>
      </c>
      <c r="R318" s="55">
        <f t="shared" ref="R318:R323" si="216">V318-P318</f>
        <v>2000</v>
      </c>
      <c r="S318" s="20">
        <f t="shared" ref="S318:V319" si="217">S319</f>
        <v>5000</v>
      </c>
      <c r="T318" s="20">
        <f t="shared" si="217"/>
        <v>5000</v>
      </c>
      <c r="U318" s="20">
        <f t="shared" si="217"/>
        <v>5000</v>
      </c>
      <c r="V318" s="55">
        <f t="shared" si="217"/>
        <v>7000</v>
      </c>
      <c r="W318" s="20">
        <f t="shared" si="209"/>
        <v>5000</v>
      </c>
      <c r="X318" s="20">
        <f t="shared" si="209"/>
        <v>5000</v>
      </c>
      <c r="Y318" s="20">
        <f t="shared" si="209"/>
        <v>5000</v>
      </c>
      <c r="Z318" s="162" t="b">
        <f t="shared" si="210"/>
        <v>1</v>
      </c>
      <c r="AA318" s="162" t="str">
        <f t="shared" si="211"/>
        <v>PRAZNO</v>
      </c>
      <c r="AB318" s="173"/>
      <c r="AC318" s="164"/>
    </row>
    <row r="319" spans="1:29" ht="30.75" customHeight="1" x14ac:dyDescent="0.2">
      <c r="B319" s="175"/>
      <c r="C319" s="175">
        <v>42</v>
      </c>
      <c r="D319" s="175"/>
      <c r="E319" s="175"/>
      <c r="F319" s="175"/>
      <c r="G319" s="175"/>
      <c r="H319" s="15" t="s">
        <v>212</v>
      </c>
      <c r="I319" s="22">
        <f t="shared" si="212"/>
        <v>11806.32</v>
      </c>
      <c r="J319" s="38">
        <f t="shared" si="212"/>
        <v>0</v>
      </c>
      <c r="K319" s="22">
        <f t="shared" si="212"/>
        <v>5000</v>
      </c>
      <c r="L319" s="22">
        <f t="shared" si="212"/>
        <v>2414.54</v>
      </c>
      <c r="M319" s="22">
        <f t="shared" si="213"/>
        <v>48.29</v>
      </c>
      <c r="N319" s="22">
        <f t="shared" si="214"/>
        <v>-270.17000000000007</v>
      </c>
      <c r="O319" s="22">
        <f t="shared" si="215"/>
        <v>4729.83</v>
      </c>
      <c r="P319" s="22">
        <f t="shared" si="215"/>
        <v>5000</v>
      </c>
      <c r="Q319" s="22">
        <f t="shared" si="215"/>
        <v>0</v>
      </c>
      <c r="R319" s="26">
        <f t="shared" si="216"/>
        <v>2000</v>
      </c>
      <c r="S319" s="22">
        <f t="shared" si="217"/>
        <v>5000</v>
      </c>
      <c r="T319" s="22">
        <f t="shared" si="217"/>
        <v>5000</v>
      </c>
      <c r="U319" s="22">
        <f t="shared" si="217"/>
        <v>5000</v>
      </c>
      <c r="V319" s="38">
        <f t="shared" si="217"/>
        <v>7000</v>
      </c>
      <c r="W319" s="22">
        <f t="shared" si="209"/>
        <v>5000</v>
      </c>
      <c r="X319" s="22">
        <f t="shared" si="209"/>
        <v>5000</v>
      </c>
      <c r="Y319" s="22">
        <f t="shared" si="209"/>
        <v>5000</v>
      </c>
      <c r="Z319" s="162" t="b">
        <f t="shared" si="210"/>
        <v>1</v>
      </c>
      <c r="AA319" s="162" t="str">
        <f t="shared" si="211"/>
        <v>PRAZNO</v>
      </c>
      <c r="AC319" s="164"/>
    </row>
    <row r="320" spans="1:29" ht="15.75" x14ac:dyDescent="0.2">
      <c r="B320" s="177"/>
      <c r="C320" s="177"/>
      <c r="D320" s="177">
        <v>422</v>
      </c>
      <c r="E320" s="177"/>
      <c r="F320" s="177"/>
      <c r="G320" s="177"/>
      <c r="H320" s="16" t="s">
        <v>555</v>
      </c>
      <c r="I320" s="17">
        <f>SUM(I321:I322)</f>
        <v>11806.32</v>
      </c>
      <c r="J320" s="26">
        <f>SUM(J321:J322)</f>
        <v>0</v>
      </c>
      <c r="K320" s="17">
        <f>SUM(K321:K322)</f>
        <v>5000</v>
      </c>
      <c r="L320" s="17">
        <f>SUM(L321:L322)</f>
        <v>2414.54</v>
      </c>
      <c r="M320" s="17">
        <f t="shared" si="213"/>
        <v>48.29</v>
      </c>
      <c r="N320" s="17">
        <f t="shared" si="214"/>
        <v>-270.17000000000007</v>
      </c>
      <c r="O320" s="17">
        <f>SUM(O321:O322)</f>
        <v>4729.83</v>
      </c>
      <c r="P320" s="17">
        <f>SUM(P321:P322)</f>
        <v>5000</v>
      </c>
      <c r="Q320" s="17">
        <f>SUM(Q321:Q322)</f>
        <v>0</v>
      </c>
      <c r="R320" s="26">
        <f t="shared" si="216"/>
        <v>2000</v>
      </c>
      <c r="S320" s="17">
        <f t="shared" ref="S320:Y320" si="218">SUM(S321:S322)</f>
        <v>5000</v>
      </c>
      <c r="T320" s="17">
        <f t="shared" si="218"/>
        <v>5000</v>
      </c>
      <c r="U320" s="17">
        <f t="shared" si="218"/>
        <v>5000</v>
      </c>
      <c r="V320" s="26">
        <f t="shared" si="218"/>
        <v>7000</v>
      </c>
      <c r="W320" s="17">
        <f t="shared" si="218"/>
        <v>5000</v>
      </c>
      <c r="X320" s="17">
        <f t="shared" si="218"/>
        <v>5000</v>
      </c>
      <c r="Y320" s="17">
        <f t="shared" si="218"/>
        <v>5000</v>
      </c>
      <c r="Z320" s="162" t="b">
        <f t="shared" si="210"/>
        <v>1</v>
      </c>
      <c r="AA320" s="162" t="str">
        <f t="shared" si="211"/>
        <v>PRAZNO</v>
      </c>
      <c r="AC320" s="164"/>
    </row>
    <row r="321" spans="1:29" ht="15.75" x14ac:dyDescent="0.2">
      <c r="B321" s="177"/>
      <c r="C321" s="177"/>
      <c r="D321" s="177"/>
      <c r="E321" s="177">
        <v>4221</v>
      </c>
      <c r="F321" s="176">
        <v>11</v>
      </c>
      <c r="G321" s="176" t="s">
        <v>746</v>
      </c>
      <c r="H321" s="16" t="s">
        <v>558</v>
      </c>
      <c r="I321" s="18">
        <v>9851.98</v>
      </c>
      <c r="J321" s="27">
        <v>0</v>
      </c>
      <c r="K321" s="18">
        <v>5000</v>
      </c>
      <c r="L321" s="18">
        <v>2414.54</v>
      </c>
      <c r="M321" s="18">
        <f t="shared" si="213"/>
        <v>48.29</v>
      </c>
      <c r="N321" s="18">
        <f t="shared" si="214"/>
        <v>-270.17000000000007</v>
      </c>
      <c r="O321" s="18">
        <v>4729.83</v>
      </c>
      <c r="P321" s="18">
        <v>5000</v>
      </c>
      <c r="Q321" s="18">
        <v>0</v>
      </c>
      <c r="R321" s="26">
        <f t="shared" si="216"/>
        <v>2000</v>
      </c>
      <c r="S321" s="18">
        <v>5000</v>
      </c>
      <c r="T321" s="18">
        <v>5000</v>
      </c>
      <c r="U321" s="18">
        <v>5000</v>
      </c>
      <c r="V321" s="27">
        <v>7000</v>
      </c>
      <c r="W321" s="27">
        <v>5000</v>
      </c>
      <c r="X321" s="27">
        <v>5000</v>
      </c>
      <c r="Y321" s="27">
        <v>5000</v>
      </c>
      <c r="Z321" s="162" t="b">
        <f t="shared" si="210"/>
        <v>0</v>
      </c>
      <c r="AA321" s="162" t="str">
        <f t="shared" si="211"/>
        <v>PUNO</v>
      </c>
      <c r="AC321" s="164"/>
    </row>
    <row r="322" spans="1:29" ht="15.75" hidden="1" x14ac:dyDescent="0.2">
      <c r="B322" s="177"/>
      <c r="C322" s="177"/>
      <c r="D322" s="177"/>
      <c r="E322" s="177">
        <v>4222</v>
      </c>
      <c r="F322" s="176" t="s">
        <v>527</v>
      </c>
      <c r="G322" s="176" t="s">
        <v>746</v>
      </c>
      <c r="H322" s="16" t="s">
        <v>559</v>
      </c>
      <c r="I322" s="18">
        <v>1954.34</v>
      </c>
      <c r="J322" s="27">
        <v>0</v>
      </c>
      <c r="K322" s="18"/>
      <c r="L322" s="18"/>
      <c r="M322" s="18" t="e">
        <f t="shared" si="213"/>
        <v>#DIV/0!</v>
      </c>
      <c r="N322" s="18">
        <f t="shared" si="214"/>
        <v>0</v>
      </c>
      <c r="O322" s="18"/>
      <c r="P322" s="18"/>
      <c r="Q322" s="18"/>
      <c r="R322" s="26">
        <f t="shared" si="216"/>
        <v>0</v>
      </c>
      <c r="S322" s="18"/>
      <c r="T322" s="18"/>
      <c r="U322" s="18"/>
      <c r="V322" s="27"/>
      <c r="W322" s="18"/>
      <c r="X322" s="18"/>
      <c r="Y322" s="18"/>
      <c r="Z322" s="162" t="b">
        <f t="shared" si="210"/>
        <v>0</v>
      </c>
      <c r="AA322" s="162" t="str">
        <f t="shared" si="211"/>
        <v>PUNO</v>
      </c>
      <c r="AC322" s="164"/>
    </row>
    <row r="323" spans="1:29" s="287" customFormat="1" ht="15.75" x14ac:dyDescent="0.25">
      <c r="A323" s="378"/>
      <c r="B323" s="194"/>
      <c r="C323" s="194"/>
      <c r="D323" s="194"/>
      <c r="E323" s="194"/>
      <c r="F323" s="159"/>
      <c r="G323" s="159"/>
      <c r="H323" s="24" t="s">
        <v>629</v>
      </c>
      <c r="I323" s="195" t="e">
        <f>I325</f>
        <v>#REF!</v>
      </c>
      <c r="J323" s="195" t="e">
        <f>J325</f>
        <v>#REF!</v>
      </c>
      <c r="K323" s="195" t="e">
        <f>K325</f>
        <v>#REF!</v>
      </c>
      <c r="L323" s="195" t="e">
        <f>L325</f>
        <v>#REF!</v>
      </c>
      <c r="M323" s="195" t="e">
        <f t="shared" si="213"/>
        <v>#REF!</v>
      </c>
      <c r="N323" s="195" t="e">
        <f t="shared" si="214"/>
        <v>#REF!</v>
      </c>
      <c r="O323" s="195" t="e">
        <f>O325</f>
        <v>#REF!</v>
      </c>
      <c r="P323" s="195" t="e">
        <f>P325</f>
        <v>#REF!</v>
      </c>
      <c r="Q323" s="195" t="e">
        <f>Q325</f>
        <v>#REF!</v>
      </c>
      <c r="R323" s="351" t="e">
        <f t="shared" si="216"/>
        <v>#REF!</v>
      </c>
      <c r="S323" s="195" t="e">
        <f t="shared" ref="S323:Y323" si="219">S325</f>
        <v>#REF!</v>
      </c>
      <c r="T323" s="195" t="e">
        <f t="shared" si="219"/>
        <v>#REF!</v>
      </c>
      <c r="U323" s="195" t="e">
        <f t="shared" si="219"/>
        <v>#REF!</v>
      </c>
      <c r="V323" s="197" t="e">
        <f t="shared" si="219"/>
        <v>#REF!</v>
      </c>
      <c r="W323" s="195">
        <f t="shared" si="219"/>
        <v>6008041</v>
      </c>
      <c r="X323" s="195">
        <f t="shared" si="219"/>
        <v>5613956</v>
      </c>
      <c r="Y323" s="195">
        <f t="shared" si="219"/>
        <v>6151125</v>
      </c>
      <c r="Z323" s="162" t="b">
        <f t="shared" si="210"/>
        <v>1</v>
      </c>
      <c r="AA323" s="162" t="str">
        <f t="shared" si="211"/>
        <v>PRAZNO</v>
      </c>
      <c r="AB323" s="288"/>
    </row>
    <row r="324" spans="1:29" s="287" customFormat="1" ht="15.75" x14ac:dyDescent="0.25">
      <c r="A324" s="378"/>
      <c r="B324" s="194"/>
      <c r="C324" s="194"/>
      <c r="D324" s="194"/>
      <c r="E324" s="194"/>
      <c r="F324" s="159"/>
      <c r="G324" s="159"/>
      <c r="H324" s="11" t="s">
        <v>626</v>
      </c>
      <c r="I324" s="195"/>
      <c r="J324" s="197"/>
      <c r="K324" s="195"/>
      <c r="L324" s="195"/>
      <c r="M324" s="195" t="e">
        <f t="shared" si="213"/>
        <v>#DIV/0!</v>
      </c>
      <c r="N324" s="195"/>
      <c r="O324" s="195"/>
      <c r="P324" s="195"/>
      <c r="Q324" s="195"/>
      <c r="R324" s="351"/>
      <c r="S324" s="195"/>
      <c r="T324" s="195"/>
      <c r="U324" s="195"/>
      <c r="V324" s="197"/>
      <c r="W324" s="195"/>
      <c r="X324" s="195"/>
      <c r="Y324" s="195"/>
      <c r="Z324" s="162" t="b">
        <f t="shared" si="210"/>
        <v>1</v>
      </c>
      <c r="AA324" s="162" t="str">
        <f t="shared" si="211"/>
        <v>PRAZNO</v>
      </c>
      <c r="AB324" s="288"/>
    </row>
    <row r="325" spans="1:29" s="207" customFormat="1" ht="15.75" x14ac:dyDescent="0.25">
      <c r="A325" s="378"/>
      <c r="B325" s="168"/>
      <c r="C325" s="168"/>
      <c r="D325" s="168"/>
      <c r="E325" s="168"/>
      <c r="F325" s="168"/>
      <c r="G325" s="168"/>
      <c r="H325" s="35" t="s">
        <v>630</v>
      </c>
      <c r="I325" s="19" t="e">
        <f>I327+I358</f>
        <v>#REF!</v>
      </c>
      <c r="J325" s="53" t="e">
        <f>J327+J358</f>
        <v>#REF!</v>
      </c>
      <c r="K325" s="19" t="e">
        <f>K327+K358</f>
        <v>#REF!</v>
      </c>
      <c r="L325" s="19" t="e">
        <f>L327+L358</f>
        <v>#REF!</v>
      </c>
      <c r="M325" s="19" t="e">
        <f t="shared" si="213"/>
        <v>#REF!</v>
      </c>
      <c r="N325" s="19" t="e">
        <f>O325-K325</f>
        <v>#REF!</v>
      </c>
      <c r="O325" s="19" t="e">
        <f>O327+O358</f>
        <v>#REF!</v>
      </c>
      <c r="P325" s="19" t="e">
        <f>P327+P358</f>
        <v>#REF!</v>
      </c>
      <c r="Q325" s="19" t="e">
        <f>Q327+Q358</f>
        <v>#REF!</v>
      </c>
      <c r="R325" s="303" t="e">
        <f>V325-P325</f>
        <v>#REF!</v>
      </c>
      <c r="S325" s="19" t="e">
        <f t="shared" ref="S325:Y325" si="220">S327+S358</f>
        <v>#REF!</v>
      </c>
      <c r="T325" s="19" t="e">
        <f t="shared" si="220"/>
        <v>#REF!</v>
      </c>
      <c r="U325" s="19" t="e">
        <f t="shared" si="220"/>
        <v>#REF!</v>
      </c>
      <c r="V325" s="53" t="e">
        <f t="shared" si="220"/>
        <v>#REF!</v>
      </c>
      <c r="W325" s="19">
        <f t="shared" si="220"/>
        <v>6008041</v>
      </c>
      <c r="X325" s="19">
        <f t="shared" si="220"/>
        <v>5613956</v>
      </c>
      <c r="Y325" s="19">
        <f t="shared" si="220"/>
        <v>6151125</v>
      </c>
      <c r="Z325" s="162" t="b">
        <f t="shared" si="210"/>
        <v>1</v>
      </c>
      <c r="AA325" s="162" t="str">
        <f t="shared" si="211"/>
        <v>PRAZNO</v>
      </c>
      <c r="AB325" s="206"/>
      <c r="AC325" s="287"/>
    </row>
    <row r="326" spans="1:29" s="207" customFormat="1" ht="15.75" x14ac:dyDescent="0.25">
      <c r="A326" s="378"/>
      <c r="B326" s="168"/>
      <c r="C326" s="168"/>
      <c r="D326" s="168"/>
      <c r="E326" s="168"/>
      <c r="F326" s="168"/>
      <c r="G326" s="168"/>
      <c r="H326" s="35" t="s">
        <v>41</v>
      </c>
      <c r="I326" s="19"/>
      <c r="J326" s="53"/>
      <c r="K326" s="19"/>
      <c r="L326" s="19"/>
      <c r="M326" s="19"/>
      <c r="N326" s="19"/>
      <c r="O326" s="19"/>
      <c r="P326" s="19"/>
      <c r="Q326" s="19"/>
      <c r="R326" s="205"/>
      <c r="S326" s="19"/>
      <c r="T326" s="19"/>
      <c r="U326" s="19"/>
      <c r="V326" s="53"/>
      <c r="W326" s="19"/>
      <c r="X326" s="19"/>
      <c r="Y326" s="19"/>
      <c r="Z326" s="162" t="b">
        <f t="shared" si="210"/>
        <v>1</v>
      </c>
      <c r="AA326" s="162" t="str">
        <f t="shared" si="211"/>
        <v>PRAZNO</v>
      </c>
      <c r="AB326" s="206"/>
      <c r="AC326" s="287"/>
    </row>
    <row r="327" spans="1:29" s="207" customFormat="1" ht="15.75" x14ac:dyDescent="0.25">
      <c r="A327" s="378"/>
      <c r="B327" s="270"/>
      <c r="C327" s="270"/>
      <c r="D327" s="270"/>
      <c r="E327" s="270"/>
      <c r="F327" s="270"/>
      <c r="G327" s="270"/>
      <c r="H327" s="282" t="s">
        <v>722</v>
      </c>
      <c r="I327" s="272" t="e">
        <f>I335+#REF!+I329+#REF!</f>
        <v>#REF!</v>
      </c>
      <c r="J327" s="272" t="e">
        <f>J335+#REF!+J329+#REF!</f>
        <v>#REF!</v>
      </c>
      <c r="K327" s="272" t="e">
        <f>K335+#REF!+K329+#REF!</f>
        <v>#REF!</v>
      </c>
      <c r="L327" s="272" t="e">
        <f>L335+#REF!+L329+#REF!</f>
        <v>#REF!</v>
      </c>
      <c r="M327" s="272" t="e">
        <f>ROUND(L327/K327*100,2)</f>
        <v>#REF!</v>
      </c>
      <c r="N327" s="272" t="e">
        <f>O327-K327</f>
        <v>#REF!</v>
      </c>
      <c r="O327" s="272" t="e">
        <f>O335+#REF!+O329+#REF!</f>
        <v>#REF!</v>
      </c>
      <c r="P327" s="272" t="e">
        <f>P335+#REF!+P329+#REF!</f>
        <v>#REF!</v>
      </c>
      <c r="Q327" s="272" t="e">
        <f>Q335+#REF!+Q329+#REF!</f>
        <v>#REF!</v>
      </c>
      <c r="R327" s="336" t="e">
        <f>V327-P327</f>
        <v>#REF!</v>
      </c>
      <c r="S327" s="272" t="e">
        <f>S335+#REF!+S329+#REF!</f>
        <v>#REF!</v>
      </c>
      <c r="T327" s="272" t="e">
        <f>T335+#REF!+T329+#REF!</f>
        <v>#REF!</v>
      </c>
      <c r="U327" s="272" t="e">
        <f>U335+#REF!+U329+#REF!</f>
        <v>#REF!</v>
      </c>
      <c r="V327" s="275" t="e">
        <f>V335+#REF!+V329+#REF!</f>
        <v>#REF!</v>
      </c>
      <c r="W327" s="272">
        <f>W329+W335</f>
        <v>5004449</v>
      </c>
      <c r="X327" s="272">
        <f>X329+X335</f>
        <v>4605956</v>
      </c>
      <c r="Y327" s="272">
        <f>Y329+Y335</f>
        <v>5113125</v>
      </c>
      <c r="Z327" s="162" t="b">
        <f t="shared" si="210"/>
        <v>1</v>
      </c>
      <c r="AA327" s="162" t="str">
        <f t="shared" si="211"/>
        <v>PRAZNO</v>
      </c>
      <c r="AB327" s="206"/>
      <c r="AC327" s="287"/>
    </row>
    <row r="328" spans="1:29" ht="30" hidden="1" x14ac:dyDescent="0.2">
      <c r="B328" s="177"/>
      <c r="C328" s="177"/>
      <c r="D328" s="177"/>
      <c r="E328" s="177">
        <v>3232</v>
      </c>
      <c r="F328" s="176">
        <v>14</v>
      </c>
      <c r="G328" s="176"/>
      <c r="H328" s="16" t="s">
        <v>100</v>
      </c>
      <c r="I328" s="18"/>
      <c r="J328" s="27"/>
      <c r="K328" s="18"/>
      <c r="L328" s="18"/>
      <c r="M328" s="18"/>
      <c r="N328" s="18"/>
      <c r="O328" s="18"/>
      <c r="P328" s="18">
        <v>0</v>
      </c>
      <c r="Q328" s="18">
        <v>0</v>
      </c>
      <c r="R328" s="26">
        <f>V328-P328</f>
        <v>215000</v>
      </c>
      <c r="S328" s="18"/>
      <c r="T328" s="18"/>
      <c r="U328" s="18"/>
      <c r="V328" s="27">
        <v>215000</v>
      </c>
      <c r="W328" s="27">
        <v>0</v>
      </c>
      <c r="X328" s="27">
        <v>0</v>
      </c>
      <c r="Y328" s="27">
        <v>0</v>
      </c>
      <c r="Z328" s="162" t="b">
        <f t="shared" si="210"/>
        <v>0</v>
      </c>
      <c r="AA328" s="162" t="str">
        <f t="shared" si="211"/>
        <v>PUNO</v>
      </c>
      <c r="AC328" s="164"/>
    </row>
    <row r="329" spans="1:29" s="171" customFormat="1" ht="31.5" x14ac:dyDescent="0.2">
      <c r="A329" s="259"/>
      <c r="B329" s="168"/>
      <c r="C329" s="168"/>
      <c r="D329" s="168"/>
      <c r="E329" s="168"/>
      <c r="F329" s="168"/>
      <c r="G329" s="168"/>
      <c r="H329" s="35" t="s">
        <v>163</v>
      </c>
      <c r="I329" s="19">
        <f>I331</f>
        <v>3632479.59</v>
      </c>
      <c r="J329" s="53">
        <f>J331</f>
        <v>2551642.79</v>
      </c>
      <c r="K329" s="169">
        <f>K331</f>
        <v>682500</v>
      </c>
      <c r="L329" s="169">
        <f>L331</f>
        <v>450040.38</v>
      </c>
      <c r="M329" s="169">
        <f>ROUND(L329/K329*100,2)</f>
        <v>65.94</v>
      </c>
      <c r="N329" s="169">
        <f>O329-K329</f>
        <v>1236059.75</v>
      </c>
      <c r="O329" s="19">
        <f>O331</f>
        <v>1918559.75</v>
      </c>
      <c r="P329" s="19">
        <f>P331</f>
        <v>713890</v>
      </c>
      <c r="Q329" s="19">
        <f>Q331</f>
        <v>314335.56</v>
      </c>
      <c r="R329" s="303">
        <f>V329-P329</f>
        <v>73268</v>
      </c>
      <c r="S329" s="19">
        <f t="shared" ref="S329:Y329" si="221">S331</f>
        <v>713890</v>
      </c>
      <c r="T329" s="19">
        <f t="shared" si="221"/>
        <v>5172000</v>
      </c>
      <c r="U329" s="19">
        <f t="shared" si="221"/>
        <v>6750000</v>
      </c>
      <c r="V329" s="53">
        <f t="shared" si="221"/>
        <v>787158</v>
      </c>
      <c r="W329" s="19">
        <f t="shared" si="221"/>
        <v>605900</v>
      </c>
      <c r="X329" s="19">
        <f t="shared" si="221"/>
        <v>1750000</v>
      </c>
      <c r="Y329" s="19">
        <f t="shared" si="221"/>
        <v>1845000</v>
      </c>
      <c r="Z329" s="162" t="b">
        <f t="shared" si="210"/>
        <v>1</v>
      </c>
      <c r="AA329" s="162" t="str">
        <f t="shared" si="211"/>
        <v>PRAZNO</v>
      </c>
      <c r="AB329" s="170"/>
      <c r="AC329" s="164"/>
    </row>
    <row r="330" spans="1:29" s="264" customFormat="1" ht="21.75" customHeight="1" x14ac:dyDescent="0.2">
      <c r="A330" s="259"/>
      <c r="B330" s="260"/>
      <c r="C330" s="260"/>
      <c r="D330" s="260"/>
      <c r="E330" s="260"/>
      <c r="F330" s="260"/>
      <c r="G330" s="260"/>
      <c r="H330" s="473" t="s">
        <v>830</v>
      </c>
      <c r="I330" s="262"/>
      <c r="J330" s="342"/>
      <c r="K330" s="181"/>
      <c r="L330" s="181"/>
      <c r="M330" s="181"/>
      <c r="N330" s="181"/>
      <c r="O330" s="262"/>
      <c r="P330" s="262"/>
      <c r="Q330" s="262"/>
      <c r="R330" s="445"/>
      <c r="S330" s="262"/>
      <c r="T330" s="262"/>
      <c r="U330" s="262"/>
      <c r="V330" s="342"/>
      <c r="W330" s="262">
        <f t="shared" ref="W330:Y333" si="222">W331</f>
        <v>605900</v>
      </c>
      <c r="X330" s="262">
        <f t="shared" si="222"/>
        <v>1750000</v>
      </c>
      <c r="Y330" s="262">
        <f t="shared" si="222"/>
        <v>1845000</v>
      </c>
      <c r="Z330" s="162" t="b">
        <f t="shared" si="210"/>
        <v>1</v>
      </c>
      <c r="AA330" s="162" t="str">
        <f t="shared" si="211"/>
        <v>PRAZNO</v>
      </c>
      <c r="AB330" s="263"/>
    </row>
    <row r="331" spans="1:29" s="174" customFormat="1" ht="15.75" x14ac:dyDescent="0.2">
      <c r="A331" s="259"/>
      <c r="B331" s="172">
        <v>4</v>
      </c>
      <c r="C331" s="172"/>
      <c r="D331" s="172"/>
      <c r="E331" s="172"/>
      <c r="F331" s="172"/>
      <c r="G331" s="172"/>
      <c r="H331" s="36" t="s">
        <v>552</v>
      </c>
      <c r="I331" s="37">
        <f t="shared" ref="I331:L333" si="223">I332</f>
        <v>3632479.59</v>
      </c>
      <c r="J331" s="54">
        <f t="shared" si="223"/>
        <v>2551642.79</v>
      </c>
      <c r="K331" s="37">
        <f t="shared" si="223"/>
        <v>682500</v>
      </c>
      <c r="L331" s="37">
        <f t="shared" si="223"/>
        <v>450040.38</v>
      </c>
      <c r="M331" s="37">
        <f>ROUND(L331/K331*100,2)</f>
        <v>65.94</v>
      </c>
      <c r="N331" s="37">
        <f>O331-K331</f>
        <v>1236059.75</v>
      </c>
      <c r="O331" s="37">
        <f t="shared" ref="O331:Q333" si="224">O332</f>
        <v>1918559.75</v>
      </c>
      <c r="P331" s="37">
        <f t="shared" si="224"/>
        <v>713890</v>
      </c>
      <c r="Q331" s="37">
        <f t="shared" si="224"/>
        <v>314335.56</v>
      </c>
      <c r="R331" s="55">
        <f>V331-P331</f>
        <v>73268</v>
      </c>
      <c r="S331" s="37">
        <f t="shared" ref="S331:V333" si="225">S332</f>
        <v>713890</v>
      </c>
      <c r="T331" s="37">
        <f t="shared" si="225"/>
        <v>5172000</v>
      </c>
      <c r="U331" s="37">
        <f t="shared" si="225"/>
        <v>6750000</v>
      </c>
      <c r="V331" s="54">
        <f t="shared" si="225"/>
        <v>787158</v>
      </c>
      <c r="W331" s="37">
        <f t="shared" si="222"/>
        <v>605900</v>
      </c>
      <c r="X331" s="37">
        <f t="shared" si="222"/>
        <v>1750000</v>
      </c>
      <c r="Y331" s="37">
        <f t="shared" si="222"/>
        <v>1845000</v>
      </c>
      <c r="Z331" s="162" t="b">
        <f t="shared" si="210"/>
        <v>1</v>
      </c>
      <c r="AA331" s="162" t="str">
        <f t="shared" si="211"/>
        <v>PRAZNO</v>
      </c>
      <c r="AB331" s="173"/>
      <c r="AC331" s="164"/>
    </row>
    <row r="332" spans="1:29" ht="27.75" customHeight="1" x14ac:dyDescent="0.2">
      <c r="B332" s="175"/>
      <c r="C332" s="175">
        <v>45</v>
      </c>
      <c r="D332" s="175"/>
      <c r="E332" s="175"/>
      <c r="F332" s="175"/>
      <c r="G332" s="175"/>
      <c r="H332" s="28" t="s">
        <v>808</v>
      </c>
      <c r="I332" s="22">
        <f t="shared" si="223"/>
        <v>3632479.59</v>
      </c>
      <c r="J332" s="22">
        <f t="shared" si="223"/>
        <v>2551642.79</v>
      </c>
      <c r="K332" s="22">
        <f t="shared" si="223"/>
        <v>682500</v>
      </c>
      <c r="L332" s="22">
        <f t="shared" si="223"/>
        <v>450040.38</v>
      </c>
      <c r="M332" s="22">
        <f>ROUND(L332/K332*100,2)</f>
        <v>65.94</v>
      </c>
      <c r="N332" s="22">
        <f>O332-K332</f>
        <v>1236059.75</v>
      </c>
      <c r="O332" s="22">
        <f t="shared" si="224"/>
        <v>1918559.75</v>
      </c>
      <c r="P332" s="22">
        <f t="shared" si="224"/>
        <v>713890</v>
      </c>
      <c r="Q332" s="22">
        <f t="shared" si="224"/>
        <v>314335.56</v>
      </c>
      <c r="R332" s="26">
        <f>V332-P332</f>
        <v>73268</v>
      </c>
      <c r="S332" s="22">
        <f t="shared" si="225"/>
        <v>713890</v>
      </c>
      <c r="T332" s="22">
        <f t="shared" si="225"/>
        <v>5172000</v>
      </c>
      <c r="U332" s="22">
        <f t="shared" si="225"/>
        <v>6750000</v>
      </c>
      <c r="V332" s="38">
        <f t="shared" si="225"/>
        <v>787158</v>
      </c>
      <c r="W332" s="22">
        <f t="shared" si="222"/>
        <v>605900</v>
      </c>
      <c r="X332" s="22">
        <f t="shared" si="222"/>
        <v>1750000</v>
      </c>
      <c r="Y332" s="22">
        <f t="shared" si="222"/>
        <v>1845000</v>
      </c>
      <c r="Z332" s="162" t="b">
        <f t="shared" si="210"/>
        <v>1</v>
      </c>
      <c r="AA332" s="162" t="str">
        <f t="shared" si="211"/>
        <v>PRAZNO</v>
      </c>
      <c r="AC332" s="164"/>
    </row>
    <row r="333" spans="1:29" ht="15.75" x14ac:dyDescent="0.2">
      <c r="B333" s="177"/>
      <c r="C333" s="177"/>
      <c r="D333" s="177">
        <v>451</v>
      </c>
      <c r="E333" s="177"/>
      <c r="F333" s="177"/>
      <c r="G333" s="177"/>
      <c r="H333" s="29" t="s">
        <v>809</v>
      </c>
      <c r="I333" s="17">
        <f t="shared" si="223"/>
        <v>3632479.59</v>
      </c>
      <c r="J333" s="26">
        <f t="shared" si="223"/>
        <v>2551642.79</v>
      </c>
      <c r="K333" s="17">
        <f t="shared" si="223"/>
        <v>682500</v>
      </c>
      <c r="L333" s="17">
        <f t="shared" si="223"/>
        <v>450040.38</v>
      </c>
      <c r="M333" s="17">
        <f>ROUND(L333/K333*100,2)</f>
        <v>65.94</v>
      </c>
      <c r="N333" s="17">
        <f>O333-K333</f>
        <v>1236059.75</v>
      </c>
      <c r="O333" s="17">
        <f t="shared" si="224"/>
        <v>1918559.75</v>
      </c>
      <c r="P333" s="17">
        <f t="shared" si="224"/>
        <v>713890</v>
      </c>
      <c r="Q333" s="17">
        <f t="shared" si="224"/>
        <v>314335.56</v>
      </c>
      <c r="R333" s="26">
        <f>V333-P333</f>
        <v>73268</v>
      </c>
      <c r="S333" s="17">
        <f t="shared" si="225"/>
        <v>713890</v>
      </c>
      <c r="T333" s="17">
        <f t="shared" si="225"/>
        <v>5172000</v>
      </c>
      <c r="U333" s="17">
        <f t="shared" si="225"/>
        <v>6750000</v>
      </c>
      <c r="V333" s="26">
        <f t="shared" si="225"/>
        <v>787158</v>
      </c>
      <c r="W333" s="17">
        <f t="shared" si="222"/>
        <v>605900</v>
      </c>
      <c r="X333" s="17">
        <f t="shared" si="222"/>
        <v>1750000</v>
      </c>
      <c r="Y333" s="17">
        <f t="shared" si="222"/>
        <v>1845000</v>
      </c>
      <c r="Z333" s="162" t="b">
        <f t="shared" si="210"/>
        <v>1</v>
      </c>
      <c r="AA333" s="162" t="str">
        <f t="shared" si="211"/>
        <v>PRAZNO</v>
      </c>
      <c r="AC333" s="164"/>
    </row>
    <row r="334" spans="1:29" ht="15.75" x14ac:dyDescent="0.2">
      <c r="B334" s="177"/>
      <c r="C334" s="177"/>
      <c r="D334" s="177"/>
      <c r="E334" s="177">
        <v>4511</v>
      </c>
      <c r="F334" s="176">
        <v>54</v>
      </c>
      <c r="G334" s="176" t="s">
        <v>746</v>
      </c>
      <c r="H334" s="29" t="s">
        <v>809</v>
      </c>
      <c r="I334" s="18">
        <v>3632479.59</v>
      </c>
      <c r="J334" s="27">
        <v>2551642.79</v>
      </c>
      <c r="K334" s="189">
        <v>682500</v>
      </c>
      <c r="L334" s="189">
        <v>450040.38</v>
      </c>
      <c r="M334" s="189">
        <f>ROUND(L334/K334*100,2)</f>
        <v>65.94</v>
      </c>
      <c r="N334" s="189">
        <f>O334-K334</f>
        <v>1236059.75</v>
      </c>
      <c r="O334" s="189">
        <v>1918559.75</v>
      </c>
      <c r="P334" s="189">
        <f>413890+300000</f>
        <v>713890</v>
      </c>
      <c r="Q334" s="189">
        <v>314335.56</v>
      </c>
      <c r="R334" s="26">
        <f>V334-P334</f>
        <v>73268</v>
      </c>
      <c r="S334" s="189">
        <f>413890+300000</f>
        <v>713890</v>
      </c>
      <c r="T334" s="189">
        <f>5172000</f>
        <v>5172000</v>
      </c>
      <c r="U334" s="189">
        <f>6750000</f>
        <v>6750000</v>
      </c>
      <c r="V334" s="190">
        <v>787158</v>
      </c>
      <c r="W334" s="190">
        <v>605900</v>
      </c>
      <c r="X334" s="190">
        <v>1750000</v>
      </c>
      <c r="Y334" s="190">
        <v>1845000</v>
      </c>
      <c r="Z334" s="162" t="b">
        <f t="shared" si="210"/>
        <v>0</v>
      </c>
      <c r="AA334" s="162" t="str">
        <f t="shared" si="211"/>
        <v>PUNO</v>
      </c>
      <c r="AC334" s="164"/>
    </row>
    <row r="335" spans="1:29" s="171" customFormat="1" ht="15.75" x14ac:dyDescent="0.2">
      <c r="A335" s="259"/>
      <c r="B335" s="168"/>
      <c r="C335" s="168"/>
      <c r="D335" s="168"/>
      <c r="E335" s="168"/>
      <c r="F335" s="168"/>
      <c r="G335" s="168"/>
      <c r="H335" s="35" t="s">
        <v>164</v>
      </c>
      <c r="I335" s="19">
        <f>I337</f>
        <v>754267.4</v>
      </c>
      <c r="J335" s="53">
        <f>J337</f>
        <v>6659135</v>
      </c>
      <c r="K335" s="169">
        <f>K337</f>
        <v>3599200</v>
      </c>
      <c r="L335" s="169">
        <f>L337</f>
        <v>1021032.59</v>
      </c>
      <c r="M335" s="169">
        <f>ROUND(L335/K335*100,2)</f>
        <v>28.37</v>
      </c>
      <c r="N335" s="169">
        <f>O335-K335</f>
        <v>1038681.8399999999</v>
      </c>
      <c r="O335" s="19">
        <f>O337</f>
        <v>4637881.84</v>
      </c>
      <c r="P335" s="19">
        <f>P337</f>
        <v>4204832</v>
      </c>
      <c r="Q335" s="19">
        <f>Q337</f>
        <v>1189614.2400000002</v>
      </c>
      <c r="R335" s="303">
        <f>V335-P335</f>
        <v>-84267</v>
      </c>
      <c r="S335" s="19">
        <f t="shared" ref="S335:Y335" si="226">S337</f>
        <v>4204832</v>
      </c>
      <c r="T335" s="19">
        <f t="shared" si="226"/>
        <v>773500</v>
      </c>
      <c r="U335" s="19">
        <f t="shared" si="226"/>
        <v>110400</v>
      </c>
      <c r="V335" s="53">
        <f t="shared" si="226"/>
        <v>4120565</v>
      </c>
      <c r="W335" s="19">
        <f t="shared" si="226"/>
        <v>4398549</v>
      </c>
      <c r="X335" s="19">
        <f t="shared" si="226"/>
        <v>2855956</v>
      </c>
      <c r="Y335" s="19">
        <f t="shared" si="226"/>
        <v>3268125</v>
      </c>
      <c r="Z335" s="162" t="b">
        <f t="shared" si="210"/>
        <v>1</v>
      </c>
      <c r="AA335" s="162" t="str">
        <f t="shared" si="211"/>
        <v>PRAZNO</v>
      </c>
      <c r="AB335" s="170"/>
      <c r="AC335" s="164"/>
    </row>
    <row r="336" spans="1:29" s="264" customFormat="1" ht="16.5" customHeight="1" x14ac:dyDescent="0.2">
      <c r="A336" s="259"/>
      <c r="B336" s="260"/>
      <c r="C336" s="260"/>
      <c r="D336" s="260"/>
      <c r="E336" s="260"/>
      <c r="F336" s="260"/>
      <c r="G336" s="260"/>
      <c r="H336" s="473" t="s">
        <v>830</v>
      </c>
      <c r="I336" s="262"/>
      <c r="J336" s="342"/>
      <c r="K336" s="181"/>
      <c r="L336" s="181"/>
      <c r="M336" s="181"/>
      <c r="N336" s="181"/>
      <c r="O336" s="262"/>
      <c r="P336" s="262"/>
      <c r="Q336" s="262"/>
      <c r="R336" s="445"/>
      <c r="S336" s="262"/>
      <c r="T336" s="262"/>
      <c r="U336" s="262"/>
      <c r="V336" s="342"/>
      <c r="W336" s="262">
        <f>W337</f>
        <v>4398549</v>
      </c>
      <c r="X336" s="262">
        <f>X337</f>
        <v>2855956</v>
      </c>
      <c r="Y336" s="262">
        <f>Y337</f>
        <v>3268125</v>
      </c>
      <c r="Z336" s="162" t="b">
        <f t="shared" si="210"/>
        <v>1</v>
      </c>
      <c r="AA336" s="162" t="str">
        <f t="shared" si="211"/>
        <v>PRAZNO</v>
      </c>
      <c r="AB336" s="263"/>
    </row>
    <row r="337" spans="1:29" s="174" customFormat="1" ht="15.75" x14ac:dyDescent="0.2">
      <c r="A337" s="259"/>
      <c r="B337" s="172">
        <v>4</v>
      </c>
      <c r="C337" s="172"/>
      <c r="D337" s="172"/>
      <c r="E337" s="172"/>
      <c r="F337" s="172"/>
      <c r="G337" s="172"/>
      <c r="H337" s="36" t="s">
        <v>552</v>
      </c>
      <c r="I337" s="37">
        <f>I341+I355</f>
        <v>754267.4</v>
      </c>
      <c r="J337" s="37">
        <f>J341+J355</f>
        <v>6659135</v>
      </c>
      <c r="K337" s="37">
        <f>K341+K355</f>
        <v>3599200</v>
      </c>
      <c r="L337" s="37">
        <f>L341+L355</f>
        <v>1021032.59</v>
      </c>
      <c r="M337" s="37">
        <f>ROUND(L337/K337*100,2)</f>
        <v>28.37</v>
      </c>
      <c r="N337" s="37">
        <f>O337-K337</f>
        <v>1038681.8399999999</v>
      </c>
      <c r="O337" s="37">
        <f>O341+O355</f>
        <v>4637881.84</v>
      </c>
      <c r="P337" s="37">
        <f>P341+P355+P338</f>
        <v>4204832</v>
      </c>
      <c r="Q337" s="37">
        <f>Q341+Q355+Q338</f>
        <v>1189614.2400000002</v>
      </c>
      <c r="R337" s="55">
        <f t="shared" ref="R337:R368" si="227">V337-P337</f>
        <v>-84267</v>
      </c>
      <c r="S337" s="37">
        <f t="shared" ref="S337:Y337" si="228">S341+S355+S338</f>
        <v>4204832</v>
      </c>
      <c r="T337" s="37">
        <f t="shared" si="228"/>
        <v>773500</v>
      </c>
      <c r="U337" s="37">
        <f t="shared" si="228"/>
        <v>110400</v>
      </c>
      <c r="V337" s="54">
        <f t="shared" si="228"/>
        <v>4120565</v>
      </c>
      <c r="W337" s="37">
        <f t="shared" si="228"/>
        <v>4398549</v>
      </c>
      <c r="X337" s="37">
        <f t="shared" si="228"/>
        <v>2855956</v>
      </c>
      <c r="Y337" s="37">
        <f t="shared" si="228"/>
        <v>3268125</v>
      </c>
      <c r="Z337" s="162" t="b">
        <f t="shared" si="210"/>
        <v>1</v>
      </c>
      <c r="AA337" s="162" t="str">
        <f t="shared" si="211"/>
        <v>PRAZNO</v>
      </c>
      <c r="AB337" s="173"/>
      <c r="AC337" s="164"/>
    </row>
    <row r="338" spans="1:29" s="252" customFormat="1" ht="27.75" customHeight="1" x14ac:dyDescent="0.2">
      <c r="A338" s="259"/>
      <c r="B338" s="250"/>
      <c r="C338" s="250">
        <v>41</v>
      </c>
      <c r="D338" s="250"/>
      <c r="E338" s="250"/>
      <c r="F338" s="250"/>
      <c r="G338" s="250"/>
      <c r="H338" s="30" t="s">
        <v>753</v>
      </c>
      <c r="I338" s="203"/>
      <c r="J338" s="203"/>
      <c r="K338" s="203"/>
      <c r="L338" s="203"/>
      <c r="M338" s="203"/>
      <c r="N338" s="203"/>
      <c r="O338" s="203"/>
      <c r="P338" s="203">
        <f>P339</f>
        <v>62000</v>
      </c>
      <c r="Q338" s="203">
        <f>Q339</f>
        <v>9249.25</v>
      </c>
      <c r="R338" s="26">
        <f t="shared" si="227"/>
        <v>-20000</v>
      </c>
      <c r="S338" s="203">
        <f t="shared" ref="S338:Y339" si="229">S339</f>
        <v>62000</v>
      </c>
      <c r="T338" s="203">
        <f t="shared" si="229"/>
        <v>0</v>
      </c>
      <c r="U338" s="203">
        <f t="shared" si="229"/>
        <v>0</v>
      </c>
      <c r="V338" s="204">
        <f t="shared" si="229"/>
        <v>42000</v>
      </c>
      <c r="W338" s="203">
        <f t="shared" si="229"/>
        <v>162000</v>
      </c>
      <c r="X338" s="203">
        <f t="shared" si="229"/>
        <v>0</v>
      </c>
      <c r="Y338" s="203">
        <f t="shared" si="229"/>
        <v>20000</v>
      </c>
      <c r="Z338" s="162" t="b">
        <f t="shared" si="210"/>
        <v>1</v>
      </c>
      <c r="AA338" s="162" t="str">
        <f t="shared" si="211"/>
        <v>PRAZNO</v>
      </c>
      <c r="AB338" s="251"/>
    </row>
    <row r="339" spans="1:29" s="252" customFormat="1" ht="15.75" x14ac:dyDescent="0.2">
      <c r="A339" s="259"/>
      <c r="B339" s="250"/>
      <c r="C339" s="250"/>
      <c r="D339" s="250">
        <v>412</v>
      </c>
      <c r="E339" s="250"/>
      <c r="F339" s="250"/>
      <c r="G339" s="250"/>
      <c r="H339" s="16" t="s">
        <v>553</v>
      </c>
      <c r="I339" s="203"/>
      <c r="J339" s="203"/>
      <c r="K339" s="203"/>
      <c r="L339" s="203"/>
      <c r="M339" s="203"/>
      <c r="N339" s="203"/>
      <c r="O339" s="203"/>
      <c r="P339" s="203">
        <f>P340</f>
        <v>62000</v>
      </c>
      <c r="Q339" s="203">
        <f>Q340</f>
        <v>9249.25</v>
      </c>
      <c r="R339" s="26">
        <f t="shared" si="227"/>
        <v>-20000</v>
      </c>
      <c r="S339" s="203">
        <f t="shared" si="229"/>
        <v>62000</v>
      </c>
      <c r="T339" s="203">
        <f t="shared" si="229"/>
        <v>0</v>
      </c>
      <c r="U339" s="203">
        <f t="shared" si="229"/>
        <v>0</v>
      </c>
      <c r="V339" s="204">
        <f t="shared" si="229"/>
        <v>42000</v>
      </c>
      <c r="W339" s="203">
        <f t="shared" si="229"/>
        <v>162000</v>
      </c>
      <c r="X339" s="203">
        <f t="shared" si="229"/>
        <v>0</v>
      </c>
      <c r="Y339" s="203">
        <f t="shared" si="229"/>
        <v>20000</v>
      </c>
      <c r="Z339" s="162" t="b">
        <f t="shared" si="210"/>
        <v>1</v>
      </c>
      <c r="AA339" s="162" t="str">
        <f t="shared" si="211"/>
        <v>PRAZNO</v>
      </c>
      <c r="AB339" s="251"/>
    </row>
    <row r="340" spans="1:29" s="252" customFormat="1" ht="15.75" x14ac:dyDescent="0.2">
      <c r="A340" s="259"/>
      <c r="B340" s="250"/>
      <c r="C340" s="250"/>
      <c r="D340" s="250"/>
      <c r="E340" s="250">
        <v>4123</v>
      </c>
      <c r="F340" s="250">
        <v>54</v>
      </c>
      <c r="G340" s="250"/>
      <c r="H340" s="30" t="s">
        <v>554</v>
      </c>
      <c r="I340" s="203"/>
      <c r="J340" s="203"/>
      <c r="K340" s="203"/>
      <c r="L340" s="203"/>
      <c r="M340" s="203"/>
      <c r="N340" s="203"/>
      <c r="O340" s="203"/>
      <c r="P340" s="203">
        <v>62000</v>
      </c>
      <c r="Q340" s="203">
        <v>9249.25</v>
      </c>
      <c r="R340" s="26">
        <f t="shared" si="227"/>
        <v>-20000</v>
      </c>
      <c r="S340" s="203">
        <v>62000</v>
      </c>
      <c r="T340" s="203">
        <v>0</v>
      </c>
      <c r="U340" s="203">
        <v>0</v>
      </c>
      <c r="V340" s="204">
        <v>42000</v>
      </c>
      <c r="W340" s="203">
        <f>12000+150000</f>
        <v>162000</v>
      </c>
      <c r="X340" s="203">
        <v>0</v>
      </c>
      <c r="Y340" s="203">
        <v>20000</v>
      </c>
      <c r="Z340" s="162" t="b">
        <f t="shared" si="210"/>
        <v>0</v>
      </c>
      <c r="AA340" s="162" t="str">
        <f t="shared" si="211"/>
        <v>PUNO</v>
      </c>
      <c r="AB340" s="251"/>
    </row>
    <row r="341" spans="1:29" ht="29.25" customHeight="1" x14ac:dyDescent="0.2">
      <c r="B341" s="175"/>
      <c r="C341" s="175">
        <v>42</v>
      </c>
      <c r="D341" s="175"/>
      <c r="E341" s="175"/>
      <c r="F341" s="175"/>
      <c r="G341" s="175"/>
      <c r="H341" s="28" t="s">
        <v>212</v>
      </c>
      <c r="I341" s="22">
        <f>I342+I351+I353</f>
        <v>754267.4</v>
      </c>
      <c r="J341" s="22">
        <f>J342+J351+J353</f>
        <v>5665089.5899999999</v>
      </c>
      <c r="K341" s="22">
        <f>K342+K351+K353</f>
        <v>3584200</v>
      </c>
      <c r="L341" s="22">
        <f>L342+L351+L353</f>
        <v>1010722.48</v>
      </c>
      <c r="M341" s="22">
        <f>ROUND(L341/K341*100,2)</f>
        <v>28.2</v>
      </c>
      <c r="N341" s="22">
        <f>O341-K341</f>
        <v>1043371.7299999995</v>
      </c>
      <c r="O341" s="22">
        <f>O342+O351+O353</f>
        <v>4627571.7299999995</v>
      </c>
      <c r="P341" s="22">
        <f>P342+P351+P353</f>
        <v>4060059</v>
      </c>
      <c r="Q341" s="22">
        <f>Q342+Q351+Q353</f>
        <v>1098127.3600000001</v>
      </c>
      <c r="R341" s="26">
        <f t="shared" si="227"/>
        <v>-64267</v>
      </c>
      <c r="S341" s="22">
        <f t="shared" ref="S341:Y341" si="230">S342+S351+S353</f>
        <v>4060059</v>
      </c>
      <c r="T341" s="22">
        <f t="shared" si="230"/>
        <v>773500</v>
      </c>
      <c r="U341" s="22">
        <f t="shared" si="230"/>
        <v>110400</v>
      </c>
      <c r="V341" s="38">
        <f t="shared" si="230"/>
        <v>3995792</v>
      </c>
      <c r="W341" s="22">
        <f t="shared" si="230"/>
        <v>3199549</v>
      </c>
      <c r="X341" s="22">
        <f t="shared" si="230"/>
        <v>2855956</v>
      </c>
      <c r="Y341" s="22">
        <f t="shared" si="230"/>
        <v>3248125</v>
      </c>
      <c r="Z341" s="162" t="b">
        <f t="shared" si="210"/>
        <v>1</v>
      </c>
      <c r="AA341" s="162" t="str">
        <f t="shared" si="211"/>
        <v>PRAZNO</v>
      </c>
      <c r="AC341" s="164"/>
    </row>
    <row r="342" spans="1:29" ht="16.5" customHeight="1" x14ac:dyDescent="0.2">
      <c r="B342" s="177"/>
      <c r="C342" s="177"/>
      <c r="D342" s="177">
        <v>422</v>
      </c>
      <c r="E342" s="177"/>
      <c r="F342" s="177"/>
      <c r="G342" s="177"/>
      <c r="H342" s="29" t="s">
        <v>555</v>
      </c>
      <c r="I342" s="17">
        <f>SUM(I343:I350)</f>
        <v>754267.4</v>
      </c>
      <c r="J342" s="17">
        <f>SUM(J343:J350)</f>
        <v>2938011.27</v>
      </c>
      <c r="K342" s="17">
        <f>SUM(K343:K350)</f>
        <v>2764200</v>
      </c>
      <c r="L342" s="17">
        <f>SUM(L343:L350)</f>
        <v>1010722.48</v>
      </c>
      <c r="M342" s="17">
        <f>ROUND(L342/K342*100,2)</f>
        <v>36.56</v>
      </c>
      <c r="N342" s="17">
        <f>O342-K342</f>
        <v>117732.40999999968</v>
      </c>
      <c r="O342" s="17">
        <f>SUM(O343:O350)</f>
        <v>2881932.4099999997</v>
      </c>
      <c r="P342" s="17">
        <f>SUM(P343:P350)</f>
        <v>2719259</v>
      </c>
      <c r="Q342" s="17">
        <f>SUM(Q343:Q350)</f>
        <v>1077202.3600000001</v>
      </c>
      <c r="R342" s="26">
        <f t="shared" si="227"/>
        <v>93973</v>
      </c>
      <c r="S342" s="17">
        <f t="shared" ref="S342:Y342" si="231">SUM(S343:S350)</f>
        <v>2719259</v>
      </c>
      <c r="T342" s="17">
        <f t="shared" si="231"/>
        <v>225000</v>
      </c>
      <c r="U342" s="17">
        <f t="shared" si="231"/>
        <v>110400</v>
      </c>
      <c r="V342" s="26">
        <f t="shared" si="231"/>
        <v>2813232</v>
      </c>
      <c r="W342" s="17">
        <f t="shared" si="231"/>
        <v>2934549</v>
      </c>
      <c r="X342" s="17">
        <f t="shared" si="231"/>
        <v>2355956</v>
      </c>
      <c r="Y342" s="17">
        <f t="shared" si="231"/>
        <v>2700572</v>
      </c>
      <c r="Z342" s="162" t="b">
        <f t="shared" si="210"/>
        <v>1</v>
      </c>
      <c r="AA342" s="162" t="str">
        <f t="shared" si="211"/>
        <v>PRAZNO</v>
      </c>
      <c r="AC342" s="164"/>
    </row>
    <row r="343" spans="1:29" ht="15.75" x14ac:dyDescent="0.2">
      <c r="B343" s="177"/>
      <c r="C343" s="177"/>
      <c r="D343" s="177"/>
      <c r="E343" s="177">
        <v>4221</v>
      </c>
      <c r="F343" s="176">
        <v>54</v>
      </c>
      <c r="G343" s="176"/>
      <c r="H343" s="29" t="s">
        <v>558</v>
      </c>
      <c r="I343" s="18">
        <v>0</v>
      </c>
      <c r="J343" s="27">
        <v>241251.04</v>
      </c>
      <c r="K343" s="189">
        <v>58000</v>
      </c>
      <c r="L343" s="189">
        <v>57203.73</v>
      </c>
      <c r="M343" s="189">
        <f>ROUND(L343/K343*100,2)</f>
        <v>98.63</v>
      </c>
      <c r="N343" s="189">
        <f>O343-K343</f>
        <v>198065.86</v>
      </c>
      <c r="O343" s="189">
        <v>256065.86</v>
      </c>
      <c r="P343" s="189">
        <v>147938</v>
      </c>
      <c r="Q343" s="189">
        <v>105428.71</v>
      </c>
      <c r="R343" s="26">
        <f t="shared" si="227"/>
        <v>53141</v>
      </c>
      <c r="S343" s="189">
        <v>147938</v>
      </c>
      <c r="T343" s="189">
        <v>65000</v>
      </c>
      <c r="U343" s="189">
        <v>0</v>
      </c>
      <c r="V343" s="416">
        <f>205439-4360</f>
        <v>201079</v>
      </c>
      <c r="W343" s="189">
        <v>437800</v>
      </c>
      <c r="X343" s="189">
        <v>115000</v>
      </c>
      <c r="Y343" s="189">
        <v>559000</v>
      </c>
      <c r="Z343" s="162" t="b">
        <f t="shared" si="210"/>
        <v>0</v>
      </c>
      <c r="AA343" s="162" t="str">
        <f t="shared" si="211"/>
        <v>PUNO</v>
      </c>
      <c r="AC343" s="164"/>
    </row>
    <row r="344" spans="1:29" ht="15.75" hidden="1" x14ac:dyDescent="0.2">
      <c r="B344" s="177"/>
      <c r="C344" s="177"/>
      <c r="D344" s="177"/>
      <c r="E344" s="177">
        <v>4222</v>
      </c>
      <c r="F344" s="176">
        <v>54</v>
      </c>
      <c r="G344" s="176"/>
      <c r="H344" s="29" t="s">
        <v>559</v>
      </c>
      <c r="I344" s="18"/>
      <c r="J344" s="27"/>
      <c r="K344" s="18"/>
      <c r="L344" s="178"/>
      <c r="M344" s="178"/>
      <c r="N344" s="178"/>
      <c r="O344" s="178"/>
      <c r="P344" s="178">
        <v>37300</v>
      </c>
      <c r="Q344" s="178">
        <v>2299.66</v>
      </c>
      <c r="R344" s="26">
        <f t="shared" si="227"/>
        <v>-35000</v>
      </c>
      <c r="S344" s="178">
        <v>37300</v>
      </c>
      <c r="T344" s="178">
        <v>0</v>
      </c>
      <c r="U344" s="178">
        <v>0</v>
      </c>
      <c r="V344" s="266">
        <v>2300</v>
      </c>
      <c r="W344" s="178">
        <v>0</v>
      </c>
      <c r="X344" s="178">
        <v>0</v>
      </c>
      <c r="Y344" s="178">
        <v>0</v>
      </c>
      <c r="Z344" s="162" t="b">
        <f t="shared" si="210"/>
        <v>0</v>
      </c>
      <c r="AA344" s="162" t="str">
        <f t="shared" si="211"/>
        <v>PUNO</v>
      </c>
      <c r="AC344" s="164"/>
    </row>
    <row r="345" spans="1:29" ht="15.75" x14ac:dyDescent="0.2">
      <c r="B345" s="177"/>
      <c r="C345" s="177"/>
      <c r="D345" s="177"/>
      <c r="E345" s="177">
        <v>4223</v>
      </c>
      <c r="F345" s="176">
        <v>54</v>
      </c>
      <c r="G345" s="176"/>
      <c r="H345" s="29" t="s">
        <v>628</v>
      </c>
      <c r="I345" s="18">
        <v>0</v>
      </c>
      <c r="J345" s="27">
        <v>7810.5</v>
      </c>
      <c r="K345" s="18">
        <v>0</v>
      </c>
      <c r="L345" s="18">
        <v>0</v>
      </c>
      <c r="M345" s="18" t="e">
        <f t="shared" ref="M345:M367" si="232">ROUND(L345/K345*100,2)</f>
        <v>#DIV/0!</v>
      </c>
      <c r="N345" s="18">
        <f t="shared" ref="N345:N367" si="233">O345-K345</f>
        <v>0</v>
      </c>
      <c r="O345" s="18"/>
      <c r="P345" s="18"/>
      <c r="Q345" s="18"/>
      <c r="R345" s="26">
        <f t="shared" si="227"/>
        <v>0</v>
      </c>
      <c r="S345" s="18"/>
      <c r="T345" s="18"/>
      <c r="U345" s="18"/>
      <c r="V345" s="27"/>
      <c r="W345" s="18">
        <v>0</v>
      </c>
      <c r="X345" s="18">
        <v>0</v>
      </c>
      <c r="Y345" s="18">
        <v>15000</v>
      </c>
      <c r="Z345" s="162" t="b">
        <f t="shared" si="210"/>
        <v>0</v>
      </c>
      <c r="AA345" s="162" t="str">
        <f t="shared" si="211"/>
        <v>PUNO</v>
      </c>
      <c r="AC345" s="164"/>
    </row>
    <row r="346" spans="1:29" ht="15.75" hidden="1" x14ac:dyDescent="0.2">
      <c r="B346" s="177"/>
      <c r="C346" s="177"/>
      <c r="D346" s="177"/>
      <c r="E346" s="177">
        <v>4224</v>
      </c>
      <c r="F346" s="176">
        <v>54</v>
      </c>
      <c r="G346" s="176" t="s">
        <v>746</v>
      </c>
      <c r="H346" s="29" t="s">
        <v>638</v>
      </c>
      <c r="I346" s="18">
        <v>683490.28</v>
      </c>
      <c r="J346" s="27">
        <v>0</v>
      </c>
      <c r="K346" s="189"/>
      <c r="L346" s="189"/>
      <c r="M346" s="189" t="e">
        <f t="shared" si="232"/>
        <v>#DIV/0!</v>
      </c>
      <c r="N346" s="189">
        <f t="shared" si="233"/>
        <v>0</v>
      </c>
      <c r="O346" s="189">
        <v>0</v>
      </c>
      <c r="P346" s="189">
        <v>0</v>
      </c>
      <c r="Q346" s="189"/>
      <c r="R346" s="26">
        <f t="shared" si="227"/>
        <v>0</v>
      </c>
      <c r="S346" s="189">
        <v>0</v>
      </c>
      <c r="T346" s="189">
        <v>0</v>
      </c>
      <c r="U346" s="189">
        <v>0</v>
      </c>
      <c r="V346" s="190"/>
      <c r="W346" s="189"/>
      <c r="X346" s="189"/>
      <c r="Y346" s="189"/>
      <c r="Z346" s="162" t="b">
        <f t="shared" si="210"/>
        <v>0</v>
      </c>
      <c r="AA346" s="162" t="str">
        <f t="shared" si="211"/>
        <v>PUNO</v>
      </c>
      <c r="AC346" s="164"/>
    </row>
    <row r="347" spans="1:29" ht="15.75" hidden="1" x14ac:dyDescent="0.2">
      <c r="B347" s="177"/>
      <c r="C347" s="177"/>
      <c r="D347" s="177"/>
      <c r="E347" s="177">
        <v>4224</v>
      </c>
      <c r="F347" s="176">
        <v>54</v>
      </c>
      <c r="G347" s="176" t="s">
        <v>746</v>
      </c>
      <c r="H347" s="29" t="s">
        <v>638</v>
      </c>
      <c r="I347" s="189">
        <v>70777.119999999995</v>
      </c>
      <c r="J347" s="18">
        <v>0</v>
      </c>
      <c r="K347" s="189"/>
      <c r="L347" s="189"/>
      <c r="M347" s="189" t="e">
        <f t="shared" si="232"/>
        <v>#DIV/0!</v>
      </c>
      <c r="N347" s="189">
        <f t="shared" si="233"/>
        <v>0</v>
      </c>
      <c r="O347" s="189"/>
      <c r="P347" s="189"/>
      <c r="Q347" s="189"/>
      <c r="R347" s="26">
        <f t="shared" si="227"/>
        <v>0</v>
      </c>
      <c r="S347" s="189"/>
      <c r="T347" s="189"/>
      <c r="U347" s="189"/>
      <c r="V347" s="190"/>
      <c r="W347" s="189"/>
      <c r="X347" s="189"/>
      <c r="Y347" s="189"/>
      <c r="Z347" s="162" t="b">
        <f t="shared" si="210"/>
        <v>0</v>
      </c>
      <c r="AA347" s="162" t="str">
        <f t="shared" si="211"/>
        <v>PUNO</v>
      </c>
      <c r="AC347" s="164"/>
    </row>
    <row r="348" spans="1:29" ht="15.75" x14ac:dyDescent="0.2">
      <c r="B348" s="177"/>
      <c r="C348" s="177"/>
      <c r="D348" s="177"/>
      <c r="E348" s="177">
        <v>4224</v>
      </c>
      <c r="F348" s="176">
        <v>54</v>
      </c>
      <c r="G348" s="176"/>
      <c r="H348" s="29" t="s">
        <v>638</v>
      </c>
      <c r="I348" s="18"/>
      <c r="J348" s="27">
        <f>24598.77+2664350.96</f>
        <v>2688949.73</v>
      </c>
      <c r="K348" s="18">
        <f>472200+2200000</f>
        <v>2672200</v>
      </c>
      <c r="L348" s="178">
        <f>343912.3+575750.7</f>
        <v>919663</v>
      </c>
      <c r="M348" s="178">
        <f t="shared" si="232"/>
        <v>34.42</v>
      </c>
      <c r="N348" s="178">
        <f t="shared" si="233"/>
        <v>-80189.200000000186</v>
      </c>
      <c r="O348" s="178">
        <v>2592010.7999999998</v>
      </c>
      <c r="P348" s="178">
        <v>2525054</v>
      </c>
      <c r="Q348" s="178">
        <v>960749.24</v>
      </c>
      <c r="R348" s="26">
        <f t="shared" si="227"/>
        <v>71472</v>
      </c>
      <c r="S348" s="178">
        <v>2525054</v>
      </c>
      <c r="T348" s="178">
        <v>160000</v>
      </c>
      <c r="U348" s="178">
        <v>110400</v>
      </c>
      <c r="V348" s="266">
        <f>2593826+2700</f>
        <v>2596526</v>
      </c>
      <c r="W348" s="178">
        <v>2484649</v>
      </c>
      <c r="X348" s="178">
        <v>2240956</v>
      </c>
      <c r="Y348" s="178">
        <v>1421572</v>
      </c>
      <c r="Z348" s="162" t="b">
        <f t="shared" si="210"/>
        <v>0</v>
      </c>
      <c r="AA348" s="162" t="str">
        <f t="shared" si="211"/>
        <v>PUNO</v>
      </c>
      <c r="AC348" s="164"/>
    </row>
    <row r="349" spans="1:29" ht="15.75" x14ac:dyDescent="0.2">
      <c r="B349" s="177"/>
      <c r="C349" s="177"/>
      <c r="D349" s="177"/>
      <c r="E349" s="177">
        <v>4225</v>
      </c>
      <c r="F349" s="176">
        <v>54</v>
      </c>
      <c r="G349" s="176"/>
      <c r="H349" s="29" t="s">
        <v>844</v>
      </c>
      <c r="I349" s="18"/>
      <c r="J349" s="27"/>
      <c r="K349" s="18">
        <v>34000</v>
      </c>
      <c r="L349" s="18">
        <v>33855.75</v>
      </c>
      <c r="M349" s="18">
        <f t="shared" si="232"/>
        <v>99.58</v>
      </c>
      <c r="N349" s="18">
        <f t="shared" si="233"/>
        <v>-144.25</v>
      </c>
      <c r="O349" s="18">
        <v>33855.75</v>
      </c>
      <c r="P349" s="18">
        <v>4467</v>
      </c>
      <c r="Q349" s="18">
        <v>4467</v>
      </c>
      <c r="R349" s="26">
        <f t="shared" si="227"/>
        <v>0</v>
      </c>
      <c r="S349" s="18">
        <v>4467</v>
      </c>
      <c r="T349" s="18">
        <v>0</v>
      </c>
      <c r="U349" s="18">
        <v>0</v>
      </c>
      <c r="V349" s="27">
        <v>4467</v>
      </c>
      <c r="W349" s="18">
        <v>6700</v>
      </c>
      <c r="X349" s="18">
        <v>0</v>
      </c>
      <c r="Y349" s="18">
        <v>0</v>
      </c>
      <c r="Z349" s="162" t="b">
        <f t="shared" si="210"/>
        <v>0</v>
      </c>
      <c r="AA349" s="162" t="str">
        <f t="shared" si="211"/>
        <v>PUNO</v>
      </c>
      <c r="AC349" s="164"/>
    </row>
    <row r="350" spans="1:29" ht="15.75" x14ac:dyDescent="0.2">
      <c r="B350" s="177"/>
      <c r="C350" s="177"/>
      <c r="D350" s="177"/>
      <c r="E350" s="177">
        <v>4227</v>
      </c>
      <c r="F350" s="176">
        <v>54</v>
      </c>
      <c r="G350" s="176"/>
      <c r="H350" s="29" t="s">
        <v>413</v>
      </c>
      <c r="I350" s="18">
        <v>0</v>
      </c>
      <c r="J350" s="27">
        <v>0</v>
      </c>
      <c r="K350" s="18">
        <v>0</v>
      </c>
      <c r="L350" s="18">
        <v>0</v>
      </c>
      <c r="M350" s="18" t="e">
        <f t="shared" si="232"/>
        <v>#DIV/0!</v>
      </c>
      <c r="N350" s="18">
        <f t="shared" si="233"/>
        <v>0</v>
      </c>
      <c r="O350" s="18"/>
      <c r="P350" s="18">
        <v>4500</v>
      </c>
      <c r="Q350" s="18">
        <v>4257.75</v>
      </c>
      <c r="R350" s="26">
        <f t="shared" si="227"/>
        <v>4360</v>
      </c>
      <c r="S350" s="18">
        <v>4500</v>
      </c>
      <c r="T350" s="18">
        <v>0</v>
      </c>
      <c r="U350" s="18">
        <v>0</v>
      </c>
      <c r="V350" s="266">
        <f>4500+4360</f>
        <v>8860</v>
      </c>
      <c r="W350" s="18">
        <v>5400</v>
      </c>
      <c r="X350" s="18">
        <v>0</v>
      </c>
      <c r="Y350" s="18">
        <v>705000</v>
      </c>
      <c r="Z350" s="162" t="b">
        <f t="shared" si="210"/>
        <v>0</v>
      </c>
      <c r="AA350" s="162" t="str">
        <f t="shared" si="211"/>
        <v>PUNO</v>
      </c>
      <c r="AC350" s="164"/>
    </row>
    <row r="351" spans="1:29" ht="15.75" x14ac:dyDescent="0.2">
      <c r="B351" s="177"/>
      <c r="C351" s="177"/>
      <c r="D351" s="177">
        <v>423</v>
      </c>
      <c r="E351" s="177"/>
      <c r="F351" s="177"/>
      <c r="G351" s="177"/>
      <c r="H351" s="29" t="s">
        <v>223</v>
      </c>
      <c r="I351" s="26">
        <f>I352</f>
        <v>0</v>
      </c>
      <c r="J351" s="26">
        <f>J352</f>
        <v>1989078.32</v>
      </c>
      <c r="K351" s="17">
        <f>K352</f>
        <v>820000</v>
      </c>
      <c r="L351" s="17">
        <f>L352</f>
        <v>0</v>
      </c>
      <c r="M351" s="17">
        <f t="shared" si="232"/>
        <v>0</v>
      </c>
      <c r="N351" s="17">
        <f t="shared" si="233"/>
        <v>-400</v>
      </c>
      <c r="O351" s="17">
        <f>O352</f>
        <v>819600</v>
      </c>
      <c r="P351" s="17">
        <f>P352</f>
        <v>1253800</v>
      </c>
      <c r="Q351" s="17">
        <f>Q352</f>
        <v>0</v>
      </c>
      <c r="R351" s="26">
        <f t="shared" si="227"/>
        <v>-144540</v>
      </c>
      <c r="S351" s="17">
        <f t="shared" ref="S351:Y351" si="234">S352</f>
        <v>1253800</v>
      </c>
      <c r="T351" s="17">
        <f t="shared" si="234"/>
        <v>548500</v>
      </c>
      <c r="U351" s="17">
        <f t="shared" si="234"/>
        <v>0</v>
      </c>
      <c r="V351" s="26">
        <f t="shared" si="234"/>
        <v>1109260</v>
      </c>
      <c r="W351" s="17">
        <f t="shared" si="234"/>
        <v>259000</v>
      </c>
      <c r="X351" s="17">
        <f t="shared" si="234"/>
        <v>500000</v>
      </c>
      <c r="Y351" s="17">
        <f t="shared" si="234"/>
        <v>500000</v>
      </c>
      <c r="Z351" s="162" t="b">
        <f t="shared" si="210"/>
        <v>1</v>
      </c>
      <c r="AA351" s="162" t="str">
        <f t="shared" si="211"/>
        <v>PRAZNO</v>
      </c>
      <c r="AC351" s="164"/>
    </row>
    <row r="352" spans="1:29" ht="15.75" x14ac:dyDescent="0.2">
      <c r="B352" s="177"/>
      <c r="C352" s="177"/>
      <c r="D352" s="177"/>
      <c r="E352" s="177">
        <v>4231</v>
      </c>
      <c r="F352" s="176">
        <v>54</v>
      </c>
      <c r="G352" s="176"/>
      <c r="H352" s="29" t="s">
        <v>224</v>
      </c>
      <c r="I352" s="18"/>
      <c r="J352" s="27">
        <v>1989078.32</v>
      </c>
      <c r="K352" s="18">
        <v>820000</v>
      </c>
      <c r="L352" s="18">
        <v>0</v>
      </c>
      <c r="M352" s="18">
        <f t="shared" si="232"/>
        <v>0</v>
      </c>
      <c r="N352" s="18">
        <f t="shared" si="233"/>
        <v>-400</v>
      </c>
      <c r="O352" s="18">
        <v>819600</v>
      </c>
      <c r="P352" s="18">
        <v>1253800</v>
      </c>
      <c r="Q352" s="18">
        <v>0</v>
      </c>
      <c r="R352" s="26">
        <f t="shared" si="227"/>
        <v>-144540</v>
      </c>
      <c r="S352" s="18">
        <v>1253800</v>
      </c>
      <c r="T352" s="18">
        <v>548500</v>
      </c>
      <c r="U352" s="18">
        <v>0</v>
      </c>
      <c r="V352" s="27">
        <v>1109260</v>
      </c>
      <c r="W352" s="18">
        <v>259000</v>
      </c>
      <c r="X352" s="18">
        <v>500000</v>
      </c>
      <c r="Y352" s="18">
        <v>500000</v>
      </c>
      <c r="Z352" s="162" t="b">
        <f t="shared" si="210"/>
        <v>0</v>
      </c>
      <c r="AA352" s="162" t="str">
        <f t="shared" si="211"/>
        <v>PUNO</v>
      </c>
      <c r="AC352" s="164"/>
    </row>
    <row r="353" spans="1:29" ht="15.75" x14ac:dyDescent="0.2">
      <c r="B353" s="177"/>
      <c r="C353" s="177"/>
      <c r="D353" s="177">
        <v>426</v>
      </c>
      <c r="E353" s="177"/>
      <c r="F353" s="177"/>
      <c r="G353" s="177"/>
      <c r="H353" s="29" t="s">
        <v>560</v>
      </c>
      <c r="I353" s="18">
        <f>I354</f>
        <v>0</v>
      </c>
      <c r="J353" s="27">
        <f>J354</f>
        <v>738000</v>
      </c>
      <c r="K353" s="18">
        <f>K354</f>
        <v>0</v>
      </c>
      <c r="L353" s="18">
        <f>L354</f>
        <v>0</v>
      </c>
      <c r="M353" s="18" t="e">
        <f t="shared" si="232"/>
        <v>#DIV/0!</v>
      </c>
      <c r="N353" s="18">
        <f t="shared" si="233"/>
        <v>926039.32</v>
      </c>
      <c r="O353" s="18">
        <f>O354</f>
        <v>926039.32</v>
      </c>
      <c r="P353" s="18">
        <f>P354</f>
        <v>87000</v>
      </c>
      <c r="Q353" s="18">
        <f>Q354</f>
        <v>20925</v>
      </c>
      <c r="R353" s="26">
        <f t="shared" si="227"/>
        <v>-13700</v>
      </c>
      <c r="S353" s="18">
        <f t="shared" ref="S353:Y353" si="235">S354</f>
        <v>87000</v>
      </c>
      <c r="T353" s="18">
        <f t="shared" si="235"/>
        <v>0</v>
      </c>
      <c r="U353" s="18">
        <f t="shared" si="235"/>
        <v>0</v>
      </c>
      <c r="V353" s="27">
        <f t="shared" si="235"/>
        <v>73300</v>
      </c>
      <c r="W353" s="18">
        <f t="shared" si="235"/>
        <v>6000</v>
      </c>
      <c r="X353" s="18">
        <f t="shared" si="235"/>
        <v>0</v>
      </c>
      <c r="Y353" s="18">
        <f t="shared" si="235"/>
        <v>47553</v>
      </c>
      <c r="Z353" s="162" t="b">
        <f t="shared" si="210"/>
        <v>1</v>
      </c>
      <c r="AA353" s="162" t="str">
        <f t="shared" si="211"/>
        <v>PRAZNO</v>
      </c>
      <c r="AC353" s="164"/>
    </row>
    <row r="354" spans="1:29" ht="15.75" x14ac:dyDescent="0.2">
      <c r="B354" s="177"/>
      <c r="C354" s="177"/>
      <c r="D354" s="177"/>
      <c r="E354" s="177">
        <v>4262</v>
      </c>
      <c r="F354" s="176">
        <v>54</v>
      </c>
      <c r="G354" s="176"/>
      <c r="H354" s="29" t="s">
        <v>561</v>
      </c>
      <c r="I354" s="18">
        <v>0</v>
      </c>
      <c r="J354" s="27">
        <v>738000</v>
      </c>
      <c r="K354" s="18">
        <v>0</v>
      </c>
      <c r="L354" s="18"/>
      <c r="M354" s="18" t="e">
        <f t="shared" si="232"/>
        <v>#DIV/0!</v>
      </c>
      <c r="N354" s="18">
        <f t="shared" si="233"/>
        <v>926039.32</v>
      </c>
      <c r="O354" s="18">
        <v>926039.32</v>
      </c>
      <c r="P354" s="18">
        <v>87000</v>
      </c>
      <c r="Q354" s="18">
        <v>20925</v>
      </c>
      <c r="R354" s="26">
        <f t="shared" si="227"/>
        <v>-13700</v>
      </c>
      <c r="S354" s="18">
        <v>87000</v>
      </c>
      <c r="T354" s="18">
        <v>0</v>
      </c>
      <c r="U354" s="18">
        <v>0</v>
      </c>
      <c r="V354" s="27">
        <f>87000-13700</f>
        <v>73300</v>
      </c>
      <c r="W354" s="18">
        <v>6000</v>
      </c>
      <c r="X354" s="18">
        <v>0</v>
      </c>
      <c r="Y354" s="18">
        <v>47553</v>
      </c>
      <c r="Z354" s="162" t="b">
        <f t="shared" si="210"/>
        <v>0</v>
      </c>
      <c r="AA354" s="162" t="str">
        <f t="shared" si="211"/>
        <v>PUNO</v>
      </c>
      <c r="AC354" s="164"/>
    </row>
    <row r="355" spans="1:29" ht="27.75" customHeight="1" x14ac:dyDescent="0.2">
      <c r="B355" s="177"/>
      <c r="C355" s="177">
        <v>45</v>
      </c>
      <c r="D355" s="177"/>
      <c r="E355" s="177"/>
      <c r="F355" s="177"/>
      <c r="G355" s="177"/>
      <c r="H355" s="28" t="s">
        <v>808</v>
      </c>
      <c r="I355" s="17">
        <f t="shared" ref="I355:L356" si="236">I356</f>
        <v>0</v>
      </c>
      <c r="J355" s="26">
        <f t="shared" si="236"/>
        <v>994045.41</v>
      </c>
      <c r="K355" s="17">
        <f t="shared" si="236"/>
        <v>15000</v>
      </c>
      <c r="L355" s="17">
        <f t="shared" si="236"/>
        <v>10310.11</v>
      </c>
      <c r="M355" s="17">
        <f t="shared" si="232"/>
        <v>68.73</v>
      </c>
      <c r="N355" s="17">
        <f t="shared" si="233"/>
        <v>-4689.8899999999994</v>
      </c>
      <c r="O355" s="17">
        <f t="shared" ref="O355:Q356" si="237">O356</f>
        <v>10310.11</v>
      </c>
      <c r="P355" s="17">
        <f t="shared" si="237"/>
        <v>82773</v>
      </c>
      <c r="Q355" s="17">
        <f t="shared" si="237"/>
        <v>82237.63</v>
      </c>
      <c r="R355" s="26">
        <f t="shared" si="227"/>
        <v>0</v>
      </c>
      <c r="S355" s="17">
        <f t="shared" ref="S355:Y356" si="238">S356</f>
        <v>82773</v>
      </c>
      <c r="T355" s="17">
        <f t="shared" si="238"/>
        <v>0</v>
      </c>
      <c r="U355" s="17">
        <f t="shared" si="238"/>
        <v>0</v>
      </c>
      <c r="V355" s="26">
        <f t="shared" si="238"/>
        <v>82773</v>
      </c>
      <c r="W355" s="17">
        <f t="shared" si="238"/>
        <v>1037000</v>
      </c>
      <c r="X355" s="17">
        <f t="shared" si="238"/>
        <v>0</v>
      </c>
      <c r="Y355" s="17">
        <f t="shared" si="238"/>
        <v>0</v>
      </c>
      <c r="Z355" s="162" t="b">
        <f t="shared" si="210"/>
        <v>1</v>
      </c>
      <c r="AA355" s="162" t="str">
        <f t="shared" si="211"/>
        <v>PRAZNO</v>
      </c>
      <c r="AC355" s="164"/>
    </row>
    <row r="356" spans="1:29" ht="15.75" x14ac:dyDescent="0.2">
      <c r="B356" s="177"/>
      <c r="C356" s="177"/>
      <c r="D356" s="177">
        <v>452</v>
      </c>
      <c r="E356" s="177"/>
      <c r="F356" s="177"/>
      <c r="G356" s="177"/>
      <c r="H356" s="40" t="s">
        <v>639</v>
      </c>
      <c r="I356" s="26">
        <f t="shared" si="236"/>
        <v>0</v>
      </c>
      <c r="J356" s="26">
        <f t="shared" si="236"/>
        <v>994045.41</v>
      </c>
      <c r="K356" s="17">
        <f t="shared" si="236"/>
        <v>15000</v>
      </c>
      <c r="L356" s="17">
        <f t="shared" si="236"/>
        <v>10310.11</v>
      </c>
      <c r="M356" s="17">
        <f t="shared" si="232"/>
        <v>68.73</v>
      </c>
      <c r="N356" s="17">
        <f t="shared" si="233"/>
        <v>-4689.8899999999994</v>
      </c>
      <c r="O356" s="17">
        <f t="shared" si="237"/>
        <v>10310.11</v>
      </c>
      <c r="P356" s="17">
        <f t="shared" si="237"/>
        <v>82773</v>
      </c>
      <c r="Q356" s="17">
        <f t="shared" si="237"/>
        <v>82237.63</v>
      </c>
      <c r="R356" s="26">
        <f t="shared" si="227"/>
        <v>0</v>
      </c>
      <c r="S356" s="17">
        <f t="shared" si="238"/>
        <v>82773</v>
      </c>
      <c r="T356" s="17">
        <f t="shared" si="238"/>
        <v>0</v>
      </c>
      <c r="U356" s="17">
        <f t="shared" si="238"/>
        <v>0</v>
      </c>
      <c r="V356" s="26">
        <f t="shared" si="238"/>
        <v>82773</v>
      </c>
      <c r="W356" s="17">
        <f t="shared" si="238"/>
        <v>1037000</v>
      </c>
      <c r="X356" s="17">
        <f t="shared" si="238"/>
        <v>0</v>
      </c>
      <c r="Y356" s="17">
        <f t="shared" si="238"/>
        <v>0</v>
      </c>
      <c r="Z356" s="162" t="b">
        <f t="shared" si="210"/>
        <v>1</v>
      </c>
      <c r="AA356" s="162" t="str">
        <f t="shared" si="211"/>
        <v>PRAZNO</v>
      </c>
      <c r="AC356" s="164"/>
    </row>
    <row r="357" spans="1:29" ht="15.75" x14ac:dyDescent="0.2">
      <c r="B357" s="177"/>
      <c r="C357" s="177"/>
      <c r="D357" s="177"/>
      <c r="E357" s="177">
        <v>4521</v>
      </c>
      <c r="F357" s="176">
        <v>54</v>
      </c>
      <c r="G357" s="176"/>
      <c r="H357" s="16" t="s">
        <v>639</v>
      </c>
      <c r="I357" s="17"/>
      <c r="J357" s="26">
        <v>994045.41</v>
      </c>
      <c r="K357" s="17">
        <v>15000</v>
      </c>
      <c r="L357" s="17">
        <v>10310.11</v>
      </c>
      <c r="M357" s="17">
        <f t="shared" si="232"/>
        <v>68.73</v>
      </c>
      <c r="N357" s="17">
        <f t="shared" si="233"/>
        <v>-4689.8899999999994</v>
      </c>
      <c r="O357" s="17">
        <v>10310.11</v>
      </c>
      <c r="P357" s="17">
        <v>82773</v>
      </c>
      <c r="Q357" s="17">
        <v>82237.63</v>
      </c>
      <c r="R357" s="26">
        <f t="shared" si="227"/>
        <v>0</v>
      </c>
      <c r="S357" s="17">
        <v>82773</v>
      </c>
      <c r="T357" s="17"/>
      <c r="U357" s="17"/>
      <c r="V357" s="26">
        <v>82773</v>
      </c>
      <c r="W357" s="17">
        <f>1000000+37000</f>
        <v>1037000</v>
      </c>
      <c r="X357" s="17">
        <v>0</v>
      </c>
      <c r="Y357" s="17">
        <v>0</v>
      </c>
      <c r="Z357" s="162" t="b">
        <f t="shared" si="210"/>
        <v>0</v>
      </c>
      <c r="AA357" s="162" t="str">
        <f t="shared" si="211"/>
        <v>PUNO</v>
      </c>
      <c r="AC357" s="164"/>
    </row>
    <row r="358" spans="1:29" s="171" customFormat="1" ht="15.75" x14ac:dyDescent="0.2">
      <c r="A358" s="259"/>
      <c r="B358" s="270"/>
      <c r="C358" s="270"/>
      <c r="D358" s="270"/>
      <c r="E358" s="270"/>
      <c r="F358" s="270"/>
      <c r="G358" s="270"/>
      <c r="H358" s="282" t="s">
        <v>723</v>
      </c>
      <c r="I358" s="275" t="e">
        <f>I364+#REF!+I359+#REF!+#REF!+#REF!</f>
        <v>#REF!</v>
      </c>
      <c r="J358" s="304" t="e">
        <f>J359+J364+J368+#REF!+#REF!+#REF!+#REF!+J401</f>
        <v>#REF!</v>
      </c>
      <c r="K358" s="273" t="e">
        <f>K364+#REF!+K359+#REF!+#REF!+#REF!</f>
        <v>#REF!</v>
      </c>
      <c r="L358" s="273" t="e">
        <f>L364+#REF!+L359+#REF!+#REF!+#REF!</f>
        <v>#REF!</v>
      </c>
      <c r="M358" s="273" t="e">
        <f t="shared" si="232"/>
        <v>#REF!</v>
      </c>
      <c r="N358" s="273" t="e">
        <f t="shared" si="233"/>
        <v>#REF!</v>
      </c>
      <c r="O358" s="272" t="e">
        <f>O364+#REF!+O359+#REF!+#REF!</f>
        <v>#REF!</v>
      </c>
      <c r="P358" s="272" t="e">
        <f>P364+#REF!+P359+#REF!+#REF!+#REF!+P368</f>
        <v>#REF!</v>
      </c>
      <c r="Q358" s="272" t="e">
        <f>Q364+#REF!+Q359+#REF!+#REF!+#REF!</f>
        <v>#REF!</v>
      </c>
      <c r="R358" s="336" t="e">
        <f t="shared" si="227"/>
        <v>#REF!</v>
      </c>
      <c r="S358" s="272" t="e">
        <f>S364+#REF!+S359+#REF!+#REF!+#REF!+S368</f>
        <v>#REF!</v>
      </c>
      <c r="T358" s="272" t="e">
        <f>T364+#REF!+T359+#REF!+#REF!+#REF!+#REF!</f>
        <v>#REF!</v>
      </c>
      <c r="U358" s="272" t="e">
        <f>U364+#REF!+U359+#REF!+#REF!+#REF!+#REF!</f>
        <v>#REF!</v>
      </c>
      <c r="V358" s="275" t="e">
        <f>V364+#REF!+V359+#REF!+#REF!+#REF!+V368</f>
        <v>#REF!</v>
      </c>
      <c r="W358" s="272">
        <f>W368+W380</f>
        <v>1003592</v>
      </c>
      <c r="X358" s="272">
        <f>X368+X380</f>
        <v>1008000</v>
      </c>
      <c r="Y358" s="272">
        <f>Y368+Y380</f>
        <v>1038000</v>
      </c>
      <c r="Z358" s="162" t="b">
        <f t="shared" si="210"/>
        <v>1</v>
      </c>
      <c r="AA358" s="162" t="str">
        <f t="shared" si="211"/>
        <v>PRAZNO</v>
      </c>
      <c r="AB358" s="170"/>
      <c r="AC358" s="164"/>
    </row>
    <row r="359" spans="1:29" s="171" customFormat="1" ht="31.5" hidden="1" x14ac:dyDescent="0.2">
      <c r="A359" s="259"/>
      <c r="B359" s="168"/>
      <c r="C359" s="168"/>
      <c r="D359" s="168"/>
      <c r="E359" s="168"/>
      <c r="F359" s="168"/>
      <c r="G359" s="168"/>
      <c r="H359" s="35" t="s">
        <v>813</v>
      </c>
      <c r="I359" s="19">
        <f t="shared" ref="I359:L362" si="239">I360</f>
        <v>100000</v>
      </c>
      <c r="J359" s="53">
        <f t="shared" si="239"/>
        <v>0</v>
      </c>
      <c r="K359" s="169">
        <f t="shared" si="239"/>
        <v>0</v>
      </c>
      <c r="L359" s="169">
        <f t="shared" si="239"/>
        <v>0</v>
      </c>
      <c r="M359" s="169" t="e">
        <f t="shared" si="232"/>
        <v>#DIV/0!</v>
      </c>
      <c r="N359" s="169">
        <f t="shared" si="233"/>
        <v>0</v>
      </c>
      <c r="O359" s="19">
        <f t="shared" ref="O359:Q362" si="240">O360</f>
        <v>0</v>
      </c>
      <c r="P359" s="19">
        <f t="shared" si="240"/>
        <v>1000000</v>
      </c>
      <c r="Q359" s="19">
        <f t="shared" si="240"/>
        <v>0</v>
      </c>
      <c r="R359" s="303">
        <f t="shared" si="227"/>
        <v>-1000000</v>
      </c>
      <c r="S359" s="19">
        <f t="shared" ref="S359:Y362" si="241">S360</f>
        <v>1000000</v>
      </c>
      <c r="T359" s="19">
        <f t="shared" si="241"/>
        <v>0</v>
      </c>
      <c r="U359" s="19">
        <f t="shared" si="241"/>
        <v>0</v>
      </c>
      <c r="V359" s="53">
        <f t="shared" si="241"/>
        <v>0</v>
      </c>
      <c r="W359" s="19">
        <f t="shared" si="241"/>
        <v>0</v>
      </c>
      <c r="X359" s="19">
        <f t="shared" si="241"/>
        <v>0</v>
      </c>
      <c r="Y359" s="19">
        <f t="shared" si="241"/>
        <v>0</v>
      </c>
      <c r="Z359" s="162" t="b">
        <f t="shared" si="210"/>
        <v>1</v>
      </c>
      <c r="AA359" s="162" t="str">
        <f t="shared" si="211"/>
        <v>PRAZNO</v>
      </c>
      <c r="AB359" s="170"/>
      <c r="AC359" s="164"/>
    </row>
    <row r="360" spans="1:29" s="174" customFormat="1" ht="15.75" hidden="1" x14ac:dyDescent="0.2">
      <c r="A360" s="259"/>
      <c r="B360" s="172">
        <v>4</v>
      </c>
      <c r="C360" s="172"/>
      <c r="D360" s="172"/>
      <c r="E360" s="172"/>
      <c r="F360" s="172"/>
      <c r="G360" s="172"/>
      <c r="H360" s="36" t="s">
        <v>552</v>
      </c>
      <c r="I360" s="37">
        <f t="shared" si="239"/>
        <v>100000</v>
      </c>
      <c r="J360" s="54">
        <f t="shared" si="239"/>
        <v>0</v>
      </c>
      <c r="K360" s="37">
        <f t="shared" si="239"/>
        <v>0</v>
      </c>
      <c r="L360" s="37">
        <f t="shared" si="239"/>
        <v>0</v>
      </c>
      <c r="M360" s="37" t="e">
        <f t="shared" si="232"/>
        <v>#DIV/0!</v>
      </c>
      <c r="N360" s="37">
        <f t="shared" si="233"/>
        <v>0</v>
      </c>
      <c r="O360" s="37">
        <f t="shared" si="240"/>
        <v>0</v>
      </c>
      <c r="P360" s="37">
        <f t="shared" si="240"/>
        <v>1000000</v>
      </c>
      <c r="Q360" s="37">
        <f t="shared" si="240"/>
        <v>0</v>
      </c>
      <c r="R360" s="55">
        <f t="shared" si="227"/>
        <v>-1000000</v>
      </c>
      <c r="S360" s="37">
        <f t="shared" si="241"/>
        <v>1000000</v>
      </c>
      <c r="T360" s="37">
        <f t="shared" si="241"/>
        <v>0</v>
      </c>
      <c r="U360" s="37">
        <f t="shared" si="241"/>
        <v>0</v>
      </c>
      <c r="V360" s="54">
        <f t="shared" si="241"/>
        <v>0</v>
      </c>
      <c r="W360" s="37">
        <f t="shared" si="241"/>
        <v>0</v>
      </c>
      <c r="X360" s="37">
        <f t="shared" si="241"/>
        <v>0</v>
      </c>
      <c r="Y360" s="37">
        <f t="shared" si="241"/>
        <v>0</v>
      </c>
      <c r="Z360" s="162" t="b">
        <f t="shared" si="210"/>
        <v>1</v>
      </c>
      <c r="AA360" s="162" t="str">
        <f t="shared" si="211"/>
        <v>PRAZNO</v>
      </c>
      <c r="AB360" s="173"/>
      <c r="AC360" s="164"/>
    </row>
    <row r="361" spans="1:29" ht="27.75" hidden="1" customHeight="1" x14ac:dyDescent="0.2">
      <c r="B361" s="177"/>
      <c r="C361" s="177">
        <v>42</v>
      </c>
      <c r="D361" s="177"/>
      <c r="E361" s="177"/>
      <c r="F361" s="177"/>
      <c r="G361" s="177"/>
      <c r="H361" s="29" t="s">
        <v>212</v>
      </c>
      <c r="I361" s="17">
        <f t="shared" si="239"/>
        <v>100000</v>
      </c>
      <c r="J361" s="26">
        <f t="shared" si="239"/>
        <v>0</v>
      </c>
      <c r="K361" s="17">
        <f t="shared" si="239"/>
        <v>0</v>
      </c>
      <c r="L361" s="17">
        <f t="shared" si="239"/>
        <v>0</v>
      </c>
      <c r="M361" s="17" t="e">
        <f t="shared" si="232"/>
        <v>#DIV/0!</v>
      </c>
      <c r="N361" s="17">
        <f t="shared" si="233"/>
        <v>0</v>
      </c>
      <c r="O361" s="17">
        <f t="shared" si="240"/>
        <v>0</v>
      </c>
      <c r="P361" s="17">
        <f t="shared" si="240"/>
        <v>1000000</v>
      </c>
      <c r="Q361" s="17">
        <f t="shared" si="240"/>
        <v>0</v>
      </c>
      <c r="R361" s="26">
        <f t="shared" si="227"/>
        <v>-1000000</v>
      </c>
      <c r="S361" s="17">
        <f t="shared" si="241"/>
        <v>1000000</v>
      </c>
      <c r="T361" s="17">
        <f t="shared" si="241"/>
        <v>0</v>
      </c>
      <c r="U361" s="17">
        <f t="shared" si="241"/>
        <v>0</v>
      </c>
      <c r="V361" s="26">
        <f t="shared" si="241"/>
        <v>0</v>
      </c>
      <c r="W361" s="17">
        <f t="shared" si="241"/>
        <v>0</v>
      </c>
      <c r="X361" s="17">
        <f t="shared" si="241"/>
        <v>0</v>
      </c>
      <c r="Y361" s="17">
        <f t="shared" si="241"/>
        <v>0</v>
      </c>
      <c r="Z361" s="162" t="b">
        <f t="shared" si="210"/>
        <v>1</v>
      </c>
      <c r="AA361" s="162" t="str">
        <f t="shared" si="211"/>
        <v>PRAZNO</v>
      </c>
      <c r="AC361" s="164"/>
    </row>
    <row r="362" spans="1:29" ht="15.75" hidden="1" x14ac:dyDescent="0.2">
      <c r="B362" s="177"/>
      <c r="C362" s="177"/>
      <c r="D362" s="177">
        <v>421</v>
      </c>
      <c r="E362" s="177"/>
      <c r="F362" s="177"/>
      <c r="G362" s="177"/>
      <c r="H362" s="29" t="s">
        <v>759</v>
      </c>
      <c r="I362" s="17">
        <f t="shared" si="239"/>
        <v>100000</v>
      </c>
      <c r="J362" s="26">
        <f t="shared" si="239"/>
        <v>0</v>
      </c>
      <c r="K362" s="17">
        <f t="shared" si="239"/>
        <v>0</v>
      </c>
      <c r="L362" s="17">
        <f t="shared" si="239"/>
        <v>0</v>
      </c>
      <c r="M362" s="17" t="e">
        <f t="shared" si="232"/>
        <v>#DIV/0!</v>
      </c>
      <c r="N362" s="17">
        <f t="shared" si="233"/>
        <v>0</v>
      </c>
      <c r="O362" s="17">
        <f t="shared" si="240"/>
        <v>0</v>
      </c>
      <c r="P362" s="17">
        <f t="shared" si="240"/>
        <v>1000000</v>
      </c>
      <c r="Q362" s="17">
        <f t="shared" si="240"/>
        <v>0</v>
      </c>
      <c r="R362" s="26">
        <f t="shared" si="227"/>
        <v>-1000000</v>
      </c>
      <c r="S362" s="17">
        <f t="shared" si="241"/>
        <v>1000000</v>
      </c>
      <c r="T362" s="17">
        <f t="shared" si="241"/>
        <v>0</v>
      </c>
      <c r="U362" s="17">
        <f t="shared" si="241"/>
        <v>0</v>
      </c>
      <c r="V362" s="26">
        <f t="shared" si="241"/>
        <v>0</v>
      </c>
      <c r="W362" s="17">
        <f t="shared" si="241"/>
        <v>0</v>
      </c>
      <c r="X362" s="17">
        <f t="shared" si="241"/>
        <v>0</v>
      </c>
      <c r="Y362" s="17">
        <f t="shared" si="241"/>
        <v>0</v>
      </c>
      <c r="Z362" s="162" t="b">
        <f t="shared" ref="Z362:Z387" si="242">ISBLANK(E362)</f>
        <v>1</v>
      </c>
      <c r="AA362" s="162" t="str">
        <f t="shared" ref="AA362:AA387" si="243">IF(Z362,"PRAZNO","PUNO")</f>
        <v>PRAZNO</v>
      </c>
      <c r="AC362" s="164"/>
    </row>
    <row r="363" spans="1:29" ht="15.75" hidden="1" x14ac:dyDescent="0.2">
      <c r="B363" s="177"/>
      <c r="C363" s="177"/>
      <c r="D363" s="177"/>
      <c r="E363" s="177">
        <v>4212</v>
      </c>
      <c r="F363" s="176">
        <v>14</v>
      </c>
      <c r="G363" s="176" t="s">
        <v>746</v>
      </c>
      <c r="H363" s="29" t="s">
        <v>555</v>
      </c>
      <c r="I363" s="18">
        <v>100000</v>
      </c>
      <c r="J363" s="27">
        <v>0</v>
      </c>
      <c r="K363" s="18">
        <v>0</v>
      </c>
      <c r="L363" s="18"/>
      <c r="M363" s="18" t="e">
        <f t="shared" si="232"/>
        <v>#DIV/0!</v>
      </c>
      <c r="N363" s="18">
        <f t="shared" si="233"/>
        <v>0</v>
      </c>
      <c r="O363" s="18"/>
      <c r="P363" s="18">
        <v>1000000</v>
      </c>
      <c r="Q363" s="18">
        <v>0</v>
      </c>
      <c r="R363" s="26">
        <f t="shared" si="227"/>
        <v>-1000000</v>
      </c>
      <c r="S363" s="18">
        <v>1000000</v>
      </c>
      <c r="T363" s="18"/>
      <c r="U363" s="18"/>
      <c r="V363" s="27">
        <v>0</v>
      </c>
      <c r="W363" s="18">
        <v>0</v>
      </c>
      <c r="X363" s="18">
        <v>0</v>
      </c>
      <c r="Y363" s="18">
        <v>0</v>
      </c>
      <c r="Z363" s="162" t="b">
        <f t="shared" si="242"/>
        <v>0</v>
      </c>
      <c r="AA363" s="162" t="str">
        <f t="shared" si="243"/>
        <v>PUNO</v>
      </c>
      <c r="AC363" s="164"/>
    </row>
    <row r="364" spans="1:29" s="171" customFormat="1" ht="31.5" hidden="1" x14ac:dyDescent="0.2">
      <c r="A364" s="259"/>
      <c r="B364" s="168"/>
      <c r="C364" s="168"/>
      <c r="D364" s="168"/>
      <c r="E364" s="168"/>
      <c r="F364" s="168"/>
      <c r="G364" s="168"/>
      <c r="H364" s="35" t="s">
        <v>0</v>
      </c>
      <c r="I364" s="53">
        <f>I366</f>
        <v>120000</v>
      </c>
      <c r="J364" s="53">
        <f>J366</f>
        <v>87362.1</v>
      </c>
      <c r="K364" s="169" t="e">
        <f>K365</f>
        <v>#REF!</v>
      </c>
      <c r="L364" s="169" t="e">
        <f>L365</f>
        <v>#REF!</v>
      </c>
      <c r="M364" s="169" t="e">
        <f t="shared" si="232"/>
        <v>#REF!</v>
      </c>
      <c r="N364" s="169" t="e">
        <f t="shared" si="233"/>
        <v>#REF!</v>
      </c>
      <c r="O364" s="19">
        <f t="shared" ref="O364:Q365" si="244">O365</f>
        <v>0</v>
      </c>
      <c r="P364" s="19">
        <f t="shared" si="244"/>
        <v>0</v>
      </c>
      <c r="Q364" s="19">
        <f t="shared" si="244"/>
        <v>0</v>
      </c>
      <c r="R364" s="205">
        <f t="shared" si="227"/>
        <v>0</v>
      </c>
      <c r="S364" s="19">
        <f t="shared" ref="S364:Y365" si="245">S365</f>
        <v>0</v>
      </c>
      <c r="T364" s="19">
        <f t="shared" si="245"/>
        <v>0</v>
      </c>
      <c r="U364" s="19">
        <f t="shared" si="245"/>
        <v>0</v>
      </c>
      <c r="V364" s="53">
        <f t="shared" si="245"/>
        <v>0</v>
      </c>
      <c r="W364" s="19">
        <f t="shared" si="245"/>
        <v>0</v>
      </c>
      <c r="X364" s="19">
        <f t="shared" si="245"/>
        <v>0</v>
      </c>
      <c r="Y364" s="19">
        <f t="shared" si="245"/>
        <v>0</v>
      </c>
      <c r="Z364" s="162" t="b">
        <f t="shared" si="242"/>
        <v>1</v>
      </c>
      <c r="AA364" s="162" t="str">
        <f t="shared" si="243"/>
        <v>PRAZNO</v>
      </c>
      <c r="AB364" s="170"/>
      <c r="AC364" s="164"/>
    </row>
    <row r="365" spans="1:29" s="174" customFormat="1" ht="15.75" hidden="1" x14ac:dyDescent="0.2">
      <c r="A365" s="259"/>
      <c r="B365" s="172">
        <v>3</v>
      </c>
      <c r="C365" s="172"/>
      <c r="D365" s="172"/>
      <c r="E365" s="172"/>
      <c r="F365" s="172"/>
      <c r="G365" s="172"/>
      <c r="H365" s="36" t="s">
        <v>524</v>
      </c>
      <c r="I365" s="37">
        <f>I366</f>
        <v>120000</v>
      </c>
      <c r="J365" s="37">
        <f>J366</f>
        <v>87362.1</v>
      </c>
      <c r="K365" s="37" t="e">
        <f>#REF!</f>
        <v>#REF!</v>
      </c>
      <c r="L365" s="37" t="e">
        <f>#REF!</f>
        <v>#REF!</v>
      </c>
      <c r="M365" s="37" t="e">
        <f t="shared" si="232"/>
        <v>#REF!</v>
      </c>
      <c r="N365" s="37" t="e">
        <f t="shared" si="233"/>
        <v>#REF!</v>
      </c>
      <c r="O365" s="37">
        <f t="shared" si="244"/>
        <v>0</v>
      </c>
      <c r="P365" s="37">
        <f t="shared" si="244"/>
        <v>0</v>
      </c>
      <c r="Q365" s="37">
        <f t="shared" si="244"/>
        <v>0</v>
      </c>
      <c r="R365" s="55">
        <f t="shared" si="227"/>
        <v>0</v>
      </c>
      <c r="S365" s="37">
        <f t="shared" si="245"/>
        <v>0</v>
      </c>
      <c r="T365" s="37">
        <f t="shared" si="245"/>
        <v>0</v>
      </c>
      <c r="U365" s="37">
        <f t="shared" si="245"/>
        <v>0</v>
      </c>
      <c r="V365" s="54">
        <f t="shared" si="245"/>
        <v>0</v>
      </c>
      <c r="W365" s="37">
        <f t="shared" si="245"/>
        <v>0</v>
      </c>
      <c r="X365" s="37">
        <f t="shared" si="245"/>
        <v>0</v>
      </c>
      <c r="Y365" s="37">
        <f t="shared" si="245"/>
        <v>0</v>
      </c>
      <c r="Z365" s="162" t="b">
        <f t="shared" si="242"/>
        <v>1</v>
      </c>
      <c r="AA365" s="162" t="str">
        <f t="shared" si="243"/>
        <v>PRAZNO</v>
      </c>
      <c r="AB365" s="173"/>
      <c r="AC365" s="164"/>
    </row>
    <row r="366" spans="1:29" ht="15.75" hidden="1" x14ac:dyDescent="0.2">
      <c r="B366" s="177"/>
      <c r="C366" s="177"/>
      <c r="D366" s="177">
        <v>323</v>
      </c>
      <c r="E366" s="177"/>
      <c r="F366" s="176"/>
      <c r="G366" s="176"/>
      <c r="H366" s="16" t="s">
        <v>526</v>
      </c>
      <c r="I366" s="204">
        <f>SUM(I367)</f>
        <v>120000</v>
      </c>
      <c r="J366" s="204">
        <f>SUM(J367)</f>
        <v>87362.1</v>
      </c>
      <c r="K366" s="203"/>
      <c r="L366" s="203"/>
      <c r="M366" s="203" t="e">
        <f t="shared" si="232"/>
        <v>#DIV/0!</v>
      </c>
      <c r="N366" s="203">
        <f t="shared" si="233"/>
        <v>0</v>
      </c>
      <c r="O366" s="203"/>
      <c r="P366" s="203"/>
      <c r="Q366" s="203"/>
      <c r="R366" s="26">
        <f t="shared" si="227"/>
        <v>0</v>
      </c>
      <c r="S366" s="203"/>
      <c r="T366" s="203"/>
      <c r="U366" s="203"/>
      <c r="V366" s="204"/>
      <c r="W366" s="203"/>
      <c r="X366" s="203"/>
      <c r="Y366" s="203"/>
      <c r="Z366" s="162" t="b">
        <f t="shared" si="242"/>
        <v>1</v>
      </c>
      <c r="AA366" s="162" t="str">
        <f t="shared" si="243"/>
        <v>PRAZNO</v>
      </c>
      <c r="AC366" s="164"/>
    </row>
    <row r="367" spans="1:29" ht="15.75" hidden="1" x14ac:dyDescent="0.2">
      <c r="B367" s="177"/>
      <c r="C367" s="177"/>
      <c r="D367" s="177"/>
      <c r="E367" s="177">
        <v>3236</v>
      </c>
      <c r="F367" s="176" t="s">
        <v>527</v>
      </c>
      <c r="G367" s="176"/>
      <c r="H367" s="16" t="s">
        <v>843</v>
      </c>
      <c r="I367" s="203">
        <v>120000</v>
      </c>
      <c r="J367" s="204">
        <v>87362.1</v>
      </c>
      <c r="K367" s="203"/>
      <c r="L367" s="203"/>
      <c r="M367" s="203" t="e">
        <f t="shared" si="232"/>
        <v>#DIV/0!</v>
      </c>
      <c r="N367" s="203">
        <f t="shared" si="233"/>
        <v>0</v>
      </c>
      <c r="O367" s="203"/>
      <c r="P367" s="203"/>
      <c r="Q367" s="203"/>
      <c r="R367" s="26">
        <f t="shared" si="227"/>
        <v>0</v>
      </c>
      <c r="S367" s="203"/>
      <c r="T367" s="203"/>
      <c r="U367" s="203"/>
      <c r="V367" s="204"/>
      <c r="W367" s="203"/>
      <c r="X367" s="203"/>
      <c r="Y367" s="203"/>
      <c r="Z367" s="162" t="b">
        <f t="shared" si="242"/>
        <v>0</v>
      </c>
      <c r="AA367" s="162" t="str">
        <f t="shared" si="243"/>
        <v>PUNO</v>
      </c>
      <c r="AC367" s="164"/>
    </row>
    <row r="368" spans="1:29" s="171" customFormat="1" ht="15.75" x14ac:dyDescent="0.2">
      <c r="A368" s="259"/>
      <c r="B368" s="168"/>
      <c r="C368" s="168"/>
      <c r="D368" s="168"/>
      <c r="E368" s="168"/>
      <c r="F368" s="168"/>
      <c r="G368" s="168"/>
      <c r="H368" s="35" t="s">
        <v>20</v>
      </c>
      <c r="I368" s="19"/>
      <c r="J368" s="53"/>
      <c r="K368" s="169"/>
      <c r="L368" s="169"/>
      <c r="M368" s="169"/>
      <c r="N368" s="169"/>
      <c r="O368" s="19"/>
      <c r="P368" s="19">
        <f>P370</f>
        <v>226000</v>
      </c>
      <c r="Q368" s="19">
        <f>Q370</f>
        <v>0</v>
      </c>
      <c r="R368" s="303">
        <f t="shared" si="227"/>
        <v>497000</v>
      </c>
      <c r="S368" s="19">
        <f>S370</f>
        <v>226000</v>
      </c>
      <c r="T368" s="19"/>
      <c r="U368" s="19"/>
      <c r="V368" s="53">
        <f>V370</f>
        <v>723000</v>
      </c>
      <c r="W368" s="19">
        <f>W370</f>
        <v>453592</v>
      </c>
      <c r="X368" s="19">
        <f>X370</f>
        <v>458000</v>
      </c>
      <c r="Y368" s="19">
        <f>Y370</f>
        <v>488000</v>
      </c>
      <c r="Z368" s="162" t="b">
        <f t="shared" si="242"/>
        <v>1</v>
      </c>
      <c r="AA368" s="162" t="str">
        <f t="shared" si="243"/>
        <v>PRAZNO</v>
      </c>
      <c r="AB368" s="170"/>
      <c r="AC368" s="164"/>
    </row>
    <row r="369" spans="1:29" s="264" customFormat="1" ht="15.75" x14ac:dyDescent="0.2">
      <c r="A369" s="259"/>
      <c r="B369" s="260"/>
      <c r="C369" s="260"/>
      <c r="D369" s="260"/>
      <c r="E369" s="260"/>
      <c r="F369" s="260"/>
      <c r="G369" s="260"/>
      <c r="H369" s="473" t="s">
        <v>824</v>
      </c>
      <c r="I369" s="262"/>
      <c r="J369" s="342"/>
      <c r="K369" s="181"/>
      <c r="L369" s="181"/>
      <c r="M369" s="181"/>
      <c r="N369" s="181"/>
      <c r="O369" s="262"/>
      <c r="P369" s="262"/>
      <c r="Q369" s="262"/>
      <c r="R369" s="445"/>
      <c r="S369" s="262"/>
      <c r="T369" s="262"/>
      <c r="U369" s="262"/>
      <c r="V369" s="342"/>
      <c r="W369" s="262">
        <f t="shared" ref="W369:Y370" si="246">W370</f>
        <v>453592</v>
      </c>
      <c r="X369" s="262">
        <f t="shared" si="246"/>
        <v>458000</v>
      </c>
      <c r="Y369" s="262">
        <f t="shared" si="246"/>
        <v>488000</v>
      </c>
      <c r="Z369" s="162" t="b">
        <f t="shared" si="242"/>
        <v>1</v>
      </c>
      <c r="AA369" s="162" t="str">
        <f t="shared" si="243"/>
        <v>PRAZNO</v>
      </c>
      <c r="AB369" s="263"/>
    </row>
    <row r="370" spans="1:29" s="174" customFormat="1" ht="15.75" x14ac:dyDescent="0.2">
      <c r="A370" s="259"/>
      <c r="B370" s="172">
        <v>4</v>
      </c>
      <c r="C370" s="172"/>
      <c r="D370" s="172"/>
      <c r="E370" s="172"/>
      <c r="F370" s="172"/>
      <c r="G370" s="172"/>
      <c r="H370" s="36" t="s">
        <v>552</v>
      </c>
      <c r="I370" s="37"/>
      <c r="J370" s="54"/>
      <c r="K370" s="37"/>
      <c r="L370" s="37"/>
      <c r="M370" s="37"/>
      <c r="N370" s="37"/>
      <c r="O370" s="37"/>
      <c r="P370" s="37">
        <f>P371</f>
        <v>226000</v>
      </c>
      <c r="Q370" s="37">
        <f>Q371</f>
        <v>0</v>
      </c>
      <c r="R370" s="55">
        <f>V370-P370</f>
        <v>497000</v>
      </c>
      <c r="S370" s="37">
        <f>S371</f>
        <v>226000</v>
      </c>
      <c r="T370" s="37"/>
      <c r="U370" s="37"/>
      <c r="V370" s="54">
        <f>V371</f>
        <v>723000</v>
      </c>
      <c r="W370" s="54">
        <f t="shared" si="246"/>
        <v>453592</v>
      </c>
      <c r="X370" s="54">
        <f t="shared" si="246"/>
        <v>458000</v>
      </c>
      <c r="Y370" s="54">
        <f t="shared" si="246"/>
        <v>488000</v>
      </c>
      <c r="Z370" s="162" t="b">
        <f t="shared" si="242"/>
        <v>1</v>
      </c>
      <c r="AA370" s="162" t="str">
        <f t="shared" si="243"/>
        <v>PRAZNO</v>
      </c>
      <c r="AB370" s="173"/>
      <c r="AC370" s="164"/>
    </row>
    <row r="371" spans="1:29" ht="15.75" x14ac:dyDescent="0.2">
      <c r="B371" s="177"/>
      <c r="C371" s="177">
        <v>42</v>
      </c>
      <c r="D371" s="177"/>
      <c r="E371" s="177"/>
      <c r="F371" s="176"/>
      <c r="G371" s="176"/>
      <c r="H371" s="16" t="s">
        <v>212</v>
      </c>
      <c r="I371" s="203"/>
      <c r="J371" s="204"/>
      <c r="K371" s="203"/>
      <c r="L371" s="203"/>
      <c r="M371" s="203"/>
      <c r="N371" s="203"/>
      <c r="O371" s="203"/>
      <c r="P371" s="203">
        <f>P372</f>
        <v>226000</v>
      </c>
      <c r="Q371" s="203">
        <f>Q372</f>
        <v>0</v>
      </c>
      <c r="R371" s="26">
        <f>V371-P371</f>
        <v>497000</v>
      </c>
      <c r="S371" s="203">
        <f>S372</f>
        <v>226000</v>
      </c>
      <c r="T371" s="203"/>
      <c r="U371" s="203"/>
      <c r="V371" s="204">
        <f>V372+V378</f>
        <v>723000</v>
      </c>
      <c r="W371" s="204">
        <f>W372+W378</f>
        <v>453592</v>
      </c>
      <c r="X371" s="204">
        <f>X372+X378</f>
        <v>458000</v>
      </c>
      <c r="Y371" s="204">
        <f>Y372+Y378</f>
        <v>488000</v>
      </c>
      <c r="Z371" s="162" t="b">
        <f t="shared" si="242"/>
        <v>1</v>
      </c>
      <c r="AA371" s="162" t="str">
        <f t="shared" si="243"/>
        <v>PRAZNO</v>
      </c>
      <c r="AC371" s="164"/>
    </row>
    <row r="372" spans="1:29" ht="15.75" x14ac:dyDescent="0.2">
      <c r="B372" s="177"/>
      <c r="C372" s="177"/>
      <c r="D372" s="177">
        <v>422</v>
      </c>
      <c r="E372" s="177"/>
      <c r="F372" s="176"/>
      <c r="G372" s="176"/>
      <c r="H372" s="16" t="s">
        <v>555</v>
      </c>
      <c r="I372" s="203"/>
      <c r="J372" s="204"/>
      <c r="K372" s="203"/>
      <c r="L372" s="203"/>
      <c r="M372" s="203"/>
      <c r="N372" s="203"/>
      <c r="O372" s="203"/>
      <c r="P372" s="203">
        <f>P374</f>
        <v>226000</v>
      </c>
      <c r="Q372" s="203">
        <f>Q374</f>
        <v>0</v>
      </c>
      <c r="R372" s="26">
        <f>V372-P372</f>
        <v>364000</v>
      </c>
      <c r="S372" s="203">
        <f>S374</f>
        <v>226000</v>
      </c>
      <c r="T372" s="203"/>
      <c r="U372" s="203"/>
      <c r="V372" s="204">
        <f>SUM(V373:V377)</f>
        <v>590000</v>
      </c>
      <c r="W372" s="204">
        <f>SUM(W373:W377)</f>
        <v>130272</v>
      </c>
      <c r="X372" s="204">
        <f>SUM(X373:X377)</f>
        <v>458000</v>
      </c>
      <c r="Y372" s="204">
        <f>SUM(Y373:Y377)</f>
        <v>488000</v>
      </c>
      <c r="Z372" s="162" t="b">
        <f t="shared" si="242"/>
        <v>1</v>
      </c>
      <c r="AA372" s="162" t="str">
        <f t="shared" si="243"/>
        <v>PRAZNO</v>
      </c>
      <c r="AC372" s="164"/>
    </row>
    <row r="373" spans="1:29" ht="15.75" hidden="1" x14ac:dyDescent="0.2">
      <c r="B373" s="177"/>
      <c r="C373" s="177"/>
      <c r="D373" s="177"/>
      <c r="E373" s="324">
        <v>4221</v>
      </c>
      <c r="F373" s="265">
        <v>14</v>
      </c>
      <c r="G373" s="176"/>
      <c r="H373" s="16" t="s">
        <v>499</v>
      </c>
      <c r="I373" s="203"/>
      <c r="J373" s="204"/>
      <c r="K373" s="203"/>
      <c r="L373" s="203"/>
      <c r="M373" s="203"/>
      <c r="N373" s="203"/>
      <c r="O373" s="203"/>
      <c r="P373" s="203">
        <v>0</v>
      </c>
      <c r="Q373" s="203"/>
      <c r="R373" s="26">
        <f>V373-P373</f>
        <v>0</v>
      </c>
      <c r="S373" s="203"/>
      <c r="T373" s="203"/>
      <c r="U373" s="203"/>
      <c r="V373" s="204">
        <v>0</v>
      </c>
      <c r="W373" s="204">
        <v>0</v>
      </c>
      <c r="X373" s="204">
        <v>0</v>
      </c>
      <c r="Y373" s="204">
        <v>0</v>
      </c>
      <c r="Z373" s="162" t="b">
        <f t="shared" si="242"/>
        <v>0</v>
      </c>
      <c r="AA373" s="162" t="str">
        <f t="shared" si="243"/>
        <v>PUNO</v>
      </c>
      <c r="AC373" s="164"/>
    </row>
    <row r="374" spans="1:29" ht="15.75" x14ac:dyDescent="0.2">
      <c r="B374" s="177"/>
      <c r="C374" s="177"/>
      <c r="D374" s="177"/>
      <c r="E374" s="177">
        <v>4224</v>
      </c>
      <c r="F374" s="176">
        <v>14</v>
      </c>
      <c r="G374" s="176"/>
      <c r="H374" s="16" t="s">
        <v>638</v>
      </c>
      <c r="I374" s="203"/>
      <c r="J374" s="204"/>
      <c r="K374" s="203"/>
      <c r="L374" s="203"/>
      <c r="M374" s="203"/>
      <c r="N374" s="203"/>
      <c r="O374" s="203"/>
      <c r="P374" s="203">
        <v>226000</v>
      </c>
      <c r="Q374" s="203">
        <v>0</v>
      </c>
      <c r="R374" s="26">
        <f>V374-P374</f>
        <v>262000</v>
      </c>
      <c r="S374" s="203">
        <v>226000</v>
      </c>
      <c r="T374" s="203"/>
      <c r="U374" s="203"/>
      <c r="V374" s="204">
        <f>452000+36000</f>
        <v>488000</v>
      </c>
      <c r="W374" s="204">
        <v>130272</v>
      </c>
      <c r="X374" s="204">
        <f>558000-100000</f>
        <v>458000</v>
      </c>
      <c r="Y374" s="204">
        <f>588000-100000</f>
        <v>488000</v>
      </c>
      <c r="Z374" s="162" t="b">
        <f t="shared" si="242"/>
        <v>0</v>
      </c>
      <c r="AA374" s="162" t="str">
        <f t="shared" si="243"/>
        <v>PUNO</v>
      </c>
      <c r="AC374" s="164"/>
    </row>
    <row r="375" spans="1:29" ht="15.75" hidden="1" x14ac:dyDescent="0.2">
      <c r="B375" s="177"/>
      <c r="C375" s="177"/>
      <c r="D375" s="177">
        <v>423</v>
      </c>
      <c r="E375" s="177"/>
      <c r="F375" s="176"/>
      <c r="G375" s="176"/>
      <c r="H375" s="16" t="s">
        <v>223</v>
      </c>
      <c r="I375" s="203"/>
      <c r="J375" s="204"/>
      <c r="K375" s="203"/>
      <c r="L375" s="203"/>
      <c r="M375" s="203"/>
      <c r="N375" s="203"/>
      <c r="O375" s="203"/>
      <c r="P375" s="203"/>
      <c r="Q375" s="203"/>
      <c r="R375" s="26"/>
      <c r="S375" s="203"/>
      <c r="T375" s="203"/>
      <c r="U375" s="203"/>
      <c r="V375" s="204">
        <f>V376</f>
        <v>0</v>
      </c>
      <c r="W375" s="204">
        <f>W376</f>
        <v>0</v>
      </c>
      <c r="X375" s="204">
        <f>X376</f>
        <v>0</v>
      </c>
      <c r="Y375" s="204">
        <f>Y376</f>
        <v>0</v>
      </c>
      <c r="Z375" s="162" t="b">
        <f t="shared" si="242"/>
        <v>1</v>
      </c>
      <c r="AA375" s="162" t="str">
        <f t="shared" si="243"/>
        <v>PRAZNO</v>
      </c>
      <c r="AC375" s="164"/>
    </row>
    <row r="376" spans="1:29" ht="15.75" hidden="1" x14ac:dyDescent="0.2">
      <c r="B376" s="177"/>
      <c r="C376" s="177"/>
      <c r="D376" s="177"/>
      <c r="E376" s="177">
        <v>4231</v>
      </c>
      <c r="F376" s="176">
        <v>54</v>
      </c>
      <c r="G376" s="176"/>
      <c r="H376" s="16" t="s">
        <v>224</v>
      </c>
      <c r="I376" s="203"/>
      <c r="J376" s="204"/>
      <c r="K376" s="203"/>
      <c r="L376" s="203"/>
      <c r="M376" s="203"/>
      <c r="N376" s="203"/>
      <c r="O376" s="203"/>
      <c r="P376" s="203"/>
      <c r="Q376" s="203"/>
      <c r="R376" s="26"/>
      <c r="S376" s="203"/>
      <c r="T376" s="203"/>
      <c r="U376" s="203"/>
      <c r="V376" s="204"/>
      <c r="W376" s="203"/>
      <c r="X376" s="203"/>
      <c r="Y376" s="203"/>
      <c r="Z376" s="162" t="b">
        <f t="shared" si="242"/>
        <v>0</v>
      </c>
      <c r="AA376" s="162" t="str">
        <f t="shared" si="243"/>
        <v>PUNO</v>
      </c>
      <c r="AC376" s="164"/>
    </row>
    <row r="377" spans="1:29" ht="15.75" hidden="1" x14ac:dyDescent="0.2">
      <c r="B377" s="177"/>
      <c r="C377" s="177"/>
      <c r="D377" s="177"/>
      <c r="E377" s="177">
        <v>4227</v>
      </c>
      <c r="F377" s="176">
        <v>14</v>
      </c>
      <c r="G377" s="176"/>
      <c r="H377" s="16" t="s">
        <v>413</v>
      </c>
      <c r="I377" s="203"/>
      <c r="J377" s="204"/>
      <c r="K377" s="203"/>
      <c r="L377" s="203"/>
      <c r="M377" s="203"/>
      <c r="N377" s="203"/>
      <c r="O377" s="203"/>
      <c r="P377" s="203">
        <v>0</v>
      </c>
      <c r="Q377" s="203"/>
      <c r="R377" s="26">
        <f>V377-P377</f>
        <v>102000</v>
      </c>
      <c r="S377" s="203"/>
      <c r="T377" s="203"/>
      <c r="U377" s="203"/>
      <c r="V377" s="204">
        <v>102000</v>
      </c>
      <c r="W377" s="343">
        <v>0</v>
      </c>
      <c r="X377" s="343">
        <v>0</v>
      </c>
      <c r="Y377" s="343">
        <v>0</v>
      </c>
      <c r="Z377" s="162" t="b">
        <f t="shared" si="242"/>
        <v>0</v>
      </c>
      <c r="AA377" s="162" t="str">
        <f t="shared" si="243"/>
        <v>PUNO</v>
      </c>
      <c r="AC377" s="164"/>
    </row>
    <row r="378" spans="1:29" ht="15.75" x14ac:dyDescent="0.2">
      <c r="B378" s="177"/>
      <c r="C378" s="177"/>
      <c r="D378" s="177">
        <v>423</v>
      </c>
      <c r="E378" s="177"/>
      <c r="F378" s="176"/>
      <c r="G378" s="176"/>
      <c r="H378" s="16" t="s">
        <v>223</v>
      </c>
      <c r="I378" s="203"/>
      <c r="J378" s="204"/>
      <c r="K378" s="203"/>
      <c r="L378" s="203"/>
      <c r="M378" s="203"/>
      <c r="N378" s="203"/>
      <c r="O378" s="203"/>
      <c r="P378" s="203"/>
      <c r="Q378" s="203"/>
      <c r="R378" s="26">
        <f>V378-P378</f>
        <v>133000</v>
      </c>
      <c r="S378" s="203"/>
      <c r="T378" s="203"/>
      <c r="U378" s="203"/>
      <c r="V378" s="204">
        <f>V379</f>
        <v>133000</v>
      </c>
      <c r="W378" s="204">
        <f>W379</f>
        <v>323320</v>
      </c>
      <c r="X378" s="204">
        <f>X379</f>
        <v>0</v>
      </c>
      <c r="Y378" s="204">
        <f>Y379</f>
        <v>0</v>
      </c>
      <c r="Z378" s="162" t="b">
        <f t="shared" si="242"/>
        <v>1</v>
      </c>
      <c r="AA378" s="162" t="str">
        <f t="shared" si="243"/>
        <v>PRAZNO</v>
      </c>
      <c r="AC378" s="164"/>
    </row>
    <row r="379" spans="1:29" ht="15.75" x14ac:dyDescent="0.2">
      <c r="B379" s="177"/>
      <c r="C379" s="177"/>
      <c r="D379" s="177"/>
      <c r="E379" s="177">
        <v>4231</v>
      </c>
      <c r="F379" s="176">
        <v>14</v>
      </c>
      <c r="G379" s="176"/>
      <c r="H379" s="16" t="s">
        <v>224</v>
      </c>
      <c r="I379" s="203"/>
      <c r="J379" s="204"/>
      <c r="K379" s="203"/>
      <c r="L379" s="203"/>
      <c r="M379" s="203"/>
      <c r="N379" s="203"/>
      <c r="O379" s="203"/>
      <c r="P379" s="203">
        <v>0</v>
      </c>
      <c r="Q379" s="203"/>
      <c r="R379" s="26">
        <f>V379-P379</f>
        <v>133000</v>
      </c>
      <c r="S379" s="203"/>
      <c r="T379" s="203"/>
      <c r="U379" s="203"/>
      <c r="V379" s="204">
        <v>133000</v>
      </c>
      <c r="W379" s="204">
        <f>423320-100000</f>
        <v>323320</v>
      </c>
      <c r="X379" s="204">
        <v>0</v>
      </c>
      <c r="Y379" s="204">
        <v>0</v>
      </c>
      <c r="Z379" s="162" t="b">
        <f t="shared" si="242"/>
        <v>0</v>
      </c>
      <c r="AA379" s="162" t="str">
        <f t="shared" si="243"/>
        <v>PUNO</v>
      </c>
      <c r="AC379" s="164"/>
    </row>
    <row r="380" spans="1:29" s="207" customFormat="1" ht="47.25" x14ac:dyDescent="0.25">
      <c r="A380" s="378"/>
      <c r="B380" s="168"/>
      <c r="C380" s="168"/>
      <c r="D380" s="168"/>
      <c r="E380" s="168"/>
      <c r="F380" s="322"/>
      <c r="G380" s="322"/>
      <c r="H380" s="13" t="s">
        <v>954</v>
      </c>
      <c r="I380" s="302"/>
      <c r="J380" s="303"/>
      <c r="K380" s="302"/>
      <c r="L380" s="302"/>
      <c r="M380" s="302"/>
      <c r="N380" s="302"/>
      <c r="O380" s="302"/>
      <c r="P380" s="302"/>
      <c r="Q380" s="302"/>
      <c r="R380" s="53"/>
      <c r="S380" s="302"/>
      <c r="T380" s="302"/>
      <c r="U380" s="302"/>
      <c r="V380" s="303"/>
      <c r="W380" s="302">
        <f>W382</f>
        <v>550000</v>
      </c>
      <c r="X380" s="302">
        <f>X382</f>
        <v>550000</v>
      </c>
      <c r="Y380" s="302">
        <f>Y382</f>
        <v>550000</v>
      </c>
      <c r="Z380" s="162" t="b">
        <f t="shared" si="242"/>
        <v>1</v>
      </c>
      <c r="AA380" s="162" t="str">
        <f t="shared" si="243"/>
        <v>PRAZNO</v>
      </c>
      <c r="AB380" s="206"/>
    </row>
    <row r="381" spans="1:29" s="447" customFormat="1" ht="15.75" x14ac:dyDescent="0.25">
      <c r="A381" s="378"/>
      <c r="B381" s="260"/>
      <c r="C381" s="260"/>
      <c r="D381" s="260"/>
      <c r="E381" s="260"/>
      <c r="F381" s="442"/>
      <c r="G381" s="442"/>
      <c r="H381" s="440" t="s">
        <v>824</v>
      </c>
      <c r="I381" s="406"/>
      <c r="J381" s="445"/>
      <c r="K381" s="406"/>
      <c r="L381" s="406"/>
      <c r="M381" s="406"/>
      <c r="N381" s="406"/>
      <c r="O381" s="406"/>
      <c r="P381" s="406"/>
      <c r="Q381" s="406"/>
      <c r="R381" s="342"/>
      <c r="S381" s="406"/>
      <c r="T381" s="406"/>
      <c r="U381" s="406"/>
      <c r="V381" s="445"/>
      <c r="W381" s="406">
        <f t="shared" ref="W381:Y384" si="247">W382</f>
        <v>550000</v>
      </c>
      <c r="X381" s="406">
        <f t="shared" si="247"/>
        <v>550000</v>
      </c>
      <c r="Y381" s="406">
        <f t="shared" si="247"/>
        <v>550000</v>
      </c>
      <c r="Z381" s="162" t="b">
        <f t="shared" si="242"/>
        <v>1</v>
      </c>
      <c r="AA381" s="162" t="str">
        <f t="shared" si="243"/>
        <v>PRAZNO</v>
      </c>
      <c r="AB381" s="446"/>
    </row>
    <row r="382" spans="1:29" s="174" customFormat="1" ht="15.75" x14ac:dyDescent="0.2">
      <c r="A382" s="259"/>
      <c r="B382" s="172">
        <v>4</v>
      </c>
      <c r="C382" s="172"/>
      <c r="D382" s="172"/>
      <c r="E382" s="172"/>
      <c r="F382" s="220"/>
      <c r="G382" s="220"/>
      <c r="H382" s="14" t="s">
        <v>552</v>
      </c>
      <c r="I382" s="37"/>
      <c r="J382" s="54"/>
      <c r="K382" s="37"/>
      <c r="L382" s="37"/>
      <c r="M382" s="37"/>
      <c r="N382" s="37"/>
      <c r="O382" s="37"/>
      <c r="P382" s="37"/>
      <c r="Q382" s="37"/>
      <c r="R382" s="55"/>
      <c r="S382" s="37"/>
      <c r="T382" s="37"/>
      <c r="U382" s="37"/>
      <c r="V382" s="54"/>
      <c r="W382" s="37">
        <f t="shared" si="247"/>
        <v>550000</v>
      </c>
      <c r="X382" s="37">
        <f t="shared" si="247"/>
        <v>550000</v>
      </c>
      <c r="Y382" s="37">
        <f t="shared" si="247"/>
        <v>550000</v>
      </c>
      <c r="Z382" s="162" t="b">
        <f t="shared" si="242"/>
        <v>1</v>
      </c>
      <c r="AA382" s="162" t="str">
        <f t="shared" si="243"/>
        <v>PRAZNO</v>
      </c>
      <c r="AB382" s="173"/>
    </row>
    <row r="383" spans="1:29" ht="28.5" customHeight="1" x14ac:dyDescent="0.2">
      <c r="B383" s="177"/>
      <c r="C383" s="177">
        <v>45</v>
      </c>
      <c r="D383" s="177"/>
      <c r="E383" s="177"/>
      <c r="F383" s="176"/>
      <c r="G383" s="176"/>
      <c r="H383" s="16" t="s">
        <v>808</v>
      </c>
      <c r="I383" s="203"/>
      <c r="J383" s="204"/>
      <c r="K383" s="203"/>
      <c r="L383" s="203"/>
      <c r="M383" s="203"/>
      <c r="N383" s="203"/>
      <c r="O383" s="203"/>
      <c r="P383" s="203"/>
      <c r="Q383" s="203"/>
      <c r="R383" s="26"/>
      <c r="S383" s="203"/>
      <c r="T383" s="203"/>
      <c r="U383" s="203"/>
      <c r="V383" s="204"/>
      <c r="W383" s="203">
        <f t="shared" si="247"/>
        <v>550000</v>
      </c>
      <c r="X383" s="203">
        <f t="shared" si="247"/>
        <v>550000</v>
      </c>
      <c r="Y383" s="203">
        <f t="shared" si="247"/>
        <v>550000</v>
      </c>
      <c r="Z383" s="162" t="b">
        <f t="shared" si="242"/>
        <v>1</v>
      </c>
      <c r="AA383" s="162" t="str">
        <f t="shared" si="243"/>
        <v>PRAZNO</v>
      </c>
      <c r="AC383" s="164"/>
    </row>
    <row r="384" spans="1:29" ht="15.75" x14ac:dyDescent="0.2">
      <c r="B384" s="177"/>
      <c r="C384" s="177"/>
      <c r="D384" s="177">
        <v>451</v>
      </c>
      <c r="E384" s="177"/>
      <c r="F384" s="176"/>
      <c r="G384" s="176"/>
      <c r="H384" s="16" t="s">
        <v>809</v>
      </c>
      <c r="I384" s="203"/>
      <c r="J384" s="204"/>
      <c r="K384" s="203"/>
      <c r="L384" s="203"/>
      <c r="M384" s="203"/>
      <c r="N384" s="203"/>
      <c r="O384" s="203"/>
      <c r="P384" s="203"/>
      <c r="Q384" s="203"/>
      <c r="R384" s="26"/>
      <c r="S384" s="203"/>
      <c r="T384" s="203"/>
      <c r="U384" s="203"/>
      <c r="V384" s="204"/>
      <c r="W384" s="203">
        <f t="shared" si="247"/>
        <v>550000</v>
      </c>
      <c r="X384" s="203">
        <f t="shared" si="247"/>
        <v>550000</v>
      </c>
      <c r="Y384" s="203">
        <f t="shared" si="247"/>
        <v>550000</v>
      </c>
      <c r="Z384" s="162" t="b">
        <f t="shared" si="242"/>
        <v>1</v>
      </c>
      <c r="AA384" s="162" t="str">
        <f t="shared" si="243"/>
        <v>PRAZNO</v>
      </c>
      <c r="AC384" s="164"/>
    </row>
    <row r="385" spans="2:29" ht="15.75" x14ac:dyDescent="0.2">
      <c r="B385" s="177"/>
      <c r="C385" s="177"/>
      <c r="D385" s="177"/>
      <c r="E385" s="177">
        <v>4511</v>
      </c>
      <c r="F385" s="176">
        <v>14</v>
      </c>
      <c r="G385" s="176"/>
      <c r="H385" s="16" t="s">
        <v>809</v>
      </c>
      <c r="I385" s="203"/>
      <c r="J385" s="204"/>
      <c r="K385" s="203"/>
      <c r="L385" s="203"/>
      <c r="M385" s="203"/>
      <c r="N385" s="203"/>
      <c r="O385" s="203"/>
      <c r="P385" s="203"/>
      <c r="Q385" s="203"/>
      <c r="R385" s="26"/>
      <c r="S385" s="203"/>
      <c r="T385" s="203"/>
      <c r="U385" s="203"/>
      <c r="V385" s="204"/>
      <c r="W385" s="203">
        <v>550000</v>
      </c>
      <c r="X385" s="203">
        <v>550000</v>
      </c>
      <c r="Y385" s="203">
        <v>550000</v>
      </c>
      <c r="Z385" s="162" t="b">
        <f t="shared" si="242"/>
        <v>0</v>
      </c>
      <c r="AA385" s="162" t="str">
        <f t="shared" si="243"/>
        <v>PUNO</v>
      </c>
      <c r="AC385" s="164"/>
    </row>
    <row r="386" spans="2:29" ht="15.75" hidden="1" x14ac:dyDescent="0.2">
      <c r="B386" s="177"/>
      <c r="C386" s="177"/>
      <c r="D386" s="177"/>
      <c r="E386" s="177">
        <v>3299</v>
      </c>
      <c r="F386" s="176" t="s">
        <v>527</v>
      </c>
      <c r="G386" s="176" t="s">
        <v>746</v>
      </c>
      <c r="H386" s="16" t="s">
        <v>531</v>
      </c>
      <c r="I386" s="203">
        <v>3650.24</v>
      </c>
      <c r="J386" s="204">
        <v>0</v>
      </c>
      <c r="K386" s="203">
        <v>0</v>
      </c>
      <c r="L386" s="203"/>
      <c r="M386" s="203" t="e">
        <f>ROUND(L386/K386*100,2)</f>
        <v>#DIV/0!</v>
      </c>
      <c r="N386" s="203">
        <f>O386-K386</f>
        <v>0</v>
      </c>
      <c r="O386" s="203"/>
      <c r="P386" s="203"/>
      <c r="Q386" s="203"/>
      <c r="R386" s="26">
        <f>V386-P386</f>
        <v>0</v>
      </c>
      <c r="S386" s="203"/>
      <c r="T386" s="203"/>
      <c r="U386" s="203"/>
      <c r="V386" s="204"/>
      <c r="W386" s="203"/>
      <c r="X386" s="203"/>
      <c r="Y386" s="203"/>
      <c r="Z386" s="162" t="b">
        <f t="shared" si="242"/>
        <v>0</v>
      </c>
      <c r="AA386" s="162" t="str">
        <f t="shared" si="243"/>
        <v>PUNO</v>
      </c>
      <c r="AC386" s="164"/>
    </row>
    <row r="387" spans="2:29" ht="15.75" hidden="1" x14ac:dyDescent="0.2">
      <c r="B387" s="177"/>
      <c r="C387" s="177">
        <v>32</v>
      </c>
      <c r="D387" s="177"/>
      <c r="E387" s="177"/>
      <c r="F387" s="176"/>
      <c r="G387" s="176"/>
      <c r="H387" s="16" t="s">
        <v>525</v>
      </c>
      <c r="I387" s="18"/>
      <c r="J387" s="27">
        <f t="shared" ref="J387:O387" si="248">J388+J393+J397</f>
        <v>0</v>
      </c>
      <c r="K387" s="27">
        <f t="shared" si="248"/>
        <v>0</v>
      </c>
      <c r="L387" s="27">
        <f t="shared" si="248"/>
        <v>0</v>
      </c>
      <c r="M387" s="27">
        <f t="shared" si="248"/>
        <v>0</v>
      </c>
      <c r="N387" s="27">
        <f t="shared" si="248"/>
        <v>0</v>
      </c>
      <c r="O387" s="27">
        <f t="shared" si="248"/>
        <v>0</v>
      </c>
      <c r="P387" s="18">
        <f>P393+P397</f>
        <v>30283</v>
      </c>
      <c r="Q387" s="18">
        <f>Q393+Q397</f>
        <v>30282.17</v>
      </c>
      <c r="R387" s="26">
        <f>V387-P387</f>
        <v>149364</v>
      </c>
      <c r="S387" s="18">
        <f>S393+S397</f>
        <v>30283</v>
      </c>
      <c r="T387" s="18"/>
      <c r="U387" s="18"/>
      <c r="V387" s="27">
        <f>V388+V393+V397</f>
        <v>179647</v>
      </c>
      <c r="W387" s="27">
        <f>W388+W393+W397</f>
        <v>0</v>
      </c>
      <c r="X387" s="27">
        <f>X388+X393+X397</f>
        <v>0</v>
      </c>
      <c r="Y387" s="27">
        <f>Y388+Y393+Y397</f>
        <v>0</v>
      </c>
      <c r="Z387" s="162" t="b">
        <f t="shared" si="242"/>
        <v>1</v>
      </c>
      <c r="AA387" s="162" t="str">
        <f t="shared" si="243"/>
        <v>PRAZNO</v>
      </c>
      <c r="AC387" s="164"/>
    </row>
    <row r="388" spans="2:29" ht="15.75" hidden="1" x14ac:dyDescent="0.2">
      <c r="B388" s="177"/>
      <c r="C388" s="177"/>
      <c r="D388" s="177">
        <v>322</v>
      </c>
      <c r="E388" s="177"/>
      <c r="F388" s="176"/>
      <c r="G388" s="176"/>
      <c r="H388" s="16" t="s">
        <v>674</v>
      </c>
      <c r="I388" s="18"/>
      <c r="J388" s="27">
        <f>SUM(J389:J392)</f>
        <v>0</v>
      </c>
      <c r="K388" s="18"/>
      <c r="L388" s="18"/>
      <c r="M388" s="18"/>
      <c r="N388" s="18"/>
      <c r="O388" s="18">
        <v>0</v>
      </c>
      <c r="P388" s="18">
        <v>0</v>
      </c>
      <c r="Q388" s="18"/>
      <c r="R388" s="26">
        <f>V388-P388</f>
        <v>22364</v>
      </c>
      <c r="S388" s="18"/>
      <c r="T388" s="18"/>
      <c r="U388" s="18"/>
      <c r="V388" s="27">
        <f>V389+V391+V392</f>
        <v>22364</v>
      </c>
      <c r="W388" s="27">
        <f>W389+W391</f>
        <v>0</v>
      </c>
      <c r="X388" s="27">
        <f>X389+X391</f>
        <v>0</v>
      </c>
      <c r="Y388" s="27">
        <f>Y389+Y391</f>
        <v>0</v>
      </c>
      <c r="Z388" s="162" t="b">
        <f t="shared" ref="Z388:Z409" si="249">ISBLANK(E388)</f>
        <v>1</v>
      </c>
      <c r="AA388" s="162" t="str">
        <f t="shared" ref="AA388:AA409" si="250">IF(Z388,"PRAZNO","PUNO")</f>
        <v>PRAZNO</v>
      </c>
      <c r="AC388" s="164"/>
    </row>
    <row r="389" spans="2:29" ht="15.75" hidden="1" x14ac:dyDescent="0.2">
      <c r="B389" s="177"/>
      <c r="C389" s="177"/>
      <c r="D389" s="177"/>
      <c r="E389" s="177">
        <v>3221</v>
      </c>
      <c r="F389" s="176">
        <v>14</v>
      </c>
      <c r="G389" s="176"/>
      <c r="H389" s="16" t="s">
        <v>548</v>
      </c>
      <c r="I389" s="18"/>
      <c r="J389" s="27">
        <v>0</v>
      </c>
      <c r="K389" s="18"/>
      <c r="L389" s="18"/>
      <c r="M389" s="18"/>
      <c r="N389" s="18"/>
      <c r="O389" s="18">
        <v>0</v>
      </c>
      <c r="P389" s="18">
        <v>0</v>
      </c>
      <c r="Q389" s="18"/>
      <c r="R389" s="26">
        <f>V389-P389</f>
        <v>1000</v>
      </c>
      <c r="S389" s="18"/>
      <c r="T389" s="18"/>
      <c r="U389" s="18"/>
      <c r="V389" s="27">
        <v>1000</v>
      </c>
      <c r="W389" s="18"/>
      <c r="X389" s="18"/>
      <c r="Y389" s="18"/>
      <c r="Z389" s="162" t="b">
        <f t="shared" si="249"/>
        <v>0</v>
      </c>
      <c r="AA389" s="162" t="str">
        <f t="shared" si="250"/>
        <v>PUNO</v>
      </c>
      <c r="AC389" s="164"/>
    </row>
    <row r="390" spans="2:29" ht="15.75" hidden="1" x14ac:dyDescent="0.2">
      <c r="B390" s="177"/>
      <c r="C390" s="177"/>
      <c r="D390" s="177"/>
      <c r="E390" s="177"/>
      <c r="F390" s="176"/>
      <c r="G390" s="176"/>
      <c r="H390" s="16"/>
      <c r="I390" s="18"/>
      <c r="J390" s="27"/>
      <c r="K390" s="18"/>
      <c r="L390" s="18"/>
      <c r="M390" s="18"/>
      <c r="N390" s="18"/>
      <c r="O390" s="18"/>
      <c r="P390" s="18"/>
      <c r="Q390" s="18"/>
      <c r="R390" s="26"/>
      <c r="S390" s="18"/>
      <c r="T390" s="18"/>
      <c r="U390" s="18"/>
      <c r="V390" s="27"/>
      <c r="W390" s="18"/>
      <c r="X390" s="18"/>
      <c r="Y390" s="18"/>
      <c r="Z390" s="162" t="b">
        <f t="shared" si="249"/>
        <v>1</v>
      </c>
      <c r="AA390" s="162" t="str">
        <f t="shared" si="250"/>
        <v>PRAZNO</v>
      </c>
      <c r="AC390" s="164"/>
    </row>
    <row r="391" spans="2:29" ht="15.75" hidden="1" x14ac:dyDescent="0.2">
      <c r="B391" s="177"/>
      <c r="C391" s="177"/>
      <c r="D391" s="177"/>
      <c r="E391" s="177">
        <v>3225</v>
      </c>
      <c r="F391" s="176">
        <v>14</v>
      </c>
      <c r="G391" s="176"/>
      <c r="H391" s="16" t="s">
        <v>642</v>
      </c>
      <c r="I391" s="18"/>
      <c r="J391" s="27">
        <v>0</v>
      </c>
      <c r="K391" s="18"/>
      <c r="L391" s="18"/>
      <c r="M391" s="18"/>
      <c r="N391" s="18"/>
      <c r="O391" s="18">
        <v>0</v>
      </c>
      <c r="P391" s="18">
        <v>0</v>
      </c>
      <c r="Q391" s="18"/>
      <c r="R391" s="26">
        <f t="shared" ref="R391:R400" si="251">V391-P391</f>
        <v>6364</v>
      </c>
      <c r="S391" s="18"/>
      <c r="T391" s="18"/>
      <c r="U391" s="18"/>
      <c r="V391" s="266">
        <f>864+5500</f>
        <v>6364</v>
      </c>
      <c r="W391" s="18"/>
      <c r="X391" s="18"/>
      <c r="Y391" s="18"/>
      <c r="Z391" s="162" t="b">
        <f t="shared" si="249"/>
        <v>0</v>
      </c>
      <c r="AA391" s="162" t="str">
        <f t="shared" si="250"/>
        <v>PUNO</v>
      </c>
      <c r="AC391" s="164"/>
    </row>
    <row r="392" spans="2:29" ht="15.75" hidden="1" x14ac:dyDescent="0.2">
      <c r="B392" s="177"/>
      <c r="C392" s="177"/>
      <c r="D392" s="177"/>
      <c r="E392" s="177">
        <v>3227</v>
      </c>
      <c r="F392" s="176">
        <v>14</v>
      </c>
      <c r="G392" s="176"/>
      <c r="H392" s="16" t="s">
        <v>845</v>
      </c>
      <c r="I392" s="18"/>
      <c r="J392" s="27">
        <v>0</v>
      </c>
      <c r="K392" s="18"/>
      <c r="L392" s="18"/>
      <c r="M392" s="18"/>
      <c r="N392" s="18"/>
      <c r="O392" s="18">
        <v>0</v>
      </c>
      <c r="P392" s="18">
        <v>0</v>
      </c>
      <c r="Q392" s="18">
        <v>0</v>
      </c>
      <c r="R392" s="26">
        <f t="shared" si="251"/>
        <v>15000</v>
      </c>
      <c r="S392" s="18"/>
      <c r="T392" s="18"/>
      <c r="U392" s="18"/>
      <c r="V392" s="27">
        <v>15000</v>
      </c>
      <c r="W392" s="18">
        <v>0</v>
      </c>
      <c r="X392" s="18"/>
      <c r="Y392" s="18"/>
      <c r="Z392" s="162" t="b">
        <f t="shared" si="249"/>
        <v>0</v>
      </c>
      <c r="AA392" s="162" t="str">
        <f t="shared" si="250"/>
        <v>PUNO</v>
      </c>
      <c r="AC392" s="164"/>
    </row>
    <row r="393" spans="2:29" ht="15.75" hidden="1" x14ac:dyDescent="0.2">
      <c r="B393" s="177"/>
      <c r="C393" s="177"/>
      <c r="D393" s="177">
        <v>323</v>
      </c>
      <c r="E393" s="177"/>
      <c r="F393" s="176"/>
      <c r="G393" s="176"/>
      <c r="H393" s="16" t="s">
        <v>526</v>
      </c>
      <c r="I393" s="18"/>
      <c r="J393" s="27">
        <f t="shared" ref="J393:O393" si="252">J394+J395+J396</f>
        <v>0</v>
      </c>
      <c r="K393" s="27">
        <f t="shared" si="252"/>
        <v>0</v>
      </c>
      <c r="L393" s="27">
        <f t="shared" si="252"/>
        <v>0</v>
      </c>
      <c r="M393" s="27">
        <f t="shared" si="252"/>
        <v>0</v>
      </c>
      <c r="N393" s="27">
        <f t="shared" si="252"/>
        <v>0</v>
      </c>
      <c r="O393" s="27">
        <f t="shared" si="252"/>
        <v>0</v>
      </c>
      <c r="P393" s="18">
        <f>P395</f>
        <v>4000</v>
      </c>
      <c r="Q393" s="18">
        <f>Q395</f>
        <v>4000</v>
      </c>
      <c r="R393" s="26">
        <f t="shared" si="251"/>
        <v>22000</v>
      </c>
      <c r="S393" s="18">
        <f>S395</f>
        <v>4000</v>
      </c>
      <c r="T393" s="18"/>
      <c r="U393" s="18"/>
      <c r="V393" s="27">
        <f>V394+V395+V396</f>
        <v>26000</v>
      </c>
      <c r="W393" s="27">
        <f>W394+W395+W396</f>
        <v>0</v>
      </c>
      <c r="X393" s="27">
        <f>X394+X395+X396</f>
        <v>0</v>
      </c>
      <c r="Y393" s="27">
        <f>Y394+Y395+Y396</f>
        <v>0</v>
      </c>
      <c r="Z393" s="162" t="b">
        <f t="shared" si="249"/>
        <v>1</v>
      </c>
      <c r="AA393" s="162" t="str">
        <f t="shared" si="250"/>
        <v>PRAZNO</v>
      </c>
      <c r="AC393" s="164"/>
    </row>
    <row r="394" spans="2:29" ht="15.75" hidden="1" x14ac:dyDescent="0.2">
      <c r="B394" s="177"/>
      <c r="C394" s="177"/>
      <c r="D394" s="177"/>
      <c r="E394" s="177">
        <v>3232</v>
      </c>
      <c r="F394" s="176">
        <v>14</v>
      </c>
      <c r="G394" s="176"/>
      <c r="H394" s="16" t="s">
        <v>207</v>
      </c>
      <c r="I394" s="18"/>
      <c r="J394" s="27">
        <v>0</v>
      </c>
      <c r="K394" s="18"/>
      <c r="L394" s="18"/>
      <c r="M394" s="18"/>
      <c r="N394" s="18"/>
      <c r="O394" s="18">
        <v>0</v>
      </c>
      <c r="P394" s="18">
        <v>0</v>
      </c>
      <c r="Q394" s="18"/>
      <c r="R394" s="26">
        <f t="shared" si="251"/>
        <v>10000</v>
      </c>
      <c r="S394" s="18"/>
      <c r="T394" s="18"/>
      <c r="U394" s="18"/>
      <c r="V394" s="27">
        <v>10000</v>
      </c>
      <c r="W394" s="18"/>
      <c r="X394" s="18"/>
      <c r="Y394" s="18"/>
      <c r="Z394" s="162" t="b">
        <f t="shared" si="249"/>
        <v>0</v>
      </c>
      <c r="AA394" s="162" t="str">
        <f t="shared" si="250"/>
        <v>PUNO</v>
      </c>
      <c r="AC394" s="164"/>
    </row>
    <row r="395" spans="2:29" ht="15.75" hidden="1" x14ac:dyDescent="0.2">
      <c r="B395" s="177"/>
      <c r="C395" s="177"/>
      <c r="D395" s="177"/>
      <c r="E395" s="177">
        <v>3237</v>
      </c>
      <c r="F395" s="176">
        <v>14</v>
      </c>
      <c r="G395" s="176"/>
      <c r="H395" s="16" t="s">
        <v>566</v>
      </c>
      <c r="I395" s="18"/>
      <c r="J395" s="27">
        <v>0</v>
      </c>
      <c r="K395" s="18"/>
      <c r="L395" s="18"/>
      <c r="M395" s="18"/>
      <c r="N395" s="18"/>
      <c r="O395" s="18">
        <v>0</v>
      </c>
      <c r="P395" s="18">
        <v>4000</v>
      </c>
      <c r="Q395" s="18">
        <v>4000</v>
      </c>
      <c r="R395" s="26">
        <f t="shared" si="251"/>
        <v>0</v>
      </c>
      <c r="S395" s="18">
        <v>4000</v>
      </c>
      <c r="T395" s="18"/>
      <c r="U395" s="18"/>
      <c r="V395" s="27">
        <v>4000</v>
      </c>
      <c r="W395" s="18"/>
      <c r="X395" s="18"/>
      <c r="Y395" s="18"/>
      <c r="Z395" s="162" t="b">
        <f t="shared" si="249"/>
        <v>0</v>
      </c>
      <c r="AA395" s="162" t="str">
        <f t="shared" si="250"/>
        <v>PUNO</v>
      </c>
      <c r="AC395" s="164"/>
    </row>
    <row r="396" spans="2:29" ht="15.75" hidden="1" x14ac:dyDescent="0.2">
      <c r="B396" s="177"/>
      <c r="C396" s="177"/>
      <c r="D396" s="177"/>
      <c r="E396" s="177">
        <v>3239</v>
      </c>
      <c r="F396" s="176">
        <v>14</v>
      </c>
      <c r="G396" s="176"/>
      <c r="H396" s="16" t="s">
        <v>529</v>
      </c>
      <c r="I396" s="18"/>
      <c r="J396" s="27">
        <v>0</v>
      </c>
      <c r="K396" s="18"/>
      <c r="L396" s="18"/>
      <c r="M396" s="18"/>
      <c r="N396" s="18"/>
      <c r="O396" s="18">
        <v>0</v>
      </c>
      <c r="P396" s="18"/>
      <c r="Q396" s="18"/>
      <c r="R396" s="26">
        <f t="shared" si="251"/>
        <v>12000</v>
      </c>
      <c r="S396" s="18"/>
      <c r="T396" s="18"/>
      <c r="U396" s="18"/>
      <c r="V396" s="27">
        <v>12000</v>
      </c>
      <c r="W396" s="18"/>
      <c r="X396" s="18"/>
      <c r="Y396" s="18"/>
      <c r="Z396" s="162" t="b">
        <f t="shared" si="249"/>
        <v>0</v>
      </c>
      <c r="AA396" s="162" t="str">
        <f t="shared" si="250"/>
        <v>PUNO</v>
      </c>
      <c r="AC396" s="164"/>
    </row>
    <row r="397" spans="2:29" ht="15.75" hidden="1" x14ac:dyDescent="0.2">
      <c r="B397" s="177"/>
      <c r="C397" s="177"/>
      <c r="D397" s="177">
        <v>329</v>
      </c>
      <c r="E397" s="177"/>
      <c r="F397" s="176"/>
      <c r="G397" s="176"/>
      <c r="H397" s="16" t="s">
        <v>531</v>
      </c>
      <c r="I397" s="18"/>
      <c r="J397" s="27">
        <f t="shared" ref="J397:O397" si="253">J398+J399+J400</f>
        <v>0</v>
      </c>
      <c r="K397" s="27">
        <f t="shared" si="253"/>
        <v>0</v>
      </c>
      <c r="L397" s="27">
        <f t="shared" si="253"/>
        <v>0</v>
      </c>
      <c r="M397" s="27">
        <f t="shared" si="253"/>
        <v>0</v>
      </c>
      <c r="N397" s="27">
        <f t="shared" si="253"/>
        <v>0</v>
      </c>
      <c r="O397" s="27">
        <f t="shared" si="253"/>
        <v>0</v>
      </c>
      <c r="P397" s="18">
        <f>P399</f>
        <v>26283</v>
      </c>
      <c r="Q397" s="18">
        <f>Q399</f>
        <v>26282.17</v>
      </c>
      <c r="R397" s="26">
        <f t="shared" si="251"/>
        <v>105000</v>
      </c>
      <c r="S397" s="18">
        <f>S399</f>
        <v>26283</v>
      </c>
      <c r="T397" s="18"/>
      <c r="U397" s="18"/>
      <c r="V397" s="27">
        <f>V398+V399+V400</f>
        <v>131283</v>
      </c>
      <c r="W397" s="27">
        <f>W398+W399+W400</f>
        <v>0</v>
      </c>
      <c r="X397" s="27">
        <f>X398+X399+X400</f>
        <v>0</v>
      </c>
      <c r="Y397" s="27">
        <f>Y398+Y399+Y400</f>
        <v>0</v>
      </c>
      <c r="Z397" s="162" t="b">
        <f t="shared" si="249"/>
        <v>1</v>
      </c>
      <c r="AA397" s="162" t="str">
        <f t="shared" si="250"/>
        <v>PRAZNO</v>
      </c>
      <c r="AC397" s="164"/>
    </row>
    <row r="398" spans="2:29" ht="30" hidden="1" x14ac:dyDescent="0.2">
      <c r="B398" s="177"/>
      <c r="C398" s="177"/>
      <c r="D398" s="177"/>
      <c r="E398" s="177">
        <v>3291</v>
      </c>
      <c r="F398" s="176">
        <v>14</v>
      </c>
      <c r="G398" s="176"/>
      <c r="H398" s="16" t="s">
        <v>532</v>
      </c>
      <c r="I398" s="18"/>
      <c r="J398" s="27">
        <v>0</v>
      </c>
      <c r="K398" s="18"/>
      <c r="L398" s="18"/>
      <c r="M398" s="18"/>
      <c r="N398" s="18"/>
      <c r="O398" s="18">
        <v>0</v>
      </c>
      <c r="P398" s="18">
        <v>0</v>
      </c>
      <c r="Q398" s="18"/>
      <c r="R398" s="26">
        <f t="shared" si="251"/>
        <v>100000</v>
      </c>
      <c r="S398" s="18"/>
      <c r="T398" s="18"/>
      <c r="U398" s="18"/>
      <c r="V398" s="27">
        <v>100000</v>
      </c>
      <c r="W398" s="18"/>
      <c r="X398" s="18"/>
      <c r="Y398" s="18"/>
      <c r="Z398" s="162" t="b">
        <f t="shared" si="249"/>
        <v>0</v>
      </c>
      <c r="AA398" s="162" t="str">
        <f t="shared" si="250"/>
        <v>PUNO</v>
      </c>
      <c r="AC398" s="164"/>
    </row>
    <row r="399" spans="2:29" ht="15.75" hidden="1" x14ac:dyDescent="0.2">
      <c r="B399" s="177"/>
      <c r="C399" s="177"/>
      <c r="D399" s="177"/>
      <c r="E399" s="177">
        <v>3292</v>
      </c>
      <c r="F399" s="176">
        <v>14</v>
      </c>
      <c r="G399" s="176"/>
      <c r="H399" s="16" t="s">
        <v>399</v>
      </c>
      <c r="I399" s="18"/>
      <c r="J399" s="27">
        <v>0</v>
      </c>
      <c r="K399" s="18"/>
      <c r="L399" s="18"/>
      <c r="M399" s="18"/>
      <c r="N399" s="18"/>
      <c r="O399" s="18">
        <v>0</v>
      </c>
      <c r="P399" s="18">
        <v>26283</v>
      </c>
      <c r="Q399" s="18">
        <v>26282.17</v>
      </c>
      <c r="R399" s="26">
        <f t="shared" si="251"/>
        <v>0</v>
      </c>
      <c r="S399" s="18">
        <v>26283</v>
      </c>
      <c r="T399" s="18"/>
      <c r="U399" s="18"/>
      <c r="V399" s="27">
        <v>26283</v>
      </c>
      <c r="W399" s="18"/>
      <c r="X399" s="18"/>
      <c r="Y399" s="18"/>
      <c r="Z399" s="162" t="b">
        <f t="shared" si="249"/>
        <v>0</v>
      </c>
      <c r="AA399" s="162" t="str">
        <f t="shared" si="250"/>
        <v>PUNO</v>
      </c>
      <c r="AC399" s="164"/>
    </row>
    <row r="400" spans="2:29" ht="15.75" hidden="1" x14ac:dyDescent="0.2">
      <c r="B400" s="177"/>
      <c r="C400" s="177"/>
      <c r="D400" s="177"/>
      <c r="E400" s="177">
        <v>3299</v>
      </c>
      <c r="F400" s="176">
        <v>14</v>
      </c>
      <c r="G400" s="176"/>
      <c r="H400" s="16" t="s">
        <v>531</v>
      </c>
      <c r="I400" s="18"/>
      <c r="J400" s="27">
        <v>0</v>
      </c>
      <c r="K400" s="18"/>
      <c r="L400" s="18"/>
      <c r="M400" s="18"/>
      <c r="N400" s="18"/>
      <c r="O400" s="18">
        <v>0</v>
      </c>
      <c r="P400" s="18">
        <v>0</v>
      </c>
      <c r="Q400" s="18"/>
      <c r="R400" s="26">
        <f t="shared" si="251"/>
        <v>5000</v>
      </c>
      <c r="S400" s="18"/>
      <c r="T400" s="18"/>
      <c r="U400" s="18"/>
      <c r="V400" s="27">
        <v>5000</v>
      </c>
      <c r="W400" s="18"/>
      <c r="X400" s="18"/>
      <c r="Y400" s="18"/>
      <c r="Z400" s="162" t="b">
        <f t="shared" si="249"/>
        <v>0</v>
      </c>
      <c r="AA400" s="162" t="str">
        <f t="shared" si="250"/>
        <v>PUNO</v>
      </c>
      <c r="AC400" s="164"/>
    </row>
    <row r="401" spans="1:29" s="207" customFormat="1" ht="31.5" hidden="1" x14ac:dyDescent="0.25">
      <c r="A401" s="378"/>
      <c r="B401" s="168"/>
      <c r="C401" s="168"/>
      <c r="D401" s="168"/>
      <c r="E401" s="168"/>
      <c r="F401" s="322"/>
      <c r="G401" s="322"/>
      <c r="H401" s="35" t="s">
        <v>381</v>
      </c>
      <c r="I401" s="334"/>
      <c r="J401" s="335">
        <f>J402</f>
        <v>3275108.27</v>
      </c>
      <c r="K401" s="334"/>
      <c r="L401" s="334"/>
      <c r="M401" s="334"/>
      <c r="N401" s="334"/>
      <c r="O401" s="334"/>
      <c r="P401" s="334"/>
      <c r="Q401" s="334"/>
      <c r="R401" s="53"/>
      <c r="S401" s="334"/>
      <c r="T401" s="334"/>
      <c r="U401" s="334"/>
      <c r="V401" s="335"/>
      <c r="W401" s="334"/>
      <c r="X401" s="334"/>
      <c r="Y401" s="334"/>
      <c r="Z401" s="162" t="b">
        <f t="shared" si="249"/>
        <v>1</v>
      </c>
      <c r="AA401" s="162" t="str">
        <f t="shared" si="250"/>
        <v>PRAZNO</v>
      </c>
      <c r="AB401" s="206"/>
    </row>
    <row r="402" spans="1:29" s="174" customFormat="1" ht="15.75" hidden="1" x14ac:dyDescent="0.2">
      <c r="A402" s="259"/>
      <c r="B402" s="172">
        <v>4</v>
      </c>
      <c r="C402" s="172"/>
      <c r="D402" s="172"/>
      <c r="E402" s="172"/>
      <c r="F402" s="220"/>
      <c r="G402" s="220"/>
      <c r="H402" s="331" t="s">
        <v>552</v>
      </c>
      <c r="I402" s="332"/>
      <c r="J402" s="333">
        <f>J403</f>
        <v>3275108.27</v>
      </c>
      <c r="K402" s="332"/>
      <c r="L402" s="332"/>
      <c r="M402" s="332"/>
      <c r="N402" s="332"/>
      <c r="O402" s="332"/>
      <c r="P402" s="332"/>
      <c r="Q402" s="332"/>
      <c r="R402" s="55"/>
      <c r="S402" s="332"/>
      <c r="T402" s="332"/>
      <c r="U402" s="332"/>
      <c r="V402" s="333"/>
      <c r="W402" s="332"/>
      <c r="X402" s="332"/>
      <c r="Y402" s="332"/>
      <c r="Z402" s="162" t="b">
        <f t="shared" si="249"/>
        <v>1</v>
      </c>
      <c r="AA402" s="162" t="str">
        <f t="shared" si="250"/>
        <v>PRAZNO</v>
      </c>
      <c r="AB402" s="173"/>
    </row>
    <row r="403" spans="1:29" ht="31.5" hidden="1" customHeight="1" x14ac:dyDescent="0.2">
      <c r="B403" s="177"/>
      <c r="C403" s="177">
        <v>45</v>
      </c>
      <c r="D403" s="177"/>
      <c r="E403" s="177"/>
      <c r="F403" s="176"/>
      <c r="G403" s="176"/>
      <c r="H403" s="29" t="s">
        <v>808</v>
      </c>
      <c r="I403" s="210"/>
      <c r="J403" s="211">
        <f>J404</f>
        <v>3275108.27</v>
      </c>
      <c r="K403" s="210"/>
      <c r="L403" s="210"/>
      <c r="M403" s="210"/>
      <c r="N403" s="210"/>
      <c r="O403" s="210"/>
      <c r="P403" s="210"/>
      <c r="Q403" s="210"/>
      <c r="R403" s="26"/>
      <c r="S403" s="210"/>
      <c r="T403" s="210"/>
      <c r="U403" s="210"/>
      <c r="V403" s="211"/>
      <c r="W403" s="210"/>
      <c r="X403" s="210"/>
      <c r="Y403" s="210"/>
      <c r="Z403" s="162" t="b">
        <f t="shared" si="249"/>
        <v>1</v>
      </c>
      <c r="AA403" s="162" t="str">
        <f t="shared" si="250"/>
        <v>PRAZNO</v>
      </c>
      <c r="AC403" s="164"/>
    </row>
    <row r="404" spans="1:29" ht="15.75" hidden="1" x14ac:dyDescent="0.2">
      <c r="B404" s="177"/>
      <c r="C404" s="177"/>
      <c r="D404" s="177">
        <v>451</v>
      </c>
      <c r="E404" s="177"/>
      <c r="F404" s="176"/>
      <c r="G404" s="176"/>
      <c r="H404" s="29" t="s">
        <v>809</v>
      </c>
      <c r="I404" s="210"/>
      <c r="J404" s="211">
        <f>J405</f>
        <v>3275108.27</v>
      </c>
      <c r="K404" s="210"/>
      <c r="L404" s="210"/>
      <c r="M404" s="210"/>
      <c r="N404" s="210"/>
      <c r="O404" s="210"/>
      <c r="P404" s="210"/>
      <c r="Q404" s="210"/>
      <c r="R404" s="26"/>
      <c r="S404" s="210"/>
      <c r="T404" s="210"/>
      <c r="U404" s="210"/>
      <c r="V404" s="211"/>
      <c r="W404" s="210"/>
      <c r="X404" s="210"/>
      <c r="Y404" s="210"/>
      <c r="Z404" s="162" t="b">
        <f t="shared" si="249"/>
        <v>1</v>
      </c>
      <c r="AA404" s="162" t="str">
        <f t="shared" si="250"/>
        <v>PRAZNO</v>
      </c>
      <c r="AC404" s="164"/>
    </row>
    <row r="405" spans="1:29" ht="15.75" hidden="1" x14ac:dyDescent="0.2">
      <c r="B405" s="177"/>
      <c r="C405" s="177"/>
      <c r="D405" s="177"/>
      <c r="E405" s="177">
        <v>4511</v>
      </c>
      <c r="F405" s="176" t="s">
        <v>527</v>
      </c>
      <c r="G405" s="176"/>
      <c r="H405" s="29" t="s">
        <v>809</v>
      </c>
      <c r="I405" s="210"/>
      <c r="J405" s="211">
        <v>3275108.27</v>
      </c>
      <c r="K405" s="210"/>
      <c r="L405" s="210"/>
      <c r="M405" s="210"/>
      <c r="N405" s="210"/>
      <c r="O405" s="210"/>
      <c r="P405" s="210"/>
      <c r="Q405" s="210"/>
      <c r="R405" s="26"/>
      <c r="S405" s="210"/>
      <c r="T405" s="210"/>
      <c r="U405" s="210"/>
      <c r="V405" s="211"/>
      <c r="W405" s="210"/>
      <c r="X405" s="210"/>
      <c r="Y405" s="210"/>
      <c r="Z405" s="162" t="b">
        <f t="shared" si="249"/>
        <v>0</v>
      </c>
      <c r="AA405" s="162" t="str">
        <f t="shared" si="250"/>
        <v>PUNO</v>
      </c>
      <c r="AC405" s="164"/>
    </row>
    <row r="406" spans="1:29" s="287" customFormat="1" ht="15.75" x14ac:dyDescent="0.25">
      <c r="A406" s="378"/>
      <c r="B406" s="194"/>
      <c r="C406" s="194"/>
      <c r="D406" s="194"/>
      <c r="E406" s="194"/>
      <c r="F406" s="159"/>
      <c r="G406" s="159"/>
      <c r="H406" s="24" t="s">
        <v>641</v>
      </c>
      <c r="I406" s="195" t="e">
        <f>I408</f>
        <v>#REF!</v>
      </c>
      <c r="J406" s="197" t="e">
        <f>J408</f>
        <v>#REF!</v>
      </c>
      <c r="K406" s="195" t="e">
        <f>K408</f>
        <v>#REF!</v>
      </c>
      <c r="L406" s="195" t="e">
        <f>L408</f>
        <v>#REF!</v>
      </c>
      <c r="M406" s="195" t="e">
        <f>ROUND(L406/K406*100,2)</f>
        <v>#REF!</v>
      </c>
      <c r="N406" s="195" t="e">
        <f>O406-K406</f>
        <v>#REF!</v>
      </c>
      <c r="O406" s="195" t="e">
        <f>O408</f>
        <v>#REF!</v>
      </c>
      <c r="P406" s="195" t="e">
        <f>P408</f>
        <v>#REF!</v>
      </c>
      <c r="Q406" s="195" t="e">
        <f>Q408</f>
        <v>#REF!</v>
      </c>
      <c r="R406" s="351" t="e">
        <f>V406-P406</f>
        <v>#REF!</v>
      </c>
      <c r="S406" s="195" t="e">
        <f t="shared" ref="S406:Y406" si="254">S408</f>
        <v>#REF!</v>
      </c>
      <c r="T406" s="195" t="e">
        <f t="shared" si="254"/>
        <v>#REF!</v>
      </c>
      <c r="U406" s="195" t="e">
        <f t="shared" si="254"/>
        <v>#REF!</v>
      </c>
      <c r="V406" s="197" t="e">
        <f t="shared" si="254"/>
        <v>#REF!</v>
      </c>
      <c r="W406" s="195">
        <f t="shared" si="254"/>
        <v>181000</v>
      </c>
      <c r="X406" s="195">
        <f t="shared" si="254"/>
        <v>184000</v>
      </c>
      <c r="Y406" s="195">
        <f t="shared" si="254"/>
        <v>201000</v>
      </c>
      <c r="Z406" s="162" t="b">
        <f t="shared" si="249"/>
        <v>1</v>
      </c>
      <c r="AA406" s="162" t="str">
        <f t="shared" si="250"/>
        <v>PRAZNO</v>
      </c>
      <c r="AB406" s="288"/>
    </row>
    <row r="407" spans="1:29" s="287" customFormat="1" ht="15.75" x14ac:dyDescent="0.25">
      <c r="A407" s="378"/>
      <c r="B407" s="194"/>
      <c r="C407" s="194"/>
      <c r="D407" s="194"/>
      <c r="E407" s="194"/>
      <c r="F407" s="159"/>
      <c r="G407" s="159"/>
      <c r="H407" s="11" t="s">
        <v>814</v>
      </c>
      <c r="I407" s="195"/>
      <c r="J407" s="197"/>
      <c r="K407" s="195"/>
      <c r="L407" s="195"/>
      <c r="M407" s="195" t="e">
        <f>ROUND(L407/K407*100,2)</f>
        <v>#DIV/0!</v>
      </c>
      <c r="N407" s="195"/>
      <c r="O407" s="195"/>
      <c r="P407" s="195"/>
      <c r="Q407" s="195"/>
      <c r="R407" s="351"/>
      <c r="S407" s="195"/>
      <c r="T407" s="195"/>
      <c r="U407" s="195"/>
      <c r="V407" s="197"/>
      <c r="W407" s="195"/>
      <c r="X407" s="195"/>
      <c r="Y407" s="195"/>
      <c r="Z407" s="162" t="b">
        <f t="shared" si="249"/>
        <v>1</v>
      </c>
      <c r="AA407" s="162" t="str">
        <f t="shared" si="250"/>
        <v>PRAZNO</v>
      </c>
      <c r="AB407" s="288"/>
    </row>
    <row r="408" spans="1:29" s="207" customFormat="1" ht="31.5" x14ac:dyDescent="0.25">
      <c r="A408" s="378"/>
      <c r="B408" s="168"/>
      <c r="C408" s="168"/>
      <c r="D408" s="168"/>
      <c r="E408" s="168"/>
      <c r="F408" s="168"/>
      <c r="G408" s="168"/>
      <c r="H408" s="13" t="s">
        <v>815</v>
      </c>
      <c r="I408" s="19" t="e">
        <f>#REF!+I410+#REF!</f>
        <v>#REF!</v>
      </c>
      <c r="J408" s="53" t="e">
        <f>#REF!+J410+#REF!</f>
        <v>#REF!</v>
      </c>
      <c r="K408" s="19" t="e">
        <f>#REF!+K410+#REF!</f>
        <v>#REF!</v>
      </c>
      <c r="L408" s="19" t="e">
        <f>#REF!+L410+#REF!</f>
        <v>#REF!</v>
      </c>
      <c r="M408" s="19" t="e">
        <f>ROUND(L408/K408*100,2)</f>
        <v>#REF!</v>
      </c>
      <c r="N408" s="19" t="e">
        <f>O408-K408</f>
        <v>#REF!</v>
      </c>
      <c r="O408" s="19" t="e">
        <f>#REF!+O410+#REF!</f>
        <v>#REF!</v>
      </c>
      <c r="P408" s="19" t="e">
        <f>#REF!+P410+#REF!</f>
        <v>#REF!</v>
      </c>
      <c r="Q408" s="19" t="e">
        <f>#REF!+Q410+#REF!</f>
        <v>#REF!</v>
      </c>
      <c r="R408" s="303" t="e">
        <f>V408-P408</f>
        <v>#REF!</v>
      </c>
      <c r="S408" s="19" t="e">
        <f>#REF!+S410+#REF!</f>
        <v>#REF!</v>
      </c>
      <c r="T408" s="19" t="e">
        <f>#REF!+T410+#REF!</f>
        <v>#REF!</v>
      </c>
      <c r="U408" s="19" t="e">
        <f>#REF!+U410+#REF!</f>
        <v>#REF!</v>
      </c>
      <c r="V408" s="53" t="e">
        <f>#REF!+V410+#REF!</f>
        <v>#REF!</v>
      </c>
      <c r="W408" s="19">
        <f>W410</f>
        <v>181000</v>
      </c>
      <c r="X408" s="19">
        <f>X410</f>
        <v>184000</v>
      </c>
      <c r="Y408" s="19">
        <f>Y410</f>
        <v>201000</v>
      </c>
      <c r="Z408" s="162" t="b">
        <f t="shared" si="249"/>
        <v>1</v>
      </c>
      <c r="AA408" s="162" t="str">
        <f t="shared" si="250"/>
        <v>PRAZNO</v>
      </c>
      <c r="AB408" s="206"/>
      <c r="AC408" s="287"/>
    </row>
    <row r="409" spans="1:29" s="207" customFormat="1" ht="15.75" x14ac:dyDescent="0.25">
      <c r="A409" s="378"/>
      <c r="B409" s="168"/>
      <c r="C409" s="168"/>
      <c r="D409" s="168"/>
      <c r="E409" s="168"/>
      <c r="F409" s="168"/>
      <c r="G409" s="168"/>
      <c r="H409" s="13" t="s">
        <v>42</v>
      </c>
      <c r="I409" s="19"/>
      <c r="J409" s="53"/>
      <c r="K409" s="19"/>
      <c r="L409" s="19"/>
      <c r="M409" s="19"/>
      <c r="N409" s="19"/>
      <c r="O409" s="19"/>
      <c r="P409" s="19"/>
      <c r="Q409" s="19"/>
      <c r="R409" s="303"/>
      <c r="S409" s="19"/>
      <c r="T409" s="19"/>
      <c r="U409" s="19"/>
      <c r="V409" s="53"/>
      <c r="W409" s="19"/>
      <c r="X409" s="19"/>
      <c r="Y409" s="19"/>
      <c r="Z409" s="162" t="b">
        <f t="shared" si="249"/>
        <v>1</v>
      </c>
      <c r="AA409" s="162" t="str">
        <f t="shared" si="250"/>
        <v>PRAZNO</v>
      </c>
      <c r="AB409" s="206"/>
      <c r="AC409" s="287"/>
    </row>
    <row r="410" spans="1:29" s="171" customFormat="1" ht="31.5" x14ac:dyDescent="0.2">
      <c r="A410" s="259"/>
      <c r="B410" s="270"/>
      <c r="C410" s="270"/>
      <c r="D410" s="270"/>
      <c r="E410" s="270"/>
      <c r="F410" s="270"/>
      <c r="G410" s="270"/>
      <c r="H410" s="274" t="s">
        <v>724</v>
      </c>
      <c r="I410" s="272" t="e">
        <f>#REF!+I411</f>
        <v>#REF!</v>
      </c>
      <c r="J410" s="275" t="e">
        <f>#REF!+J411</f>
        <v>#REF!</v>
      </c>
      <c r="K410" s="273" t="e">
        <f>#REF!+K411</f>
        <v>#REF!</v>
      </c>
      <c r="L410" s="273" t="e">
        <f>#REF!+L411</f>
        <v>#REF!</v>
      </c>
      <c r="M410" s="273" t="e">
        <f>ROUND(L410/K410*100,2)</f>
        <v>#REF!</v>
      </c>
      <c r="N410" s="273" t="e">
        <f>O410-K410</f>
        <v>#REF!</v>
      </c>
      <c r="O410" s="272" t="e">
        <f>#REF!+O411</f>
        <v>#REF!</v>
      </c>
      <c r="P410" s="272" t="e">
        <f>#REF!+P411</f>
        <v>#REF!</v>
      </c>
      <c r="Q410" s="272" t="e">
        <f>#REF!+Q411</f>
        <v>#REF!</v>
      </c>
      <c r="R410" s="336" t="e">
        <f>V410-P410</f>
        <v>#REF!</v>
      </c>
      <c r="S410" s="272" t="e">
        <f>#REF!+S411</f>
        <v>#REF!</v>
      </c>
      <c r="T410" s="272" t="e">
        <f>#REF!+T411</f>
        <v>#REF!</v>
      </c>
      <c r="U410" s="272" t="e">
        <f>#REF!+U411</f>
        <v>#REF!</v>
      </c>
      <c r="V410" s="275" t="e">
        <f>#REF!+V411</f>
        <v>#REF!</v>
      </c>
      <c r="W410" s="272">
        <f>W411</f>
        <v>181000</v>
      </c>
      <c r="X410" s="272">
        <f>X411</f>
        <v>184000</v>
      </c>
      <c r="Y410" s="272">
        <f>Y411</f>
        <v>201000</v>
      </c>
      <c r="Z410" s="162" t="b">
        <f>ISBLANK(E410)</f>
        <v>1</v>
      </c>
      <c r="AA410" s="162" t="str">
        <f>IF(Z410,"PRAZNO","PUNO")</f>
        <v>PRAZNO</v>
      </c>
      <c r="AB410" s="170"/>
      <c r="AC410" s="164"/>
    </row>
    <row r="411" spans="1:29" s="171" customFormat="1" ht="15.75" x14ac:dyDescent="0.2">
      <c r="A411" s="259"/>
      <c r="B411" s="168"/>
      <c r="C411" s="168"/>
      <c r="D411" s="168"/>
      <c r="E411" s="168"/>
      <c r="F411" s="168"/>
      <c r="G411" s="168"/>
      <c r="H411" s="13" t="s">
        <v>44</v>
      </c>
      <c r="I411" s="19">
        <f>I413</f>
        <v>178040.03</v>
      </c>
      <c r="J411" s="53">
        <f>J413</f>
        <v>299840</v>
      </c>
      <c r="K411" s="169">
        <f>K413</f>
        <v>190000</v>
      </c>
      <c r="L411" s="169">
        <f>L413</f>
        <v>120204.8</v>
      </c>
      <c r="M411" s="169">
        <f>ROUND(L411/K411*100,2)</f>
        <v>63.27</v>
      </c>
      <c r="N411" s="169">
        <f>O411-K411</f>
        <v>0</v>
      </c>
      <c r="O411" s="19">
        <f>O413</f>
        <v>190000</v>
      </c>
      <c r="P411" s="19">
        <f>P413</f>
        <v>183000</v>
      </c>
      <c r="Q411" s="19">
        <f>Q413</f>
        <v>31107.279999999999</v>
      </c>
      <c r="R411" s="303">
        <f>V411-P411</f>
        <v>0</v>
      </c>
      <c r="S411" s="19">
        <f t="shared" ref="S411:Y411" si="255">S413</f>
        <v>183000</v>
      </c>
      <c r="T411" s="19">
        <f t="shared" si="255"/>
        <v>177000</v>
      </c>
      <c r="U411" s="19">
        <f t="shared" si="255"/>
        <v>187000</v>
      </c>
      <c r="V411" s="53">
        <f t="shared" si="255"/>
        <v>183000</v>
      </c>
      <c r="W411" s="19">
        <f t="shared" si="255"/>
        <v>181000</v>
      </c>
      <c r="X411" s="19">
        <f t="shared" si="255"/>
        <v>184000</v>
      </c>
      <c r="Y411" s="19">
        <f t="shared" si="255"/>
        <v>201000</v>
      </c>
      <c r="Z411" s="162" t="b">
        <f t="shared" ref="Z411:Z423" si="256">ISBLANK(E411)</f>
        <v>1</v>
      </c>
      <c r="AA411" s="162" t="str">
        <f t="shared" ref="AA411:AA423" si="257">IF(Z411,"PRAZNO","PUNO")</f>
        <v>PRAZNO</v>
      </c>
      <c r="AB411" s="170"/>
      <c r="AC411" s="164"/>
    </row>
    <row r="412" spans="1:29" s="264" customFormat="1" ht="21.75" customHeight="1" x14ac:dyDescent="0.2">
      <c r="A412" s="259"/>
      <c r="B412" s="260"/>
      <c r="C412" s="260"/>
      <c r="D412" s="260"/>
      <c r="E412" s="260"/>
      <c r="F412" s="260"/>
      <c r="G412" s="260"/>
      <c r="H412" s="440" t="s">
        <v>830</v>
      </c>
      <c r="I412" s="262"/>
      <c r="J412" s="342"/>
      <c r="K412" s="181"/>
      <c r="L412" s="181"/>
      <c r="M412" s="181"/>
      <c r="N412" s="181"/>
      <c r="O412" s="262"/>
      <c r="P412" s="262"/>
      <c r="Q412" s="262"/>
      <c r="R412" s="445"/>
      <c r="S412" s="262"/>
      <c r="T412" s="262"/>
      <c r="U412" s="262"/>
      <c r="V412" s="342"/>
      <c r="W412" s="262">
        <f>W413</f>
        <v>181000</v>
      </c>
      <c r="X412" s="262">
        <f>X413</f>
        <v>184000</v>
      </c>
      <c r="Y412" s="262">
        <f>Y413</f>
        <v>201000</v>
      </c>
      <c r="Z412" s="162" t="b">
        <f t="shared" si="256"/>
        <v>1</v>
      </c>
      <c r="AA412" s="162" t="str">
        <f t="shared" si="257"/>
        <v>PRAZNO</v>
      </c>
      <c r="AB412" s="263"/>
    </row>
    <row r="413" spans="1:29" s="174" customFormat="1" ht="15.75" x14ac:dyDescent="0.2">
      <c r="A413" s="259"/>
      <c r="B413" s="172">
        <v>4</v>
      </c>
      <c r="C413" s="172"/>
      <c r="D413" s="172"/>
      <c r="E413" s="172"/>
      <c r="F413" s="172"/>
      <c r="G413" s="172"/>
      <c r="H413" s="14" t="s">
        <v>552</v>
      </c>
      <c r="I413" s="20">
        <f>I417</f>
        <v>178040.03</v>
      </c>
      <c r="J413" s="20">
        <f>J417+J414</f>
        <v>299840</v>
      </c>
      <c r="K413" s="20">
        <f>K417</f>
        <v>190000</v>
      </c>
      <c r="L413" s="20">
        <f>L417</f>
        <v>120204.8</v>
      </c>
      <c r="M413" s="20">
        <f>ROUND(L413/K413*100,2)</f>
        <v>63.27</v>
      </c>
      <c r="N413" s="20">
        <f>O413-K413</f>
        <v>0</v>
      </c>
      <c r="O413" s="20">
        <f>O417+O414</f>
        <v>190000</v>
      </c>
      <c r="P413" s="20">
        <f>P417+P414</f>
        <v>183000</v>
      </c>
      <c r="Q413" s="20">
        <f>Q417+Q414</f>
        <v>31107.279999999999</v>
      </c>
      <c r="R413" s="55">
        <f t="shared" ref="R413:R423" si="258">V413-P413</f>
        <v>0</v>
      </c>
      <c r="S413" s="20">
        <f t="shared" ref="S413:Y413" si="259">S417+S414</f>
        <v>183000</v>
      </c>
      <c r="T413" s="20">
        <f t="shared" si="259"/>
        <v>177000</v>
      </c>
      <c r="U413" s="20">
        <f t="shared" si="259"/>
        <v>187000</v>
      </c>
      <c r="V413" s="55">
        <f t="shared" si="259"/>
        <v>183000</v>
      </c>
      <c r="W413" s="20">
        <f t="shared" si="259"/>
        <v>181000</v>
      </c>
      <c r="X413" s="20">
        <f t="shared" si="259"/>
        <v>184000</v>
      </c>
      <c r="Y413" s="20">
        <f t="shared" si="259"/>
        <v>201000</v>
      </c>
      <c r="Z413" s="162" t="b">
        <f t="shared" si="256"/>
        <v>1</v>
      </c>
      <c r="AA413" s="162" t="str">
        <f t="shared" si="257"/>
        <v>PRAZNO</v>
      </c>
      <c r="AB413" s="173"/>
      <c r="AC413" s="164"/>
    </row>
    <row r="414" spans="1:29" ht="33.75" hidden="1" customHeight="1" x14ac:dyDescent="0.2">
      <c r="B414" s="177"/>
      <c r="C414" s="177">
        <v>41</v>
      </c>
      <c r="D414" s="177"/>
      <c r="E414" s="177"/>
      <c r="F414" s="177"/>
      <c r="G414" s="177"/>
      <c r="H414" s="16" t="s">
        <v>753</v>
      </c>
      <c r="I414" s="18"/>
      <c r="J414" s="18">
        <f>J415</f>
        <v>0</v>
      </c>
      <c r="K414" s="18"/>
      <c r="L414" s="18"/>
      <c r="M414" s="18"/>
      <c r="N414" s="18"/>
      <c r="O414" s="18">
        <f t="shared" ref="O414:Q415" si="260">O415</f>
        <v>0</v>
      </c>
      <c r="P414" s="18">
        <f t="shared" si="260"/>
        <v>20000</v>
      </c>
      <c r="Q414" s="18">
        <f t="shared" si="260"/>
        <v>5192.4799999999996</v>
      </c>
      <c r="R414" s="26">
        <f t="shared" si="258"/>
        <v>0</v>
      </c>
      <c r="S414" s="18">
        <f t="shared" ref="S414:Y415" si="261">S415</f>
        <v>20000</v>
      </c>
      <c r="T414" s="18">
        <f t="shared" si="261"/>
        <v>0</v>
      </c>
      <c r="U414" s="18">
        <f t="shared" si="261"/>
        <v>0</v>
      </c>
      <c r="V414" s="27">
        <f t="shared" si="261"/>
        <v>20000</v>
      </c>
      <c r="W414" s="18">
        <f t="shared" si="261"/>
        <v>0</v>
      </c>
      <c r="X414" s="18">
        <f t="shared" si="261"/>
        <v>0</v>
      </c>
      <c r="Y414" s="18">
        <f t="shared" si="261"/>
        <v>0</v>
      </c>
      <c r="Z414" s="162" t="b">
        <f t="shared" si="256"/>
        <v>1</v>
      </c>
      <c r="AA414" s="162" t="str">
        <f t="shared" si="257"/>
        <v>PRAZNO</v>
      </c>
      <c r="AC414" s="164"/>
    </row>
    <row r="415" spans="1:29" ht="15.75" hidden="1" x14ac:dyDescent="0.2">
      <c r="B415" s="177"/>
      <c r="C415" s="177"/>
      <c r="D415" s="177">
        <v>412</v>
      </c>
      <c r="E415" s="177"/>
      <c r="F415" s="177"/>
      <c r="G415" s="177"/>
      <c r="H415" s="16" t="s">
        <v>553</v>
      </c>
      <c r="I415" s="18"/>
      <c r="J415" s="18">
        <f>J416</f>
        <v>0</v>
      </c>
      <c r="K415" s="18"/>
      <c r="L415" s="18"/>
      <c r="M415" s="18"/>
      <c r="N415" s="18"/>
      <c r="O415" s="18">
        <f t="shared" si="260"/>
        <v>0</v>
      </c>
      <c r="P415" s="18">
        <f t="shared" si="260"/>
        <v>20000</v>
      </c>
      <c r="Q415" s="18">
        <f t="shared" si="260"/>
        <v>5192.4799999999996</v>
      </c>
      <c r="R415" s="26">
        <f t="shared" si="258"/>
        <v>0</v>
      </c>
      <c r="S415" s="18">
        <f t="shared" si="261"/>
        <v>20000</v>
      </c>
      <c r="T415" s="18">
        <f t="shared" si="261"/>
        <v>0</v>
      </c>
      <c r="U415" s="18">
        <f t="shared" si="261"/>
        <v>0</v>
      </c>
      <c r="V415" s="27">
        <f t="shared" si="261"/>
        <v>20000</v>
      </c>
      <c r="W415" s="18">
        <f t="shared" si="261"/>
        <v>0</v>
      </c>
      <c r="X415" s="18">
        <f t="shared" si="261"/>
        <v>0</v>
      </c>
      <c r="Y415" s="18">
        <f t="shared" si="261"/>
        <v>0</v>
      </c>
      <c r="Z415" s="162" t="b">
        <f t="shared" si="256"/>
        <v>1</v>
      </c>
      <c r="AA415" s="162" t="str">
        <f t="shared" si="257"/>
        <v>PRAZNO</v>
      </c>
      <c r="AC415" s="164"/>
    </row>
    <row r="416" spans="1:29" ht="15.75" hidden="1" x14ac:dyDescent="0.2">
      <c r="B416" s="177"/>
      <c r="C416" s="177"/>
      <c r="D416" s="177"/>
      <c r="E416" s="177">
        <v>4123</v>
      </c>
      <c r="F416" s="176">
        <v>54</v>
      </c>
      <c r="G416" s="176"/>
      <c r="H416" s="16" t="s">
        <v>554</v>
      </c>
      <c r="I416" s="18"/>
      <c r="J416" s="27"/>
      <c r="K416" s="18"/>
      <c r="L416" s="18"/>
      <c r="M416" s="18"/>
      <c r="N416" s="18"/>
      <c r="O416" s="18"/>
      <c r="P416" s="18">
        <v>20000</v>
      </c>
      <c r="Q416" s="18">
        <v>5192.4799999999996</v>
      </c>
      <c r="R416" s="26">
        <f t="shared" si="258"/>
        <v>0</v>
      </c>
      <c r="S416" s="18">
        <v>20000</v>
      </c>
      <c r="T416" s="18"/>
      <c r="U416" s="18"/>
      <c r="V416" s="27">
        <v>20000</v>
      </c>
      <c r="W416" s="18">
        <v>0</v>
      </c>
      <c r="X416" s="18">
        <v>0</v>
      </c>
      <c r="Y416" s="18">
        <v>0</v>
      </c>
      <c r="Z416" s="162" t="b">
        <f t="shared" si="256"/>
        <v>0</v>
      </c>
      <c r="AA416" s="162" t="str">
        <f t="shared" si="257"/>
        <v>PUNO</v>
      </c>
      <c r="AC416" s="164"/>
    </row>
    <row r="417" spans="1:29" ht="15.75" x14ac:dyDescent="0.2">
      <c r="B417" s="177"/>
      <c r="C417" s="177">
        <v>42</v>
      </c>
      <c r="D417" s="177"/>
      <c r="E417" s="177"/>
      <c r="F417" s="177"/>
      <c r="G417" s="177"/>
      <c r="H417" s="16" t="s">
        <v>212</v>
      </c>
      <c r="I417" s="18">
        <f>I418</f>
        <v>178040.03</v>
      </c>
      <c r="J417" s="27">
        <f>J418</f>
        <v>299840</v>
      </c>
      <c r="K417" s="18">
        <f>K418</f>
        <v>190000</v>
      </c>
      <c r="L417" s="18">
        <f>L418</f>
        <v>120204.8</v>
      </c>
      <c r="M417" s="18">
        <f t="shared" ref="M417:M423" si="262">ROUND(L417/K417*100,2)</f>
        <v>63.27</v>
      </c>
      <c r="N417" s="18">
        <f t="shared" ref="N417:N423" si="263">O417-K417</f>
        <v>0</v>
      </c>
      <c r="O417" s="18">
        <f>O418</f>
        <v>190000</v>
      </c>
      <c r="P417" s="18">
        <f>P418</f>
        <v>163000</v>
      </c>
      <c r="Q417" s="18">
        <f>Q418</f>
        <v>25914.799999999999</v>
      </c>
      <c r="R417" s="26">
        <f t="shared" si="258"/>
        <v>0</v>
      </c>
      <c r="S417" s="18">
        <f t="shared" ref="S417:Y417" si="264">S418</f>
        <v>163000</v>
      </c>
      <c r="T417" s="18">
        <f t="shared" si="264"/>
        <v>177000</v>
      </c>
      <c r="U417" s="18">
        <f t="shared" si="264"/>
        <v>187000</v>
      </c>
      <c r="V417" s="27">
        <f t="shared" si="264"/>
        <v>163000</v>
      </c>
      <c r="W417" s="18">
        <f t="shared" si="264"/>
        <v>181000</v>
      </c>
      <c r="X417" s="18">
        <f t="shared" si="264"/>
        <v>184000</v>
      </c>
      <c r="Y417" s="18">
        <f t="shared" si="264"/>
        <v>201000</v>
      </c>
      <c r="Z417" s="162" t="b">
        <f t="shared" si="256"/>
        <v>1</v>
      </c>
      <c r="AA417" s="162" t="str">
        <f t="shared" si="257"/>
        <v>PRAZNO</v>
      </c>
      <c r="AC417" s="164"/>
    </row>
    <row r="418" spans="1:29" ht="15.75" x14ac:dyDescent="0.2">
      <c r="B418" s="177"/>
      <c r="C418" s="177"/>
      <c r="D418" s="177">
        <v>422</v>
      </c>
      <c r="E418" s="177"/>
      <c r="F418" s="177"/>
      <c r="G418" s="177"/>
      <c r="H418" s="16" t="s">
        <v>555</v>
      </c>
      <c r="I418" s="18">
        <f>SUM(I419:I423)</f>
        <v>178040.03</v>
      </c>
      <c r="J418" s="27">
        <f>SUM(J419:J423)</f>
        <v>299840</v>
      </c>
      <c r="K418" s="18">
        <f>SUM(K419:K423)</f>
        <v>190000</v>
      </c>
      <c r="L418" s="18">
        <f>SUM(L419:L423)</f>
        <v>120204.8</v>
      </c>
      <c r="M418" s="18">
        <f t="shared" si="262"/>
        <v>63.27</v>
      </c>
      <c r="N418" s="18">
        <f t="shared" si="263"/>
        <v>0</v>
      </c>
      <c r="O418" s="18">
        <f>SUM(O419:O423)</f>
        <v>190000</v>
      </c>
      <c r="P418" s="18">
        <f>SUM(P419:P423)</f>
        <v>163000</v>
      </c>
      <c r="Q418" s="18">
        <f>SUM(Q419:Q423)</f>
        <v>25914.799999999999</v>
      </c>
      <c r="R418" s="26">
        <f t="shared" si="258"/>
        <v>0</v>
      </c>
      <c r="S418" s="18">
        <f t="shared" ref="S418:Y418" si="265">SUM(S419:S423)</f>
        <v>163000</v>
      </c>
      <c r="T418" s="18">
        <f t="shared" si="265"/>
        <v>177000</v>
      </c>
      <c r="U418" s="18">
        <f t="shared" si="265"/>
        <v>187000</v>
      </c>
      <c r="V418" s="27">
        <f t="shared" si="265"/>
        <v>163000</v>
      </c>
      <c r="W418" s="27">
        <f t="shared" si="265"/>
        <v>181000</v>
      </c>
      <c r="X418" s="27">
        <f t="shared" si="265"/>
        <v>184000</v>
      </c>
      <c r="Y418" s="27">
        <f t="shared" si="265"/>
        <v>201000</v>
      </c>
      <c r="Z418" s="162" t="b">
        <f t="shared" si="256"/>
        <v>1</v>
      </c>
      <c r="AA418" s="162" t="str">
        <f t="shared" si="257"/>
        <v>PRAZNO</v>
      </c>
      <c r="AC418" s="164"/>
    </row>
    <row r="419" spans="1:29" ht="15.75" x14ac:dyDescent="0.2">
      <c r="B419" s="177"/>
      <c r="C419" s="177"/>
      <c r="D419" s="177"/>
      <c r="E419" s="177">
        <v>4221</v>
      </c>
      <c r="F419" s="176">
        <v>54</v>
      </c>
      <c r="G419" s="176"/>
      <c r="H419" s="16" t="s">
        <v>558</v>
      </c>
      <c r="I419" s="18">
        <v>0</v>
      </c>
      <c r="J419" s="27">
        <v>48840</v>
      </c>
      <c r="K419" s="18">
        <v>20000</v>
      </c>
      <c r="L419" s="18">
        <v>12412.44</v>
      </c>
      <c r="M419" s="18">
        <f t="shared" si="262"/>
        <v>62.06</v>
      </c>
      <c r="N419" s="18">
        <f t="shared" si="263"/>
        <v>-7587.5599999999995</v>
      </c>
      <c r="O419" s="18">
        <v>12412.44</v>
      </c>
      <c r="P419" s="18">
        <v>20000</v>
      </c>
      <c r="Q419" s="18">
        <v>14644.55</v>
      </c>
      <c r="R419" s="26">
        <f t="shared" si="258"/>
        <v>0</v>
      </c>
      <c r="S419" s="18">
        <v>20000</v>
      </c>
      <c r="T419" s="18">
        <v>20000</v>
      </c>
      <c r="U419" s="18">
        <v>25000</v>
      </c>
      <c r="V419" s="27">
        <v>20000</v>
      </c>
      <c r="W419" s="18">
        <v>25000</v>
      </c>
      <c r="X419" s="18">
        <v>25000</v>
      </c>
      <c r="Y419" s="18">
        <v>25000</v>
      </c>
      <c r="Z419" s="162" t="b">
        <f t="shared" si="256"/>
        <v>0</v>
      </c>
      <c r="AA419" s="162" t="str">
        <f t="shared" si="257"/>
        <v>PUNO</v>
      </c>
      <c r="AC419" s="164"/>
    </row>
    <row r="420" spans="1:29" ht="15.75" x14ac:dyDescent="0.2">
      <c r="B420" s="177"/>
      <c r="C420" s="177"/>
      <c r="D420" s="177"/>
      <c r="E420" s="177">
        <v>4222</v>
      </c>
      <c r="F420" s="176">
        <v>54</v>
      </c>
      <c r="G420" s="176"/>
      <c r="H420" s="16" t="s">
        <v>559</v>
      </c>
      <c r="I420" s="18">
        <v>9796.6</v>
      </c>
      <c r="J420" s="27">
        <v>0</v>
      </c>
      <c r="K420" s="18">
        <v>8000</v>
      </c>
      <c r="L420" s="18">
        <v>8000</v>
      </c>
      <c r="M420" s="18">
        <f t="shared" si="262"/>
        <v>100</v>
      </c>
      <c r="N420" s="18">
        <f t="shared" si="263"/>
        <v>0</v>
      </c>
      <c r="O420" s="18">
        <v>8000</v>
      </c>
      <c r="P420" s="18">
        <v>0</v>
      </c>
      <c r="Q420" s="18">
        <v>0</v>
      </c>
      <c r="R420" s="26">
        <f t="shared" si="258"/>
        <v>0</v>
      </c>
      <c r="S420" s="18">
        <v>0</v>
      </c>
      <c r="T420" s="18">
        <v>30000</v>
      </c>
      <c r="U420" s="18">
        <v>4000</v>
      </c>
      <c r="V420" s="27">
        <v>0</v>
      </c>
      <c r="W420" s="18">
        <v>15000</v>
      </c>
      <c r="X420" s="18">
        <v>15000</v>
      </c>
      <c r="Y420" s="18">
        <v>10000</v>
      </c>
      <c r="Z420" s="162" t="b">
        <f t="shared" si="256"/>
        <v>0</v>
      </c>
      <c r="AA420" s="162" t="str">
        <f t="shared" si="257"/>
        <v>PUNO</v>
      </c>
      <c r="AC420" s="164"/>
    </row>
    <row r="421" spans="1:29" ht="15.75" x14ac:dyDescent="0.2">
      <c r="B421" s="177"/>
      <c r="C421" s="177"/>
      <c r="D421" s="177"/>
      <c r="E421" s="177">
        <v>4223</v>
      </c>
      <c r="F421" s="176">
        <v>54</v>
      </c>
      <c r="G421" s="176"/>
      <c r="H421" s="16" t="s">
        <v>628</v>
      </c>
      <c r="I421" s="18">
        <v>42815.9</v>
      </c>
      <c r="J421" s="27">
        <v>70000</v>
      </c>
      <c r="K421" s="18">
        <v>7000</v>
      </c>
      <c r="L421" s="18">
        <v>4243.5</v>
      </c>
      <c r="M421" s="18">
        <f t="shared" si="262"/>
        <v>60.62</v>
      </c>
      <c r="N421" s="18">
        <f t="shared" si="263"/>
        <v>9286.51</v>
      </c>
      <c r="O421" s="18">
        <v>16286.51</v>
      </c>
      <c r="P421" s="18">
        <v>20000</v>
      </c>
      <c r="Q421" s="18">
        <v>11270.25</v>
      </c>
      <c r="R421" s="26">
        <f t="shared" si="258"/>
        <v>0</v>
      </c>
      <c r="S421" s="18">
        <v>20000</v>
      </c>
      <c r="T421" s="18">
        <v>5000</v>
      </c>
      <c r="U421" s="18">
        <v>5000</v>
      </c>
      <c r="V421" s="27">
        <v>20000</v>
      </c>
      <c r="W421" s="18">
        <v>15000</v>
      </c>
      <c r="X421" s="18">
        <v>15000</v>
      </c>
      <c r="Y421" s="18">
        <v>15000</v>
      </c>
      <c r="Z421" s="162" t="b">
        <f t="shared" si="256"/>
        <v>0</v>
      </c>
      <c r="AA421" s="162" t="str">
        <f t="shared" si="257"/>
        <v>PUNO</v>
      </c>
      <c r="AC421" s="164"/>
    </row>
    <row r="422" spans="1:29" ht="15.75" x14ac:dyDescent="0.2">
      <c r="B422" s="177"/>
      <c r="C422" s="177"/>
      <c r="D422" s="177"/>
      <c r="E422" s="177">
        <v>4224</v>
      </c>
      <c r="F422" s="176">
        <v>54</v>
      </c>
      <c r="G422" s="176"/>
      <c r="H422" s="16" t="s">
        <v>638</v>
      </c>
      <c r="I422" s="18">
        <v>0</v>
      </c>
      <c r="J422" s="27">
        <v>0</v>
      </c>
      <c r="K422" s="18">
        <v>12000</v>
      </c>
      <c r="L422" s="18">
        <v>10934.7</v>
      </c>
      <c r="M422" s="18">
        <f t="shared" si="262"/>
        <v>91.12</v>
      </c>
      <c r="N422" s="18">
        <f t="shared" si="263"/>
        <v>-1065.2999999999993</v>
      </c>
      <c r="O422" s="18">
        <v>10934.7</v>
      </c>
      <c r="P422" s="18">
        <v>0</v>
      </c>
      <c r="Q422" s="18">
        <v>0</v>
      </c>
      <c r="R422" s="26">
        <f t="shared" si="258"/>
        <v>0</v>
      </c>
      <c r="S422" s="18">
        <v>0</v>
      </c>
      <c r="T422" s="18">
        <v>9000</v>
      </c>
      <c r="U422" s="18">
        <v>9000</v>
      </c>
      <c r="V422" s="27">
        <v>0</v>
      </c>
      <c r="W422" s="18">
        <v>10000</v>
      </c>
      <c r="X422" s="18">
        <v>10000</v>
      </c>
      <c r="Y422" s="18">
        <v>15000</v>
      </c>
      <c r="Z422" s="162" t="b">
        <f t="shared" si="256"/>
        <v>0</v>
      </c>
      <c r="AA422" s="162" t="str">
        <f t="shared" si="257"/>
        <v>PUNO</v>
      </c>
      <c r="AC422" s="164"/>
    </row>
    <row r="423" spans="1:29" ht="15.75" x14ac:dyDescent="0.2">
      <c r="B423" s="177"/>
      <c r="C423" s="177"/>
      <c r="D423" s="177"/>
      <c r="E423" s="177">
        <v>4227</v>
      </c>
      <c r="F423" s="176">
        <v>54</v>
      </c>
      <c r="G423" s="176"/>
      <c r="H423" s="16" t="s">
        <v>413</v>
      </c>
      <c r="I423" s="18">
        <v>125427.53</v>
      </c>
      <c r="J423" s="27">
        <v>181000</v>
      </c>
      <c r="K423" s="18">
        <v>143000</v>
      </c>
      <c r="L423" s="18">
        <v>84614.16</v>
      </c>
      <c r="M423" s="18">
        <f t="shared" si="262"/>
        <v>59.17</v>
      </c>
      <c r="N423" s="18">
        <f t="shared" si="263"/>
        <v>-633.64999999999418</v>
      </c>
      <c r="O423" s="18">
        <v>142366.35</v>
      </c>
      <c r="P423" s="18">
        <v>123000</v>
      </c>
      <c r="Q423" s="18">
        <v>0</v>
      </c>
      <c r="R423" s="26">
        <f t="shared" si="258"/>
        <v>0</v>
      </c>
      <c r="S423" s="18">
        <v>123000</v>
      </c>
      <c r="T423" s="18">
        <v>113000</v>
      </c>
      <c r="U423" s="18">
        <v>144000</v>
      </c>
      <c r="V423" s="27">
        <v>123000</v>
      </c>
      <c r="W423" s="18">
        <v>116000</v>
      </c>
      <c r="X423" s="18">
        <v>119000</v>
      </c>
      <c r="Y423" s="18">
        <v>136000</v>
      </c>
      <c r="Z423" s="162" t="b">
        <f t="shared" si="256"/>
        <v>0</v>
      </c>
      <c r="AA423" s="162" t="str">
        <f t="shared" si="257"/>
        <v>PUNO</v>
      </c>
      <c r="AC423" s="164"/>
    </row>
    <row r="424" spans="1:29" s="174" customFormat="1" ht="15.75" hidden="1" x14ac:dyDescent="0.2">
      <c r="A424" s="259"/>
      <c r="B424" s="172">
        <v>4</v>
      </c>
      <c r="C424" s="172"/>
      <c r="D424" s="172"/>
      <c r="E424" s="172"/>
      <c r="F424" s="172"/>
      <c r="G424" s="172"/>
      <c r="H424" s="14" t="s">
        <v>552</v>
      </c>
      <c r="I424" s="20">
        <f t="shared" ref="I424:L426" si="266">I425</f>
        <v>0</v>
      </c>
      <c r="J424" s="55">
        <f t="shared" si="266"/>
        <v>20000</v>
      </c>
      <c r="K424" s="20">
        <f t="shared" si="266"/>
        <v>20000</v>
      </c>
      <c r="L424" s="20">
        <f t="shared" si="266"/>
        <v>0</v>
      </c>
      <c r="M424" s="20">
        <f t="shared" ref="M424:M431" si="267">ROUND(L424/K424*100,2)</f>
        <v>0</v>
      </c>
      <c r="N424" s="20">
        <f t="shared" ref="N424:N429" si="268">O424-K424</f>
        <v>-20000</v>
      </c>
      <c r="O424" s="20">
        <f t="shared" ref="O424:Q426" si="269">O425</f>
        <v>0</v>
      </c>
      <c r="P424" s="20">
        <f t="shared" si="269"/>
        <v>0</v>
      </c>
      <c r="Q424" s="20">
        <f t="shared" si="269"/>
        <v>0</v>
      </c>
      <c r="R424" s="55">
        <f t="shared" ref="R424:R429" si="270">V424-P424</f>
        <v>0</v>
      </c>
      <c r="S424" s="20">
        <f t="shared" ref="S424:Y426" si="271">S425</f>
        <v>0</v>
      </c>
      <c r="T424" s="20">
        <f t="shared" si="271"/>
        <v>0</v>
      </c>
      <c r="U424" s="20">
        <f t="shared" si="271"/>
        <v>0</v>
      </c>
      <c r="V424" s="55">
        <f t="shared" si="271"/>
        <v>0</v>
      </c>
      <c r="W424" s="20">
        <f t="shared" si="271"/>
        <v>0</v>
      </c>
      <c r="X424" s="20">
        <f t="shared" si="271"/>
        <v>0</v>
      </c>
      <c r="Y424" s="20">
        <f t="shared" si="271"/>
        <v>0</v>
      </c>
      <c r="Z424" s="162" t="b">
        <f t="shared" ref="Z424:Z431" si="272">ISBLANK(E424)</f>
        <v>1</v>
      </c>
      <c r="AA424" s="162" t="str">
        <f t="shared" ref="AA424:AA431" si="273">IF(Z424,"PRAZNO","PUNO")</f>
        <v>PRAZNO</v>
      </c>
      <c r="AB424" s="173"/>
      <c r="AC424" s="164"/>
    </row>
    <row r="425" spans="1:29" ht="27" hidden="1" customHeight="1" x14ac:dyDescent="0.2">
      <c r="B425" s="212"/>
      <c r="C425" s="212">
        <v>45</v>
      </c>
      <c r="D425" s="212"/>
      <c r="E425" s="212"/>
      <c r="F425" s="212"/>
      <c r="G425" s="212"/>
      <c r="H425" s="23" t="s">
        <v>808</v>
      </c>
      <c r="I425" s="203">
        <f t="shared" si="266"/>
        <v>0</v>
      </c>
      <c r="J425" s="204">
        <f t="shared" si="266"/>
        <v>20000</v>
      </c>
      <c r="K425" s="203">
        <f t="shared" si="266"/>
        <v>20000</v>
      </c>
      <c r="L425" s="203">
        <f t="shared" si="266"/>
        <v>0</v>
      </c>
      <c r="M425" s="203">
        <f t="shared" si="267"/>
        <v>0</v>
      </c>
      <c r="N425" s="203">
        <f t="shared" si="268"/>
        <v>-20000</v>
      </c>
      <c r="O425" s="203">
        <f t="shared" si="269"/>
        <v>0</v>
      </c>
      <c r="P425" s="203">
        <f t="shared" si="269"/>
        <v>0</v>
      </c>
      <c r="Q425" s="203">
        <f t="shared" si="269"/>
        <v>0</v>
      </c>
      <c r="R425" s="26">
        <f t="shared" si="270"/>
        <v>0</v>
      </c>
      <c r="S425" s="203">
        <f t="shared" si="271"/>
        <v>0</v>
      </c>
      <c r="T425" s="203">
        <f t="shared" si="271"/>
        <v>0</v>
      </c>
      <c r="U425" s="203">
        <f t="shared" si="271"/>
        <v>0</v>
      </c>
      <c r="V425" s="204">
        <f t="shared" si="271"/>
        <v>0</v>
      </c>
      <c r="W425" s="203">
        <f t="shared" si="271"/>
        <v>0</v>
      </c>
      <c r="X425" s="203">
        <f t="shared" si="271"/>
        <v>0</v>
      </c>
      <c r="Y425" s="203">
        <f t="shared" si="271"/>
        <v>0</v>
      </c>
      <c r="Z425" s="162" t="b">
        <f t="shared" si="272"/>
        <v>1</v>
      </c>
      <c r="AA425" s="162" t="str">
        <f t="shared" si="273"/>
        <v>PRAZNO</v>
      </c>
      <c r="AC425" s="164"/>
    </row>
    <row r="426" spans="1:29" ht="15.75" hidden="1" x14ac:dyDescent="0.2">
      <c r="B426" s="212"/>
      <c r="C426" s="212"/>
      <c r="D426" s="212">
        <v>451</v>
      </c>
      <c r="E426" s="212"/>
      <c r="F426" s="212"/>
      <c r="G426" s="212"/>
      <c r="H426" s="23" t="s">
        <v>809</v>
      </c>
      <c r="I426" s="203">
        <f t="shared" si="266"/>
        <v>0</v>
      </c>
      <c r="J426" s="204">
        <f t="shared" si="266"/>
        <v>20000</v>
      </c>
      <c r="K426" s="203">
        <f t="shared" si="266"/>
        <v>20000</v>
      </c>
      <c r="L426" s="203">
        <f t="shared" si="266"/>
        <v>0</v>
      </c>
      <c r="M426" s="203">
        <f t="shared" si="267"/>
        <v>0</v>
      </c>
      <c r="N426" s="203">
        <f t="shared" si="268"/>
        <v>-20000</v>
      </c>
      <c r="O426" s="203">
        <f t="shared" si="269"/>
        <v>0</v>
      </c>
      <c r="P426" s="203">
        <f t="shared" si="269"/>
        <v>0</v>
      </c>
      <c r="Q426" s="203">
        <f t="shared" si="269"/>
        <v>0</v>
      </c>
      <c r="R426" s="26">
        <f t="shared" si="270"/>
        <v>0</v>
      </c>
      <c r="S426" s="203">
        <f t="shared" si="271"/>
        <v>0</v>
      </c>
      <c r="T426" s="203">
        <f t="shared" si="271"/>
        <v>0</v>
      </c>
      <c r="U426" s="203">
        <f t="shared" si="271"/>
        <v>0</v>
      </c>
      <c r="V426" s="204">
        <f t="shared" si="271"/>
        <v>0</v>
      </c>
      <c r="W426" s="203">
        <f t="shared" si="271"/>
        <v>0</v>
      </c>
      <c r="X426" s="203">
        <f t="shared" si="271"/>
        <v>0</v>
      </c>
      <c r="Y426" s="203">
        <f t="shared" si="271"/>
        <v>0</v>
      </c>
      <c r="Z426" s="162" t="b">
        <f t="shared" si="272"/>
        <v>1</v>
      </c>
      <c r="AA426" s="162" t="str">
        <f t="shared" si="273"/>
        <v>PRAZNO</v>
      </c>
      <c r="AC426" s="164"/>
    </row>
    <row r="427" spans="1:29" ht="22.5" hidden="1" customHeight="1" x14ac:dyDescent="0.2">
      <c r="B427" s="212"/>
      <c r="C427" s="212"/>
      <c r="D427" s="212"/>
      <c r="E427" s="212">
        <v>4511</v>
      </c>
      <c r="F427" s="176">
        <v>11</v>
      </c>
      <c r="G427" s="176"/>
      <c r="H427" s="23" t="s">
        <v>809</v>
      </c>
      <c r="I427" s="203">
        <v>0</v>
      </c>
      <c r="J427" s="204">
        <v>20000</v>
      </c>
      <c r="K427" s="203">
        <v>20000</v>
      </c>
      <c r="L427" s="203">
        <v>0</v>
      </c>
      <c r="M427" s="203">
        <f t="shared" si="267"/>
        <v>0</v>
      </c>
      <c r="N427" s="203">
        <f t="shared" si="268"/>
        <v>-20000</v>
      </c>
      <c r="O427" s="203"/>
      <c r="P427" s="203">
        <v>0</v>
      </c>
      <c r="Q427" s="203"/>
      <c r="R427" s="26">
        <f t="shared" si="270"/>
        <v>0</v>
      </c>
      <c r="S427" s="203">
        <v>0</v>
      </c>
      <c r="T427" s="203">
        <v>0</v>
      </c>
      <c r="U427" s="203">
        <v>0</v>
      </c>
      <c r="V427" s="204"/>
      <c r="W427" s="203"/>
      <c r="X427" s="203"/>
      <c r="Y427" s="203"/>
      <c r="Z427" s="162" t="b">
        <f t="shared" si="272"/>
        <v>0</v>
      </c>
      <c r="AA427" s="162" t="str">
        <f t="shared" si="273"/>
        <v>PUNO</v>
      </c>
      <c r="AC427" s="164"/>
    </row>
    <row r="428" spans="1:29" s="164" customFormat="1" ht="31.5" x14ac:dyDescent="0.2">
      <c r="A428" s="259"/>
      <c r="B428" s="194"/>
      <c r="C428" s="194"/>
      <c r="D428" s="194"/>
      <c r="E428" s="194"/>
      <c r="F428" s="159"/>
      <c r="G428" s="159"/>
      <c r="H428" s="24" t="s">
        <v>652</v>
      </c>
      <c r="I428" s="195" t="e">
        <f>I429+I438+I699+#REF!+I858+#REF!+#REF!</f>
        <v>#REF!</v>
      </c>
      <c r="J428" s="330" t="e">
        <f>J429+J438+J699+#REF!+J858+#REF!+#REF!</f>
        <v>#REF!</v>
      </c>
      <c r="K428" s="196" t="e">
        <f>K429+K438+K699+#REF!+K858+#REF!+#REF!</f>
        <v>#REF!</v>
      </c>
      <c r="L428" s="196" t="e">
        <f>L429+L438+L699+#REF!+L858+#REF!+#REF!</f>
        <v>#REF!</v>
      </c>
      <c r="M428" s="196" t="e">
        <f t="shared" si="267"/>
        <v>#REF!</v>
      </c>
      <c r="N428" s="196" t="e">
        <f t="shared" si="268"/>
        <v>#REF!</v>
      </c>
      <c r="O428" s="195" t="e">
        <f>O429+O438+O699+#REF!+O858+#REF!+#REF!</f>
        <v>#REF!</v>
      </c>
      <c r="P428" s="195" t="e">
        <f>P429+P438+P699+#REF!+P858+#REF!+#REF!</f>
        <v>#REF!</v>
      </c>
      <c r="Q428" s="195" t="e">
        <f>Q429+Q438+Q699+#REF!+Q858+#REF!+#REF!</f>
        <v>#REF!</v>
      </c>
      <c r="R428" s="351" t="e">
        <f t="shared" si="270"/>
        <v>#REF!</v>
      </c>
      <c r="S428" s="195" t="e">
        <f>S429+S438+S699+#REF!+S858+#REF!+#REF!</f>
        <v>#REF!</v>
      </c>
      <c r="T428" s="195" t="e">
        <f>T429+T438+T699+#REF!+T858+#REF!+#REF!</f>
        <v>#REF!</v>
      </c>
      <c r="U428" s="195" t="e">
        <f>U429+U438+U699+#REF!+U858+#REF!+#REF!</f>
        <v>#REF!</v>
      </c>
      <c r="V428" s="197" t="e">
        <f>V429+V438+V699+#REF!+V858+#REF!+#REF!</f>
        <v>#REF!</v>
      </c>
      <c r="W428" s="195">
        <f>W429+W438+W699+W858</f>
        <v>21356975</v>
      </c>
      <c r="X428" s="195">
        <f>X429+X438+X699+X858</f>
        <v>11705300</v>
      </c>
      <c r="Y428" s="195">
        <f>Y429+Y438+Y699+Y858</f>
        <v>10491000</v>
      </c>
      <c r="Z428" s="162" t="b">
        <f t="shared" si="272"/>
        <v>1</v>
      </c>
      <c r="AA428" s="162" t="str">
        <f t="shared" si="273"/>
        <v>PRAZNO</v>
      </c>
      <c r="AB428" s="163"/>
    </row>
    <row r="429" spans="1:29" s="164" customFormat="1" ht="31.5" x14ac:dyDescent="0.2">
      <c r="A429" s="259"/>
      <c r="B429" s="194"/>
      <c r="C429" s="194"/>
      <c r="D429" s="194"/>
      <c r="E429" s="194"/>
      <c r="F429" s="159"/>
      <c r="G429" s="159"/>
      <c r="H429" s="24" t="s">
        <v>653</v>
      </c>
      <c r="I429" s="195" t="e">
        <f>I431</f>
        <v>#REF!</v>
      </c>
      <c r="J429" s="330" t="e">
        <f>J431</f>
        <v>#REF!</v>
      </c>
      <c r="K429" s="196" t="e">
        <f>K431</f>
        <v>#REF!</v>
      </c>
      <c r="L429" s="196" t="e">
        <f>L431</f>
        <v>#REF!</v>
      </c>
      <c r="M429" s="196" t="e">
        <f t="shared" si="267"/>
        <v>#REF!</v>
      </c>
      <c r="N429" s="196" t="e">
        <f t="shared" si="268"/>
        <v>#REF!</v>
      </c>
      <c r="O429" s="195" t="e">
        <f>O431</f>
        <v>#REF!</v>
      </c>
      <c r="P429" s="195" t="e">
        <f>P431</f>
        <v>#REF!</v>
      </c>
      <c r="Q429" s="195" t="e">
        <f>Q431</f>
        <v>#REF!</v>
      </c>
      <c r="R429" s="351" t="e">
        <f t="shared" si="270"/>
        <v>#REF!</v>
      </c>
      <c r="S429" s="195" t="e">
        <f t="shared" ref="S429:Y429" si="274">S431</f>
        <v>#REF!</v>
      </c>
      <c r="T429" s="195" t="e">
        <f t="shared" si="274"/>
        <v>#REF!</v>
      </c>
      <c r="U429" s="195" t="e">
        <f t="shared" si="274"/>
        <v>#REF!</v>
      </c>
      <c r="V429" s="197" t="e">
        <f t="shared" si="274"/>
        <v>#REF!</v>
      </c>
      <c r="W429" s="195">
        <f t="shared" si="274"/>
        <v>5000</v>
      </c>
      <c r="X429" s="195">
        <f t="shared" si="274"/>
        <v>5000</v>
      </c>
      <c r="Y429" s="195">
        <f t="shared" si="274"/>
        <v>6000</v>
      </c>
      <c r="Z429" s="162" t="b">
        <f t="shared" si="272"/>
        <v>1</v>
      </c>
      <c r="AA429" s="162" t="str">
        <f t="shared" si="273"/>
        <v>PRAZNO</v>
      </c>
      <c r="AB429" s="165"/>
    </row>
    <row r="430" spans="1:29" s="164" customFormat="1" ht="15.75" x14ac:dyDescent="0.2">
      <c r="A430" s="259"/>
      <c r="B430" s="194"/>
      <c r="C430" s="194"/>
      <c r="D430" s="194"/>
      <c r="E430" s="194"/>
      <c r="F430" s="159"/>
      <c r="G430" s="159"/>
      <c r="H430" s="24" t="s">
        <v>654</v>
      </c>
      <c r="I430" s="195"/>
      <c r="J430" s="195"/>
      <c r="K430" s="196"/>
      <c r="L430" s="196"/>
      <c r="M430" s="196" t="e">
        <f t="shared" si="267"/>
        <v>#DIV/0!</v>
      </c>
      <c r="N430" s="196"/>
      <c r="O430" s="195"/>
      <c r="P430" s="195"/>
      <c r="Q430" s="195"/>
      <c r="R430" s="351"/>
      <c r="S430" s="195"/>
      <c r="T430" s="195"/>
      <c r="U430" s="195"/>
      <c r="V430" s="197"/>
      <c r="W430" s="195"/>
      <c r="X430" s="195"/>
      <c r="Y430" s="195"/>
      <c r="Z430" s="162" t="b">
        <f t="shared" si="272"/>
        <v>1</v>
      </c>
      <c r="AA430" s="162" t="str">
        <f t="shared" si="273"/>
        <v>PRAZNO</v>
      </c>
      <c r="AB430" s="165"/>
    </row>
    <row r="431" spans="1:29" s="171" customFormat="1" ht="15.75" x14ac:dyDescent="0.2">
      <c r="A431" s="259"/>
      <c r="B431" s="270"/>
      <c r="C431" s="270"/>
      <c r="D431" s="270"/>
      <c r="E431" s="270"/>
      <c r="F431" s="270"/>
      <c r="G431" s="270"/>
      <c r="H431" s="274" t="s">
        <v>742</v>
      </c>
      <c r="I431" s="272" t="e">
        <f>#REF!+I432</f>
        <v>#REF!</v>
      </c>
      <c r="J431" s="272" t="e">
        <f>#REF!+J432</f>
        <v>#REF!</v>
      </c>
      <c r="K431" s="273" t="e">
        <f>#REF!+K432</f>
        <v>#REF!</v>
      </c>
      <c r="L431" s="273" t="e">
        <f>#REF!+L432</f>
        <v>#REF!</v>
      </c>
      <c r="M431" s="273" t="e">
        <f t="shared" si="267"/>
        <v>#REF!</v>
      </c>
      <c r="N431" s="273" t="e">
        <f>O431-K431</f>
        <v>#REF!</v>
      </c>
      <c r="O431" s="272" t="e">
        <f>#REF!+O432</f>
        <v>#REF!</v>
      </c>
      <c r="P431" s="272" t="e">
        <f>#REF!+P432</f>
        <v>#REF!</v>
      </c>
      <c r="Q431" s="272" t="e">
        <f>#REF!+Q432</f>
        <v>#REF!</v>
      </c>
      <c r="R431" s="336" t="e">
        <f>V431-P431</f>
        <v>#REF!</v>
      </c>
      <c r="S431" s="272" t="e">
        <f>#REF!+S432</f>
        <v>#REF!</v>
      </c>
      <c r="T431" s="272" t="e">
        <f>#REF!+T432</f>
        <v>#REF!</v>
      </c>
      <c r="U431" s="272" t="e">
        <f>#REF!+U432</f>
        <v>#REF!</v>
      </c>
      <c r="V431" s="275" t="e">
        <f>#REF!+V432</f>
        <v>#REF!</v>
      </c>
      <c r="W431" s="272">
        <f>W432</f>
        <v>5000</v>
      </c>
      <c r="X431" s="272">
        <f>X432</f>
        <v>5000</v>
      </c>
      <c r="Y431" s="272">
        <f>Y432</f>
        <v>6000</v>
      </c>
      <c r="Z431" s="162" t="b">
        <f t="shared" si="272"/>
        <v>1</v>
      </c>
      <c r="AA431" s="162" t="str">
        <f t="shared" si="273"/>
        <v>PRAZNO</v>
      </c>
      <c r="AB431" s="170"/>
      <c r="AC431" s="164"/>
    </row>
    <row r="432" spans="1:29" s="171" customFormat="1" ht="31.5" x14ac:dyDescent="0.2">
      <c r="A432" s="259"/>
      <c r="B432" s="168"/>
      <c r="C432" s="168"/>
      <c r="D432" s="168"/>
      <c r="E432" s="168"/>
      <c r="F432" s="168"/>
      <c r="G432" s="168"/>
      <c r="H432" s="12" t="s">
        <v>876</v>
      </c>
      <c r="I432" s="19">
        <f>I434</f>
        <v>21055.41</v>
      </c>
      <c r="J432" s="53">
        <f>J434</f>
        <v>0</v>
      </c>
      <c r="K432" s="169">
        <f>K434</f>
        <v>4000</v>
      </c>
      <c r="L432" s="169">
        <f>L434</f>
        <v>3213.54</v>
      </c>
      <c r="M432" s="169">
        <f>ROUND(L432/K432*100,2)</f>
        <v>80.34</v>
      </c>
      <c r="N432" s="169">
        <f>O432-K432</f>
        <v>-428.46000000000004</v>
      </c>
      <c r="O432" s="19">
        <f>O434</f>
        <v>3571.54</v>
      </c>
      <c r="P432" s="19">
        <f>P434</f>
        <v>12300</v>
      </c>
      <c r="Q432" s="19">
        <f>Q434</f>
        <v>6913.18</v>
      </c>
      <c r="R432" s="303">
        <f>V432-P432</f>
        <v>0</v>
      </c>
      <c r="S432" s="19">
        <f t="shared" ref="S432:Y432" si="275">S434</f>
        <v>12300</v>
      </c>
      <c r="T432" s="19">
        <f t="shared" si="275"/>
        <v>6000</v>
      </c>
      <c r="U432" s="19">
        <f t="shared" si="275"/>
        <v>6000</v>
      </c>
      <c r="V432" s="53">
        <f t="shared" si="275"/>
        <v>12300</v>
      </c>
      <c r="W432" s="19">
        <f t="shared" si="275"/>
        <v>5000</v>
      </c>
      <c r="X432" s="19">
        <f t="shared" si="275"/>
        <v>5000</v>
      </c>
      <c r="Y432" s="19">
        <f t="shared" si="275"/>
        <v>6000</v>
      </c>
      <c r="Z432" s="162" t="b">
        <f t="shared" ref="Z432:Z445" si="276">ISBLANK(E432)</f>
        <v>1</v>
      </c>
      <c r="AA432" s="162" t="str">
        <f t="shared" ref="AA432:AA445" si="277">IF(Z432,"PRAZNO","PUNO")</f>
        <v>PRAZNO</v>
      </c>
      <c r="AB432" s="170"/>
      <c r="AC432" s="164"/>
    </row>
    <row r="433" spans="1:37" s="264" customFormat="1" ht="15.75" x14ac:dyDescent="0.2">
      <c r="A433" s="259"/>
      <c r="B433" s="260"/>
      <c r="C433" s="260"/>
      <c r="D433" s="260"/>
      <c r="E433" s="260"/>
      <c r="F433" s="260"/>
      <c r="G433" s="260"/>
      <c r="H433" s="441" t="s">
        <v>824</v>
      </c>
      <c r="I433" s="262"/>
      <c r="J433" s="342"/>
      <c r="K433" s="181"/>
      <c r="L433" s="181"/>
      <c r="M433" s="181"/>
      <c r="N433" s="181"/>
      <c r="O433" s="262"/>
      <c r="P433" s="262"/>
      <c r="Q433" s="262"/>
      <c r="R433" s="445"/>
      <c r="S433" s="262"/>
      <c r="T433" s="262"/>
      <c r="U433" s="262"/>
      <c r="V433" s="342"/>
      <c r="W433" s="262">
        <f t="shared" ref="W433:Y436" si="278">W434</f>
        <v>5000</v>
      </c>
      <c r="X433" s="262">
        <f t="shared" si="278"/>
        <v>5000</v>
      </c>
      <c r="Y433" s="262">
        <f t="shared" si="278"/>
        <v>6000</v>
      </c>
      <c r="Z433" s="162" t="b">
        <f t="shared" si="276"/>
        <v>1</v>
      </c>
      <c r="AA433" s="162" t="str">
        <f t="shared" si="277"/>
        <v>PRAZNO</v>
      </c>
      <c r="AB433" s="263"/>
    </row>
    <row r="434" spans="1:37" s="174" customFormat="1" ht="15.75" x14ac:dyDescent="0.2">
      <c r="A434" s="259"/>
      <c r="B434" s="172">
        <v>4</v>
      </c>
      <c r="C434" s="172"/>
      <c r="D434" s="172"/>
      <c r="E434" s="172"/>
      <c r="F434" s="172"/>
      <c r="G434" s="172"/>
      <c r="H434" s="14" t="s">
        <v>552</v>
      </c>
      <c r="I434" s="20">
        <f t="shared" ref="I434:L436" si="279">I435</f>
        <v>21055.41</v>
      </c>
      <c r="J434" s="55">
        <f t="shared" si="279"/>
        <v>0</v>
      </c>
      <c r="K434" s="20">
        <f t="shared" si="279"/>
        <v>4000</v>
      </c>
      <c r="L434" s="20">
        <f t="shared" si="279"/>
        <v>3213.54</v>
      </c>
      <c r="M434" s="20">
        <f t="shared" ref="M434:M440" si="280">ROUND(L434/K434*100,2)</f>
        <v>80.34</v>
      </c>
      <c r="N434" s="20">
        <f>O434-K434</f>
        <v>-428.46000000000004</v>
      </c>
      <c r="O434" s="20">
        <f t="shared" ref="O434:Q436" si="281">O435</f>
        <v>3571.54</v>
      </c>
      <c r="P434" s="20">
        <f t="shared" si="281"/>
        <v>12300</v>
      </c>
      <c r="Q434" s="20">
        <f t="shared" si="281"/>
        <v>6913.18</v>
      </c>
      <c r="R434" s="55">
        <f>V434-P434</f>
        <v>0</v>
      </c>
      <c r="S434" s="20">
        <f t="shared" ref="S434:V436" si="282">S435</f>
        <v>12300</v>
      </c>
      <c r="T434" s="20">
        <f t="shared" si="282"/>
        <v>6000</v>
      </c>
      <c r="U434" s="20">
        <f t="shared" si="282"/>
        <v>6000</v>
      </c>
      <c r="V434" s="55">
        <f t="shared" si="282"/>
        <v>12300</v>
      </c>
      <c r="W434" s="20">
        <f t="shared" si="278"/>
        <v>5000</v>
      </c>
      <c r="X434" s="20">
        <f t="shared" si="278"/>
        <v>5000</v>
      </c>
      <c r="Y434" s="20">
        <f t="shared" si="278"/>
        <v>6000</v>
      </c>
      <c r="Z434" s="162" t="b">
        <f t="shared" si="276"/>
        <v>1</v>
      </c>
      <c r="AA434" s="162" t="str">
        <f t="shared" si="277"/>
        <v>PRAZNO</v>
      </c>
      <c r="AB434" s="173"/>
      <c r="AC434" s="164"/>
    </row>
    <row r="435" spans="1:37" ht="15.75" x14ac:dyDescent="0.2">
      <c r="B435" s="177"/>
      <c r="C435" s="177">
        <v>42</v>
      </c>
      <c r="D435" s="177"/>
      <c r="E435" s="177"/>
      <c r="F435" s="177"/>
      <c r="G435" s="177"/>
      <c r="H435" s="29" t="s">
        <v>212</v>
      </c>
      <c r="I435" s="17">
        <f t="shared" si="279"/>
        <v>21055.41</v>
      </c>
      <c r="J435" s="26">
        <f t="shared" si="279"/>
        <v>0</v>
      </c>
      <c r="K435" s="17">
        <f t="shared" si="279"/>
        <v>4000</v>
      </c>
      <c r="L435" s="17">
        <f t="shared" si="279"/>
        <v>3213.54</v>
      </c>
      <c r="M435" s="17">
        <f t="shared" si="280"/>
        <v>80.34</v>
      </c>
      <c r="N435" s="17">
        <f>O435-K435</f>
        <v>-428.46000000000004</v>
      </c>
      <c r="O435" s="17">
        <f t="shared" si="281"/>
        <v>3571.54</v>
      </c>
      <c r="P435" s="17">
        <f t="shared" si="281"/>
        <v>12300</v>
      </c>
      <c r="Q435" s="17">
        <f t="shared" si="281"/>
        <v>6913.18</v>
      </c>
      <c r="R435" s="26">
        <f>V435-P435</f>
        <v>0</v>
      </c>
      <c r="S435" s="17">
        <f t="shared" si="282"/>
        <v>12300</v>
      </c>
      <c r="T435" s="17">
        <f t="shared" si="282"/>
        <v>6000</v>
      </c>
      <c r="U435" s="17">
        <f t="shared" si="282"/>
        <v>6000</v>
      </c>
      <c r="V435" s="26">
        <f t="shared" si="282"/>
        <v>12300</v>
      </c>
      <c r="W435" s="17">
        <f t="shared" si="278"/>
        <v>5000</v>
      </c>
      <c r="X435" s="17">
        <f t="shared" si="278"/>
        <v>5000</v>
      </c>
      <c r="Y435" s="17">
        <f t="shared" si="278"/>
        <v>6000</v>
      </c>
      <c r="Z435" s="162" t="b">
        <f t="shared" si="276"/>
        <v>1</v>
      </c>
      <c r="AA435" s="162" t="str">
        <f t="shared" si="277"/>
        <v>PRAZNO</v>
      </c>
      <c r="AC435" s="164"/>
    </row>
    <row r="436" spans="1:37" ht="15.75" x14ac:dyDescent="0.2">
      <c r="B436" s="177"/>
      <c r="C436" s="177"/>
      <c r="D436" s="177">
        <v>422</v>
      </c>
      <c r="E436" s="177"/>
      <c r="F436" s="177"/>
      <c r="G436" s="177"/>
      <c r="H436" s="29" t="s">
        <v>555</v>
      </c>
      <c r="I436" s="17">
        <f t="shared" si="279"/>
        <v>21055.41</v>
      </c>
      <c r="J436" s="26">
        <f t="shared" si="279"/>
        <v>0</v>
      </c>
      <c r="K436" s="17">
        <f t="shared" si="279"/>
        <v>4000</v>
      </c>
      <c r="L436" s="17">
        <f t="shared" si="279"/>
        <v>3213.54</v>
      </c>
      <c r="M436" s="17">
        <f t="shared" si="280"/>
        <v>80.34</v>
      </c>
      <c r="N436" s="17">
        <f>O436-K436</f>
        <v>-428.46000000000004</v>
      </c>
      <c r="O436" s="17">
        <f t="shared" si="281"/>
        <v>3571.54</v>
      </c>
      <c r="P436" s="17">
        <f t="shared" si="281"/>
        <v>12300</v>
      </c>
      <c r="Q436" s="17">
        <f t="shared" si="281"/>
        <v>6913.18</v>
      </c>
      <c r="R436" s="26">
        <f>V436-P436</f>
        <v>0</v>
      </c>
      <c r="S436" s="17">
        <f t="shared" si="282"/>
        <v>12300</v>
      </c>
      <c r="T436" s="17">
        <f t="shared" si="282"/>
        <v>6000</v>
      </c>
      <c r="U436" s="17">
        <f t="shared" si="282"/>
        <v>6000</v>
      </c>
      <c r="V436" s="26">
        <f t="shared" si="282"/>
        <v>12300</v>
      </c>
      <c r="W436" s="17">
        <f t="shared" si="278"/>
        <v>5000</v>
      </c>
      <c r="X436" s="17">
        <f t="shared" si="278"/>
        <v>5000</v>
      </c>
      <c r="Y436" s="17">
        <f t="shared" si="278"/>
        <v>6000</v>
      </c>
      <c r="Z436" s="162" t="b">
        <f t="shared" si="276"/>
        <v>1</v>
      </c>
      <c r="AA436" s="162" t="str">
        <f t="shared" si="277"/>
        <v>PRAZNO</v>
      </c>
      <c r="AC436" s="164"/>
    </row>
    <row r="437" spans="1:37" ht="15.75" x14ac:dyDescent="0.2">
      <c r="B437" s="177"/>
      <c r="C437" s="177"/>
      <c r="D437" s="177"/>
      <c r="E437" s="177">
        <v>4221</v>
      </c>
      <c r="F437" s="176">
        <v>11</v>
      </c>
      <c r="G437" s="176" t="s">
        <v>1040</v>
      </c>
      <c r="H437" s="29" t="s">
        <v>558</v>
      </c>
      <c r="I437" s="17">
        <v>21055.41</v>
      </c>
      <c r="J437" s="26">
        <v>0</v>
      </c>
      <c r="K437" s="17">
        <v>4000</v>
      </c>
      <c r="L437" s="17">
        <v>3213.54</v>
      </c>
      <c r="M437" s="17">
        <f t="shared" si="280"/>
        <v>80.34</v>
      </c>
      <c r="N437" s="17">
        <f>O437-K437</f>
        <v>-428.46000000000004</v>
      </c>
      <c r="O437" s="17">
        <v>3571.54</v>
      </c>
      <c r="P437" s="17">
        <f>6000+2300+4000</f>
        <v>12300</v>
      </c>
      <c r="Q437" s="17">
        <v>6913.18</v>
      </c>
      <c r="R437" s="26">
        <f>V437-P437</f>
        <v>0</v>
      </c>
      <c r="S437" s="17">
        <f>6000+2300+4000</f>
        <v>12300</v>
      </c>
      <c r="T437" s="17">
        <v>6000</v>
      </c>
      <c r="U437" s="17">
        <v>6000</v>
      </c>
      <c r="V437" s="26">
        <v>12300</v>
      </c>
      <c r="W437" s="26">
        <v>5000</v>
      </c>
      <c r="X437" s="26">
        <v>5000</v>
      </c>
      <c r="Y437" s="26">
        <v>6000</v>
      </c>
      <c r="Z437" s="162" t="b">
        <f t="shared" si="276"/>
        <v>0</v>
      </c>
      <c r="AA437" s="162" t="str">
        <f t="shared" si="277"/>
        <v>PUNO</v>
      </c>
      <c r="AB437" s="208"/>
      <c r="AC437" s="164"/>
      <c r="AD437" s="208"/>
      <c r="AE437" s="208"/>
      <c r="AF437" s="208"/>
      <c r="AG437" s="208"/>
      <c r="AH437" s="208"/>
      <c r="AI437" s="208"/>
      <c r="AJ437" s="208"/>
      <c r="AK437" s="208"/>
    </row>
    <row r="438" spans="1:37" s="164" customFormat="1" ht="15.75" x14ac:dyDescent="0.2">
      <c r="A438" s="259"/>
      <c r="B438" s="194"/>
      <c r="C438" s="194"/>
      <c r="D438" s="194"/>
      <c r="E438" s="194"/>
      <c r="F438" s="159"/>
      <c r="G438" s="159"/>
      <c r="H438" s="24" t="s">
        <v>1041</v>
      </c>
      <c r="I438" s="197" t="e">
        <f>I440</f>
        <v>#REF!</v>
      </c>
      <c r="J438" s="197" t="e">
        <f>J440</f>
        <v>#REF!</v>
      </c>
      <c r="K438" s="196" t="e">
        <f>K440</f>
        <v>#REF!</v>
      </c>
      <c r="L438" s="196" t="e">
        <f>L440</f>
        <v>#REF!</v>
      </c>
      <c r="M438" s="196" t="e">
        <f t="shared" si="280"/>
        <v>#REF!</v>
      </c>
      <c r="N438" s="196" t="e">
        <f>O438-K438</f>
        <v>#REF!</v>
      </c>
      <c r="O438" s="195" t="e">
        <f>O440</f>
        <v>#REF!</v>
      </c>
      <c r="P438" s="195" t="e">
        <f>P440</f>
        <v>#REF!</v>
      </c>
      <c r="Q438" s="195" t="e">
        <f>Q440</f>
        <v>#REF!</v>
      </c>
      <c r="R438" s="351" t="e">
        <f>V438-P438</f>
        <v>#REF!</v>
      </c>
      <c r="S438" s="195" t="e">
        <f t="shared" ref="S438:Y438" si="283">S440</f>
        <v>#REF!</v>
      </c>
      <c r="T438" s="195" t="e">
        <f t="shared" si="283"/>
        <v>#REF!</v>
      </c>
      <c r="U438" s="195" t="e">
        <f t="shared" si="283"/>
        <v>#REF!</v>
      </c>
      <c r="V438" s="197" t="e">
        <f t="shared" si="283"/>
        <v>#REF!</v>
      </c>
      <c r="W438" s="195">
        <f t="shared" si="283"/>
        <v>16268700</v>
      </c>
      <c r="X438" s="195">
        <f t="shared" si="283"/>
        <v>8092300</v>
      </c>
      <c r="Y438" s="195">
        <f t="shared" si="283"/>
        <v>8864000</v>
      </c>
      <c r="Z438" s="162" t="b">
        <f t="shared" si="276"/>
        <v>1</v>
      </c>
      <c r="AA438" s="162" t="str">
        <f t="shared" si="277"/>
        <v>PRAZNO</v>
      </c>
      <c r="AB438" s="165"/>
    </row>
    <row r="439" spans="1:37" s="164" customFormat="1" ht="15.75" x14ac:dyDescent="0.2">
      <c r="A439" s="259"/>
      <c r="B439" s="194"/>
      <c r="C439" s="194"/>
      <c r="D439" s="194"/>
      <c r="E439" s="194"/>
      <c r="F439" s="159"/>
      <c r="G439" s="159"/>
      <c r="H439" s="11" t="s">
        <v>654</v>
      </c>
      <c r="I439" s="197"/>
      <c r="J439" s="197"/>
      <c r="K439" s="196"/>
      <c r="L439" s="196"/>
      <c r="M439" s="196" t="e">
        <f t="shared" si="280"/>
        <v>#DIV/0!</v>
      </c>
      <c r="N439" s="196"/>
      <c r="O439" s="195"/>
      <c r="P439" s="195"/>
      <c r="Q439" s="195"/>
      <c r="R439" s="351"/>
      <c r="S439" s="195"/>
      <c r="T439" s="195"/>
      <c r="U439" s="195"/>
      <c r="V439" s="197"/>
      <c r="W439" s="195"/>
      <c r="X439" s="195"/>
      <c r="Y439" s="195"/>
      <c r="Z439" s="162" t="b">
        <f t="shared" si="276"/>
        <v>1</v>
      </c>
      <c r="AA439" s="162" t="str">
        <f t="shared" si="277"/>
        <v>PRAZNO</v>
      </c>
      <c r="AB439" s="165"/>
    </row>
    <row r="440" spans="1:37" s="171" customFormat="1" ht="15.75" x14ac:dyDescent="0.2">
      <c r="A440" s="259"/>
      <c r="B440" s="168"/>
      <c r="C440" s="168"/>
      <c r="D440" s="168"/>
      <c r="E440" s="168"/>
      <c r="F440" s="168"/>
      <c r="G440" s="168"/>
      <c r="H440" s="13" t="s">
        <v>1042</v>
      </c>
      <c r="I440" s="53" t="e">
        <f>I442+I522</f>
        <v>#REF!</v>
      </c>
      <c r="J440" s="53" t="e">
        <f>J442+J522</f>
        <v>#REF!</v>
      </c>
      <c r="K440" s="169" t="e">
        <f>K442+K522</f>
        <v>#REF!</v>
      </c>
      <c r="L440" s="169" t="e">
        <f>L442+L522</f>
        <v>#REF!</v>
      </c>
      <c r="M440" s="169" t="e">
        <f t="shared" si="280"/>
        <v>#REF!</v>
      </c>
      <c r="N440" s="169" t="e">
        <f>O440-K440</f>
        <v>#REF!</v>
      </c>
      <c r="O440" s="19" t="e">
        <f>O442+O522</f>
        <v>#REF!</v>
      </c>
      <c r="P440" s="19" t="e">
        <f>P442+P522</f>
        <v>#REF!</v>
      </c>
      <c r="Q440" s="19" t="e">
        <f>Q442+Q522</f>
        <v>#REF!</v>
      </c>
      <c r="R440" s="303" t="e">
        <f>V440-P440</f>
        <v>#REF!</v>
      </c>
      <c r="S440" s="19" t="e">
        <f t="shared" ref="S440:Y440" si="284">S442+S522</f>
        <v>#REF!</v>
      </c>
      <c r="T440" s="19" t="e">
        <f t="shared" si="284"/>
        <v>#REF!</v>
      </c>
      <c r="U440" s="19" t="e">
        <f t="shared" si="284"/>
        <v>#REF!</v>
      </c>
      <c r="V440" s="53" t="e">
        <f t="shared" si="284"/>
        <v>#REF!</v>
      </c>
      <c r="W440" s="19">
        <f t="shared" si="284"/>
        <v>16268700</v>
      </c>
      <c r="X440" s="19">
        <f t="shared" si="284"/>
        <v>8092300</v>
      </c>
      <c r="Y440" s="19">
        <f t="shared" si="284"/>
        <v>8864000</v>
      </c>
      <c r="Z440" s="162" t="b">
        <f t="shared" si="276"/>
        <v>1</v>
      </c>
      <c r="AA440" s="162" t="str">
        <f t="shared" si="277"/>
        <v>PRAZNO</v>
      </c>
      <c r="AB440" s="170"/>
      <c r="AC440" s="164"/>
    </row>
    <row r="441" spans="1:37" s="171" customFormat="1" ht="31.5" x14ac:dyDescent="0.2">
      <c r="A441" s="259"/>
      <c r="B441" s="168"/>
      <c r="C441" s="168"/>
      <c r="D441" s="168"/>
      <c r="E441" s="168"/>
      <c r="F441" s="168"/>
      <c r="G441" s="168"/>
      <c r="H441" s="13" t="s">
        <v>306</v>
      </c>
      <c r="I441" s="53"/>
      <c r="J441" s="53"/>
      <c r="K441" s="169"/>
      <c r="L441" s="169"/>
      <c r="M441" s="169"/>
      <c r="N441" s="169"/>
      <c r="O441" s="19"/>
      <c r="P441" s="19"/>
      <c r="Q441" s="19"/>
      <c r="R441" s="303"/>
      <c r="S441" s="19"/>
      <c r="T441" s="19"/>
      <c r="U441" s="19"/>
      <c r="V441" s="53"/>
      <c r="W441" s="19"/>
      <c r="X441" s="19"/>
      <c r="Y441" s="19"/>
      <c r="Z441" s="162" t="b">
        <f t="shared" si="276"/>
        <v>1</v>
      </c>
      <c r="AA441" s="162" t="str">
        <f t="shared" si="277"/>
        <v>PRAZNO</v>
      </c>
      <c r="AB441" s="170"/>
      <c r="AC441" s="164"/>
    </row>
    <row r="442" spans="1:37" s="171" customFormat="1" ht="15.75" x14ac:dyDescent="0.2">
      <c r="A442" s="259"/>
      <c r="B442" s="270"/>
      <c r="C442" s="270"/>
      <c r="D442" s="270"/>
      <c r="E442" s="270"/>
      <c r="F442" s="270"/>
      <c r="G442" s="270"/>
      <c r="H442" s="271" t="s">
        <v>104</v>
      </c>
      <c r="I442" s="273" t="e">
        <f>#REF!+I443+I452+I477+I483+I489+I497</f>
        <v>#REF!</v>
      </c>
      <c r="J442" s="304" t="e">
        <f>#REF!+J443+J452+J477+J483+J489+J497+J459+J464+J469</f>
        <v>#REF!</v>
      </c>
      <c r="K442" s="273" t="e">
        <f>#REF!+K443+K452+K477+K483+K489+K497+K459+K464+K469</f>
        <v>#REF!</v>
      </c>
      <c r="L442" s="273" t="e">
        <f>#REF!+L443+L452+L477+L483+L489+L497+L459+L464+L469</f>
        <v>#REF!</v>
      </c>
      <c r="M442" s="273" t="e">
        <f>#REF!+M443+M452+M477+M483+M489+M497+M459+M464+M469</f>
        <v>#REF!</v>
      </c>
      <c r="N442" s="273" t="e">
        <f>#REF!+N443+N452+N477+N483+N489+N497+N459+N464+N469</f>
        <v>#REF!</v>
      </c>
      <c r="O442" s="304" t="e">
        <f>#REF!+O443+O452+O477+O483+O489+O497+O459+O464+O469</f>
        <v>#REF!</v>
      </c>
      <c r="P442" s="272" t="e">
        <f>#REF!+P452+P477+P483+P489+P497+P514</f>
        <v>#REF!</v>
      </c>
      <c r="Q442" s="275" t="e">
        <f>#REF!+Q452+Q477+Q483+Q489+Q497+Q514</f>
        <v>#REF!</v>
      </c>
      <c r="R442" s="336" t="e">
        <f>V442-P442</f>
        <v>#REF!</v>
      </c>
      <c r="S442" s="275" t="e">
        <f>#REF!+S452+S477+S483+S489+S497+S514</f>
        <v>#REF!</v>
      </c>
      <c r="T442" s="275" t="e">
        <f>#REF!+T452+T477+T483+T489+T497+T514</f>
        <v>#REF!</v>
      </c>
      <c r="U442" s="275" t="e">
        <f>#REF!+U452+U477+U483+U489+U497+U514</f>
        <v>#REF!</v>
      </c>
      <c r="V442" s="275" t="e">
        <f>#REF!+V452+V477+V483+V489+V497+V514</f>
        <v>#REF!</v>
      </c>
      <c r="W442" s="275">
        <f>W477+W489+W497+W514</f>
        <v>3412700</v>
      </c>
      <c r="X442" s="275">
        <f>X477+X489+X497+X514</f>
        <v>2512200</v>
      </c>
      <c r="Y442" s="275">
        <f>Y477+Y489+Y497+Y514</f>
        <v>2780000</v>
      </c>
      <c r="Z442" s="162" t="b">
        <f t="shared" si="276"/>
        <v>1</v>
      </c>
      <c r="AA442" s="162" t="str">
        <f t="shared" si="277"/>
        <v>PRAZNO</v>
      </c>
      <c r="AB442" s="170"/>
      <c r="AC442" s="164"/>
    </row>
    <row r="443" spans="1:37" s="171" customFormat="1" ht="15.75" hidden="1" x14ac:dyDescent="0.2">
      <c r="A443" s="259"/>
      <c r="B443" s="168"/>
      <c r="C443" s="168"/>
      <c r="D443" s="168"/>
      <c r="E443" s="168"/>
      <c r="F443" s="168"/>
      <c r="G443" s="168"/>
      <c r="H443" s="13" t="s">
        <v>602</v>
      </c>
      <c r="I443" s="19">
        <f t="shared" ref="I443:L445" si="285">I444</f>
        <v>2942900</v>
      </c>
      <c r="J443" s="19">
        <f t="shared" si="285"/>
        <v>2326634.5499999998</v>
      </c>
      <c r="K443" s="169">
        <f t="shared" si="285"/>
        <v>774000</v>
      </c>
      <c r="L443" s="169">
        <f t="shared" si="285"/>
        <v>563346.97000000009</v>
      </c>
      <c r="M443" s="169">
        <f t="shared" ref="M443:M451" si="286">ROUND(L443/K443*100,2)</f>
        <v>72.78</v>
      </c>
      <c r="N443" s="169">
        <f t="shared" ref="N443:N451" si="287">O443-K443</f>
        <v>-73574.979999999981</v>
      </c>
      <c r="O443" s="19">
        <f t="shared" ref="O443:Q445" si="288">O444</f>
        <v>700425.02</v>
      </c>
      <c r="P443" s="19">
        <f t="shared" si="288"/>
        <v>0</v>
      </c>
      <c r="Q443" s="19">
        <f t="shared" si="288"/>
        <v>0</v>
      </c>
      <c r="R443" s="303">
        <f t="shared" ref="R443:R466" si="289">V443-P443</f>
        <v>0</v>
      </c>
      <c r="S443" s="19">
        <f t="shared" ref="S443:Y445" si="290">S444</f>
        <v>0</v>
      </c>
      <c r="T443" s="19">
        <f t="shared" si="290"/>
        <v>0</v>
      </c>
      <c r="U443" s="19">
        <f t="shared" si="290"/>
        <v>0</v>
      </c>
      <c r="V443" s="53">
        <f t="shared" si="290"/>
        <v>0</v>
      </c>
      <c r="W443" s="19">
        <f t="shared" si="290"/>
        <v>0</v>
      </c>
      <c r="X443" s="19">
        <f t="shared" si="290"/>
        <v>0</v>
      </c>
      <c r="Y443" s="19">
        <f t="shared" si="290"/>
        <v>0</v>
      </c>
      <c r="Z443" s="162" t="b">
        <f t="shared" si="276"/>
        <v>1</v>
      </c>
      <c r="AA443" s="162" t="str">
        <f t="shared" si="277"/>
        <v>PRAZNO</v>
      </c>
      <c r="AB443" s="170"/>
      <c r="AC443" s="164"/>
    </row>
    <row r="444" spans="1:37" s="174" customFormat="1" ht="15.75" hidden="1" x14ac:dyDescent="0.2">
      <c r="A444" s="259"/>
      <c r="B444" s="172">
        <v>4</v>
      </c>
      <c r="C444" s="172"/>
      <c r="D444" s="172"/>
      <c r="E444" s="172"/>
      <c r="F444" s="172"/>
      <c r="G444" s="172"/>
      <c r="H444" s="14" t="s">
        <v>552</v>
      </c>
      <c r="I444" s="20">
        <f t="shared" si="285"/>
        <v>2942900</v>
      </c>
      <c r="J444" s="20">
        <f t="shared" si="285"/>
        <v>2326634.5499999998</v>
      </c>
      <c r="K444" s="20">
        <f t="shared" si="285"/>
        <v>774000</v>
      </c>
      <c r="L444" s="20">
        <f t="shared" si="285"/>
        <v>563346.97000000009</v>
      </c>
      <c r="M444" s="20">
        <f t="shared" si="286"/>
        <v>72.78</v>
      </c>
      <c r="N444" s="20">
        <f t="shared" si="287"/>
        <v>-73574.979999999981</v>
      </c>
      <c r="O444" s="20">
        <f t="shared" si="288"/>
        <v>700425.02</v>
      </c>
      <c r="P444" s="20">
        <f t="shared" si="288"/>
        <v>0</v>
      </c>
      <c r="Q444" s="20">
        <f t="shared" si="288"/>
        <v>0</v>
      </c>
      <c r="R444" s="55">
        <f t="shared" si="289"/>
        <v>0</v>
      </c>
      <c r="S444" s="20">
        <f t="shared" si="290"/>
        <v>0</v>
      </c>
      <c r="T444" s="20">
        <f t="shared" si="290"/>
        <v>0</v>
      </c>
      <c r="U444" s="20">
        <f t="shared" si="290"/>
        <v>0</v>
      </c>
      <c r="V444" s="55">
        <f t="shared" si="290"/>
        <v>0</v>
      </c>
      <c r="W444" s="20">
        <f t="shared" si="290"/>
        <v>0</v>
      </c>
      <c r="X444" s="20">
        <f t="shared" si="290"/>
        <v>0</v>
      </c>
      <c r="Y444" s="20">
        <f t="shared" si="290"/>
        <v>0</v>
      </c>
      <c r="Z444" s="162" t="b">
        <f t="shared" si="276"/>
        <v>1</v>
      </c>
      <c r="AA444" s="162" t="str">
        <f t="shared" si="277"/>
        <v>PRAZNO</v>
      </c>
      <c r="AB444" s="173"/>
      <c r="AC444" s="164"/>
    </row>
    <row r="445" spans="1:37" ht="32.25" hidden="1" customHeight="1" x14ac:dyDescent="0.2">
      <c r="B445" s="175"/>
      <c r="C445" s="175">
        <v>42</v>
      </c>
      <c r="D445" s="175"/>
      <c r="E445" s="175"/>
      <c r="F445" s="175"/>
      <c r="G445" s="175"/>
      <c r="H445" s="28" t="s">
        <v>212</v>
      </c>
      <c r="I445" s="22">
        <f t="shared" si="285"/>
        <v>2942900</v>
      </c>
      <c r="J445" s="22">
        <f t="shared" si="285"/>
        <v>2326634.5499999998</v>
      </c>
      <c r="K445" s="22">
        <f t="shared" si="285"/>
        <v>774000</v>
      </c>
      <c r="L445" s="22">
        <f t="shared" si="285"/>
        <v>563346.97000000009</v>
      </c>
      <c r="M445" s="22">
        <f t="shared" si="286"/>
        <v>72.78</v>
      </c>
      <c r="N445" s="22">
        <f t="shared" si="287"/>
        <v>-73574.979999999981</v>
      </c>
      <c r="O445" s="22">
        <f t="shared" si="288"/>
        <v>700425.02</v>
      </c>
      <c r="P445" s="22">
        <f t="shared" si="288"/>
        <v>0</v>
      </c>
      <c r="Q445" s="22">
        <f t="shared" si="288"/>
        <v>0</v>
      </c>
      <c r="R445" s="26">
        <f t="shared" si="289"/>
        <v>0</v>
      </c>
      <c r="S445" s="22">
        <f t="shared" si="290"/>
        <v>0</v>
      </c>
      <c r="T445" s="22">
        <f t="shared" si="290"/>
        <v>0</v>
      </c>
      <c r="U445" s="22">
        <f t="shared" si="290"/>
        <v>0</v>
      </c>
      <c r="V445" s="38">
        <f t="shared" si="290"/>
        <v>0</v>
      </c>
      <c r="W445" s="22">
        <f t="shared" si="290"/>
        <v>0</v>
      </c>
      <c r="X445" s="22">
        <f t="shared" si="290"/>
        <v>0</v>
      </c>
      <c r="Y445" s="22">
        <f t="shared" si="290"/>
        <v>0</v>
      </c>
      <c r="Z445" s="162" t="b">
        <f t="shared" si="276"/>
        <v>1</v>
      </c>
      <c r="AA445" s="162" t="str">
        <f t="shared" si="277"/>
        <v>PRAZNO</v>
      </c>
      <c r="AC445" s="164"/>
    </row>
    <row r="446" spans="1:37" ht="15.75" hidden="1" x14ac:dyDescent="0.2">
      <c r="B446" s="177"/>
      <c r="C446" s="177"/>
      <c r="D446" s="177">
        <v>421</v>
      </c>
      <c r="E446" s="177"/>
      <c r="F446" s="177"/>
      <c r="G446" s="177"/>
      <c r="H446" s="16" t="s">
        <v>759</v>
      </c>
      <c r="I446" s="17">
        <f>I447+I448</f>
        <v>2942900</v>
      </c>
      <c r="J446" s="17">
        <f>J447+J448</f>
        <v>2326634.5499999998</v>
      </c>
      <c r="K446" s="17">
        <f>SUM(K449:K451)</f>
        <v>774000</v>
      </c>
      <c r="L446" s="17">
        <f>SUM(L449:L451)</f>
        <v>563346.97000000009</v>
      </c>
      <c r="M446" s="17">
        <f t="shared" si="286"/>
        <v>72.78</v>
      </c>
      <c r="N446" s="17">
        <f t="shared" si="287"/>
        <v>-73574.979999999981</v>
      </c>
      <c r="O446" s="17">
        <f>SUM(O449:O451)</f>
        <v>700425.02</v>
      </c>
      <c r="P446" s="17">
        <f>SUM(P449:P451)</f>
        <v>0</v>
      </c>
      <c r="Q446" s="17">
        <f>SUM(Q449:Q451)</f>
        <v>0</v>
      </c>
      <c r="R446" s="26">
        <f t="shared" si="289"/>
        <v>0</v>
      </c>
      <c r="S446" s="17">
        <f t="shared" ref="S446:Y446" si="291">SUM(S449:S451)</f>
        <v>0</v>
      </c>
      <c r="T446" s="17">
        <f t="shared" si="291"/>
        <v>0</v>
      </c>
      <c r="U446" s="17">
        <f t="shared" si="291"/>
        <v>0</v>
      </c>
      <c r="V446" s="26">
        <f t="shared" si="291"/>
        <v>0</v>
      </c>
      <c r="W446" s="17">
        <f t="shared" si="291"/>
        <v>0</v>
      </c>
      <c r="X446" s="17">
        <f t="shared" si="291"/>
        <v>0</v>
      </c>
      <c r="Y446" s="17">
        <f t="shared" si="291"/>
        <v>0</v>
      </c>
      <c r="Z446" s="162" t="b">
        <f t="shared" ref="Z446:Z509" si="292">ISBLANK(E446)</f>
        <v>1</v>
      </c>
      <c r="AA446" s="162" t="str">
        <f t="shared" ref="AA446:AA509" si="293">IF(Z446,"PRAZNO","PUNO")</f>
        <v>PRAZNO</v>
      </c>
      <c r="AC446" s="164"/>
    </row>
    <row r="447" spans="1:37" ht="30" hidden="1" x14ac:dyDescent="0.2">
      <c r="B447" s="177"/>
      <c r="C447" s="177"/>
      <c r="D447" s="177"/>
      <c r="E447" s="177">
        <v>4212</v>
      </c>
      <c r="F447" s="176" t="s">
        <v>527</v>
      </c>
      <c r="G447" s="177"/>
      <c r="H447" s="16" t="s">
        <v>191</v>
      </c>
      <c r="I447" s="18">
        <v>2942900</v>
      </c>
      <c r="J447" s="26">
        <v>2126882.5499999998</v>
      </c>
      <c r="K447" s="17"/>
      <c r="L447" s="17"/>
      <c r="M447" s="17" t="e">
        <f t="shared" si="286"/>
        <v>#DIV/0!</v>
      </c>
      <c r="N447" s="17">
        <f t="shared" si="287"/>
        <v>0</v>
      </c>
      <c r="O447" s="17"/>
      <c r="P447" s="17"/>
      <c r="Q447" s="17"/>
      <c r="R447" s="26">
        <f t="shared" si="289"/>
        <v>0</v>
      </c>
      <c r="S447" s="17"/>
      <c r="T447" s="17"/>
      <c r="U447" s="17"/>
      <c r="V447" s="26"/>
      <c r="W447" s="17"/>
      <c r="X447" s="17"/>
      <c r="Y447" s="17"/>
      <c r="Z447" s="162" t="b">
        <f t="shared" si="292"/>
        <v>0</v>
      </c>
      <c r="AA447" s="162" t="str">
        <f t="shared" si="293"/>
        <v>PUNO</v>
      </c>
      <c r="AC447" s="164"/>
    </row>
    <row r="448" spans="1:37" ht="30" hidden="1" x14ac:dyDescent="0.2">
      <c r="B448" s="177"/>
      <c r="C448" s="177"/>
      <c r="D448" s="177"/>
      <c r="E448" s="177">
        <v>4212</v>
      </c>
      <c r="F448" s="176" t="s">
        <v>527</v>
      </c>
      <c r="G448" s="177"/>
      <c r="H448" s="16" t="s">
        <v>192</v>
      </c>
      <c r="I448" s="17"/>
      <c r="J448" s="26">
        <v>199752</v>
      </c>
      <c r="K448" s="17"/>
      <c r="L448" s="17"/>
      <c r="M448" s="17" t="e">
        <f t="shared" si="286"/>
        <v>#DIV/0!</v>
      </c>
      <c r="N448" s="17">
        <f t="shared" si="287"/>
        <v>0</v>
      </c>
      <c r="O448" s="17"/>
      <c r="P448" s="17"/>
      <c r="Q448" s="17"/>
      <c r="R448" s="26">
        <f t="shared" si="289"/>
        <v>0</v>
      </c>
      <c r="S448" s="17"/>
      <c r="T448" s="17"/>
      <c r="U448" s="17"/>
      <c r="V448" s="26"/>
      <c r="W448" s="17"/>
      <c r="X448" s="17"/>
      <c r="Y448" s="17"/>
      <c r="Z448" s="162" t="b">
        <f t="shared" si="292"/>
        <v>0</v>
      </c>
      <c r="AA448" s="162" t="str">
        <f t="shared" si="293"/>
        <v>PUNO</v>
      </c>
      <c r="AC448" s="164"/>
    </row>
    <row r="449" spans="1:29" ht="30" hidden="1" x14ac:dyDescent="0.2">
      <c r="B449" s="177"/>
      <c r="C449" s="177"/>
      <c r="D449" s="177"/>
      <c r="E449" s="177">
        <v>4212</v>
      </c>
      <c r="F449" s="176">
        <v>54</v>
      </c>
      <c r="G449" s="176" t="s">
        <v>1040</v>
      </c>
      <c r="H449" s="16" t="s">
        <v>1045</v>
      </c>
      <c r="I449" s="18"/>
      <c r="J449" s="26"/>
      <c r="K449" s="18">
        <v>74000</v>
      </c>
      <c r="L449" s="18">
        <v>67294.490000000005</v>
      </c>
      <c r="M449" s="18">
        <f t="shared" si="286"/>
        <v>90.94</v>
      </c>
      <c r="N449" s="18">
        <f t="shared" si="287"/>
        <v>26933.630000000005</v>
      </c>
      <c r="O449" s="18">
        <v>100933.63</v>
      </c>
      <c r="P449" s="18">
        <v>0</v>
      </c>
      <c r="Q449" s="18">
        <v>0</v>
      </c>
      <c r="R449" s="26">
        <f t="shared" si="289"/>
        <v>0</v>
      </c>
      <c r="S449" s="18"/>
      <c r="T449" s="18"/>
      <c r="U449" s="18"/>
      <c r="V449" s="27"/>
      <c r="W449" s="18"/>
      <c r="X449" s="18"/>
      <c r="Y449" s="18"/>
      <c r="Z449" s="162" t="b">
        <f t="shared" si="292"/>
        <v>0</v>
      </c>
      <c r="AA449" s="162" t="str">
        <f t="shared" si="293"/>
        <v>PUNO</v>
      </c>
      <c r="AC449" s="164"/>
    </row>
    <row r="450" spans="1:29" ht="30" hidden="1" x14ac:dyDescent="0.2">
      <c r="B450" s="177"/>
      <c r="C450" s="177"/>
      <c r="D450" s="177"/>
      <c r="E450" s="177">
        <v>4212</v>
      </c>
      <c r="F450" s="176">
        <v>54</v>
      </c>
      <c r="G450" s="176"/>
      <c r="H450" s="16" t="s">
        <v>431</v>
      </c>
      <c r="I450" s="18"/>
      <c r="J450" s="27"/>
      <c r="K450" s="18">
        <v>550000</v>
      </c>
      <c r="L450" s="18">
        <v>482251.07</v>
      </c>
      <c r="M450" s="18">
        <f t="shared" si="286"/>
        <v>87.68</v>
      </c>
      <c r="N450" s="18">
        <f t="shared" si="287"/>
        <v>-67748.929999999993</v>
      </c>
      <c r="O450" s="18">
        <v>482251.07</v>
      </c>
      <c r="P450" s="18">
        <v>0</v>
      </c>
      <c r="Q450" s="18">
        <v>0</v>
      </c>
      <c r="R450" s="26">
        <f t="shared" si="289"/>
        <v>0</v>
      </c>
      <c r="S450" s="18"/>
      <c r="T450" s="18"/>
      <c r="U450" s="18"/>
      <c r="V450" s="27"/>
      <c r="W450" s="18"/>
      <c r="X450" s="18"/>
      <c r="Y450" s="18"/>
      <c r="Z450" s="162" t="b">
        <f t="shared" si="292"/>
        <v>0</v>
      </c>
      <c r="AA450" s="162" t="str">
        <f t="shared" si="293"/>
        <v>PUNO</v>
      </c>
      <c r="AC450" s="164"/>
    </row>
    <row r="451" spans="1:29" ht="30" hidden="1" x14ac:dyDescent="0.2">
      <c r="B451" s="177"/>
      <c r="C451" s="177"/>
      <c r="D451" s="177"/>
      <c r="E451" s="177">
        <v>4212</v>
      </c>
      <c r="F451" s="176">
        <v>54</v>
      </c>
      <c r="G451" s="176"/>
      <c r="H451" s="16" t="s">
        <v>233</v>
      </c>
      <c r="I451" s="18"/>
      <c r="J451" s="27"/>
      <c r="K451" s="18">
        <v>150000</v>
      </c>
      <c r="L451" s="18">
        <v>13801.41</v>
      </c>
      <c r="M451" s="18">
        <f t="shared" si="286"/>
        <v>9.1999999999999993</v>
      </c>
      <c r="N451" s="18">
        <f t="shared" si="287"/>
        <v>-32759.679999999993</v>
      </c>
      <c r="O451" s="18">
        <v>117240.32000000001</v>
      </c>
      <c r="P451" s="18">
        <v>0</v>
      </c>
      <c r="Q451" s="18">
        <v>0</v>
      </c>
      <c r="R451" s="26">
        <f t="shared" si="289"/>
        <v>0</v>
      </c>
      <c r="S451" s="18"/>
      <c r="T451" s="18"/>
      <c r="U451" s="18"/>
      <c r="V451" s="27"/>
      <c r="W451" s="18"/>
      <c r="X451" s="18"/>
      <c r="Y451" s="18"/>
      <c r="Z451" s="162" t="b">
        <f t="shared" si="292"/>
        <v>0</v>
      </c>
      <c r="AA451" s="162" t="str">
        <f t="shared" si="293"/>
        <v>PUNO</v>
      </c>
      <c r="AC451" s="164"/>
    </row>
    <row r="452" spans="1:29" s="171" customFormat="1" ht="31.5" hidden="1" x14ac:dyDescent="0.2">
      <c r="A452" s="259"/>
      <c r="B452" s="209"/>
      <c r="C452" s="209"/>
      <c r="D452" s="209"/>
      <c r="E452" s="209"/>
      <c r="F452" s="219"/>
      <c r="G452" s="219"/>
      <c r="H452" s="12" t="s">
        <v>609</v>
      </c>
      <c r="I452" s="242"/>
      <c r="J452" s="243">
        <f>J453</f>
        <v>0</v>
      </c>
      <c r="K452" s="242"/>
      <c r="L452" s="242"/>
      <c r="M452" s="242"/>
      <c r="N452" s="242"/>
      <c r="O452" s="243">
        <f t="shared" ref="O452:Q454" si="294">O453</f>
        <v>0</v>
      </c>
      <c r="P452" s="305">
        <f t="shared" si="294"/>
        <v>0</v>
      </c>
      <c r="Q452" s="305">
        <f t="shared" si="294"/>
        <v>0</v>
      </c>
      <c r="R452" s="303">
        <f t="shared" si="289"/>
        <v>0</v>
      </c>
      <c r="S452" s="243">
        <f t="shared" ref="S452:Y454" si="295">S453</f>
        <v>1966700</v>
      </c>
      <c r="T452" s="243">
        <f t="shared" si="295"/>
        <v>1000000</v>
      </c>
      <c r="U452" s="243">
        <f t="shared" si="295"/>
        <v>1000000</v>
      </c>
      <c r="V452" s="305">
        <f t="shared" si="295"/>
        <v>0</v>
      </c>
      <c r="W452" s="305">
        <f t="shared" si="295"/>
        <v>0</v>
      </c>
      <c r="X452" s="305">
        <f t="shared" si="295"/>
        <v>0</v>
      </c>
      <c r="Y452" s="305">
        <f t="shared" si="295"/>
        <v>0</v>
      </c>
      <c r="Z452" s="162" t="b">
        <f t="shared" si="292"/>
        <v>1</v>
      </c>
      <c r="AA452" s="162" t="str">
        <f t="shared" si="293"/>
        <v>PRAZNO</v>
      </c>
      <c r="AB452" s="170"/>
    </row>
    <row r="453" spans="1:29" s="174" customFormat="1" ht="15.75" hidden="1" x14ac:dyDescent="0.2">
      <c r="A453" s="259"/>
      <c r="B453" s="172">
        <v>4</v>
      </c>
      <c r="C453" s="172"/>
      <c r="D453" s="172"/>
      <c r="E453" s="172"/>
      <c r="F453" s="172"/>
      <c r="G453" s="172"/>
      <c r="H453" s="14" t="s">
        <v>552</v>
      </c>
      <c r="I453" s="184"/>
      <c r="J453" s="185">
        <f>J454</f>
        <v>0</v>
      </c>
      <c r="K453" s="184"/>
      <c r="L453" s="184"/>
      <c r="M453" s="184"/>
      <c r="N453" s="184"/>
      <c r="O453" s="185">
        <f t="shared" si="294"/>
        <v>0</v>
      </c>
      <c r="P453" s="185">
        <f t="shared" si="294"/>
        <v>0</v>
      </c>
      <c r="Q453" s="185">
        <f t="shared" si="294"/>
        <v>0</v>
      </c>
      <c r="R453" s="55">
        <f t="shared" si="289"/>
        <v>0</v>
      </c>
      <c r="S453" s="185">
        <f t="shared" si="295"/>
        <v>1966700</v>
      </c>
      <c r="T453" s="185">
        <f t="shared" si="295"/>
        <v>1000000</v>
      </c>
      <c r="U453" s="185">
        <f t="shared" si="295"/>
        <v>1000000</v>
      </c>
      <c r="V453" s="185">
        <f t="shared" si="295"/>
        <v>0</v>
      </c>
      <c r="W453" s="185">
        <f t="shared" si="295"/>
        <v>0</v>
      </c>
      <c r="X453" s="185">
        <f t="shared" si="295"/>
        <v>0</v>
      </c>
      <c r="Y453" s="185">
        <f t="shared" si="295"/>
        <v>0</v>
      </c>
      <c r="Z453" s="162" t="b">
        <f t="shared" si="292"/>
        <v>1</v>
      </c>
      <c r="AA453" s="162" t="str">
        <f t="shared" si="293"/>
        <v>PRAZNO</v>
      </c>
      <c r="AB453" s="173"/>
    </row>
    <row r="454" spans="1:29" ht="31.5" hidden="1" customHeight="1" x14ac:dyDescent="0.2">
      <c r="B454" s="175"/>
      <c r="C454" s="175">
        <v>42</v>
      </c>
      <c r="D454" s="175"/>
      <c r="E454" s="175"/>
      <c r="F454" s="175"/>
      <c r="G454" s="175"/>
      <c r="H454" s="28" t="s">
        <v>212</v>
      </c>
      <c r="I454" s="18"/>
      <c r="J454" s="27">
        <f>J455</f>
        <v>0</v>
      </c>
      <c r="K454" s="18"/>
      <c r="L454" s="18"/>
      <c r="M454" s="18"/>
      <c r="N454" s="18"/>
      <c r="O454" s="27">
        <f t="shared" si="294"/>
        <v>0</v>
      </c>
      <c r="P454" s="27">
        <f t="shared" si="294"/>
        <v>0</v>
      </c>
      <c r="Q454" s="27">
        <f t="shared" si="294"/>
        <v>0</v>
      </c>
      <c r="R454" s="26">
        <f t="shared" si="289"/>
        <v>0</v>
      </c>
      <c r="S454" s="27">
        <f t="shared" si="295"/>
        <v>1966700</v>
      </c>
      <c r="T454" s="27">
        <f t="shared" si="295"/>
        <v>1000000</v>
      </c>
      <c r="U454" s="27">
        <f t="shared" si="295"/>
        <v>1000000</v>
      </c>
      <c r="V454" s="27">
        <f t="shared" si="295"/>
        <v>0</v>
      </c>
      <c r="W454" s="27">
        <f t="shared" si="295"/>
        <v>0</v>
      </c>
      <c r="X454" s="27">
        <f t="shared" si="295"/>
        <v>0</v>
      </c>
      <c r="Y454" s="27">
        <f t="shared" si="295"/>
        <v>0</v>
      </c>
      <c r="Z454" s="162" t="b">
        <f t="shared" si="292"/>
        <v>1</v>
      </c>
      <c r="AA454" s="162" t="str">
        <f t="shared" si="293"/>
        <v>PRAZNO</v>
      </c>
      <c r="AC454" s="164"/>
    </row>
    <row r="455" spans="1:29" ht="15.75" hidden="1" x14ac:dyDescent="0.2">
      <c r="B455" s="177"/>
      <c r="C455" s="177"/>
      <c r="D455" s="177">
        <v>421</v>
      </c>
      <c r="E455" s="177"/>
      <c r="F455" s="177"/>
      <c r="G455" s="177"/>
      <c r="H455" s="16" t="s">
        <v>759</v>
      </c>
      <c r="I455" s="18"/>
      <c r="J455" s="27">
        <f>J457</f>
        <v>0</v>
      </c>
      <c r="K455" s="18"/>
      <c r="L455" s="18"/>
      <c r="M455" s="18"/>
      <c r="N455" s="18"/>
      <c r="O455" s="27">
        <f>O457</f>
        <v>0</v>
      </c>
      <c r="P455" s="27">
        <f>P457+P456</f>
        <v>0</v>
      </c>
      <c r="Q455" s="27">
        <f>Q457</f>
        <v>0</v>
      </c>
      <c r="R455" s="26">
        <f t="shared" si="289"/>
        <v>0</v>
      </c>
      <c r="S455" s="27">
        <f>S457+S456</f>
        <v>1966700</v>
      </c>
      <c r="T455" s="27">
        <f>T457</f>
        <v>1000000</v>
      </c>
      <c r="U455" s="27">
        <f>U457</f>
        <v>1000000</v>
      </c>
      <c r="V455" s="27">
        <f>V456+V457</f>
        <v>0</v>
      </c>
      <c r="W455" s="27">
        <f>W457+W456</f>
        <v>0</v>
      </c>
      <c r="X455" s="27">
        <f>X457+X456</f>
        <v>0</v>
      </c>
      <c r="Y455" s="27">
        <f>Y457+Y456</f>
        <v>0</v>
      </c>
      <c r="Z455" s="162" t="b">
        <f t="shared" si="292"/>
        <v>1</v>
      </c>
      <c r="AA455" s="162" t="str">
        <f t="shared" si="293"/>
        <v>PRAZNO</v>
      </c>
      <c r="AC455" s="164"/>
    </row>
    <row r="456" spans="1:29" ht="15.75" hidden="1" x14ac:dyDescent="0.2">
      <c r="B456" s="177"/>
      <c r="C456" s="177"/>
      <c r="D456" s="177"/>
      <c r="E456" s="177">
        <v>4212</v>
      </c>
      <c r="F456" s="177">
        <v>14</v>
      </c>
      <c r="G456" s="177"/>
      <c r="H456" s="16" t="s">
        <v>649</v>
      </c>
      <c r="I456" s="18"/>
      <c r="J456" s="27"/>
      <c r="K456" s="18"/>
      <c r="L456" s="18"/>
      <c r="M456" s="18"/>
      <c r="N456" s="18"/>
      <c r="O456" s="27"/>
      <c r="P456" s="27">
        <v>0</v>
      </c>
      <c r="Q456" s="27">
        <v>0</v>
      </c>
      <c r="R456" s="26">
        <f t="shared" si="289"/>
        <v>0</v>
      </c>
      <c r="S456" s="27">
        <v>52200</v>
      </c>
      <c r="T456" s="27"/>
      <c r="U456" s="27"/>
      <c r="V456" s="266">
        <v>0</v>
      </c>
      <c r="W456" s="266">
        <v>0</v>
      </c>
      <c r="X456" s="266">
        <v>0</v>
      </c>
      <c r="Y456" s="266">
        <v>0</v>
      </c>
      <c r="Z456" s="162" t="b">
        <f t="shared" si="292"/>
        <v>0</v>
      </c>
      <c r="AA456" s="162" t="str">
        <f t="shared" si="293"/>
        <v>PUNO</v>
      </c>
      <c r="AC456" s="164"/>
    </row>
    <row r="457" spans="1:29" ht="15.75" hidden="1" x14ac:dyDescent="0.2">
      <c r="B457" s="177"/>
      <c r="C457" s="177"/>
      <c r="D457" s="177"/>
      <c r="E457" s="177">
        <v>4212</v>
      </c>
      <c r="F457" s="265">
        <v>54</v>
      </c>
      <c r="G457" s="176"/>
      <c r="H457" s="16" t="s">
        <v>649</v>
      </c>
      <c r="I457" s="18"/>
      <c r="J457" s="27">
        <v>0</v>
      </c>
      <c r="K457" s="18"/>
      <c r="L457" s="18"/>
      <c r="M457" s="18"/>
      <c r="N457" s="18"/>
      <c r="O457" s="17"/>
      <c r="P457" s="17">
        <v>0</v>
      </c>
      <c r="Q457" s="17">
        <v>0</v>
      </c>
      <c r="R457" s="26">
        <f t="shared" si="289"/>
        <v>0</v>
      </c>
      <c r="S457" s="17">
        <v>1914500</v>
      </c>
      <c r="T457" s="18">
        <v>1000000</v>
      </c>
      <c r="U457" s="18">
        <v>1000000</v>
      </c>
      <c r="V457" s="353">
        <v>0</v>
      </c>
      <c r="W457" s="181">
        <v>0</v>
      </c>
      <c r="X457" s="17">
        <v>0</v>
      </c>
      <c r="Y457" s="17"/>
      <c r="Z457" s="162" t="b">
        <f t="shared" si="292"/>
        <v>0</v>
      </c>
      <c r="AA457" s="162" t="str">
        <f t="shared" si="293"/>
        <v>PUNO</v>
      </c>
      <c r="AC457" s="164"/>
    </row>
    <row r="458" spans="1:29" ht="15.75" hidden="1" x14ac:dyDescent="0.2">
      <c r="B458" s="177"/>
      <c r="C458" s="177"/>
      <c r="D458" s="177"/>
      <c r="E458" s="177">
        <v>4212</v>
      </c>
      <c r="F458" s="176">
        <v>14</v>
      </c>
      <c r="G458" s="176"/>
      <c r="H458" s="41" t="s">
        <v>649</v>
      </c>
      <c r="I458" s="17"/>
      <c r="J458" s="26">
        <v>0</v>
      </c>
      <c r="K458" s="17"/>
      <c r="L458" s="17"/>
      <c r="M458" s="17"/>
      <c r="N458" s="17"/>
      <c r="O458" s="17">
        <v>0</v>
      </c>
      <c r="P458" s="17">
        <v>0</v>
      </c>
      <c r="Q458" s="17">
        <v>0</v>
      </c>
      <c r="R458" s="26">
        <f t="shared" si="289"/>
        <v>0</v>
      </c>
      <c r="S458" s="17">
        <v>2300000</v>
      </c>
      <c r="T458" s="17">
        <v>400000</v>
      </c>
      <c r="U458" s="17">
        <v>500000</v>
      </c>
      <c r="V458" s="26">
        <v>0</v>
      </c>
      <c r="W458" s="17">
        <v>0</v>
      </c>
      <c r="X458" s="17">
        <v>0</v>
      </c>
      <c r="Y458" s="17">
        <v>0</v>
      </c>
      <c r="Z458" s="162" t="b">
        <f t="shared" si="292"/>
        <v>0</v>
      </c>
      <c r="AA458" s="162" t="str">
        <f t="shared" si="293"/>
        <v>PUNO</v>
      </c>
      <c r="AC458" s="164"/>
    </row>
    <row r="459" spans="1:29" s="171" customFormat="1" ht="31.5" hidden="1" x14ac:dyDescent="0.2">
      <c r="A459" s="259"/>
      <c r="B459" s="168"/>
      <c r="C459" s="168"/>
      <c r="D459" s="168"/>
      <c r="E459" s="168"/>
      <c r="F459" s="168"/>
      <c r="G459" s="219"/>
      <c r="H459" s="13" t="s">
        <v>604</v>
      </c>
      <c r="I459" s="19"/>
      <c r="J459" s="53">
        <f t="shared" ref="J459:L462" si="296">J460</f>
        <v>0</v>
      </c>
      <c r="K459" s="169">
        <f t="shared" si="296"/>
        <v>1300000</v>
      </c>
      <c r="L459" s="169">
        <f t="shared" si="296"/>
        <v>1300000</v>
      </c>
      <c r="M459" s="169">
        <f t="shared" ref="M459:M473" si="297">ROUND(L459/K459*100,2)</f>
        <v>100</v>
      </c>
      <c r="N459" s="169">
        <f t="shared" ref="N459:N473" si="298">O459-K459</f>
        <v>-1300000</v>
      </c>
      <c r="O459" s="19">
        <f t="shared" ref="O459:Q462" si="299">O460</f>
        <v>0</v>
      </c>
      <c r="P459" s="19">
        <f t="shared" si="299"/>
        <v>0</v>
      </c>
      <c r="Q459" s="19">
        <f t="shared" si="299"/>
        <v>0</v>
      </c>
      <c r="R459" s="26">
        <f t="shared" si="289"/>
        <v>0</v>
      </c>
      <c r="S459" s="19">
        <f t="shared" ref="S459:Y462" si="300">S460</f>
        <v>0</v>
      </c>
      <c r="T459" s="19">
        <f t="shared" si="300"/>
        <v>0</v>
      </c>
      <c r="U459" s="19">
        <f t="shared" si="300"/>
        <v>0</v>
      </c>
      <c r="V459" s="53">
        <f t="shared" si="300"/>
        <v>0</v>
      </c>
      <c r="W459" s="19">
        <f t="shared" si="300"/>
        <v>0</v>
      </c>
      <c r="X459" s="19">
        <f t="shared" si="300"/>
        <v>0</v>
      </c>
      <c r="Y459" s="19">
        <f t="shared" si="300"/>
        <v>0</v>
      </c>
      <c r="Z459" s="162" t="b">
        <f t="shared" si="292"/>
        <v>1</v>
      </c>
      <c r="AA459" s="162" t="str">
        <f t="shared" si="293"/>
        <v>PRAZNO</v>
      </c>
      <c r="AB459" s="170"/>
      <c r="AC459" s="164"/>
    </row>
    <row r="460" spans="1:29" s="174" customFormat="1" ht="15.75" hidden="1" x14ac:dyDescent="0.2">
      <c r="A460" s="259"/>
      <c r="B460" s="172">
        <v>4</v>
      </c>
      <c r="C460" s="172"/>
      <c r="D460" s="172"/>
      <c r="E460" s="172"/>
      <c r="F460" s="172"/>
      <c r="G460" s="172"/>
      <c r="H460" s="14" t="s">
        <v>552</v>
      </c>
      <c r="I460" s="20"/>
      <c r="J460" s="55">
        <f t="shared" si="296"/>
        <v>0</v>
      </c>
      <c r="K460" s="20">
        <f t="shared" si="296"/>
        <v>1300000</v>
      </c>
      <c r="L460" s="20">
        <f t="shared" si="296"/>
        <v>1300000</v>
      </c>
      <c r="M460" s="20">
        <f t="shared" si="297"/>
        <v>100</v>
      </c>
      <c r="N460" s="20">
        <f t="shared" si="298"/>
        <v>-1300000</v>
      </c>
      <c r="O460" s="20">
        <f t="shared" si="299"/>
        <v>0</v>
      </c>
      <c r="P460" s="20">
        <f t="shared" si="299"/>
        <v>0</v>
      </c>
      <c r="Q460" s="20">
        <f t="shared" si="299"/>
        <v>0</v>
      </c>
      <c r="R460" s="26">
        <f t="shared" si="289"/>
        <v>0</v>
      </c>
      <c r="S460" s="20">
        <f t="shared" si="300"/>
        <v>0</v>
      </c>
      <c r="T460" s="20">
        <f t="shared" si="300"/>
        <v>0</v>
      </c>
      <c r="U460" s="20">
        <f t="shared" si="300"/>
        <v>0</v>
      </c>
      <c r="V460" s="55">
        <f t="shared" si="300"/>
        <v>0</v>
      </c>
      <c r="W460" s="20">
        <f t="shared" si="300"/>
        <v>0</v>
      </c>
      <c r="X460" s="20">
        <f t="shared" si="300"/>
        <v>0</v>
      </c>
      <c r="Y460" s="20">
        <f t="shared" si="300"/>
        <v>0</v>
      </c>
      <c r="Z460" s="162" t="b">
        <f t="shared" si="292"/>
        <v>1</v>
      </c>
      <c r="AA460" s="162" t="str">
        <f t="shared" si="293"/>
        <v>PRAZNO</v>
      </c>
      <c r="AB460" s="173"/>
      <c r="AC460" s="164"/>
    </row>
    <row r="461" spans="1:29" ht="15.75" hidden="1" x14ac:dyDescent="0.2">
      <c r="B461" s="177"/>
      <c r="C461" s="177">
        <v>42</v>
      </c>
      <c r="D461" s="177"/>
      <c r="E461" s="177"/>
      <c r="F461" s="176"/>
      <c r="G461" s="176"/>
      <c r="H461" s="41" t="s">
        <v>212</v>
      </c>
      <c r="I461" s="17"/>
      <c r="J461" s="26">
        <f t="shared" si="296"/>
        <v>0</v>
      </c>
      <c r="K461" s="17">
        <f t="shared" si="296"/>
        <v>1300000</v>
      </c>
      <c r="L461" s="17">
        <f t="shared" si="296"/>
        <v>1300000</v>
      </c>
      <c r="M461" s="17">
        <f t="shared" si="297"/>
        <v>100</v>
      </c>
      <c r="N461" s="17">
        <f t="shared" si="298"/>
        <v>-1300000</v>
      </c>
      <c r="O461" s="17">
        <f t="shared" si="299"/>
        <v>0</v>
      </c>
      <c r="P461" s="17">
        <f t="shared" si="299"/>
        <v>0</v>
      </c>
      <c r="Q461" s="17">
        <f t="shared" si="299"/>
        <v>0</v>
      </c>
      <c r="R461" s="26">
        <f t="shared" si="289"/>
        <v>0</v>
      </c>
      <c r="S461" s="17">
        <f t="shared" si="300"/>
        <v>0</v>
      </c>
      <c r="T461" s="17">
        <f t="shared" si="300"/>
        <v>0</v>
      </c>
      <c r="U461" s="17">
        <f t="shared" si="300"/>
        <v>0</v>
      </c>
      <c r="V461" s="26">
        <f t="shared" si="300"/>
        <v>0</v>
      </c>
      <c r="W461" s="17">
        <f t="shared" si="300"/>
        <v>0</v>
      </c>
      <c r="X461" s="17">
        <f t="shared" si="300"/>
        <v>0</v>
      </c>
      <c r="Y461" s="17">
        <f t="shared" si="300"/>
        <v>0</v>
      </c>
      <c r="Z461" s="162" t="b">
        <f t="shared" si="292"/>
        <v>1</v>
      </c>
      <c r="AA461" s="162" t="str">
        <f t="shared" si="293"/>
        <v>PRAZNO</v>
      </c>
      <c r="AC461" s="164"/>
    </row>
    <row r="462" spans="1:29" ht="15.75" hidden="1" x14ac:dyDescent="0.2">
      <c r="B462" s="177"/>
      <c r="C462" s="177"/>
      <c r="D462" s="177">
        <v>421</v>
      </c>
      <c r="E462" s="177"/>
      <c r="F462" s="176"/>
      <c r="G462" s="176"/>
      <c r="H462" s="41" t="s">
        <v>759</v>
      </c>
      <c r="I462" s="17"/>
      <c r="J462" s="26">
        <f t="shared" si="296"/>
        <v>0</v>
      </c>
      <c r="K462" s="17">
        <f t="shared" si="296"/>
        <v>1300000</v>
      </c>
      <c r="L462" s="17">
        <f t="shared" si="296"/>
        <v>1300000</v>
      </c>
      <c r="M462" s="17">
        <f t="shared" si="297"/>
        <v>100</v>
      </c>
      <c r="N462" s="17">
        <f t="shared" si="298"/>
        <v>-1300000</v>
      </c>
      <c r="O462" s="17">
        <f t="shared" si="299"/>
        <v>0</v>
      </c>
      <c r="P462" s="17">
        <f t="shared" si="299"/>
        <v>0</v>
      </c>
      <c r="Q462" s="17">
        <f t="shared" si="299"/>
        <v>0</v>
      </c>
      <c r="R462" s="26">
        <f t="shared" si="289"/>
        <v>0</v>
      </c>
      <c r="S462" s="17">
        <f t="shared" si="300"/>
        <v>0</v>
      </c>
      <c r="T462" s="17">
        <f t="shared" si="300"/>
        <v>0</v>
      </c>
      <c r="U462" s="17">
        <f t="shared" si="300"/>
        <v>0</v>
      </c>
      <c r="V462" s="26">
        <f t="shared" si="300"/>
        <v>0</v>
      </c>
      <c r="W462" s="17">
        <f t="shared" si="300"/>
        <v>0</v>
      </c>
      <c r="X462" s="17">
        <f t="shared" si="300"/>
        <v>0</v>
      </c>
      <c r="Y462" s="17">
        <f t="shared" si="300"/>
        <v>0</v>
      </c>
      <c r="Z462" s="162" t="b">
        <f t="shared" si="292"/>
        <v>1</v>
      </c>
      <c r="AA462" s="162" t="str">
        <f t="shared" si="293"/>
        <v>PRAZNO</v>
      </c>
      <c r="AC462" s="164"/>
    </row>
    <row r="463" spans="1:29" ht="15.75" hidden="1" x14ac:dyDescent="0.2">
      <c r="B463" s="177"/>
      <c r="C463" s="177"/>
      <c r="D463" s="177"/>
      <c r="E463" s="177">
        <v>4212</v>
      </c>
      <c r="F463" s="176">
        <v>81</v>
      </c>
      <c r="G463" s="176"/>
      <c r="H463" s="41" t="s">
        <v>649</v>
      </c>
      <c r="I463" s="17"/>
      <c r="J463" s="26">
        <v>0</v>
      </c>
      <c r="K463" s="17">
        <v>1300000</v>
      </c>
      <c r="L463" s="17">
        <v>1300000</v>
      </c>
      <c r="M463" s="17">
        <f t="shared" si="297"/>
        <v>100</v>
      </c>
      <c r="N463" s="17">
        <f t="shared" si="298"/>
        <v>-1300000</v>
      </c>
      <c r="O463" s="17">
        <v>0</v>
      </c>
      <c r="P463" s="17">
        <v>0</v>
      </c>
      <c r="Q463" s="17">
        <v>0</v>
      </c>
      <c r="R463" s="26">
        <f t="shared" si="289"/>
        <v>0</v>
      </c>
      <c r="S463" s="17">
        <v>0</v>
      </c>
      <c r="T463" s="17">
        <v>0</v>
      </c>
      <c r="U463" s="17">
        <v>0</v>
      </c>
      <c r="V463" s="26"/>
      <c r="W463" s="17"/>
      <c r="X463" s="17"/>
      <c r="Y463" s="17"/>
      <c r="Z463" s="162" t="b">
        <f t="shared" si="292"/>
        <v>0</v>
      </c>
      <c r="AA463" s="162" t="str">
        <f t="shared" si="293"/>
        <v>PUNO</v>
      </c>
      <c r="AC463" s="164"/>
    </row>
    <row r="464" spans="1:29" s="171" customFormat="1" ht="15.75" hidden="1" x14ac:dyDescent="0.2">
      <c r="A464" s="259"/>
      <c r="B464" s="168"/>
      <c r="C464" s="168"/>
      <c r="D464" s="168"/>
      <c r="E464" s="168"/>
      <c r="F464" s="168"/>
      <c r="G464" s="168"/>
      <c r="H464" s="13" t="s">
        <v>605</v>
      </c>
      <c r="I464" s="19">
        <f>I466</f>
        <v>0</v>
      </c>
      <c r="J464" s="53">
        <f>J466</f>
        <v>0</v>
      </c>
      <c r="K464" s="169">
        <f>K466</f>
        <v>50000</v>
      </c>
      <c r="L464" s="169">
        <f>L466</f>
        <v>0</v>
      </c>
      <c r="M464" s="169">
        <f t="shared" si="297"/>
        <v>0</v>
      </c>
      <c r="N464" s="169">
        <f t="shared" si="298"/>
        <v>-50000</v>
      </c>
      <c r="O464" s="19">
        <f>O466</f>
        <v>0</v>
      </c>
      <c r="P464" s="19">
        <f>P466</f>
        <v>0</v>
      </c>
      <c r="Q464" s="19">
        <f>Q466</f>
        <v>0</v>
      </c>
      <c r="R464" s="26">
        <f t="shared" si="289"/>
        <v>0</v>
      </c>
      <c r="S464" s="19">
        <f t="shared" ref="S464:Y464" si="301">S466</f>
        <v>0</v>
      </c>
      <c r="T464" s="19">
        <f t="shared" si="301"/>
        <v>0</v>
      </c>
      <c r="U464" s="19">
        <f t="shared" si="301"/>
        <v>0</v>
      </c>
      <c r="V464" s="53">
        <f t="shared" si="301"/>
        <v>0</v>
      </c>
      <c r="W464" s="19">
        <f t="shared" si="301"/>
        <v>0</v>
      </c>
      <c r="X464" s="19">
        <f t="shared" si="301"/>
        <v>0</v>
      </c>
      <c r="Y464" s="19">
        <f t="shared" si="301"/>
        <v>0</v>
      </c>
      <c r="Z464" s="162" t="b">
        <f t="shared" si="292"/>
        <v>1</v>
      </c>
      <c r="AA464" s="162" t="str">
        <f t="shared" si="293"/>
        <v>PRAZNO</v>
      </c>
      <c r="AB464" s="170"/>
      <c r="AC464" s="164"/>
    </row>
    <row r="465" spans="1:29" s="174" customFormat="1" ht="15.75" hidden="1" x14ac:dyDescent="0.2">
      <c r="A465" s="259"/>
      <c r="B465" s="172">
        <v>4</v>
      </c>
      <c r="C465" s="172"/>
      <c r="D465" s="172"/>
      <c r="E465" s="172"/>
      <c r="F465" s="172"/>
      <c r="G465" s="172"/>
      <c r="H465" s="14" t="s">
        <v>552</v>
      </c>
      <c r="I465" s="20">
        <f t="shared" ref="I465:L467" si="302">I466</f>
        <v>0</v>
      </c>
      <c r="J465" s="55">
        <f t="shared" si="302"/>
        <v>0</v>
      </c>
      <c r="K465" s="20">
        <f t="shared" si="302"/>
        <v>50000</v>
      </c>
      <c r="L465" s="20">
        <f t="shared" si="302"/>
        <v>0</v>
      </c>
      <c r="M465" s="20">
        <f t="shared" si="297"/>
        <v>0</v>
      </c>
      <c r="N465" s="20">
        <f t="shared" si="298"/>
        <v>-50000</v>
      </c>
      <c r="O465" s="20">
        <f t="shared" ref="O465:Q467" si="303">O466</f>
        <v>0</v>
      </c>
      <c r="P465" s="20">
        <f t="shared" si="303"/>
        <v>0</v>
      </c>
      <c r="Q465" s="20">
        <f t="shared" si="303"/>
        <v>0</v>
      </c>
      <c r="R465" s="26">
        <f t="shared" si="289"/>
        <v>0</v>
      </c>
      <c r="S465" s="20">
        <f t="shared" ref="S465:Y467" si="304">S466</f>
        <v>0</v>
      </c>
      <c r="T465" s="20">
        <f t="shared" si="304"/>
        <v>0</v>
      </c>
      <c r="U465" s="20">
        <f t="shared" si="304"/>
        <v>0</v>
      </c>
      <c r="V465" s="55">
        <f t="shared" si="304"/>
        <v>0</v>
      </c>
      <c r="W465" s="20">
        <f t="shared" si="304"/>
        <v>0</v>
      </c>
      <c r="X465" s="20">
        <f t="shared" si="304"/>
        <v>0</v>
      </c>
      <c r="Y465" s="20">
        <f t="shared" si="304"/>
        <v>0</v>
      </c>
      <c r="Z465" s="162" t="b">
        <f t="shared" si="292"/>
        <v>1</v>
      </c>
      <c r="AA465" s="162" t="str">
        <f t="shared" si="293"/>
        <v>PRAZNO</v>
      </c>
      <c r="AB465" s="173"/>
      <c r="AC465" s="164"/>
    </row>
    <row r="466" spans="1:29" ht="28.5" hidden="1" customHeight="1" x14ac:dyDescent="0.2">
      <c r="B466" s="177"/>
      <c r="C466" s="177">
        <v>45</v>
      </c>
      <c r="D466" s="177"/>
      <c r="E466" s="177"/>
      <c r="F466" s="177"/>
      <c r="G466" s="177"/>
      <c r="H466" s="40" t="s">
        <v>808</v>
      </c>
      <c r="I466" s="17">
        <f t="shared" si="302"/>
        <v>0</v>
      </c>
      <c r="J466" s="26">
        <f t="shared" si="302"/>
        <v>0</v>
      </c>
      <c r="K466" s="17">
        <f t="shared" si="302"/>
        <v>50000</v>
      </c>
      <c r="L466" s="17">
        <f t="shared" si="302"/>
        <v>0</v>
      </c>
      <c r="M466" s="17">
        <f t="shared" si="297"/>
        <v>0</v>
      </c>
      <c r="N466" s="17">
        <f t="shared" si="298"/>
        <v>-50000</v>
      </c>
      <c r="O466" s="17">
        <f t="shared" si="303"/>
        <v>0</v>
      </c>
      <c r="P466" s="17">
        <f t="shared" si="303"/>
        <v>0</v>
      </c>
      <c r="Q466" s="17">
        <f t="shared" si="303"/>
        <v>0</v>
      </c>
      <c r="R466" s="26">
        <f t="shared" si="289"/>
        <v>0</v>
      </c>
      <c r="S466" s="17">
        <f t="shared" si="304"/>
        <v>0</v>
      </c>
      <c r="T466" s="17">
        <f t="shared" si="304"/>
        <v>0</v>
      </c>
      <c r="U466" s="17">
        <f t="shared" si="304"/>
        <v>0</v>
      </c>
      <c r="V466" s="26">
        <f t="shared" si="304"/>
        <v>0</v>
      </c>
      <c r="W466" s="17">
        <f t="shared" si="304"/>
        <v>0</v>
      </c>
      <c r="X466" s="17">
        <f t="shared" si="304"/>
        <v>0</v>
      </c>
      <c r="Y466" s="17">
        <f t="shared" si="304"/>
        <v>0</v>
      </c>
      <c r="Z466" s="162" t="b">
        <f t="shared" si="292"/>
        <v>1</v>
      </c>
      <c r="AA466" s="162" t="str">
        <f t="shared" si="293"/>
        <v>PRAZNO</v>
      </c>
      <c r="AC466" s="164"/>
    </row>
    <row r="467" spans="1:29" ht="15.75" hidden="1" x14ac:dyDescent="0.2">
      <c r="B467" s="177"/>
      <c r="C467" s="177"/>
      <c r="D467" s="177">
        <v>451</v>
      </c>
      <c r="E467" s="177"/>
      <c r="F467" s="177"/>
      <c r="G467" s="177"/>
      <c r="H467" s="43" t="s">
        <v>809</v>
      </c>
      <c r="I467" s="17">
        <f t="shared" si="302"/>
        <v>0</v>
      </c>
      <c r="J467" s="26">
        <f t="shared" si="302"/>
        <v>0</v>
      </c>
      <c r="K467" s="17">
        <f t="shared" si="302"/>
        <v>50000</v>
      </c>
      <c r="L467" s="17">
        <f t="shared" si="302"/>
        <v>0</v>
      </c>
      <c r="M467" s="17">
        <f t="shared" si="297"/>
        <v>0</v>
      </c>
      <c r="N467" s="17">
        <f t="shared" si="298"/>
        <v>-50000</v>
      </c>
      <c r="O467" s="17">
        <f t="shared" si="303"/>
        <v>0</v>
      </c>
      <c r="P467" s="17">
        <f t="shared" si="303"/>
        <v>0</v>
      </c>
      <c r="Q467" s="17">
        <f t="shared" si="303"/>
        <v>0</v>
      </c>
      <c r="R467" s="26">
        <f t="shared" ref="R467:R477" si="305">V467-P467</f>
        <v>0</v>
      </c>
      <c r="S467" s="17">
        <f t="shared" si="304"/>
        <v>0</v>
      </c>
      <c r="T467" s="17">
        <f t="shared" si="304"/>
        <v>0</v>
      </c>
      <c r="U467" s="17">
        <f t="shared" si="304"/>
        <v>0</v>
      </c>
      <c r="V467" s="26">
        <f t="shared" si="304"/>
        <v>0</v>
      </c>
      <c r="W467" s="17">
        <f t="shared" si="304"/>
        <v>0</v>
      </c>
      <c r="X467" s="17">
        <f t="shared" si="304"/>
        <v>0</v>
      </c>
      <c r="Y467" s="17">
        <f t="shared" si="304"/>
        <v>0</v>
      </c>
      <c r="Z467" s="162" t="b">
        <f t="shared" si="292"/>
        <v>1</v>
      </c>
      <c r="AA467" s="162" t="str">
        <f t="shared" si="293"/>
        <v>PRAZNO</v>
      </c>
      <c r="AC467" s="164"/>
    </row>
    <row r="468" spans="1:29" ht="15.75" hidden="1" x14ac:dyDescent="0.2">
      <c r="B468" s="177"/>
      <c r="C468" s="177"/>
      <c r="D468" s="177"/>
      <c r="E468" s="177">
        <v>4511</v>
      </c>
      <c r="F468" s="176">
        <v>51</v>
      </c>
      <c r="G468" s="176"/>
      <c r="H468" s="41" t="s">
        <v>809</v>
      </c>
      <c r="I468" s="17">
        <v>0</v>
      </c>
      <c r="J468" s="26">
        <v>0</v>
      </c>
      <c r="K468" s="17">
        <v>50000</v>
      </c>
      <c r="L468" s="17">
        <v>0</v>
      </c>
      <c r="M468" s="17">
        <f t="shared" si="297"/>
        <v>0</v>
      </c>
      <c r="N468" s="17">
        <f t="shared" si="298"/>
        <v>-50000</v>
      </c>
      <c r="O468" s="17"/>
      <c r="P468" s="17">
        <v>0</v>
      </c>
      <c r="Q468" s="17"/>
      <c r="R468" s="26">
        <f t="shared" si="305"/>
        <v>0</v>
      </c>
      <c r="S468" s="17">
        <v>0</v>
      </c>
      <c r="T468" s="17">
        <v>0</v>
      </c>
      <c r="U468" s="17">
        <v>0</v>
      </c>
      <c r="V468" s="26"/>
      <c r="W468" s="17"/>
      <c r="X468" s="17"/>
      <c r="Y468" s="17"/>
      <c r="Z468" s="162" t="b">
        <f t="shared" si="292"/>
        <v>0</v>
      </c>
      <c r="AA468" s="162" t="str">
        <f t="shared" si="293"/>
        <v>PUNO</v>
      </c>
      <c r="AC468" s="164"/>
    </row>
    <row r="469" spans="1:29" s="171" customFormat="1" ht="15.75" hidden="1" x14ac:dyDescent="0.2">
      <c r="A469" s="259"/>
      <c r="B469" s="168"/>
      <c r="C469" s="168"/>
      <c r="D469" s="168"/>
      <c r="E469" s="168"/>
      <c r="F469" s="168"/>
      <c r="G469" s="168"/>
      <c r="H469" s="13" t="s">
        <v>470</v>
      </c>
      <c r="I469" s="19">
        <f t="shared" ref="I469:L472" si="306">I470</f>
        <v>0</v>
      </c>
      <c r="J469" s="53">
        <f t="shared" si="306"/>
        <v>0</v>
      </c>
      <c r="K469" s="169">
        <f t="shared" si="306"/>
        <v>0</v>
      </c>
      <c r="L469" s="169">
        <f t="shared" si="306"/>
        <v>0</v>
      </c>
      <c r="M469" s="169" t="e">
        <f t="shared" si="297"/>
        <v>#DIV/0!</v>
      </c>
      <c r="N469" s="169">
        <f t="shared" si="298"/>
        <v>0</v>
      </c>
      <c r="O469" s="19">
        <f t="shared" ref="O469:Q472" si="307">O470</f>
        <v>0</v>
      </c>
      <c r="P469" s="19">
        <f t="shared" si="307"/>
        <v>0</v>
      </c>
      <c r="Q469" s="19">
        <f t="shared" si="307"/>
        <v>0</v>
      </c>
      <c r="R469" s="26">
        <f t="shared" si="305"/>
        <v>0</v>
      </c>
      <c r="S469" s="19">
        <f t="shared" ref="S469:Y472" si="308">S470</f>
        <v>0</v>
      </c>
      <c r="T469" s="19">
        <f t="shared" si="308"/>
        <v>0</v>
      </c>
      <c r="U469" s="19">
        <f t="shared" si="308"/>
        <v>0</v>
      </c>
      <c r="V469" s="53">
        <f t="shared" si="308"/>
        <v>0</v>
      </c>
      <c r="W469" s="19">
        <f t="shared" si="308"/>
        <v>0</v>
      </c>
      <c r="X469" s="19">
        <f t="shared" si="308"/>
        <v>0</v>
      </c>
      <c r="Y469" s="19">
        <f t="shared" si="308"/>
        <v>0</v>
      </c>
      <c r="Z469" s="162" t="b">
        <f t="shared" si="292"/>
        <v>1</v>
      </c>
      <c r="AA469" s="162" t="str">
        <f t="shared" si="293"/>
        <v>PRAZNO</v>
      </c>
      <c r="AB469" s="170"/>
      <c r="AC469" s="164"/>
    </row>
    <row r="470" spans="1:29" s="174" customFormat="1" ht="15.75" hidden="1" x14ac:dyDescent="0.2">
      <c r="A470" s="259"/>
      <c r="B470" s="172">
        <v>4</v>
      </c>
      <c r="C470" s="172"/>
      <c r="D470" s="172"/>
      <c r="E470" s="172"/>
      <c r="F470" s="172"/>
      <c r="G470" s="172"/>
      <c r="H470" s="14" t="s">
        <v>552</v>
      </c>
      <c r="I470" s="20">
        <f t="shared" si="306"/>
        <v>0</v>
      </c>
      <c r="J470" s="55">
        <f t="shared" si="306"/>
        <v>0</v>
      </c>
      <c r="K470" s="20">
        <f t="shared" si="306"/>
        <v>0</v>
      </c>
      <c r="L470" s="20">
        <f t="shared" si="306"/>
        <v>0</v>
      </c>
      <c r="M470" s="20" t="e">
        <f t="shared" si="297"/>
        <v>#DIV/0!</v>
      </c>
      <c r="N470" s="20">
        <f t="shared" si="298"/>
        <v>0</v>
      </c>
      <c r="O470" s="20">
        <f t="shared" si="307"/>
        <v>0</v>
      </c>
      <c r="P470" s="20">
        <f t="shared" si="307"/>
        <v>0</v>
      </c>
      <c r="Q470" s="20">
        <f t="shared" si="307"/>
        <v>0</v>
      </c>
      <c r="R470" s="26">
        <f t="shared" si="305"/>
        <v>0</v>
      </c>
      <c r="S470" s="20">
        <f t="shared" si="308"/>
        <v>0</v>
      </c>
      <c r="T470" s="20">
        <f t="shared" si="308"/>
        <v>0</v>
      </c>
      <c r="U470" s="20">
        <f t="shared" si="308"/>
        <v>0</v>
      </c>
      <c r="V470" s="55">
        <f t="shared" si="308"/>
        <v>0</v>
      </c>
      <c r="W470" s="20">
        <f t="shared" si="308"/>
        <v>0</v>
      </c>
      <c r="X470" s="20">
        <f t="shared" si="308"/>
        <v>0</v>
      </c>
      <c r="Y470" s="20">
        <f t="shared" si="308"/>
        <v>0</v>
      </c>
      <c r="Z470" s="162" t="b">
        <f t="shared" si="292"/>
        <v>1</v>
      </c>
      <c r="AA470" s="162" t="str">
        <f t="shared" si="293"/>
        <v>PRAZNO</v>
      </c>
      <c r="AB470" s="173"/>
      <c r="AC470" s="164"/>
    </row>
    <row r="471" spans="1:29" ht="30" hidden="1" customHeight="1" x14ac:dyDescent="0.2">
      <c r="B471" s="177"/>
      <c r="C471" s="177">
        <v>45</v>
      </c>
      <c r="D471" s="177"/>
      <c r="E471" s="177"/>
      <c r="F471" s="177"/>
      <c r="G471" s="177"/>
      <c r="H471" s="40" t="s">
        <v>808</v>
      </c>
      <c r="I471" s="17">
        <f t="shared" si="306"/>
        <v>0</v>
      </c>
      <c r="J471" s="26">
        <f t="shared" si="306"/>
        <v>0</v>
      </c>
      <c r="K471" s="17">
        <f t="shared" si="306"/>
        <v>0</v>
      </c>
      <c r="L471" s="17">
        <f t="shared" si="306"/>
        <v>0</v>
      </c>
      <c r="M471" s="17" t="e">
        <f t="shared" si="297"/>
        <v>#DIV/0!</v>
      </c>
      <c r="N471" s="17">
        <f t="shared" si="298"/>
        <v>0</v>
      </c>
      <c r="O471" s="17">
        <f t="shared" si="307"/>
        <v>0</v>
      </c>
      <c r="P471" s="17">
        <f t="shared" si="307"/>
        <v>0</v>
      </c>
      <c r="Q471" s="17">
        <f t="shared" si="307"/>
        <v>0</v>
      </c>
      <c r="R471" s="26">
        <f t="shared" si="305"/>
        <v>0</v>
      </c>
      <c r="S471" s="17">
        <f t="shared" si="308"/>
        <v>0</v>
      </c>
      <c r="T471" s="17">
        <f t="shared" si="308"/>
        <v>0</v>
      </c>
      <c r="U471" s="17">
        <f t="shared" si="308"/>
        <v>0</v>
      </c>
      <c r="V471" s="26">
        <f t="shared" si="308"/>
        <v>0</v>
      </c>
      <c r="W471" s="17">
        <f t="shared" si="308"/>
        <v>0</v>
      </c>
      <c r="X471" s="17">
        <f t="shared" si="308"/>
        <v>0</v>
      </c>
      <c r="Y471" s="17">
        <f t="shared" si="308"/>
        <v>0</v>
      </c>
      <c r="Z471" s="162" t="b">
        <f t="shared" si="292"/>
        <v>1</v>
      </c>
      <c r="AA471" s="162" t="str">
        <f t="shared" si="293"/>
        <v>PRAZNO</v>
      </c>
      <c r="AC471" s="164"/>
    </row>
    <row r="472" spans="1:29" ht="15.75" hidden="1" x14ac:dyDescent="0.2">
      <c r="B472" s="177"/>
      <c r="C472" s="177"/>
      <c r="D472" s="177">
        <v>451</v>
      </c>
      <c r="E472" s="177"/>
      <c r="F472" s="177"/>
      <c r="G472" s="177"/>
      <c r="H472" s="43" t="s">
        <v>809</v>
      </c>
      <c r="I472" s="26">
        <f t="shared" si="306"/>
        <v>0</v>
      </c>
      <c r="J472" s="26">
        <f t="shared" si="306"/>
        <v>0</v>
      </c>
      <c r="K472" s="26">
        <f t="shared" si="306"/>
        <v>0</v>
      </c>
      <c r="L472" s="26">
        <f t="shared" si="306"/>
        <v>0</v>
      </c>
      <c r="M472" s="17" t="e">
        <f t="shared" si="297"/>
        <v>#DIV/0!</v>
      </c>
      <c r="N472" s="26">
        <f t="shared" si="298"/>
        <v>0</v>
      </c>
      <c r="O472" s="26">
        <f t="shared" si="307"/>
        <v>0</v>
      </c>
      <c r="P472" s="26">
        <f t="shared" si="307"/>
        <v>0</v>
      </c>
      <c r="Q472" s="26">
        <f t="shared" si="307"/>
        <v>0</v>
      </c>
      <c r="R472" s="26">
        <f t="shared" si="305"/>
        <v>0</v>
      </c>
      <c r="S472" s="26">
        <f t="shared" si="308"/>
        <v>0</v>
      </c>
      <c r="T472" s="26">
        <f t="shared" si="308"/>
        <v>0</v>
      </c>
      <c r="U472" s="26">
        <f t="shared" si="308"/>
        <v>0</v>
      </c>
      <c r="V472" s="26">
        <f t="shared" si="308"/>
        <v>0</v>
      </c>
      <c r="W472" s="26">
        <f t="shared" si="308"/>
        <v>0</v>
      </c>
      <c r="X472" s="26">
        <f t="shared" si="308"/>
        <v>0</v>
      </c>
      <c r="Y472" s="26">
        <f t="shared" si="308"/>
        <v>0</v>
      </c>
      <c r="Z472" s="162" t="b">
        <f t="shared" si="292"/>
        <v>1</v>
      </c>
      <c r="AA472" s="162" t="str">
        <f t="shared" si="293"/>
        <v>PRAZNO</v>
      </c>
      <c r="AC472" s="164"/>
    </row>
    <row r="473" spans="1:29" ht="15.75" hidden="1" x14ac:dyDescent="0.2">
      <c r="B473" s="177"/>
      <c r="C473" s="177"/>
      <c r="D473" s="177"/>
      <c r="E473" s="177">
        <v>4511</v>
      </c>
      <c r="F473" s="176" t="s">
        <v>537</v>
      </c>
      <c r="G473" s="176"/>
      <c r="H473" s="41" t="s">
        <v>809</v>
      </c>
      <c r="I473" s="17">
        <v>0</v>
      </c>
      <c r="J473" s="26">
        <v>0</v>
      </c>
      <c r="K473" s="17">
        <v>0</v>
      </c>
      <c r="L473" s="17"/>
      <c r="M473" s="17" t="e">
        <f t="shared" si="297"/>
        <v>#DIV/0!</v>
      </c>
      <c r="N473" s="17">
        <f t="shared" si="298"/>
        <v>0</v>
      </c>
      <c r="O473" s="17"/>
      <c r="P473" s="17"/>
      <c r="Q473" s="17"/>
      <c r="R473" s="26">
        <f t="shared" si="305"/>
        <v>0</v>
      </c>
      <c r="S473" s="17"/>
      <c r="T473" s="17"/>
      <c r="U473" s="17"/>
      <c r="V473" s="26"/>
      <c r="W473" s="17"/>
      <c r="X473" s="17"/>
      <c r="Y473" s="17"/>
      <c r="Z473" s="162" t="b">
        <f t="shared" si="292"/>
        <v>0</v>
      </c>
      <c r="AA473" s="162" t="str">
        <f t="shared" si="293"/>
        <v>PUNO</v>
      </c>
      <c r="AC473" s="164"/>
    </row>
    <row r="474" spans="1:29" ht="15.75" hidden="1" x14ac:dyDescent="0.2">
      <c r="B474" s="177"/>
      <c r="C474" s="177"/>
      <c r="D474" s="177"/>
      <c r="E474" s="177">
        <v>4212</v>
      </c>
      <c r="F474" s="176">
        <v>14</v>
      </c>
      <c r="G474" s="176"/>
      <c r="H474" s="41" t="s">
        <v>649</v>
      </c>
      <c r="I474" s="17"/>
      <c r="J474" s="26"/>
      <c r="K474" s="17"/>
      <c r="L474" s="17"/>
      <c r="M474" s="17"/>
      <c r="N474" s="17"/>
      <c r="O474" s="17"/>
      <c r="P474" s="17">
        <v>0</v>
      </c>
      <c r="Q474" s="17">
        <v>0</v>
      </c>
      <c r="R474" s="26">
        <f t="shared" si="305"/>
        <v>0</v>
      </c>
      <c r="S474" s="17"/>
      <c r="T474" s="17"/>
      <c r="U474" s="17"/>
      <c r="V474" s="353">
        <v>0</v>
      </c>
      <c r="W474" s="17">
        <v>0</v>
      </c>
      <c r="X474" s="17">
        <v>0</v>
      </c>
      <c r="Y474" s="17">
        <v>0</v>
      </c>
      <c r="Z474" s="162" t="b">
        <f t="shared" si="292"/>
        <v>0</v>
      </c>
      <c r="AA474" s="162" t="str">
        <f t="shared" si="293"/>
        <v>PUNO</v>
      </c>
      <c r="AC474" s="164"/>
    </row>
    <row r="475" spans="1:29" ht="15.75" hidden="1" x14ac:dyDescent="0.2">
      <c r="B475" s="177"/>
      <c r="C475" s="177"/>
      <c r="D475" s="177"/>
      <c r="E475" s="177">
        <v>4212</v>
      </c>
      <c r="F475" s="176">
        <v>52</v>
      </c>
      <c r="G475" s="176"/>
      <c r="H475" s="41" t="s">
        <v>649</v>
      </c>
      <c r="I475" s="17"/>
      <c r="J475" s="26"/>
      <c r="K475" s="17"/>
      <c r="L475" s="17"/>
      <c r="M475" s="17"/>
      <c r="N475" s="17"/>
      <c r="O475" s="17"/>
      <c r="P475" s="17">
        <v>0</v>
      </c>
      <c r="Q475" s="17">
        <v>0</v>
      </c>
      <c r="R475" s="26">
        <f t="shared" si="305"/>
        <v>0</v>
      </c>
      <c r="S475" s="17"/>
      <c r="T475" s="17"/>
      <c r="U475" s="17"/>
      <c r="V475" s="353">
        <v>0</v>
      </c>
      <c r="W475" s="17"/>
      <c r="X475" s="17"/>
      <c r="Y475" s="17"/>
      <c r="Z475" s="162" t="b">
        <f t="shared" si="292"/>
        <v>0</v>
      </c>
      <c r="AA475" s="162" t="str">
        <f t="shared" si="293"/>
        <v>PUNO</v>
      </c>
      <c r="AC475" s="164"/>
    </row>
    <row r="476" spans="1:29" ht="15.75" hidden="1" x14ac:dyDescent="0.2">
      <c r="B476" s="177"/>
      <c r="C476" s="177"/>
      <c r="D476" s="177"/>
      <c r="E476" s="177">
        <v>4212</v>
      </c>
      <c r="F476" s="176">
        <v>54</v>
      </c>
      <c r="G476" s="176"/>
      <c r="H476" s="41" t="s">
        <v>649</v>
      </c>
      <c r="I476" s="17"/>
      <c r="J476" s="26">
        <v>0</v>
      </c>
      <c r="K476" s="17"/>
      <c r="L476" s="17"/>
      <c r="M476" s="17"/>
      <c r="N476" s="17"/>
      <c r="O476" s="17">
        <v>0</v>
      </c>
      <c r="P476" s="17">
        <v>0</v>
      </c>
      <c r="Q476" s="17">
        <v>0</v>
      </c>
      <c r="R476" s="26">
        <f t="shared" si="305"/>
        <v>0</v>
      </c>
      <c r="S476" s="17"/>
      <c r="T476" s="17"/>
      <c r="U476" s="17"/>
      <c r="V476" s="353">
        <v>0</v>
      </c>
      <c r="W476" s="17">
        <v>0</v>
      </c>
      <c r="X476" s="17">
        <v>0</v>
      </c>
      <c r="Y476" s="17">
        <v>0</v>
      </c>
      <c r="Z476" s="162" t="b">
        <f t="shared" si="292"/>
        <v>0</v>
      </c>
      <c r="AA476" s="162" t="str">
        <f t="shared" si="293"/>
        <v>PUNO</v>
      </c>
      <c r="AC476" s="164"/>
    </row>
    <row r="477" spans="1:29" s="171" customFormat="1" ht="15.75" x14ac:dyDescent="0.2">
      <c r="A477" s="259"/>
      <c r="B477" s="209"/>
      <c r="C477" s="209"/>
      <c r="D477" s="209"/>
      <c r="E477" s="209"/>
      <c r="F477" s="219"/>
      <c r="G477" s="219"/>
      <c r="H477" s="12" t="s">
        <v>610</v>
      </c>
      <c r="I477" s="242"/>
      <c r="J477" s="243">
        <f>J479</f>
        <v>0</v>
      </c>
      <c r="K477" s="242"/>
      <c r="L477" s="242"/>
      <c r="M477" s="242"/>
      <c r="N477" s="242"/>
      <c r="O477" s="243">
        <f>O479</f>
        <v>0</v>
      </c>
      <c r="P477" s="305">
        <f>P479</f>
        <v>118500</v>
      </c>
      <c r="Q477" s="305">
        <f>Q479</f>
        <v>0</v>
      </c>
      <c r="R477" s="303">
        <f t="shared" si="305"/>
        <v>0</v>
      </c>
      <c r="S477" s="243">
        <f t="shared" ref="S477:Y477" si="309">S479</f>
        <v>118500</v>
      </c>
      <c r="T477" s="243">
        <f t="shared" si="309"/>
        <v>500000</v>
      </c>
      <c r="U477" s="243">
        <f t="shared" si="309"/>
        <v>500000</v>
      </c>
      <c r="V477" s="305">
        <f t="shared" si="309"/>
        <v>118500</v>
      </c>
      <c r="W477" s="305">
        <f t="shared" si="309"/>
        <v>0</v>
      </c>
      <c r="X477" s="305">
        <f t="shared" si="309"/>
        <v>0</v>
      </c>
      <c r="Y477" s="305">
        <f t="shared" si="309"/>
        <v>2000000</v>
      </c>
      <c r="Z477" s="162" t="b">
        <f t="shared" si="292"/>
        <v>1</v>
      </c>
      <c r="AA477" s="162" t="str">
        <f t="shared" si="293"/>
        <v>PRAZNO</v>
      </c>
      <c r="AB477" s="170"/>
    </row>
    <row r="478" spans="1:29" s="264" customFormat="1" ht="19.5" customHeight="1" x14ac:dyDescent="0.2">
      <c r="A478" s="259"/>
      <c r="B478" s="177"/>
      <c r="C478" s="177"/>
      <c r="D478" s="177"/>
      <c r="E478" s="177"/>
      <c r="F478" s="265"/>
      <c r="G478" s="265"/>
      <c r="H478" s="441" t="s">
        <v>832</v>
      </c>
      <c r="I478" s="178"/>
      <c r="J478" s="266"/>
      <c r="K478" s="178"/>
      <c r="L478" s="178"/>
      <c r="M478" s="178"/>
      <c r="N478" s="178"/>
      <c r="O478" s="266"/>
      <c r="P478" s="430"/>
      <c r="Q478" s="430"/>
      <c r="R478" s="445"/>
      <c r="S478" s="266"/>
      <c r="T478" s="266"/>
      <c r="U478" s="266"/>
      <c r="V478" s="430"/>
      <c r="W478" s="430">
        <f t="shared" ref="W478:Y481" si="310">W479</f>
        <v>0</v>
      </c>
      <c r="X478" s="430">
        <f t="shared" si="310"/>
        <v>0</v>
      </c>
      <c r="Y478" s="430">
        <f t="shared" si="310"/>
        <v>2000000</v>
      </c>
      <c r="Z478" s="162" t="b">
        <f t="shared" si="292"/>
        <v>1</v>
      </c>
      <c r="AA478" s="162" t="str">
        <f t="shared" si="293"/>
        <v>PRAZNO</v>
      </c>
      <c r="AB478" s="263"/>
    </row>
    <row r="479" spans="1:29" s="174" customFormat="1" ht="15.75" x14ac:dyDescent="0.2">
      <c r="A479" s="259"/>
      <c r="B479" s="172">
        <v>4</v>
      </c>
      <c r="C479" s="172"/>
      <c r="D479" s="172"/>
      <c r="E479" s="172"/>
      <c r="F479" s="172"/>
      <c r="G479" s="172"/>
      <c r="H479" s="14" t="s">
        <v>552</v>
      </c>
      <c r="I479" s="184"/>
      <c r="J479" s="185">
        <f>J480</f>
        <v>0</v>
      </c>
      <c r="K479" s="184"/>
      <c r="L479" s="184"/>
      <c r="M479" s="184"/>
      <c r="N479" s="184"/>
      <c r="O479" s="185">
        <f t="shared" ref="O479:Q481" si="311">O480</f>
        <v>0</v>
      </c>
      <c r="P479" s="185">
        <f t="shared" si="311"/>
        <v>118500</v>
      </c>
      <c r="Q479" s="185">
        <f t="shared" si="311"/>
        <v>0</v>
      </c>
      <c r="R479" s="55">
        <f t="shared" ref="R479:R487" si="312">V479-P479</f>
        <v>0</v>
      </c>
      <c r="S479" s="185">
        <f t="shared" ref="S479:V481" si="313">S480</f>
        <v>118500</v>
      </c>
      <c r="T479" s="185">
        <f t="shared" si="313"/>
        <v>500000</v>
      </c>
      <c r="U479" s="185">
        <f t="shared" si="313"/>
        <v>500000</v>
      </c>
      <c r="V479" s="185">
        <f t="shared" si="313"/>
        <v>118500</v>
      </c>
      <c r="W479" s="185">
        <f t="shared" si="310"/>
        <v>0</v>
      </c>
      <c r="X479" s="185">
        <f t="shared" si="310"/>
        <v>0</v>
      </c>
      <c r="Y479" s="185">
        <f t="shared" si="310"/>
        <v>2000000</v>
      </c>
      <c r="Z479" s="162" t="b">
        <f t="shared" si="292"/>
        <v>1</v>
      </c>
      <c r="AA479" s="162" t="str">
        <f t="shared" si="293"/>
        <v>PRAZNO</v>
      </c>
      <c r="AB479" s="173"/>
    </row>
    <row r="480" spans="1:29" ht="27" customHeight="1" x14ac:dyDescent="0.2">
      <c r="B480" s="175"/>
      <c r="C480" s="175">
        <v>42</v>
      </c>
      <c r="D480" s="175"/>
      <c r="E480" s="175"/>
      <c r="F480" s="175"/>
      <c r="G480" s="175"/>
      <c r="H480" s="28" t="s">
        <v>212</v>
      </c>
      <c r="I480" s="18"/>
      <c r="J480" s="27">
        <f>J481</f>
        <v>0</v>
      </c>
      <c r="K480" s="18"/>
      <c r="L480" s="18"/>
      <c r="M480" s="18"/>
      <c r="N480" s="18"/>
      <c r="O480" s="27">
        <f t="shared" si="311"/>
        <v>0</v>
      </c>
      <c r="P480" s="27">
        <f t="shared" si="311"/>
        <v>118500</v>
      </c>
      <c r="Q480" s="27">
        <f t="shared" si="311"/>
        <v>0</v>
      </c>
      <c r="R480" s="26">
        <f t="shared" si="312"/>
        <v>0</v>
      </c>
      <c r="S480" s="27">
        <f t="shared" si="313"/>
        <v>118500</v>
      </c>
      <c r="T480" s="27">
        <f t="shared" si="313"/>
        <v>500000</v>
      </c>
      <c r="U480" s="27">
        <f t="shared" si="313"/>
        <v>500000</v>
      </c>
      <c r="V480" s="27">
        <f t="shared" si="313"/>
        <v>118500</v>
      </c>
      <c r="W480" s="27">
        <f t="shared" si="310"/>
        <v>0</v>
      </c>
      <c r="X480" s="27">
        <f t="shared" si="310"/>
        <v>0</v>
      </c>
      <c r="Y480" s="27">
        <f t="shared" si="310"/>
        <v>2000000</v>
      </c>
      <c r="Z480" s="162" t="b">
        <f t="shared" si="292"/>
        <v>1</v>
      </c>
      <c r="AA480" s="162" t="str">
        <f t="shared" si="293"/>
        <v>PRAZNO</v>
      </c>
      <c r="AC480" s="164"/>
    </row>
    <row r="481" spans="1:29" ht="15.75" x14ac:dyDescent="0.2">
      <c r="B481" s="177"/>
      <c r="C481" s="177"/>
      <c r="D481" s="177">
        <v>421</v>
      </c>
      <c r="E481" s="177"/>
      <c r="F481" s="177"/>
      <c r="G481" s="177"/>
      <c r="H481" s="16" t="s">
        <v>759</v>
      </c>
      <c r="I481" s="18"/>
      <c r="J481" s="27">
        <f>J482</f>
        <v>0</v>
      </c>
      <c r="K481" s="18"/>
      <c r="L481" s="18"/>
      <c r="M481" s="18"/>
      <c r="N481" s="18"/>
      <c r="O481" s="27">
        <f t="shared" si="311"/>
        <v>0</v>
      </c>
      <c r="P481" s="27">
        <f t="shared" si="311"/>
        <v>118500</v>
      </c>
      <c r="Q481" s="27">
        <f t="shared" si="311"/>
        <v>0</v>
      </c>
      <c r="R481" s="26">
        <f t="shared" si="312"/>
        <v>0</v>
      </c>
      <c r="S481" s="27">
        <f t="shared" si="313"/>
        <v>118500</v>
      </c>
      <c r="T481" s="27">
        <f t="shared" si="313"/>
        <v>500000</v>
      </c>
      <c r="U481" s="27">
        <f t="shared" si="313"/>
        <v>500000</v>
      </c>
      <c r="V481" s="27">
        <f t="shared" si="313"/>
        <v>118500</v>
      </c>
      <c r="W481" s="27">
        <f t="shared" si="310"/>
        <v>0</v>
      </c>
      <c r="X481" s="27">
        <f t="shared" si="310"/>
        <v>0</v>
      </c>
      <c r="Y481" s="27">
        <f t="shared" si="310"/>
        <v>2000000</v>
      </c>
      <c r="Z481" s="162" t="b">
        <f t="shared" si="292"/>
        <v>1</v>
      </c>
      <c r="AA481" s="162" t="str">
        <f t="shared" si="293"/>
        <v>PRAZNO</v>
      </c>
      <c r="AC481" s="164"/>
    </row>
    <row r="482" spans="1:29" ht="15.75" x14ac:dyDescent="0.2">
      <c r="B482" s="177"/>
      <c r="C482" s="177"/>
      <c r="D482" s="177"/>
      <c r="E482" s="177">
        <v>4212</v>
      </c>
      <c r="F482" s="176">
        <v>54</v>
      </c>
      <c r="G482" s="176"/>
      <c r="H482" s="16" t="s">
        <v>649</v>
      </c>
      <c r="I482" s="18"/>
      <c r="J482" s="27">
        <v>0</v>
      </c>
      <c r="K482" s="18"/>
      <c r="L482" s="18"/>
      <c r="M482" s="18"/>
      <c r="N482" s="18"/>
      <c r="O482" s="18"/>
      <c r="P482" s="18">
        <v>118500</v>
      </c>
      <c r="Q482" s="18">
        <v>0</v>
      </c>
      <c r="R482" s="26">
        <f t="shared" si="312"/>
        <v>0</v>
      </c>
      <c r="S482" s="18">
        <v>118500</v>
      </c>
      <c r="T482" s="18">
        <v>500000</v>
      </c>
      <c r="U482" s="18">
        <v>500000</v>
      </c>
      <c r="V482" s="27">
        <v>118500</v>
      </c>
      <c r="W482" s="18">
        <v>0</v>
      </c>
      <c r="X482" s="18">
        <v>0</v>
      </c>
      <c r="Y482" s="18">
        <v>2000000</v>
      </c>
      <c r="Z482" s="162" t="b">
        <f t="shared" si="292"/>
        <v>0</v>
      </c>
      <c r="AA482" s="162" t="str">
        <f t="shared" si="293"/>
        <v>PUNO</v>
      </c>
      <c r="AC482" s="164"/>
    </row>
    <row r="483" spans="1:29" s="171" customFormat="1" ht="31.5" hidden="1" x14ac:dyDescent="0.2">
      <c r="A483" s="259"/>
      <c r="B483" s="209"/>
      <c r="C483" s="209"/>
      <c r="D483" s="209"/>
      <c r="E483" s="209"/>
      <c r="F483" s="219"/>
      <c r="G483" s="219"/>
      <c r="H483" s="12" t="s">
        <v>611</v>
      </c>
      <c r="I483" s="242"/>
      <c r="J483" s="243">
        <f>J484</f>
        <v>0</v>
      </c>
      <c r="K483" s="242"/>
      <c r="L483" s="242"/>
      <c r="M483" s="242"/>
      <c r="N483" s="242"/>
      <c r="O483" s="243">
        <f t="shared" ref="O483:Q486" si="314">O484</f>
        <v>0</v>
      </c>
      <c r="P483" s="305">
        <f t="shared" si="314"/>
        <v>0</v>
      </c>
      <c r="Q483" s="305">
        <f t="shared" si="314"/>
        <v>0</v>
      </c>
      <c r="R483" s="303">
        <f t="shared" si="312"/>
        <v>0</v>
      </c>
      <c r="S483" s="243">
        <f t="shared" ref="S483:Y485" si="315">S484</f>
        <v>125600</v>
      </c>
      <c r="T483" s="243">
        <f t="shared" si="315"/>
        <v>500000</v>
      </c>
      <c r="U483" s="243">
        <f t="shared" si="315"/>
        <v>500000</v>
      </c>
      <c r="V483" s="305">
        <f t="shared" si="315"/>
        <v>0</v>
      </c>
      <c r="W483" s="305">
        <f t="shared" si="315"/>
        <v>0</v>
      </c>
      <c r="X483" s="305">
        <f t="shared" si="315"/>
        <v>0</v>
      </c>
      <c r="Y483" s="305">
        <f t="shared" si="315"/>
        <v>0</v>
      </c>
      <c r="Z483" s="162" t="b">
        <f t="shared" si="292"/>
        <v>1</v>
      </c>
      <c r="AA483" s="162" t="str">
        <f t="shared" si="293"/>
        <v>PRAZNO</v>
      </c>
      <c r="AB483" s="170"/>
    </row>
    <row r="484" spans="1:29" s="174" customFormat="1" ht="15.75" hidden="1" x14ac:dyDescent="0.2">
      <c r="A484" s="259"/>
      <c r="B484" s="172">
        <v>4</v>
      </c>
      <c r="C484" s="172"/>
      <c r="D484" s="172"/>
      <c r="E484" s="172"/>
      <c r="F484" s="172"/>
      <c r="G484" s="172"/>
      <c r="H484" s="14" t="s">
        <v>552</v>
      </c>
      <c r="I484" s="184"/>
      <c r="J484" s="185">
        <f>J485</f>
        <v>0</v>
      </c>
      <c r="K484" s="184"/>
      <c r="L484" s="184"/>
      <c r="M484" s="184"/>
      <c r="N484" s="184"/>
      <c r="O484" s="185">
        <f t="shared" si="314"/>
        <v>0</v>
      </c>
      <c r="P484" s="185">
        <f t="shared" si="314"/>
        <v>0</v>
      </c>
      <c r="Q484" s="185">
        <f t="shared" si="314"/>
        <v>0</v>
      </c>
      <c r="R484" s="55">
        <f t="shared" si="312"/>
        <v>0</v>
      </c>
      <c r="S484" s="185">
        <f t="shared" si="315"/>
        <v>125600</v>
      </c>
      <c r="T484" s="185">
        <f t="shared" si="315"/>
        <v>500000</v>
      </c>
      <c r="U484" s="185">
        <f t="shared" si="315"/>
        <v>500000</v>
      </c>
      <c r="V484" s="185">
        <f t="shared" si="315"/>
        <v>0</v>
      </c>
      <c r="W484" s="185">
        <f t="shared" si="315"/>
        <v>0</v>
      </c>
      <c r="X484" s="185">
        <f t="shared" si="315"/>
        <v>0</v>
      </c>
      <c r="Y484" s="185">
        <f t="shared" si="315"/>
        <v>0</v>
      </c>
      <c r="Z484" s="162" t="b">
        <f t="shared" si="292"/>
        <v>1</v>
      </c>
      <c r="AA484" s="162" t="str">
        <f t="shared" si="293"/>
        <v>PRAZNO</v>
      </c>
      <c r="AB484" s="173"/>
    </row>
    <row r="485" spans="1:29" ht="30.75" hidden="1" customHeight="1" x14ac:dyDescent="0.2">
      <c r="B485" s="175"/>
      <c r="C485" s="175">
        <v>42</v>
      </c>
      <c r="D485" s="175"/>
      <c r="E485" s="175"/>
      <c r="F485" s="175"/>
      <c r="G485" s="175"/>
      <c r="H485" s="28" t="s">
        <v>212</v>
      </c>
      <c r="I485" s="18"/>
      <c r="J485" s="27">
        <f>J486</f>
        <v>0</v>
      </c>
      <c r="K485" s="18"/>
      <c r="L485" s="18"/>
      <c r="M485" s="18"/>
      <c r="N485" s="18"/>
      <c r="O485" s="27">
        <f t="shared" si="314"/>
        <v>0</v>
      </c>
      <c r="P485" s="27">
        <f t="shared" si="314"/>
        <v>0</v>
      </c>
      <c r="Q485" s="27">
        <f t="shared" si="314"/>
        <v>0</v>
      </c>
      <c r="R485" s="26">
        <f t="shared" si="312"/>
        <v>0</v>
      </c>
      <c r="S485" s="27">
        <f t="shared" si="315"/>
        <v>125600</v>
      </c>
      <c r="T485" s="27">
        <f t="shared" si="315"/>
        <v>500000</v>
      </c>
      <c r="U485" s="27">
        <f t="shared" si="315"/>
        <v>500000</v>
      </c>
      <c r="V485" s="27">
        <f t="shared" si="315"/>
        <v>0</v>
      </c>
      <c r="W485" s="27">
        <f t="shared" si="315"/>
        <v>0</v>
      </c>
      <c r="X485" s="27">
        <f t="shared" si="315"/>
        <v>0</v>
      </c>
      <c r="Y485" s="27">
        <f t="shared" si="315"/>
        <v>0</v>
      </c>
      <c r="Z485" s="162" t="b">
        <f t="shared" si="292"/>
        <v>1</v>
      </c>
      <c r="AA485" s="162" t="str">
        <f t="shared" si="293"/>
        <v>PRAZNO</v>
      </c>
      <c r="AC485" s="164"/>
    </row>
    <row r="486" spans="1:29" ht="15.75" hidden="1" x14ac:dyDescent="0.2">
      <c r="B486" s="177"/>
      <c r="C486" s="177"/>
      <c r="D486" s="177">
        <v>421</v>
      </c>
      <c r="E486" s="177"/>
      <c r="F486" s="177"/>
      <c r="G486" s="177"/>
      <c r="H486" s="16" t="s">
        <v>759</v>
      </c>
      <c r="I486" s="18"/>
      <c r="J486" s="27">
        <f>J487</f>
        <v>0</v>
      </c>
      <c r="K486" s="18"/>
      <c r="L486" s="18"/>
      <c r="M486" s="18"/>
      <c r="N486" s="18"/>
      <c r="O486" s="27">
        <f t="shared" si="314"/>
        <v>0</v>
      </c>
      <c r="P486" s="27">
        <f t="shared" si="314"/>
        <v>0</v>
      </c>
      <c r="Q486" s="27">
        <f t="shared" si="314"/>
        <v>0</v>
      </c>
      <c r="R486" s="26">
        <f t="shared" si="312"/>
        <v>0</v>
      </c>
      <c r="S486" s="27">
        <f>S487</f>
        <v>125600</v>
      </c>
      <c r="T486" s="27">
        <f>T487</f>
        <v>500000</v>
      </c>
      <c r="U486" s="27">
        <f>U487</f>
        <v>500000</v>
      </c>
      <c r="V486" s="27">
        <f>V487</f>
        <v>0</v>
      </c>
      <c r="W486" s="27">
        <f>W487+W488</f>
        <v>0</v>
      </c>
      <c r="X486" s="27">
        <f>X487+X488</f>
        <v>0</v>
      </c>
      <c r="Y486" s="27">
        <f>Y487+Y488</f>
        <v>0</v>
      </c>
      <c r="Z486" s="162" t="b">
        <f t="shared" si="292"/>
        <v>1</v>
      </c>
      <c r="AA486" s="162" t="str">
        <f t="shared" si="293"/>
        <v>PRAZNO</v>
      </c>
      <c r="AC486" s="164"/>
    </row>
    <row r="487" spans="1:29" ht="15.75" hidden="1" x14ac:dyDescent="0.2">
      <c r="B487" s="177"/>
      <c r="C487" s="177"/>
      <c r="D487" s="177"/>
      <c r="E487" s="177">
        <v>4212</v>
      </c>
      <c r="F487" s="176">
        <v>54</v>
      </c>
      <c r="G487" s="176"/>
      <c r="H487" s="16" t="s">
        <v>649</v>
      </c>
      <c r="I487" s="18"/>
      <c r="J487" s="27">
        <v>0</v>
      </c>
      <c r="K487" s="18"/>
      <c r="L487" s="18"/>
      <c r="M487" s="18"/>
      <c r="N487" s="18"/>
      <c r="O487" s="18">
        <v>0</v>
      </c>
      <c r="P487" s="18">
        <v>0</v>
      </c>
      <c r="Q487" s="18">
        <v>0</v>
      </c>
      <c r="R487" s="26">
        <f t="shared" si="312"/>
        <v>0</v>
      </c>
      <c r="S487" s="18">
        <v>125600</v>
      </c>
      <c r="T487" s="18">
        <v>500000</v>
      </c>
      <c r="U487" s="18">
        <v>500000</v>
      </c>
      <c r="V487" s="27">
        <v>0</v>
      </c>
      <c r="W487" s="18"/>
      <c r="X487" s="18"/>
      <c r="Y487" s="18"/>
      <c r="Z487" s="162" t="b">
        <f t="shared" si="292"/>
        <v>0</v>
      </c>
      <c r="AA487" s="162" t="str">
        <f t="shared" si="293"/>
        <v>PUNO</v>
      </c>
      <c r="AC487" s="164"/>
    </row>
    <row r="488" spans="1:29" ht="15.75" hidden="1" x14ac:dyDescent="0.2">
      <c r="B488" s="177"/>
      <c r="C488" s="177"/>
      <c r="D488" s="177"/>
      <c r="E488" s="177">
        <v>4212</v>
      </c>
      <c r="F488" s="176">
        <v>52</v>
      </c>
      <c r="G488" s="176"/>
      <c r="H488" s="16" t="s">
        <v>649</v>
      </c>
      <c r="I488" s="18"/>
      <c r="J488" s="27"/>
      <c r="K488" s="18"/>
      <c r="L488" s="18"/>
      <c r="M488" s="18"/>
      <c r="N488" s="18"/>
      <c r="O488" s="18"/>
      <c r="P488" s="18"/>
      <c r="Q488" s="18"/>
      <c r="R488" s="26"/>
      <c r="S488" s="18"/>
      <c r="T488" s="18"/>
      <c r="U488" s="18"/>
      <c r="V488" s="27">
        <v>0</v>
      </c>
      <c r="W488" s="18">
        <v>0</v>
      </c>
      <c r="X488" s="18">
        <v>0</v>
      </c>
      <c r="Y488" s="18">
        <v>0</v>
      </c>
      <c r="Z488" s="162" t="b">
        <f t="shared" si="292"/>
        <v>0</v>
      </c>
      <c r="AA488" s="162" t="str">
        <f t="shared" si="293"/>
        <v>PUNO</v>
      </c>
      <c r="AC488" s="164"/>
    </row>
    <row r="489" spans="1:29" s="171" customFormat="1" ht="15.75" x14ac:dyDescent="0.2">
      <c r="A489" s="259"/>
      <c r="B489" s="168"/>
      <c r="C489" s="168"/>
      <c r="D489" s="168"/>
      <c r="E489" s="168"/>
      <c r="F489" s="168"/>
      <c r="G489" s="168"/>
      <c r="H489" s="13" t="s">
        <v>612</v>
      </c>
      <c r="I489" s="19">
        <f>I491</f>
        <v>714245.11</v>
      </c>
      <c r="J489" s="53">
        <f>J491</f>
        <v>1061678.8799999999</v>
      </c>
      <c r="K489" s="169">
        <f>K491</f>
        <v>744400</v>
      </c>
      <c r="L489" s="169">
        <f>L491</f>
        <v>208914.63</v>
      </c>
      <c r="M489" s="169">
        <f>ROUND(L489/K489*100,2)</f>
        <v>28.06</v>
      </c>
      <c r="N489" s="169">
        <f>O489-K489</f>
        <v>-53050.790000000037</v>
      </c>
      <c r="O489" s="19">
        <f>O491</f>
        <v>691349.21</v>
      </c>
      <c r="P489" s="19">
        <f>P491</f>
        <v>328000</v>
      </c>
      <c r="Q489" s="19">
        <f>Q491</f>
        <v>230096.7</v>
      </c>
      <c r="R489" s="303">
        <f>V489-P489</f>
        <v>213100</v>
      </c>
      <c r="S489" s="19">
        <f t="shared" ref="S489:Y489" si="316">S491</f>
        <v>328000</v>
      </c>
      <c r="T489" s="19">
        <f t="shared" si="316"/>
        <v>350000</v>
      </c>
      <c r="U489" s="19">
        <f t="shared" si="316"/>
        <v>400000</v>
      </c>
      <c r="V489" s="53">
        <f t="shared" si="316"/>
        <v>541100</v>
      </c>
      <c r="W489" s="19">
        <f t="shared" si="316"/>
        <v>216000</v>
      </c>
      <c r="X489" s="19">
        <f t="shared" si="316"/>
        <v>329600</v>
      </c>
      <c r="Y489" s="19">
        <f t="shared" si="316"/>
        <v>360900</v>
      </c>
      <c r="Z489" s="162" t="b">
        <f t="shared" si="292"/>
        <v>1</v>
      </c>
      <c r="AA489" s="162" t="str">
        <f t="shared" si="293"/>
        <v>PRAZNO</v>
      </c>
      <c r="AB489" s="170"/>
      <c r="AC489" s="164"/>
    </row>
    <row r="490" spans="1:29" s="264" customFormat="1" ht="15.75" customHeight="1" x14ac:dyDescent="0.2">
      <c r="A490" s="259"/>
      <c r="B490" s="260"/>
      <c r="C490" s="260"/>
      <c r="D490" s="260"/>
      <c r="E490" s="260"/>
      <c r="F490" s="260"/>
      <c r="G490" s="260"/>
      <c r="H490" s="440" t="s">
        <v>830</v>
      </c>
      <c r="I490" s="262"/>
      <c r="J490" s="342"/>
      <c r="K490" s="181"/>
      <c r="L490" s="181"/>
      <c r="M490" s="181"/>
      <c r="N490" s="181"/>
      <c r="O490" s="262"/>
      <c r="P490" s="262"/>
      <c r="Q490" s="262"/>
      <c r="R490" s="445"/>
      <c r="S490" s="262"/>
      <c r="T490" s="262"/>
      <c r="U490" s="262"/>
      <c r="V490" s="342"/>
      <c r="W490" s="262">
        <f t="shared" ref="W490:Y491" si="317">W491</f>
        <v>216000</v>
      </c>
      <c r="X490" s="262">
        <f t="shared" si="317"/>
        <v>329600</v>
      </c>
      <c r="Y490" s="262">
        <f t="shared" si="317"/>
        <v>360900</v>
      </c>
      <c r="Z490" s="162" t="b">
        <f t="shared" si="292"/>
        <v>1</v>
      </c>
      <c r="AA490" s="162" t="str">
        <f t="shared" si="293"/>
        <v>PRAZNO</v>
      </c>
      <c r="AB490" s="263"/>
    </row>
    <row r="491" spans="1:29" s="174" customFormat="1" ht="15.75" x14ac:dyDescent="0.2">
      <c r="A491" s="259"/>
      <c r="B491" s="172">
        <v>4</v>
      </c>
      <c r="C491" s="172"/>
      <c r="D491" s="172"/>
      <c r="E491" s="172"/>
      <c r="F491" s="172"/>
      <c r="G491" s="172"/>
      <c r="H491" s="14" t="s">
        <v>552</v>
      </c>
      <c r="I491" s="20">
        <f>I492</f>
        <v>714245.11</v>
      </c>
      <c r="J491" s="55">
        <f>J492</f>
        <v>1061678.8799999999</v>
      </c>
      <c r="K491" s="20">
        <f>K492</f>
        <v>744400</v>
      </c>
      <c r="L491" s="20">
        <f>L492</f>
        <v>208914.63</v>
      </c>
      <c r="M491" s="20">
        <f t="shared" ref="M491:M497" si="318">ROUND(L491/K491*100,2)</f>
        <v>28.06</v>
      </c>
      <c r="N491" s="20">
        <f t="shared" ref="N491:N497" si="319">O491-K491</f>
        <v>-53050.790000000037</v>
      </c>
      <c r="O491" s="20">
        <f>O492</f>
        <v>691349.21</v>
      </c>
      <c r="P491" s="20">
        <f>P492</f>
        <v>328000</v>
      </c>
      <c r="Q491" s="20">
        <f>Q492</f>
        <v>230096.7</v>
      </c>
      <c r="R491" s="55">
        <f t="shared" ref="R491:R497" si="320">V491-P491</f>
        <v>213100</v>
      </c>
      <c r="S491" s="20">
        <f>S492</f>
        <v>328000</v>
      </c>
      <c r="T491" s="20">
        <f>T492</f>
        <v>350000</v>
      </c>
      <c r="U491" s="20">
        <f>U492</f>
        <v>400000</v>
      </c>
      <c r="V491" s="55">
        <f>V492</f>
        <v>541100</v>
      </c>
      <c r="W491" s="20">
        <f t="shared" si="317"/>
        <v>216000</v>
      </c>
      <c r="X491" s="20">
        <f t="shared" si="317"/>
        <v>329600</v>
      </c>
      <c r="Y491" s="20">
        <f t="shared" si="317"/>
        <v>360900</v>
      </c>
      <c r="Z491" s="162" t="b">
        <f t="shared" si="292"/>
        <v>1</v>
      </c>
      <c r="AA491" s="162" t="str">
        <f t="shared" si="293"/>
        <v>PRAZNO</v>
      </c>
      <c r="AB491" s="173"/>
      <c r="AC491" s="164"/>
    </row>
    <row r="492" spans="1:29" ht="30.75" customHeight="1" x14ac:dyDescent="0.2">
      <c r="B492" s="175"/>
      <c r="C492" s="175">
        <v>45</v>
      </c>
      <c r="D492" s="175"/>
      <c r="E492" s="175"/>
      <c r="F492" s="175"/>
      <c r="G492" s="175"/>
      <c r="H492" s="15" t="s">
        <v>808</v>
      </c>
      <c r="I492" s="22">
        <f>I493+I495</f>
        <v>714245.11</v>
      </c>
      <c r="J492" s="38">
        <f>J493+J495</f>
        <v>1061678.8799999999</v>
      </c>
      <c r="K492" s="22">
        <f>K493+K495</f>
        <v>744400</v>
      </c>
      <c r="L492" s="22">
        <f>L493+L495</f>
        <v>208914.63</v>
      </c>
      <c r="M492" s="22">
        <f t="shared" si="318"/>
        <v>28.06</v>
      </c>
      <c r="N492" s="22">
        <f t="shared" si="319"/>
        <v>-53050.790000000037</v>
      </c>
      <c r="O492" s="22">
        <f>O493+O495</f>
        <v>691349.21</v>
      </c>
      <c r="P492" s="22">
        <f>P493+P495</f>
        <v>328000</v>
      </c>
      <c r="Q492" s="22">
        <f>Q493+Q495</f>
        <v>230096.7</v>
      </c>
      <c r="R492" s="26">
        <f t="shared" si="320"/>
        <v>213100</v>
      </c>
      <c r="S492" s="22">
        <f t="shared" ref="S492:Y492" si="321">S493+S495</f>
        <v>328000</v>
      </c>
      <c r="T492" s="22">
        <f t="shared" si="321"/>
        <v>350000</v>
      </c>
      <c r="U492" s="22">
        <f t="shared" si="321"/>
        <v>400000</v>
      </c>
      <c r="V492" s="38">
        <f t="shared" si="321"/>
        <v>541100</v>
      </c>
      <c r="W492" s="22">
        <f t="shared" si="321"/>
        <v>216000</v>
      </c>
      <c r="X492" s="22">
        <f t="shared" si="321"/>
        <v>329600</v>
      </c>
      <c r="Y492" s="22">
        <f t="shared" si="321"/>
        <v>360900</v>
      </c>
      <c r="Z492" s="162" t="b">
        <f t="shared" si="292"/>
        <v>1</v>
      </c>
      <c r="AA492" s="162" t="str">
        <f t="shared" si="293"/>
        <v>PRAZNO</v>
      </c>
      <c r="AC492" s="164"/>
    </row>
    <row r="493" spans="1:29" ht="15.75" x14ac:dyDescent="0.2">
      <c r="B493" s="177"/>
      <c r="C493" s="177"/>
      <c r="D493" s="177">
        <v>451</v>
      </c>
      <c r="E493" s="177"/>
      <c r="F493" s="177"/>
      <c r="G493" s="177"/>
      <c r="H493" s="16" t="s">
        <v>809</v>
      </c>
      <c r="I493" s="17">
        <f>I494</f>
        <v>711395.11</v>
      </c>
      <c r="J493" s="17">
        <f>J494</f>
        <v>1061678.8799999999</v>
      </c>
      <c r="K493" s="17">
        <f>K494</f>
        <v>744400</v>
      </c>
      <c r="L493" s="17">
        <f>L494</f>
        <v>208914.63</v>
      </c>
      <c r="M493" s="17">
        <f t="shared" si="318"/>
        <v>28.06</v>
      </c>
      <c r="N493" s="17">
        <f t="shared" si="319"/>
        <v>-53050.790000000037</v>
      </c>
      <c r="O493" s="17">
        <f>O494</f>
        <v>691349.21</v>
      </c>
      <c r="P493" s="17">
        <f>P494</f>
        <v>328000</v>
      </c>
      <c r="Q493" s="17">
        <f>Q494</f>
        <v>230096.7</v>
      </c>
      <c r="R493" s="26">
        <f t="shared" si="320"/>
        <v>213100</v>
      </c>
      <c r="S493" s="17">
        <f t="shared" ref="S493:Y493" si="322">S494</f>
        <v>328000</v>
      </c>
      <c r="T493" s="17">
        <f t="shared" si="322"/>
        <v>350000</v>
      </c>
      <c r="U493" s="17">
        <f t="shared" si="322"/>
        <v>400000</v>
      </c>
      <c r="V493" s="26">
        <f t="shared" si="322"/>
        <v>541100</v>
      </c>
      <c r="W493" s="17">
        <f t="shared" si="322"/>
        <v>216000</v>
      </c>
      <c r="X493" s="17">
        <f t="shared" si="322"/>
        <v>329600</v>
      </c>
      <c r="Y493" s="17">
        <f t="shared" si="322"/>
        <v>360900</v>
      </c>
      <c r="Z493" s="162" t="b">
        <f t="shared" si="292"/>
        <v>1</v>
      </c>
      <c r="AA493" s="162" t="str">
        <f t="shared" si="293"/>
        <v>PRAZNO</v>
      </c>
      <c r="AC493" s="164"/>
    </row>
    <row r="494" spans="1:29" ht="15.75" x14ac:dyDescent="0.2">
      <c r="B494" s="177"/>
      <c r="C494" s="177"/>
      <c r="D494" s="177"/>
      <c r="E494" s="177">
        <v>4511</v>
      </c>
      <c r="F494" s="176">
        <v>54</v>
      </c>
      <c r="G494" s="176" t="s">
        <v>1040</v>
      </c>
      <c r="H494" s="16" t="s">
        <v>809</v>
      </c>
      <c r="I494" s="18">
        <v>711395.11</v>
      </c>
      <c r="J494" s="27">
        <v>1061678.8799999999</v>
      </c>
      <c r="K494" s="18">
        <v>744400</v>
      </c>
      <c r="L494" s="178">
        <v>208914.63</v>
      </c>
      <c r="M494" s="178">
        <f t="shared" si="318"/>
        <v>28.06</v>
      </c>
      <c r="N494" s="178">
        <f t="shared" si="319"/>
        <v>-53050.790000000037</v>
      </c>
      <c r="O494" s="178">
        <v>691349.21</v>
      </c>
      <c r="P494" s="178">
        <v>328000</v>
      </c>
      <c r="Q494" s="178">
        <v>230096.7</v>
      </c>
      <c r="R494" s="26">
        <f t="shared" si="320"/>
        <v>213100</v>
      </c>
      <c r="S494" s="178">
        <v>328000</v>
      </c>
      <c r="T494" s="178">
        <v>350000</v>
      </c>
      <c r="U494" s="178">
        <v>400000</v>
      </c>
      <c r="V494" s="266">
        <v>541100</v>
      </c>
      <c r="W494" s="178">
        <v>216000</v>
      </c>
      <c r="X494" s="178">
        <v>329600</v>
      </c>
      <c r="Y494" s="178">
        <v>360900</v>
      </c>
      <c r="Z494" s="162" t="b">
        <f t="shared" si="292"/>
        <v>0</v>
      </c>
      <c r="AA494" s="162" t="str">
        <f t="shared" si="293"/>
        <v>PUNO</v>
      </c>
      <c r="AC494" s="164"/>
    </row>
    <row r="495" spans="1:29" ht="12" hidden="1" customHeight="1" x14ac:dyDescent="0.2">
      <c r="B495" s="177"/>
      <c r="C495" s="177"/>
      <c r="D495" s="177">
        <v>452</v>
      </c>
      <c r="E495" s="177"/>
      <c r="F495" s="177"/>
      <c r="G495" s="177"/>
      <c r="H495" s="40" t="s">
        <v>639</v>
      </c>
      <c r="I495" s="18">
        <f>I496</f>
        <v>2850</v>
      </c>
      <c r="J495" s="27">
        <f>J496</f>
        <v>0</v>
      </c>
      <c r="K495" s="18">
        <f>K496</f>
        <v>0</v>
      </c>
      <c r="L495" s="18">
        <f>L496</f>
        <v>0</v>
      </c>
      <c r="M495" s="18" t="e">
        <f t="shared" si="318"/>
        <v>#DIV/0!</v>
      </c>
      <c r="N495" s="18">
        <f t="shared" si="319"/>
        <v>0</v>
      </c>
      <c r="O495" s="18">
        <f>O496</f>
        <v>0</v>
      </c>
      <c r="P495" s="18">
        <f>P496</f>
        <v>0</v>
      </c>
      <c r="Q495" s="18">
        <f>Q496</f>
        <v>0</v>
      </c>
      <c r="R495" s="26">
        <f t="shared" si="320"/>
        <v>0</v>
      </c>
      <c r="S495" s="18">
        <f t="shared" ref="S495:Y495" si="323">S496</f>
        <v>0</v>
      </c>
      <c r="T495" s="18">
        <f t="shared" si="323"/>
        <v>0</v>
      </c>
      <c r="U495" s="18">
        <f t="shared" si="323"/>
        <v>0</v>
      </c>
      <c r="V495" s="27">
        <f t="shared" si="323"/>
        <v>0</v>
      </c>
      <c r="W495" s="18">
        <f t="shared" si="323"/>
        <v>0</v>
      </c>
      <c r="X495" s="18">
        <f t="shared" si="323"/>
        <v>0</v>
      </c>
      <c r="Y495" s="18">
        <f t="shared" si="323"/>
        <v>0</v>
      </c>
      <c r="Z495" s="162" t="b">
        <f t="shared" si="292"/>
        <v>1</v>
      </c>
      <c r="AA495" s="162" t="str">
        <f t="shared" si="293"/>
        <v>PRAZNO</v>
      </c>
      <c r="AC495" s="164"/>
    </row>
    <row r="496" spans="1:29" ht="15.75" hidden="1" x14ac:dyDescent="0.2">
      <c r="B496" s="177"/>
      <c r="C496" s="177"/>
      <c r="D496" s="177"/>
      <c r="E496" s="177">
        <v>4521</v>
      </c>
      <c r="F496" s="176" t="s">
        <v>527</v>
      </c>
      <c r="G496" s="176" t="s">
        <v>1040</v>
      </c>
      <c r="H496" s="40" t="s">
        <v>639</v>
      </c>
      <c r="I496" s="18">
        <v>2850</v>
      </c>
      <c r="J496" s="27">
        <v>0</v>
      </c>
      <c r="K496" s="18">
        <v>0</v>
      </c>
      <c r="L496" s="18">
        <v>0</v>
      </c>
      <c r="M496" s="18" t="e">
        <f t="shared" si="318"/>
        <v>#DIV/0!</v>
      </c>
      <c r="N496" s="18">
        <f t="shared" si="319"/>
        <v>0</v>
      </c>
      <c r="O496" s="18"/>
      <c r="P496" s="18"/>
      <c r="Q496" s="18"/>
      <c r="R496" s="26">
        <f t="shared" si="320"/>
        <v>0</v>
      </c>
      <c r="S496" s="18"/>
      <c r="T496" s="18"/>
      <c r="U496" s="18"/>
      <c r="V496" s="27"/>
      <c r="W496" s="18"/>
      <c r="X496" s="18"/>
      <c r="Y496" s="18"/>
      <c r="Z496" s="162" t="b">
        <f t="shared" si="292"/>
        <v>0</v>
      </c>
      <c r="AA496" s="162" t="str">
        <f t="shared" si="293"/>
        <v>PUNO</v>
      </c>
      <c r="AC496" s="164"/>
    </row>
    <row r="497" spans="1:29" s="171" customFormat="1" ht="15.75" x14ac:dyDescent="0.2">
      <c r="A497" s="259"/>
      <c r="B497" s="168"/>
      <c r="C497" s="168"/>
      <c r="D497" s="168"/>
      <c r="E497" s="168"/>
      <c r="F497" s="168"/>
      <c r="G497" s="168"/>
      <c r="H497" s="13" t="s">
        <v>613</v>
      </c>
      <c r="I497" s="19">
        <f>I499</f>
        <v>674746.28999999992</v>
      </c>
      <c r="J497" s="53">
        <f>J499</f>
        <v>635585.12</v>
      </c>
      <c r="K497" s="169">
        <f>K499</f>
        <v>866800</v>
      </c>
      <c r="L497" s="169">
        <f>L499</f>
        <v>41462.550000000003</v>
      </c>
      <c r="M497" s="169">
        <f t="shared" si="318"/>
        <v>4.78</v>
      </c>
      <c r="N497" s="169">
        <f t="shared" si="319"/>
        <v>60471.629999999888</v>
      </c>
      <c r="O497" s="19">
        <f>O499</f>
        <v>927271.62999999989</v>
      </c>
      <c r="P497" s="19">
        <f>P499</f>
        <v>380700</v>
      </c>
      <c r="Q497" s="19">
        <f>Q499</f>
        <v>134544.24</v>
      </c>
      <c r="R497" s="303">
        <f t="shared" si="320"/>
        <v>-4700</v>
      </c>
      <c r="S497" s="19">
        <f t="shared" ref="S497:Y497" si="324">S499</f>
        <v>380700</v>
      </c>
      <c r="T497" s="19">
        <f t="shared" si="324"/>
        <v>540400</v>
      </c>
      <c r="U497" s="19">
        <f t="shared" si="324"/>
        <v>585600</v>
      </c>
      <c r="V497" s="53">
        <f t="shared" si="324"/>
        <v>376000</v>
      </c>
      <c r="W497" s="19">
        <f t="shared" si="324"/>
        <v>257000</v>
      </c>
      <c r="X497" s="19">
        <f t="shared" si="324"/>
        <v>382600</v>
      </c>
      <c r="Y497" s="19">
        <f t="shared" si="324"/>
        <v>419100</v>
      </c>
      <c r="Z497" s="162" t="b">
        <f t="shared" si="292"/>
        <v>1</v>
      </c>
      <c r="AA497" s="162" t="str">
        <f t="shared" si="293"/>
        <v>PRAZNO</v>
      </c>
      <c r="AB497" s="170"/>
      <c r="AC497" s="164"/>
    </row>
    <row r="498" spans="1:29" s="264" customFormat="1" ht="19.5" customHeight="1" x14ac:dyDescent="0.2">
      <c r="A498" s="259"/>
      <c r="B498" s="260"/>
      <c r="C498" s="260"/>
      <c r="D498" s="260"/>
      <c r="E498" s="260"/>
      <c r="F498" s="260"/>
      <c r="G498" s="260"/>
      <c r="H498" s="440" t="s">
        <v>830</v>
      </c>
      <c r="I498" s="262"/>
      <c r="J498" s="342"/>
      <c r="K498" s="181"/>
      <c r="L498" s="181"/>
      <c r="M498" s="181"/>
      <c r="N498" s="181"/>
      <c r="O498" s="262"/>
      <c r="P498" s="262"/>
      <c r="Q498" s="262"/>
      <c r="R498" s="445"/>
      <c r="S498" s="262"/>
      <c r="T498" s="262"/>
      <c r="U498" s="262"/>
      <c r="V498" s="342"/>
      <c r="W498" s="262">
        <f t="shared" ref="W498:Y499" si="325">W499</f>
        <v>257000</v>
      </c>
      <c r="X498" s="262">
        <f t="shared" si="325"/>
        <v>382600</v>
      </c>
      <c r="Y498" s="262">
        <f t="shared" si="325"/>
        <v>419100</v>
      </c>
      <c r="Z498" s="162" t="b">
        <f t="shared" si="292"/>
        <v>1</v>
      </c>
      <c r="AA498" s="162" t="str">
        <f t="shared" si="293"/>
        <v>PRAZNO</v>
      </c>
      <c r="AB498" s="263"/>
    </row>
    <row r="499" spans="1:29" s="174" customFormat="1" ht="15.75" x14ac:dyDescent="0.2">
      <c r="A499" s="259"/>
      <c r="B499" s="172">
        <v>4</v>
      </c>
      <c r="C499" s="172"/>
      <c r="D499" s="172"/>
      <c r="E499" s="172"/>
      <c r="F499" s="172"/>
      <c r="G499" s="172"/>
      <c r="H499" s="14" t="s">
        <v>552</v>
      </c>
      <c r="I499" s="20">
        <f>I500</f>
        <v>674746.28999999992</v>
      </c>
      <c r="J499" s="55">
        <f>J500</f>
        <v>635585.12</v>
      </c>
      <c r="K499" s="20">
        <f>K500</f>
        <v>866800</v>
      </c>
      <c r="L499" s="20">
        <f>L500</f>
        <v>41462.550000000003</v>
      </c>
      <c r="M499" s="20">
        <f>ROUND(L499/K499*100,2)</f>
        <v>4.78</v>
      </c>
      <c r="N499" s="20">
        <f>O499-K499</f>
        <v>60471.629999999888</v>
      </c>
      <c r="O499" s="20">
        <f>O500</f>
        <v>927271.62999999989</v>
      </c>
      <c r="P499" s="20">
        <f>P500</f>
        <v>380700</v>
      </c>
      <c r="Q499" s="20">
        <f>Q500</f>
        <v>134544.24</v>
      </c>
      <c r="R499" s="55">
        <f t="shared" ref="R499:R514" si="326">V499-P499</f>
        <v>-4700</v>
      </c>
      <c r="S499" s="20">
        <f>S500</f>
        <v>380700</v>
      </c>
      <c r="T499" s="20">
        <f>T500</f>
        <v>540400</v>
      </c>
      <c r="U499" s="20">
        <f>U500</f>
        <v>585600</v>
      </c>
      <c r="V499" s="55">
        <f>V500</f>
        <v>376000</v>
      </c>
      <c r="W499" s="20">
        <f t="shared" si="325"/>
        <v>257000</v>
      </c>
      <c r="X499" s="20">
        <f t="shared" si="325"/>
        <v>382600</v>
      </c>
      <c r="Y499" s="20">
        <f t="shared" si="325"/>
        <v>419100</v>
      </c>
      <c r="Z499" s="162" t="b">
        <f t="shared" si="292"/>
        <v>1</v>
      </c>
      <c r="AA499" s="162" t="str">
        <f t="shared" si="293"/>
        <v>PRAZNO</v>
      </c>
      <c r="AB499" s="173"/>
      <c r="AC499" s="164"/>
    </row>
    <row r="500" spans="1:29" ht="29.25" customHeight="1" x14ac:dyDescent="0.2">
      <c r="B500" s="175"/>
      <c r="C500" s="175">
        <v>42</v>
      </c>
      <c r="D500" s="175"/>
      <c r="E500" s="175"/>
      <c r="F500" s="175"/>
      <c r="G500" s="175"/>
      <c r="H500" s="15" t="s">
        <v>212</v>
      </c>
      <c r="I500" s="22">
        <f>I501+I512+I510</f>
        <v>674746.28999999992</v>
      </c>
      <c r="J500" s="22">
        <f>J501+J512+J510</f>
        <v>635585.12</v>
      </c>
      <c r="K500" s="22">
        <f>K501+K512+K510</f>
        <v>866800</v>
      </c>
      <c r="L500" s="22">
        <f>L501+L512+L510</f>
        <v>41462.550000000003</v>
      </c>
      <c r="M500" s="22">
        <f>ROUND(L500/K500*100,2)</f>
        <v>4.78</v>
      </c>
      <c r="N500" s="22">
        <f>O500-K500</f>
        <v>60471.629999999888</v>
      </c>
      <c r="O500" s="22">
        <f>O501+O512+O510</f>
        <v>927271.62999999989</v>
      </c>
      <c r="P500" s="22">
        <f>P501+P512+P510</f>
        <v>380700</v>
      </c>
      <c r="Q500" s="22">
        <f>Q501+Q512+Q510</f>
        <v>134544.24</v>
      </c>
      <c r="R500" s="26">
        <f t="shared" si="326"/>
        <v>-4700</v>
      </c>
      <c r="S500" s="22">
        <f t="shared" ref="S500:Y500" si="327">S501+S512+S510</f>
        <v>380700</v>
      </c>
      <c r="T500" s="22">
        <f t="shared" si="327"/>
        <v>540400</v>
      </c>
      <c r="U500" s="22">
        <f t="shared" si="327"/>
        <v>585600</v>
      </c>
      <c r="V500" s="38">
        <f t="shared" si="327"/>
        <v>376000</v>
      </c>
      <c r="W500" s="22">
        <f t="shared" si="327"/>
        <v>257000</v>
      </c>
      <c r="X500" s="22">
        <f t="shared" si="327"/>
        <v>382600</v>
      </c>
      <c r="Y500" s="22">
        <f t="shared" si="327"/>
        <v>419100</v>
      </c>
      <c r="Z500" s="162" t="b">
        <f t="shared" si="292"/>
        <v>1</v>
      </c>
      <c r="AA500" s="162" t="str">
        <f t="shared" si="293"/>
        <v>PRAZNO</v>
      </c>
      <c r="AC500" s="164"/>
    </row>
    <row r="501" spans="1:29" ht="15.75" x14ac:dyDescent="0.2">
      <c r="B501" s="177"/>
      <c r="C501" s="177"/>
      <c r="D501" s="177">
        <v>422</v>
      </c>
      <c r="E501" s="177"/>
      <c r="F501" s="177"/>
      <c r="G501" s="177"/>
      <c r="H501" s="16" t="s">
        <v>555</v>
      </c>
      <c r="I501" s="17">
        <f>SUM(I502:I509)</f>
        <v>584278.92999999993</v>
      </c>
      <c r="J501" s="17">
        <f>SUM(J502:J509)</f>
        <v>553749.62</v>
      </c>
      <c r="K501" s="17">
        <f>SUM(K502:K509)</f>
        <v>863800</v>
      </c>
      <c r="L501" s="17">
        <f>SUM(L502:L509)</f>
        <v>39962.550000000003</v>
      </c>
      <c r="M501" s="17">
        <f>ROUND(L501/K501*100,2)</f>
        <v>4.63</v>
      </c>
      <c r="N501" s="17">
        <f>O501-K501</f>
        <v>61971.629999999888</v>
      </c>
      <c r="O501" s="17">
        <f>SUM(O502:O509)</f>
        <v>925771.62999999989</v>
      </c>
      <c r="P501" s="17">
        <f>SUM(P502:P509)</f>
        <v>380700</v>
      </c>
      <c r="Q501" s="17">
        <f>SUM(Q502:Q509)</f>
        <v>134544.24</v>
      </c>
      <c r="R501" s="26">
        <f t="shared" si="326"/>
        <v>-4700</v>
      </c>
      <c r="S501" s="17">
        <f t="shared" ref="S501:Y501" si="328">SUM(S502:S509)</f>
        <v>380700</v>
      </c>
      <c r="T501" s="17">
        <f t="shared" si="328"/>
        <v>538400</v>
      </c>
      <c r="U501" s="17">
        <f t="shared" si="328"/>
        <v>583600</v>
      </c>
      <c r="V501" s="26">
        <f t="shared" si="328"/>
        <v>376000</v>
      </c>
      <c r="W501" s="17">
        <f t="shared" si="328"/>
        <v>257000</v>
      </c>
      <c r="X501" s="17">
        <f t="shared" si="328"/>
        <v>382600</v>
      </c>
      <c r="Y501" s="17">
        <f t="shared" si="328"/>
        <v>419100</v>
      </c>
      <c r="Z501" s="162" t="b">
        <f t="shared" si="292"/>
        <v>1</v>
      </c>
      <c r="AA501" s="162" t="str">
        <f t="shared" si="293"/>
        <v>PRAZNO</v>
      </c>
      <c r="AC501" s="164"/>
    </row>
    <row r="502" spans="1:29" ht="15.75" x14ac:dyDescent="0.2">
      <c r="B502" s="177"/>
      <c r="C502" s="177"/>
      <c r="D502" s="177"/>
      <c r="E502" s="177">
        <v>4221</v>
      </c>
      <c r="F502" s="176">
        <v>54</v>
      </c>
      <c r="G502" s="176" t="s">
        <v>1040</v>
      </c>
      <c r="H502" s="16" t="s">
        <v>558</v>
      </c>
      <c r="I502" s="18">
        <v>402068.26</v>
      </c>
      <c r="J502" s="27">
        <v>308843.02</v>
      </c>
      <c r="K502" s="18">
        <v>745800</v>
      </c>
      <c r="L502" s="18">
        <v>0</v>
      </c>
      <c r="M502" s="18">
        <f>ROUND(L502/K502*100,2)</f>
        <v>0</v>
      </c>
      <c r="N502" s="18">
        <f>O502-K502</f>
        <v>-7115.7900000000373</v>
      </c>
      <c r="O502" s="18">
        <v>738684.21</v>
      </c>
      <c r="P502" s="18">
        <v>249000</v>
      </c>
      <c r="Q502" s="18">
        <v>7406.25</v>
      </c>
      <c r="R502" s="26">
        <f t="shared" si="326"/>
        <v>-17000</v>
      </c>
      <c r="S502" s="18">
        <v>249000</v>
      </c>
      <c r="T502" s="18">
        <v>354000</v>
      </c>
      <c r="U502" s="18">
        <v>385200</v>
      </c>
      <c r="V502" s="27">
        <v>232000</v>
      </c>
      <c r="W502" s="178">
        <v>122000</v>
      </c>
      <c r="X502" s="18">
        <v>250200</v>
      </c>
      <c r="Y502" s="18">
        <v>274000</v>
      </c>
      <c r="Z502" s="162" t="b">
        <f t="shared" si="292"/>
        <v>0</v>
      </c>
      <c r="AA502" s="162" t="str">
        <f t="shared" si="293"/>
        <v>PUNO</v>
      </c>
      <c r="AC502" s="164"/>
    </row>
    <row r="503" spans="1:29" ht="15.75" hidden="1" x14ac:dyDescent="0.2">
      <c r="B503" s="177"/>
      <c r="C503" s="177"/>
      <c r="D503" s="177"/>
      <c r="E503" s="177">
        <v>4222</v>
      </c>
      <c r="F503" s="176">
        <v>54</v>
      </c>
      <c r="G503" s="176" t="s">
        <v>1040</v>
      </c>
      <c r="H503" s="40" t="s">
        <v>559</v>
      </c>
      <c r="I503" s="18">
        <v>24231.77</v>
      </c>
      <c r="J503" s="27">
        <v>8232.42</v>
      </c>
      <c r="K503" s="18">
        <v>8000</v>
      </c>
      <c r="L503" s="18">
        <v>0</v>
      </c>
      <c r="M503" s="18">
        <f>ROUND(L503/K503*100,2)</f>
        <v>0</v>
      </c>
      <c r="N503" s="18">
        <f>O503-K503</f>
        <v>-191.52999999999975</v>
      </c>
      <c r="O503" s="18">
        <v>7808.47</v>
      </c>
      <c r="P503" s="18">
        <v>0</v>
      </c>
      <c r="Q503" s="18">
        <v>0</v>
      </c>
      <c r="R503" s="26">
        <f t="shared" si="326"/>
        <v>0</v>
      </c>
      <c r="S503" s="18">
        <v>0</v>
      </c>
      <c r="T503" s="18">
        <v>2000</v>
      </c>
      <c r="U503" s="18">
        <v>2000</v>
      </c>
      <c r="V503" s="27"/>
      <c r="W503" s="18"/>
      <c r="X503" s="18"/>
      <c r="Y503" s="18"/>
      <c r="Z503" s="162" t="b">
        <f t="shared" si="292"/>
        <v>0</v>
      </c>
      <c r="AA503" s="162" t="str">
        <f t="shared" si="293"/>
        <v>PUNO</v>
      </c>
      <c r="AC503" s="164"/>
    </row>
    <row r="504" spans="1:29" ht="15.75" hidden="1" x14ac:dyDescent="0.2">
      <c r="B504" s="177"/>
      <c r="C504" s="177"/>
      <c r="D504" s="177"/>
      <c r="E504" s="177">
        <v>4222</v>
      </c>
      <c r="F504" s="176">
        <v>54</v>
      </c>
      <c r="G504" s="176"/>
      <c r="H504" s="40" t="s">
        <v>559</v>
      </c>
      <c r="I504" s="18"/>
      <c r="J504" s="27"/>
      <c r="K504" s="18"/>
      <c r="L504" s="18"/>
      <c r="M504" s="18"/>
      <c r="N504" s="18"/>
      <c r="O504" s="18"/>
      <c r="P504" s="18"/>
      <c r="Q504" s="18"/>
      <c r="R504" s="26">
        <f t="shared" si="326"/>
        <v>15600</v>
      </c>
      <c r="S504" s="18"/>
      <c r="T504" s="18"/>
      <c r="U504" s="18"/>
      <c r="V504" s="27">
        <v>15600</v>
      </c>
      <c r="W504" s="18">
        <v>0</v>
      </c>
      <c r="X504" s="18"/>
      <c r="Y504" s="18"/>
      <c r="Z504" s="162" t="b">
        <f t="shared" si="292"/>
        <v>0</v>
      </c>
      <c r="AA504" s="162" t="str">
        <f t="shared" si="293"/>
        <v>PUNO</v>
      </c>
      <c r="AC504" s="164"/>
    </row>
    <row r="505" spans="1:29" ht="15.75" x14ac:dyDescent="0.2">
      <c r="B505" s="177"/>
      <c r="C505" s="177"/>
      <c r="D505" s="177"/>
      <c r="E505" s="177">
        <v>4223</v>
      </c>
      <c r="F505" s="176">
        <v>54</v>
      </c>
      <c r="G505" s="176" t="s">
        <v>1040</v>
      </c>
      <c r="H505" s="40" t="s">
        <v>628</v>
      </c>
      <c r="I505" s="18">
        <v>51878.32</v>
      </c>
      <c r="J505" s="27">
        <v>58005.14</v>
      </c>
      <c r="K505" s="18">
        <v>30000</v>
      </c>
      <c r="L505" s="18">
        <v>25544.81</v>
      </c>
      <c r="M505" s="18">
        <f t="shared" ref="M505:M513" si="329">ROUND(L505/K505*100,2)</f>
        <v>85.15</v>
      </c>
      <c r="N505" s="18">
        <f t="shared" ref="N505:N513" si="330">O505-K505</f>
        <v>-3424.66</v>
      </c>
      <c r="O505" s="18">
        <v>26575.34</v>
      </c>
      <c r="P505" s="18">
        <v>40700</v>
      </c>
      <c r="Q505" s="18">
        <v>37139.06</v>
      </c>
      <c r="R505" s="26">
        <f t="shared" si="326"/>
        <v>-3300</v>
      </c>
      <c r="S505" s="18">
        <v>40700</v>
      </c>
      <c r="T505" s="18">
        <v>41000</v>
      </c>
      <c r="U505" s="18">
        <v>43600</v>
      </c>
      <c r="V505" s="27">
        <v>37400</v>
      </c>
      <c r="W505" s="18">
        <v>33000</v>
      </c>
      <c r="X505" s="18">
        <v>41000</v>
      </c>
      <c r="Y505" s="18">
        <v>45000</v>
      </c>
      <c r="Z505" s="162" t="b">
        <f t="shared" si="292"/>
        <v>0</v>
      </c>
      <c r="AA505" s="162" t="str">
        <f t="shared" si="293"/>
        <v>PUNO</v>
      </c>
      <c r="AC505" s="164"/>
    </row>
    <row r="506" spans="1:29" ht="15.75" customHeight="1" x14ac:dyDescent="0.2">
      <c r="B506" s="177"/>
      <c r="C506" s="177"/>
      <c r="D506" s="177"/>
      <c r="E506" s="177">
        <v>4224</v>
      </c>
      <c r="F506" s="176">
        <v>54</v>
      </c>
      <c r="G506" s="176" t="s">
        <v>1040</v>
      </c>
      <c r="H506" s="40" t="s">
        <v>638</v>
      </c>
      <c r="I506" s="18">
        <v>4501.8</v>
      </c>
      <c r="J506" s="27">
        <v>0</v>
      </c>
      <c r="K506" s="18"/>
      <c r="L506" s="18"/>
      <c r="M506" s="18" t="e">
        <f t="shared" si="329"/>
        <v>#DIV/0!</v>
      </c>
      <c r="N506" s="18">
        <f t="shared" si="330"/>
        <v>0</v>
      </c>
      <c r="O506" s="18"/>
      <c r="P506" s="18">
        <v>1000</v>
      </c>
      <c r="Q506" s="18">
        <v>0</v>
      </c>
      <c r="R506" s="26">
        <f t="shared" si="326"/>
        <v>0</v>
      </c>
      <c r="S506" s="18">
        <v>1000</v>
      </c>
      <c r="T506" s="18"/>
      <c r="U506" s="18"/>
      <c r="V506" s="27">
        <v>1000</v>
      </c>
      <c r="W506" s="18">
        <v>0</v>
      </c>
      <c r="X506" s="18">
        <v>1000</v>
      </c>
      <c r="Y506" s="18">
        <v>1100</v>
      </c>
      <c r="Z506" s="162" t="b">
        <f t="shared" si="292"/>
        <v>0</v>
      </c>
      <c r="AA506" s="162" t="str">
        <f t="shared" si="293"/>
        <v>PUNO</v>
      </c>
      <c r="AC506" s="164"/>
    </row>
    <row r="507" spans="1:29" ht="15.75" hidden="1" customHeight="1" x14ac:dyDescent="0.2">
      <c r="B507" s="177"/>
      <c r="C507" s="177"/>
      <c r="D507" s="177"/>
      <c r="E507" s="177">
        <v>4225</v>
      </c>
      <c r="F507" s="176" t="s">
        <v>527</v>
      </c>
      <c r="G507" s="176" t="s">
        <v>1040</v>
      </c>
      <c r="H507" s="40" t="s">
        <v>844</v>
      </c>
      <c r="I507" s="18">
        <v>31502.42</v>
      </c>
      <c r="J507" s="27">
        <v>0</v>
      </c>
      <c r="K507" s="18"/>
      <c r="L507" s="18"/>
      <c r="M507" s="18" t="e">
        <f t="shared" si="329"/>
        <v>#DIV/0!</v>
      </c>
      <c r="N507" s="18">
        <f t="shared" si="330"/>
        <v>0</v>
      </c>
      <c r="O507" s="18"/>
      <c r="P507" s="18"/>
      <c r="Q507" s="18"/>
      <c r="R507" s="26">
        <f t="shared" si="326"/>
        <v>0</v>
      </c>
      <c r="S507" s="18"/>
      <c r="T507" s="18"/>
      <c r="U507" s="18"/>
      <c r="V507" s="27"/>
      <c r="W507" s="18"/>
      <c r="X507" s="18"/>
      <c r="Y507" s="18"/>
      <c r="Z507" s="162" t="b">
        <f t="shared" si="292"/>
        <v>0</v>
      </c>
      <c r="AA507" s="162" t="str">
        <f t="shared" si="293"/>
        <v>PUNO</v>
      </c>
      <c r="AC507" s="164"/>
    </row>
    <row r="508" spans="1:29" ht="15.75" hidden="1" x14ac:dyDescent="0.2">
      <c r="B508" s="177"/>
      <c r="C508" s="177"/>
      <c r="D508" s="177"/>
      <c r="E508" s="177">
        <v>4226</v>
      </c>
      <c r="F508" s="176">
        <v>54</v>
      </c>
      <c r="G508" s="176" t="s">
        <v>1040</v>
      </c>
      <c r="H508" s="40" t="s">
        <v>432</v>
      </c>
      <c r="I508" s="18">
        <v>22665.02</v>
      </c>
      <c r="J508" s="27">
        <v>139065.29999999999</v>
      </c>
      <c r="K508" s="18">
        <v>20000</v>
      </c>
      <c r="L508" s="18">
        <v>14417.74</v>
      </c>
      <c r="M508" s="18">
        <f t="shared" si="329"/>
        <v>72.09</v>
      </c>
      <c r="N508" s="18">
        <f t="shared" si="330"/>
        <v>21580.18</v>
      </c>
      <c r="O508" s="18">
        <v>41580.18</v>
      </c>
      <c r="P508" s="18">
        <v>0</v>
      </c>
      <c r="Q508" s="18">
        <v>0</v>
      </c>
      <c r="R508" s="26">
        <f t="shared" si="326"/>
        <v>0</v>
      </c>
      <c r="S508" s="18">
        <v>0</v>
      </c>
      <c r="T508" s="18">
        <v>35800</v>
      </c>
      <c r="U508" s="18">
        <v>42000</v>
      </c>
      <c r="V508" s="27"/>
      <c r="W508" s="18"/>
      <c r="X508" s="18"/>
      <c r="Y508" s="18"/>
      <c r="Z508" s="162" t="b">
        <f t="shared" si="292"/>
        <v>0</v>
      </c>
      <c r="AA508" s="162" t="str">
        <f t="shared" si="293"/>
        <v>PUNO</v>
      </c>
      <c r="AC508" s="164"/>
    </row>
    <row r="509" spans="1:29" ht="15.75" x14ac:dyDescent="0.2">
      <c r="B509" s="177"/>
      <c r="C509" s="177"/>
      <c r="D509" s="177"/>
      <c r="E509" s="177">
        <v>4227</v>
      </c>
      <c r="F509" s="176">
        <v>54</v>
      </c>
      <c r="G509" s="176" t="s">
        <v>1040</v>
      </c>
      <c r="H509" s="16" t="s">
        <v>413</v>
      </c>
      <c r="I509" s="18">
        <v>47431.34</v>
      </c>
      <c r="J509" s="27">
        <v>39603.74</v>
      </c>
      <c r="K509" s="18">
        <v>60000</v>
      </c>
      <c r="L509" s="18">
        <v>0</v>
      </c>
      <c r="M509" s="18">
        <f t="shared" si="329"/>
        <v>0</v>
      </c>
      <c r="N509" s="18">
        <f t="shared" si="330"/>
        <v>51123.429999999993</v>
      </c>
      <c r="O509" s="18">
        <v>111123.43</v>
      </c>
      <c r="P509" s="18">
        <v>90000</v>
      </c>
      <c r="Q509" s="18">
        <v>89998.93</v>
      </c>
      <c r="R509" s="26">
        <f t="shared" si="326"/>
        <v>0</v>
      </c>
      <c r="S509" s="18">
        <v>90000</v>
      </c>
      <c r="T509" s="18">
        <v>105600</v>
      </c>
      <c r="U509" s="18">
        <v>110800</v>
      </c>
      <c r="V509" s="27">
        <v>90000</v>
      </c>
      <c r="W509" s="18">
        <v>102000</v>
      </c>
      <c r="X509" s="18">
        <v>90400</v>
      </c>
      <c r="Y509" s="18">
        <v>99000</v>
      </c>
      <c r="Z509" s="162" t="b">
        <f t="shared" si="292"/>
        <v>0</v>
      </c>
      <c r="AA509" s="162" t="str">
        <f t="shared" si="293"/>
        <v>PUNO</v>
      </c>
      <c r="AC509" s="164"/>
    </row>
    <row r="510" spans="1:29" ht="28.5" hidden="1" customHeight="1" x14ac:dyDescent="0.2">
      <c r="B510" s="177"/>
      <c r="C510" s="177"/>
      <c r="D510" s="177">
        <v>424</v>
      </c>
      <c r="E510" s="177"/>
      <c r="F510" s="177"/>
      <c r="G510" s="177"/>
      <c r="H510" s="16" t="s">
        <v>447</v>
      </c>
      <c r="I510" s="18">
        <f>I511</f>
        <v>81113.210000000006</v>
      </c>
      <c r="J510" s="27">
        <f>J511</f>
        <v>78836.5</v>
      </c>
      <c r="K510" s="18">
        <f>K511</f>
        <v>0</v>
      </c>
      <c r="L510" s="18">
        <f>L511</f>
        <v>0</v>
      </c>
      <c r="M510" s="18" t="e">
        <f t="shared" si="329"/>
        <v>#DIV/0!</v>
      </c>
      <c r="N510" s="18">
        <f t="shared" si="330"/>
        <v>0</v>
      </c>
      <c r="O510" s="18">
        <f>O511</f>
        <v>0</v>
      </c>
      <c r="P510" s="18">
        <f>P511</f>
        <v>0</v>
      </c>
      <c r="Q510" s="18">
        <f>Q511</f>
        <v>0</v>
      </c>
      <c r="R510" s="26">
        <f t="shared" si="326"/>
        <v>0</v>
      </c>
      <c r="S510" s="18">
        <f t="shared" ref="S510:Y510" si="331">S511</f>
        <v>0</v>
      </c>
      <c r="T510" s="18">
        <f t="shared" si="331"/>
        <v>0</v>
      </c>
      <c r="U510" s="18">
        <f t="shared" si="331"/>
        <v>0</v>
      </c>
      <c r="V510" s="27">
        <f t="shared" si="331"/>
        <v>0</v>
      </c>
      <c r="W510" s="18">
        <f t="shared" si="331"/>
        <v>0</v>
      </c>
      <c r="X510" s="18">
        <f t="shared" si="331"/>
        <v>0</v>
      </c>
      <c r="Y510" s="18">
        <f t="shared" si="331"/>
        <v>0</v>
      </c>
      <c r="Z510" s="162" t="b">
        <f t="shared" ref="Z510:Z526" si="332">ISBLANK(E510)</f>
        <v>1</v>
      </c>
      <c r="AA510" s="162" t="str">
        <f t="shared" ref="AA510:AA526" si="333">IF(Z510,"PRAZNO","PUNO")</f>
        <v>PRAZNO</v>
      </c>
      <c r="AC510" s="164"/>
    </row>
    <row r="511" spans="1:29" ht="15.75" hidden="1" x14ac:dyDescent="0.2">
      <c r="B511" s="177"/>
      <c r="C511" s="177"/>
      <c r="D511" s="177"/>
      <c r="E511" s="177">
        <v>4241</v>
      </c>
      <c r="F511" s="176" t="s">
        <v>527</v>
      </c>
      <c r="G511" s="176" t="s">
        <v>1040</v>
      </c>
      <c r="H511" s="40" t="s">
        <v>437</v>
      </c>
      <c r="I511" s="18">
        <v>81113.210000000006</v>
      </c>
      <c r="J511" s="27">
        <v>78836.5</v>
      </c>
      <c r="K511" s="18">
        <v>0</v>
      </c>
      <c r="L511" s="18"/>
      <c r="M511" s="18" t="e">
        <f t="shared" si="329"/>
        <v>#DIV/0!</v>
      </c>
      <c r="N511" s="18">
        <f t="shared" si="330"/>
        <v>0</v>
      </c>
      <c r="O511" s="18"/>
      <c r="P511" s="18"/>
      <c r="Q511" s="18">
        <v>0</v>
      </c>
      <c r="R511" s="26">
        <f t="shared" si="326"/>
        <v>0</v>
      </c>
      <c r="S511" s="18"/>
      <c r="T511" s="18"/>
      <c r="U511" s="18"/>
      <c r="V511" s="27"/>
      <c r="W511" s="18"/>
      <c r="X511" s="18"/>
      <c r="Y511" s="18"/>
      <c r="Z511" s="162" t="b">
        <f t="shared" si="332"/>
        <v>0</v>
      </c>
      <c r="AA511" s="162" t="str">
        <f t="shared" si="333"/>
        <v>PUNO</v>
      </c>
      <c r="AC511" s="164"/>
    </row>
    <row r="512" spans="1:29" ht="15.75" hidden="1" x14ac:dyDescent="0.2">
      <c r="B512" s="177"/>
      <c r="C512" s="177"/>
      <c r="D512" s="177">
        <v>426</v>
      </c>
      <c r="E512" s="177"/>
      <c r="F512" s="177"/>
      <c r="G512" s="177"/>
      <c r="H512" s="40" t="s">
        <v>560</v>
      </c>
      <c r="I512" s="18">
        <f>I513</f>
        <v>9354.15</v>
      </c>
      <c r="J512" s="27">
        <f>J513</f>
        <v>2999</v>
      </c>
      <c r="K512" s="18">
        <f>K513</f>
        <v>3000</v>
      </c>
      <c r="L512" s="18">
        <f>L513</f>
        <v>1500</v>
      </c>
      <c r="M512" s="18">
        <f t="shared" si="329"/>
        <v>50</v>
      </c>
      <c r="N512" s="18">
        <f t="shared" si="330"/>
        <v>-1500</v>
      </c>
      <c r="O512" s="18">
        <f>O513</f>
        <v>1500</v>
      </c>
      <c r="P512" s="18">
        <f>P513</f>
        <v>0</v>
      </c>
      <c r="Q512" s="18">
        <f>Q513</f>
        <v>0</v>
      </c>
      <c r="R512" s="26">
        <f t="shared" si="326"/>
        <v>0</v>
      </c>
      <c r="S512" s="18">
        <f t="shared" ref="S512:Y512" si="334">S513</f>
        <v>0</v>
      </c>
      <c r="T512" s="18">
        <f t="shared" si="334"/>
        <v>2000</v>
      </c>
      <c r="U512" s="18">
        <f t="shared" si="334"/>
        <v>2000</v>
      </c>
      <c r="V512" s="27">
        <f t="shared" si="334"/>
        <v>0</v>
      </c>
      <c r="W512" s="18">
        <f t="shared" si="334"/>
        <v>0</v>
      </c>
      <c r="X512" s="18">
        <f t="shared" si="334"/>
        <v>0</v>
      </c>
      <c r="Y512" s="18">
        <f t="shared" si="334"/>
        <v>0</v>
      </c>
      <c r="Z512" s="162" t="b">
        <f t="shared" si="332"/>
        <v>1</v>
      </c>
      <c r="AA512" s="162" t="str">
        <f t="shared" si="333"/>
        <v>PRAZNO</v>
      </c>
      <c r="AC512" s="164"/>
    </row>
    <row r="513" spans="1:29" ht="15.75" hidden="1" x14ac:dyDescent="0.2">
      <c r="B513" s="177"/>
      <c r="C513" s="177"/>
      <c r="D513" s="177"/>
      <c r="E513" s="177">
        <v>4262</v>
      </c>
      <c r="F513" s="176">
        <v>54</v>
      </c>
      <c r="G513" s="176" t="s">
        <v>1040</v>
      </c>
      <c r="H513" s="40" t="s">
        <v>561</v>
      </c>
      <c r="I513" s="18">
        <v>9354.15</v>
      </c>
      <c r="J513" s="27">
        <v>2999</v>
      </c>
      <c r="K513" s="18">
        <v>3000</v>
      </c>
      <c r="L513" s="18">
        <v>1500</v>
      </c>
      <c r="M513" s="18">
        <f t="shared" si="329"/>
        <v>50</v>
      </c>
      <c r="N513" s="18">
        <f t="shared" si="330"/>
        <v>-1500</v>
      </c>
      <c r="O513" s="18">
        <v>1500</v>
      </c>
      <c r="P513" s="18">
        <v>0</v>
      </c>
      <c r="Q513" s="18">
        <v>0</v>
      </c>
      <c r="R513" s="26">
        <f t="shared" si="326"/>
        <v>0</v>
      </c>
      <c r="S513" s="18">
        <v>0</v>
      </c>
      <c r="T513" s="18">
        <v>2000</v>
      </c>
      <c r="U513" s="18">
        <v>2000</v>
      </c>
      <c r="V513" s="27"/>
      <c r="W513" s="18"/>
      <c r="X513" s="18"/>
      <c r="Y513" s="18"/>
      <c r="Z513" s="162" t="b">
        <f t="shared" si="332"/>
        <v>0</v>
      </c>
      <c r="AA513" s="162" t="str">
        <f t="shared" si="333"/>
        <v>PUNO</v>
      </c>
      <c r="AC513" s="164"/>
    </row>
    <row r="514" spans="1:29" s="171" customFormat="1" ht="31.5" x14ac:dyDescent="0.2">
      <c r="A514" s="259"/>
      <c r="B514" s="209"/>
      <c r="C514" s="209"/>
      <c r="D514" s="209"/>
      <c r="E514" s="209"/>
      <c r="F514" s="219"/>
      <c r="G514" s="219"/>
      <c r="H514" s="244" t="s">
        <v>617</v>
      </c>
      <c r="I514" s="169"/>
      <c r="J514" s="303" t="e">
        <f>J516</f>
        <v>#REF!</v>
      </c>
      <c r="K514" s="302"/>
      <c r="L514" s="302"/>
      <c r="M514" s="302"/>
      <c r="N514" s="302"/>
      <c r="O514" s="302" t="e">
        <f>O516</f>
        <v>#REF!</v>
      </c>
      <c r="P514" s="302">
        <f>P516</f>
        <v>0</v>
      </c>
      <c r="Q514" s="302">
        <f>Q516</f>
        <v>0</v>
      </c>
      <c r="R514" s="303">
        <f t="shared" si="326"/>
        <v>1709000</v>
      </c>
      <c r="S514" s="169" t="e">
        <f t="shared" ref="S514:Y514" si="335">S516</f>
        <v>#REF!</v>
      </c>
      <c r="T514" s="169" t="e">
        <f t="shared" si="335"/>
        <v>#REF!</v>
      </c>
      <c r="U514" s="169" t="e">
        <f t="shared" si="335"/>
        <v>#REF!</v>
      </c>
      <c r="V514" s="303">
        <f t="shared" si="335"/>
        <v>1709000</v>
      </c>
      <c r="W514" s="302">
        <f t="shared" si="335"/>
        <v>2939700</v>
      </c>
      <c r="X514" s="302">
        <f t="shared" si="335"/>
        <v>1800000</v>
      </c>
      <c r="Y514" s="302">
        <f t="shared" si="335"/>
        <v>0</v>
      </c>
      <c r="Z514" s="162" t="b">
        <f t="shared" si="332"/>
        <v>1</v>
      </c>
      <c r="AA514" s="162" t="str">
        <f t="shared" si="333"/>
        <v>PRAZNO</v>
      </c>
      <c r="AB514" s="170"/>
    </row>
    <row r="515" spans="1:29" s="264" customFormat="1" ht="16.5" customHeight="1" x14ac:dyDescent="0.2">
      <c r="A515" s="259"/>
      <c r="B515" s="177"/>
      <c r="C515" s="177"/>
      <c r="D515" s="177"/>
      <c r="E515" s="177"/>
      <c r="F515" s="265"/>
      <c r="G515" s="265"/>
      <c r="H515" s="477" t="s">
        <v>830</v>
      </c>
      <c r="I515" s="181"/>
      <c r="J515" s="445"/>
      <c r="K515" s="406"/>
      <c r="L515" s="406"/>
      <c r="M515" s="406"/>
      <c r="N515" s="406"/>
      <c r="O515" s="406"/>
      <c r="P515" s="406"/>
      <c r="Q515" s="406"/>
      <c r="R515" s="445"/>
      <c r="S515" s="181"/>
      <c r="T515" s="181"/>
      <c r="U515" s="181"/>
      <c r="V515" s="445"/>
      <c r="W515" s="406">
        <f t="shared" ref="W515:Y517" si="336">W516</f>
        <v>2939700</v>
      </c>
      <c r="X515" s="406">
        <f t="shared" si="336"/>
        <v>1800000</v>
      </c>
      <c r="Y515" s="406">
        <f t="shared" si="336"/>
        <v>0</v>
      </c>
      <c r="Z515" s="162" t="b">
        <f t="shared" si="332"/>
        <v>1</v>
      </c>
      <c r="AA515" s="162" t="str">
        <f t="shared" si="333"/>
        <v>PRAZNO</v>
      </c>
      <c r="AB515" s="263"/>
    </row>
    <row r="516" spans="1:29" s="174" customFormat="1" ht="15.75" x14ac:dyDescent="0.2">
      <c r="A516" s="259"/>
      <c r="B516" s="172">
        <v>4</v>
      </c>
      <c r="C516" s="172"/>
      <c r="D516" s="172"/>
      <c r="E516" s="172"/>
      <c r="F516" s="220"/>
      <c r="G516" s="220"/>
      <c r="H516" s="14" t="s">
        <v>552</v>
      </c>
      <c r="I516" s="20"/>
      <c r="J516" s="55" t="e">
        <f>J517</f>
        <v>#REF!</v>
      </c>
      <c r="K516" s="20"/>
      <c r="L516" s="20"/>
      <c r="M516" s="20"/>
      <c r="N516" s="20"/>
      <c r="O516" s="20" t="e">
        <f t="shared" ref="O516:Q517" si="337">O517</f>
        <v>#REF!</v>
      </c>
      <c r="P516" s="20">
        <f t="shared" si="337"/>
        <v>0</v>
      </c>
      <c r="Q516" s="20">
        <f t="shared" si="337"/>
        <v>0</v>
      </c>
      <c r="R516" s="55">
        <f t="shared" ref="R516:R522" si="338">V516-P516</f>
        <v>1709000</v>
      </c>
      <c r="S516" s="20" t="e">
        <f t="shared" ref="S516:V517" si="339">S517</f>
        <v>#REF!</v>
      </c>
      <c r="T516" s="20" t="e">
        <f t="shared" si="339"/>
        <v>#REF!</v>
      </c>
      <c r="U516" s="20" t="e">
        <f t="shared" si="339"/>
        <v>#REF!</v>
      </c>
      <c r="V516" s="55">
        <f t="shared" si="339"/>
        <v>1709000</v>
      </c>
      <c r="W516" s="20">
        <f t="shared" si="336"/>
        <v>2939700</v>
      </c>
      <c r="X516" s="20">
        <f t="shared" si="336"/>
        <v>1800000</v>
      </c>
      <c r="Y516" s="20">
        <f t="shared" si="336"/>
        <v>0</v>
      </c>
      <c r="Z516" s="162" t="b">
        <f t="shared" si="332"/>
        <v>1</v>
      </c>
      <c r="AA516" s="162" t="str">
        <f t="shared" si="333"/>
        <v>PRAZNO</v>
      </c>
      <c r="AB516" s="173"/>
    </row>
    <row r="517" spans="1:29" ht="15.75" x14ac:dyDescent="0.2">
      <c r="B517" s="177"/>
      <c r="C517" s="177">
        <v>42</v>
      </c>
      <c r="D517" s="177"/>
      <c r="E517" s="177"/>
      <c r="F517" s="176"/>
      <c r="G517" s="176"/>
      <c r="H517" s="41" t="s">
        <v>212</v>
      </c>
      <c r="I517" s="17"/>
      <c r="J517" s="26" t="e">
        <f>J518</f>
        <v>#REF!</v>
      </c>
      <c r="K517" s="17"/>
      <c r="L517" s="17"/>
      <c r="M517" s="17"/>
      <c r="N517" s="17"/>
      <c r="O517" s="17" t="e">
        <f t="shared" si="337"/>
        <v>#REF!</v>
      </c>
      <c r="P517" s="17">
        <f t="shared" si="337"/>
        <v>0</v>
      </c>
      <c r="Q517" s="17">
        <f t="shared" si="337"/>
        <v>0</v>
      </c>
      <c r="R517" s="26">
        <f t="shared" si="338"/>
        <v>1709000</v>
      </c>
      <c r="S517" s="17" t="e">
        <f t="shared" si="339"/>
        <v>#REF!</v>
      </c>
      <c r="T517" s="17" t="e">
        <f t="shared" si="339"/>
        <v>#REF!</v>
      </c>
      <c r="U517" s="17" t="e">
        <f t="shared" si="339"/>
        <v>#REF!</v>
      </c>
      <c r="V517" s="26">
        <f t="shared" si="339"/>
        <v>1709000</v>
      </c>
      <c r="W517" s="17">
        <f t="shared" si="336"/>
        <v>2939700</v>
      </c>
      <c r="X517" s="17">
        <f t="shared" si="336"/>
        <v>1800000</v>
      </c>
      <c r="Y517" s="17">
        <f t="shared" si="336"/>
        <v>0</v>
      </c>
      <c r="Z517" s="162" t="b">
        <f t="shared" si="332"/>
        <v>1</v>
      </c>
      <c r="AA517" s="162" t="str">
        <f t="shared" si="333"/>
        <v>PRAZNO</v>
      </c>
      <c r="AC517" s="164"/>
    </row>
    <row r="518" spans="1:29" ht="15.75" x14ac:dyDescent="0.2">
      <c r="B518" s="177"/>
      <c r="C518" s="177"/>
      <c r="D518" s="177">
        <v>421</v>
      </c>
      <c r="E518" s="177"/>
      <c r="F518" s="176"/>
      <c r="G518" s="176"/>
      <c r="H518" s="41" t="s">
        <v>759</v>
      </c>
      <c r="I518" s="17"/>
      <c r="J518" s="26" t="e">
        <f>J522+#REF!</f>
        <v>#REF!</v>
      </c>
      <c r="K518" s="26" t="e">
        <f>K522+#REF!</f>
        <v>#REF!</v>
      </c>
      <c r="L518" s="26" t="e">
        <f>L522+#REF!</f>
        <v>#REF!</v>
      </c>
      <c r="M518" s="26" t="e">
        <f>M522+#REF!</f>
        <v>#REF!</v>
      </c>
      <c r="N518" s="26" t="e">
        <f>N522+#REF!</f>
        <v>#REF!</v>
      </c>
      <c r="O518" s="26" t="e">
        <f>O522+#REF!</f>
        <v>#REF!</v>
      </c>
      <c r="P518" s="26">
        <f>P519+P520+P521</f>
        <v>0</v>
      </c>
      <c r="Q518" s="17">
        <f>Q519</f>
        <v>0</v>
      </c>
      <c r="R518" s="26">
        <f t="shared" si="338"/>
        <v>1709000</v>
      </c>
      <c r="S518" s="17" t="e">
        <f>S522</f>
        <v>#REF!</v>
      </c>
      <c r="T518" s="17" t="e">
        <f>T522</f>
        <v>#REF!</v>
      </c>
      <c r="U518" s="17" t="e">
        <f>U522</f>
        <v>#REF!</v>
      </c>
      <c r="V518" s="26">
        <f>V519+V520+V521</f>
        <v>1709000</v>
      </c>
      <c r="W518" s="26">
        <f>W519+W520+W521</f>
        <v>2939700</v>
      </c>
      <c r="X518" s="26">
        <f>X519+X520+X521</f>
        <v>1800000</v>
      </c>
      <c r="Y518" s="26">
        <f>Y519+Y520+Y521</f>
        <v>0</v>
      </c>
      <c r="Z518" s="162" t="b">
        <f t="shared" si="332"/>
        <v>1</v>
      </c>
      <c r="AA518" s="162" t="str">
        <f t="shared" si="333"/>
        <v>PRAZNO</v>
      </c>
      <c r="AC518" s="164"/>
    </row>
    <row r="519" spans="1:29" s="264" customFormat="1" ht="15.75" hidden="1" x14ac:dyDescent="0.2">
      <c r="A519" s="259"/>
      <c r="B519" s="177"/>
      <c r="C519" s="177"/>
      <c r="D519" s="177"/>
      <c r="E519" s="177">
        <v>4212</v>
      </c>
      <c r="F519" s="265">
        <v>14</v>
      </c>
      <c r="G519" s="265"/>
      <c r="H519" s="41" t="s">
        <v>649</v>
      </c>
      <c r="I519" s="181"/>
      <c r="J519" s="307"/>
      <c r="K519" s="181"/>
      <c r="L519" s="181"/>
      <c r="M519" s="181"/>
      <c r="N519" s="181"/>
      <c r="O519" s="181"/>
      <c r="P519" s="181">
        <v>0</v>
      </c>
      <c r="Q519" s="181">
        <v>0</v>
      </c>
      <c r="R519" s="307">
        <f t="shared" si="338"/>
        <v>0</v>
      </c>
      <c r="S519" s="181"/>
      <c r="T519" s="181"/>
      <c r="U519" s="181"/>
      <c r="V519" s="307">
        <v>0</v>
      </c>
      <c r="W519" s="307">
        <v>0</v>
      </c>
      <c r="X519" s="307">
        <v>0</v>
      </c>
      <c r="Y519" s="307">
        <v>0</v>
      </c>
      <c r="Z519" s="162" t="b">
        <f t="shared" si="332"/>
        <v>0</v>
      </c>
      <c r="AA519" s="162" t="str">
        <f t="shared" si="333"/>
        <v>PUNO</v>
      </c>
      <c r="AB519" s="263"/>
    </row>
    <row r="520" spans="1:29" ht="15.75" hidden="1" x14ac:dyDescent="0.2">
      <c r="B520" s="177"/>
      <c r="C520" s="177"/>
      <c r="D520" s="177"/>
      <c r="E520" s="177">
        <v>4212</v>
      </c>
      <c r="F520" s="176">
        <v>52</v>
      </c>
      <c r="G520" s="176"/>
      <c r="H520" s="41" t="s">
        <v>649</v>
      </c>
      <c r="I520" s="17"/>
      <c r="J520" s="26"/>
      <c r="K520" s="17"/>
      <c r="L520" s="17"/>
      <c r="M520" s="17"/>
      <c r="N520" s="17"/>
      <c r="O520" s="17"/>
      <c r="P520" s="17">
        <v>0</v>
      </c>
      <c r="Q520" s="17">
        <v>0</v>
      </c>
      <c r="R520" s="26">
        <f t="shared" si="338"/>
        <v>15000</v>
      </c>
      <c r="S520" s="17"/>
      <c r="T520" s="17"/>
      <c r="U520" s="17"/>
      <c r="V520" s="307">
        <v>15000</v>
      </c>
      <c r="W520" s="17"/>
      <c r="X520" s="17"/>
      <c r="Y520" s="17"/>
      <c r="Z520" s="162" t="b">
        <f t="shared" si="332"/>
        <v>0</v>
      </c>
      <c r="AA520" s="162" t="str">
        <f t="shared" si="333"/>
        <v>PUNO</v>
      </c>
      <c r="AC520" s="164"/>
    </row>
    <row r="521" spans="1:29" ht="15.75" x14ac:dyDescent="0.2">
      <c r="B521" s="177"/>
      <c r="C521" s="177"/>
      <c r="D521" s="177"/>
      <c r="E521" s="177">
        <v>4212</v>
      </c>
      <c r="F521" s="176">
        <v>54</v>
      </c>
      <c r="G521" s="176"/>
      <c r="H521" s="41" t="s">
        <v>649</v>
      </c>
      <c r="I521" s="17"/>
      <c r="J521" s="26">
        <v>0</v>
      </c>
      <c r="K521" s="17"/>
      <c r="L521" s="17"/>
      <c r="M521" s="17"/>
      <c r="N521" s="17"/>
      <c r="O521" s="17">
        <v>0</v>
      </c>
      <c r="P521" s="17">
        <v>0</v>
      </c>
      <c r="Q521" s="17">
        <v>0</v>
      </c>
      <c r="R521" s="26">
        <f t="shared" si="338"/>
        <v>1694000</v>
      </c>
      <c r="S521" s="17"/>
      <c r="T521" s="17"/>
      <c r="U521" s="17"/>
      <c r="V521" s="307">
        <f>1760500-66500</f>
        <v>1694000</v>
      </c>
      <c r="W521" s="17">
        <v>2939700</v>
      </c>
      <c r="X521" s="17">
        <v>1800000</v>
      </c>
      <c r="Y521" s="17">
        <v>0</v>
      </c>
      <c r="Z521" s="162" t="b">
        <f t="shared" si="332"/>
        <v>0</v>
      </c>
      <c r="AA521" s="162" t="str">
        <f t="shared" si="333"/>
        <v>PUNO</v>
      </c>
      <c r="AC521" s="164"/>
    </row>
    <row r="522" spans="1:29" s="171" customFormat="1" ht="31.5" x14ac:dyDescent="0.2">
      <c r="A522" s="259"/>
      <c r="B522" s="270"/>
      <c r="C522" s="270"/>
      <c r="D522" s="270"/>
      <c r="E522" s="270"/>
      <c r="F522" s="270"/>
      <c r="G522" s="270"/>
      <c r="H522" s="274" t="s">
        <v>106</v>
      </c>
      <c r="I522" s="272" t="e">
        <f>#REF!+I529+I561+I599+I605+I612+I592+I653+I534+I658+I620+I648+I554+I665</f>
        <v>#REF!</v>
      </c>
      <c r="J522" s="304" t="e">
        <f>#REF!+J529+J561+J599+J605+J612+J592+J653+J534+J658+J620+J648+J554+J665+J642</f>
        <v>#REF!</v>
      </c>
      <c r="K522" s="304" t="e">
        <f>#REF!+K529+K561+K599+K605+K612+K592+K653+K534+K658+K620+K648+K554+K665+K642</f>
        <v>#REF!</v>
      </c>
      <c r="L522" s="304" t="e">
        <f>#REF!+L529+L561+L599+L605+L612+L592+L653+L534+L658+L620+L648+L554+L665+L642</f>
        <v>#REF!</v>
      </c>
      <c r="M522" s="304" t="e">
        <f>#REF!+M529+M561+M599+M605+M612+M592+M653+M534+M658+M620+M648+M554+M665+M642</f>
        <v>#REF!</v>
      </c>
      <c r="N522" s="304" t="e">
        <f>#REF!+N529+N561+N599+N605+N612+N592+N653+N534+N658+N620+N648+N554+N665+N642</f>
        <v>#REF!</v>
      </c>
      <c r="O522" s="304" t="e">
        <f>#REF!+O529+O561+O599+O605+O612+O592+O653+O534+O658+O620+O648+O554+O665+O642</f>
        <v>#REF!</v>
      </c>
      <c r="P522" s="304" t="e">
        <f>#REF!+P547+P554+P561+P599+P605+P625+P631+P642+P665+P539</f>
        <v>#REF!</v>
      </c>
      <c r="Q522" s="304" t="e">
        <f>#REF!+Q547+Q554+Q561+Q599+Q605+Q625+Q631+Q642+Q665+Q539</f>
        <v>#REF!</v>
      </c>
      <c r="R522" s="336" t="e">
        <f t="shared" si="338"/>
        <v>#REF!</v>
      </c>
      <c r="S522" s="273" t="e">
        <f>#REF!+S529+S561+S599+S605+S612+S592+S653+S534+S658+S620+S648+S554+S665+S625+S631+S642</f>
        <v>#REF!</v>
      </c>
      <c r="T522" s="273" t="e">
        <f>#REF!+T529+T561+T599+T605+T612+T592+T653+T534+T658+T620+T648+T554+T665+T625+T631+T642</f>
        <v>#REF!</v>
      </c>
      <c r="U522" s="273" t="e">
        <f>#REF!+U529+U561+U599+U605+U612+U592+U653+U534+U658+U620+U648+U554+U665+U625+U631+U642</f>
        <v>#REF!</v>
      </c>
      <c r="V522" s="336" t="e">
        <f>#REF!+V554+V561+V599+V605+V625+V631+V642+V665+V547+V539</f>
        <v>#REF!</v>
      </c>
      <c r="W522" s="336">
        <f>W539+W547+W554+W561+W599+W605+W625+W631+W642+W665+W675+W681+W687+W693</f>
        <v>12856000</v>
      </c>
      <c r="X522" s="336">
        <f>X539+X547+X554+X561+X599+X605+X625+X631+X642+X665+X675+X681+X687+X693</f>
        <v>5580100</v>
      </c>
      <c r="Y522" s="336">
        <f>Y539+Y547+Y554+Y561+Y599+Y605+Y625+Y631+Y642+Y665+Y675+Y681+Y687+Y693</f>
        <v>6084000</v>
      </c>
      <c r="Z522" s="162" t="b">
        <f t="shared" si="332"/>
        <v>1</v>
      </c>
      <c r="AA522" s="162" t="str">
        <f t="shared" si="333"/>
        <v>PRAZNO</v>
      </c>
      <c r="AB522" s="170"/>
      <c r="AC522" s="164"/>
    </row>
    <row r="523" spans="1:29" s="164" customFormat="1" ht="13.5" hidden="1" customHeight="1" x14ac:dyDescent="0.2">
      <c r="A523" s="259"/>
      <c r="B523" s="175"/>
      <c r="C523" s="175"/>
      <c r="D523" s="175"/>
      <c r="E523" s="175">
        <v>3211</v>
      </c>
      <c r="F523" s="265">
        <v>52</v>
      </c>
      <c r="G523" s="265" t="s">
        <v>1040</v>
      </c>
      <c r="H523" s="16" t="s">
        <v>565</v>
      </c>
      <c r="I523" s="183">
        <v>30658.73</v>
      </c>
      <c r="J523" s="340">
        <v>25473</v>
      </c>
      <c r="K523" s="183">
        <v>45600</v>
      </c>
      <c r="L523" s="183">
        <v>15323.6</v>
      </c>
      <c r="M523" s="183">
        <f>ROUND(L523/K523*100,2)</f>
        <v>33.6</v>
      </c>
      <c r="N523" s="183">
        <f>O523-K523</f>
        <v>-21509.8</v>
      </c>
      <c r="O523" s="183">
        <v>24090.2</v>
      </c>
      <c r="P523" s="183">
        <v>43000</v>
      </c>
      <c r="Q523" s="183">
        <v>10080.93</v>
      </c>
      <c r="R523" s="307">
        <f>V523-P523</f>
        <v>-4500</v>
      </c>
      <c r="S523" s="183">
        <v>43000</v>
      </c>
      <c r="T523" s="183">
        <v>43100</v>
      </c>
      <c r="U523" s="183">
        <v>43200</v>
      </c>
      <c r="V523" s="340">
        <v>38500</v>
      </c>
      <c r="W523" s="340">
        <v>0</v>
      </c>
      <c r="X523" s="340">
        <v>0</v>
      </c>
      <c r="Y523" s="340">
        <v>0</v>
      </c>
      <c r="Z523" s="162" t="b">
        <f t="shared" si="332"/>
        <v>0</v>
      </c>
      <c r="AA523" s="162" t="str">
        <f t="shared" si="333"/>
        <v>PUNO</v>
      </c>
      <c r="AB523" s="165"/>
    </row>
    <row r="524" spans="1:29" ht="15.75" hidden="1" x14ac:dyDescent="0.2">
      <c r="B524" s="175"/>
      <c r="C524" s="175"/>
      <c r="D524" s="175"/>
      <c r="E524" s="175">
        <v>3211</v>
      </c>
      <c r="F524" s="265">
        <v>11</v>
      </c>
      <c r="G524" s="265"/>
      <c r="H524" s="16" t="s">
        <v>565</v>
      </c>
      <c r="I524" s="183"/>
      <c r="J524" s="340"/>
      <c r="K524" s="183">
        <v>0</v>
      </c>
      <c r="L524" s="183">
        <v>0</v>
      </c>
      <c r="M524" s="183"/>
      <c r="N524" s="183">
        <f>O524-K524</f>
        <v>0</v>
      </c>
      <c r="O524" s="183"/>
      <c r="P524" s="183"/>
      <c r="Q524" s="183"/>
      <c r="R524" s="307">
        <f>V524-P524</f>
        <v>0</v>
      </c>
      <c r="S524" s="183"/>
      <c r="T524" s="183"/>
      <c r="U524" s="183"/>
      <c r="V524" s="340"/>
      <c r="W524" s="183"/>
      <c r="X524" s="183"/>
      <c r="Y524" s="183"/>
      <c r="Z524" s="162" t="b">
        <f t="shared" si="332"/>
        <v>0</v>
      </c>
      <c r="AA524" s="162" t="str">
        <f t="shared" si="333"/>
        <v>PUNO</v>
      </c>
      <c r="AC524" s="164"/>
    </row>
    <row r="525" spans="1:29" s="164" customFormat="1" ht="18" hidden="1" customHeight="1" x14ac:dyDescent="0.2">
      <c r="A525" s="259"/>
      <c r="B525" s="175"/>
      <c r="C525" s="175"/>
      <c r="D525" s="175"/>
      <c r="E525" s="175">
        <v>3213</v>
      </c>
      <c r="F525" s="265">
        <v>52</v>
      </c>
      <c r="G525" s="265" t="s">
        <v>1040</v>
      </c>
      <c r="H525" s="16" t="s">
        <v>221</v>
      </c>
      <c r="I525" s="183">
        <v>1305</v>
      </c>
      <c r="J525" s="340">
        <v>14217.6</v>
      </c>
      <c r="K525" s="183">
        <v>16300</v>
      </c>
      <c r="L525" s="183">
        <v>7872</v>
      </c>
      <c r="M525" s="183">
        <f>ROUND(L525/K525*100,2)</f>
        <v>48.29</v>
      </c>
      <c r="N525" s="183">
        <f>O525-K525</f>
        <v>-8428</v>
      </c>
      <c r="O525" s="183">
        <v>7872</v>
      </c>
      <c r="P525" s="183">
        <v>20000</v>
      </c>
      <c r="Q525" s="183">
        <v>4979</v>
      </c>
      <c r="R525" s="307">
        <f>V525-P525</f>
        <v>-5500</v>
      </c>
      <c r="S525" s="183">
        <v>20000</v>
      </c>
      <c r="T525" s="183">
        <v>12000</v>
      </c>
      <c r="U525" s="183">
        <v>12000</v>
      </c>
      <c r="V525" s="340">
        <v>14500</v>
      </c>
      <c r="W525" s="340">
        <v>0</v>
      </c>
      <c r="X525" s="340">
        <v>0</v>
      </c>
      <c r="Y525" s="340">
        <v>0</v>
      </c>
      <c r="Z525" s="162" t="b">
        <f t="shared" si="332"/>
        <v>0</v>
      </c>
      <c r="AA525" s="162" t="str">
        <f t="shared" si="333"/>
        <v>PUNO</v>
      </c>
      <c r="AB525" s="165"/>
    </row>
    <row r="526" spans="1:29" s="164" customFormat="1" ht="15.75" hidden="1" x14ac:dyDescent="0.2">
      <c r="A526" s="259"/>
      <c r="B526" s="175"/>
      <c r="C526" s="175"/>
      <c r="D526" s="175"/>
      <c r="E526" s="175">
        <v>3214</v>
      </c>
      <c r="F526" s="265">
        <v>52</v>
      </c>
      <c r="G526" s="265"/>
      <c r="H526" s="16" t="s">
        <v>852</v>
      </c>
      <c r="I526" s="183"/>
      <c r="J526" s="340"/>
      <c r="K526" s="183"/>
      <c r="L526" s="183"/>
      <c r="M526" s="183"/>
      <c r="N526" s="183"/>
      <c r="O526" s="183"/>
      <c r="P526" s="183">
        <v>0</v>
      </c>
      <c r="Q526" s="183">
        <v>0</v>
      </c>
      <c r="R526" s="307">
        <f>V526-P526</f>
        <v>0</v>
      </c>
      <c r="S526" s="183">
        <v>0</v>
      </c>
      <c r="T526" s="183"/>
      <c r="U526" s="183"/>
      <c r="V526" s="340">
        <v>0</v>
      </c>
      <c r="W526" s="183">
        <v>0</v>
      </c>
      <c r="X526" s="183">
        <v>0</v>
      </c>
      <c r="Y526" s="183">
        <v>0</v>
      </c>
      <c r="Z526" s="162" t="b">
        <f t="shared" si="332"/>
        <v>0</v>
      </c>
      <c r="AA526" s="162" t="str">
        <f t="shared" si="333"/>
        <v>PUNO</v>
      </c>
      <c r="AB526" s="165"/>
    </row>
    <row r="527" spans="1:29" ht="15.75" hidden="1" x14ac:dyDescent="0.2">
      <c r="B527" s="177"/>
      <c r="C527" s="177"/>
      <c r="D527" s="177"/>
      <c r="E527" s="177"/>
      <c r="F527" s="176"/>
      <c r="G527" s="176"/>
      <c r="H527" s="16"/>
      <c r="I527" s="18"/>
      <c r="J527" s="27"/>
      <c r="K527" s="27"/>
      <c r="L527" s="27"/>
      <c r="M527" s="27"/>
      <c r="N527" s="27"/>
      <c r="O527" s="27"/>
      <c r="P527" s="178"/>
      <c r="Q527" s="178"/>
      <c r="R527" s="26"/>
      <c r="S527" s="178"/>
      <c r="T527" s="178"/>
      <c r="U527" s="178"/>
      <c r="V527" s="266"/>
      <c r="W527" s="266"/>
      <c r="X527" s="266"/>
      <c r="Y527" s="266"/>
      <c r="Z527" s="162"/>
      <c r="AA527" s="162"/>
      <c r="AC527" s="164"/>
    </row>
    <row r="528" spans="1:29" ht="15.75" hidden="1" x14ac:dyDescent="0.2">
      <c r="B528" s="177"/>
      <c r="C528" s="177"/>
      <c r="D528" s="177"/>
      <c r="E528" s="177"/>
      <c r="F528" s="176"/>
      <c r="G528" s="176"/>
      <c r="H528" s="16"/>
      <c r="I528" s="18"/>
      <c r="J528" s="27"/>
      <c r="K528" s="27"/>
      <c r="L528" s="27"/>
      <c r="M528" s="27"/>
      <c r="N528" s="27"/>
      <c r="O528" s="27"/>
      <c r="P528" s="178"/>
      <c r="Q528" s="178"/>
      <c r="R528" s="26"/>
      <c r="S528" s="178"/>
      <c r="T528" s="178"/>
      <c r="U528" s="178"/>
      <c r="V528" s="266"/>
      <c r="W528" s="266"/>
      <c r="X528" s="266"/>
      <c r="Y528" s="266"/>
      <c r="Z528" s="162"/>
      <c r="AA528" s="162"/>
      <c r="AC528" s="164"/>
    </row>
    <row r="529" spans="1:29" s="171" customFormat="1" ht="31.5" hidden="1" x14ac:dyDescent="0.2">
      <c r="A529" s="259"/>
      <c r="B529" s="168"/>
      <c r="C529" s="168"/>
      <c r="D529" s="168"/>
      <c r="E529" s="168"/>
      <c r="F529" s="168"/>
      <c r="G529" s="168"/>
      <c r="H529" s="13" t="s">
        <v>445</v>
      </c>
      <c r="I529" s="19">
        <f t="shared" ref="I529:L532" si="340">I530</f>
        <v>24586</v>
      </c>
      <c r="J529" s="53">
        <f t="shared" si="340"/>
        <v>0</v>
      </c>
      <c r="K529" s="169">
        <f t="shared" si="340"/>
        <v>0</v>
      </c>
      <c r="L529" s="169">
        <f t="shared" si="340"/>
        <v>0</v>
      </c>
      <c r="M529" s="169" t="e">
        <f t="shared" ref="M529:M538" si="341">ROUND(L529/K529*100,2)</f>
        <v>#DIV/0!</v>
      </c>
      <c r="N529" s="169">
        <f t="shared" ref="N529:N538" si="342">O529-K529</f>
        <v>0</v>
      </c>
      <c r="O529" s="19">
        <f t="shared" ref="O529:Q532" si="343">O530</f>
        <v>0</v>
      </c>
      <c r="P529" s="19">
        <f t="shared" si="343"/>
        <v>0</v>
      </c>
      <c r="Q529" s="19">
        <f t="shared" si="343"/>
        <v>0</v>
      </c>
      <c r="R529" s="205">
        <f t="shared" ref="R529:R539" si="344">V529-P529</f>
        <v>0</v>
      </c>
      <c r="S529" s="19">
        <f t="shared" ref="S529:Y532" si="345">S530</f>
        <v>0</v>
      </c>
      <c r="T529" s="19">
        <f t="shared" si="345"/>
        <v>0</v>
      </c>
      <c r="U529" s="19">
        <f t="shared" si="345"/>
        <v>0</v>
      </c>
      <c r="V529" s="53">
        <f t="shared" si="345"/>
        <v>0</v>
      </c>
      <c r="W529" s="19">
        <f t="shared" si="345"/>
        <v>0</v>
      </c>
      <c r="X529" s="19">
        <f t="shared" si="345"/>
        <v>0</v>
      </c>
      <c r="Y529" s="19">
        <f t="shared" si="345"/>
        <v>0</v>
      </c>
      <c r="Z529" s="162" t="b">
        <f t="shared" ref="Z529:Z592" si="346">ISBLANK(E529)</f>
        <v>1</v>
      </c>
      <c r="AA529" s="162" t="str">
        <f t="shared" ref="AA529:AA592" si="347">IF(Z529,"PRAZNO","PUNO")</f>
        <v>PRAZNO</v>
      </c>
      <c r="AB529" s="170"/>
      <c r="AC529" s="164"/>
    </row>
    <row r="530" spans="1:29" s="174" customFormat="1" ht="15.75" hidden="1" x14ac:dyDescent="0.2">
      <c r="A530" s="259"/>
      <c r="B530" s="172">
        <v>4</v>
      </c>
      <c r="C530" s="172"/>
      <c r="D530" s="172"/>
      <c r="E530" s="172"/>
      <c r="F530" s="172"/>
      <c r="G530" s="172"/>
      <c r="H530" s="14" t="s">
        <v>552</v>
      </c>
      <c r="I530" s="20">
        <f t="shared" si="340"/>
        <v>24586</v>
      </c>
      <c r="J530" s="55">
        <f t="shared" si="340"/>
        <v>0</v>
      </c>
      <c r="K530" s="20">
        <f t="shared" si="340"/>
        <v>0</v>
      </c>
      <c r="L530" s="20">
        <f t="shared" si="340"/>
        <v>0</v>
      </c>
      <c r="M530" s="20" t="e">
        <f t="shared" si="341"/>
        <v>#DIV/0!</v>
      </c>
      <c r="N530" s="20">
        <f t="shared" si="342"/>
        <v>0</v>
      </c>
      <c r="O530" s="20">
        <f t="shared" si="343"/>
        <v>0</v>
      </c>
      <c r="P530" s="20">
        <f t="shared" si="343"/>
        <v>0</v>
      </c>
      <c r="Q530" s="20">
        <f t="shared" si="343"/>
        <v>0</v>
      </c>
      <c r="R530" s="55">
        <f t="shared" si="344"/>
        <v>0</v>
      </c>
      <c r="S530" s="20">
        <f t="shared" si="345"/>
        <v>0</v>
      </c>
      <c r="T530" s="20">
        <f t="shared" si="345"/>
        <v>0</v>
      </c>
      <c r="U530" s="20">
        <f t="shared" si="345"/>
        <v>0</v>
      </c>
      <c r="V530" s="55">
        <f t="shared" si="345"/>
        <v>0</v>
      </c>
      <c r="W530" s="20">
        <f t="shared" si="345"/>
        <v>0</v>
      </c>
      <c r="X530" s="20">
        <f t="shared" si="345"/>
        <v>0</v>
      </c>
      <c r="Y530" s="20">
        <f t="shared" si="345"/>
        <v>0</v>
      </c>
      <c r="Z530" s="162" t="b">
        <f t="shared" si="346"/>
        <v>1</v>
      </c>
      <c r="AA530" s="162" t="str">
        <f t="shared" si="347"/>
        <v>PRAZNO</v>
      </c>
      <c r="AB530" s="173"/>
      <c r="AC530" s="164"/>
    </row>
    <row r="531" spans="1:29" ht="15.75" hidden="1" x14ac:dyDescent="0.2">
      <c r="B531" s="177"/>
      <c r="C531" s="177">
        <v>42</v>
      </c>
      <c r="D531" s="177"/>
      <c r="E531" s="177"/>
      <c r="F531" s="177"/>
      <c r="G531" s="177"/>
      <c r="H531" s="16" t="s">
        <v>212</v>
      </c>
      <c r="I531" s="17">
        <f t="shared" si="340"/>
        <v>24586</v>
      </c>
      <c r="J531" s="26">
        <f t="shared" si="340"/>
        <v>0</v>
      </c>
      <c r="K531" s="17">
        <f t="shared" si="340"/>
        <v>0</v>
      </c>
      <c r="L531" s="17">
        <f t="shared" si="340"/>
        <v>0</v>
      </c>
      <c r="M531" s="17" t="e">
        <f t="shared" si="341"/>
        <v>#DIV/0!</v>
      </c>
      <c r="N531" s="17">
        <f t="shared" si="342"/>
        <v>0</v>
      </c>
      <c r="O531" s="17">
        <f t="shared" si="343"/>
        <v>0</v>
      </c>
      <c r="P531" s="17">
        <f t="shared" si="343"/>
        <v>0</v>
      </c>
      <c r="Q531" s="17">
        <f t="shared" si="343"/>
        <v>0</v>
      </c>
      <c r="R531" s="26">
        <f t="shared" si="344"/>
        <v>0</v>
      </c>
      <c r="S531" s="17">
        <f t="shared" si="345"/>
        <v>0</v>
      </c>
      <c r="T531" s="17">
        <f t="shared" si="345"/>
        <v>0</v>
      </c>
      <c r="U531" s="17">
        <f t="shared" si="345"/>
        <v>0</v>
      </c>
      <c r="V531" s="26">
        <f t="shared" si="345"/>
        <v>0</v>
      </c>
      <c r="W531" s="17">
        <f t="shared" si="345"/>
        <v>0</v>
      </c>
      <c r="X531" s="17">
        <f t="shared" si="345"/>
        <v>0</v>
      </c>
      <c r="Y531" s="17">
        <f t="shared" si="345"/>
        <v>0</v>
      </c>
      <c r="Z531" s="162" t="b">
        <f t="shared" si="346"/>
        <v>1</v>
      </c>
      <c r="AA531" s="162" t="str">
        <f t="shared" si="347"/>
        <v>PRAZNO</v>
      </c>
      <c r="AC531" s="164"/>
    </row>
    <row r="532" spans="1:29" ht="15.75" hidden="1" x14ac:dyDescent="0.2">
      <c r="B532" s="177"/>
      <c r="C532" s="177"/>
      <c r="D532" s="177">
        <v>421</v>
      </c>
      <c r="E532" s="177"/>
      <c r="F532" s="177"/>
      <c r="G532" s="177"/>
      <c r="H532" s="16" t="s">
        <v>759</v>
      </c>
      <c r="I532" s="17">
        <f t="shared" si="340"/>
        <v>24586</v>
      </c>
      <c r="J532" s="17">
        <f t="shared" si="340"/>
        <v>0</v>
      </c>
      <c r="K532" s="17">
        <f t="shared" si="340"/>
        <v>0</v>
      </c>
      <c r="L532" s="17">
        <f t="shared" si="340"/>
        <v>0</v>
      </c>
      <c r="M532" s="17" t="e">
        <f t="shared" si="341"/>
        <v>#DIV/0!</v>
      </c>
      <c r="N532" s="17">
        <f t="shared" si="342"/>
        <v>0</v>
      </c>
      <c r="O532" s="17">
        <f t="shared" si="343"/>
        <v>0</v>
      </c>
      <c r="P532" s="17">
        <f t="shared" si="343"/>
        <v>0</v>
      </c>
      <c r="Q532" s="17">
        <f t="shared" si="343"/>
        <v>0</v>
      </c>
      <c r="R532" s="26">
        <f t="shared" si="344"/>
        <v>0</v>
      </c>
      <c r="S532" s="17">
        <f t="shared" si="345"/>
        <v>0</v>
      </c>
      <c r="T532" s="17">
        <f t="shared" si="345"/>
        <v>0</v>
      </c>
      <c r="U532" s="17">
        <f t="shared" si="345"/>
        <v>0</v>
      </c>
      <c r="V532" s="26">
        <f t="shared" si="345"/>
        <v>0</v>
      </c>
      <c r="W532" s="17">
        <f t="shared" si="345"/>
        <v>0</v>
      </c>
      <c r="X532" s="17">
        <f t="shared" si="345"/>
        <v>0</v>
      </c>
      <c r="Y532" s="17">
        <f t="shared" si="345"/>
        <v>0</v>
      </c>
      <c r="Z532" s="162" t="b">
        <f t="shared" si="346"/>
        <v>1</v>
      </c>
      <c r="AA532" s="162" t="str">
        <f t="shared" si="347"/>
        <v>PRAZNO</v>
      </c>
      <c r="AC532" s="164"/>
    </row>
    <row r="533" spans="1:29" ht="15.75" hidden="1" x14ac:dyDescent="0.2">
      <c r="B533" s="177"/>
      <c r="C533" s="177"/>
      <c r="D533" s="177"/>
      <c r="E533" s="177">
        <v>4212</v>
      </c>
      <c r="F533" s="176" t="s">
        <v>527</v>
      </c>
      <c r="G533" s="176" t="s">
        <v>1040</v>
      </c>
      <c r="H533" s="16" t="s">
        <v>190</v>
      </c>
      <c r="I533" s="18">
        <v>24586</v>
      </c>
      <c r="J533" s="27">
        <v>0</v>
      </c>
      <c r="K533" s="18"/>
      <c r="L533" s="18"/>
      <c r="M533" s="18" t="e">
        <f t="shared" si="341"/>
        <v>#DIV/0!</v>
      </c>
      <c r="N533" s="18">
        <f t="shared" si="342"/>
        <v>0</v>
      </c>
      <c r="O533" s="18"/>
      <c r="P533" s="18"/>
      <c r="Q533" s="18"/>
      <c r="R533" s="26">
        <f t="shared" si="344"/>
        <v>0</v>
      </c>
      <c r="S533" s="18"/>
      <c r="T533" s="18"/>
      <c r="U533" s="18"/>
      <c r="V533" s="27"/>
      <c r="W533" s="18"/>
      <c r="X533" s="18"/>
      <c r="Y533" s="18"/>
      <c r="Z533" s="162" t="b">
        <f t="shared" si="346"/>
        <v>0</v>
      </c>
      <c r="AA533" s="162" t="str">
        <f t="shared" si="347"/>
        <v>PUNO</v>
      </c>
      <c r="AC533" s="164"/>
    </row>
    <row r="534" spans="1:29" s="171" customFormat="1" ht="31.5" hidden="1" x14ac:dyDescent="0.2">
      <c r="A534" s="259"/>
      <c r="B534" s="168"/>
      <c r="C534" s="168"/>
      <c r="D534" s="168"/>
      <c r="E534" s="168"/>
      <c r="F534" s="168"/>
      <c r="G534" s="168"/>
      <c r="H534" s="13" t="s">
        <v>446</v>
      </c>
      <c r="I534" s="19">
        <f t="shared" ref="I534:L537" si="348">I535</f>
        <v>10460.959999999999</v>
      </c>
      <c r="J534" s="53">
        <f t="shared" si="348"/>
        <v>0</v>
      </c>
      <c r="K534" s="169">
        <f t="shared" si="348"/>
        <v>0</v>
      </c>
      <c r="L534" s="169">
        <f t="shared" si="348"/>
        <v>0</v>
      </c>
      <c r="M534" s="169" t="e">
        <f t="shared" si="341"/>
        <v>#DIV/0!</v>
      </c>
      <c r="N534" s="169">
        <f t="shared" si="342"/>
        <v>0</v>
      </c>
      <c r="O534" s="19">
        <f t="shared" ref="O534:Q537" si="349">O535</f>
        <v>0</v>
      </c>
      <c r="P534" s="19">
        <f t="shared" si="349"/>
        <v>0</v>
      </c>
      <c r="Q534" s="19">
        <f t="shared" si="349"/>
        <v>0</v>
      </c>
      <c r="R534" s="205">
        <f t="shared" si="344"/>
        <v>0</v>
      </c>
      <c r="S534" s="19">
        <f t="shared" ref="S534:Y537" si="350">S535</f>
        <v>0</v>
      </c>
      <c r="T534" s="19">
        <f t="shared" si="350"/>
        <v>0</v>
      </c>
      <c r="U534" s="19">
        <f t="shared" si="350"/>
        <v>0</v>
      </c>
      <c r="V534" s="53">
        <f t="shared" si="350"/>
        <v>0</v>
      </c>
      <c r="W534" s="19">
        <f t="shared" si="350"/>
        <v>0</v>
      </c>
      <c r="X534" s="19">
        <f t="shared" si="350"/>
        <v>0</v>
      </c>
      <c r="Y534" s="19">
        <f t="shared" si="350"/>
        <v>0</v>
      </c>
      <c r="Z534" s="162" t="b">
        <f t="shared" si="346"/>
        <v>1</v>
      </c>
      <c r="AA534" s="162" t="str">
        <f t="shared" si="347"/>
        <v>PRAZNO</v>
      </c>
      <c r="AB534" s="170"/>
      <c r="AC534" s="164"/>
    </row>
    <row r="535" spans="1:29" s="174" customFormat="1" ht="15.75" hidden="1" x14ac:dyDescent="0.2">
      <c r="A535" s="259"/>
      <c r="B535" s="172">
        <v>4</v>
      </c>
      <c r="C535" s="172"/>
      <c r="D535" s="172"/>
      <c r="E535" s="172"/>
      <c r="F535" s="172"/>
      <c r="G535" s="172"/>
      <c r="H535" s="14" t="s">
        <v>552</v>
      </c>
      <c r="I535" s="20">
        <f t="shared" si="348"/>
        <v>10460.959999999999</v>
      </c>
      <c r="J535" s="55">
        <f t="shared" si="348"/>
        <v>0</v>
      </c>
      <c r="K535" s="20">
        <f t="shared" si="348"/>
        <v>0</v>
      </c>
      <c r="L535" s="20">
        <f t="shared" si="348"/>
        <v>0</v>
      </c>
      <c r="M535" s="20" t="e">
        <f t="shared" si="341"/>
        <v>#DIV/0!</v>
      </c>
      <c r="N535" s="20">
        <f t="shared" si="342"/>
        <v>0</v>
      </c>
      <c r="O535" s="20">
        <f t="shared" si="349"/>
        <v>0</v>
      </c>
      <c r="P535" s="20">
        <f t="shared" si="349"/>
        <v>0</v>
      </c>
      <c r="Q535" s="20">
        <f t="shared" si="349"/>
        <v>0</v>
      </c>
      <c r="R535" s="55">
        <f t="shared" si="344"/>
        <v>0</v>
      </c>
      <c r="S535" s="20">
        <f t="shared" si="350"/>
        <v>0</v>
      </c>
      <c r="T535" s="20">
        <f t="shared" si="350"/>
        <v>0</v>
      </c>
      <c r="U535" s="20">
        <f t="shared" si="350"/>
        <v>0</v>
      </c>
      <c r="V535" s="55">
        <f t="shared" si="350"/>
        <v>0</v>
      </c>
      <c r="W535" s="20">
        <f t="shared" si="350"/>
        <v>0</v>
      </c>
      <c r="X535" s="20">
        <f t="shared" si="350"/>
        <v>0</v>
      </c>
      <c r="Y535" s="20">
        <f t="shared" si="350"/>
        <v>0</v>
      </c>
      <c r="Z535" s="162" t="b">
        <f t="shared" si="346"/>
        <v>1</v>
      </c>
      <c r="AA535" s="162" t="str">
        <f t="shared" si="347"/>
        <v>PRAZNO</v>
      </c>
      <c r="AB535" s="173"/>
      <c r="AC535" s="164"/>
    </row>
    <row r="536" spans="1:29" ht="15.75" hidden="1" x14ac:dyDescent="0.2">
      <c r="B536" s="177"/>
      <c r="C536" s="177">
        <v>42</v>
      </c>
      <c r="D536" s="177"/>
      <c r="E536" s="177"/>
      <c r="F536" s="177"/>
      <c r="G536" s="177"/>
      <c r="H536" s="16" t="s">
        <v>212</v>
      </c>
      <c r="I536" s="18">
        <f t="shared" si="348"/>
        <v>10460.959999999999</v>
      </c>
      <c r="J536" s="27">
        <f t="shared" si="348"/>
        <v>0</v>
      </c>
      <c r="K536" s="18">
        <f t="shared" si="348"/>
        <v>0</v>
      </c>
      <c r="L536" s="18">
        <f t="shared" si="348"/>
        <v>0</v>
      </c>
      <c r="M536" s="18" t="e">
        <f t="shared" si="341"/>
        <v>#DIV/0!</v>
      </c>
      <c r="N536" s="18">
        <f t="shared" si="342"/>
        <v>0</v>
      </c>
      <c r="O536" s="18">
        <f t="shared" si="349"/>
        <v>0</v>
      </c>
      <c r="P536" s="18">
        <f t="shared" si="349"/>
        <v>0</v>
      </c>
      <c r="Q536" s="18">
        <f t="shared" si="349"/>
        <v>0</v>
      </c>
      <c r="R536" s="26">
        <f t="shared" si="344"/>
        <v>0</v>
      </c>
      <c r="S536" s="18">
        <f t="shared" si="350"/>
        <v>0</v>
      </c>
      <c r="T536" s="18">
        <f t="shared" si="350"/>
        <v>0</v>
      </c>
      <c r="U536" s="18">
        <f t="shared" si="350"/>
        <v>0</v>
      </c>
      <c r="V536" s="27">
        <f t="shared" si="350"/>
        <v>0</v>
      </c>
      <c r="W536" s="18">
        <f t="shared" si="350"/>
        <v>0</v>
      </c>
      <c r="X536" s="18">
        <f t="shared" si="350"/>
        <v>0</v>
      </c>
      <c r="Y536" s="18">
        <f t="shared" si="350"/>
        <v>0</v>
      </c>
      <c r="Z536" s="162" t="b">
        <f t="shared" si="346"/>
        <v>1</v>
      </c>
      <c r="AA536" s="162" t="str">
        <f t="shared" si="347"/>
        <v>PRAZNO</v>
      </c>
      <c r="AC536" s="164"/>
    </row>
    <row r="537" spans="1:29" ht="15.75" hidden="1" x14ac:dyDescent="0.2">
      <c r="B537" s="177"/>
      <c r="C537" s="177"/>
      <c r="D537" s="177">
        <v>421</v>
      </c>
      <c r="E537" s="177"/>
      <c r="F537" s="177"/>
      <c r="G537" s="177"/>
      <c r="H537" s="16" t="s">
        <v>759</v>
      </c>
      <c r="I537" s="18">
        <f t="shared" si="348"/>
        <v>10460.959999999999</v>
      </c>
      <c r="J537" s="18">
        <f t="shared" si="348"/>
        <v>0</v>
      </c>
      <c r="K537" s="18">
        <f t="shared" si="348"/>
        <v>0</v>
      </c>
      <c r="L537" s="18">
        <f t="shared" si="348"/>
        <v>0</v>
      </c>
      <c r="M537" s="18" t="e">
        <f t="shared" si="341"/>
        <v>#DIV/0!</v>
      </c>
      <c r="N537" s="18">
        <f t="shared" si="342"/>
        <v>0</v>
      </c>
      <c r="O537" s="18">
        <f t="shared" si="349"/>
        <v>0</v>
      </c>
      <c r="P537" s="18">
        <f t="shared" si="349"/>
        <v>0</v>
      </c>
      <c r="Q537" s="18">
        <f t="shared" si="349"/>
        <v>0</v>
      </c>
      <c r="R537" s="26">
        <f t="shared" si="344"/>
        <v>0</v>
      </c>
      <c r="S537" s="18">
        <f t="shared" si="350"/>
        <v>0</v>
      </c>
      <c r="T537" s="18">
        <f t="shared" si="350"/>
        <v>0</v>
      </c>
      <c r="U537" s="18">
        <f t="shared" si="350"/>
        <v>0</v>
      </c>
      <c r="V537" s="27">
        <f t="shared" si="350"/>
        <v>0</v>
      </c>
      <c r="W537" s="18">
        <f t="shared" si="350"/>
        <v>0</v>
      </c>
      <c r="X537" s="18">
        <f t="shared" si="350"/>
        <v>0</v>
      </c>
      <c r="Y537" s="18">
        <f t="shared" si="350"/>
        <v>0</v>
      </c>
      <c r="Z537" s="162" t="b">
        <f t="shared" si="346"/>
        <v>1</v>
      </c>
      <c r="AA537" s="162" t="str">
        <f t="shared" si="347"/>
        <v>PRAZNO</v>
      </c>
      <c r="AC537" s="164"/>
    </row>
    <row r="538" spans="1:29" ht="30" hidden="1" x14ac:dyDescent="0.2">
      <c r="B538" s="177"/>
      <c r="C538" s="177"/>
      <c r="D538" s="177"/>
      <c r="E538" s="177">
        <v>4212</v>
      </c>
      <c r="F538" s="176" t="s">
        <v>537</v>
      </c>
      <c r="G538" s="176" t="s">
        <v>1040</v>
      </c>
      <c r="H538" s="16" t="s">
        <v>186</v>
      </c>
      <c r="I538" s="18">
        <v>10460.959999999999</v>
      </c>
      <c r="J538" s="27">
        <v>0</v>
      </c>
      <c r="K538" s="18"/>
      <c r="L538" s="18"/>
      <c r="M538" s="18" t="e">
        <f t="shared" si="341"/>
        <v>#DIV/0!</v>
      </c>
      <c r="N538" s="18">
        <f t="shared" si="342"/>
        <v>0</v>
      </c>
      <c r="O538" s="18"/>
      <c r="P538" s="18"/>
      <c r="Q538" s="18"/>
      <c r="R538" s="26">
        <f t="shared" si="344"/>
        <v>0</v>
      </c>
      <c r="S538" s="18"/>
      <c r="T538" s="18"/>
      <c r="U538" s="18"/>
      <c r="V538" s="27"/>
      <c r="W538" s="18"/>
      <c r="X538" s="18"/>
      <c r="Y538" s="18"/>
      <c r="Z538" s="162" t="b">
        <f t="shared" si="346"/>
        <v>0</v>
      </c>
      <c r="AA538" s="162" t="str">
        <f t="shared" si="347"/>
        <v>PUNO</v>
      </c>
      <c r="AC538" s="164"/>
    </row>
    <row r="539" spans="1:29" s="171" customFormat="1" ht="31.5" x14ac:dyDescent="0.2">
      <c r="A539" s="259"/>
      <c r="B539" s="209"/>
      <c r="C539" s="209"/>
      <c r="D539" s="209"/>
      <c r="E539" s="209"/>
      <c r="F539" s="219"/>
      <c r="G539" s="219"/>
      <c r="H539" s="12" t="s">
        <v>609</v>
      </c>
      <c r="I539" s="242"/>
      <c r="J539" s="243">
        <f>J541</f>
        <v>0</v>
      </c>
      <c r="K539" s="242"/>
      <c r="L539" s="242"/>
      <c r="M539" s="242"/>
      <c r="N539" s="242"/>
      <c r="O539" s="243">
        <f>O541</f>
        <v>0</v>
      </c>
      <c r="P539" s="305">
        <f>P541</f>
        <v>1966700</v>
      </c>
      <c r="Q539" s="305">
        <f>Q541</f>
        <v>0</v>
      </c>
      <c r="R539" s="303">
        <f t="shared" si="344"/>
        <v>87000</v>
      </c>
      <c r="S539" s="243">
        <f t="shared" ref="S539:Y539" si="351">S541</f>
        <v>1966700</v>
      </c>
      <c r="T539" s="243">
        <f t="shared" si="351"/>
        <v>1000000</v>
      </c>
      <c r="U539" s="243">
        <f t="shared" si="351"/>
        <v>1000000</v>
      </c>
      <c r="V539" s="305">
        <f t="shared" si="351"/>
        <v>2053700</v>
      </c>
      <c r="W539" s="305">
        <f t="shared" si="351"/>
        <v>2830000</v>
      </c>
      <c r="X539" s="305">
        <f t="shared" si="351"/>
        <v>1500000</v>
      </c>
      <c r="Y539" s="305">
        <f t="shared" si="351"/>
        <v>1300000</v>
      </c>
      <c r="Z539" s="162" t="b">
        <f t="shared" si="346"/>
        <v>1</v>
      </c>
      <c r="AA539" s="162" t="str">
        <f t="shared" si="347"/>
        <v>PRAZNO</v>
      </c>
      <c r="AB539" s="170"/>
    </row>
    <row r="540" spans="1:29" s="264" customFormat="1" ht="15.75" x14ac:dyDescent="0.2">
      <c r="A540" s="259"/>
      <c r="B540" s="177"/>
      <c r="C540" s="177"/>
      <c r="D540" s="177"/>
      <c r="E540" s="177"/>
      <c r="F540" s="265"/>
      <c r="G540" s="265"/>
      <c r="H540" s="441" t="s">
        <v>824</v>
      </c>
      <c r="I540" s="178"/>
      <c r="J540" s="266"/>
      <c r="K540" s="178"/>
      <c r="L540" s="178"/>
      <c r="M540" s="178"/>
      <c r="N540" s="178"/>
      <c r="O540" s="266"/>
      <c r="P540" s="430"/>
      <c r="Q540" s="430"/>
      <c r="R540" s="445"/>
      <c r="S540" s="266"/>
      <c r="T540" s="266"/>
      <c r="U540" s="266"/>
      <c r="V540" s="430"/>
      <c r="W540" s="430">
        <f t="shared" ref="W540:Y542" si="352">W541</f>
        <v>2830000</v>
      </c>
      <c r="X540" s="430">
        <f t="shared" si="352"/>
        <v>1500000</v>
      </c>
      <c r="Y540" s="430">
        <f t="shared" si="352"/>
        <v>1300000</v>
      </c>
      <c r="Z540" s="162" t="b">
        <f t="shared" si="346"/>
        <v>1</v>
      </c>
      <c r="AA540" s="162" t="str">
        <f t="shared" si="347"/>
        <v>PRAZNO</v>
      </c>
      <c r="AB540" s="263"/>
    </row>
    <row r="541" spans="1:29" s="174" customFormat="1" ht="15.75" x14ac:dyDescent="0.2">
      <c r="A541" s="259"/>
      <c r="B541" s="172">
        <v>4</v>
      </c>
      <c r="C541" s="172"/>
      <c r="D541" s="172"/>
      <c r="E541" s="172"/>
      <c r="F541" s="172"/>
      <c r="G541" s="172"/>
      <c r="H541" s="14" t="s">
        <v>552</v>
      </c>
      <c r="I541" s="184"/>
      <c r="J541" s="185">
        <f>J542</f>
        <v>0</v>
      </c>
      <c r="K541" s="184"/>
      <c r="L541" s="184"/>
      <c r="M541" s="184"/>
      <c r="N541" s="184"/>
      <c r="O541" s="185">
        <f t="shared" ref="O541:Q542" si="353">O542</f>
        <v>0</v>
      </c>
      <c r="P541" s="185">
        <f t="shared" si="353"/>
        <v>1966700</v>
      </c>
      <c r="Q541" s="185">
        <f t="shared" si="353"/>
        <v>0</v>
      </c>
      <c r="R541" s="55">
        <f t="shared" ref="R541:R547" si="354">V541-P541</f>
        <v>87000</v>
      </c>
      <c r="S541" s="185">
        <f t="shared" ref="S541:V542" si="355">S542</f>
        <v>1966700</v>
      </c>
      <c r="T541" s="185">
        <f t="shared" si="355"/>
        <v>1000000</v>
      </c>
      <c r="U541" s="185">
        <f t="shared" si="355"/>
        <v>1000000</v>
      </c>
      <c r="V541" s="185">
        <f t="shared" si="355"/>
        <v>2053700</v>
      </c>
      <c r="W541" s="185">
        <f t="shared" si="352"/>
        <v>2830000</v>
      </c>
      <c r="X541" s="185">
        <f t="shared" si="352"/>
        <v>1500000</v>
      </c>
      <c r="Y541" s="185">
        <f t="shared" si="352"/>
        <v>1300000</v>
      </c>
      <c r="Z541" s="162" t="b">
        <f t="shared" si="346"/>
        <v>1</v>
      </c>
      <c r="AA541" s="162" t="str">
        <f t="shared" si="347"/>
        <v>PRAZNO</v>
      </c>
      <c r="AB541" s="173"/>
    </row>
    <row r="542" spans="1:29" ht="31.5" customHeight="1" x14ac:dyDescent="0.2">
      <c r="B542" s="175"/>
      <c r="C542" s="175">
        <v>42</v>
      </c>
      <c r="D542" s="175"/>
      <c r="E542" s="175"/>
      <c r="F542" s="175"/>
      <c r="G542" s="175"/>
      <c r="H542" s="28" t="s">
        <v>212</v>
      </c>
      <c r="I542" s="18"/>
      <c r="J542" s="27">
        <f>J543</f>
        <v>0</v>
      </c>
      <c r="K542" s="18"/>
      <c r="L542" s="18"/>
      <c r="M542" s="18"/>
      <c r="N542" s="18"/>
      <c r="O542" s="27">
        <f t="shared" si="353"/>
        <v>0</v>
      </c>
      <c r="P542" s="27">
        <f t="shared" si="353"/>
        <v>1966700</v>
      </c>
      <c r="Q542" s="27">
        <f t="shared" si="353"/>
        <v>0</v>
      </c>
      <c r="R542" s="26">
        <f t="shared" si="354"/>
        <v>87000</v>
      </c>
      <c r="S542" s="27">
        <f t="shared" si="355"/>
        <v>1966700</v>
      </c>
      <c r="T542" s="27">
        <f t="shared" si="355"/>
        <v>1000000</v>
      </c>
      <c r="U542" s="27">
        <f t="shared" si="355"/>
        <v>1000000</v>
      </c>
      <c r="V542" s="27">
        <f t="shared" si="355"/>
        <v>2053700</v>
      </c>
      <c r="W542" s="27">
        <f t="shared" si="352"/>
        <v>2830000</v>
      </c>
      <c r="X542" s="27">
        <f t="shared" si="352"/>
        <v>1500000</v>
      </c>
      <c r="Y542" s="27">
        <f t="shared" si="352"/>
        <v>1300000</v>
      </c>
      <c r="Z542" s="162" t="b">
        <f t="shared" si="346"/>
        <v>1</v>
      </c>
      <c r="AA542" s="162" t="str">
        <f t="shared" si="347"/>
        <v>PRAZNO</v>
      </c>
      <c r="AC542" s="164"/>
    </row>
    <row r="543" spans="1:29" ht="15.75" x14ac:dyDescent="0.2">
      <c r="B543" s="177"/>
      <c r="C543" s="177"/>
      <c r="D543" s="177">
        <v>421</v>
      </c>
      <c r="E543" s="177"/>
      <c r="F543" s="177"/>
      <c r="G543" s="177"/>
      <c r="H543" s="16" t="s">
        <v>759</v>
      </c>
      <c r="I543" s="18"/>
      <c r="J543" s="27">
        <f>J545</f>
        <v>0</v>
      </c>
      <c r="K543" s="18"/>
      <c r="L543" s="18"/>
      <c r="M543" s="18"/>
      <c r="N543" s="18"/>
      <c r="O543" s="27">
        <f>O545</f>
        <v>0</v>
      </c>
      <c r="P543" s="27">
        <f>P544+P546</f>
        <v>1966700</v>
      </c>
      <c r="Q543" s="27">
        <f>Q545</f>
        <v>0</v>
      </c>
      <c r="R543" s="26">
        <f t="shared" si="354"/>
        <v>87000</v>
      </c>
      <c r="S543" s="27">
        <f>S545+S544</f>
        <v>1966700</v>
      </c>
      <c r="T543" s="27">
        <f>T545</f>
        <v>1000000</v>
      </c>
      <c r="U543" s="27">
        <f>U545</f>
        <v>1000000</v>
      </c>
      <c r="V543" s="27">
        <f>V544+V545</f>
        <v>2053700</v>
      </c>
      <c r="W543" s="27">
        <f>W545+W544</f>
        <v>2830000</v>
      </c>
      <c r="X543" s="27">
        <f>X545+X544</f>
        <v>1500000</v>
      </c>
      <c r="Y543" s="27">
        <f>Y545+Y544</f>
        <v>1300000</v>
      </c>
      <c r="Z543" s="162" t="b">
        <f t="shared" si="346"/>
        <v>1</v>
      </c>
      <c r="AA543" s="162" t="str">
        <f t="shared" si="347"/>
        <v>PRAZNO</v>
      </c>
      <c r="AC543" s="164"/>
    </row>
    <row r="544" spans="1:29" ht="15.75" x14ac:dyDescent="0.2">
      <c r="B544" s="177"/>
      <c r="C544" s="177"/>
      <c r="D544" s="177"/>
      <c r="E544" s="177">
        <v>4212</v>
      </c>
      <c r="F544" s="177">
        <v>14</v>
      </c>
      <c r="G544" s="177"/>
      <c r="H544" s="16" t="s">
        <v>649</v>
      </c>
      <c r="I544" s="18"/>
      <c r="J544" s="27"/>
      <c r="K544" s="18"/>
      <c r="L544" s="18"/>
      <c r="M544" s="18"/>
      <c r="N544" s="18"/>
      <c r="O544" s="27"/>
      <c r="P544" s="27">
        <v>52200</v>
      </c>
      <c r="Q544" s="27">
        <v>0</v>
      </c>
      <c r="R544" s="26">
        <f t="shared" si="354"/>
        <v>1891490</v>
      </c>
      <c r="S544" s="27">
        <v>52200</v>
      </c>
      <c r="T544" s="27"/>
      <c r="U544" s="27"/>
      <c r="V544" s="266">
        <v>1943690</v>
      </c>
      <c r="W544" s="266">
        <v>2830000</v>
      </c>
      <c r="X544" s="266">
        <v>1500000</v>
      </c>
      <c r="Y544" s="266">
        <v>1300000</v>
      </c>
      <c r="Z544" s="162" t="b">
        <f t="shared" si="346"/>
        <v>0</v>
      </c>
      <c r="AA544" s="162" t="str">
        <f t="shared" si="347"/>
        <v>PUNO</v>
      </c>
      <c r="AC544" s="164"/>
    </row>
    <row r="545" spans="1:29" ht="15.75" hidden="1" x14ac:dyDescent="0.2">
      <c r="B545" s="177"/>
      <c r="C545" s="177"/>
      <c r="D545" s="177"/>
      <c r="E545" s="177">
        <v>4212</v>
      </c>
      <c r="F545" s="265">
        <v>14</v>
      </c>
      <c r="G545" s="176"/>
      <c r="H545" s="16" t="s">
        <v>649</v>
      </c>
      <c r="I545" s="18"/>
      <c r="J545" s="27">
        <v>0</v>
      </c>
      <c r="K545" s="18"/>
      <c r="L545" s="18"/>
      <c r="M545" s="18"/>
      <c r="N545" s="18"/>
      <c r="O545" s="17"/>
      <c r="P545" s="17">
        <v>0</v>
      </c>
      <c r="Q545" s="17">
        <v>0</v>
      </c>
      <c r="R545" s="26">
        <f t="shared" si="354"/>
        <v>110010</v>
      </c>
      <c r="S545" s="17">
        <v>1914500</v>
      </c>
      <c r="T545" s="18">
        <v>1000000</v>
      </c>
      <c r="U545" s="18">
        <v>1000000</v>
      </c>
      <c r="V545" s="26">
        <v>110010</v>
      </c>
      <c r="W545" s="181">
        <v>0</v>
      </c>
      <c r="X545" s="17">
        <v>0</v>
      </c>
      <c r="Y545" s="17">
        <v>0</v>
      </c>
      <c r="Z545" s="162" t="b">
        <f t="shared" si="346"/>
        <v>0</v>
      </c>
      <c r="AA545" s="162" t="str">
        <f t="shared" si="347"/>
        <v>PUNO</v>
      </c>
      <c r="AC545" s="164"/>
    </row>
    <row r="546" spans="1:29" ht="15.75" hidden="1" x14ac:dyDescent="0.2">
      <c r="B546" s="177"/>
      <c r="C546" s="177"/>
      <c r="D546" s="177"/>
      <c r="E546" s="177">
        <v>4212</v>
      </c>
      <c r="F546" s="265">
        <v>54</v>
      </c>
      <c r="G546" s="176"/>
      <c r="H546" s="16" t="s">
        <v>649</v>
      </c>
      <c r="I546" s="18"/>
      <c r="J546" s="27"/>
      <c r="K546" s="18"/>
      <c r="L546" s="18"/>
      <c r="M546" s="18"/>
      <c r="N546" s="18"/>
      <c r="O546" s="17"/>
      <c r="P546" s="17">
        <v>1914500</v>
      </c>
      <c r="Q546" s="17">
        <v>0</v>
      </c>
      <c r="R546" s="26">
        <f t="shared" si="354"/>
        <v>-1914500</v>
      </c>
      <c r="S546" s="17"/>
      <c r="T546" s="18"/>
      <c r="U546" s="18"/>
      <c r="V546" s="26">
        <v>0</v>
      </c>
      <c r="W546" s="181">
        <v>0</v>
      </c>
      <c r="X546" s="17">
        <v>0</v>
      </c>
      <c r="Y546" s="17">
        <v>0</v>
      </c>
      <c r="Z546" s="162" t="b">
        <f t="shared" si="346"/>
        <v>0</v>
      </c>
      <c r="AA546" s="162" t="str">
        <f t="shared" si="347"/>
        <v>PUNO</v>
      </c>
      <c r="AC546" s="164"/>
    </row>
    <row r="547" spans="1:29" s="171" customFormat="1" ht="31.5" x14ac:dyDescent="0.2">
      <c r="A547" s="259"/>
      <c r="B547" s="209"/>
      <c r="C547" s="209"/>
      <c r="D547" s="209"/>
      <c r="E547" s="209"/>
      <c r="F547" s="219"/>
      <c r="G547" s="219"/>
      <c r="H547" s="12" t="s">
        <v>611</v>
      </c>
      <c r="I547" s="242"/>
      <c r="J547" s="243">
        <f>J549</f>
        <v>0</v>
      </c>
      <c r="K547" s="242"/>
      <c r="L547" s="242"/>
      <c r="M547" s="242"/>
      <c r="N547" s="242"/>
      <c r="O547" s="243">
        <f>O549</f>
        <v>0</v>
      </c>
      <c r="P547" s="305">
        <f>P549</f>
        <v>125600</v>
      </c>
      <c r="Q547" s="305">
        <f>Q549</f>
        <v>77270.86</v>
      </c>
      <c r="R547" s="303">
        <f t="shared" si="354"/>
        <v>0</v>
      </c>
      <c r="S547" s="243">
        <f t="shared" ref="S547:Y547" si="356">S549</f>
        <v>125600</v>
      </c>
      <c r="T547" s="243">
        <f t="shared" si="356"/>
        <v>500000</v>
      </c>
      <c r="U547" s="243">
        <f t="shared" si="356"/>
        <v>500000</v>
      </c>
      <c r="V547" s="305">
        <f t="shared" si="356"/>
        <v>125600</v>
      </c>
      <c r="W547" s="305">
        <f t="shared" si="356"/>
        <v>100000</v>
      </c>
      <c r="X547" s="305">
        <f t="shared" si="356"/>
        <v>0</v>
      </c>
      <c r="Y547" s="305">
        <f t="shared" si="356"/>
        <v>0</v>
      </c>
      <c r="Z547" s="162" t="b">
        <f t="shared" si="346"/>
        <v>1</v>
      </c>
      <c r="AA547" s="162" t="str">
        <f t="shared" si="347"/>
        <v>PRAZNO</v>
      </c>
      <c r="AB547" s="170"/>
    </row>
    <row r="548" spans="1:29" s="264" customFormat="1" ht="15.75" x14ac:dyDescent="0.2">
      <c r="A548" s="259"/>
      <c r="B548" s="177"/>
      <c r="C548" s="177"/>
      <c r="D548" s="177"/>
      <c r="E548" s="177"/>
      <c r="F548" s="265"/>
      <c r="G548" s="265"/>
      <c r="H548" s="441" t="s">
        <v>824</v>
      </c>
      <c r="I548" s="178"/>
      <c r="J548" s="266"/>
      <c r="K548" s="178"/>
      <c r="L548" s="178"/>
      <c r="M548" s="178"/>
      <c r="N548" s="178"/>
      <c r="O548" s="266"/>
      <c r="P548" s="430"/>
      <c r="Q548" s="430"/>
      <c r="R548" s="445"/>
      <c r="S548" s="266"/>
      <c r="T548" s="266"/>
      <c r="U548" s="266"/>
      <c r="V548" s="430"/>
      <c r="W548" s="430">
        <f t="shared" ref="W548:Y550" si="357">W549</f>
        <v>100000</v>
      </c>
      <c r="X548" s="430">
        <f t="shared" si="357"/>
        <v>0</v>
      </c>
      <c r="Y548" s="430">
        <f t="shared" si="357"/>
        <v>0</v>
      </c>
      <c r="Z548" s="162" t="b">
        <f t="shared" si="346"/>
        <v>1</v>
      </c>
      <c r="AA548" s="162" t="str">
        <f t="shared" si="347"/>
        <v>PRAZNO</v>
      </c>
      <c r="AB548" s="263"/>
    </row>
    <row r="549" spans="1:29" s="174" customFormat="1" ht="15.75" x14ac:dyDescent="0.2">
      <c r="A549" s="259"/>
      <c r="B549" s="172">
        <v>4</v>
      </c>
      <c r="C549" s="172"/>
      <c r="D549" s="172"/>
      <c r="E549" s="172"/>
      <c r="F549" s="172"/>
      <c r="G549" s="172"/>
      <c r="H549" s="14" t="s">
        <v>552</v>
      </c>
      <c r="I549" s="184"/>
      <c r="J549" s="185">
        <f>J550</f>
        <v>0</v>
      </c>
      <c r="K549" s="184"/>
      <c r="L549" s="184"/>
      <c r="M549" s="184"/>
      <c r="N549" s="184"/>
      <c r="O549" s="185">
        <f t="shared" ref="O549:Q551" si="358">O550</f>
        <v>0</v>
      </c>
      <c r="P549" s="185">
        <f t="shared" si="358"/>
        <v>125600</v>
      </c>
      <c r="Q549" s="185">
        <f t="shared" si="358"/>
        <v>77270.86</v>
      </c>
      <c r="R549" s="55">
        <f>V549-P549</f>
        <v>0</v>
      </c>
      <c r="S549" s="185">
        <f t="shared" ref="S549:V551" si="359">S550</f>
        <v>125600</v>
      </c>
      <c r="T549" s="185">
        <f t="shared" si="359"/>
        <v>500000</v>
      </c>
      <c r="U549" s="185">
        <f t="shared" si="359"/>
        <v>500000</v>
      </c>
      <c r="V549" s="185">
        <f t="shared" si="359"/>
        <v>125600</v>
      </c>
      <c r="W549" s="185">
        <f t="shared" si="357"/>
        <v>100000</v>
      </c>
      <c r="X549" s="185">
        <f t="shared" si="357"/>
        <v>0</v>
      </c>
      <c r="Y549" s="185">
        <f t="shared" si="357"/>
        <v>0</v>
      </c>
      <c r="Z549" s="162" t="b">
        <f t="shared" si="346"/>
        <v>1</v>
      </c>
      <c r="AA549" s="162" t="str">
        <f t="shared" si="347"/>
        <v>PRAZNO</v>
      </c>
      <c r="AB549" s="173"/>
    </row>
    <row r="550" spans="1:29" ht="30.75" customHeight="1" x14ac:dyDescent="0.2">
      <c r="B550" s="175"/>
      <c r="C550" s="175">
        <v>42</v>
      </c>
      <c r="D550" s="175"/>
      <c r="E550" s="175"/>
      <c r="F550" s="175"/>
      <c r="G550" s="175"/>
      <c r="H550" s="28" t="s">
        <v>212</v>
      </c>
      <c r="I550" s="18"/>
      <c r="J550" s="27">
        <f>J551</f>
        <v>0</v>
      </c>
      <c r="K550" s="18"/>
      <c r="L550" s="18"/>
      <c r="M550" s="18"/>
      <c r="N550" s="18"/>
      <c r="O550" s="27">
        <f t="shared" si="358"/>
        <v>0</v>
      </c>
      <c r="P550" s="27">
        <f t="shared" si="358"/>
        <v>125600</v>
      </c>
      <c r="Q550" s="27">
        <f t="shared" si="358"/>
        <v>77270.86</v>
      </c>
      <c r="R550" s="26">
        <f>V550-P550</f>
        <v>0</v>
      </c>
      <c r="S550" s="27">
        <f t="shared" si="359"/>
        <v>125600</v>
      </c>
      <c r="T550" s="27">
        <f t="shared" si="359"/>
        <v>500000</v>
      </c>
      <c r="U550" s="27">
        <f t="shared" si="359"/>
        <v>500000</v>
      </c>
      <c r="V550" s="27">
        <f t="shared" si="359"/>
        <v>125600</v>
      </c>
      <c r="W550" s="27">
        <f t="shared" si="357"/>
        <v>100000</v>
      </c>
      <c r="X550" s="27">
        <f t="shared" si="357"/>
        <v>0</v>
      </c>
      <c r="Y550" s="27">
        <f t="shared" si="357"/>
        <v>0</v>
      </c>
      <c r="Z550" s="162" t="b">
        <f t="shared" si="346"/>
        <v>1</v>
      </c>
      <c r="AA550" s="162" t="str">
        <f t="shared" si="347"/>
        <v>PRAZNO</v>
      </c>
      <c r="AC550" s="164"/>
    </row>
    <row r="551" spans="1:29" ht="15.75" x14ac:dyDescent="0.2">
      <c r="B551" s="177"/>
      <c r="C551" s="177"/>
      <c r="D551" s="177">
        <v>421</v>
      </c>
      <c r="E551" s="177"/>
      <c r="F551" s="177"/>
      <c r="G551" s="177"/>
      <c r="H551" s="16" t="s">
        <v>759</v>
      </c>
      <c r="I551" s="18"/>
      <c r="J551" s="27">
        <f>J552</f>
        <v>0</v>
      </c>
      <c r="K551" s="18"/>
      <c r="L551" s="18"/>
      <c r="M551" s="18"/>
      <c r="N551" s="18"/>
      <c r="O551" s="27">
        <f t="shared" si="358"/>
        <v>0</v>
      </c>
      <c r="P551" s="27">
        <f t="shared" si="358"/>
        <v>125600</v>
      </c>
      <c r="Q551" s="27">
        <f t="shared" si="358"/>
        <v>77270.86</v>
      </c>
      <c r="R551" s="26">
        <f>V551-P551</f>
        <v>0</v>
      </c>
      <c r="S551" s="27">
        <f t="shared" si="359"/>
        <v>125600</v>
      </c>
      <c r="T551" s="27">
        <f t="shared" si="359"/>
        <v>500000</v>
      </c>
      <c r="U551" s="27">
        <f t="shared" si="359"/>
        <v>500000</v>
      </c>
      <c r="V551" s="27">
        <f t="shared" si="359"/>
        <v>125600</v>
      </c>
      <c r="W551" s="27">
        <f>W552+W553</f>
        <v>100000</v>
      </c>
      <c r="X551" s="27">
        <f>X552+X553</f>
        <v>0</v>
      </c>
      <c r="Y551" s="27">
        <f>Y552+Y553</f>
        <v>0</v>
      </c>
      <c r="Z551" s="162" t="b">
        <f t="shared" si="346"/>
        <v>1</v>
      </c>
      <c r="AA551" s="162" t="str">
        <f t="shared" si="347"/>
        <v>PRAZNO</v>
      </c>
      <c r="AC551" s="164"/>
    </row>
    <row r="552" spans="1:29" ht="15.75" x14ac:dyDescent="0.2">
      <c r="B552" s="177"/>
      <c r="C552" s="177"/>
      <c r="D552" s="177"/>
      <c r="E552" s="177">
        <v>4212</v>
      </c>
      <c r="F552" s="265">
        <v>14</v>
      </c>
      <c r="G552" s="176"/>
      <c r="H552" s="16" t="s">
        <v>649</v>
      </c>
      <c r="I552" s="18"/>
      <c r="J552" s="27">
        <v>0</v>
      </c>
      <c r="K552" s="18"/>
      <c r="L552" s="18"/>
      <c r="M552" s="18"/>
      <c r="N552" s="18"/>
      <c r="O552" s="18"/>
      <c r="P552" s="18">
        <v>125600</v>
      </c>
      <c r="Q552" s="18">
        <v>77270.86</v>
      </c>
      <c r="R552" s="26">
        <f>V552-P552</f>
        <v>0</v>
      </c>
      <c r="S552" s="18">
        <v>125600</v>
      </c>
      <c r="T552" s="18">
        <v>500000</v>
      </c>
      <c r="U552" s="18">
        <v>500000</v>
      </c>
      <c r="V552" s="27">
        <v>125600</v>
      </c>
      <c r="W552" s="18">
        <v>100000</v>
      </c>
      <c r="X552" s="18"/>
      <c r="Y552" s="18"/>
      <c r="Z552" s="162" t="b">
        <f t="shared" si="346"/>
        <v>0</v>
      </c>
      <c r="AA552" s="162" t="str">
        <f t="shared" si="347"/>
        <v>PUNO</v>
      </c>
      <c r="AC552" s="164"/>
    </row>
    <row r="553" spans="1:29" ht="15.75" hidden="1" x14ac:dyDescent="0.2">
      <c r="B553" s="177"/>
      <c r="C553" s="177"/>
      <c r="D553" s="177"/>
      <c r="E553" s="177">
        <v>4212</v>
      </c>
      <c r="F553" s="176">
        <v>52</v>
      </c>
      <c r="G553" s="176"/>
      <c r="H553" s="16" t="s">
        <v>649</v>
      </c>
      <c r="I553" s="18"/>
      <c r="J553" s="27"/>
      <c r="K553" s="18"/>
      <c r="L553" s="18"/>
      <c r="M553" s="18"/>
      <c r="N553" s="18"/>
      <c r="O553" s="18"/>
      <c r="P553" s="18"/>
      <c r="Q553" s="18"/>
      <c r="R553" s="26"/>
      <c r="S553" s="18"/>
      <c r="T553" s="18"/>
      <c r="U553" s="18"/>
      <c r="V553" s="27">
        <v>0</v>
      </c>
      <c r="W553" s="18">
        <v>0</v>
      </c>
      <c r="X553" s="18">
        <v>0</v>
      </c>
      <c r="Y553" s="18">
        <v>0</v>
      </c>
      <c r="Z553" s="162" t="b">
        <f t="shared" si="346"/>
        <v>0</v>
      </c>
      <c r="AA553" s="162" t="str">
        <f t="shared" si="347"/>
        <v>PUNO</v>
      </c>
      <c r="AC553" s="164"/>
    </row>
    <row r="554" spans="1:29" s="171" customFormat="1" ht="31.5" x14ac:dyDescent="0.2">
      <c r="A554" s="259"/>
      <c r="B554" s="168"/>
      <c r="C554" s="168"/>
      <c r="D554" s="168"/>
      <c r="E554" s="168"/>
      <c r="F554" s="168"/>
      <c r="G554" s="219"/>
      <c r="H554" s="13" t="s">
        <v>451</v>
      </c>
      <c r="I554" s="19">
        <f>I556</f>
        <v>0</v>
      </c>
      <c r="J554" s="53">
        <f>J556</f>
        <v>0</v>
      </c>
      <c r="K554" s="169">
        <f>K556</f>
        <v>188000</v>
      </c>
      <c r="L554" s="169">
        <f>L556</f>
        <v>59040</v>
      </c>
      <c r="M554" s="169">
        <f>ROUND(L554/K554*100,2)</f>
        <v>31.4</v>
      </c>
      <c r="N554" s="169">
        <f>O554-K554</f>
        <v>-12050.410000000003</v>
      </c>
      <c r="O554" s="19">
        <f>O556</f>
        <v>175949.59</v>
      </c>
      <c r="P554" s="19">
        <f>P556</f>
        <v>149000</v>
      </c>
      <c r="Q554" s="19">
        <f>Q556</f>
        <v>39787.08</v>
      </c>
      <c r="R554" s="303">
        <f>V554-P554</f>
        <v>0</v>
      </c>
      <c r="S554" s="19">
        <f t="shared" ref="S554:Y554" si="360">S556</f>
        <v>149000</v>
      </c>
      <c r="T554" s="19">
        <f t="shared" si="360"/>
        <v>500000</v>
      </c>
      <c r="U554" s="19">
        <f t="shared" si="360"/>
        <v>700000</v>
      </c>
      <c r="V554" s="53">
        <f t="shared" si="360"/>
        <v>149000</v>
      </c>
      <c r="W554" s="19">
        <f t="shared" si="360"/>
        <v>100000</v>
      </c>
      <c r="X554" s="19">
        <f t="shared" si="360"/>
        <v>0</v>
      </c>
      <c r="Y554" s="19">
        <f t="shared" si="360"/>
        <v>0</v>
      </c>
      <c r="Z554" s="162" t="b">
        <f t="shared" si="346"/>
        <v>1</v>
      </c>
      <c r="AA554" s="162" t="str">
        <f t="shared" si="347"/>
        <v>PRAZNO</v>
      </c>
      <c r="AB554" s="170"/>
      <c r="AC554" s="164"/>
    </row>
    <row r="555" spans="1:29" s="264" customFormat="1" ht="15.75" x14ac:dyDescent="0.2">
      <c r="A555" s="259"/>
      <c r="B555" s="260"/>
      <c r="C555" s="260"/>
      <c r="D555" s="260"/>
      <c r="E555" s="260"/>
      <c r="F555" s="260"/>
      <c r="G555" s="265"/>
      <c r="H555" s="440" t="s">
        <v>824</v>
      </c>
      <c r="I555" s="262"/>
      <c r="J555" s="342"/>
      <c r="K555" s="181"/>
      <c r="L555" s="181"/>
      <c r="M555" s="181"/>
      <c r="N555" s="181"/>
      <c r="O555" s="262"/>
      <c r="P555" s="262"/>
      <c r="Q555" s="262"/>
      <c r="R555" s="445"/>
      <c r="S555" s="262"/>
      <c r="T555" s="262"/>
      <c r="U555" s="262"/>
      <c r="V555" s="342"/>
      <c r="W555" s="262">
        <f t="shared" ref="W555:Y557" si="361">W556</f>
        <v>100000</v>
      </c>
      <c r="X555" s="262">
        <f t="shared" si="361"/>
        <v>0</v>
      </c>
      <c r="Y555" s="262">
        <f t="shared" si="361"/>
        <v>0</v>
      </c>
      <c r="Z555" s="162" t="b">
        <f t="shared" si="346"/>
        <v>1</v>
      </c>
      <c r="AA555" s="162" t="str">
        <f t="shared" si="347"/>
        <v>PRAZNO</v>
      </c>
      <c r="AB555" s="263"/>
    </row>
    <row r="556" spans="1:29" s="174" customFormat="1" ht="15.75" x14ac:dyDescent="0.2">
      <c r="A556" s="259"/>
      <c r="B556" s="172">
        <v>4</v>
      </c>
      <c r="C556" s="172"/>
      <c r="D556" s="172"/>
      <c r="E556" s="172"/>
      <c r="F556" s="172"/>
      <c r="G556" s="172"/>
      <c r="H556" s="14" t="s">
        <v>552</v>
      </c>
      <c r="I556" s="20"/>
      <c r="J556" s="55">
        <f t="shared" ref="J556:L557" si="362">J557</f>
        <v>0</v>
      </c>
      <c r="K556" s="20">
        <f t="shared" si="362"/>
        <v>188000</v>
      </c>
      <c r="L556" s="20">
        <f t="shared" si="362"/>
        <v>59040</v>
      </c>
      <c r="M556" s="20">
        <f>ROUND(L556/K556*100,2)</f>
        <v>31.4</v>
      </c>
      <c r="N556" s="20">
        <f>O556-K556</f>
        <v>-12050.410000000003</v>
      </c>
      <c r="O556" s="20">
        <f t="shared" ref="O556:Q557" si="363">O557</f>
        <v>175949.59</v>
      </c>
      <c r="P556" s="20">
        <f t="shared" si="363"/>
        <v>149000</v>
      </c>
      <c r="Q556" s="20">
        <f t="shared" si="363"/>
        <v>39787.08</v>
      </c>
      <c r="R556" s="55">
        <f t="shared" ref="R556:R561" si="364">V556-P556</f>
        <v>0</v>
      </c>
      <c r="S556" s="20">
        <f t="shared" ref="S556:V557" si="365">S557</f>
        <v>149000</v>
      </c>
      <c r="T556" s="20">
        <f t="shared" si="365"/>
        <v>500000</v>
      </c>
      <c r="U556" s="20">
        <f t="shared" si="365"/>
        <v>700000</v>
      </c>
      <c r="V556" s="55">
        <f t="shared" si="365"/>
        <v>149000</v>
      </c>
      <c r="W556" s="20">
        <f t="shared" si="361"/>
        <v>100000</v>
      </c>
      <c r="X556" s="20">
        <f t="shared" si="361"/>
        <v>0</v>
      </c>
      <c r="Y556" s="20">
        <f t="shared" si="361"/>
        <v>0</v>
      </c>
      <c r="Z556" s="162" t="b">
        <f t="shared" si="346"/>
        <v>1</v>
      </c>
      <c r="AA556" s="162" t="str">
        <f t="shared" si="347"/>
        <v>PRAZNO</v>
      </c>
      <c r="AB556" s="173"/>
      <c r="AC556" s="164"/>
    </row>
    <row r="557" spans="1:29" ht="15.75" x14ac:dyDescent="0.2">
      <c r="B557" s="177"/>
      <c r="C557" s="177">
        <v>42</v>
      </c>
      <c r="D557" s="177"/>
      <c r="E557" s="177"/>
      <c r="F557" s="176"/>
      <c r="G557" s="176"/>
      <c r="H557" s="41" t="s">
        <v>212</v>
      </c>
      <c r="I557" s="17"/>
      <c r="J557" s="26">
        <f t="shared" si="362"/>
        <v>0</v>
      </c>
      <c r="K557" s="17">
        <f t="shared" si="362"/>
        <v>188000</v>
      </c>
      <c r="L557" s="17">
        <f t="shared" si="362"/>
        <v>59040</v>
      </c>
      <c r="M557" s="17">
        <f>ROUND(L557/K557*100,2)</f>
        <v>31.4</v>
      </c>
      <c r="N557" s="17">
        <f>O557-K557</f>
        <v>-12050.410000000003</v>
      </c>
      <c r="O557" s="17">
        <f t="shared" si="363"/>
        <v>175949.59</v>
      </c>
      <c r="P557" s="17">
        <f t="shared" si="363"/>
        <v>149000</v>
      </c>
      <c r="Q557" s="17">
        <f t="shared" si="363"/>
        <v>39787.08</v>
      </c>
      <c r="R557" s="26">
        <f t="shared" si="364"/>
        <v>0</v>
      </c>
      <c r="S557" s="17">
        <f t="shared" si="365"/>
        <v>149000</v>
      </c>
      <c r="T557" s="17">
        <f t="shared" si="365"/>
        <v>500000</v>
      </c>
      <c r="U557" s="17">
        <f t="shared" si="365"/>
        <v>700000</v>
      </c>
      <c r="V557" s="26">
        <f t="shared" si="365"/>
        <v>149000</v>
      </c>
      <c r="W557" s="17">
        <f t="shared" si="361"/>
        <v>100000</v>
      </c>
      <c r="X557" s="17">
        <f t="shared" si="361"/>
        <v>0</v>
      </c>
      <c r="Y557" s="17">
        <f t="shared" si="361"/>
        <v>0</v>
      </c>
      <c r="Z557" s="162" t="b">
        <f t="shared" si="346"/>
        <v>1</v>
      </c>
      <c r="AA557" s="162" t="str">
        <f t="shared" si="347"/>
        <v>PRAZNO</v>
      </c>
      <c r="AC557" s="164"/>
    </row>
    <row r="558" spans="1:29" ht="15.75" x14ac:dyDescent="0.2">
      <c r="B558" s="177"/>
      <c r="C558" s="177"/>
      <c r="D558" s="177">
        <v>421</v>
      </c>
      <c r="E558" s="177"/>
      <c r="F558" s="176"/>
      <c r="G558" s="176"/>
      <c r="H558" s="41" t="s">
        <v>759</v>
      </c>
      <c r="I558" s="17"/>
      <c r="J558" s="26">
        <f>J560</f>
        <v>0</v>
      </c>
      <c r="K558" s="17">
        <f>K560</f>
        <v>188000</v>
      </c>
      <c r="L558" s="17">
        <f>L560</f>
        <v>59040</v>
      </c>
      <c r="M558" s="17">
        <f>ROUND(L558/K558*100,2)</f>
        <v>31.4</v>
      </c>
      <c r="N558" s="17">
        <f>O558-K558</f>
        <v>-12050.410000000003</v>
      </c>
      <c r="O558" s="17">
        <f>O560</f>
        <v>175949.59</v>
      </c>
      <c r="P558" s="17">
        <f>P560+P559</f>
        <v>149000</v>
      </c>
      <c r="Q558" s="17">
        <f>Q559</f>
        <v>39787.08</v>
      </c>
      <c r="R558" s="26">
        <f t="shared" si="364"/>
        <v>0</v>
      </c>
      <c r="S558" s="17">
        <f t="shared" ref="S558:Y558" si="366">S560+S559</f>
        <v>149000</v>
      </c>
      <c r="T558" s="17">
        <f t="shared" si="366"/>
        <v>500000</v>
      </c>
      <c r="U558" s="17">
        <f t="shared" si="366"/>
        <v>700000</v>
      </c>
      <c r="V558" s="26">
        <f t="shared" si="366"/>
        <v>149000</v>
      </c>
      <c r="W558" s="17">
        <f t="shared" si="366"/>
        <v>100000</v>
      </c>
      <c r="X558" s="17">
        <f t="shared" si="366"/>
        <v>0</v>
      </c>
      <c r="Y558" s="17">
        <f t="shared" si="366"/>
        <v>0</v>
      </c>
      <c r="Z558" s="162" t="b">
        <f t="shared" si="346"/>
        <v>1</v>
      </c>
      <c r="AA558" s="162" t="str">
        <f t="shared" si="347"/>
        <v>PRAZNO</v>
      </c>
      <c r="AC558" s="164"/>
    </row>
    <row r="559" spans="1:29" ht="30" x14ac:dyDescent="0.2">
      <c r="B559" s="177"/>
      <c r="C559" s="177"/>
      <c r="D559" s="177"/>
      <c r="E559" s="177">
        <v>4212</v>
      </c>
      <c r="F559" s="176">
        <v>14</v>
      </c>
      <c r="G559" s="176"/>
      <c r="H559" s="41" t="s">
        <v>757</v>
      </c>
      <c r="I559" s="17"/>
      <c r="J559" s="26"/>
      <c r="K559" s="17"/>
      <c r="L559" s="17"/>
      <c r="M559" s="17"/>
      <c r="N559" s="17"/>
      <c r="O559" s="17"/>
      <c r="P559" s="17">
        <v>149000</v>
      </c>
      <c r="Q559" s="17">
        <v>39787.08</v>
      </c>
      <c r="R559" s="26">
        <f t="shared" si="364"/>
        <v>0</v>
      </c>
      <c r="S559" s="17">
        <v>149000</v>
      </c>
      <c r="T559" s="17">
        <v>500000</v>
      </c>
      <c r="U559" s="17">
        <f>500000+200000</f>
        <v>700000</v>
      </c>
      <c r="V559" s="26">
        <v>149000</v>
      </c>
      <c r="W559" s="17">
        <v>100000</v>
      </c>
      <c r="X559" s="17">
        <v>0</v>
      </c>
      <c r="Y559" s="17">
        <v>0</v>
      </c>
      <c r="Z559" s="162" t="b">
        <f t="shared" si="346"/>
        <v>0</v>
      </c>
      <c r="AA559" s="162" t="str">
        <f t="shared" si="347"/>
        <v>PUNO</v>
      </c>
      <c r="AC559" s="164"/>
    </row>
    <row r="560" spans="1:29" ht="30" hidden="1" x14ac:dyDescent="0.2">
      <c r="B560" s="177"/>
      <c r="C560" s="177"/>
      <c r="D560" s="177"/>
      <c r="E560" s="177">
        <v>4212</v>
      </c>
      <c r="F560" s="176">
        <v>81</v>
      </c>
      <c r="G560" s="176"/>
      <c r="H560" s="41" t="s">
        <v>452</v>
      </c>
      <c r="I560" s="17"/>
      <c r="J560" s="26">
        <v>0</v>
      </c>
      <c r="K560" s="17">
        <v>188000</v>
      </c>
      <c r="L560" s="17">
        <v>59040</v>
      </c>
      <c r="M560" s="17">
        <f>ROUND(L560/K560*100,2)</f>
        <v>31.4</v>
      </c>
      <c r="N560" s="17">
        <f>O560-K560</f>
        <v>-12050.410000000003</v>
      </c>
      <c r="O560" s="17">
        <v>175949.59</v>
      </c>
      <c r="P560" s="17"/>
      <c r="Q560" s="17"/>
      <c r="R560" s="26">
        <f t="shared" si="364"/>
        <v>0</v>
      </c>
      <c r="S560" s="17"/>
      <c r="T560" s="17"/>
      <c r="U560" s="17"/>
      <c r="V560" s="26"/>
      <c r="W560" s="17"/>
      <c r="X560" s="17"/>
      <c r="Y560" s="17"/>
      <c r="Z560" s="162" t="b">
        <f t="shared" si="346"/>
        <v>0</v>
      </c>
      <c r="AA560" s="162" t="str">
        <f t="shared" si="347"/>
        <v>PUNO</v>
      </c>
      <c r="AC560" s="164"/>
    </row>
    <row r="561" spans="1:29" s="171" customFormat="1" ht="15.75" x14ac:dyDescent="0.2">
      <c r="A561" s="259"/>
      <c r="B561" s="168"/>
      <c r="C561" s="168"/>
      <c r="D561" s="168"/>
      <c r="E561" s="168"/>
      <c r="F561" s="168"/>
      <c r="G561" s="168"/>
      <c r="H561" s="13" t="s">
        <v>45</v>
      </c>
      <c r="I561" s="19">
        <f>I571</f>
        <v>159008.29999999999</v>
      </c>
      <c r="J561" s="53">
        <f>J571</f>
        <v>159733.09</v>
      </c>
      <c r="K561" s="169">
        <f>K571</f>
        <v>265500</v>
      </c>
      <c r="L561" s="169">
        <f>L571</f>
        <v>52007.670000000006</v>
      </c>
      <c r="M561" s="169">
        <f>ROUND(L561/K561*100,2)</f>
        <v>19.59</v>
      </c>
      <c r="N561" s="169">
        <f>O561-K561</f>
        <v>62503.27999999997</v>
      </c>
      <c r="O561" s="19">
        <f>O571</f>
        <v>328003.27999999997</v>
      </c>
      <c r="P561" s="19">
        <f>P571</f>
        <v>182000</v>
      </c>
      <c r="Q561" s="19">
        <f>Q571</f>
        <v>92998.63</v>
      </c>
      <c r="R561" s="303">
        <f t="shared" si="364"/>
        <v>39600</v>
      </c>
      <c r="S561" s="19">
        <f>S571</f>
        <v>182000</v>
      </c>
      <c r="T561" s="19">
        <f>T571</f>
        <v>257500</v>
      </c>
      <c r="U561" s="19">
        <f>U571</f>
        <v>237500</v>
      </c>
      <c r="V561" s="53">
        <f>V571</f>
        <v>221600</v>
      </c>
      <c r="W561" s="19">
        <f>W571+W563</f>
        <v>276000</v>
      </c>
      <c r="X561" s="19">
        <f>X571+X563</f>
        <v>210100</v>
      </c>
      <c r="Y561" s="19">
        <f>Y571+Y563</f>
        <v>284000</v>
      </c>
      <c r="Z561" s="162" t="b">
        <f t="shared" si="346"/>
        <v>1</v>
      </c>
      <c r="AA561" s="162" t="str">
        <f t="shared" si="347"/>
        <v>PRAZNO</v>
      </c>
      <c r="AB561" s="218"/>
      <c r="AC561" s="164"/>
    </row>
    <row r="562" spans="1:29" s="447" customFormat="1" ht="15.75" x14ac:dyDescent="0.25">
      <c r="A562" s="378"/>
      <c r="B562" s="260"/>
      <c r="C562" s="260"/>
      <c r="D562" s="260"/>
      <c r="E562" s="260"/>
      <c r="F562" s="260"/>
      <c r="G562" s="260"/>
      <c r="H562" s="440" t="s">
        <v>15</v>
      </c>
      <c r="I562" s="262"/>
      <c r="J562" s="342"/>
      <c r="K562" s="262"/>
      <c r="L562" s="262"/>
      <c r="M562" s="262"/>
      <c r="N562" s="262"/>
      <c r="O562" s="262"/>
      <c r="P562" s="262"/>
      <c r="Q562" s="262"/>
      <c r="R562" s="445"/>
      <c r="S562" s="262"/>
      <c r="T562" s="262"/>
      <c r="U562" s="262"/>
      <c r="V562" s="342"/>
      <c r="W562" s="262">
        <f t="shared" ref="W562:Y564" si="367">W563</f>
        <v>47000</v>
      </c>
      <c r="X562" s="262">
        <f t="shared" si="367"/>
        <v>46000</v>
      </c>
      <c r="Y562" s="262">
        <f t="shared" si="367"/>
        <v>68000</v>
      </c>
      <c r="Z562" s="162" t="b">
        <f t="shared" si="346"/>
        <v>1</v>
      </c>
      <c r="AA562" s="162" t="str">
        <f t="shared" si="347"/>
        <v>PRAZNO</v>
      </c>
      <c r="AB562" s="488"/>
    </row>
    <row r="563" spans="1:29" s="174" customFormat="1" x14ac:dyDescent="0.2">
      <c r="A563" s="259"/>
      <c r="B563" s="172">
        <v>4</v>
      </c>
      <c r="C563" s="172"/>
      <c r="D563" s="172"/>
      <c r="E563" s="172"/>
      <c r="F563" s="172"/>
      <c r="G563" s="172"/>
      <c r="H563" s="36" t="s">
        <v>552</v>
      </c>
      <c r="I563" s="20"/>
      <c r="J563" s="55"/>
      <c r="K563" s="20"/>
      <c r="L563" s="20"/>
      <c r="M563" s="20"/>
      <c r="N563" s="20"/>
      <c r="O563" s="20"/>
      <c r="P563" s="20"/>
      <c r="Q563" s="20"/>
      <c r="R563" s="54"/>
      <c r="S563" s="20"/>
      <c r="T563" s="20"/>
      <c r="U563" s="20"/>
      <c r="V563" s="55"/>
      <c r="W563" s="20">
        <f t="shared" si="367"/>
        <v>47000</v>
      </c>
      <c r="X563" s="20">
        <f t="shared" si="367"/>
        <v>46000</v>
      </c>
      <c r="Y563" s="20">
        <f t="shared" si="367"/>
        <v>68000</v>
      </c>
      <c r="Z563" s="419" t="b">
        <f t="shared" si="346"/>
        <v>1</v>
      </c>
      <c r="AA563" s="419" t="str">
        <f t="shared" si="347"/>
        <v>PRAZNO</v>
      </c>
      <c r="AB563" s="487"/>
    </row>
    <row r="564" spans="1:29" s="264" customFormat="1" x14ac:dyDescent="0.2">
      <c r="A564" s="259"/>
      <c r="B564" s="177"/>
      <c r="C564" s="177">
        <v>42</v>
      </c>
      <c r="D564" s="177"/>
      <c r="E564" s="177"/>
      <c r="F564" s="177"/>
      <c r="G564" s="177"/>
      <c r="H564" s="23" t="s">
        <v>212</v>
      </c>
      <c r="I564" s="181"/>
      <c r="J564" s="307"/>
      <c r="K564" s="181"/>
      <c r="L564" s="181"/>
      <c r="M564" s="181"/>
      <c r="N564" s="181"/>
      <c r="O564" s="181"/>
      <c r="P564" s="181"/>
      <c r="Q564" s="181"/>
      <c r="R564" s="343"/>
      <c r="S564" s="181"/>
      <c r="T564" s="181"/>
      <c r="U564" s="181"/>
      <c r="V564" s="307"/>
      <c r="W564" s="181">
        <f t="shared" si="367"/>
        <v>47000</v>
      </c>
      <c r="X564" s="181">
        <f t="shared" si="367"/>
        <v>46000</v>
      </c>
      <c r="Y564" s="181">
        <f t="shared" si="367"/>
        <v>68000</v>
      </c>
      <c r="Z564" s="419" t="b">
        <f t="shared" si="346"/>
        <v>1</v>
      </c>
      <c r="AA564" s="419" t="str">
        <f t="shared" si="347"/>
        <v>PRAZNO</v>
      </c>
      <c r="AB564" s="486"/>
    </row>
    <row r="565" spans="1:29" s="264" customFormat="1" x14ac:dyDescent="0.2">
      <c r="A565" s="259"/>
      <c r="B565" s="177"/>
      <c r="C565" s="177"/>
      <c r="D565" s="177">
        <v>422</v>
      </c>
      <c r="E565" s="177"/>
      <c r="F565" s="177"/>
      <c r="G565" s="177"/>
      <c r="H565" s="23" t="s">
        <v>555</v>
      </c>
      <c r="I565" s="181"/>
      <c r="J565" s="307"/>
      <c r="K565" s="181"/>
      <c r="L565" s="181"/>
      <c r="M565" s="181"/>
      <c r="N565" s="181"/>
      <c r="O565" s="181"/>
      <c r="P565" s="181"/>
      <c r="Q565" s="181"/>
      <c r="R565" s="343"/>
      <c r="S565" s="181"/>
      <c r="T565" s="181"/>
      <c r="U565" s="181"/>
      <c r="V565" s="307"/>
      <c r="W565" s="181">
        <f>SUM(W566:W569)</f>
        <v>47000</v>
      </c>
      <c r="X565" s="181">
        <f>SUM(X566:X569)</f>
        <v>46000</v>
      </c>
      <c r="Y565" s="181">
        <f>SUM(Y566:Y569)</f>
        <v>68000</v>
      </c>
      <c r="Z565" s="419" t="b">
        <f t="shared" si="346"/>
        <v>1</v>
      </c>
      <c r="AA565" s="419" t="str">
        <f t="shared" si="347"/>
        <v>PRAZNO</v>
      </c>
      <c r="AB565" s="486"/>
    </row>
    <row r="566" spans="1:29" s="164" customFormat="1" ht="15.75" x14ac:dyDescent="0.2">
      <c r="A566" s="259"/>
      <c r="B566" s="177"/>
      <c r="C566" s="177"/>
      <c r="D566" s="177"/>
      <c r="E566" s="177">
        <v>4221</v>
      </c>
      <c r="F566" s="265">
        <v>31</v>
      </c>
      <c r="G566" s="265"/>
      <c r="H566" s="16" t="s">
        <v>558</v>
      </c>
      <c r="I566" s="178">
        <v>7379</v>
      </c>
      <c r="J566" s="266"/>
      <c r="K566" s="178"/>
      <c r="L566" s="178"/>
      <c r="M566" s="178"/>
      <c r="N566" s="178"/>
      <c r="O566" s="178"/>
      <c r="P566" s="178"/>
      <c r="Q566" s="178"/>
      <c r="R566" s="307"/>
      <c r="S566" s="178"/>
      <c r="T566" s="178"/>
      <c r="U566" s="178"/>
      <c r="V566" s="266"/>
      <c r="W566" s="266">
        <v>30000</v>
      </c>
      <c r="X566" s="266">
        <v>30000</v>
      </c>
      <c r="Y566" s="266">
        <v>30000</v>
      </c>
      <c r="Z566" s="162" t="b">
        <f t="shared" si="346"/>
        <v>0</v>
      </c>
      <c r="AA566" s="162" t="str">
        <f t="shared" si="347"/>
        <v>PUNO</v>
      </c>
      <c r="AB566" s="165"/>
    </row>
    <row r="567" spans="1:29" s="164" customFormat="1" ht="15.75" x14ac:dyDescent="0.2">
      <c r="A567" s="259"/>
      <c r="B567" s="177"/>
      <c r="C567" s="177"/>
      <c r="D567" s="177"/>
      <c r="E567" s="177">
        <v>4223</v>
      </c>
      <c r="F567" s="265">
        <v>31</v>
      </c>
      <c r="G567" s="265"/>
      <c r="H567" s="16" t="s">
        <v>628</v>
      </c>
      <c r="I567" s="178"/>
      <c r="J567" s="266"/>
      <c r="K567" s="178"/>
      <c r="L567" s="178"/>
      <c r="M567" s="178"/>
      <c r="N567" s="178"/>
      <c r="O567" s="178"/>
      <c r="P567" s="178"/>
      <c r="Q567" s="178"/>
      <c r="R567" s="307"/>
      <c r="S567" s="178"/>
      <c r="T567" s="178"/>
      <c r="U567" s="178"/>
      <c r="V567" s="266"/>
      <c r="W567" s="266">
        <v>7000</v>
      </c>
      <c r="X567" s="266">
        <v>6000</v>
      </c>
      <c r="Y567" s="266">
        <v>8000</v>
      </c>
      <c r="Z567" s="162" t="b">
        <f t="shared" si="346"/>
        <v>0</v>
      </c>
      <c r="AA567" s="162" t="str">
        <f t="shared" si="347"/>
        <v>PUNO</v>
      </c>
      <c r="AB567" s="165"/>
    </row>
    <row r="568" spans="1:29" s="164" customFormat="1" ht="15.75" x14ac:dyDescent="0.2">
      <c r="A568" s="259"/>
      <c r="B568" s="177"/>
      <c r="C568" s="177"/>
      <c r="D568" s="177"/>
      <c r="E568" s="177">
        <v>4226</v>
      </c>
      <c r="F568" s="265">
        <v>31</v>
      </c>
      <c r="G568" s="265" t="s">
        <v>1040</v>
      </c>
      <c r="H568" s="16" t="s">
        <v>432</v>
      </c>
      <c r="I568" s="485">
        <v>0</v>
      </c>
      <c r="J568" s="266"/>
      <c r="K568" s="178"/>
      <c r="L568" s="178"/>
      <c r="M568" s="178"/>
      <c r="N568" s="178"/>
      <c r="O568" s="178"/>
      <c r="P568" s="178"/>
      <c r="Q568" s="178"/>
      <c r="R568" s="307"/>
      <c r="S568" s="178"/>
      <c r="T568" s="178"/>
      <c r="U568" s="178"/>
      <c r="V568" s="266"/>
      <c r="W568" s="178">
        <v>0</v>
      </c>
      <c r="X568" s="178">
        <v>0</v>
      </c>
      <c r="Y568" s="178">
        <v>20000</v>
      </c>
      <c r="Z568" s="162" t="b">
        <f t="shared" si="346"/>
        <v>0</v>
      </c>
      <c r="AA568" s="162" t="str">
        <f t="shared" si="347"/>
        <v>PUNO</v>
      </c>
      <c r="AB568" s="165"/>
    </row>
    <row r="569" spans="1:29" s="164" customFormat="1" ht="15.75" x14ac:dyDescent="0.2">
      <c r="A569" s="259"/>
      <c r="B569" s="177"/>
      <c r="C569" s="177"/>
      <c r="D569" s="177"/>
      <c r="E569" s="177">
        <v>4227</v>
      </c>
      <c r="F569" s="265">
        <v>31</v>
      </c>
      <c r="G569" s="265"/>
      <c r="H569" s="16" t="s">
        <v>413</v>
      </c>
      <c r="I569" s="178">
        <v>7770.18</v>
      </c>
      <c r="J569" s="416"/>
      <c r="K569" s="178"/>
      <c r="L569" s="178"/>
      <c r="M569" s="178"/>
      <c r="N569" s="178"/>
      <c r="O569" s="178"/>
      <c r="P569" s="178"/>
      <c r="Q569" s="178"/>
      <c r="R569" s="307"/>
      <c r="S569" s="178"/>
      <c r="T569" s="178"/>
      <c r="U569" s="178"/>
      <c r="V569" s="266"/>
      <c r="W569" s="266">
        <v>10000</v>
      </c>
      <c r="X569" s="266">
        <v>10000</v>
      </c>
      <c r="Y569" s="266">
        <v>10000</v>
      </c>
      <c r="Z569" s="162" t="b">
        <f t="shared" si="346"/>
        <v>0</v>
      </c>
      <c r="AA569" s="162" t="str">
        <f t="shared" si="347"/>
        <v>PUNO</v>
      </c>
      <c r="AB569" s="165"/>
    </row>
    <row r="570" spans="1:29" s="287" customFormat="1" ht="15.75" x14ac:dyDescent="0.25">
      <c r="A570" s="378"/>
      <c r="B570" s="260"/>
      <c r="C570" s="260"/>
      <c r="D570" s="260"/>
      <c r="E570" s="260"/>
      <c r="F570" s="442"/>
      <c r="G570" s="442"/>
      <c r="H570" s="440" t="s">
        <v>825</v>
      </c>
      <c r="I570" s="443"/>
      <c r="J570" s="494"/>
      <c r="K570" s="443"/>
      <c r="L570" s="443"/>
      <c r="M570" s="443"/>
      <c r="N570" s="443"/>
      <c r="O570" s="443"/>
      <c r="P570" s="443"/>
      <c r="Q570" s="443"/>
      <c r="R570" s="342"/>
      <c r="S570" s="443"/>
      <c r="T570" s="443"/>
      <c r="U570" s="443"/>
      <c r="V570" s="444"/>
      <c r="W570" s="444">
        <f t="shared" ref="W570:Y571" si="368">W571</f>
        <v>229000</v>
      </c>
      <c r="X570" s="444">
        <f t="shared" si="368"/>
        <v>164100</v>
      </c>
      <c r="Y570" s="444">
        <f t="shared" si="368"/>
        <v>216000</v>
      </c>
      <c r="Z570" s="162" t="b">
        <f t="shared" si="346"/>
        <v>1</v>
      </c>
      <c r="AA570" s="162" t="str">
        <f t="shared" si="347"/>
        <v>PRAZNO</v>
      </c>
      <c r="AB570" s="288"/>
    </row>
    <row r="571" spans="1:29" s="174" customFormat="1" ht="15.75" x14ac:dyDescent="0.2">
      <c r="A571" s="259"/>
      <c r="B571" s="172">
        <v>4</v>
      </c>
      <c r="C571" s="172"/>
      <c r="D571" s="172"/>
      <c r="E571" s="172"/>
      <c r="F571" s="172"/>
      <c r="G571" s="172"/>
      <c r="H571" s="14" t="s">
        <v>552</v>
      </c>
      <c r="I571" s="20">
        <f>I572</f>
        <v>159008.29999999999</v>
      </c>
      <c r="J571" s="55">
        <f>J572</f>
        <v>159733.09</v>
      </c>
      <c r="K571" s="20">
        <f>K572</f>
        <v>265500</v>
      </c>
      <c r="L571" s="20">
        <f>L572</f>
        <v>52007.670000000006</v>
      </c>
      <c r="M571" s="20">
        <f>ROUND(L571/K571*100,2)</f>
        <v>19.59</v>
      </c>
      <c r="N571" s="20">
        <f>O571-K571</f>
        <v>62503.27999999997</v>
      </c>
      <c r="O571" s="20">
        <f>O572</f>
        <v>328003.27999999997</v>
      </c>
      <c r="P571" s="20">
        <f>P572</f>
        <v>182000</v>
      </c>
      <c r="Q571" s="20">
        <f>Q572</f>
        <v>92998.63</v>
      </c>
      <c r="R571" s="55">
        <f>V571-P571</f>
        <v>39600</v>
      </c>
      <c r="S571" s="20">
        <f>S572</f>
        <v>182000</v>
      </c>
      <c r="T571" s="20">
        <f>T572</f>
        <v>257500</v>
      </c>
      <c r="U571" s="20">
        <f>U572</f>
        <v>237500</v>
      </c>
      <c r="V571" s="55">
        <f>V572</f>
        <v>221600</v>
      </c>
      <c r="W571" s="20">
        <f t="shared" si="368"/>
        <v>229000</v>
      </c>
      <c r="X571" s="20">
        <f t="shared" si="368"/>
        <v>164100</v>
      </c>
      <c r="Y571" s="20">
        <f t="shared" si="368"/>
        <v>216000</v>
      </c>
      <c r="Z571" s="162" t="b">
        <f t="shared" si="346"/>
        <v>1</v>
      </c>
      <c r="AA571" s="162" t="str">
        <f t="shared" si="347"/>
        <v>PRAZNO</v>
      </c>
      <c r="AB571" s="173"/>
      <c r="AC571" s="164"/>
    </row>
    <row r="572" spans="1:29" ht="27" customHeight="1" x14ac:dyDescent="0.2">
      <c r="B572" s="175"/>
      <c r="C572" s="175">
        <v>42</v>
      </c>
      <c r="D572" s="175"/>
      <c r="E572" s="175"/>
      <c r="F572" s="175"/>
      <c r="G572" s="175"/>
      <c r="H572" s="42" t="s">
        <v>212</v>
      </c>
      <c r="I572" s="22">
        <f>I575+I586+I589</f>
        <v>159008.29999999999</v>
      </c>
      <c r="J572" s="38">
        <f>J575+J586+J589</f>
        <v>159733.09</v>
      </c>
      <c r="K572" s="22">
        <f>K575+K586+K589</f>
        <v>265500</v>
      </c>
      <c r="L572" s="22">
        <f>L575+L586+L589</f>
        <v>52007.670000000006</v>
      </c>
      <c r="M572" s="22">
        <f>ROUND(L572/K572*100,2)</f>
        <v>19.59</v>
      </c>
      <c r="N572" s="22">
        <f>O572-K572</f>
        <v>62503.27999999997</v>
      </c>
      <c r="O572" s="22">
        <f>O575+O586+O589</f>
        <v>328003.27999999997</v>
      </c>
      <c r="P572" s="22">
        <f>P575+P586+P589</f>
        <v>182000</v>
      </c>
      <c r="Q572" s="22">
        <f>Q575+Q586+Q589</f>
        <v>92998.63</v>
      </c>
      <c r="R572" s="26">
        <f>V572-P572</f>
        <v>39600</v>
      </c>
      <c r="S572" s="22">
        <f>S575+S586+S589</f>
        <v>182000</v>
      </c>
      <c r="T572" s="22">
        <f>T575+T586+T589</f>
        <v>257500</v>
      </c>
      <c r="U572" s="22">
        <f>U575+U586+U589</f>
        <v>237500</v>
      </c>
      <c r="V572" s="38">
        <f>V575+V586+V589</f>
        <v>221600</v>
      </c>
      <c r="W572" s="22">
        <f>W575+W586+W589+W573</f>
        <v>229000</v>
      </c>
      <c r="X572" s="22">
        <f>X575+X586+X589+X573</f>
        <v>164100</v>
      </c>
      <c r="Y572" s="22">
        <f>Y575+Y586+Y589+Y573</f>
        <v>216000</v>
      </c>
      <c r="Z572" s="162" t="b">
        <f t="shared" si="346"/>
        <v>1</v>
      </c>
      <c r="AA572" s="162" t="str">
        <f t="shared" si="347"/>
        <v>PRAZNO</v>
      </c>
      <c r="AC572" s="164"/>
    </row>
    <row r="573" spans="1:29" ht="18" customHeight="1" x14ac:dyDescent="0.2">
      <c r="B573" s="175"/>
      <c r="C573" s="175"/>
      <c r="D573" s="175">
        <v>421</v>
      </c>
      <c r="E573" s="175"/>
      <c r="F573" s="175"/>
      <c r="G573" s="175"/>
      <c r="H573" s="42" t="s">
        <v>759</v>
      </c>
      <c r="I573" s="22"/>
      <c r="J573" s="38"/>
      <c r="K573" s="22"/>
      <c r="L573" s="22"/>
      <c r="M573" s="22"/>
      <c r="N573" s="22"/>
      <c r="O573" s="22"/>
      <c r="P573" s="22"/>
      <c r="Q573" s="22"/>
      <c r="R573" s="26"/>
      <c r="S573" s="22"/>
      <c r="T573" s="22"/>
      <c r="U573" s="22"/>
      <c r="V573" s="38"/>
      <c r="W573" s="22">
        <f>W574</f>
        <v>20000</v>
      </c>
      <c r="X573" s="22">
        <f>X574</f>
        <v>20000</v>
      </c>
      <c r="Y573" s="22">
        <f>Y574</f>
        <v>20000</v>
      </c>
      <c r="Z573" s="162" t="b">
        <f t="shared" si="346"/>
        <v>1</v>
      </c>
      <c r="AA573" s="162" t="str">
        <f t="shared" si="347"/>
        <v>PRAZNO</v>
      </c>
      <c r="AC573" s="164"/>
    </row>
    <row r="574" spans="1:29" ht="17.25" customHeight="1" x14ac:dyDescent="0.2">
      <c r="B574" s="175"/>
      <c r="C574" s="175"/>
      <c r="D574" s="175"/>
      <c r="E574" s="175">
        <v>4212</v>
      </c>
      <c r="F574" s="175">
        <v>55</v>
      </c>
      <c r="G574" s="175"/>
      <c r="H574" s="42" t="s">
        <v>855</v>
      </c>
      <c r="I574" s="22"/>
      <c r="J574" s="38"/>
      <c r="K574" s="22"/>
      <c r="L574" s="22"/>
      <c r="M574" s="22"/>
      <c r="N574" s="22"/>
      <c r="O574" s="22"/>
      <c r="P574" s="22"/>
      <c r="Q574" s="22"/>
      <c r="R574" s="26"/>
      <c r="S574" s="22"/>
      <c r="T574" s="22"/>
      <c r="U574" s="22"/>
      <c r="V574" s="38"/>
      <c r="W574" s="22">
        <v>20000</v>
      </c>
      <c r="X574" s="22">
        <v>20000</v>
      </c>
      <c r="Y574" s="22">
        <v>20000</v>
      </c>
      <c r="Z574" s="162" t="b">
        <f t="shared" si="346"/>
        <v>0</v>
      </c>
      <c r="AA574" s="162" t="str">
        <f t="shared" si="347"/>
        <v>PUNO</v>
      </c>
      <c r="AC574" s="164"/>
    </row>
    <row r="575" spans="1:29" ht="15.75" x14ac:dyDescent="0.2">
      <c r="B575" s="177"/>
      <c r="C575" s="177"/>
      <c r="D575" s="177">
        <v>422</v>
      </c>
      <c r="E575" s="177"/>
      <c r="F575" s="177"/>
      <c r="G575" s="177"/>
      <c r="H575" s="16" t="s">
        <v>555</v>
      </c>
      <c r="I575" s="17">
        <f>SUM(I576:I585)</f>
        <v>141337.46</v>
      </c>
      <c r="J575" s="26">
        <f>SUM(J576:J585)</f>
        <v>138701.29999999999</v>
      </c>
      <c r="K575" s="17">
        <f>SUM(K576:K585)</f>
        <v>235100</v>
      </c>
      <c r="L575" s="17">
        <f>SUM(L576:L585)</f>
        <v>49565.670000000006</v>
      </c>
      <c r="M575" s="17">
        <f>ROUND(L575/K575*100,2)</f>
        <v>21.08</v>
      </c>
      <c r="N575" s="17">
        <f>O575-K575</f>
        <v>78561.489999999991</v>
      </c>
      <c r="O575" s="17">
        <f>SUM(O576:O585)</f>
        <v>313661.49</v>
      </c>
      <c r="P575" s="17">
        <f>SUM(P576:P585)</f>
        <v>144000</v>
      </c>
      <c r="Q575" s="17">
        <f>SUM(Q576:Q585)</f>
        <v>74757.63</v>
      </c>
      <c r="R575" s="26">
        <f t="shared" ref="R575:R599" si="369">V575-P575</f>
        <v>38600</v>
      </c>
      <c r="S575" s="17">
        <f t="shared" ref="S575:Y575" si="370">SUM(S576:S585)</f>
        <v>144000</v>
      </c>
      <c r="T575" s="17">
        <f t="shared" si="370"/>
        <v>223500</v>
      </c>
      <c r="U575" s="17">
        <f t="shared" si="370"/>
        <v>206500</v>
      </c>
      <c r="V575" s="26">
        <f t="shared" si="370"/>
        <v>182600</v>
      </c>
      <c r="W575" s="17">
        <f t="shared" si="370"/>
        <v>178000</v>
      </c>
      <c r="X575" s="17">
        <f t="shared" si="370"/>
        <v>114600</v>
      </c>
      <c r="Y575" s="17">
        <f t="shared" si="370"/>
        <v>156000</v>
      </c>
      <c r="Z575" s="162" t="b">
        <f t="shared" si="346"/>
        <v>1</v>
      </c>
      <c r="AA575" s="162" t="str">
        <f t="shared" si="347"/>
        <v>PRAZNO</v>
      </c>
      <c r="AC575" s="164"/>
    </row>
    <row r="576" spans="1:29" ht="15.75" x14ac:dyDescent="0.2">
      <c r="B576" s="177"/>
      <c r="C576" s="177"/>
      <c r="D576" s="177"/>
      <c r="E576" s="177">
        <v>4221</v>
      </c>
      <c r="F576" s="176">
        <v>55</v>
      </c>
      <c r="G576" s="176" t="s">
        <v>1040</v>
      </c>
      <c r="H576" s="16" t="s">
        <v>558</v>
      </c>
      <c r="I576" s="18">
        <v>54412.39</v>
      </c>
      <c r="J576" s="27">
        <v>45659.06</v>
      </c>
      <c r="K576" s="18">
        <v>112700</v>
      </c>
      <c r="L576" s="178">
        <v>0</v>
      </c>
      <c r="M576" s="178">
        <f>ROUND(L576/K576*100,2)</f>
        <v>0</v>
      </c>
      <c r="N576" s="178">
        <f>O576-K576</f>
        <v>-83167.679999999993</v>
      </c>
      <c r="O576" s="178">
        <v>29532.32</v>
      </c>
      <c r="P576" s="178">
        <v>57500</v>
      </c>
      <c r="Q576" s="178">
        <v>22872.83</v>
      </c>
      <c r="R576" s="26">
        <f t="shared" si="369"/>
        <v>13900</v>
      </c>
      <c r="S576" s="178">
        <v>57500</v>
      </c>
      <c r="T576" s="178">
        <v>114500</v>
      </c>
      <c r="U576" s="178">
        <v>84500</v>
      </c>
      <c r="V576" s="266">
        <v>71400</v>
      </c>
      <c r="W576" s="266">
        <v>122000</v>
      </c>
      <c r="X576" s="266">
        <v>68000</v>
      </c>
      <c r="Y576" s="266">
        <v>109000</v>
      </c>
      <c r="Z576" s="162" t="b">
        <f t="shared" si="346"/>
        <v>0</v>
      </c>
      <c r="AA576" s="162" t="str">
        <f t="shared" si="347"/>
        <v>PUNO</v>
      </c>
      <c r="AC576" s="164"/>
    </row>
    <row r="577" spans="1:29" s="164" customFormat="1" ht="15.75" hidden="1" x14ac:dyDescent="0.2">
      <c r="A577" s="259"/>
      <c r="B577" s="324"/>
      <c r="C577" s="324"/>
      <c r="D577" s="324"/>
      <c r="E577" s="324">
        <v>4221</v>
      </c>
      <c r="F577" s="176">
        <v>55</v>
      </c>
      <c r="G577" s="325"/>
      <c r="H577" s="420" t="s">
        <v>558</v>
      </c>
      <c r="I577" s="326">
        <v>7379</v>
      </c>
      <c r="J577" s="327">
        <v>9939.7199999999993</v>
      </c>
      <c r="K577" s="326">
        <v>26000</v>
      </c>
      <c r="L577" s="326">
        <v>0</v>
      </c>
      <c r="M577" s="326">
        <f>ROUND(L577/K577*100,2)</f>
        <v>0</v>
      </c>
      <c r="N577" s="326">
        <f>O577-K577</f>
        <v>-25141</v>
      </c>
      <c r="O577" s="326">
        <v>859</v>
      </c>
      <c r="P577" s="326">
        <v>18800</v>
      </c>
      <c r="Q577" s="326">
        <v>8782.5</v>
      </c>
      <c r="R577" s="353">
        <f t="shared" si="369"/>
        <v>5200</v>
      </c>
      <c r="S577" s="326">
        <v>18800</v>
      </c>
      <c r="T577" s="326">
        <v>22000</v>
      </c>
      <c r="U577" s="326">
        <v>25000</v>
      </c>
      <c r="V577" s="327">
        <v>24000</v>
      </c>
      <c r="W577" s="327">
        <v>0</v>
      </c>
      <c r="X577" s="327">
        <v>0</v>
      </c>
      <c r="Y577" s="327">
        <v>0</v>
      </c>
      <c r="Z577" s="162" t="b">
        <f t="shared" si="346"/>
        <v>0</v>
      </c>
      <c r="AA577" s="162" t="str">
        <f t="shared" si="347"/>
        <v>PUNO</v>
      </c>
      <c r="AB577" s="165"/>
    </row>
    <row r="578" spans="1:29" ht="15.75" hidden="1" x14ac:dyDescent="0.2">
      <c r="B578" s="177"/>
      <c r="C578" s="177"/>
      <c r="D578" s="177"/>
      <c r="E578" s="177">
        <v>4222</v>
      </c>
      <c r="F578" s="176">
        <v>55</v>
      </c>
      <c r="G578" s="176" t="s">
        <v>1040</v>
      </c>
      <c r="H578" s="16" t="s">
        <v>559</v>
      </c>
      <c r="I578" s="18">
        <v>0</v>
      </c>
      <c r="J578" s="27">
        <v>4785.5</v>
      </c>
      <c r="K578" s="18">
        <v>8300</v>
      </c>
      <c r="L578" s="178">
        <v>0</v>
      </c>
      <c r="M578" s="178">
        <f>ROUND(L578/K578*100,2)</f>
        <v>0</v>
      </c>
      <c r="N578" s="178">
        <f>O578-K578</f>
        <v>-8300</v>
      </c>
      <c r="O578" s="178"/>
      <c r="P578" s="178"/>
      <c r="Q578" s="178"/>
      <c r="R578" s="26">
        <f t="shared" si="369"/>
        <v>0</v>
      </c>
      <c r="S578" s="178"/>
      <c r="T578" s="178"/>
      <c r="U578" s="178"/>
      <c r="V578" s="266"/>
      <c r="W578" s="178"/>
      <c r="X578" s="178"/>
      <c r="Y578" s="178"/>
      <c r="Z578" s="162" t="b">
        <f t="shared" si="346"/>
        <v>0</v>
      </c>
      <c r="AA578" s="162" t="str">
        <f t="shared" si="347"/>
        <v>PUNO</v>
      </c>
      <c r="AC578" s="164"/>
    </row>
    <row r="579" spans="1:29" ht="15.75" x14ac:dyDescent="0.2">
      <c r="B579" s="177"/>
      <c r="C579" s="177"/>
      <c r="D579" s="177"/>
      <c r="E579" s="177">
        <v>4223</v>
      </c>
      <c r="F579" s="176">
        <v>55</v>
      </c>
      <c r="G579" s="176" t="s">
        <v>1040</v>
      </c>
      <c r="H579" s="16" t="s">
        <v>628</v>
      </c>
      <c r="I579" s="18">
        <v>0</v>
      </c>
      <c r="J579" s="27">
        <v>0</v>
      </c>
      <c r="K579" s="18">
        <v>4500</v>
      </c>
      <c r="L579" s="178">
        <v>34723.800000000003</v>
      </c>
      <c r="M579" s="178">
        <f>ROUND(L579/K579*100,2)</f>
        <v>771.64</v>
      </c>
      <c r="N579" s="178">
        <f>O579-K579</f>
        <v>30223.800000000003</v>
      </c>
      <c r="O579" s="178">
        <v>34723.800000000003</v>
      </c>
      <c r="P579" s="178">
        <v>4500</v>
      </c>
      <c r="Q579" s="178">
        <v>2457.27</v>
      </c>
      <c r="R579" s="26">
        <f t="shared" si="369"/>
        <v>0</v>
      </c>
      <c r="S579" s="178">
        <v>4500</v>
      </c>
      <c r="T579" s="178">
        <v>10000</v>
      </c>
      <c r="U579" s="178">
        <v>22000</v>
      </c>
      <c r="V579" s="266">
        <v>4500</v>
      </c>
      <c r="W579" s="266">
        <v>9000</v>
      </c>
      <c r="X579" s="266">
        <v>9000</v>
      </c>
      <c r="Y579" s="266">
        <v>17000</v>
      </c>
      <c r="Z579" s="162" t="b">
        <f t="shared" si="346"/>
        <v>0</v>
      </c>
      <c r="AA579" s="162" t="str">
        <f t="shared" si="347"/>
        <v>PUNO</v>
      </c>
      <c r="AC579" s="164"/>
    </row>
    <row r="580" spans="1:29" s="164" customFormat="1" ht="15.75" hidden="1" x14ac:dyDescent="0.2">
      <c r="A580" s="259"/>
      <c r="B580" s="324"/>
      <c r="C580" s="324"/>
      <c r="D580" s="324"/>
      <c r="E580" s="324">
        <v>4223</v>
      </c>
      <c r="F580" s="176">
        <v>55</v>
      </c>
      <c r="G580" s="325"/>
      <c r="H580" s="420" t="s">
        <v>628</v>
      </c>
      <c r="I580" s="326"/>
      <c r="J580" s="327"/>
      <c r="K580" s="326"/>
      <c r="L580" s="326"/>
      <c r="M580" s="326"/>
      <c r="N580" s="326"/>
      <c r="O580" s="326"/>
      <c r="P580" s="326">
        <v>7700</v>
      </c>
      <c r="Q580" s="326">
        <v>7626.39</v>
      </c>
      <c r="R580" s="353">
        <f t="shared" si="369"/>
        <v>0</v>
      </c>
      <c r="S580" s="326">
        <v>7700</v>
      </c>
      <c r="T580" s="326">
        <v>12000</v>
      </c>
      <c r="U580" s="326">
        <v>10000</v>
      </c>
      <c r="V580" s="327">
        <v>7700</v>
      </c>
      <c r="W580" s="327">
        <v>0</v>
      </c>
      <c r="X580" s="327">
        <v>0</v>
      </c>
      <c r="Y580" s="327">
        <v>0</v>
      </c>
      <c r="Z580" s="162" t="b">
        <f t="shared" si="346"/>
        <v>0</v>
      </c>
      <c r="AA580" s="162" t="str">
        <f t="shared" si="347"/>
        <v>PUNO</v>
      </c>
      <c r="AB580" s="165"/>
    </row>
    <row r="581" spans="1:29" ht="15.75" x14ac:dyDescent="0.2">
      <c r="B581" s="177"/>
      <c r="C581" s="177"/>
      <c r="D581" s="177"/>
      <c r="E581" s="177">
        <v>4225</v>
      </c>
      <c r="F581" s="176">
        <v>55</v>
      </c>
      <c r="G581" s="176" t="s">
        <v>1040</v>
      </c>
      <c r="H581" s="16" t="s">
        <v>844</v>
      </c>
      <c r="I581" s="18">
        <v>3130.85</v>
      </c>
      <c r="J581" s="27">
        <v>4367.49</v>
      </c>
      <c r="K581" s="18">
        <v>4400</v>
      </c>
      <c r="L581" s="178">
        <v>14841.87</v>
      </c>
      <c r="M581" s="178">
        <f>ROUND(L581/K581*100,2)</f>
        <v>337.32</v>
      </c>
      <c r="N581" s="178">
        <f>O581-K581</f>
        <v>10441.870000000001</v>
      </c>
      <c r="O581" s="178">
        <v>14841.87</v>
      </c>
      <c r="P581" s="178"/>
      <c r="Q581" s="178"/>
      <c r="R581" s="26">
        <f t="shared" si="369"/>
        <v>0</v>
      </c>
      <c r="S581" s="178"/>
      <c r="T581" s="178"/>
      <c r="U581" s="178"/>
      <c r="V581" s="266">
        <v>0</v>
      </c>
      <c r="W581" s="178">
        <v>0</v>
      </c>
      <c r="X581" s="178">
        <v>10000</v>
      </c>
      <c r="Y581" s="178">
        <v>0</v>
      </c>
      <c r="Z581" s="162" t="b">
        <f t="shared" si="346"/>
        <v>0</v>
      </c>
      <c r="AA581" s="162" t="str">
        <f t="shared" si="347"/>
        <v>PUNO</v>
      </c>
      <c r="AC581" s="164"/>
    </row>
    <row r="582" spans="1:29" s="164" customFormat="1" ht="15.75" hidden="1" x14ac:dyDescent="0.2">
      <c r="A582" s="259"/>
      <c r="B582" s="324"/>
      <c r="C582" s="324"/>
      <c r="D582" s="324"/>
      <c r="E582" s="324">
        <v>4226</v>
      </c>
      <c r="F582" s="176">
        <v>55</v>
      </c>
      <c r="G582" s="325" t="s">
        <v>1040</v>
      </c>
      <c r="H582" s="420" t="s">
        <v>432</v>
      </c>
      <c r="I582" s="484">
        <v>0</v>
      </c>
      <c r="J582" s="327">
        <v>0</v>
      </c>
      <c r="K582" s="326">
        <v>3000</v>
      </c>
      <c r="L582" s="326">
        <v>0</v>
      </c>
      <c r="M582" s="326">
        <f>ROUND(L582/K582*100,2)</f>
        <v>0</v>
      </c>
      <c r="N582" s="326">
        <f>O582-K582</f>
        <v>-3000</v>
      </c>
      <c r="O582" s="326">
        <v>0</v>
      </c>
      <c r="P582" s="326"/>
      <c r="Q582" s="326"/>
      <c r="R582" s="353">
        <f t="shared" si="369"/>
        <v>0</v>
      </c>
      <c r="S582" s="326"/>
      <c r="T582" s="326"/>
      <c r="U582" s="326"/>
      <c r="V582" s="327">
        <v>0</v>
      </c>
      <c r="W582" s="326">
        <v>0</v>
      </c>
      <c r="X582" s="326">
        <v>0</v>
      </c>
      <c r="Y582" s="326">
        <v>0</v>
      </c>
      <c r="Z582" s="162" t="b">
        <f t="shared" si="346"/>
        <v>0</v>
      </c>
      <c r="AA582" s="162" t="str">
        <f t="shared" si="347"/>
        <v>PUNO</v>
      </c>
      <c r="AB582" s="165"/>
    </row>
    <row r="583" spans="1:29" ht="15.75" x14ac:dyDescent="0.2">
      <c r="B583" s="177"/>
      <c r="C583" s="177"/>
      <c r="D583" s="177"/>
      <c r="E583" s="177">
        <v>4226</v>
      </c>
      <c r="F583" s="176">
        <v>55</v>
      </c>
      <c r="G583" s="176"/>
      <c r="H583" s="16" t="s">
        <v>432</v>
      </c>
      <c r="I583" s="18"/>
      <c r="J583" s="27"/>
      <c r="K583" s="18"/>
      <c r="L583" s="178"/>
      <c r="M583" s="178"/>
      <c r="N583" s="178"/>
      <c r="O583" s="178">
        <v>95957.34</v>
      </c>
      <c r="P583" s="178"/>
      <c r="Q583" s="178"/>
      <c r="R583" s="26">
        <f t="shared" si="369"/>
        <v>3500</v>
      </c>
      <c r="S583" s="178"/>
      <c r="T583" s="178"/>
      <c r="U583" s="178"/>
      <c r="V583" s="266">
        <v>3500</v>
      </c>
      <c r="W583" s="178">
        <v>5000</v>
      </c>
      <c r="X583" s="178">
        <v>7600</v>
      </c>
      <c r="Y583" s="178">
        <v>0</v>
      </c>
      <c r="Z583" s="162" t="b">
        <f t="shared" si="346"/>
        <v>0</v>
      </c>
      <c r="AA583" s="162" t="str">
        <f t="shared" si="347"/>
        <v>PUNO</v>
      </c>
      <c r="AC583" s="164"/>
    </row>
    <row r="584" spans="1:29" s="164" customFormat="1" ht="15.75" hidden="1" x14ac:dyDescent="0.2">
      <c r="A584" s="259"/>
      <c r="B584" s="324"/>
      <c r="C584" s="324"/>
      <c r="D584" s="324"/>
      <c r="E584" s="324">
        <v>4227</v>
      </c>
      <c r="F584" s="176">
        <v>55</v>
      </c>
      <c r="G584" s="325"/>
      <c r="H584" s="420" t="s">
        <v>413</v>
      </c>
      <c r="I584" s="326">
        <v>7770.18</v>
      </c>
      <c r="J584" s="482">
        <v>0</v>
      </c>
      <c r="K584" s="326">
        <v>15000</v>
      </c>
      <c r="L584" s="326">
        <v>0</v>
      </c>
      <c r="M584" s="326">
        <f t="shared" ref="M584:M599" si="371">ROUND(L584/K584*100,2)</f>
        <v>0</v>
      </c>
      <c r="N584" s="326">
        <f t="shared" ref="N584:N599" si="372">O584-K584</f>
        <v>-10074.209999999999</v>
      </c>
      <c r="O584" s="326">
        <v>4925.79</v>
      </c>
      <c r="P584" s="326">
        <v>10000</v>
      </c>
      <c r="Q584" s="326">
        <v>9533.33</v>
      </c>
      <c r="R584" s="353">
        <f t="shared" si="369"/>
        <v>0</v>
      </c>
      <c r="S584" s="326">
        <v>10000</v>
      </c>
      <c r="T584" s="326">
        <v>15000</v>
      </c>
      <c r="U584" s="326">
        <v>15000</v>
      </c>
      <c r="V584" s="327">
        <v>10000</v>
      </c>
      <c r="W584" s="327">
        <v>0</v>
      </c>
      <c r="X584" s="327">
        <v>0</v>
      </c>
      <c r="Y584" s="327">
        <v>0</v>
      </c>
      <c r="Z584" s="162" t="b">
        <f t="shared" si="346"/>
        <v>0</v>
      </c>
      <c r="AA584" s="162" t="str">
        <f t="shared" si="347"/>
        <v>PUNO</v>
      </c>
      <c r="AB584" s="165"/>
    </row>
    <row r="585" spans="1:29" ht="15.75" x14ac:dyDescent="0.2">
      <c r="B585" s="177"/>
      <c r="C585" s="177"/>
      <c r="D585" s="177"/>
      <c r="E585" s="177">
        <v>4227</v>
      </c>
      <c r="F585" s="176">
        <v>55</v>
      </c>
      <c r="G585" s="176" t="s">
        <v>1040</v>
      </c>
      <c r="H585" s="16" t="s">
        <v>413</v>
      </c>
      <c r="I585" s="18">
        <v>68645.039999999994</v>
      </c>
      <c r="J585" s="27">
        <v>73949.53</v>
      </c>
      <c r="K585" s="18">
        <v>61200</v>
      </c>
      <c r="L585" s="178">
        <v>0</v>
      </c>
      <c r="M585" s="178">
        <f t="shared" si="371"/>
        <v>0</v>
      </c>
      <c r="N585" s="178">
        <f t="shared" si="372"/>
        <v>71621.37</v>
      </c>
      <c r="O585" s="178">
        <v>132821.37</v>
      </c>
      <c r="P585" s="178">
        <v>45500</v>
      </c>
      <c r="Q585" s="178">
        <v>23485.31</v>
      </c>
      <c r="R585" s="26">
        <f t="shared" si="369"/>
        <v>16000</v>
      </c>
      <c r="S585" s="178">
        <v>45500</v>
      </c>
      <c r="T585" s="178">
        <v>50000</v>
      </c>
      <c r="U585" s="178">
        <v>50000</v>
      </c>
      <c r="V585" s="266">
        <v>61500</v>
      </c>
      <c r="W585" s="266">
        <v>42000</v>
      </c>
      <c r="X585" s="266">
        <v>20000</v>
      </c>
      <c r="Y585" s="266">
        <v>30000</v>
      </c>
      <c r="Z585" s="162" t="b">
        <f t="shared" si="346"/>
        <v>0</v>
      </c>
      <c r="AA585" s="162" t="str">
        <f t="shared" si="347"/>
        <v>PUNO</v>
      </c>
      <c r="AC585" s="164"/>
    </row>
    <row r="586" spans="1:29" ht="28.5" customHeight="1" x14ac:dyDescent="0.2">
      <c r="B586" s="177"/>
      <c r="C586" s="177"/>
      <c r="D586" s="177">
        <v>424</v>
      </c>
      <c r="E586" s="177"/>
      <c r="F586" s="177"/>
      <c r="G586" s="177"/>
      <c r="H586" s="16" t="s">
        <v>447</v>
      </c>
      <c r="I586" s="17">
        <f>I587+I588</f>
        <v>17670.84</v>
      </c>
      <c r="J586" s="26">
        <f>J587+J588</f>
        <v>15166.53</v>
      </c>
      <c r="K586" s="17">
        <f>K587+K588</f>
        <v>24400</v>
      </c>
      <c r="L586" s="181">
        <f>L587+L588</f>
        <v>2442</v>
      </c>
      <c r="M586" s="181">
        <f t="shared" si="371"/>
        <v>10.01</v>
      </c>
      <c r="N586" s="181">
        <f t="shared" si="372"/>
        <v>-10058.209999999999</v>
      </c>
      <c r="O586" s="181">
        <f>O587+O588</f>
        <v>14341.79</v>
      </c>
      <c r="P586" s="181">
        <f>P587+P588</f>
        <v>35000</v>
      </c>
      <c r="Q586" s="181">
        <f>Q587+Q588</f>
        <v>18241</v>
      </c>
      <c r="R586" s="26">
        <f t="shared" si="369"/>
        <v>1000</v>
      </c>
      <c r="S586" s="181">
        <f t="shared" ref="S586:Y586" si="373">S587+S588</f>
        <v>35000</v>
      </c>
      <c r="T586" s="181">
        <f t="shared" si="373"/>
        <v>34000</v>
      </c>
      <c r="U586" s="181">
        <f t="shared" si="373"/>
        <v>31000</v>
      </c>
      <c r="V586" s="307">
        <f t="shared" si="373"/>
        <v>36000</v>
      </c>
      <c r="W586" s="181">
        <f t="shared" si="373"/>
        <v>31000</v>
      </c>
      <c r="X586" s="181">
        <f t="shared" si="373"/>
        <v>29500</v>
      </c>
      <c r="Y586" s="181">
        <f t="shared" si="373"/>
        <v>40000</v>
      </c>
      <c r="Z586" s="162" t="b">
        <f t="shared" si="346"/>
        <v>1</v>
      </c>
      <c r="AA586" s="162" t="str">
        <f t="shared" si="347"/>
        <v>PRAZNO</v>
      </c>
      <c r="AC586" s="164"/>
    </row>
    <row r="587" spans="1:29" ht="15.75" hidden="1" x14ac:dyDescent="0.2">
      <c r="B587" s="177"/>
      <c r="C587" s="177"/>
      <c r="D587" s="177"/>
      <c r="E587" s="177">
        <v>4241</v>
      </c>
      <c r="F587" s="176">
        <v>17</v>
      </c>
      <c r="G587" s="176" t="s">
        <v>1040</v>
      </c>
      <c r="H587" s="16" t="s">
        <v>437</v>
      </c>
      <c r="I587" s="18">
        <v>0</v>
      </c>
      <c r="J587" s="27">
        <v>2317.75</v>
      </c>
      <c r="K587" s="18">
        <v>3200</v>
      </c>
      <c r="L587" s="178">
        <v>0</v>
      </c>
      <c r="M587" s="178">
        <f t="shared" si="371"/>
        <v>0</v>
      </c>
      <c r="N587" s="178">
        <f t="shared" si="372"/>
        <v>-3200</v>
      </c>
      <c r="O587" s="178">
        <v>0</v>
      </c>
      <c r="P587" s="178"/>
      <c r="Q587" s="178"/>
      <c r="R587" s="26">
        <f t="shared" si="369"/>
        <v>0</v>
      </c>
      <c r="S587" s="178"/>
      <c r="T587" s="178"/>
      <c r="U587" s="178"/>
      <c r="V587" s="266"/>
      <c r="W587" s="178"/>
      <c r="X587" s="178"/>
      <c r="Y587" s="178"/>
      <c r="Z587" s="162" t="b">
        <f t="shared" si="346"/>
        <v>0</v>
      </c>
      <c r="AA587" s="162" t="str">
        <f t="shared" si="347"/>
        <v>PUNO</v>
      </c>
      <c r="AC587" s="164"/>
    </row>
    <row r="588" spans="1:29" ht="15.75" x14ac:dyDescent="0.2">
      <c r="B588" s="177"/>
      <c r="C588" s="177"/>
      <c r="D588" s="177"/>
      <c r="E588" s="177">
        <v>4241</v>
      </c>
      <c r="F588" s="176">
        <v>55</v>
      </c>
      <c r="G588" s="176" t="s">
        <v>1040</v>
      </c>
      <c r="H588" s="16" t="s">
        <v>437</v>
      </c>
      <c r="I588" s="18">
        <v>17670.84</v>
      </c>
      <c r="J588" s="27">
        <v>12848.78</v>
      </c>
      <c r="K588" s="18">
        <v>21200</v>
      </c>
      <c r="L588" s="178">
        <v>2442</v>
      </c>
      <c r="M588" s="178">
        <f t="shared" si="371"/>
        <v>11.52</v>
      </c>
      <c r="N588" s="178">
        <f t="shared" si="372"/>
        <v>-6858.2099999999991</v>
      </c>
      <c r="O588" s="178">
        <v>14341.79</v>
      </c>
      <c r="P588" s="178">
        <v>35000</v>
      </c>
      <c r="Q588" s="178">
        <v>18241</v>
      </c>
      <c r="R588" s="26">
        <f t="shared" si="369"/>
        <v>1000</v>
      </c>
      <c r="S588" s="178">
        <v>35000</v>
      </c>
      <c r="T588" s="178">
        <v>34000</v>
      </c>
      <c r="U588" s="178">
        <v>31000</v>
      </c>
      <c r="V588" s="266">
        <v>36000</v>
      </c>
      <c r="W588" s="266">
        <v>31000</v>
      </c>
      <c r="X588" s="266">
        <v>29500</v>
      </c>
      <c r="Y588" s="266">
        <v>40000</v>
      </c>
      <c r="Z588" s="162" t="b">
        <f t="shared" si="346"/>
        <v>0</v>
      </c>
      <c r="AA588" s="162" t="str">
        <f t="shared" si="347"/>
        <v>PUNO</v>
      </c>
      <c r="AC588" s="164"/>
    </row>
    <row r="589" spans="1:29" ht="15.75" hidden="1" x14ac:dyDescent="0.2">
      <c r="B589" s="177"/>
      <c r="C589" s="177"/>
      <c r="D589" s="177">
        <v>426</v>
      </c>
      <c r="E589" s="177"/>
      <c r="F589" s="177"/>
      <c r="G589" s="177"/>
      <c r="H589" s="16" t="s">
        <v>560</v>
      </c>
      <c r="I589" s="17">
        <f>I590+I591</f>
        <v>0</v>
      </c>
      <c r="J589" s="26">
        <f>J590+J591</f>
        <v>5865.26</v>
      </c>
      <c r="K589" s="17">
        <f>K590+K591</f>
        <v>6000</v>
      </c>
      <c r="L589" s="181">
        <f>L590+L591</f>
        <v>0</v>
      </c>
      <c r="M589" s="181">
        <f t="shared" si="371"/>
        <v>0</v>
      </c>
      <c r="N589" s="181">
        <f t="shared" si="372"/>
        <v>-6000</v>
      </c>
      <c r="O589" s="181">
        <f>O590+O591</f>
        <v>0</v>
      </c>
      <c r="P589" s="181">
        <f>P590+P591</f>
        <v>3000</v>
      </c>
      <c r="Q589" s="181">
        <f>Q590+Q591</f>
        <v>0</v>
      </c>
      <c r="R589" s="26">
        <f t="shared" si="369"/>
        <v>0</v>
      </c>
      <c r="S589" s="181">
        <f t="shared" ref="S589:Y589" si="374">S590+S591</f>
        <v>3000</v>
      </c>
      <c r="T589" s="181">
        <f t="shared" si="374"/>
        <v>0</v>
      </c>
      <c r="U589" s="181">
        <f t="shared" si="374"/>
        <v>0</v>
      </c>
      <c r="V589" s="307">
        <f t="shared" si="374"/>
        <v>3000</v>
      </c>
      <c r="W589" s="181">
        <f t="shared" si="374"/>
        <v>0</v>
      </c>
      <c r="X589" s="181">
        <f t="shared" si="374"/>
        <v>0</v>
      </c>
      <c r="Y589" s="181">
        <f t="shared" si="374"/>
        <v>0</v>
      </c>
      <c r="Z589" s="162" t="b">
        <f t="shared" si="346"/>
        <v>1</v>
      </c>
      <c r="AA589" s="162" t="str">
        <f t="shared" si="347"/>
        <v>PRAZNO</v>
      </c>
      <c r="AC589" s="164"/>
    </row>
    <row r="590" spans="1:29" ht="15.75" hidden="1" x14ac:dyDescent="0.2">
      <c r="B590" s="177"/>
      <c r="C590" s="177"/>
      <c r="D590" s="177"/>
      <c r="E590" s="177">
        <v>4262</v>
      </c>
      <c r="F590" s="176">
        <v>17</v>
      </c>
      <c r="G590" s="176"/>
      <c r="H590" s="16" t="s">
        <v>448</v>
      </c>
      <c r="I590" s="18">
        <v>0</v>
      </c>
      <c r="J590" s="27">
        <v>5865.26</v>
      </c>
      <c r="K590" s="18">
        <v>4800</v>
      </c>
      <c r="L590" s="178">
        <v>0</v>
      </c>
      <c r="M590" s="178">
        <f t="shared" si="371"/>
        <v>0</v>
      </c>
      <c r="N590" s="178">
        <f t="shared" si="372"/>
        <v>-4800</v>
      </c>
      <c r="O590" s="178">
        <v>0</v>
      </c>
      <c r="P590" s="178"/>
      <c r="Q590" s="178"/>
      <c r="R590" s="26">
        <f t="shared" si="369"/>
        <v>0</v>
      </c>
      <c r="S590" s="178"/>
      <c r="T590" s="178"/>
      <c r="U590" s="178"/>
      <c r="V590" s="266"/>
      <c r="W590" s="178"/>
      <c r="X590" s="178"/>
      <c r="Y590" s="178"/>
      <c r="Z590" s="162" t="b">
        <f t="shared" si="346"/>
        <v>0</v>
      </c>
      <c r="AA590" s="162" t="str">
        <f t="shared" si="347"/>
        <v>PUNO</v>
      </c>
      <c r="AC590" s="164"/>
    </row>
    <row r="591" spans="1:29" ht="15.75" hidden="1" x14ac:dyDescent="0.2">
      <c r="B591" s="177"/>
      <c r="C591" s="177"/>
      <c r="D591" s="177"/>
      <c r="E591" s="177">
        <v>4262</v>
      </c>
      <c r="F591" s="176">
        <v>55</v>
      </c>
      <c r="G591" s="176"/>
      <c r="H591" s="16" t="s">
        <v>448</v>
      </c>
      <c r="I591" s="18">
        <v>0</v>
      </c>
      <c r="J591" s="27">
        <v>0</v>
      </c>
      <c r="K591" s="18">
        <v>1200</v>
      </c>
      <c r="L591" s="178">
        <v>0</v>
      </c>
      <c r="M591" s="178">
        <f t="shared" si="371"/>
        <v>0</v>
      </c>
      <c r="N591" s="178">
        <f t="shared" si="372"/>
        <v>-1200</v>
      </c>
      <c r="O591" s="178">
        <v>0</v>
      </c>
      <c r="P591" s="178">
        <v>3000</v>
      </c>
      <c r="Q591" s="178">
        <v>0</v>
      </c>
      <c r="R591" s="26">
        <f t="shared" si="369"/>
        <v>0</v>
      </c>
      <c r="S591" s="178">
        <v>3000</v>
      </c>
      <c r="T591" s="178"/>
      <c r="U591" s="178"/>
      <c r="V591" s="266">
        <v>3000</v>
      </c>
      <c r="W591" s="266">
        <v>0</v>
      </c>
      <c r="X591" s="266">
        <v>0</v>
      </c>
      <c r="Y591" s="266">
        <v>0</v>
      </c>
      <c r="Z591" s="162" t="b">
        <f t="shared" si="346"/>
        <v>0</v>
      </c>
      <c r="AA591" s="162" t="str">
        <f t="shared" si="347"/>
        <v>PUNO</v>
      </c>
      <c r="AC591" s="164"/>
    </row>
    <row r="592" spans="1:29" s="171" customFormat="1" ht="31.5" hidden="1" x14ac:dyDescent="0.2">
      <c r="A592" s="259"/>
      <c r="B592" s="168"/>
      <c r="C592" s="168"/>
      <c r="D592" s="168"/>
      <c r="E592" s="168"/>
      <c r="F592" s="168"/>
      <c r="G592" s="168"/>
      <c r="H592" s="13" t="s">
        <v>600</v>
      </c>
      <c r="I592" s="19">
        <f t="shared" ref="I592:L593" si="375">I593</f>
        <v>55074.96</v>
      </c>
      <c r="J592" s="53">
        <f t="shared" si="375"/>
        <v>55696.990000000005</v>
      </c>
      <c r="K592" s="169">
        <f t="shared" si="375"/>
        <v>0</v>
      </c>
      <c r="L592" s="169">
        <f t="shared" si="375"/>
        <v>0</v>
      </c>
      <c r="M592" s="169" t="e">
        <f t="shared" si="371"/>
        <v>#DIV/0!</v>
      </c>
      <c r="N592" s="169">
        <f t="shared" si="372"/>
        <v>0</v>
      </c>
      <c r="O592" s="19">
        <f t="shared" ref="O592:Q593" si="376">O593</f>
        <v>0</v>
      </c>
      <c r="P592" s="19">
        <f t="shared" si="376"/>
        <v>0</v>
      </c>
      <c r="Q592" s="19">
        <f t="shared" si="376"/>
        <v>0</v>
      </c>
      <c r="R592" s="205">
        <f t="shared" si="369"/>
        <v>0</v>
      </c>
      <c r="S592" s="19">
        <f t="shared" ref="S592:Y593" si="377">S593</f>
        <v>0</v>
      </c>
      <c r="T592" s="19">
        <f t="shared" si="377"/>
        <v>0</v>
      </c>
      <c r="U592" s="19">
        <f t="shared" si="377"/>
        <v>0</v>
      </c>
      <c r="V592" s="53">
        <f t="shared" si="377"/>
        <v>0</v>
      </c>
      <c r="W592" s="19">
        <f t="shared" si="377"/>
        <v>0</v>
      </c>
      <c r="X592" s="19">
        <f t="shared" si="377"/>
        <v>0</v>
      </c>
      <c r="Y592" s="19">
        <f t="shared" si="377"/>
        <v>0</v>
      </c>
      <c r="Z592" s="162" t="b">
        <f t="shared" si="346"/>
        <v>1</v>
      </c>
      <c r="AA592" s="162" t="str">
        <f t="shared" si="347"/>
        <v>PRAZNO</v>
      </c>
      <c r="AB592" s="170"/>
      <c r="AC592" s="164"/>
    </row>
    <row r="593" spans="1:29" s="174" customFormat="1" ht="15.75" hidden="1" x14ac:dyDescent="0.2">
      <c r="A593" s="259"/>
      <c r="B593" s="172">
        <v>3</v>
      </c>
      <c r="C593" s="172"/>
      <c r="D593" s="172"/>
      <c r="E593" s="172"/>
      <c r="F593" s="172"/>
      <c r="G593" s="172"/>
      <c r="H593" s="14" t="s">
        <v>524</v>
      </c>
      <c r="I593" s="20">
        <f t="shared" si="375"/>
        <v>55074.96</v>
      </c>
      <c r="J593" s="55">
        <f t="shared" si="375"/>
        <v>55696.990000000005</v>
      </c>
      <c r="K593" s="20">
        <f t="shared" si="375"/>
        <v>0</v>
      </c>
      <c r="L593" s="20">
        <f t="shared" si="375"/>
        <v>0</v>
      </c>
      <c r="M593" s="20" t="e">
        <f t="shared" si="371"/>
        <v>#DIV/0!</v>
      </c>
      <c r="N593" s="20">
        <f t="shared" si="372"/>
        <v>0</v>
      </c>
      <c r="O593" s="20">
        <f t="shared" si="376"/>
        <v>0</v>
      </c>
      <c r="P593" s="20">
        <f t="shared" si="376"/>
        <v>0</v>
      </c>
      <c r="Q593" s="20">
        <f t="shared" si="376"/>
        <v>0</v>
      </c>
      <c r="R593" s="55">
        <f t="shared" si="369"/>
        <v>0</v>
      </c>
      <c r="S593" s="20">
        <f t="shared" si="377"/>
        <v>0</v>
      </c>
      <c r="T593" s="20">
        <f t="shared" si="377"/>
        <v>0</v>
      </c>
      <c r="U593" s="20">
        <f t="shared" si="377"/>
        <v>0</v>
      </c>
      <c r="V593" s="55">
        <f t="shared" si="377"/>
        <v>0</v>
      </c>
      <c r="W593" s="20">
        <f t="shared" si="377"/>
        <v>0</v>
      </c>
      <c r="X593" s="20">
        <f t="shared" si="377"/>
        <v>0</v>
      </c>
      <c r="Y593" s="20">
        <f t="shared" si="377"/>
        <v>0</v>
      </c>
      <c r="Z593" s="162" t="b">
        <f t="shared" ref="Z593:Z656" si="378">ISBLANK(E593)</f>
        <v>1</v>
      </c>
      <c r="AA593" s="162" t="str">
        <f t="shared" ref="AA593:AA656" si="379">IF(Z593,"PRAZNO","PUNO")</f>
        <v>PRAZNO</v>
      </c>
      <c r="AB593" s="173"/>
      <c r="AC593" s="164"/>
    </row>
    <row r="594" spans="1:29" ht="15.75" hidden="1" x14ac:dyDescent="0.2">
      <c r="B594" s="177"/>
      <c r="C594" s="177">
        <v>32</v>
      </c>
      <c r="D594" s="177"/>
      <c r="E594" s="177"/>
      <c r="F594" s="177"/>
      <c r="G594" s="177"/>
      <c r="H594" s="16" t="s">
        <v>525</v>
      </c>
      <c r="I594" s="18">
        <f>I595+I597</f>
        <v>55074.96</v>
      </c>
      <c r="J594" s="27">
        <f>J595+J597</f>
        <v>55696.990000000005</v>
      </c>
      <c r="K594" s="18">
        <f>K595+K597</f>
        <v>0</v>
      </c>
      <c r="L594" s="18">
        <f>L595+L597</f>
        <v>0</v>
      </c>
      <c r="M594" s="18" t="e">
        <f t="shared" si="371"/>
        <v>#DIV/0!</v>
      </c>
      <c r="N594" s="18">
        <f t="shared" si="372"/>
        <v>0</v>
      </c>
      <c r="O594" s="18">
        <f>O595+O597</f>
        <v>0</v>
      </c>
      <c r="P594" s="18">
        <f>P595+P597</f>
        <v>0</v>
      </c>
      <c r="Q594" s="18">
        <f>Q595+Q597</f>
        <v>0</v>
      </c>
      <c r="R594" s="26">
        <f t="shared" si="369"/>
        <v>0</v>
      </c>
      <c r="S594" s="18">
        <f t="shared" ref="S594:Y594" si="380">S595+S597</f>
        <v>0</v>
      </c>
      <c r="T594" s="18">
        <f t="shared" si="380"/>
        <v>0</v>
      </c>
      <c r="U594" s="18">
        <f t="shared" si="380"/>
        <v>0</v>
      </c>
      <c r="V594" s="27">
        <f t="shared" si="380"/>
        <v>0</v>
      </c>
      <c r="W594" s="18">
        <f t="shared" si="380"/>
        <v>0</v>
      </c>
      <c r="X594" s="18">
        <f t="shared" si="380"/>
        <v>0</v>
      </c>
      <c r="Y594" s="18">
        <f t="shared" si="380"/>
        <v>0</v>
      </c>
      <c r="Z594" s="162" t="b">
        <f t="shared" si="378"/>
        <v>1</v>
      </c>
      <c r="AA594" s="162" t="str">
        <f t="shared" si="379"/>
        <v>PRAZNO</v>
      </c>
      <c r="AC594" s="164"/>
    </row>
    <row r="595" spans="1:29" ht="15.75" hidden="1" x14ac:dyDescent="0.2">
      <c r="B595" s="177"/>
      <c r="C595" s="177"/>
      <c r="D595" s="177">
        <v>322</v>
      </c>
      <c r="E595" s="177"/>
      <c r="F595" s="177"/>
      <c r="G595" s="177"/>
      <c r="H595" s="16" t="s">
        <v>547</v>
      </c>
      <c r="I595" s="18">
        <f>I596</f>
        <v>15075</v>
      </c>
      <c r="J595" s="27">
        <f>J596</f>
        <v>11283.7</v>
      </c>
      <c r="K595" s="18">
        <f>K596</f>
        <v>0</v>
      </c>
      <c r="L595" s="18">
        <f>L596</f>
        <v>0</v>
      </c>
      <c r="M595" s="18" t="e">
        <f t="shared" si="371"/>
        <v>#DIV/0!</v>
      </c>
      <c r="N595" s="18">
        <f t="shared" si="372"/>
        <v>0</v>
      </c>
      <c r="O595" s="18">
        <f>O596</f>
        <v>0</v>
      </c>
      <c r="P595" s="18">
        <f>P596</f>
        <v>0</v>
      </c>
      <c r="Q595" s="18">
        <f>Q596</f>
        <v>0</v>
      </c>
      <c r="R595" s="26">
        <f t="shared" si="369"/>
        <v>0</v>
      </c>
      <c r="S595" s="18">
        <f t="shared" ref="S595:Y595" si="381">S596</f>
        <v>0</v>
      </c>
      <c r="T595" s="18">
        <f t="shared" si="381"/>
        <v>0</v>
      </c>
      <c r="U595" s="18">
        <f t="shared" si="381"/>
        <v>0</v>
      </c>
      <c r="V595" s="27">
        <f t="shared" si="381"/>
        <v>0</v>
      </c>
      <c r="W595" s="18">
        <f t="shared" si="381"/>
        <v>0</v>
      </c>
      <c r="X595" s="18">
        <f t="shared" si="381"/>
        <v>0</v>
      </c>
      <c r="Y595" s="18">
        <f t="shared" si="381"/>
        <v>0</v>
      </c>
      <c r="Z595" s="162" t="b">
        <f t="shared" si="378"/>
        <v>1</v>
      </c>
      <c r="AA595" s="162" t="str">
        <f t="shared" si="379"/>
        <v>PRAZNO</v>
      </c>
      <c r="AC595" s="164"/>
    </row>
    <row r="596" spans="1:29" ht="15.75" hidden="1" x14ac:dyDescent="0.2">
      <c r="B596" s="177"/>
      <c r="C596" s="177"/>
      <c r="D596" s="177"/>
      <c r="E596" s="177">
        <v>3221</v>
      </c>
      <c r="F596" s="176" t="s">
        <v>527</v>
      </c>
      <c r="G596" s="176" t="s">
        <v>1040</v>
      </c>
      <c r="H596" s="16" t="s">
        <v>548</v>
      </c>
      <c r="I596" s="18">
        <v>15075</v>
      </c>
      <c r="J596" s="27">
        <v>11283.7</v>
      </c>
      <c r="K596" s="18">
        <v>0</v>
      </c>
      <c r="L596" s="18"/>
      <c r="M596" s="18" t="e">
        <f t="shared" si="371"/>
        <v>#DIV/0!</v>
      </c>
      <c r="N596" s="18">
        <f t="shared" si="372"/>
        <v>0</v>
      </c>
      <c r="O596" s="18"/>
      <c r="P596" s="18"/>
      <c r="Q596" s="18"/>
      <c r="R596" s="26">
        <f t="shared" si="369"/>
        <v>0</v>
      </c>
      <c r="S596" s="18"/>
      <c r="T596" s="18"/>
      <c r="U596" s="18"/>
      <c r="V596" s="27"/>
      <c r="W596" s="18"/>
      <c r="X596" s="18"/>
      <c r="Y596" s="18"/>
      <c r="Z596" s="162" t="b">
        <f t="shared" si="378"/>
        <v>0</v>
      </c>
      <c r="AA596" s="162" t="str">
        <f t="shared" si="379"/>
        <v>PUNO</v>
      </c>
      <c r="AC596" s="164"/>
    </row>
    <row r="597" spans="1:29" ht="15.75" hidden="1" x14ac:dyDescent="0.2">
      <c r="B597" s="177"/>
      <c r="C597" s="177"/>
      <c r="D597" s="177">
        <v>323</v>
      </c>
      <c r="E597" s="177"/>
      <c r="F597" s="177"/>
      <c r="G597" s="177"/>
      <c r="H597" s="16" t="s">
        <v>526</v>
      </c>
      <c r="I597" s="18">
        <f>I598</f>
        <v>39999.96</v>
      </c>
      <c r="J597" s="27">
        <f>J598</f>
        <v>44413.29</v>
      </c>
      <c r="K597" s="18">
        <f>K598</f>
        <v>0</v>
      </c>
      <c r="L597" s="18">
        <f>L598</f>
        <v>0</v>
      </c>
      <c r="M597" s="18" t="e">
        <f t="shared" si="371"/>
        <v>#DIV/0!</v>
      </c>
      <c r="N597" s="18">
        <f t="shared" si="372"/>
        <v>0</v>
      </c>
      <c r="O597" s="18">
        <f>O598</f>
        <v>0</v>
      </c>
      <c r="P597" s="18">
        <f>P598</f>
        <v>0</v>
      </c>
      <c r="Q597" s="18">
        <f>Q598</f>
        <v>0</v>
      </c>
      <c r="R597" s="26">
        <f t="shared" si="369"/>
        <v>0</v>
      </c>
      <c r="S597" s="18">
        <f t="shared" ref="S597:Y597" si="382">S598</f>
        <v>0</v>
      </c>
      <c r="T597" s="18">
        <f t="shared" si="382"/>
        <v>0</v>
      </c>
      <c r="U597" s="18">
        <f t="shared" si="382"/>
        <v>0</v>
      </c>
      <c r="V597" s="27">
        <f t="shared" si="382"/>
        <v>0</v>
      </c>
      <c r="W597" s="18">
        <f t="shared" si="382"/>
        <v>0</v>
      </c>
      <c r="X597" s="18">
        <f t="shared" si="382"/>
        <v>0</v>
      </c>
      <c r="Y597" s="18">
        <f t="shared" si="382"/>
        <v>0</v>
      </c>
      <c r="Z597" s="162" t="b">
        <f t="shared" si="378"/>
        <v>1</v>
      </c>
      <c r="AA597" s="162" t="str">
        <f t="shared" si="379"/>
        <v>PRAZNO</v>
      </c>
      <c r="AC597" s="164"/>
    </row>
    <row r="598" spans="1:29" ht="15.75" hidden="1" x14ac:dyDescent="0.2">
      <c r="B598" s="177"/>
      <c r="C598" s="177"/>
      <c r="D598" s="177"/>
      <c r="E598" s="177">
        <v>3237</v>
      </c>
      <c r="F598" s="176" t="s">
        <v>527</v>
      </c>
      <c r="G598" s="176" t="s">
        <v>1040</v>
      </c>
      <c r="H598" s="16" t="s">
        <v>566</v>
      </c>
      <c r="I598" s="18">
        <v>39999.96</v>
      </c>
      <c r="J598" s="27">
        <v>44413.29</v>
      </c>
      <c r="K598" s="18">
        <v>0</v>
      </c>
      <c r="L598" s="18"/>
      <c r="M598" s="18" t="e">
        <f t="shared" si="371"/>
        <v>#DIV/0!</v>
      </c>
      <c r="N598" s="18">
        <f t="shared" si="372"/>
        <v>0</v>
      </c>
      <c r="O598" s="18"/>
      <c r="P598" s="18"/>
      <c r="Q598" s="18"/>
      <c r="R598" s="26">
        <f t="shared" si="369"/>
        <v>0</v>
      </c>
      <c r="S598" s="18"/>
      <c r="T598" s="18"/>
      <c r="U598" s="18"/>
      <c r="V598" s="27"/>
      <c r="W598" s="18"/>
      <c r="X598" s="18"/>
      <c r="Y598" s="18"/>
      <c r="Z598" s="162" t="b">
        <f t="shared" si="378"/>
        <v>0</v>
      </c>
      <c r="AA598" s="162" t="str">
        <f t="shared" si="379"/>
        <v>PUNO</v>
      </c>
      <c r="AC598" s="164"/>
    </row>
    <row r="599" spans="1:29" s="171" customFormat="1" ht="15.75" x14ac:dyDescent="0.2">
      <c r="A599" s="259"/>
      <c r="B599" s="168"/>
      <c r="C599" s="168"/>
      <c r="D599" s="168"/>
      <c r="E599" s="168"/>
      <c r="F599" s="168"/>
      <c r="G599" s="168"/>
      <c r="H599" s="13" t="s">
        <v>614</v>
      </c>
      <c r="I599" s="19">
        <f>I601</f>
        <v>50000</v>
      </c>
      <c r="J599" s="53">
        <f>J601</f>
        <v>42222.270000000004</v>
      </c>
      <c r="K599" s="169">
        <f>K601</f>
        <v>200000</v>
      </c>
      <c r="L599" s="169">
        <f>L601</f>
        <v>8507.7999999999993</v>
      </c>
      <c r="M599" s="169">
        <f t="shared" si="371"/>
        <v>4.25</v>
      </c>
      <c r="N599" s="169">
        <f t="shared" si="372"/>
        <v>-192650.09</v>
      </c>
      <c r="O599" s="19">
        <f>O601</f>
        <v>7349.91</v>
      </c>
      <c r="P599" s="19">
        <f>P601</f>
        <v>223500</v>
      </c>
      <c r="Q599" s="19">
        <f>Q601</f>
        <v>0</v>
      </c>
      <c r="R599" s="303">
        <f t="shared" si="369"/>
        <v>0</v>
      </c>
      <c r="S599" s="19">
        <f t="shared" ref="S599:Y599" si="383">S601</f>
        <v>223500</v>
      </c>
      <c r="T599" s="19">
        <f t="shared" si="383"/>
        <v>362500</v>
      </c>
      <c r="U599" s="19">
        <f t="shared" si="383"/>
        <v>362500</v>
      </c>
      <c r="V599" s="53">
        <f t="shared" si="383"/>
        <v>223500</v>
      </c>
      <c r="W599" s="19">
        <f t="shared" si="383"/>
        <v>500000</v>
      </c>
      <c r="X599" s="19">
        <f t="shared" si="383"/>
        <v>300000</v>
      </c>
      <c r="Y599" s="19">
        <f t="shared" si="383"/>
        <v>0</v>
      </c>
      <c r="Z599" s="162" t="b">
        <f t="shared" si="378"/>
        <v>1</v>
      </c>
      <c r="AA599" s="162" t="str">
        <f t="shared" si="379"/>
        <v>PRAZNO</v>
      </c>
      <c r="AB599" s="170"/>
      <c r="AC599" s="164"/>
    </row>
    <row r="600" spans="1:29" s="264" customFormat="1" ht="15.75" x14ac:dyDescent="0.2">
      <c r="A600" s="259"/>
      <c r="B600" s="260"/>
      <c r="C600" s="260"/>
      <c r="D600" s="260"/>
      <c r="E600" s="260"/>
      <c r="F600" s="260"/>
      <c r="G600" s="260"/>
      <c r="H600" s="440" t="s">
        <v>825</v>
      </c>
      <c r="I600" s="262"/>
      <c r="J600" s="342"/>
      <c r="K600" s="181"/>
      <c r="L600" s="181"/>
      <c r="M600" s="181"/>
      <c r="N600" s="181"/>
      <c r="O600" s="262"/>
      <c r="P600" s="262"/>
      <c r="Q600" s="262"/>
      <c r="R600" s="445"/>
      <c r="S600" s="262"/>
      <c r="T600" s="262"/>
      <c r="U600" s="262"/>
      <c r="V600" s="342"/>
      <c r="W600" s="262">
        <f t="shared" ref="W600:Y603" si="384">W601</f>
        <v>500000</v>
      </c>
      <c r="X600" s="262">
        <f t="shared" si="384"/>
        <v>300000</v>
      </c>
      <c r="Y600" s="262">
        <f t="shared" si="384"/>
        <v>0</v>
      </c>
      <c r="Z600" s="162" t="b">
        <f t="shared" si="378"/>
        <v>1</v>
      </c>
      <c r="AA600" s="162" t="str">
        <f t="shared" si="379"/>
        <v>PRAZNO</v>
      </c>
      <c r="AB600" s="263"/>
    </row>
    <row r="601" spans="1:29" s="174" customFormat="1" ht="15.75" x14ac:dyDescent="0.2">
      <c r="A601" s="259"/>
      <c r="B601" s="172">
        <v>4</v>
      </c>
      <c r="C601" s="172"/>
      <c r="D601" s="172"/>
      <c r="E601" s="172"/>
      <c r="F601" s="172"/>
      <c r="G601" s="172"/>
      <c r="H601" s="14" t="s">
        <v>552</v>
      </c>
      <c r="I601" s="20">
        <f t="shared" ref="I601:L603" si="385">I602</f>
        <v>50000</v>
      </c>
      <c r="J601" s="55">
        <f t="shared" si="385"/>
        <v>42222.270000000004</v>
      </c>
      <c r="K601" s="20">
        <f t="shared" si="385"/>
        <v>200000</v>
      </c>
      <c r="L601" s="20">
        <f t="shared" si="385"/>
        <v>8507.7999999999993</v>
      </c>
      <c r="M601" s="20">
        <f>ROUND(L601/K601*100,2)</f>
        <v>4.25</v>
      </c>
      <c r="N601" s="20">
        <f>O601-K601</f>
        <v>-192650.09</v>
      </c>
      <c r="O601" s="20">
        <f t="shared" ref="O601:Q603" si="386">O602</f>
        <v>7349.91</v>
      </c>
      <c r="P601" s="20">
        <f t="shared" si="386"/>
        <v>223500</v>
      </c>
      <c r="Q601" s="20">
        <f t="shared" si="386"/>
        <v>0</v>
      </c>
      <c r="R601" s="55">
        <f>V601-P601</f>
        <v>0</v>
      </c>
      <c r="S601" s="20">
        <f t="shared" ref="S601:V603" si="387">S602</f>
        <v>223500</v>
      </c>
      <c r="T601" s="20">
        <f t="shared" si="387"/>
        <v>362500</v>
      </c>
      <c r="U601" s="20">
        <f t="shared" si="387"/>
        <v>362500</v>
      </c>
      <c r="V601" s="55">
        <f t="shared" si="387"/>
        <v>223500</v>
      </c>
      <c r="W601" s="20">
        <f t="shared" si="384"/>
        <v>500000</v>
      </c>
      <c r="X601" s="20">
        <f t="shared" si="384"/>
        <v>300000</v>
      </c>
      <c r="Y601" s="20">
        <f t="shared" si="384"/>
        <v>0</v>
      </c>
      <c r="Z601" s="162" t="b">
        <f t="shared" si="378"/>
        <v>1</v>
      </c>
      <c r="AA601" s="162" t="str">
        <f t="shared" si="379"/>
        <v>PRAZNO</v>
      </c>
      <c r="AB601" s="173"/>
      <c r="AC601" s="164"/>
    </row>
    <row r="602" spans="1:29" ht="27.75" customHeight="1" x14ac:dyDescent="0.2">
      <c r="B602" s="175"/>
      <c r="C602" s="175">
        <v>45</v>
      </c>
      <c r="D602" s="175"/>
      <c r="E602" s="175"/>
      <c r="F602" s="175"/>
      <c r="G602" s="175"/>
      <c r="H602" s="42" t="s">
        <v>808</v>
      </c>
      <c r="I602" s="22">
        <f t="shared" si="385"/>
        <v>50000</v>
      </c>
      <c r="J602" s="38">
        <f t="shared" si="385"/>
        <v>42222.270000000004</v>
      </c>
      <c r="K602" s="22">
        <f t="shared" si="385"/>
        <v>200000</v>
      </c>
      <c r="L602" s="22">
        <f t="shared" si="385"/>
        <v>8507.7999999999993</v>
      </c>
      <c r="M602" s="22">
        <f>ROUND(L602/K602*100,2)</f>
        <v>4.25</v>
      </c>
      <c r="N602" s="22">
        <f>O602-K602</f>
        <v>-192650.09</v>
      </c>
      <c r="O602" s="22">
        <f t="shared" si="386"/>
        <v>7349.91</v>
      </c>
      <c r="P602" s="22">
        <f t="shared" si="386"/>
        <v>223500</v>
      </c>
      <c r="Q602" s="22">
        <f t="shared" si="386"/>
        <v>0</v>
      </c>
      <c r="R602" s="26">
        <f>V602-P602</f>
        <v>0</v>
      </c>
      <c r="S602" s="22">
        <f t="shared" si="387"/>
        <v>223500</v>
      </c>
      <c r="T602" s="22">
        <f t="shared" si="387"/>
        <v>362500</v>
      </c>
      <c r="U602" s="22">
        <f t="shared" si="387"/>
        <v>362500</v>
      </c>
      <c r="V602" s="38">
        <f t="shared" si="387"/>
        <v>223500</v>
      </c>
      <c r="W602" s="22">
        <f t="shared" si="384"/>
        <v>500000</v>
      </c>
      <c r="X602" s="22">
        <f t="shared" si="384"/>
        <v>300000</v>
      </c>
      <c r="Y602" s="22">
        <f t="shared" si="384"/>
        <v>0</v>
      </c>
      <c r="Z602" s="162" t="b">
        <f t="shared" si="378"/>
        <v>1</v>
      </c>
      <c r="AA602" s="162" t="str">
        <f t="shared" si="379"/>
        <v>PRAZNO</v>
      </c>
      <c r="AC602" s="164"/>
    </row>
    <row r="603" spans="1:29" ht="15.75" x14ac:dyDescent="0.2">
      <c r="B603" s="177"/>
      <c r="C603" s="177"/>
      <c r="D603" s="177">
        <v>451</v>
      </c>
      <c r="E603" s="177"/>
      <c r="F603" s="177"/>
      <c r="G603" s="177"/>
      <c r="H603" s="16" t="s">
        <v>809</v>
      </c>
      <c r="I603" s="17">
        <f t="shared" si="385"/>
        <v>50000</v>
      </c>
      <c r="J603" s="26">
        <f t="shared" si="385"/>
        <v>42222.270000000004</v>
      </c>
      <c r="K603" s="17">
        <f t="shared" si="385"/>
        <v>200000</v>
      </c>
      <c r="L603" s="17">
        <f t="shared" si="385"/>
        <v>8507.7999999999993</v>
      </c>
      <c r="M603" s="17">
        <f>ROUND(L603/K603*100,2)</f>
        <v>4.25</v>
      </c>
      <c r="N603" s="17">
        <f>O603-K603</f>
        <v>-192650.09</v>
      </c>
      <c r="O603" s="17">
        <f t="shared" si="386"/>
        <v>7349.91</v>
      </c>
      <c r="P603" s="17">
        <f t="shared" si="386"/>
        <v>223500</v>
      </c>
      <c r="Q603" s="17">
        <f t="shared" si="386"/>
        <v>0</v>
      </c>
      <c r="R603" s="26">
        <f>V603-P603</f>
        <v>0</v>
      </c>
      <c r="S603" s="17">
        <f t="shared" si="387"/>
        <v>223500</v>
      </c>
      <c r="T603" s="17">
        <f t="shared" si="387"/>
        <v>362500</v>
      </c>
      <c r="U603" s="17">
        <f t="shared" si="387"/>
        <v>362500</v>
      </c>
      <c r="V603" s="26">
        <f t="shared" si="387"/>
        <v>223500</v>
      </c>
      <c r="W603" s="17">
        <f t="shared" si="384"/>
        <v>500000</v>
      </c>
      <c r="X603" s="17">
        <f t="shared" si="384"/>
        <v>300000</v>
      </c>
      <c r="Y603" s="17">
        <f t="shared" si="384"/>
        <v>0</v>
      </c>
      <c r="Z603" s="162" t="b">
        <f t="shared" si="378"/>
        <v>1</v>
      </c>
      <c r="AA603" s="162" t="str">
        <f t="shared" si="379"/>
        <v>PRAZNO</v>
      </c>
      <c r="AC603" s="164"/>
    </row>
    <row r="604" spans="1:29" ht="15.75" x14ac:dyDescent="0.2">
      <c r="B604" s="177"/>
      <c r="C604" s="177"/>
      <c r="D604" s="177"/>
      <c r="E604" s="177">
        <v>4511</v>
      </c>
      <c r="F604" s="176">
        <v>55</v>
      </c>
      <c r="G604" s="176" t="s">
        <v>1040</v>
      </c>
      <c r="H604" s="16" t="s">
        <v>809</v>
      </c>
      <c r="I604" s="18">
        <v>50000</v>
      </c>
      <c r="J604" s="27">
        <f>19403.25+22819.02</f>
        <v>42222.270000000004</v>
      </c>
      <c r="K604" s="18">
        <v>200000</v>
      </c>
      <c r="L604" s="18">
        <v>8507.7999999999993</v>
      </c>
      <c r="M604" s="18">
        <f>ROUND(L604/K604*100,2)</f>
        <v>4.25</v>
      </c>
      <c r="N604" s="18">
        <f>O604-K604</f>
        <v>-192650.09</v>
      </c>
      <c r="O604" s="18">
        <v>7349.91</v>
      </c>
      <c r="P604" s="18">
        <v>223500</v>
      </c>
      <c r="Q604" s="18">
        <v>0</v>
      </c>
      <c r="R604" s="26">
        <f>V604-P604</f>
        <v>0</v>
      </c>
      <c r="S604" s="18">
        <v>223500</v>
      </c>
      <c r="T604" s="18">
        <v>362500</v>
      </c>
      <c r="U604" s="18">
        <v>362500</v>
      </c>
      <c r="V604" s="27">
        <v>223500</v>
      </c>
      <c r="W604" s="27">
        <v>500000</v>
      </c>
      <c r="X604" s="27">
        <v>300000</v>
      </c>
      <c r="Y604" s="27">
        <v>0</v>
      </c>
      <c r="Z604" s="162" t="b">
        <f t="shared" si="378"/>
        <v>0</v>
      </c>
      <c r="AA604" s="162" t="str">
        <f t="shared" si="379"/>
        <v>PUNO</v>
      </c>
      <c r="AC604" s="164"/>
    </row>
    <row r="605" spans="1:29" s="171" customFormat="1" ht="31.5" x14ac:dyDescent="0.2">
      <c r="A605" s="259"/>
      <c r="B605" s="168"/>
      <c r="C605" s="168"/>
      <c r="D605" s="168"/>
      <c r="E605" s="168"/>
      <c r="F605" s="168"/>
      <c r="G605" s="168"/>
      <c r="H605" s="13" t="s">
        <v>977</v>
      </c>
      <c r="I605" s="19">
        <f>I607</f>
        <v>0</v>
      </c>
      <c r="J605" s="53">
        <f>J607</f>
        <v>500000</v>
      </c>
      <c r="K605" s="169">
        <f>K607</f>
        <v>900000</v>
      </c>
      <c r="L605" s="169">
        <f>L607</f>
        <v>500000</v>
      </c>
      <c r="M605" s="169">
        <f>ROUND(L605/K605*100,2)</f>
        <v>55.56</v>
      </c>
      <c r="N605" s="169">
        <f>O605-K605</f>
        <v>0</v>
      </c>
      <c r="O605" s="19">
        <f>O607</f>
        <v>900000</v>
      </c>
      <c r="P605" s="19">
        <f>P607</f>
        <v>980000</v>
      </c>
      <c r="Q605" s="19">
        <f>Q607</f>
        <v>0</v>
      </c>
      <c r="R605" s="303">
        <f>V605-P605</f>
        <v>0</v>
      </c>
      <c r="S605" s="19">
        <f t="shared" ref="S605:Y605" si="388">S607</f>
        <v>980000</v>
      </c>
      <c r="T605" s="19">
        <f t="shared" si="388"/>
        <v>0</v>
      </c>
      <c r="U605" s="19">
        <f t="shared" si="388"/>
        <v>0</v>
      </c>
      <c r="V605" s="53">
        <f t="shared" si="388"/>
        <v>980000</v>
      </c>
      <c r="W605" s="19">
        <f t="shared" si="388"/>
        <v>400000</v>
      </c>
      <c r="X605" s="19">
        <f t="shared" si="388"/>
        <v>0</v>
      </c>
      <c r="Y605" s="19">
        <f t="shared" si="388"/>
        <v>0</v>
      </c>
      <c r="Z605" s="162" t="b">
        <f t="shared" si="378"/>
        <v>1</v>
      </c>
      <c r="AA605" s="162" t="str">
        <f t="shared" si="379"/>
        <v>PRAZNO</v>
      </c>
      <c r="AB605" s="170"/>
      <c r="AC605" s="164"/>
    </row>
    <row r="606" spans="1:29" s="264" customFormat="1" ht="15.75" x14ac:dyDescent="0.2">
      <c r="A606" s="259"/>
      <c r="B606" s="260"/>
      <c r="C606" s="260"/>
      <c r="D606" s="260"/>
      <c r="E606" s="260"/>
      <c r="F606" s="260"/>
      <c r="G606" s="260"/>
      <c r="H606" s="440" t="s">
        <v>824</v>
      </c>
      <c r="I606" s="262"/>
      <c r="J606" s="342"/>
      <c r="K606" s="181"/>
      <c r="L606" s="181"/>
      <c r="M606" s="181"/>
      <c r="N606" s="181"/>
      <c r="O606" s="262"/>
      <c r="P606" s="262"/>
      <c r="Q606" s="262"/>
      <c r="R606" s="445"/>
      <c r="S606" s="262"/>
      <c r="T606" s="262"/>
      <c r="U606" s="262"/>
      <c r="V606" s="342"/>
      <c r="W606" s="262">
        <f t="shared" ref="W606:Y608" si="389">W607</f>
        <v>400000</v>
      </c>
      <c r="X606" s="262">
        <f t="shared" si="389"/>
        <v>0</v>
      </c>
      <c r="Y606" s="262">
        <f t="shared" si="389"/>
        <v>0</v>
      </c>
      <c r="Z606" s="162" t="b">
        <f t="shared" si="378"/>
        <v>1</v>
      </c>
      <c r="AA606" s="162" t="str">
        <f t="shared" si="379"/>
        <v>PRAZNO</v>
      </c>
      <c r="AB606" s="263"/>
    </row>
    <row r="607" spans="1:29" s="174" customFormat="1" ht="15.75" x14ac:dyDescent="0.2">
      <c r="A607" s="259"/>
      <c r="B607" s="172">
        <v>3</v>
      </c>
      <c r="C607" s="172"/>
      <c r="D607" s="172"/>
      <c r="E607" s="172"/>
      <c r="F607" s="172"/>
      <c r="G607" s="172"/>
      <c r="H607" s="14" t="s">
        <v>524</v>
      </c>
      <c r="I607" s="20">
        <f t="shared" ref="I607:L608" si="390">I608</f>
        <v>0</v>
      </c>
      <c r="J607" s="55">
        <f t="shared" si="390"/>
        <v>500000</v>
      </c>
      <c r="K607" s="20">
        <f t="shared" si="390"/>
        <v>900000</v>
      </c>
      <c r="L607" s="20">
        <f t="shared" si="390"/>
        <v>500000</v>
      </c>
      <c r="M607" s="20">
        <f t="shared" ref="M607:M624" si="391">ROUND(L607/K607*100,2)</f>
        <v>55.56</v>
      </c>
      <c r="N607" s="20">
        <f t="shared" ref="N607:N624" si="392">O607-K607</f>
        <v>0</v>
      </c>
      <c r="O607" s="20">
        <f t="shared" ref="O607:Q608" si="393">O608</f>
        <v>900000</v>
      </c>
      <c r="P607" s="20">
        <f t="shared" si="393"/>
        <v>980000</v>
      </c>
      <c r="Q607" s="20">
        <f t="shared" si="393"/>
        <v>0</v>
      </c>
      <c r="R607" s="55">
        <f t="shared" ref="R607:R625" si="394">V607-P607</f>
        <v>0</v>
      </c>
      <c r="S607" s="20">
        <f t="shared" ref="S607:V608" si="395">S608</f>
        <v>980000</v>
      </c>
      <c r="T607" s="20">
        <f t="shared" si="395"/>
        <v>0</v>
      </c>
      <c r="U607" s="20">
        <f t="shared" si="395"/>
        <v>0</v>
      </c>
      <c r="V607" s="55">
        <f t="shared" si="395"/>
        <v>980000</v>
      </c>
      <c r="W607" s="20">
        <f t="shared" si="389"/>
        <v>400000</v>
      </c>
      <c r="X607" s="20">
        <f t="shared" si="389"/>
        <v>0</v>
      </c>
      <c r="Y607" s="20">
        <f t="shared" si="389"/>
        <v>0</v>
      </c>
      <c r="Z607" s="162" t="b">
        <f t="shared" si="378"/>
        <v>1</v>
      </c>
      <c r="AA607" s="162" t="str">
        <f t="shared" si="379"/>
        <v>PRAZNO</v>
      </c>
      <c r="AB607" s="173"/>
      <c r="AC607" s="164"/>
    </row>
    <row r="608" spans="1:29" ht="15.75" x14ac:dyDescent="0.2">
      <c r="B608" s="175"/>
      <c r="C608" s="175">
        <v>36</v>
      </c>
      <c r="D608" s="175"/>
      <c r="E608" s="175"/>
      <c r="F608" s="177"/>
      <c r="G608" s="177"/>
      <c r="H608" s="141" t="s">
        <v>751</v>
      </c>
      <c r="I608" s="22">
        <f t="shared" si="390"/>
        <v>0</v>
      </c>
      <c r="J608" s="38">
        <f t="shared" si="390"/>
        <v>500000</v>
      </c>
      <c r="K608" s="22">
        <f t="shared" si="390"/>
        <v>900000</v>
      </c>
      <c r="L608" s="22">
        <f t="shared" si="390"/>
        <v>500000</v>
      </c>
      <c r="M608" s="22">
        <f t="shared" si="391"/>
        <v>55.56</v>
      </c>
      <c r="N608" s="22">
        <f t="shared" si="392"/>
        <v>0</v>
      </c>
      <c r="O608" s="22">
        <f t="shared" si="393"/>
        <v>900000</v>
      </c>
      <c r="P608" s="22">
        <f t="shared" si="393"/>
        <v>980000</v>
      </c>
      <c r="Q608" s="22">
        <f t="shared" si="393"/>
        <v>0</v>
      </c>
      <c r="R608" s="26">
        <f t="shared" si="394"/>
        <v>0</v>
      </c>
      <c r="S608" s="22">
        <f t="shared" si="395"/>
        <v>980000</v>
      </c>
      <c r="T608" s="22">
        <f t="shared" si="395"/>
        <v>0</v>
      </c>
      <c r="U608" s="22">
        <f t="shared" si="395"/>
        <v>0</v>
      </c>
      <c r="V608" s="38">
        <f t="shared" si="395"/>
        <v>980000</v>
      </c>
      <c r="W608" s="22">
        <f t="shared" si="389"/>
        <v>400000</v>
      </c>
      <c r="X608" s="22">
        <f t="shared" si="389"/>
        <v>0</v>
      </c>
      <c r="Y608" s="22">
        <f t="shared" si="389"/>
        <v>0</v>
      </c>
      <c r="Z608" s="162" t="b">
        <f t="shared" si="378"/>
        <v>1</v>
      </c>
      <c r="AA608" s="162" t="str">
        <f t="shared" si="379"/>
        <v>PRAZNO</v>
      </c>
      <c r="AC608" s="164"/>
    </row>
    <row r="609" spans="1:29" ht="15.75" x14ac:dyDescent="0.2">
      <c r="B609" s="177"/>
      <c r="C609" s="177"/>
      <c r="D609" s="177">
        <v>363</v>
      </c>
      <c r="E609" s="177"/>
      <c r="F609" s="177"/>
      <c r="G609" s="177"/>
      <c r="H609" s="16" t="s">
        <v>536</v>
      </c>
      <c r="I609" s="17">
        <f>SUM(I610:I611)</f>
        <v>0</v>
      </c>
      <c r="J609" s="26">
        <f>SUM(J610:J611)</f>
        <v>500000</v>
      </c>
      <c r="K609" s="17">
        <f>SUM(K610:K611)</f>
        <v>900000</v>
      </c>
      <c r="L609" s="17">
        <f>SUM(L610:L611)</f>
        <v>500000</v>
      </c>
      <c r="M609" s="17">
        <f t="shared" si="391"/>
        <v>55.56</v>
      </c>
      <c r="N609" s="17">
        <f t="shared" si="392"/>
        <v>0</v>
      </c>
      <c r="O609" s="17">
        <f>SUM(O610:O611)</f>
        <v>900000</v>
      </c>
      <c r="P609" s="17">
        <f>SUM(P610:P611)</f>
        <v>980000</v>
      </c>
      <c r="Q609" s="17">
        <f>SUM(Q610:Q611)</f>
        <v>0</v>
      </c>
      <c r="R609" s="26">
        <f t="shared" si="394"/>
        <v>0</v>
      </c>
      <c r="S609" s="17">
        <f t="shared" ref="S609:Y609" si="396">SUM(S610:S611)</f>
        <v>980000</v>
      </c>
      <c r="T609" s="17">
        <f t="shared" si="396"/>
        <v>0</v>
      </c>
      <c r="U609" s="17">
        <f t="shared" si="396"/>
        <v>0</v>
      </c>
      <c r="V609" s="26">
        <f t="shared" si="396"/>
        <v>980000</v>
      </c>
      <c r="W609" s="17">
        <f t="shared" si="396"/>
        <v>400000</v>
      </c>
      <c r="X609" s="17">
        <f t="shared" si="396"/>
        <v>0</v>
      </c>
      <c r="Y609" s="17">
        <f t="shared" si="396"/>
        <v>0</v>
      </c>
      <c r="Z609" s="162" t="b">
        <f t="shared" si="378"/>
        <v>1</v>
      </c>
      <c r="AA609" s="162" t="str">
        <f t="shared" si="379"/>
        <v>PRAZNO</v>
      </c>
      <c r="AC609" s="164"/>
    </row>
    <row r="610" spans="1:29" ht="30" x14ac:dyDescent="0.2">
      <c r="B610" s="177"/>
      <c r="C610" s="177"/>
      <c r="D610" s="177"/>
      <c r="E610" s="177">
        <v>3632</v>
      </c>
      <c r="F610" s="176">
        <v>14</v>
      </c>
      <c r="G610" s="176"/>
      <c r="H610" s="16" t="s">
        <v>390</v>
      </c>
      <c r="I610" s="18">
        <v>0</v>
      </c>
      <c r="J610" s="27">
        <v>0</v>
      </c>
      <c r="K610" s="18">
        <v>400000</v>
      </c>
      <c r="L610" s="18">
        <v>0</v>
      </c>
      <c r="M610" s="18">
        <f t="shared" si="391"/>
        <v>0</v>
      </c>
      <c r="N610" s="18">
        <f t="shared" si="392"/>
        <v>0</v>
      </c>
      <c r="O610" s="18">
        <v>400000</v>
      </c>
      <c r="P610" s="18">
        <v>780000</v>
      </c>
      <c r="Q610" s="18">
        <v>0</v>
      </c>
      <c r="R610" s="26">
        <f t="shared" si="394"/>
        <v>130000</v>
      </c>
      <c r="S610" s="18">
        <v>980000</v>
      </c>
      <c r="T610" s="18">
        <v>0</v>
      </c>
      <c r="U610" s="18">
        <v>0</v>
      </c>
      <c r="V610" s="27">
        <v>910000</v>
      </c>
      <c r="W610" s="18">
        <v>400000</v>
      </c>
      <c r="X610" s="18">
        <v>0</v>
      </c>
      <c r="Y610" s="18">
        <v>0</v>
      </c>
      <c r="Z610" s="162" t="b">
        <f t="shared" si="378"/>
        <v>0</v>
      </c>
      <c r="AA610" s="162" t="str">
        <f t="shared" si="379"/>
        <v>PUNO</v>
      </c>
      <c r="AC610" s="164"/>
    </row>
    <row r="611" spans="1:29" ht="33" hidden="1" customHeight="1" x14ac:dyDescent="0.2">
      <c r="B611" s="177"/>
      <c r="C611" s="177"/>
      <c r="D611" s="177"/>
      <c r="E611" s="177">
        <v>3632</v>
      </c>
      <c r="F611" s="176">
        <v>71</v>
      </c>
      <c r="G611" s="176" t="s">
        <v>1040</v>
      </c>
      <c r="H611" s="16" t="s">
        <v>396</v>
      </c>
      <c r="I611" s="18">
        <v>0</v>
      </c>
      <c r="J611" s="27">
        <v>500000</v>
      </c>
      <c r="K611" s="18">
        <v>500000</v>
      </c>
      <c r="L611" s="18">
        <v>500000</v>
      </c>
      <c r="M611" s="18">
        <f t="shared" si="391"/>
        <v>100</v>
      </c>
      <c r="N611" s="18">
        <f t="shared" si="392"/>
        <v>0</v>
      </c>
      <c r="O611" s="18">
        <v>500000</v>
      </c>
      <c r="P611" s="18">
        <v>200000</v>
      </c>
      <c r="Q611" s="18">
        <v>0</v>
      </c>
      <c r="R611" s="26">
        <f t="shared" si="394"/>
        <v>-130000</v>
      </c>
      <c r="S611" s="18">
        <v>0</v>
      </c>
      <c r="T611" s="18">
        <v>0</v>
      </c>
      <c r="U611" s="18">
        <v>0</v>
      </c>
      <c r="V611" s="27">
        <v>70000</v>
      </c>
      <c r="W611" s="18">
        <v>0</v>
      </c>
      <c r="X611" s="18"/>
      <c r="Y611" s="18"/>
      <c r="Z611" s="162" t="b">
        <f t="shared" si="378"/>
        <v>0</v>
      </c>
      <c r="AA611" s="162" t="str">
        <f t="shared" si="379"/>
        <v>PUNO</v>
      </c>
      <c r="AC611" s="164"/>
    </row>
    <row r="612" spans="1:29" s="171" customFormat="1" ht="15.75" hidden="1" x14ac:dyDescent="0.2">
      <c r="A612" s="259"/>
      <c r="B612" s="168"/>
      <c r="C612" s="168"/>
      <c r="D612" s="168"/>
      <c r="E612" s="168"/>
      <c r="F612" s="168"/>
      <c r="G612" s="168"/>
      <c r="H612" s="13" t="s">
        <v>603</v>
      </c>
      <c r="I612" s="19">
        <f t="shared" ref="I612:L614" si="397">I613</f>
        <v>3622493.96</v>
      </c>
      <c r="J612" s="53">
        <f t="shared" si="397"/>
        <v>3634562.5</v>
      </c>
      <c r="K612" s="169">
        <f t="shared" si="397"/>
        <v>2035300</v>
      </c>
      <c r="L612" s="169">
        <f t="shared" si="397"/>
        <v>1700189.35</v>
      </c>
      <c r="M612" s="169">
        <f t="shared" si="391"/>
        <v>83.54</v>
      </c>
      <c r="N612" s="169">
        <f t="shared" si="392"/>
        <v>-335110.64999999991</v>
      </c>
      <c r="O612" s="19">
        <f t="shared" ref="O612:Q614" si="398">O613</f>
        <v>1700189.35</v>
      </c>
      <c r="P612" s="19">
        <f t="shared" si="398"/>
        <v>0</v>
      </c>
      <c r="Q612" s="19">
        <f t="shared" si="398"/>
        <v>0</v>
      </c>
      <c r="R612" s="205">
        <f t="shared" si="394"/>
        <v>0</v>
      </c>
      <c r="S612" s="19">
        <f t="shared" ref="S612:Y614" si="399">S613</f>
        <v>0</v>
      </c>
      <c r="T612" s="19">
        <f t="shared" si="399"/>
        <v>0</v>
      </c>
      <c r="U612" s="19">
        <f t="shared" si="399"/>
        <v>0</v>
      </c>
      <c r="V612" s="53">
        <f t="shared" si="399"/>
        <v>0</v>
      </c>
      <c r="W612" s="19">
        <f t="shared" si="399"/>
        <v>0</v>
      </c>
      <c r="X612" s="19">
        <f t="shared" si="399"/>
        <v>0</v>
      </c>
      <c r="Y612" s="19">
        <f t="shared" si="399"/>
        <v>0</v>
      </c>
      <c r="Z612" s="162" t="b">
        <f t="shared" si="378"/>
        <v>1</v>
      </c>
      <c r="AA612" s="162" t="str">
        <f t="shared" si="379"/>
        <v>PRAZNO</v>
      </c>
      <c r="AB612" s="170"/>
      <c r="AC612" s="164"/>
    </row>
    <row r="613" spans="1:29" s="174" customFormat="1" ht="15.75" hidden="1" x14ac:dyDescent="0.2">
      <c r="A613" s="259"/>
      <c r="B613" s="172">
        <v>4</v>
      </c>
      <c r="C613" s="172"/>
      <c r="D613" s="172"/>
      <c r="E613" s="172"/>
      <c r="F613" s="172"/>
      <c r="G613" s="172"/>
      <c r="H613" s="14" t="s">
        <v>552</v>
      </c>
      <c r="I613" s="20">
        <f t="shared" si="397"/>
        <v>3622493.96</v>
      </c>
      <c r="J613" s="55">
        <f t="shared" si="397"/>
        <v>3634562.5</v>
      </c>
      <c r="K613" s="20">
        <f t="shared" si="397"/>
        <v>2035300</v>
      </c>
      <c r="L613" s="20">
        <f t="shared" si="397"/>
        <v>1700189.35</v>
      </c>
      <c r="M613" s="20">
        <f t="shared" si="391"/>
        <v>83.54</v>
      </c>
      <c r="N613" s="20">
        <f t="shared" si="392"/>
        <v>-335110.64999999991</v>
      </c>
      <c r="O613" s="20">
        <f t="shared" si="398"/>
        <v>1700189.35</v>
      </c>
      <c r="P613" s="20">
        <f t="shared" si="398"/>
        <v>0</v>
      </c>
      <c r="Q613" s="20">
        <f t="shared" si="398"/>
        <v>0</v>
      </c>
      <c r="R613" s="55">
        <f t="shared" si="394"/>
        <v>0</v>
      </c>
      <c r="S613" s="20">
        <f t="shared" si="399"/>
        <v>0</v>
      </c>
      <c r="T613" s="20">
        <f t="shared" si="399"/>
        <v>0</v>
      </c>
      <c r="U613" s="20">
        <f t="shared" si="399"/>
        <v>0</v>
      </c>
      <c r="V613" s="55">
        <f t="shared" si="399"/>
        <v>0</v>
      </c>
      <c r="W613" s="20">
        <f t="shared" si="399"/>
        <v>0</v>
      </c>
      <c r="X613" s="20">
        <f t="shared" si="399"/>
        <v>0</v>
      </c>
      <c r="Y613" s="20">
        <f t="shared" si="399"/>
        <v>0</v>
      </c>
      <c r="Z613" s="162" t="b">
        <f t="shared" si="378"/>
        <v>1</v>
      </c>
      <c r="AA613" s="162" t="str">
        <f t="shared" si="379"/>
        <v>PRAZNO</v>
      </c>
      <c r="AB613" s="173"/>
      <c r="AC613" s="164"/>
    </row>
    <row r="614" spans="1:29" ht="15.75" hidden="1" x14ac:dyDescent="0.2">
      <c r="B614" s="177"/>
      <c r="C614" s="177">
        <v>42</v>
      </c>
      <c r="D614" s="177"/>
      <c r="E614" s="177"/>
      <c r="F614" s="177"/>
      <c r="G614" s="177"/>
      <c r="H614" s="41" t="s">
        <v>212</v>
      </c>
      <c r="I614" s="17">
        <f t="shared" si="397"/>
        <v>3622493.96</v>
      </c>
      <c r="J614" s="26">
        <f t="shared" si="397"/>
        <v>3634562.5</v>
      </c>
      <c r="K614" s="17">
        <f t="shared" si="397"/>
        <v>2035300</v>
      </c>
      <c r="L614" s="17">
        <f t="shared" si="397"/>
        <v>1700189.35</v>
      </c>
      <c r="M614" s="17">
        <f t="shared" si="391"/>
        <v>83.54</v>
      </c>
      <c r="N614" s="17">
        <f t="shared" si="392"/>
        <v>-335110.64999999991</v>
      </c>
      <c r="O614" s="17">
        <f t="shared" si="398"/>
        <v>1700189.35</v>
      </c>
      <c r="P614" s="17">
        <f t="shared" si="398"/>
        <v>0</v>
      </c>
      <c r="Q614" s="17">
        <f t="shared" si="398"/>
        <v>0</v>
      </c>
      <c r="R614" s="26">
        <f t="shared" si="394"/>
        <v>0</v>
      </c>
      <c r="S614" s="17">
        <f t="shared" si="399"/>
        <v>0</v>
      </c>
      <c r="T614" s="17">
        <f t="shared" si="399"/>
        <v>0</v>
      </c>
      <c r="U614" s="17">
        <f t="shared" si="399"/>
        <v>0</v>
      </c>
      <c r="V614" s="26">
        <f t="shared" si="399"/>
        <v>0</v>
      </c>
      <c r="W614" s="17">
        <f t="shared" si="399"/>
        <v>0</v>
      </c>
      <c r="X614" s="17">
        <f t="shared" si="399"/>
        <v>0</v>
      </c>
      <c r="Y614" s="17">
        <f t="shared" si="399"/>
        <v>0</v>
      </c>
      <c r="Z614" s="162" t="b">
        <f t="shared" si="378"/>
        <v>1</v>
      </c>
      <c r="AA614" s="162" t="str">
        <f t="shared" si="379"/>
        <v>PRAZNO</v>
      </c>
      <c r="AC614" s="164"/>
    </row>
    <row r="615" spans="1:29" ht="15.75" hidden="1" x14ac:dyDescent="0.2">
      <c r="B615" s="177"/>
      <c r="C615" s="177"/>
      <c r="D615" s="177">
        <v>421</v>
      </c>
      <c r="E615" s="177"/>
      <c r="F615" s="177"/>
      <c r="G615" s="177"/>
      <c r="H615" s="41" t="s">
        <v>759</v>
      </c>
      <c r="I615" s="17">
        <f>SUM(I616:I619)</f>
        <v>3622493.96</v>
      </c>
      <c r="J615" s="17">
        <f>SUM(J616:J619)</f>
        <v>3634562.5</v>
      </c>
      <c r="K615" s="17">
        <f>SUM(K616:K619)</f>
        <v>2035300</v>
      </c>
      <c r="L615" s="17">
        <f>SUM(L616:L619)</f>
        <v>1700189.35</v>
      </c>
      <c r="M615" s="17">
        <f t="shared" si="391"/>
        <v>83.54</v>
      </c>
      <c r="N615" s="17">
        <f t="shared" si="392"/>
        <v>-335110.64999999991</v>
      </c>
      <c r="O615" s="17">
        <f>SUM(O616:O619)</f>
        <v>1700189.35</v>
      </c>
      <c r="P615" s="17">
        <f>SUM(P616:P624)</f>
        <v>0</v>
      </c>
      <c r="Q615" s="17">
        <f>SUM(Q616:Q619)</f>
        <v>0</v>
      </c>
      <c r="R615" s="26">
        <f t="shared" si="394"/>
        <v>0</v>
      </c>
      <c r="S615" s="17">
        <f t="shared" ref="S615:Y615" si="400">SUM(S616:S624)</f>
        <v>0</v>
      </c>
      <c r="T615" s="17">
        <f t="shared" si="400"/>
        <v>0</v>
      </c>
      <c r="U615" s="17">
        <f t="shared" si="400"/>
        <v>0</v>
      </c>
      <c r="V615" s="26">
        <f t="shared" si="400"/>
        <v>0</v>
      </c>
      <c r="W615" s="17">
        <f t="shared" si="400"/>
        <v>0</v>
      </c>
      <c r="X615" s="17">
        <f t="shared" si="400"/>
        <v>0</v>
      </c>
      <c r="Y615" s="17">
        <f t="shared" si="400"/>
        <v>0</v>
      </c>
      <c r="Z615" s="162" t="b">
        <f t="shared" si="378"/>
        <v>1</v>
      </c>
      <c r="AA615" s="162" t="str">
        <f t="shared" si="379"/>
        <v>PRAZNO</v>
      </c>
      <c r="AC615" s="164"/>
    </row>
    <row r="616" spans="1:29" ht="30" hidden="1" x14ac:dyDescent="0.2">
      <c r="B616" s="177"/>
      <c r="C616" s="177"/>
      <c r="D616" s="177"/>
      <c r="E616" s="177">
        <v>4212</v>
      </c>
      <c r="F616" s="176" t="s">
        <v>537</v>
      </c>
      <c r="G616" s="176" t="s">
        <v>1040</v>
      </c>
      <c r="H616" s="41" t="s">
        <v>185</v>
      </c>
      <c r="I616" s="17">
        <f>325000+466800</f>
        <v>791800</v>
      </c>
      <c r="J616" s="26">
        <v>0</v>
      </c>
      <c r="K616" s="17"/>
      <c r="L616" s="17"/>
      <c r="M616" s="17" t="e">
        <f t="shared" si="391"/>
        <v>#DIV/0!</v>
      </c>
      <c r="N616" s="17">
        <f t="shared" si="392"/>
        <v>0</v>
      </c>
      <c r="O616" s="17"/>
      <c r="P616" s="17"/>
      <c r="Q616" s="17"/>
      <c r="R616" s="26">
        <f t="shared" si="394"/>
        <v>0</v>
      </c>
      <c r="S616" s="17"/>
      <c r="T616" s="17"/>
      <c r="U616" s="17"/>
      <c r="V616" s="26"/>
      <c r="W616" s="17"/>
      <c r="X616" s="17"/>
      <c r="Y616" s="17"/>
      <c r="Z616" s="162" t="b">
        <f t="shared" si="378"/>
        <v>0</v>
      </c>
      <c r="AA616" s="162" t="str">
        <f t="shared" si="379"/>
        <v>PUNO</v>
      </c>
      <c r="AC616" s="164"/>
    </row>
    <row r="617" spans="1:29" ht="30" hidden="1" x14ac:dyDescent="0.2">
      <c r="B617" s="177"/>
      <c r="C617" s="177"/>
      <c r="D617" s="177"/>
      <c r="E617" s="177">
        <v>4212</v>
      </c>
      <c r="F617" s="176" t="s">
        <v>527</v>
      </c>
      <c r="G617" s="176" t="s">
        <v>1040</v>
      </c>
      <c r="H617" s="41" t="s">
        <v>185</v>
      </c>
      <c r="I617" s="17">
        <v>945084</v>
      </c>
      <c r="J617" s="26">
        <v>0</v>
      </c>
      <c r="K617" s="17"/>
      <c r="L617" s="17"/>
      <c r="M617" s="17" t="e">
        <f t="shared" si="391"/>
        <v>#DIV/0!</v>
      </c>
      <c r="N617" s="17">
        <f t="shared" si="392"/>
        <v>0</v>
      </c>
      <c r="O617" s="17"/>
      <c r="P617" s="17"/>
      <c r="Q617" s="17"/>
      <c r="R617" s="26">
        <f t="shared" si="394"/>
        <v>0</v>
      </c>
      <c r="S617" s="17"/>
      <c r="T617" s="17"/>
      <c r="U617" s="17"/>
      <c r="V617" s="26"/>
      <c r="W617" s="17"/>
      <c r="X617" s="17"/>
      <c r="Y617" s="17"/>
      <c r="Z617" s="162" t="b">
        <f t="shared" si="378"/>
        <v>0</v>
      </c>
      <c r="AA617" s="162" t="str">
        <f t="shared" si="379"/>
        <v>PUNO</v>
      </c>
      <c r="AC617" s="164"/>
    </row>
    <row r="618" spans="1:29" ht="30" hidden="1" x14ac:dyDescent="0.2">
      <c r="B618" s="177"/>
      <c r="C618" s="177"/>
      <c r="D618" s="177"/>
      <c r="E618" s="177">
        <v>4212</v>
      </c>
      <c r="F618" s="176">
        <v>81</v>
      </c>
      <c r="G618" s="176" t="s">
        <v>1040</v>
      </c>
      <c r="H618" s="41" t="s">
        <v>184</v>
      </c>
      <c r="I618" s="17">
        <v>965609.96</v>
      </c>
      <c r="J618" s="26">
        <v>3550000</v>
      </c>
      <c r="K618" s="17">
        <v>1705300</v>
      </c>
      <c r="L618" s="17">
        <v>1700189.35</v>
      </c>
      <c r="M618" s="17">
        <f t="shared" si="391"/>
        <v>99.7</v>
      </c>
      <c r="N618" s="17">
        <f t="shared" si="392"/>
        <v>-5110.6499999999069</v>
      </c>
      <c r="O618" s="17">
        <v>1700189.35</v>
      </c>
      <c r="P618" s="17">
        <v>0</v>
      </c>
      <c r="Q618" s="17">
        <v>0</v>
      </c>
      <c r="R618" s="26">
        <f t="shared" si="394"/>
        <v>0</v>
      </c>
      <c r="S618" s="17"/>
      <c r="T618" s="17"/>
      <c r="U618" s="17"/>
      <c r="V618" s="26"/>
      <c r="W618" s="17"/>
      <c r="X618" s="17"/>
      <c r="Y618" s="17"/>
      <c r="Z618" s="162" t="b">
        <f t="shared" si="378"/>
        <v>0</v>
      </c>
      <c r="AA618" s="162" t="str">
        <f t="shared" si="379"/>
        <v>PUNO</v>
      </c>
      <c r="AC618" s="164"/>
    </row>
    <row r="619" spans="1:29" ht="30" hidden="1" x14ac:dyDescent="0.2">
      <c r="B619" s="177"/>
      <c r="C619" s="177"/>
      <c r="D619" s="177"/>
      <c r="E619" s="177">
        <v>4212</v>
      </c>
      <c r="F619" s="176">
        <v>52</v>
      </c>
      <c r="G619" s="176" t="s">
        <v>1040</v>
      </c>
      <c r="H619" s="41" t="s">
        <v>184</v>
      </c>
      <c r="I619" s="17">
        <v>920000</v>
      </c>
      <c r="J619" s="26">
        <v>84562.5</v>
      </c>
      <c r="K619" s="17">
        <v>330000</v>
      </c>
      <c r="L619" s="17">
        <v>0</v>
      </c>
      <c r="M619" s="17">
        <f t="shared" si="391"/>
        <v>0</v>
      </c>
      <c r="N619" s="17">
        <f t="shared" si="392"/>
        <v>-330000</v>
      </c>
      <c r="O619" s="17">
        <v>0</v>
      </c>
      <c r="P619" s="17"/>
      <c r="Q619" s="17"/>
      <c r="R619" s="26">
        <f t="shared" si="394"/>
        <v>0</v>
      </c>
      <c r="S619" s="17"/>
      <c r="T619" s="17"/>
      <c r="U619" s="17"/>
      <c r="V619" s="26"/>
      <c r="W619" s="17"/>
      <c r="X619" s="17"/>
      <c r="Y619" s="17"/>
      <c r="Z619" s="162" t="b">
        <f t="shared" si="378"/>
        <v>0</v>
      </c>
      <c r="AA619" s="162" t="str">
        <f t="shared" si="379"/>
        <v>PUNO</v>
      </c>
      <c r="AC619" s="164"/>
    </row>
    <row r="620" spans="1:29" s="171" customFormat="1" ht="31.5" hidden="1" x14ac:dyDescent="0.2">
      <c r="A620" s="259"/>
      <c r="B620" s="168"/>
      <c r="C620" s="168"/>
      <c r="D620" s="168"/>
      <c r="E620" s="168"/>
      <c r="F620" s="168"/>
      <c r="G620" s="168"/>
      <c r="H620" s="13" t="s">
        <v>450</v>
      </c>
      <c r="I620" s="19"/>
      <c r="J620" s="53">
        <f t="shared" ref="J620:L623" si="401">J621</f>
        <v>1000000</v>
      </c>
      <c r="K620" s="169">
        <f t="shared" si="401"/>
        <v>0</v>
      </c>
      <c r="L620" s="169">
        <f t="shared" si="401"/>
        <v>0</v>
      </c>
      <c r="M620" s="169" t="e">
        <f t="shared" si="391"/>
        <v>#DIV/0!</v>
      </c>
      <c r="N620" s="169">
        <f t="shared" si="392"/>
        <v>0</v>
      </c>
      <c r="O620" s="19">
        <f t="shared" ref="O620:Q623" si="402">O621</f>
        <v>0</v>
      </c>
      <c r="P620" s="19">
        <f t="shared" si="402"/>
        <v>0</v>
      </c>
      <c r="Q620" s="19">
        <f t="shared" si="402"/>
        <v>0</v>
      </c>
      <c r="R620" s="205">
        <f t="shared" si="394"/>
        <v>0</v>
      </c>
      <c r="S620" s="19">
        <f t="shared" ref="S620:Y623" si="403">S621</f>
        <v>0</v>
      </c>
      <c r="T620" s="19">
        <f t="shared" si="403"/>
        <v>0</v>
      </c>
      <c r="U620" s="19">
        <f t="shared" si="403"/>
        <v>0</v>
      </c>
      <c r="V620" s="53">
        <f t="shared" si="403"/>
        <v>0</v>
      </c>
      <c r="W620" s="19">
        <f t="shared" si="403"/>
        <v>0</v>
      </c>
      <c r="X620" s="19">
        <f t="shared" si="403"/>
        <v>0</v>
      </c>
      <c r="Y620" s="19">
        <f t="shared" si="403"/>
        <v>0</v>
      </c>
      <c r="Z620" s="162" t="b">
        <f t="shared" si="378"/>
        <v>1</v>
      </c>
      <c r="AA620" s="162" t="str">
        <f t="shared" si="379"/>
        <v>PRAZNO</v>
      </c>
      <c r="AB620" s="170"/>
      <c r="AC620" s="164"/>
    </row>
    <row r="621" spans="1:29" s="174" customFormat="1" ht="15.75" hidden="1" x14ac:dyDescent="0.2">
      <c r="A621" s="259"/>
      <c r="B621" s="172">
        <v>3</v>
      </c>
      <c r="C621" s="172"/>
      <c r="D621" s="172"/>
      <c r="E621" s="172"/>
      <c r="F621" s="172"/>
      <c r="G621" s="172"/>
      <c r="H621" s="14" t="s">
        <v>524</v>
      </c>
      <c r="I621" s="20"/>
      <c r="J621" s="55">
        <f t="shared" si="401"/>
        <v>1000000</v>
      </c>
      <c r="K621" s="20">
        <f t="shared" si="401"/>
        <v>0</v>
      </c>
      <c r="L621" s="20">
        <f t="shared" si="401"/>
        <v>0</v>
      </c>
      <c r="M621" s="20" t="e">
        <f t="shared" si="391"/>
        <v>#DIV/0!</v>
      </c>
      <c r="N621" s="20">
        <f t="shared" si="392"/>
        <v>0</v>
      </c>
      <c r="O621" s="20">
        <f t="shared" si="402"/>
        <v>0</v>
      </c>
      <c r="P621" s="20">
        <f t="shared" si="402"/>
        <v>0</v>
      </c>
      <c r="Q621" s="20">
        <f t="shared" si="402"/>
        <v>0</v>
      </c>
      <c r="R621" s="55">
        <f t="shared" si="394"/>
        <v>0</v>
      </c>
      <c r="S621" s="20">
        <f t="shared" si="403"/>
        <v>0</v>
      </c>
      <c r="T621" s="20">
        <f t="shared" si="403"/>
        <v>0</v>
      </c>
      <c r="U621" s="20">
        <f t="shared" si="403"/>
        <v>0</v>
      </c>
      <c r="V621" s="55">
        <f t="shared" si="403"/>
        <v>0</v>
      </c>
      <c r="W621" s="20">
        <f t="shared" si="403"/>
        <v>0</v>
      </c>
      <c r="X621" s="20">
        <f t="shared" si="403"/>
        <v>0</v>
      </c>
      <c r="Y621" s="20">
        <f t="shared" si="403"/>
        <v>0</v>
      </c>
      <c r="Z621" s="162" t="b">
        <f t="shared" si="378"/>
        <v>1</v>
      </c>
      <c r="AA621" s="162" t="str">
        <f t="shared" si="379"/>
        <v>PRAZNO</v>
      </c>
      <c r="AB621" s="173"/>
      <c r="AC621" s="164"/>
    </row>
    <row r="622" spans="1:29" ht="15.75" hidden="1" x14ac:dyDescent="0.2">
      <c r="B622" s="177"/>
      <c r="C622" s="177">
        <v>36</v>
      </c>
      <c r="D622" s="177"/>
      <c r="E622" s="177"/>
      <c r="F622" s="176"/>
      <c r="G622" s="176"/>
      <c r="H622" s="141" t="s">
        <v>751</v>
      </c>
      <c r="I622" s="17"/>
      <c r="J622" s="26">
        <f t="shared" si="401"/>
        <v>1000000</v>
      </c>
      <c r="K622" s="17">
        <f t="shared" si="401"/>
        <v>0</v>
      </c>
      <c r="L622" s="17">
        <f t="shared" si="401"/>
        <v>0</v>
      </c>
      <c r="M622" s="17" t="e">
        <f t="shared" si="391"/>
        <v>#DIV/0!</v>
      </c>
      <c r="N622" s="17">
        <f t="shared" si="392"/>
        <v>0</v>
      </c>
      <c r="O622" s="17">
        <f t="shared" si="402"/>
        <v>0</v>
      </c>
      <c r="P622" s="17">
        <f t="shared" si="402"/>
        <v>0</v>
      </c>
      <c r="Q622" s="17">
        <f t="shared" si="402"/>
        <v>0</v>
      </c>
      <c r="R622" s="26">
        <f t="shared" si="394"/>
        <v>0</v>
      </c>
      <c r="S622" s="17">
        <f t="shared" si="403"/>
        <v>0</v>
      </c>
      <c r="T622" s="17">
        <f t="shared" si="403"/>
        <v>0</v>
      </c>
      <c r="U622" s="17">
        <f t="shared" si="403"/>
        <v>0</v>
      </c>
      <c r="V622" s="26">
        <f t="shared" si="403"/>
        <v>0</v>
      </c>
      <c r="W622" s="17">
        <f t="shared" si="403"/>
        <v>0</v>
      </c>
      <c r="X622" s="17">
        <f t="shared" si="403"/>
        <v>0</v>
      </c>
      <c r="Y622" s="17">
        <f t="shared" si="403"/>
        <v>0</v>
      </c>
      <c r="Z622" s="162" t="b">
        <f t="shared" si="378"/>
        <v>1</v>
      </c>
      <c r="AA622" s="162" t="str">
        <f t="shared" si="379"/>
        <v>PRAZNO</v>
      </c>
      <c r="AC622" s="164"/>
    </row>
    <row r="623" spans="1:29" ht="15.75" hidden="1" x14ac:dyDescent="0.2">
      <c r="B623" s="177"/>
      <c r="C623" s="177"/>
      <c r="D623" s="177">
        <v>363</v>
      </c>
      <c r="E623" s="177"/>
      <c r="F623" s="176"/>
      <c r="G623" s="176"/>
      <c r="H623" s="16" t="s">
        <v>536</v>
      </c>
      <c r="I623" s="17"/>
      <c r="J623" s="26">
        <f t="shared" si="401"/>
        <v>1000000</v>
      </c>
      <c r="K623" s="17">
        <f t="shared" si="401"/>
        <v>0</v>
      </c>
      <c r="L623" s="17">
        <f t="shared" si="401"/>
        <v>0</v>
      </c>
      <c r="M623" s="17" t="e">
        <f t="shared" si="391"/>
        <v>#DIV/0!</v>
      </c>
      <c r="N623" s="17">
        <f t="shared" si="392"/>
        <v>0</v>
      </c>
      <c r="O623" s="17">
        <f t="shared" si="402"/>
        <v>0</v>
      </c>
      <c r="P623" s="17">
        <f t="shared" si="402"/>
        <v>0</v>
      </c>
      <c r="Q623" s="17">
        <f t="shared" si="402"/>
        <v>0</v>
      </c>
      <c r="R623" s="26">
        <f t="shared" si="394"/>
        <v>0</v>
      </c>
      <c r="S623" s="17">
        <f t="shared" si="403"/>
        <v>0</v>
      </c>
      <c r="T623" s="17">
        <f t="shared" si="403"/>
        <v>0</v>
      </c>
      <c r="U623" s="17">
        <f t="shared" si="403"/>
        <v>0</v>
      </c>
      <c r="V623" s="26">
        <f t="shared" si="403"/>
        <v>0</v>
      </c>
      <c r="W623" s="17">
        <f t="shared" si="403"/>
        <v>0</v>
      </c>
      <c r="X623" s="17">
        <f t="shared" si="403"/>
        <v>0</v>
      </c>
      <c r="Y623" s="17">
        <f t="shared" si="403"/>
        <v>0</v>
      </c>
      <c r="Z623" s="162" t="b">
        <f t="shared" si="378"/>
        <v>1</v>
      </c>
      <c r="AA623" s="162" t="str">
        <f t="shared" si="379"/>
        <v>PRAZNO</v>
      </c>
      <c r="AC623" s="164"/>
    </row>
    <row r="624" spans="1:29" ht="15.75" hidden="1" x14ac:dyDescent="0.2">
      <c r="B624" s="177"/>
      <c r="C624" s="177"/>
      <c r="D624" s="177"/>
      <c r="E624" s="177">
        <v>3632</v>
      </c>
      <c r="F624" s="176" t="s">
        <v>449</v>
      </c>
      <c r="G624" s="176"/>
      <c r="H624" s="41" t="s">
        <v>227</v>
      </c>
      <c r="I624" s="17"/>
      <c r="J624" s="26">
        <v>1000000</v>
      </c>
      <c r="K624" s="17">
        <v>0</v>
      </c>
      <c r="L624" s="17"/>
      <c r="M624" s="17" t="e">
        <f t="shared" si="391"/>
        <v>#DIV/0!</v>
      </c>
      <c r="N624" s="17">
        <f t="shared" si="392"/>
        <v>0</v>
      </c>
      <c r="O624" s="17"/>
      <c r="P624" s="17"/>
      <c r="Q624" s="17"/>
      <c r="R624" s="26">
        <f t="shared" si="394"/>
        <v>0</v>
      </c>
      <c r="S624" s="17"/>
      <c r="T624" s="17"/>
      <c r="U624" s="17"/>
      <c r="V624" s="26"/>
      <c r="W624" s="17"/>
      <c r="X624" s="17"/>
      <c r="Y624" s="17"/>
      <c r="Z624" s="162" t="b">
        <f t="shared" si="378"/>
        <v>0</v>
      </c>
      <c r="AA624" s="162" t="str">
        <f t="shared" si="379"/>
        <v>PUNO</v>
      </c>
      <c r="AC624" s="164"/>
    </row>
    <row r="625" spans="1:29" s="171" customFormat="1" ht="25.5" customHeight="1" x14ac:dyDescent="0.2">
      <c r="A625" s="259"/>
      <c r="B625" s="168"/>
      <c r="C625" s="168"/>
      <c r="D625" s="168"/>
      <c r="E625" s="168"/>
      <c r="F625" s="168"/>
      <c r="G625" s="168"/>
      <c r="H625" s="13" t="s">
        <v>615</v>
      </c>
      <c r="I625" s="169"/>
      <c r="J625" s="205">
        <f>J627</f>
        <v>0</v>
      </c>
      <c r="K625" s="169"/>
      <c r="L625" s="169"/>
      <c r="M625" s="169"/>
      <c r="N625" s="169"/>
      <c r="O625" s="205">
        <f>O627</f>
        <v>0</v>
      </c>
      <c r="P625" s="303">
        <f>P627</f>
        <v>770000</v>
      </c>
      <c r="Q625" s="303">
        <f>Q627</f>
        <v>0</v>
      </c>
      <c r="R625" s="303">
        <f t="shared" si="394"/>
        <v>0</v>
      </c>
      <c r="S625" s="205">
        <f t="shared" ref="S625:Y625" si="404">S627</f>
        <v>770000</v>
      </c>
      <c r="T625" s="205">
        <f t="shared" si="404"/>
        <v>1800000</v>
      </c>
      <c r="U625" s="205">
        <f t="shared" si="404"/>
        <v>0</v>
      </c>
      <c r="V625" s="303">
        <f t="shared" si="404"/>
        <v>770000</v>
      </c>
      <c r="W625" s="303">
        <f t="shared" si="404"/>
        <v>1500000</v>
      </c>
      <c r="X625" s="303">
        <f t="shared" si="404"/>
        <v>1000000</v>
      </c>
      <c r="Y625" s="303">
        <f t="shared" si="404"/>
        <v>1200000</v>
      </c>
      <c r="Z625" s="162" t="b">
        <f t="shared" si="378"/>
        <v>1</v>
      </c>
      <c r="AA625" s="162" t="str">
        <f t="shared" si="379"/>
        <v>PRAZNO</v>
      </c>
      <c r="AB625" s="170"/>
    </row>
    <row r="626" spans="1:29" s="264" customFormat="1" ht="15.75" x14ac:dyDescent="0.2">
      <c r="A626" s="259"/>
      <c r="B626" s="260"/>
      <c r="C626" s="260"/>
      <c r="D626" s="260"/>
      <c r="E626" s="260"/>
      <c r="F626" s="260"/>
      <c r="G626" s="260"/>
      <c r="H626" s="440" t="s">
        <v>824</v>
      </c>
      <c r="I626" s="181"/>
      <c r="J626" s="307"/>
      <c r="K626" s="181"/>
      <c r="L626" s="181"/>
      <c r="M626" s="181"/>
      <c r="N626" s="181"/>
      <c r="O626" s="307"/>
      <c r="P626" s="445"/>
      <c r="Q626" s="445"/>
      <c r="R626" s="445"/>
      <c r="S626" s="307"/>
      <c r="T626" s="307"/>
      <c r="U626" s="307"/>
      <c r="V626" s="445"/>
      <c r="W626" s="445">
        <f t="shared" ref="W626:Y629" si="405">W627</f>
        <v>1500000</v>
      </c>
      <c r="X626" s="445">
        <f t="shared" si="405"/>
        <v>1000000</v>
      </c>
      <c r="Y626" s="445">
        <f t="shared" si="405"/>
        <v>1200000</v>
      </c>
      <c r="Z626" s="162" t="b">
        <f t="shared" si="378"/>
        <v>1</v>
      </c>
      <c r="AA626" s="162" t="str">
        <f t="shared" si="379"/>
        <v>PRAZNO</v>
      </c>
      <c r="AB626" s="263"/>
    </row>
    <row r="627" spans="1:29" s="174" customFormat="1" ht="15.75" x14ac:dyDescent="0.2">
      <c r="A627" s="259"/>
      <c r="B627" s="172">
        <v>4</v>
      </c>
      <c r="C627" s="172"/>
      <c r="D627" s="172"/>
      <c r="E627" s="172"/>
      <c r="F627" s="172"/>
      <c r="G627" s="172"/>
      <c r="H627" s="14" t="s">
        <v>552</v>
      </c>
      <c r="I627" s="20"/>
      <c r="J627" s="55">
        <f>J628</f>
        <v>0</v>
      </c>
      <c r="K627" s="20"/>
      <c r="L627" s="20"/>
      <c r="M627" s="20"/>
      <c r="N627" s="20"/>
      <c r="O627" s="55">
        <f t="shared" ref="O627:Q629" si="406">O628</f>
        <v>0</v>
      </c>
      <c r="P627" s="55">
        <f t="shared" si="406"/>
        <v>770000</v>
      </c>
      <c r="Q627" s="55">
        <f t="shared" si="406"/>
        <v>0</v>
      </c>
      <c r="R627" s="55">
        <f>V627-P627</f>
        <v>0</v>
      </c>
      <c r="S627" s="55">
        <f t="shared" ref="S627:V629" si="407">S628</f>
        <v>770000</v>
      </c>
      <c r="T627" s="55">
        <f t="shared" si="407"/>
        <v>1800000</v>
      </c>
      <c r="U627" s="55">
        <f t="shared" si="407"/>
        <v>0</v>
      </c>
      <c r="V627" s="55">
        <f t="shared" si="407"/>
        <v>770000</v>
      </c>
      <c r="W627" s="55">
        <f t="shared" si="405"/>
        <v>1500000</v>
      </c>
      <c r="X627" s="55">
        <f t="shared" si="405"/>
        <v>1000000</v>
      </c>
      <c r="Y627" s="55">
        <f t="shared" si="405"/>
        <v>1200000</v>
      </c>
      <c r="Z627" s="162" t="b">
        <f t="shared" si="378"/>
        <v>1</v>
      </c>
      <c r="AA627" s="162" t="str">
        <f t="shared" si="379"/>
        <v>PRAZNO</v>
      </c>
      <c r="AB627" s="173"/>
    </row>
    <row r="628" spans="1:29" ht="15.75" x14ac:dyDescent="0.2">
      <c r="B628" s="177"/>
      <c r="C628" s="177">
        <v>42</v>
      </c>
      <c r="D628" s="177"/>
      <c r="E628" s="177"/>
      <c r="F628" s="177"/>
      <c r="G628" s="177"/>
      <c r="H628" s="41" t="s">
        <v>212</v>
      </c>
      <c r="I628" s="17"/>
      <c r="J628" s="26">
        <f>J629</f>
        <v>0</v>
      </c>
      <c r="K628" s="17"/>
      <c r="L628" s="17"/>
      <c r="M628" s="17"/>
      <c r="N628" s="17"/>
      <c r="O628" s="26">
        <f t="shared" si="406"/>
        <v>0</v>
      </c>
      <c r="P628" s="26">
        <f t="shared" si="406"/>
        <v>770000</v>
      </c>
      <c r="Q628" s="26">
        <f t="shared" si="406"/>
        <v>0</v>
      </c>
      <c r="R628" s="26">
        <f>V628-P628</f>
        <v>0</v>
      </c>
      <c r="S628" s="26">
        <f t="shared" si="407"/>
        <v>770000</v>
      </c>
      <c r="T628" s="26">
        <f t="shared" si="407"/>
        <v>1800000</v>
      </c>
      <c r="U628" s="26">
        <f t="shared" si="407"/>
        <v>0</v>
      </c>
      <c r="V628" s="26">
        <f t="shared" si="407"/>
        <v>770000</v>
      </c>
      <c r="W628" s="26">
        <f t="shared" si="405"/>
        <v>1500000</v>
      </c>
      <c r="X628" s="26">
        <f t="shared" si="405"/>
        <v>1000000</v>
      </c>
      <c r="Y628" s="26">
        <f t="shared" si="405"/>
        <v>1200000</v>
      </c>
      <c r="Z628" s="162" t="b">
        <f t="shared" si="378"/>
        <v>1</v>
      </c>
      <c r="AA628" s="162" t="str">
        <f t="shared" si="379"/>
        <v>PRAZNO</v>
      </c>
      <c r="AC628" s="164"/>
    </row>
    <row r="629" spans="1:29" ht="15.75" x14ac:dyDescent="0.2">
      <c r="B629" s="177"/>
      <c r="C629" s="177"/>
      <c r="D629" s="177">
        <v>421</v>
      </c>
      <c r="E629" s="177"/>
      <c r="F629" s="177"/>
      <c r="G629" s="177"/>
      <c r="H629" s="41" t="s">
        <v>759</v>
      </c>
      <c r="I629" s="17"/>
      <c r="J629" s="26">
        <f>J630</f>
        <v>0</v>
      </c>
      <c r="K629" s="17"/>
      <c r="L629" s="17"/>
      <c r="M629" s="17"/>
      <c r="N629" s="17"/>
      <c r="O629" s="26">
        <f t="shared" si="406"/>
        <v>0</v>
      </c>
      <c r="P629" s="26">
        <f t="shared" si="406"/>
        <v>770000</v>
      </c>
      <c r="Q629" s="26">
        <f t="shared" si="406"/>
        <v>0</v>
      </c>
      <c r="R629" s="26">
        <f>V629-P629</f>
        <v>0</v>
      </c>
      <c r="S629" s="26">
        <f t="shared" si="407"/>
        <v>770000</v>
      </c>
      <c r="T629" s="26">
        <f t="shared" si="407"/>
        <v>1800000</v>
      </c>
      <c r="U629" s="26">
        <f t="shared" si="407"/>
        <v>0</v>
      </c>
      <c r="V629" s="26">
        <f t="shared" si="407"/>
        <v>770000</v>
      </c>
      <c r="W629" s="26">
        <f t="shared" si="405"/>
        <v>1500000</v>
      </c>
      <c r="X629" s="26">
        <f t="shared" si="405"/>
        <v>1000000</v>
      </c>
      <c r="Y629" s="26">
        <f t="shared" si="405"/>
        <v>1200000</v>
      </c>
      <c r="Z629" s="162" t="b">
        <f t="shared" si="378"/>
        <v>1</v>
      </c>
      <c r="AA629" s="162" t="str">
        <f t="shared" si="379"/>
        <v>PRAZNO</v>
      </c>
      <c r="AC629" s="164"/>
    </row>
    <row r="630" spans="1:29" ht="15.75" x14ac:dyDescent="0.2">
      <c r="B630" s="177"/>
      <c r="C630" s="177"/>
      <c r="D630" s="177"/>
      <c r="E630" s="177">
        <v>4212</v>
      </c>
      <c r="F630" s="176">
        <v>14</v>
      </c>
      <c r="G630" s="176"/>
      <c r="H630" s="41" t="s">
        <v>649</v>
      </c>
      <c r="I630" s="17"/>
      <c r="J630" s="26">
        <v>0</v>
      </c>
      <c r="K630" s="17"/>
      <c r="L630" s="17"/>
      <c r="M630" s="17"/>
      <c r="N630" s="17"/>
      <c r="O630" s="17"/>
      <c r="P630" s="17">
        <v>770000</v>
      </c>
      <c r="Q630" s="17">
        <v>0</v>
      </c>
      <c r="R630" s="26">
        <f>V630-P630</f>
        <v>0</v>
      </c>
      <c r="S630" s="17">
        <v>770000</v>
      </c>
      <c r="T630" s="17">
        <v>1800000</v>
      </c>
      <c r="U630" s="17">
        <v>0</v>
      </c>
      <c r="V630" s="26">
        <v>770000</v>
      </c>
      <c r="W630" s="17">
        <v>1500000</v>
      </c>
      <c r="X630" s="17">
        <v>1000000</v>
      </c>
      <c r="Y630" s="17">
        <v>1200000</v>
      </c>
      <c r="Z630" s="162" t="b">
        <f t="shared" si="378"/>
        <v>0</v>
      </c>
      <c r="AA630" s="162" t="str">
        <f t="shared" si="379"/>
        <v>PUNO</v>
      </c>
      <c r="AC630" s="164"/>
    </row>
    <row r="631" spans="1:29" s="171" customFormat="1" ht="31.5" x14ac:dyDescent="0.2">
      <c r="A631" s="259"/>
      <c r="B631" s="168"/>
      <c r="C631" s="168"/>
      <c r="D631" s="168"/>
      <c r="E631" s="168"/>
      <c r="F631" s="168"/>
      <c r="G631" s="168"/>
      <c r="H631" s="13" t="s">
        <v>616</v>
      </c>
      <c r="I631" s="169"/>
      <c r="J631" s="303">
        <f>J633</f>
        <v>0</v>
      </c>
      <c r="K631" s="302"/>
      <c r="L631" s="302"/>
      <c r="M631" s="302"/>
      <c r="N631" s="302"/>
      <c r="O631" s="303">
        <f>O633</f>
        <v>0</v>
      </c>
      <c r="P631" s="303">
        <f>P633</f>
        <v>1900000</v>
      </c>
      <c r="Q631" s="303">
        <f>Q633</f>
        <v>0</v>
      </c>
      <c r="R631" s="303">
        <f>V631-P631</f>
        <v>0</v>
      </c>
      <c r="S631" s="205">
        <f>S633</f>
        <v>1900000</v>
      </c>
      <c r="T631" s="205">
        <f>T633</f>
        <v>1450000</v>
      </c>
      <c r="U631" s="205">
        <f>U633</f>
        <v>500000</v>
      </c>
      <c r="V631" s="303">
        <f>V633</f>
        <v>1900000</v>
      </c>
      <c r="W631" s="303">
        <f>W633+W638</f>
        <v>3850000</v>
      </c>
      <c r="X631" s="303">
        <f>X633+X638</f>
        <v>970000</v>
      </c>
      <c r="Y631" s="303">
        <f>Y633+Y638</f>
        <v>0</v>
      </c>
      <c r="Z631" s="162" t="b">
        <f t="shared" si="378"/>
        <v>1</v>
      </c>
      <c r="AA631" s="162" t="str">
        <f t="shared" si="379"/>
        <v>PRAZNO</v>
      </c>
      <c r="AB631" s="170"/>
    </row>
    <row r="632" spans="1:29" s="264" customFormat="1" ht="15.75" x14ac:dyDescent="0.2">
      <c r="A632" s="259"/>
      <c r="B632" s="260"/>
      <c r="C632" s="260"/>
      <c r="D632" s="260"/>
      <c r="E632" s="260"/>
      <c r="F632" s="260"/>
      <c r="G632" s="260"/>
      <c r="H632" s="440" t="s">
        <v>824</v>
      </c>
      <c r="I632" s="181"/>
      <c r="J632" s="445"/>
      <c r="K632" s="406"/>
      <c r="L632" s="406"/>
      <c r="M632" s="406"/>
      <c r="N632" s="406"/>
      <c r="O632" s="445"/>
      <c r="P632" s="445"/>
      <c r="Q632" s="445"/>
      <c r="R632" s="445"/>
      <c r="S632" s="307"/>
      <c r="T632" s="307"/>
      <c r="U632" s="307"/>
      <c r="V632" s="445"/>
      <c r="W632" s="445">
        <f t="shared" ref="W632:Y635" si="408">W633</f>
        <v>3050000</v>
      </c>
      <c r="X632" s="445">
        <f t="shared" si="408"/>
        <v>670000</v>
      </c>
      <c r="Y632" s="445">
        <f t="shared" si="408"/>
        <v>0</v>
      </c>
      <c r="Z632" s="162" t="b">
        <f t="shared" si="378"/>
        <v>1</v>
      </c>
      <c r="AA632" s="162" t="str">
        <f t="shared" si="379"/>
        <v>PRAZNO</v>
      </c>
      <c r="AB632" s="263"/>
    </row>
    <row r="633" spans="1:29" s="174" customFormat="1" ht="15.75" x14ac:dyDescent="0.2">
      <c r="A633" s="259"/>
      <c r="B633" s="172">
        <v>4</v>
      </c>
      <c r="C633" s="172"/>
      <c r="D633" s="172"/>
      <c r="E633" s="172"/>
      <c r="F633" s="172"/>
      <c r="G633" s="172"/>
      <c r="H633" s="14" t="s">
        <v>552</v>
      </c>
      <c r="I633" s="20"/>
      <c r="J633" s="55">
        <f>J634</f>
        <v>0</v>
      </c>
      <c r="K633" s="20"/>
      <c r="L633" s="20"/>
      <c r="M633" s="20"/>
      <c r="N633" s="20"/>
      <c r="O633" s="55">
        <f t="shared" ref="O633:Q635" si="409">O634</f>
        <v>0</v>
      </c>
      <c r="P633" s="55">
        <f t="shared" si="409"/>
        <v>1900000</v>
      </c>
      <c r="Q633" s="55">
        <f t="shared" si="409"/>
        <v>0</v>
      </c>
      <c r="R633" s="55">
        <f>V633-P633</f>
        <v>0</v>
      </c>
      <c r="S633" s="55">
        <f t="shared" ref="S633:V634" si="410">S634</f>
        <v>1900000</v>
      </c>
      <c r="T633" s="55">
        <f t="shared" si="410"/>
        <v>1450000</v>
      </c>
      <c r="U633" s="55">
        <f t="shared" si="410"/>
        <v>500000</v>
      </c>
      <c r="V633" s="55">
        <f t="shared" si="410"/>
        <v>1900000</v>
      </c>
      <c r="W633" s="55">
        <f t="shared" si="408"/>
        <v>3050000</v>
      </c>
      <c r="X633" s="55">
        <f t="shared" si="408"/>
        <v>670000</v>
      </c>
      <c r="Y633" s="55">
        <f t="shared" si="408"/>
        <v>0</v>
      </c>
      <c r="Z633" s="162" t="b">
        <f t="shared" si="378"/>
        <v>1</v>
      </c>
      <c r="AA633" s="162" t="str">
        <f t="shared" si="379"/>
        <v>PRAZNO</v>
      </c>
      <c r="AB633" s="173"/>
    </row>
    <row r="634" spans="1:29" ht="15.75" x14ac:dyDescent="0.2">
      <c r="B634" s="177"/>
      <c r="C634" s="177">
        <v>42</v>
      </c>
      <c r="D634" s="177"/>
      <c r="E634" s="177"/>
      <c r="F634" s="177"/>
      <c r="G634" s="177"/>
      <c r="H634" s="41" t="s">
        <v>212</v>
      </c>
      <c r="I634" s="17"/>
      <c r="J634" s="26">
        <f>J635</f>
        <v>0</v>
      </c>
      <c r="K634" s="17"/>
      <c r="L634" s="17"/>
      <c r="M634" s="17"/>
      <c r="N634" s="17"/>
      <c r="O634" s="26">
        <f t="shared" si="409"/>
        <v>0</v>
      </c>
      <c r="P634" s="26">
        <f t="shared" si="409"/>
        <v>1900000</v>
      </c>
      <c r="Q634" s="26">
        <f t="shared" si="409"/>
        <v>0</v>
      </c>
      <c r="R634" s="26">
        <f>V634-P634</f>
        <v>0</v>
      </c>
      <c r="S634" s="26">
        <f t="shared" si="410"/>
        <v>1900000</v>
      </c>
      <c r="T634" s="26">
        <f t="shared" si="410"/>
        <v>1450000</v>
      </c>
      <c r="U634" s="26">
        <f t="shared" si="410"/>
        <v>500000</v>
      </c>
      <c r="V634" s="26">
        <f t="shared" si="410"/>
        <v>1900000</v>
      </c>
      <c r="W634" s="26">
        <f t="shared" si="408"/>
        <v>3050000</v>
      </c>
      <c r="X634" s="26">
        <f t="shared" si="408"/>
        <v>670000</v>
      </c>
      <c r="Y634" s="26">
        <f t="shared" si="408"/>
        <v>0</v>
      </c>
      <c r="Z634" s="162" t="b">
        <f t="shared" si="378"/>
        <v>1</v>
      </c>
      <c r="AA634" s="162" t="str">
        <f t="shared" si="379"/>
        <v>PRAZNO</v>
      </c>
      <c r="AC634" s="164"/>
    </row>
    <row r="635" spans="1:29" ht="15.75" x14ac:dyDescent="0.2">
      <c r="B635" s="177"/>
      <c r="C635" s="177"/>
      <c r="D635" s="177">
        <v>421</v>
      </c>
      <c r="E635" s="177"/>
      <c r="F635" s="177"/>
      <c r="G635" s="177"/>
      <c r="H635" s="41" t="s">
        <v>759</v>
      </c>
      <c r="I635" s="17"/>
      <c r="J635" s="26">
        <f>J636</f>
        <v>0</v>
      </c>
      <c r="K635" s="17"/>
      <c r="L635" s="17"/>
      <c r="M635" s="17"/>
      <c r="N635" s="17"/>
      <c r="O635" s="26">
        <f t="shared" si="409"/>
        <v>0</v>
      </c>
      <c r="P635" s="26">
        <f t="shared" si="409"/>
        <v>1900000</v>
      </c>
      <c r="Q635" s="26">
        <f t="shared" si="409"/>
        <v>0</v>
      </c>
      <c r="R635" s="26">
        <f>V635-P635</f>
        <v>0</v>
      </c>
      <c r="S635" s="26">
        <f>S636</f>
        <v>1900000</v>
      </c>
      <c r="T635" s="26">
        <f>T636</f>
        <v>1450000</v>
      </c>
      <c r="U635" s="26">
        <f>U636</f>
        <v>500000</v>
      </c>
      <c r="V635" s="26">
        <f>V636+V641</f>
        <v>1900000</v>
      </c>
      <c r="W635" s="26">
        <f t="shared" si="408"/>
        <v>3050000</v>
      </c>
      <c r="X635" s="26">
        <f t="shared" si="408"/>
        <v>670000</v>
      </c>
      <c r="Y635" s="26">
        <f t="shared" si="408"/>
        <v>0</v>
      </c>
      <c r="Z635" s="162" t="b">
        <f t="shared" si="378"/>
        <v>1</v>
      </c>
      <c r="AA635" s="162" t="str">
        <f t="shared" si="379"/>
        <v>PRAZNO</v>
      </c>
      <c r="AC635" s="164"/>
    </row>
    <row r="636" spans="1:29" ht="15.75" x14ac:dyDescent="0.2">
      <c r="B636" s="177"/>
      <c r="C636" s="177"/>
      <c r="D636" s="177"/>
      <c r="E636" s="177">
        <v>4212</v>
      </c>
      <c r="F636" s="176">
        <v>14</v>
      </c>
      <c r="G636" s="176"/>
      <c r="H636" s="41" t="s">
        <v>649</v>
      </c>
      <c r="I636" s="17"/>
      <c r="J636" s="26">
        <v>0</v>
      </c>
      <c r="K636" s="17"/>
      <c r="L636" s="17"/>
      <c r="M636" s="17"/>
      <c r="N636" s="17"/>
      <c r="O636" s="17"/>
      <c r="P636" s="17">
        <v>1900000</v>
      </c>
      <c r="Q636" s="17">
        <v>0</v>
      </c>
      <c r="R636" s="26">
        <f>V636-P636</f>
        <v>-500000</v>
      </c>
      <c r="S636" s="17">
        <v>1900000</v>
      </c>
      <c r="T636" s="17">
        <f>1950000-500000</f>
        <v>1450000</v>
      </c>
      <c r="U636" s="17">
        <v>500000</v>
      </c>
      <c r="V636" s="26">
        <v>1400000</v>
      </c>
      <c r="W636" s="17">
        <f>3850000-800000</f>
        <v>3050000</v>
      </c>
      <c r="X636" s="17">
        <v>670000</v>
      </c>
      <c r="Y636" s="17">
        <v>0</v>
      </c>
      <c r="Z636" s="162" t="b">
        <f t="shared" si="378"/>
        <v>0</v>
      </c>
      <c r="AA636" s="162" t="str">
        <f t="shared" si="379"/>
        <v>PUNO</v>
      </c>
      <c r="AC636" s="164"/>
    </row>
    <row r="637" spans="1:29" s="453" customFormat="1" ht="15.75" x14ac:dyDescent="0.25">
      <c r="A637" s="378"/>
      <c r="B637" s="260"/>
      <c r="C637" s="260"/>
      <c r="D637" s="260"/>
      <c r="E637" s="260"/>
      <c r="F637" s="448"/>
      <c r="G637" s="448"/>
      <c r="H637" s="489" t="s">
        <v>825</v>
      </c>
      <c r="I637" s="201"/>
      <c r="J637" s="202"/>
      <c r="K637" s="201"/>
      <c r="L637" s="201"/>
      <c r="M637" s="201"/>
      <c r="N637" s="201"/>
      <c r="O637" s="201"/>
      <c r="P637" s="201"/>
      <c r="Q637" s="201"/>
      <c r="R637" s="202"/>
      <c r="S637" s="201"/>
      <c r="T637" s="201"/>
      <c r="U637" s="201"/>
      <c r="V637" s="202"/>
      <c r="W637" s="201">
        <f t="shared" ref="W637:Y640" si="411">W638</f>
        <v>800000</v>
      </c>
      <c r="X637" s="201">
        <f t="shared" si="411"/>
        <v>300000</v>
      </c>
      <c r="Y637" s="201">
        <f t="shared" si="411"/>
        <v>0</v>
      </c>
      <c r="Z637" s="162" t="b">
        <f t="shared" si="378"/>
        <v>1</v>
      </c>
      <c r="AA637" s="162" t="str">
        <f t="shared" si="379"/>
        <v>PRAZNO</v>
      </c>
      <c r="AB637" s="452"/>
      <c r="AC637" s="287"/>
    </row>
    <row r="638" spans="1:29" s="174" customFormat="1" ht="15.75" x14ac:dyDescent="0.2">
      <c r="A638" s="259"/>
      <c r="B638" s="172">
        <v>4</v>
      </c>
      <c r="C638" s="172"/>
      <c r="D638" s="172"/>
      <c r="E638" s="172"/>
      <c r="F638" s="220"/>
      <c r="G638" s="220"/>
      <c r="H638" s="490" t="s">
        <v>552</v>
      </c>
      <c r="I638" s="20"/>
      <c r="J638" s="55"/>
      <c r="K638" s="20"/>
      <c r="L638" s="20"/>
      <c r="M638" s="20"/>
      <c r="N638" s="20"/>
      <c r="O638" s="20"/>
      <c r="P638" s="20"/>
      <c r="Q638" s="20"/>
      <c r="R638" s="55"/>
      <c r="S638" s="20"/>
      <c r="T638" s="20"/>
      <c r="U638" s="20"/>
      <c r="V638" s="55"/>
      <c r="W638" s="20">
        <f t="shared" si="411"/>
        <v>800000</v>
      </c>
      <c r="X638" s="20">
        <f t="shared" si="411"/>
        <v>300000</v>
      </c>
      <c r="Y638" s="20">
        <f t="shared" si="411"/>
        <v>0</v>
      </c>
      <c r="Z638" s="162" t="b">
        <f t="shared" si="378"/>
        <v>1</v>
      </c>
      <c r="AA638" s="162" t="str">
        <f t="shared" si="379"/>
        <v>PRAZNO</v>
      </c>
      <c r="AB638" s="173"/>
    </row>
    <row r="639" spans="1:29" ht="15.75" x14ac:dyDescent="0.2">
      <c r="B639" s="177"/>
      <c r="C639" s="177">
        <v>42</v>
      </c>
      <c r="D639" s="177"/>
      <c r="E639" s="177"/>
      <c r="F639" s="176"/>
      <c r="G639" s="176"/>
      <c r="H639" s="41" t="s">
        <v>212</v>
      </c>
      <c r="I639" s="17"/>
      <c r="J639" s="26"/>
      <c r="K639" s="17"/>
      <c r="L639" s="17"/>
      <c r="M639" s="17"/>
      <c r="N639" s="17"/>
      <c r="O639" s="17"/>
      <c r="P639" s="17"/>
      <c r="Q639" s="17"/>
      <c r="R639" s="26"/>
      <c r="S639" s="17"/>
      <c r="T639" s="17"/>
      <c r="U639" s="17"/>
      <c r="V639" s="26"/>
      <c r="W639" s="17">
        <f t="shared" si="411"/>
        <v>800000</v>
      </c>
      <c r="X639" s="17">
        <f t="shared" si="411"/>
        <v>300000</v>
      </c>
      <c r="Y639" s="17">
        <f t="shared" si="411"/>
        <v>0</v>
      </c>
      <c r="Z639" s="162" t="b">
        <f t="shared" si="378"/>
        <v>1</v>
      </c>
      <c r="AA639" s="162" t="str">
        <f t="shared" si="379"/>
        <v>PRAZNO</v>
      </c>
      <c r="AC639" s="164"/>
    </row>
    <row r="640" spans="1:29" ht="15.75" x14ac:dyDescent="0.2">
      <c r="B640" s="177"/>
      <c r="C640" s="177"/>
      <c r="D640" s="177">
        <v>421</v>
      </c>
      <c r="E640" s="177"/>
      <c r="F640" s="176"/>
      <c r="G640" s="176"/>
      <c r="H640" s="41" t="s">
        <v>759</v>
      </c>
      <c r="I640" s="17"/>
      <c r="J640" s="26"/>
      <c r="K640" s="17"/>
      <c r="L640" s="17"/>
      <c r="M640" s="17"/>
      <c r="N640" s="17"/>
      <c r="O640" s="17"/>
      <c r="P640" s="17"/>
      <c r="Q640" s="17"/>
      <c r="R640" s="26"/>
      <c r="S640" s="17"/>
      <c r="T640" s="17"/>
      <c r="U640" s="17"/>
      <c r="V640" s="26"/>
      <c r="W640" s="17">
        <f t="shared" si="411"/>
        <v>800000</v>
      </c>
      <c r="X640" s="17">
        <f t="shared" si="411"/>
        <v>300000</v>
      </c>
      <c r="Y640" s="17">
        <f t="shared" si="411"/>
        <v>0</v>
      </c>
      <c r="Z640" s="162" t="b">
        <f t="shared" si="378"/>
        <v>1</v>
      </c>
      <c r="AA640" s="162" t="str">
        <f t="shared" si="379"/>
        <v>PRAZNO</v>
      </c>
      <c r="AC640" s="164"/>
    </row>
    <row r="641" spans="1:29" ht="15.75" x14ac:dyDescent="0.2">
      <c r="B641" s="177"/>
      <c r="C641" s="177"/>
      <c r="D641" s="177"/>
      <c r="E641" s="177">
        <v>4212</v>
      </c>
      <c r="F641" s="325">
        <v>55</v>
      </c>
      <c r="G641" s="176"/>
      <c r="H641" s="41" t="s">
        <v>649</v>
      </c>
      <c r="I641" s="17"/>
      <c r="J641" s="26"/>
      <c r="K641" s="17"/>
      <c r="L641" s="17"/>
      <c r="M641" s="17"/>
      <c r="N641" s="17"/>
      <c r="O641" s="17"/>
      <c r="P641" s="17">
        <v>0</v>
      </c>
      <c r="Q641" s="17">
        <v>0</v>
      </c>
      <c r="R641" s="26">
        <f>V641-P641</f>
        <v>500000</v>
      </c>
      <c r="S641" s="17"/>
      <c r="T641" s="17"/>
      <c r="U641" s="17"/>
      <c r="V641" s="26">
        <v>500000</v>
      </c>
      <c r="W641" s="17">
        <v>800000</v>
      </c>
      <c r="X641" s="17">
        <v>300000</v>
      </c>
      <c r="Y641" s="17">
        <v>0</v>
      </c>
      <c r="Z641" s="162" t="b">
        <f t="shared" si="378"/>
        <v>0</v>
      </c>
      <c r="AA641" s="162" t="str">
        <f t="shared" si="379"/>
        <v>PUNO</v>
      </c>
      <c r="AC641" s="164"/>
    </row>
    <row r="642" spans="1:29" s="171" customFormat="1" ht="31.5" x14ac:dyDescent="0.2">
      <c r="A642" s="259"/>
      <c r="B642" s="209"/>
      <c r="C642" s="209"/>
      <c r="D642" s="209"/>
      <c r="E642" s="209"/>
      <c r="F642" s="219"/>
      <c r="G642" s="219"/>
      <c r="H642" s="244" t="s">
        <v>617</v>
      </c>
      <c r="I642" s="169"/>
      <c r="J642" s="303">
        <f>J644</f>
        <v>0</v>
      </c>
      <c r="K642" s="302"/>
      <c r="L642" s="302"/>
      <c r="M642" s="302"/>
      <c r="N642" s="302"/>
      <c r="O642" s="302">
        <f>O644</f>
        <v>0</v>
      </c>
      <c r="P642" s="302">
        <f>P644</f>
        <v>2300000</v>
      </c>
      <c r="Q642" s="302">
        <f>Q644</f>
        <v>101285.4</v>
      </c>
      <c r="R642" s="303">
        <f>V642-P642</f>
        <v>-1781500</v>
      </c>
      <c r="S642" s="169" t="e">
        <f t="shared" ref="S642:Y642" si="412">S644</f>
        <v>#REF!</v>
      </c>
      <c r="T642" s="169" t="e">
        <f t="shared" si="412"/>
        <v>#REF!</v>
      </c>
      <c r="U642" s="169" t="e">
        <f t="shared" si="412"/>
        <v>#REF!</v>
      </c>
      <c r="V642" s="303">
        <f t="shared" si="412"/>
        <v>518500</v>
      </c>
      <c r="W642" s="302">
        <f t="shared" si="412"/>
        <v>2000000</v>
      </c>
      <c r="X642" s="302">
        <f t="shared" si="412"/>
        <v>1600000</v>
      </c>
      <c r="Y642" s="302">
        <f t="shared" si="412"/>
        <v>2300000</v>
      </c>
      <c r="Z642" s="162" t="b">
        <f t="shared" si="378"/>
        <v>1</v>
      </c>
      <c r="AA642" s="162" t="str">
        <f t="shared" si="379"/>
        <v>PRAZNO</v>
      </c>
      <c r="AB642" s="170"/>
    </row>
    <row r="643" spans="1:29" s="264" customFormat="1" ht="15.75" x14ac:dyDescent="0.2">
      <c r="A643" s="259"/>
      <c r="B643" s="177"/>
      <c r="C643" s="177"/>
      <c r="D643" s="177"/>
      <c r="E643" s="177"/>
      <c r="F643" s="265"/>
      <c r="G643" s="265"/>
      <c r="H643" s="477" t="s">
        <v>824</v>
      </c>
      <c r="I643" s="181"/>
      <c r="J643" s="445"/>
      <c r="K643" s="406"/>
      <c r="L643" s="406"/>
      <c r="M643" s="406"/>
      <c r="N643" s="406"/>
      <c r="O643" s="406"/>
      <c r="P643" s="406"/>
      <c r="Q643" s="406"/>
      <c r="R643" s="445"/>
      <c r="S643" s="181"/>
      <c r="T643" s="181"/>
      <c r="U643" s="181"/>
      <c r="V643" s="445"/>
      <c r="W643" s="406">
        <f t="shared" ref="W643:Y646" si="413">W644</f>
        <v>2000000</v>
      </c>
      <c r="X643" s="406">
        <f t="shared" si="413"/>
        <v>1600000</v>
      </c>
      <c r="Y643" s="406">
        <f t="shared" si="413"/>
        <v>2300000</v>
      </c>
      <c r="Z643" s="162" t="b">
        <f t="shared" si="378"/>
        <v>1</v>
      </c>
      <c r="AA643" s="162" t="str">
        <f t="shared" si="379"/>
        <v>PRAZNO</v>
      </c>
      <c r="AB643" s="263"/>
    </row>
    <row r="644" spans="1:29" s="174" customFormat="1" ht="15.75" x14ac:dyDescent="0.2">
      <c r="A644" s="259"/>
      <c r="B644" s="172">
        <v>4</v>
      </c>
      <c r="C644" s="172"/>
      <c r="D644" s="172"/>
      <c r="E644" s="172"/>
      <c r="F644" s="220"/>
      <c r="G644" s="220"/>
      <c r="H644" s="14" t="s">
        <v>552</v>
      </c>
      <c r="I644" s="20"/>
      <c r="J644" s="55">
        <f>J645</f>
        <v>0</v>
      </c>
      <c r="K644" s="20"/>
      <c r="L644" s="20"/>
      <c r="M644" s="20"/>
      <c r="N644" s="20"/>
      <c r="O644" s="20">
        <f t="shared" ref="O644:Q646" si="414">O645</f>
        <v>0</v>
      </c>
      <c r="P644" s="20">
        <f t="shared" si="414"/>
        <v>2300000</v>
      </c>
      <c r="Q644" s="20">
        <f t="shared" si="414"/>
        <v>101285.4</v>
      </c>
      <c r="R644" s="55">
        <f t="shared" ref="R644:R663" si="415">V644-P644</f>
        <v>-1781500</v>
      </c>
      <c r="S644" s="20" t="e">
        <f t="shared" ref="S644:V645" si="416">S645</f>
        <v>#REF!</v>
      </c>
      <c r="T644" s="20" t="e">
        <f t="shared" si="416"/>
        <v>#REF!</v>
      </c>
      <c r="U644" s="20" t="e">
        <f t="shared" si="416"/>
        <v>#REF!</v>
      </c>
      <c r="V644" s="55">
        <f t="shared" si="416"/>
        <v>518500</v>
      </c>
      <c r="W644" s="20">
        <f t="shared" si="413"/>
        <v>2000000</v>
      </c>
      <c r="X644" s="20">
        <f t="shared" si="413"/>
        <v>1600000</v>
      </c>
      <c r="Y644" s="20">
        <f t="shared" si="413"/>
        <v>2300000</v>
      </c>
      <c r="Z644" s="162" t="b">
        <f t="shared" si="378"/>
        <v>1</v>
      </c>
      <c r="AA644" s="162" t="str">
        <f t="shared" si="379"/>
        <v>PRAZNO</v>
      </c>
      <c r="AB644" s="173"/>
    </row>
    <row r="645" spans="1:29" ht="15.75" x14ac:dyDescent="0.2">
      <c r="B645" s="177"/>
      <c r="C645" s="177">
        <v>42</v>
      </c>
      <c r="D645" s="177"/>
      <c r="E645" s="177"/>
      <c r="F645" s="176"/>
      <c r="G645" s="176"/>
      <c r="H645" s="41" t="s">
        <v>212</v>
      </c>
      <c r="I645" s="17"/>
      <c r="J645" s="26">
        <f>J646</f>
        <v>0</v>
      </c>
      <c r="K645" s="17"/>
      <c r="L645" s="17"/>
      <c r="M645" s="17"/>
      <c r="N645" s="17"/>
      <c r="O645" s="17">
        <f t="shared" si="414"/>
        <v>0</v>
      </c>
      <c r="P645" s="17">
        <f t="shared" si="414"/>
        <v>2300000</v>
      </c>
      <c r="Q645" s="17">
        <f t="shared" si="414"/>
        <v>101285.4</v>
      </c>
      <c r="R645" s="26">
        <f t="shared" si="415"/>
        <v>-1781500</v>
      </c>
      <c r="S645" s="17" t="e">
        <f t="shared" si="416"/>
        <v>#REF!</v>
      </c>
      <c r="T645" s="17" t="e">
        <f t="shared" si="416"/>
        <v>#REF!</v>
      </c>
      <c r="U645" s="17" t="e">
        <f t="shared" si="416"/>
        <v>#REF!</v>
      </c>
      <c r="V645" s="26">
        <f t="shared" si="416"/>
        <v>518500</v>
      </c>
      <c r="W645" s="17">
        <f t="shared" si="413"/>
        <v>2000000</v>
      </c>
      <c r="X645" s="17">
        <f t="shared" si="413"/>
        <v>1600000</v>
      </c>
      <c r="Y645" s="17">
        <f t="shared" si="413"/>
        <v>2300000</v>
      </c>
      <c r="Z645" s="162" t="b">
        <f t="shared" si="378"/>
        <v>1</v>
      </c>
      <c r="AA645" s="162" t="str">
        <f t="shared" si="379"/>
        <v>PRAZNO</v>
      </c>
      <c r="AC645" s="164"/>
    </row>
    <row r="646" spans="1:29" ht="15.75" x14ac:dyDescent="0.2">
      <c r="B646" s="177"/>
      <c r="C646" s="177"/>
      <c r="D646" s="177">
        <v>421</v>
      </c>
      <c r="E646" s="177"/>
      <c r="F646" s="176"/>
      <c r="G646" s="176"/>
      <c r="H646" s="41" t="s">
        <v>759</v>
      </c>
      <c r="I646" s="17"/>
      <c r="J646" s="26"/>
      <c r="K646" s="26" t="e">
        <f>#REF!+K663</f>
        <v>#REF!</v>
      </c>
      <c r="L646" s="26" t="e">
        <f>#REF!+L663</f>
        <v>#REF!</v>
      </c>
      <c r="M646" s="26" t="e">
        <f>#REF!+M663</f>
        <v>#REF!</v>
      </c>
      <c r="N646" s="26" t="e">
        <f>#REF!+N663</f>
        <v>#REF!</v>
      </c>
      <c r="O646" s="26">
        <f t="shared" si="414"/>
        <v>0</v>
      </c>
      <c r="P646" s="26">
        <f t="shared" si="414"/>
        <v>2300000</v>
      </c>
      <c r="Q646" s="26">
        <f t="shared" si="414"/>
        <v>101285.4</v>
      </c>
      <c r="R646" s="26">
        <f t="shared" si="415"/>
        <v>-1781500</v>
      </c>
      <c r="S646" s="17" t="e">
        <f>#REF!</f>
        <v>#REF!</v>
      </c>
      <c r="T646" s="17" t="e">
        <f>#REF!</f>
        <v>#REF!</v>
      </c>
      <c r="U646" s="17" t="e">
        <f>#REF!</f>
        <v>#REF!</v>
      </c>
      <c r="V646" s="26">
        <f>V647</f>
        <v>518500</v>
      </c>
      <c r="W646" s="26">
        <f t="shared" si="413"/>
        <v>2000000</v>
      </c>
      <c r="X646" s="26">
        <f t="shared" si="413"/>
        <v>1600000</v>
      </c>
      <c r="Y646" s="26">
        <f t="shared" si="413"/>
        <v>2300000</v>
      </c>
      <c r="Z646" s="162" t="b">
        <f t="shared" si="378"/>
        <v>1</v>
      </c>
      <c r="AA646" s="162" t="str">
        <f t="shared" si="379"/>
        <v>PRAZNO</v>
      </c>
      <c r="AC646" s="164"/>
    </row>
    <row r="647" spans="1:29" ht="15.75" x14ac:dyDescent="0.2">
      <c r="B647" s="177"/>
      <c r="C647" s="177"/>
      <c r="D647" s="177"/>
      <c r="E647" s="177">
        <v>4212</v>
      </c>
      <c r="F647" s="176">
        <v>14</v>
      </c>
      <c r="G647" s="176"/>
      <c r="H647" s="41" t="s">
        <v>649</v>
      </c>
      <c r="I647" s="17"/>
      <c r="J647" s="26"/>
      <c r="K647" s="17"/>
      <c r="L647" s="17"/>
      <c r="M647" s="17"/>
      <c r="N647" s="17"/>
      <c r="O647" s="17">
        <v>0</v>
      </c>
      <c r="P647" s="17">
        <v>2300000</v>
      </c>
      <c r="Q647" s="17">
        <v>101285.4</v>
      </c>
      <c r="R647" s="26">
        <f t="shared" si="415"/>
        <v>-1781500</v>
      </c>
      <c r="S647" s="17"/>
      <c r="T647" s="17"/>
      <c r="U647" s="17"/>
      <c r="V647" s="307">
        <f>452000+66500</f>
        <v>518500</v>
      </c>
      <c r="W647" s="17">
        <v>2000000</v>
      </c>
      <c r="X647" s="17">
        <v>1600000</v>
      </c>
      <c r="Y647" s="17">
        <v>2300000</v>
      </c>
      <c r="Z647" s="162" t="b">
        <f t="shared" si="378"/>
        <v>0</v>
      </c>
      <c r="AA647" s="162" t="str">
        <f t="shared" si="379"/>
        <v>PUNO</v>
      </c>
      <c r="AC647" s="164"/>
    </row>
    <row r="648" spans="1:29" s="171" customFormat="1" ht="31.5" hidden="1" x14ac:dyDescent="0.2">
      <c r="A648" s="259"/>
      <c r="B648" s="168"/>
      <c r="C648" s="168"/>
      <c r="D648" s="168"/>
      <c r="E648" s="168"/>
      <c r="F648" s="168"/>
      <c r="G648" s="219"/>
      <c r="H648" s="13" t="s">
        <v>604</v>
      </c>
      <c r="I648" s="19"/>
      <c r="J648" s="53">
        <f t="shared" ref="J648:L651" si="417">J649</f>
        <v>2500000</v>
      </c>
      <c r="K648" s="169">
        <f t="shared" si="417"/>
        <v>1300000</v>
      </c>
      <c r="L648" s="169">
        <f t="shared" si="417"/>
        <v>1300000</v>
      </c>
      <c r="M648" s="169">
        <f t="shared" ref="M648:M662" si="418">ROUND(L648/K648*100,2)</f>
        <v>100</v>
      </c>
      <c r="N648" s="169">
        <f t="shared" ref="N648:N662" si="419">O648-K648</f>
        <v>0</v>
      </c>
      <c r="O648" s="19">
        <f t="shared" ref="O648:Q651" si="420">O649</f>
        <v>1300000</v>
      </c>
      <c r="P648" s="19">
        <f t="shared" si="420"/>
        <v>0</v>
      </c>
      <c r="Q648" s="19">
        <f t="shared" si="420"/>
        <v>0</v>
      </c>
      <c r="R648" s="26">
        <f t="shared" si="415"/>
        <v>0</v>
      </c>
      <c r="S648" s="19">
        <f t="shared" ref="S648:Y651" si="421">S649</f>
        <v>0</v>
      </c>
      <c r="T648" s="19">
        <f t="shared" si="421"/>
        <v>0</v>
      </c>
      <c r="U648" s="19">
        <f t="shared" si="421"/>
        <v>0</v>
      </c>
      <c r="V648" s="53">
        <f t="shared" si="421"/>
        <v>0</v>
      </c>
      <c r="W648" s="19">
        <f t="shared" si="421"/>
        <v>0</v>
      </c>
      <c r="X648" s="19">
        <f t="shared" si="421"/>
        <v>0</v>
      </c>
      <c r="Y648" s="19">
        <f t="shared" si="421"/>
        <v>0</v>
      </c>
      <c r="Z648" s="162" t="b">
        <f t="shared" si="378"/>
        <v>1</v>
      </c>
      <c r="AA648" s="162" t="str">
        <f t="shared" si="379"/>
        <v>PRAZNO</v>
      </c>
      <c r="AB648" s="170"/>
      <c r="AC648" s="164"/>
    </row>
    <row r="649" spans="1:29" s="174" customFormat="1" ht="15.75" hidden="1" x14ac:dyDescent="0.2">
      <c r="A649" s="259"/>
      <c r="B649" s="172">
        <v>4</v>
      </c>
      <c r="C649" s="172"/>
      <c r="D649" s="172"/>
      <c r="E649" s="172"/>
      <c r="F649" s="172"/>
      <c r="G649" s="172"/>
      <c r="H649" s="14" t="s">
        <v>552</v>
      </c>
      <c r="I649" s="20"/>
      <c r="J649" s="55">
        <f t="shared" si="417"/>
        <v>2500000</v>
      </c>
      <c r="K649" s="20">
        <f t="shared" si="417"/>
        <v>1300000</v>
      </c>
      <c r="L649" s="20">
        <f t="shared" si="417"/>
        <v>1300000</v>
      </c>
      <c r="M649" s="20">
        <f t="shared" si="418"/>
        <v>100</v>
      </c>
      <c r="N649" s="20">
        <f t="shared" si="419"/>
        <v>0</v>
      </c>
      <c r="O649" s="20">
        <f t="shared" si="420"/>
        <v>1300000</v>
      </c>
      <c r="P649" s="20">
        <f t="shared" si="420"/>
        <v>0</v>
      </c>
      <c r="Q649" s="20">
        <f t="shared" si="420"/>
        <v>0</v>
      </c>
      <c r="R649" s="26">
        <f t="shared" si="415"/>
        <v>0</v>
      </c>
      <c r="S649" s="20">
        <f t="shared" si="421"/>
        <v>0</v>
      </c>
      <c r="T649" s="20">
        <f t="shared" si="421"/>
        <v>0</v>
      </c>
      <c r="U649" s="20">
        <f t="shared" si="421"/>
        <v>0</v>
      </c>
      <c r="V649" s="55">
        <f t="shared" si="421"/>
        <v>0</v>
      </c>
      <c r="W649" s="20">
        <f t="shared" si="421"/>
        <v>0</v>
      </c>
      <c r="X649" s="20">
        <f t="shared" si="421"/>
        <v>0</v>
      </c>
      <c r="Y649" s="20">
        <f t="shared" si="421"/>
        <v>0</v>
      </c>
      <c r="Z649" s="162" t="b">
        <f t="shared" si="378"/>
        <v>1</v>
      </c>
      <c r="AA649" s="162" t="str">
        <f t="shared" si="379"/>
        <v>PRAZNO</v>
      </c>
      <c r="AB649" s="173"/>
      <c r="AC649" s="164"/>
    </row>
    <row r="650" spans="1:29" ht="15.75" hidden="1" x14ac:dyDescent="0.2">
      <c r="B650" s="177"/>
      <c r="C650" s="177">
        <v>42</v>
      </c>
      <c r="D650" s="177"/>
      <c r="E650" s="177"/>
      <c r="F650" s="176"/>
      <c r="G650" s="176"/>
      <c r="H650" s="41" t="s">
        <v>212</v>
      </c>
      <c r="I650" s="17"/>
      <c r="J650" s="26">
        <f t="shared" si="417"/>
        <v>2500000</v>
      </c>
      <c r="K650" s="17">
        <f t="shared" si="417"/>
        <v>1300000</v>
      </c>
      <c r="L650" s="17">
        <f t="shared" si="417"/>
        <v>1300000</v>
      </c>
      <c r="M650" s="17">
        <f t="shared" si="418"/>
        <v>100</v>
      </c>
      <c r="N650" s="17">
        <f t="shared" si="419"/>
        <v>0</v>
      </c>
      <c r="O650" s="17">
        <f t="shared" si="420"/>
        <v>1300000</v>
      </c>
      <c r="P650" s="17">
        <f t="shared" si="420"/>
        <v>0</v>
      </c>
      <c r="Q650" s="17">
        <f t="shared" si="420"/>
        <v>0</v>
      </c>
      <c r="R650" s="26">
        <f t="shared" si="415"/>
        <v>0</v>
      </c>
      <c r="S650" s="17">
        <f t="shared" si="421"/>
        <v>0</v>
      </c>
      <c r="T650" s="17">
        <f t="shared" si="421"/>
        <v>0</v>
      </c>
      <c r="U650" s="17">
        <f t="shared" si="421"/>
        <v>0</v>
      </c>
      <c r="V650" s="26">
        <f t="shared" si="421"/>
        <v>0</v>
      </c>
      <c r="W650" s="17">
        <f t="shared" si="421"/>
        <v>0</v>
      </c>
      <c r="X650" s="17">
        <f t="shared" si="421"/>
        <v>0</v>
      </c>
      <c r="Y650" s="17">
        <f t="shared" si="421"/>
        <v>0</v>
      </c>
      <c r="Z650" s="162" t="b">
        <f t="shared" si="378"/>
        <v>1</v>
      </c>
      <c r="AA650" s="162" t="str">
        <f t="shared" si="379"/>
        <v>PRAZNO</v>
      </c>
      <c r="AC650" s="164"/>
    </row>
    <row r="651" spans="1:29" ht="15.75" hidden="1" x14ac:dyDescent="0.2">
      <c r="B651" s="177"/>
      <c r="C651" s="177"/>
      <c r="D651" s="177">
        <v>421</v>
      </c>
      <c r="E651" s="177"/>
      <c r="F651" s="176"/>
      <c r="G651" s="176"/>
      <c r="H651" s="41" t="s">
        <v>759</v>
      </c>
      <c r="I651" s="17"/>
      <c r="J651" s="26">
        <f t="shared" si="417"/>
        <v>2500000</v>
      </c>
      <c r="K651" s="17">
        <f t="shared" si="417"/>
        <v>1300000</v>
      </c>
      <c r="L651" s="17">
        <f t="shared" si="417"/>
        <v>1300000</v>
      </c>
      <c r="M651" s="17">
        <f t="shared" si="418"/>
        <v>100</v>
      </c>
      <c r="N651" s="17">
        <f t="shared" si="419"/>
        <v>0</v>
      </c>
      <c r="O651" s="17">
        <f t="shared" si="420"/>
        <v>1300000</v>
      </c>
      <c r="P651" s="17">
        <f t="shared" si="420"/>
        <v>0</v>
      </c>
      <c r="Q651" s="17">
        <f t="shared" si="420"/>
        <v>0</v>
      </c>
      <c r="R651" s="26">
        <f t="shared" si="415"/>
        <v>0</v>
      </c>
      <c r="S651" s="17">
        <f t="shared" si="421"/>
        <v>0</v>
      </c>
      <c r="T651" s="17">
        <f t="shared" si="421"/>
        <v>0</v>
      </c>
      <c r="U651" s="17">
        <f t="shared" si="421"/>
        <v>0</v>
      </c>
      <c r="V651" s="26">
        <f t="shared" si="421"/>
        <v>0</v>
      </c>
      <c r="W651" s="17">
        <f t="shared" si="421"/>
        <v>0</v>
      </c>
      <c r="X651" s="17">
        <f t="shared" si="421"/>
        <v>0</v>
      </c>
      <c r="Y651" s="17">
        <f t="shared" si="421"/>
        <v>0</v>
      </c>
      <c r="Z651" s="162" t="b">
        <f t="shared" si="378"/>
        <v>1</v>
      </c>
      <c r="AA651" s="162" t="str">
        <f t="shared" si="379"/>
        <v>PRAZNO</v>
      </c>
      <c r="AC651" s="164"/>
    </row>
    <row r="652" spans="1:29" ht="15.75" hidden="1" x14ac:dyDescent="0.2">
      <c r="B652" s="177"/>
      <c r="C652" s="177"/>
      <c r="D652" s="177"/>
      <c r="E652" s="177">
        <v>4212</v>
      </c>
      <c r="F652" s="176">
        <v>81</v>
      </c>
      <c r="G652" s="176"/>
      <c r="H652" s="41" t="s">
        <v>649</v>
      </c>
      <c r="I652" s="17"/>
      <c r="J652" s="26">
        <v>2500000</v>
      </c>
      <c r="K652" s="17">
        <v>1300000</v>
      </c>
      <c r="L652" s="17">
        <v>1300000</v>
      </c>
      <c r="M652" s="17">
        <f t="shared" si="418"/>
        <v>100</v>
      </c>
      <c r="N652" s="17">
        <f t="shared" si="419"/>
        <v>0</v>
      </c>
      <c r="O652" s="17">
        <v>1300000</v>
      </c>
      <c r="P652" s="17">
        <v>0</v>
      </c>
      <c r="Q652" s="17">
        <v>0</v>
      </c>
      <c r="R652" s="26">
        <f t="shared" si="415"/>
        <v>0</v>
      </c>
      <c r="S652" s="17">
        <v>0</v>
      </c>
      <c r="T652" s="17">
        <v>0</v>
      </c>
      <c r="U652" s="17">
        <v>0</v>
      </c>
      <c r="V652" s="26"/>
      <c r="W652" s="17"/>
      <c r="X652" s="17"/>
      <c r="Y652" s="17"/>
      <c r="Z652" s="162" t="b">
        <f t="shared" si="378"/>
        <v>0</v>
      </c>
      <c r="AA652" s="162" t="str">
        <f t="shared" si="379"/>
        <v>PUNO</v>
      </c>
      <c r="AC652" s="164"/>
    </row>
    <row r="653" spans="1:29" s="171" customFormat="1" ht="15.75" hidden="1" x14ac:dyDescent="0.2">
      <c r="A653" s="259"/>
      <c r="B653" s="168"/>
      <c r="C653" s="168"/>
      <c r="D653" s="168"/>
      <c r="E653" s="168"/>
      <c r="F653" s="168"/>
      <c r="G653" s="168"/>
      <c r="H653" s="13" t="s">
        <v>605</v>
      </c>
      <c r="I653" s="19">
        <f>I655</f>
        <v>0</v>
      </c>
      <c r="J653" s="53">
        <f>J655</f>
        <v>62379.94</v>
      </c>
      <c r="K653" s="169">
        <f>K655</f>
        <v>50000</v>
      </c>
      <c r="L653" s="169">
        <f>L655</f>
        <v>0</v>
      </c>
      <c r="M653" s="169">
        <f t="shared" si="418"/>
        <v>0</v>
      </c>
      <c r="N653" s="169">
        <f t="shared" si="419"/>
        <v>-50000</v>
      </c>
      <c r="O653" s="19">
        <f>O655</f>
        <v>0</v>
      </c>
      <c r="P653" s="19">
        <f>P655</f>
        <v>0</v>
      </c>
      <c r="Q653" s="19">
        <f>Q655</f>
        <v>0</v>
      </c>
      <c r="R653" s="26">
        <f t="shared" si="415"/>
        <v>0</v>
      </c>
      <c r="S653" s="19">
        <f t="shared" ref="S653:Y653" si="422">S655</f>
        <v>0</v>
      </c>
      <c r="T653" s="19">
        <f t="shared" si="422"/>
        <v>0</v>
      </c>
      <c r="U653" s="19">
        <f t="shared" si="422"/>
        <v>0</v>
      </c>
      <c r="V653" s="53">
        <f t="shared" si="422"/>
        <v>0</v>
      </c>
      <c r="W653" s="19">
        <f t="shared" si="422"/>
        <v>0</v>
      </c>
      <c r="X653" s="19">
        <f t="shared" si="422"/>
        <v>0</v>
      </c>
      <c r="Y653" s="19">
        <f t="shared" si="422"/>
        <v>0</v>
      </c>
      <c r="Z653" s="162" t="b">
        <f t="shared" si="378"/>
        <v>1</v>
      </c>
      <c r="AA653" s="162" t="str">
        <f t="shared" si="379"/>
        <v>PRAZNO</v>
      </c>
      <c r="AB653" s="170"/>
      <c r="AC653" s="164"/>
    </row>
    <row r="654" spans="1:29" s="174" customFormat="1" ht="15.75" hidden="1" x14ac:dyDescent="0.2">
      <c r="A654" s="259"/>
      <c r="B654" s="172">
        <v>4</v>
      </c>
      <c r="C654" s="172"/>
      <c r="D654" s="172"/>
      <c r="E654" s="172"/>
      <c r="F654" s="172"/>
      <c r="G654" s="172"/>
      <c r="H654" s="14" t="s">
        <v>552</v>
      </c>
      <c r="I654" s="20">
        <f t="shared" ref="I654:L656" si="423">I655</f>
        <v>0</v>
      </c>
      <c r="J654" s="55">
        <f t="shared" si="423"/>
        <v>62379.94</v>
      </c>
      <c r="K654" s="20">
        <f t="shared" si="423"/>
        <v>50000</v>
      </c>
      <c r="L654" s="20">
        <f t="shared" si="423"/>
        <v>0</v>
      </c>
      <c r="M654" s="20">
        <f t="shared" si="418"/>
        <v>0</v>
      </c>
      <c r="N654" s="20">
        <f t="shared" si="419"/>
        <v>-50000</v>
      </c>
      <c r="O654" s="20">
        <f t="shared" ref="O654:Q656" si="424">O655</f>
        <v>0</v>
      </c>
      <c r="P654" s="20">
        <f t="shared" si="424"/>
        <v>0</v>
      </c>
      <c r="Q654" s="20">
        <f t="shared" si="424"/>
        <v>0</v>
      </c>
      <c r="R654" s="26">
        <f t="shared" si="415"/>
        <v>0</v>
      </c>
      <c r="S654" s="20">
        <f t="shared" ref="S654:Y656" si="425">S655</f>
        <v>0</v>
      </c>
      <c r="T654" s="20">
        <f t="shared" si="425"/>
        <v>0</v>
      </c>
      <c r="U654" s="20">
        <f t="shared" si="425"/>
        <v>0</v>
      </c>
      <c r="V654" s="55">
        <f t="shared" si="425"/>
        <v>0</v>
      </c>
      <c r="W654" s="20">
        <f t="shared" si="425"/>
        <v>0</v>
      </c>
      <c r="X654" s="20">
        <f t="shared" si="425"/>
        <v>0</v>
      </c>
      <c r="Y654" s="20">
        <f t="shared" si="425"/>
        <v>0</v>
      </c>
      <c r="Z654" s="162" t="b">
        <f t="shared" si="378"/>
        <v>1</v>
      </c>
      <c r="AA654" s="162" t="str">
        <f t="shared" si="379"/>
        <v>PRAZNO</v>
      </c>
      <c r="AB654" s="173"/>
      <c r="AC654" s="164"/>
    </row>
    <row r="655" spans="1:29" ht="28.5" hidden="1" customHeight="1" x14ac:dyDescent="0.2">
      <c r="B655" s="177"/>
      <c r="C655" s="177">
        <v>45</v>
      </c>
      <c r="D655" s="177"/>
      <c r="E655" s="177"/>
      <c r="F655" s="177"/>
      <c r="G655" s="177"/>
      <c r="H655" s="40" t="s">
        <v>808</v>
      </c>
      <c r="I655" s="17">
        <f t="shared" si="423"/>
        <v>0</v>
      </c>
      <c r="J655" s="26">
        <f t="shared" si="423"/>
        <v>62379.94</v>
      </c>
      <c r="K655" s="17">
        <f t="shared" si="423"/>
        <v>50000</v>
      </c>
      <c r="L655" s="17">
        <f t="shared" si="423"/>
        <v>0</v>
      </c>
      <c r="M655" s="17">
        <f t="shared" si="418"/>
        <v>0</v>
      </c>
      <c r="N655" s="17">
        <f t="shared" si="419"/>
        <v>-50000</v>
      </c>
      <c r="O655" s="17">
        <f t="shared" si="424"/>
        <v>0</v>
      </c>
      <c r="P655" s="17">
        <f t="shared" si="424"/>
        <v>0</v>
      </c>
      <c r="Q655" s="17">
        <f t="shared" si="424"/>
        <v>0</v>
      </c>
      <c r="R655" s="26">
        <f t="shared" si="415"/>
        <v>0</v>
      </c>
      <c r="S655" s="17">
        <f t="shared" si="425"/>
        <v>0</v>
      </c>
      <c r="T655" s="17">
        <f t="shared" si="425"/>
        <v>0</v>
      </c>
      <c r="U655" s="17">
        <f t="shared" si="425"/>
        <v>0</v>
      </c>
      <c r="V655" s="26">
        <f t="shared" si="425"/>
        <v>0</v>
      </c>
      <c r="W655" s="17">
        <f t="shared" si="425"/>
        <v>0</v>
      </c>
      <c r="X655" s="17">
        <f t="shared" si="425"/>
        <v>0</v>
      </c>
      <c r="Y655" s="17">
        <f t="shared" si="425"/>
        <v>0</v>
      </c>
      <c r="Z655" s="162" t="b">
        <f t="shared" si="378"/>
        <v>1</v>
      </c>
      <c r="AA655" s="162" t="str">
        <f t="shared" si="379"/>
        <v>PRAZNO</v>
      </c>
      <c r="AC655" s="164"/>
    </row>
    <row r="656" spans="1:29" ht="15.75" hidden="1" x14ac:dyDescent="0.2">
      <c r="B656" s="177"/>
      <c r="C656" s="177"/>
      <c r="D656" s="177">
        <v>451</v>
      </c>
      <c r="E656" s="177"/>
      <c r="F656" s="177"/>
      <c r="G656" s="177"/>
      <c r="H656" s="43" t="s">
        <v>809</v>
      </c>
      <c r="I656" s="17">
        <f t="shared" si="423"/>
        <v>0</v>
      </c>
      <c r="J656" s="26">
        <f t="shared" si="423"/>
        <v>62379.94</v>
      </c>
      <c r="K656" s="17">
        <f t="shared" si="423"/>
        <v>50000</v>
      </c>
      <c r="L656" s="17">
        <f t="shared" si="423"/>
        <v>0</v>
      </c>
      <c r="M656" s="17">
        <f t="shared" si="418"/>
        <v>0</v>
      </c>
      <c r="N656" s="17">
        <f t="shared" si="419"/>
        <v>-50000</v>
      </c>
      <c r="O656" s="17">
        <f t="shared" si="424"/>
        <v>0</v>
      </c>
      <c r="P656" s="17">
        <f t="shared" si="424"/>
        <v>0</v>
      </c>
      <c r="Q656" s="17">
        <f t="shared" si="424"/>
        <v>0</v>
      </c>
      <c r="R656" s="26">
        <f t="shared" si="415"/>
        <v>0</v>
      </c>
      <c r="S656" s="17">
        <f t="shared" si="425"/>
        <v>0</v>
      </c>
      <c r="T656" s="17">
        <f t="shared" si="425"/>
        <v>0</v>
      </c>
      <c r="U656" s="17">
        <f t="shared" si="425"/>
        <v>0</v>
      </c>
      <c r="V656" s="26">
        <f t="shared" si="425"/>
        <v>0</v>
      </c>
      <c r="W656" s="17">
        <f t="shared" si="425"/>
        <v>0</v>
      </c>
      <c r="X656" s="17">
        <f t="shared" si="425"/>
        <v>0</v>
      </c>
      <c r="Y656" s="17">
        <f t="shared" si="425"/>
        <v>0</v>
      </c>
      <c r="Z656" s="162" t="b">
        <f t="shared" si="378"/>
        <v>1</v>
      </c>
      <c r="AA656" s="162" t="str">
        <f t="shared" si="379"/>
        <v>PRAZNO</v>
      </c>
      <c r="AC656" s="164"/>
    </row>
    <row r="657" spans="1:29" ht="15.75" hidden="1" x14ac:dyDescent="0.2">
      <c r="B657" s="177"/>
      <c r="C657" s="177"/>
      <c r="D657" s="177"/>
      <c r="E657" s="177">
        <v>4511</v>
      </c>
      <c r="F657" s="176">
        <v>51</v>
      </c>
      <c r="G657" s="176"/>
      <c r="H657" s="41" t="s">
        <v>809</v>
      </c>
      <c r="I657" s="17">
        <v>0</v>
      </c>
      <c r="J657" s="26">
        <v>62379.94</v>
      </c>
      <c r="K657" s="17">
        <v>50000</v>
      </c>
      <c r="L657" s="17">
        <v>0</v>
      </c>
      <c r="M657" s="17">
        <f t="shared" si="418"/>
        <v>0</v>
      </c>
      <c r="N657" s="17">
        <f t="shared" si="419"/>
        <v>-50000</v>
      </c>
      <c r="O657" s="17"/>
      <c r="P657" s="17">
        <v>0</v>
      </c>
      <c r="Q657" s="17"/>
      <c r="R657" s="26">
        <f t="shared" si="415"/>
        <v>0</v>
      </c>
      <c r="S657" s="17">
        <v>0</v>
      </c>
      <c r="T657" s="17">
        <v>0</v>
      </c>
      <c r="U657" s="17">
        <v>0</v>
      </c>
      <c r="V657" s="26"/>
      <c r="W657" s="17"/>
      <c r="X657" s="17"/>
      <c r="Y657" s="17"/>
      <c r="Z657" s="162" t="b">
        <f t="shared" ref="Z657:Z703" si="426">ISBLANK(E657)</f>
        <v>0</v>
      </c>
      <c r="AA657" s="162" t="str">
        <f t="shared" ref="AA657:AA703" si="427">IF(Z657,"PRAZNO","PUNO")</f>
        <v>PUNO</v>
      </c>
      <c r="AC657" s="164"/>
    </row>
    <row r="658" spans="1:29" s="171" customFormat="1" ht="15.75" hidden="1" x14ac:dyDescent="0.2">
      <c r="A658" s="259"/>
      <c r="B658" s="168"/>
      <c r="C658" s="168"/>
      <c r="D658" s="168"/>
      <c r="E658" s="168"/>
      <c r="F658" s="168"/>
      <c r="G658" s="168"/>
      <c r="H658" s="13" t="s">
        <v>470</v>
      </c>
      <c r="I658" s="19">
        <f t="shared" ref="I658:L661" si="428">I659</f>
        <v>0</v>
      </c>
      <c r="J658" s="53">
        <f t="shared" si="428"/>
        <v>100000</v>
      </c>
      <c r="K658" s="169">
        <f t="shared" si="428"/>
        <v>0</v>
      </c>
      <c r="L658" s="169">
        <f t="shared" si="428"/>
        <v>0</v>
      </c>
      <c r="M658" s="169" t="e">
        <f t="shared" si="418"/>
        <v>#DIV/0!</v>
      </c>
      <c r="N658" s="169">
        <f t="shared" si="419"/>
        <v>0</v>
      </c>
      <c r="O658" s="19">
        <f t="shared" ref="O658:Q661" si="429">O659</f>
        <v>0</v>
      </c>
      <c r="P658" s="19">
        <f t="shared" si="429"/>
        <v>0</v>
      </c>
      <c r="Q658" s="19">
        <f t="shared" si="429"/>
        <v>0</v>
      </c>
      <c r="R658" s="26">
        <f t="shared" si="415"/>
        <v>0</v>
      </c>
      <c r="S658" s="19">
        <f t="shared" ref="S658:Y661" si="430">S659</f>
        <v>0</v>
      </c>
      <c r="T658" s="19">
        <f t="shared" si="430"/>
        <v>0</v>
      </c>
      <c r="U658" s="19">
        <f t="shared" si="430"/>
        <v>0</v>
      </c>
      <c r="V658" s="53">
        <f t="shared" si="430"/>
        <v>0</v>
      </c>
      <c r="W658" s="19">
        <f t="shared" si="430"/>
        <v>0</v>
      </c>
      <c r="X658" s="19">
        <f t="shared" si="430"/>
        <v>0</v>
      </c>
      <c r="Y658" s="19">
        <f t="shared" si="430"/>
        <v>0</v>
      </c>
      <c r="Z658" s="162" t="b">
        <f t="shared" si="426"/>
        <v>1</v>
      </c>
      <c r="AA658" s="162" t="str">
        <f t="shared" si="427"/>
        <v>PRAZNO</v>
      </c>
      <c r="AB658" s="170"/>
      <c r="AC658" s="164"/>
    </row>
    <row r="659" spans="1:29" s="174" customFormat="1" ht="15.75" hidden="1" x14ac:dyDescent="0.2">
      <c r="A659" s="259"/>
      <c r="B659" s="172">
        <v>4</v>
      </c>
      <c r="C659" s="172"/>
      <c r="D659" s="172"/>
      <c r="E659" s="172"/>
      <c r="F659" s="172"/>
      <c r="G659" s="172"/>
      <c r="H659" s="14" t="s">
        <v>552</v>
      </c>
      <c r="I659" s="20">
        <f t="shared" si="428"/>
        <v>0</v>
      </c>
      <c r="J659" s="55">
        <f t="shared" si="428"/>
        <v>100000</v>
      </c>
      <c r="K659" s="20">
        <f t="shared" si="428"/>
        <v>0</v>
      </c>
      <c r="L659" s="20">
        <f t="shared" si="428"/>
        <v>0</v>
      </c>
      <c r="M659" s="20" t="e">
        <f t="shared" si="418"/>
        <v>#DIV/0!</v>
      </c>
      <c r="N659" s="20">
        <f t="shared" si="419"/>
        <v>0</v>
      </c>
      <c r="O659" s="20">
        <f t="shared" si="429"/>
        <v>0</v>
      </c>
      <c r="P659" s="20">
        <f t="shared" si="429"/>
        <v>0</v>
      </c>
      <c r="Q659" s="20">
        <f t="shared" si="429"/>
        <v>0</v>
      </c>
      <c r="R659" s="26">
        <f t="shared" si="415"/>
        <v>0</v>
      </c>
      <c r="S659" s="20">
        <f t="shared" si="430"/>
        <v>0</v>
      </c>
      <c r="T659" s="20">
        <f t="shared" si="430"/>
        <v>0</v>
      </c>
      <c r="U659" s="20">
        <f t="shared" si="430"/>
        <v>0</v>
      </c>
      <c r="V659" s="55">
        <f t="shared" si="430"/>
        <v>0</v>
      </c>
      <c r="W659" s="20">
        <f t="shared" si="430"/>
        <v>0</v>
      </c>
      <c r="X659" s="20">
        <f t="shared" si="430"/>
        <v>0</v>
      </c>
      <c r="Y659" s="20">
        <f t="shared" si="430"/>
        <v>0</v>
      </c>
      <c r="Z659" s="162" t="b">
        <f t="shared" si="426"/>
        <v>1</v>
      </c>
      <c r="AA659" s="162" t="str">
        <f t="shared" si="427"/>
        <v>PRAZNO</v>
      </c>
      <c r="AB659" s="173"/>
      <c r="AC659" s="164"/>
    </row>
    <row r="660" spans="1:29" ht="30" hidden="1" customHeight="1" x14ac:dyDescent="0.2">
      <c r="B660" s="177"/>
      <c r="C660" s="177">
        <v>45</v>
      </c>
      <c r="D660" s="177"/>
      <c r="E660" s="177"/>
      <c r="F660" s="177"/>
      <c r="G660" s="177"/>
      <c r="H660" s="40" t="s">
        <v>808</v>
      </c>
      <c r="I660" s="17">
        <f t="shared" si="428"/>
        <v>0</v>
      </c>
      <c r="J660" s="26">
        <f t="shared" si="428"/>
        <v>100000</v>
      </c>
      <c r="K660" s="17">
        <f t="shared" si="428"/>
        <v>0</v>
      </c>
      <c r="L660" s="17">
        <f t="shared" si="428"/>
        <v>0</v>
      </c>
      <c r="M660" s="17" t="e">
        <f t="shared" si="418"/>
        <v>#DIV/0!</v>
      </c>
      <c r="N660" s="17">
        <f t="shared" si="419"/>
        <v>0</v>
      </c>
      <c r="O660" s="17">
        <f t="shared" si="429"/>
        <v>0</v>
      </c>
      <c r="P660" s="17">
        <f t="shared" si="429"/>
        <v>0</v>
      </c>
      <c r="Q660" s="17">
        <f t="shared" si="429"/>
        <v>0</v>
      </c>
      <c r="R660" s="26">
        <f t="shared" si="415"/>
        <v>0</v>
      </c>
      <c r="S660" s="17">
        <f t="shared" si="430"/>
        <v>0</v>
      </c>
      <c r="T660" s="17">
        <f t="shared" si="430"/>
        <v>0</v>
      </c>
      <c r="U660" s="17">
        <f t="shared" si="430"/>
        <v>0</v>
      </c>
      <c r="V660" s="26">
        <f t="shared" si="430"/>
        <v>0</v>
      </c>
      <c r="W660" s="17">
        <f t="shared" si="430"/>
        <v>0</v>
      </c>
      <c r="X660" s="17">
        <f t="shared" si="430"/>
        <v>0</v>
      </c>
      <c r="Y660" s="17">
        <f t="shared" si="430"/>
        <v>0</v>
      </c>
      <c r="Z660" s="162" t="b">
        <f t="shared" si="426"/>
        <v>1</v>
      </c>
      <c r="AA660" s="162" t="str">
        <f t="shared" si="427"/>
        <v>PRAZNO</v>
      </c>
      <c r="AC660" s="164"/>
    </row>
    <row r="661" spans="1:29" ht="15.75" hidden="1" x14ac:dyDescent="0.2">
      <c r="B661" s="177"/>
      <c r="C661" s="177"/>
      <c r="D661" s="177">
        <v>451</v>
      </c>
      <c r="E661" s="177"/>
      <c r="F661" s="177"/>
      <c r="G661" s="177"/>
      <c r="H661" s="43" t="s">
        <v>809</v>
      </c>
      <c r="I661" s="26">
        <f t="shared" si="428"/>
        <v>0</v>
      </c>
      <c r="J661" s="26">
        <f t="shared" si="428"/>
        <v>100000</v>
      </c>
      <c r="K661" s="26">
        <f t="shared" si="428"/>
        <v>0</v>
      </c>
      <c r="L661" s="26">
        <f t="shared" si="428"/>
        <v>0</v>
      </c>
      <c r="M661" s="17" t="e">
        <f t="shared" si="418"/>
        <v>#DIV/0!</v>
      </c>
      <c r="N661" s="26">
        <f t="shared" si="419"/>
        <v>0</v>
      </c>
      <c r="O661" s="26">
        <f t="shared" si="429"/>
        <v>0</v>
      </c>
      <c r="P661" s="26">
        <f t="shared" si="429"/>
        <v>0</v>
      </c>
      <c r="Q661" s="26">
        <f t="shared" si="429"/>
        <v>0</v>
      </c>
      <c r="R661" s="26">
        <f t="shared" si="415"/>
        <v>0</v>
      </c>
      <c r="S661" s="26">
        <f t="shared" si="430"/>
        <v>0</v>
      </c>
      <c r="T661" s="26">
        <f t="shared" si="430"/>
        <v>0</v>
      </c>
      <c r="U661" s="26">
        <f t="shared" si="430"/>
        <v>0</v>
      </c>
      <c r="V661" s="26">
        <f t="shared" si="430"/>
        <v>0</v>
      </c>
      <c r="W661" s="26">
        <f t="shared" si="430"/>
        <v>0</v>
      </c>
      <c r="X661" s="26">
        <f t="shared" si="430"/>
        <v>0</v>
      </c>
      <c r="Y661" s="26">
        <f t="shared" si="430"/>
        <v>0</v>
      </c>
      <c r="Z661" s="162" t="b">
        <f t="shared" si="426"/>
        <v>1</v>
      </c>
      <c r="AA661" s="162" t="str">
        <f t="shared" si="427"/>
        <v>PRAZNO</v>
      </c>
      <c r="AC661" s="164"/>
    </row>
    <row r="662" spans="1:29" ht="15.75" hidden="1" x14ac:dyDescent="0.2">
      <c r="B662" s="177"/>
      <c r="C662" s="177"/>
      <c r="D662" s="177"/>
      <c r="E662" s="177">
        <v>4511</v>
      </c>
      <c r="F662" s="176" t="s">
        <v>537</v>
      </c>
      <c r="G662" s="176"/>
      <c r="H662" s="41" t="s">
        <v>809</v>
      </c>
      <c r="I662" s="17">
        <v>0</v>
      </c>
      <c r="J662" s="26">
        <v>100000</v>
      </c>
      <c r="K662" s="17">
        <v>0</v>
      </c>
      <c r="L662" s="17"/>
      <c r="M662" s="17" t="e">
        <f t="shared" si="418"/>
        <v>#DIV/0!</v>
      </c>
      <c r="N662" s="17">
        <f t="shared" si="419"/>
        <v>0</v>
      </c>
      <c r="O662" s="17"/>
      <c r="P662" s="17"/>
      <c r="Q662" s="17"/>
      <c r="R662" s="26">
        <f t="shared" si="415"/>
        <v>0</v>
      </c>
      <c r="S662" s="17"/>
      <c r="T662" s="17"/>
      <c r="U662" s="17"/>
      <c r="V662" s="26"/>
      <c r="W662" s="17"/>
      <c r="X662" s="17"/>
      <c r="Y662" s="17"/>
      <c r="Z662" s="162" t="b">
        <f t="shared" si="426"/>
        <v>0</v>
      </c>
      <c r="AA662" s="162" t="str">
        <f t="shared" si="427"/>
        <v>PUNO</v>
      </c>
      <c r="AC662" s="164"/>
    </row>
    <row r="663" spans="1:29" ht="15.75" hidden="1" x14ac:dyDescent="0.2">
      <c r="B663" s="177"/>
      <c r="C663" s="177"/>
      <c r="D663" s="177"/>
      <c r="E663" s="177">
        <v>4212</v>
      </c>
      <c r="F663" s="176">
        <v>52</v>
      </c>
      <c r="G663" s="176"/>
      <c r="H663" s="41" t="s">
        <v>649</v>
      </c>
      <c r="I663" s="17"/>
      <c r="J663" s="26">
        <v>0</v>
      </c>
      <c r="K663" s="17"/>
      <c r="L663" s="17"/>
      <c r="M663" s="17"/>
      <c r="N663" s="17"/>
      <c r="O663" s="17">
        <v>0</v>
      </c>
      <c r="P663" s="17">
        <v>0</v>
      </c>
      <c r="Q663" s="17">
        <v>0</v>
      </c>
      <c r="R663" s="26">
        <f t="shared" si="415"/>
        <v>0</v>
      </c>
      <c r="S663" s="17"/>
      <c r="T663" s="17"/>
      <c r="U663" s="17"/>
      <c r="V663" s="26">
        <v>0</v>
      </c>
      <c r="W663" s="17">
        <v>0</v>
      </c>
      <c r="X663" s="17">
        <v>0</v>
      </c>
      <c r="Y663" s="17">
        <v>0</v>
      </c>
      <c r="Z663" s="162" t="b">
        <f t="shared" si="426"/>
        <v>0</v>
      </c>
      <c r="AA663" s="162" t="str">
        <f t="shared" si="427"/>
        <v>PUNO</v>
      </c>
      <c r="AC663" s="164"/>
    </row>
    <row r="664" spans="1:29" ht="15.75" hidden="1" x14ac:dyDescent="0.2">
      <c r="B664" s="177"/>
      <c r="C664" s="177"/>
      <c r="D664" s="177"/>
      <c r="E664" s="177">
        <v>4212</v>
      </c>
      <c r="F664" s="176">
        <v>52</v>
      </c>
      <c r="G664" s="176"/>
      <c r="H664" s="41" t="s">
        <v>649</v>
      </c>
      <c r="I664" s="17"/>
      <c r="J664" s="26"/>
      <c r="K664" s="17"/>
      <c r="L664" s="17"/>
      <c r="M664" s="17"/>
      <c r="N664" s="17"/>
      <c r="O664" s="17"/>
      <c r="P664" s="17">
        <v>0</v>
      </c>
      <c r="Q664" s="17">
        <v>0</v>
      </c>
      <c r="R664" s="26">
        <v>0</v>
      </c>
      <c r="S664" s="17"/>
      <c r="T664" s="17"/>
      <c r="U664" s="17"/>
      <c r="V664" s="26">
        <v>0</v>
      </c>
      <c r="W664" s="17"/>
      <c r="X664" s="17"/>
      <c r="Y664" s="17"/>
      <c r="Z664" s="162" t="b">
        <f t="shared" si="426"/>
        <v>0</v>
      </c>
      <c r="AA664" s="162" t="str">
        <f t="shared" si="427"/>
        <v>PUNO</v>
      </c>
      <c r="AC664" s="164"/>
    </row>
    <row r="665" spans="1:29" s="207" customFormat="1" ht="31.5" x14ac:dyDescent="0.25">
      <c r="A665" s="378"/>
      <c r="B665" s="168"/>
      <c r="C665" s="168"/>
      <c r="D665" s="168"/>
      <c r="E665" s="168"/>
      <c r="F665" s="168"/>
      <c r="G665" s="322"/>
      <c r="H665" s="13" t="s">
        <v>145</v>
      </c>
      <c r="I665" s="19">
        <f>I667</f>
        <v>0</v>
      </c>
      <c r="J665" s="53">
        <f>J667</f>
        <v>300000</v>
      </c>
      <c r="K665" s="19">
        <f>K667</f>
        <v>0</v>
      </c>
      <c r="L665" s="19">
        <f>L667</f>
        <v>0</v>
      </c>
      <c r="M665" s="19" t="e">
        <f>ROUND(L665/K665*100,2)</f>
        <v>#DIV/0!</v>
      </c>
      <c r="N665" s="19">
        <f>O665-K665</f>
        <v>0</v>
      </c>
      <c r="O665" s="19">
        <f>O667</f>
        <v>0</v>
      </c>
      <c r="P665" s="19">
        <f>P667</f>
        <v>0</v>
      </c>
      <c r="Q665" s="19">
        <f>Q667</f>
        <v>0</v>
      </c>
      <c r="R665" s="53">
        <f>V665-P665</f>
        <v>0</v>
      </c>
      <c r="S665" s="19">
        <f t="shared" ref="S665:Y665" si="431">S667</f>
        <v>0</v>
      </c>
      <c r="T665" s="19">
        <f t="shared" si="431"/>
        <v>0</v>
      </c>
      <c r="U665" s="19">
        <f t="shared" si="431"/>
        <v>0</v>
      </c>
      <c r="V665" s="53">
        <f t="shared" si="431"/>
        <v>0</v>
      </c>
      <c r="W665" s="19">
        <f t="shared" si="431"/>
        <v>0</v>
      </c>
      <c r="X665" s="19">
        <f t="shared" si="431"/>
        <v>0</v>
      </c>
      <c r="Y665" s="19">
        <f t="shared" si="431"/>
        <v>1000000</v>
      </c>
      <c r="Z665" s="162" t="b">
        <f t="shared" si="426"/>
        <v>1</v>
      </c>
      <c r="AA665" s="162" t="str">
        <f t="shared" si="427"/>
        <v>PRAZNO</v>
      </c>
      <c r="AB665" s="206"/>
      <c r="AC665" s="287"/>
    </row>
    <row r="666" spans="1:29" s="447" customFormat="1" ht="15.75" x14ac:dyDescent="0.25">
      <c r="A666" s="378"/>
      <c r="B666" s="260"/>
      <c r="C666" s="260"/>
      <c r="D666" s="260"/>
      <c r="E666" s="260"/>
      <c r="F666" s="260"/>
      <c r="G666" s="442"/>
      <c r="H666" s="440" t="s">
        <v>824</v>
      </c>
      <c r="I666" s="262"/>
      <c r="J666" s="342"/>
      <c r="K666" s="262"/>
      <c r="L666" s="262"/>
      <c r="M666" s="262"/>
      <c r="N666" s="262"/>
      <c r="O666" s="262"/>
      <c r="P666" s="262"/>
      <c r="Q666" s="262"/>
      <c r="R666" s="342"/>
      <c r="S666" s="262"/>
      <c r="T666" s="262"/>
      <c r="U666" s="262"/>
      <c r="V666" s="342"/>
      <c r="W666" s="262">
        <f t="shared" ref="W666:Y669" si="432">W667</f>
        <v>0</v>
      </c>
      <c r="X666" s="262">
        <f t="shared" si="432"/>
        <v>0</v>
      </c>
      <c r="Y666" s="262">
        <f t="shared" si="432"/>
        <v>1000000</v>
      </c>
      <c r="Z666" s="162" t="b">
        <f t="shared" si="426"/>
        <v>1</v>
      </c>
      <c r="AA666" s="162" t="str">
        <f t="shared" si="427"/>
        <v>PRAZNO</v>
      </c>
      <c r="AB666" s="446"/>
    </row>
    <row r="667" spans="1:29" s="174" customFormat="1" ht="15.75" x14ac:dyDescent="0.2">
      <c r="A667" s="259"/>
      <c r="B667" s="172">
        <v>4</v>
      </c>
      <c r="C667" s="172"/>
      <c r="D667" s="172"/>
      <c r="E667" s="172"/>
      <c r="F667" s="172"/>
      <c r="G667" s="172"/>
      <c r="H667" s="14" t="s">
        <v>552</v>
      </c>
      <c r="I667" s="20">
        <f t="shared" ref="I667:L669" si="433">I668</f>
        <v>0</v>
      </c>
      <c r="J667" s="55">
        <f t="shared" si="433"/>
        <v>300000</v>
      </c>
      <c r="K667" s="20">
        <f t="shared" si="433"/>
        <v>0</v>
      </c>
      <c r="L667" s="20">
        <f t="shared" si="433"/>
        <v>0</v>
      </c>
      <c r="M667" s="20" t="e">
        <f>ROUND(L667/K667*100,2)</f>
        <v>#DIV/0!</v>
      </c>
      <c r="N667" s="20">
        <f>O667-K667</f>
        <v>0</v>
      </c>
      <c r="O667" s="20">
        <f t="shared" ref="O667:Q669" si="434">O668</f>
        <v>0</v>
      </c>
      <c r="P667" s="20">
        <f t="shared" si="434"/>
        <v>0</v>
      </c>
      <c r="Q667" s="20">
        <f t="shared" si="434"/>
        <v>0</v>
      </c>
      <c r="R667" s="55">
        <f t="shared" ref="R667:R673" si="435">V667-P667</f>
        <v>0</v>
      </c>
      <c r="S667" s="20">
        <f t="shared" ref="S667:V669" si="436">S668</f>
        <v>0</v>
      </c>
      <c r="T667" s="20">
        <f t="shared" si="436"/>
        <v>0</v>
      </c>
      <c r="U667" s="20">
        <f t="shared" si="436"/>
        <v>0</v>
      </c>
      <c r="V667" s="55">
        <f t="shared" si="436"/>
        <v>0</v>
      </c>
      <c r="W667" s="20">
        <f t="shared" si="432"/>
        <v>0</v>
      </c>
      <c r="X667" s="20">
        <f t="shared" si="432"/>
        <v>0</v>
      </c>
      <c r="Y667" s="20">
        <f t="shared" si="432"/>
        <v>1000000</v>
      </c>
      <c r="Z667" s="162" t="b">
        <f t="shared" si="426"/>
        <v>1</v>
      </c>
      <c r="AA667" s="162" t="str">
        <f t="shared" si="427"/>
        <v>PRAZNO</v>
      </c>
      <c r="AB667" s="173"/>
      <c r="AC667" s="164"/>
    </row>
    <row r="668" spans="1:29" ht="15.75" x14ac:dyDescent="0.2">
      <c r="B668" s="177"/>
      <c r="C668" s="177">
        <v>42</v>
      </c>
      <c r="D668" s="177"/>
      <c r="E668" s="177"/>
      <c r="F668" s="176"/>
      <c r="G668" s="176"/>
      <c r="H668" s="141" t="s">
        <v>212</v>
      </c>
      <c r="I668" s="17">
        <f t="shared" si="433"/>
        <v>0</v>
      </c>
      <c r="J668" s="26">
        <f t="shared" si="433"/>
        <v>300000</v>
      </c>
      <c r="K668" s="17">
        <f t="shared" si="433"/>
        <v>0</v>
      </c>
      <c r="L668" s="17">
        <f t="shared" si="433"/>
        <v>0</v>
      </c>
      <c r="M668" s="17" t="e">
        <f>ROUND(L668/K668*100,2)</f>
        <v>#DIV/0!</v>
      </c>
      <c r="N668" s="17">
        <f>O668-K668</f>
        <v>0</v>
      </c>
      <c r="O668" s="17">
        <f t="shared" si="434"/>
        <v>0</v>
      </c>
      <c r="P668" s="17">
        <f t="shared" si="434"/>
        <v>0</v>
      </c>
      <c r="Q668" s="17">
        <f t="shared" si="434"/>
        <v>0</v>
      </c>
      <c r="R668" s="26">
        <f t="shared" si="435"/>
        <v>0</v>
      </c>
      <c r="S668" s="17">
        <f t="shared" si="436"/>
        <v>0</v>
      </c>
      <c r="T668" s="17">
        <f t="shared" si="436"/>
        <v>0</v>
      </c>
      <c r="U668" s="17">
        <f t="shared" si="436"/>
        <v>0</v>
      </c>
      <c r="V668" s="26">
        <f t="shared" si="436"/>
        <v>0</v>
      </c>
      <c r="W668" s="17">
        <f t="shared" si="432"/>
        <v>0</v>
      </c>
      <c r="X668" s="17">
        <f t="shared" si="432"/>
        <v>0</v>
      </c>
      <c r="Y668" s="17">
        <f t="shared" si="432"/>
        <v>1000000</v>
      </c>
      <c r="Z668" s="162" t="b">
        <f t="shared" si="426"/>
        <v>1</v>
      </c>
      <c r="AA668" s="162" t="str">
        <f t="shared" si="427"/>
        <v>PRAZNO</v>
      </c>
      <c r="AC668" s="164"/>
    </row>
    <row r="669" spans="1:29" ht="15.75" x14ac:dyDescent="0.2">
      <c r="B669" s="177"/>
      <c r="C669" s="177"/>
      <c r="D669" s="177">
        <v>421</v>
      </c>
      <c r="E669" s="177"/>
      <c r="F669" s="176"/>
      <c r="G669" s="176"/>
      <c r="H669" s="16" t="s">
        <v>759</v>
      </c>
      <c r="I669" s="17">
        <f t="shared" si="433"/>
        <v>0</v>
      </c>
      <c r="J669" s="26">
        <f t="shared" si="433"/>
        <v>300000</v>
      </c>
      <c r="K669" s="17">
        <f t="shared" si="433"/>
        <v>0</v>
      </c>
      <c r="L669" s="17">
        <f t="shared" si="433"/>
        <v>0</v>
      </c>
      <c r="M669" s="17" t="e">
        <f>ROUND(L669/K669*100,2)</f>
        <v>#DIV/0!</v>
      </c>
      <c r="N669" s="17">
        <f>O669-K669</f>
        <v>0</v>
      </c>
      <c r="O669" s="17">
        <f t="shared" si="434"/>
        <v>0</v>
      </c>
      <c r="P669" s="17">
        <f t="shared" si="434"/>
        <v>0</v>
      </c>
      <c r="Q669" s="17">
        <f t="shared" si="434"/>
        <v>0</v>
      </c>
      <c r="R669" s="26">
        <f t="shared" si="435"/>
        <v>0</v>
      </c>
      <c r="S669" s="17">
        <f t="shared" si="436"/>
        <v>0</v>
      </c>
      <c r="T669" s="17">
        <f t="shared" si="436"/>
        <v>0</v>
      </c>
      <c r="U669" s="17">
        <f t="shared" si="436"/>
        <v>0</v>
      </c>
      <c r="V669" s="26">
        <f t="shared" si="436"/>
        <v>0</v>
      </c>
      <c r="W669" s="17">
        <f t="shared" si="432"/>
        <v>0</v>
      </c>
      <c r="X669" s="17">
        <f t="shared" si="432"/>
        <v>0</v>
      </c>
      <c r="Y669" s="17">
        <f t="shared" si="432"/>
        <v>1000000</v>
      </c>
      <c r="Z669" s="162" t="b">
        <f t="shared" si="426"/>
        <v>1</v>
      </c>
      <c r="AA669" s="162" t="str">
        <f t="shared" si="427"/>
        <v>PRAZNO</v>
      </c>
      <c r="AC669" s="164"/>
    </row>
    <row r="670" spans="1:29" ht="15.75" x14ac:dyDescent="0.2">
      <c r="B670" s="177"/>
      <c r="C670" s="177"/>
      <c r="D670" s="177"/>
      <c r="E670" s="177">
        <v>4212</v>
      </c>
      <c r="F670" s="176">
        <v>14</v>
      </c>
      <c r="G670" s="176"/>
      <c r="H670" s="41" t="s">
        <v>649</v>
      </c>
      <c r="I670" s="17">
        <v>0</v>
      </c>
      <c r="J670" s="26">
        <v>300000</v>
      </c>
      <c r="K670" s="17">
        <v>0</v>
      </c>
      <c r="L670" s="17"/>
      <c r="M670" s="17" t="e">
        <f>ROUND(L670/K670*100,2)</f>
        <v>#DIV/0!</v>
      </c>
      <c r="N670" s="17">
        <f>O670-K670</f>
        <v>0</v>
      </c>
      <c r="O670" s="17">
        <v>0</v>
      </c>
      <c r="P670" s="17">
        <v>0</v>
      </c>
      <c r="Q670" s="17">
        <v>0</v>
      </c>
      <c r="R670" s="26">
        <f t="shared" si="435"/>
        <v>0</v>
      </c>
      <c r="S670" s="17"/>
      <c r="T670" s="17"/>
      <c r="U670" s="17"/>
      <c r="V670" s="26">
        <v>0</v>
      </c>
      <c r="W670" s="17">
        <v>0</v>
      </c>
      <c r="X670" s="181">
        <v>0</v>
      </c>
      <c r="Y670" s="181">
        <v>1000000</v>
      </c>
      <c r="Z670" s="162" t="b">
        <f t="shared" si="426"/>
        <v>0</v>
      </c>
      <c r="AA670" s="162" t="str">
        <f t="shared" si="427"/>
        <v>PUNO</v>
      </c>
      <c r="AC670" s="164"/>
    </row>
    <row r="671" spans="1:29" ht="31.5" hidden="1" x14ac:dyDescent="0.2">
      <c r="B671" s="168"/>
      <c r="C671" s="168"/>
      <c r="D671" s="168"/>
      <c r="E671" s="168"/>
      <c r="F671" s="322"/>
      <c r="G671" s="322"/>
      <c r="H671" s="13" t="s">
        <v>397</v>
      </c>
      <c r="I671" s="308"/>
      <c r="J671" s="323"/>
      <c r="K671" s="308"/>
      <c r="L671" s="308"/>
      <c r="M671" s="308"/>
      <c r="N671" s="308"/>
      <c r="O671" s="308"/>
      <c r="P671" s="308"/>
      <c r="Q671" s="308"/>
      <c r="R671" s="303">
        <f t="shared" si="435"/>
        <v>0</v>
      </c>
      <c r="S671" s="308"/>
      <c r="T671" s="308"/>
      <c r="U671" s="308"/>
      <c r="V671" s="323">
        <f t="shared" ref="V671:Y673" si="437">V672</f>
        <v>0</v>
      </c>
      <c r="W671" s="323">
        <f t="shared" si="437"/>
        <v>0</v>
      </c>
      <c r="X671" s="323">
        <f t="shared" si="437"/>
        <v>0</v>
      </c>
      <c r="Y671" s="323">
        <f t="shared" si="437"/>
        <v>0</v>
      </c>
      <c r="Z671" s="162" t="b">
        <f t="shared" si="426"/>
        <v>1</v>
      </c>
      <c r="AA671" s="162" t="str">
        <f t="shared" si="427"/>
        <v>PRAZNO</v>
      </c>
      <c r="AC671" s="164"/>
    </row>
    <row r="672" spans="1:29" ht="15.75" hidden="1" x14ac:dyDescent="0.2">
      <c r="B672" s="177">
        <v>3</v>
      </c>
      <c r="C672" s="177"/>
      <c r="D672" s="177"/>
      <c r="E672" s="177"/>
      <c r="F672" s="176"/>
      <c r="G672" s="176"/>
      <c r="H672" s="16" t="s">
        <v>524</v>
      </c>
      <c r="I672" s="18"/>
      <c r="J672" s="27"/>
      <c r="K672" s="18"/>
      <c r="L672" s="18"/>
      <c r="M672" s="18"/>
      <c r="N672" s="18"/>
      <c r="O672" s="18"/>
      <c r="P672" s="18"/>
      <c r="Q672" s="18"/>
      <c r="R672" s="26">
        <f t="shared" si="435"/>
        <v>0</v>
      </c>
      <c r="S672" s="18"/>
      <c r="T672" s="18"/>
      <c r="U672" s="18"/>
      <c r="V672" s="27">
        <f t="shared" si="437"/>
        <v>0</v>
      </c>
      <c r="W672" s="27">
        <f t="shared" si="437"/>
        <v>0</v>
      </c>
      <c r="X672" s="27">
        <f t="shared" si="437"/>
        <v>0</v>
      </c>
      <c r="Y672" s="27">
        <f t="shared" si="437"/>
        <v>0</v>
      </c>
      <c r="Z672" s="162" t="b">
        <f t="shared" si="426"/>
        <v>1</v>
      </c>
      <c r="AA672" s="162" t="str">
        <f t="shared" si="427"/>
        <v>PRAZNO</v>
      </c>
      <c r="AC672" s="164"/>
    </row>
    <row r="673" spans="1:29" ht="15.75" hidden="1" x14ac:dyDescent="0.2">
      <c r="B673" s="177"/>
      <c r="C673" s="324">
        <v>32</v>
      </c>
      <c r="D673" s="177"/>
      <c r="E673" s="177"/>
      <c r="F673" s="176"/>
      <c r="G673" s="176"/>
      <c r="H673" s="16" t="s">
        <v>564</v>
      </c>
      <c r="I673" s="18"/>
      <c r="J673" s="27"/>
      <c r="K673" s="18"/>
      <c r="L673" s="18"/>
      <c r="M673" s="18"/>
      <c r="N673" s="18"/>
      <c r="O673" s="18"/>
      <c r="P673" s="18"/>
      <c r="Q673" s="18"/>
      <c r="R673" s="26">
        <f t="shared" si="435"/>
        <v>0</v>
      </c>
      <c r="S673" s="18"/>
      <c r="T673" s="18"/>
      <c r="U673" s="18"/>
      <c r="V673" s="27">
        <f t="shared" si="437"/>
        <v>0</v>
      </c>
      <c r="W673" s="27">
        <f t="shared" si="437"/>
        <v>0</v>
      </c>
      <c r="X673" s="27">
        <f t="shared" si="437"/>
        <v>0</v>
      </c>
      <c r="Y673" s="27">
        <f t="shared" si="437"/>
        <v>0</v>
      </c>
      <c r="Z673" s="162" t="b">
        <f t="shared" si="426"/>
        <v>1</v>
      </c>
      <c r="AA673" s="162" t="str">
        <f t="shared" si="427"/>
        <v>PRAZNO</v>
      </c>
      <c r="AC673" s="164"/>
    </row>
    <row r="674" spans="1:29" ht="15.75" hidden="1" x14ac:dyDescent="0.2">
      <c r="B674" s="177"/>
      <c r="C674" s="177"/>
      <c r="D674" s="177">
        <v>321</v>
      </c>
      <c r="E674" s="177">
        <v>3212</v>
      </c>
      <c r="F674" s="176">
        <v>54</v>
      </c>
      <c r="G674" s="176"/>
      <c r="H674" s="16" t="s">
        <v>220</v>
      </c>
      <c r="I674" s="18"/>
      <c r="J674" s="27"/>
      <c r="K674" s="18"/>
      <c r="L674" s="18"/>
      <c r="M674" s="18"/>
      <c r="N674" s="18"/>
      <c r="O674" s="18"/>
      <c r="P674" s="18"/>
      <c r="Q674" s="18"/>
      <c r="R674" s="26">
        <v>0</v>
      </c>
      <c r="S674" s="18"/>
      <c r="T674" s="18"/>
      <c r="U674" s="18"/>
      <c r="V674" s="27">
        <v>0</v>
      </c>
      <c r="W674" s="18">
        <v>0</v>
      </c>
      <c r="X674" s="18">
        <v>0</v>
      </c>
      <c r="Y674" s="18">
        <v>0</v>
      </c>
      <c r="Z674" s="162" t="b">
        <f t="shared" si="426"/>
        <v>0</v>
      </c>
      <c r="AA674" s="162" t="str">
        <f t="shared" si="427"/>
        <v>PUNO</v>
      </c>
      <c r="AC674" s="164"/>
    </row>
    <row r="675" spans="1:29" s="207" customFormat="1" ht="31.5" x14ac:dyDescent="0.25">
      <c r="A675" s="378"/>
      <c r="B675" s="168"/>
      <c r="C675" s="168"/>
      <c r="D675" s="168"/>
      <c r="E675" s="168"/>
      <c r="F675" s="322"/>
      <c r="G675" s="322"/>
      <c r="H675" s="13" t="s">
        <v>407</v>
      </c>
      <c r="I675" s="308"/>
      <c r="J675" s="323"/>
      <c r="K675" s="308"/>
      <c r="L675" s="308"/>
      <c r="M675" s="308"/>
      <c r="N675" s="308"/>
      <c r="O675" s="308"/>
      <c r="P675" s="308"/>
      <c r="Q675" s="308"/>
      <c r="R675" s="53"/>
      <c r="S675" s="308"/>
      <c r="T675" s="308"/>
      <c r="U675" s="308"/>
      <c r="V675" s="323"/>
      <c r="W675" s="308">
        <f>W677</f>
        <v>1000000</v>
      </c>
      <c r="X675" s="308">
        <f>X677</f>
        <v>0</v>
      </c>
      <c r="Y675" s="308">
        <f>Y677</f>
        <v>0</v>
      </c>
      <c r="Z675" s="418" t="b">
        <f t="shared" si="426"/>
        <v>1</v>
      </c>
      <c r="AA675" s="418" t="str">
        <f t="shared" si="427"/>
        <v>PRAZNO</v>
      </c>
      <c r="AB675" s="206"/>
    </row>
    <row r="676" spans="1:29" s="447" customFormat="1" ht="15.75" x14ac:dyDescent="0.25">
      <c r="A676" s="378"/>
      <c r="B676" s="260"/>
      <c r="C676" s="260"/>
      <c r="D676" s="260"/>
      <c r="E676" s="260"/>
      <c r="F676" s="442"/>
      <c r="G676" s="442"/>
      <c r="H676" s="440" t="s">
        <v>824</v>
      </c>
      <c r="I676" s="443"/>
      <c r="J676" s="444"/>
      <c r="K676" s="443"/>
      <c r="L676" s="443"/>
      <c r="M676" s="443"/>
      <c r="N676" s="443"/>
      <c r="O676" s="443"/>
      <c r="P676" s="443"/>
      <c r="Q676" s="443"/>
      <c r="R676" s="342"/>
      <c r="S676" s="443"/>
      <c r="T676" s="443"/>
      <c r="U676" s="443"/>
      <c r="V676" s="444"/>
      <c r="W676" s="443">
        <f t="shared" ref="W676:Y679" si="438">W677</f>
        <v>1000000</v>
      </c>
      <c r="X676" s="443">
        <f t="shared" si="438"/>
        <v>0</v>
      </c>
      <c r="Y676" s="443">
        <f t="shared" si="438"/>
        <v>0</v>
      </c>
      <c r="Z676" s="418" t="b">
        <f t="shared" si="426"/>
        <v>1</v>
      </c>
      <c r="AA676" s="418" t="str">
        <f t="shared" si="427"/>
        <v>PRAZNO</v>
      </c>
      <c r="AB676" s="446"/>
    </row>
    <row r="677" spans="1:29" s="174" customFormat="1" ht="15.75" x14ac:dyDescent="0.2">
      <c r="A677" s="259"/>
      <c r="B677" s="172">
        <v>3</v>
      </c>
      <c r="C677" s="172"/>
      <c r="D677" s="172"/>
      <c r="E677" s="172"/>
      <c r="F677" s="220"/>
      <c r="G677" s="220"/>
      <c r="H677" s="14" t="s">
        <v>524</v>
      </c>
      <c r="I677" s="184"/>
      <c r="J677" s="185"/>
      <c r="K677" s="184"/>
      <c r="L677" s="184"/>
      <c r="M677" s="184"/>
      <c r="N677" s="184"/>
      <c r="O677" s="184"/>
      <c r="P677" s="184"/>
      <c r="Q677" s="184"/>
      <c r="R677" s="55"/>
      <c r="S677" s="184"/>
      <c r="T677" s="184"/>
      <c r="U677" s="184"/>
      <c r="V677" s="185"/>
      <c r="W677" s="184">
        <f t="shared" si="438"/>
        <v>1000000</v>
      </c>
      <c r="X677" s="184">
        <f t="shared" si="438"/>
        <v>0</v>
      </c>
      <c r="Y677" s="184">
        <f t="shared" si="438"/>
        <v>0</v>
      </c>
      <c r="Z677" s="162" t="b">
        <f t="shared" si="426"/>
        <v>1</v>
      </c>
      <c r="AA677" s="162" t="str">
        <f t="shared" si="427"/>
        <v>PRAZNO</v>
      </c>
      <c r="AB677" s="173"/>
    </row>
    <row r="678" spans="1:29" ht="15.75" x14ac:dyDescent="0.2">
      <c r="B678" s="177"/>
      <c r="C678" s="177">
        <v>36</v>
      </c>
      <c r="D678" s="177"/>
      <c r="E678" s="177"/>
      <c r="F678" s="176"/>
      <c r="G678" s="176"/>
      <c r="H678" s="16" t="s">
        <v>751</v>
      </c>
      <c r="I678" s="18"/>
      <c r="J678" s="27"/>
      <c r="K678" s="18"/>
      <c r="L678" s="18"/>
      <c r="M678" s="18"/>
      <c r="N678" s="18"/>
      <c r="O678" s="18"/>
      <c r="P678" s="18"/>
      <c r="Q678" s="18"/>
      <c r="R678" s="26"/>
      <c r="S678" s="18"/>
      <c r="T678" s="18"/>
      <c r="U678" s="18"/>
      <c r="V678" s="27"/>
      <c r="W678" s="18">
        <f t="shared" si="438"/>
        <v>1000000</v>
      </c>
      <c r="X678" s="18">
        <f t="shared" si="438"/>
        <v>0</v>
      </c>
      <c r="Y678" s="18">
        <f t="shared" si="438"/>
        <v>0</v>
      </c>
      <c r="Z678" s="162" t="b">
        <f t="shared" si="426"/>
        <v>1</v>
      </c>
      <c r="AA678" s="162" t="str">
        <f t="shared" si="427"/>
        <v>PRAZNO</v>
      </c>
      <c r="AC678" s="164"/>
    </row>
    <row r="679" spans="1:29" ht="15.75" x14ac:dyDescent="0.2">
      <c r="B679" s="177"/>
      <c r="C679" s="177"/>
      <c r="D679" s="177">
        <v>363</v>
      </c>
      <c r="E679" s="177"/>
      <c r="F679" s="176"/>
      <c r="G679" s="176"/>
      <c r="H679" s="16" t="s">
        <v>536</v>
      </c>
      <c r="I679" s="18"/>
      <c r="J679" s="27"/>
      <c r="K679" s="18"/>
      <c r="L679" s="18"/>
      <c r="M679" s="18"/>
      <c r="N679" s="18"/>
      <c r="O679" s="18"/>
      <c r="P679" s="18"/>
      <c r="Q679" s="18"/>
      <c r="R679" s="26"/>
      <c r="S679" s="18"/>
      <c r="T679" s="18"/>
      <c r="U679" s="18"/>
      <c r="V679" s="27"/>
      <c r="W679" s="18">
        <f t="shared" si="438"/>
        <v>1000000</v>
      </c>
      <c r="X679" s="18">
        <f t="shared" si="438"/>
        <v>0</v>
      </c>
      <c r="Y679" s="18">
        <f t="shared" si="438"/>
        <v>0</v>
      </c>
      <c r="Z679" s="162" t="b">
        <f t="shared" si="426"/>
        <v>1</v>
      </c>
      <c r="AA679" s="162" t="str">
        <f t="shared" si="427"/>
        <v>PRAZNO</v>
      </c>
      <c r="AC679" s="164"/>
    </row>
    <row r="680" spans="1:29" ht="15.75" x14ac:dyDescent="0.2">
      <c r="B680" s="177"/>
      <c r="C680" s="177"/>
      <c r="D680" s="177"/>
      <c r="E680" s="177">
        <v>3632</v>
      </c>
      <c r="F680" s="176">
        <v>14</v>
      </c>
      <c r="G680" s="176"/>
      <c r="H680" s="16" t="s">
        <v>227</v>
      </c>
      <c r="I680" s="18"/>
      <c r="J680" s="27"/>
      <c r="K680" s="18"/>
      <c r="L680" s="18"/>
      <c r="M680" s="18"/>
      <c r="N680" s="18"/>
      <c r="O680" s="18"/>
      <c r="P680" s="18"/>
      <c r="Q680" s="18"/>
      <c r="R680" s="26"/>
      <c r="S680" s="18"/>
      <c r="T680" s="18"/>
      <c r="U680" s="18"/>
      <c r="V680" s="27"/>
      <c r="W680" s="18">
        <v>1000000</v>
      </c>
      <c r="X680" s="18">
        <v>0</v>
      </c>
      <c r="Y680" s="18">
        <v>0</v>
      </c>
      <c r="Z680" s="162" t="b">
        <f t="shared" si="426"/>
        <v>0</v>
      </c>
      <c r="AA680" s="162" t="str">
        <f t="shared" si="427"/>
        <v>PUNO</v>
      </c>
      <c r="AC680" s="164"/>
    </row>
    <row r="681" spans="1:29" s="207" customFormat="1" ht="31.5" x14ac:dyDescent="0.25">
      <c r="A681" s="378"/>
      <c r="B681" s="168"/>
      <c r="C681" s="168"/>
      <c r="D681" s="168"/>
      <c r="E681" s="168"/>
      <c r="F681" s="322"/>
      <c r="G681" s="322"/>
      <c r="H681" s="13" t="s">
        <v>408</v>
      </c>
      <c r="I681" s="308"/>
      <c r="J681" s="323"/>
      <c r="K681" s="308"/>
      <c r="L681" s="308"/>
      <c r="M681" s="308"/>
      <c r="N681" s="308"/>
      <c r="O681" s="308"/>
      <c r="P681" s="308"/>
      <c r="Q681" s="308"/>
      <c r="R681" s="53"/>
      <c r="S681" s="308"/>
      <c r="T681" s="308"/>
      <c r="U681" s="308"/>
      <c r="V681" s="323"/>
      <c r="W681" s="308">
        <f>W683</f>
        <v>100000</v>
      </c>
      <c r="X681" s="308">
        <f>X683</f>
        <v>0</v>
      </c>
      <c r="Y681" s="308">
        <f>Y683</f>
        <v>0</v>
      </c>
      <c r="Z681" s="162" t="b">
        <f t="shared" si="426"/>
        <v>1</v>
      </c>
      <c r="AA681" s="162" t="str">
        <f t="shared" si="427"/>
        <v>PRAZNO</v>
      </c>
      <c r="AB681" s="206"/>
    </row>
    <row r="682" spans="1:29" s="447" customFormat="1" ht="15.75" x14ac:dyDescent="0.25">
      <c r="A682" s="378"/>
      <c r="B682" s="260"/>
      <c r="C682" s="260"/>
      <c r="D682" s="260"/>
      <c r="E682" s="260"/>
      <c r="F682" s="442"/>
      <c r="G682" s="442"/>
      <c r="H682" s="440" t="s">
        <v>824</v>
      </c>
      <c r="I682" s="443"/>
      <c r="J682" s="444"/>
      <c r="K682" s="443"/>
      <c r="L682" s="443"/>
      <c r="M682" s="443"/>
      <c r="N682" s="443"/>
      <c r="O682" s="443"/>
      <c r="P682" s="443"/>
      <c r="Q682" s="443"/>
      <c r="R682" s="342"/>
      <c r="S682" s="443"/>
      <c r="T682" s="443"/>
      <c r="U682" s="443"/>
      <c r="V682" s="444"/>
      <c r="W682" s="443">
        <f t="shared" ref="W682:Y685" si="439">W683</f>
        <v>100000</v>
      </c>
      <c r="X682" s="443">
        <f t="shared" si="439"/>
        <v>0</v>
      </c>
      <c r="Y682" s="443">
        <f t="shared" si="439"/>
        <v>0</v>
      </c>
      <c r="Z682" s="162" t="b">
        <f t="shared" si="426"/>
        <v>1</v>
      </c>
      <c r="AA682" s="162" t="str">
        <f t="shared" si="427"/>
        <v>PRAZNO</v>
      </c>
      <c r="AB682" s="446"/>
    </row>
    <row r="683" spans="1:29" s="174" customFormat="1" ht="15.75" x14ac:dyDescent="0.2">
      <c r="A683" s="259"/>
      <c r="B683" s="172">
        <v>4</v>
      </c>
      <c r="C683" s="172"/>
      <c r="D683" s="172"/>
      <c r="E683" s="172"/>
      <c r="F683" s="220"/>
      <c r="G683" s="220"/>
      <c r="H683" s="14" t="s">
        <v>552</v>
      </c>
      <c r="I683" s="184"/>
      <c r="J683" s="185"/>
      <c r="K683" s="184"/>
      <c r="L683" s="184"/>
      <c r="M683" s="184"/>
      <c r="N683" s="184"/>
      <c r="O683" s="184"/>
      <c r="P683" s="184"/>
      <c r="Q683" s="184"/>
      <c r="R683" s="55"/>
      <c r="S683" s="184"/>
      <c r="T683" s="184"/>
      <c r="U683" s="184"/>
      <c r="V683" s="185"/>
      <c r="W683" s="184">
        <f t="shared" si="439"/>
        <v>100000</v>
      </c>
      <c r="X683" s="184">
        <f t="shared" si="439"/>
        <v>0</v>
      </c>
      <c r="Y683" s="184">
        <f t="shared" si="439"/>
        <v>0</v>
      </c>
      <c r="Z683" s="162" t="b">
        <f t="shared" si="426"/>
        <v>1</v>
      </c>
      <c r="AA683" s="162" t="str">
        <f t="shared" si="427"/>
        <v>PRAZNO</v>
      </c>
      <c r="AB683" s="173"/>
    </row>
    <row r="684" spans="1:29" s="264" customFormat="1" ht="15.75" x14ac:dyDescent="0.2">
      <c r="A684" s="259"/>
      <c r="B684" s="177"/>
      <c r="C684" s="177">
        <v>42</v>
      </c>
      <c r="D684" s="177"/>
      <c r="E684" s="177"/>
      <c r="F684" s="265"/>
      <c r="G684" s="265"/>
      <c r="H684" s="16" t="s">
        <v>212</v>
      </c>
      <c r="I684" s="178"/>
      <c r="J684" s="266"/>
      <c r="K684" s="178"/>
      <c r="L684" s="178"/>
      <c r="M684" s="178"/>
      <c r="N684" s="178"/>
      <c r="O684" s="178"/>
      <c r="P684" s="178"/>
      <c r="Q684" s="178"/>
      <c r="R684" s="307"/>
      <c r="S684" s="178"/>
      <c r="T684" s="178"/>
      <c r="U684" s="178"/>
      <c r="V684" s="266"/>
      <c r="W684" s="178">
        <f t="shared" si="439"/>
        <v>100000</v>
      </c>
      <c r="X684" s="178">
        <f t="shared" si="439"/>
        <v>0</v>
      </c>
      <c r="Y684" s="178">
        <f t="shared" si="439"/>
        <v>0</v>
      </c>
      <c r="Z684" s="162" t="b">
        <f t="shared" si="426"/>
        <v>1</v>
      </c>
      <c r="AA684" s="162" t="str">
        <f t="shared" si="427"/>
        <v>PRAZNO</v>
      </c>
      <c r="AB684" s="263"/>
    </row>
    <row r="685" spans="1:29" ht="15.75" x14ac:dyDescent="0.2">
      <c r="B685" s="177"/>
      <c r="C685" s="177"/>
      <c r="D685" s="177">
        <v>421</v>
      </c>
      <c r="E685" s="177"/>
      <c r="F685" s="176"/>
      <c r="G685" s="176"/>
      <c r="H685" s="16" t="s">
        <v>759</v>
      </c>
      <c r="I685" s="18"/>
      <c r="J685" s="27"/>
      <c r="K685" s="18"/>
      <c r="L685" s="18"/>
      <c r="M685" s="18"/>
      <c r="N685" s="18"/>
      <c r="O685" s="18"/>
      <c r="P685" s="18"/>
      <c r="Q685" s="18"/>
      <c r="R685" s="26"/>
      <c r="S685" s="18"/>
      <c r="T685" s="18"/>
      <c r="U685" s="18"/>
      <c r="V685" s="27"/>
      <c r="W685" s="18">
        <f t="shared" si="439"/>
        <v>100000</v>
      </c>
      <c r="X685" s="18">
        <f t="shared" si="439"/>
        <v>0</v>
      </c>
      <c r="Y685" s="18">
        <f t="shared" si="439"/>
        <v>0</v>
      </c>
      <c r="Z685" s="162" t="b">
        <f t="shared" si="426"/>
        <v>1</v>
      </c>
      <c r="AA685" s="162" t="str">
        <f t="shared" si="427"/>
        <v>PRAZNO</v>
      </c>
      <c r="AC685" s="164"/>
    </row>
    <row r="686" spans="1:29" ht="15.75" x14ac:dyDescent="0.2">
      <c r="B686" s="177"/>
      <c r="C686" s="177"/>
      <c r="D686" s="177"/>
      <c r="E686" s="177">
        <v>4212</v>
      </c>
      <c r="F686" s="176">
        <v>14</v>
      </c>
      <c r="G686" s="176"/>
      <c r="H686" s="16" t="s">
        <v>649</v>
      </c>
      <c r="I686" s="18"/>
      <c r="J686" s="27"/>
      <c r="K686" s="18"/>
      <c r="L686" s="18"/>
      <c r="M686" s="18"/>
      <c r="N686" s="18"/>
      <c r="O686" s="18"/>
      <c r="P686" s="18"/>
      <c r="Q686" s="18"/>
      <c r="R686" s="26"/>
      <c r="S686" s="18"/>
      <c r="T686" s="18"/>
      <c r="U686" s="18"/>
      <c r="V686" s="27"/>
      <c r="W686" s="18">
        <v>100000</v>
      </c>
      <c r="X686" s="18">
        <v>0</v>
      </c>
      <c r="Y686" s="18">
        <v>0</v>
      </c>
      <c r="Z686" s="162" t="b">
        <f t="shared" si="426"/>
        <v>0</v>
      </c>
      <c r="AA686" s="162" t="str">
        <f t="shared" si="427"/>
        <v>PUNO</v>
      </c>
      <c r="AC686" s="164"/>
    </row>
    <row r="687" spans="1:29" s="207" customFormat="1" ht="31.5" x14ac:dyDescent="0.25">
      <c r="A687" s="378"/>
      <c r="B687" s="168"/>
      <c r="C687" s="168"/>
      <c r="D687" s="168"/>
      <c r="E687" s="168"/>
      <c r="F687" s="322"/>
      <c r="G687" s="322"/>
      <c r="H687" s="13" t="s">
        <v>291</v>
      </c>
      <c r="I687" s="308"/>
      <c r="J687" s="323"/>
      <c r="K687" s="308"/>
      <c r="L687" s="308"/>
      <c r="M687" s="308"/>
      <c r="N687" s="308"/>
      <c r="O687" s="308"/>
      <c r="P687" s="308"/>
      <c r="Q687" s="308"/>
      <c r="R687" s="53"/>
      <c r="S687" s="308"/>
      <c r="T687" s="308"/>
      <c r="U687" s="308"/>
      <c r="V687" s="323"/>
      <c r="W687" s="308">
        <f>W689</f>
        <v>100000</v>
      </c>
      <c r="X687" s="308">
        <f>X689</f>
        <v>0</v>
      </c>
      <c r="Y687" s="308">
        <f>Y689</f>
        <v>0</v>
      </c>
      <c r="Z687" s="162" t="b">
        <f t="shared" si="426"/>
        <v>1</v>
      </c>
      <c r="AA687" s="162" t="str">
        <f t="shared" si="427"/>
        <v>PRAZNO</v>
      </c>
      <c r="AB687" s="206"/>
    </row>
    <row r="688" spans="1:29" s="447" customFormat="1" ht="15.75" x14ac:dyDescent="0.25">
      <c r="A688" s="378"/>
      <c r="B688" s="260"/>
      <c r="C688" s="260"/>
      <c r="D688" s="260"/>
      <c r="E688" s="260"/>
      <c r="F688" s="442"/>
      <c r="G688" s="442"/>
      <c r="H688" s="440" t="s">
        <v>824</v>
      </c>
      <c r="I688" s="443"/>
      <c r="J688" s="444"/>
      <c r="K688" s="443"/>
      <c r="L688" s="443"/>
      <c r="M688" s="443"/>
      <c r="N688" s="443"/>
      <c r="O688" s="443"/>
      <c r="P688" s="443"/>
      <c r="Q688" s="443"/>
      <c r="R688" s="342"/>
      <c r="S688" s="443"/>
      <c r="T688" s="443"/>
      <c r="U688" s="443"/>
      <c r="V688" s="444"/>
      <c r="W688" s="443">
        <f t="shared" ref="W688:Y691" si="440">W689</f>
        <v>100000</v>
      </c>
      <c r="X688" s="443">
        <f t="shared" si="440"/>
        <v>0</v>
      </c>
      <c r="Y688" s="443">
        <f t="shared" si="440"/>
        <v>0</v>
      </c>
      <c r="Z688" s="162" t="b">
        <f t="shared" si="426"/>
        <v>1</v>
      </c>
      <c r="AA688" s="162" t="str">
        <f t="shared" si="427"/>
        <v>PRAZNO</v>
      </c>
      <c r="AB688" s="446"/>
    </row>
    <row r="689" spans="1:29" s="174" customFormat="1" ht="15.75" x14ac:dyDescent="0.2">
      <c r="A689" s="259"/>
      <c r="B689" s="172">
        <v>4</v>
      </c>
      <c r="C689" s="172"/>
      <c r="D689" s="172"/>
      <c r="E689" s="172"/>
      <c r="F689" s="220"/>
      <c r="G689" s="220"/>
      <c r="H689" s="14" t="s">
        <v>552</v>
      </c>
      <c r="I689" s="184"/>
      <c r="J689" s="185"/>
      <c r="K689" s="184"/>
      <c r="L689" s="184"/>
      <c r="M689" s="184"/>
      <c r="N689" s="184"/>
      <c r="O689" s="184"/>
      <c r="P689" s="184"/>
      <c r="Q689" s="184"/>
      <c r="R689" s="55"/>
      <c r="S689" s="184"/>
      <c r="T689" s="184"/>
      <c r="U689" s="184"/>
      <c r="V689" s="185"/>
      <c r="W689" s="184">
        <f t="shared" si="440"/>
        <v>100000</v>
      </c>
      <c r="X689" s="184">
        <f t="shared" si="440"/>
        <v>0</v>
      </c>
      <c r="Y689" s="184">
        <f t="shared" si="440"/>
        <v>0</v>
      </c>
      <c r="Z689" s="162" t="b">
        <f t="shared" si="426"/>
        <v>1</v>
      </c>
      <c r="AA689" s="162" t="str">
        <f t="shared" si="427"/>
        <v>PRAZNO</v>
      </c>
      <c r="AB689" s="173"/>
    </row>
    <row r="690" spans="1:29" ht="15.75" x14ac:dyDescent="0.2">
      <c r="B690" s="177"/>
      <c r="C690" s="177">
        <v>42</v>
      </c>
      <c r="D690" s="177"/>
      <c r="E690" s="177"/>
      <c r="F690" s="176"/>
      <c r="G690" s="176"/>
      <c r="H690" s="16" t="s">
        <v>212</v>
      </c>
      <c r="I690" s="18"/>
      <c r="J690" s="27"/>
      <c r="K690" s="18"/>
      <c r="L690" s="18"/>
      <c r="M690" s="18"/>
      <c r="N690" s="18"/>
      <c r="O690" s="18"/>
      <c r="P690" s="18"/>
      <c r="Q690" s="18"/>
      <c r="R690" s="26"/>
      <c r="S690" s="18"/>
      <c r="T690" s="18"/>
      <c r="U690" s="18"/>
      <c r="V690" s="27"/>
      <c r="W690" s="18">
        <f t="shared" si="440"/>
        <v>100000</v>
      </c>
      <c r="X690" s="18">
        <f t="shared" si="440"/>
        <v>0</v>
      </c>
      <c r="Y690" s="18">
        <f t="shared" si="440"/>
        <v>0</v>
      </c>
      <c r="Z690" s="162" t="b">
        <f t="shared" si="426"/>
        <v>1</v>
      </c>
      <c r="AA690" s="162" t="str">
        <f t="shared" si="427"/>
        <v>PRAZNO</v>
      </c>
      <c r="AC690" s="164"/>
    </row>
    <row r="691" spans="1:29" ht="15.75" x14ac:dyDescent="0.2">
      <c r="B691" s="177"/>
      <c r="C691" s="177"/>
      <c r="D691" s="177">
        <v>421</v>
      </c>
      <c r="E691" s="177"/>
      <c r="F691" s="176"/>
      <c r="G691" s="176"/>
      <c r="H691" s="16" t="s">
        <v>759</v>
      </c>
      <c r="I691" s="18"/>
      <c r="J691" s="27"/>
      <c r="K691" s="18"/>
      <c r="L691" s="18"/>
      <c r="M691" s="18"/>
      <c r="N691" s="18"/>
      <c r="O691" s="18"/>
      <c r="P691" s="18"/>
      <c r="Q691" s="18"/>
      <c r="R691" s="26"/>
      <c r="S691" s="18"/>
      <c r="T691" s="18"/>
      <c r="U691" s="18"/>
      <c r="V691" s="27"/>
      <c r="W691" s="18">
        <f t="shared" si="440"/>
        <v>100000</v>
      </c>
      <c r="X691" s="18">
        <f t="shared" si="440"/>
        <v>0</v>
      </c>
      <c r="Y691" s="18">
        <f t="shared" si="440"/>
        <v>0</v>
      </c>
      <c r="Z691" s="162" t="b">
        <f t="shared" si="426"/>
        <v>1</v>
      </c>
      <c r="AA691" s="162" t="str">
        <f t="shared" si="427"/>
        <v>PRAZNO</v>
      </c>
      <c r="AC691" s="164"/>
    </row>
    <row r="692" spans="1:29" ht="15.75" x14ac:dyDescent="0.2">
      <c r="B692" s="177"/>
      <c r="C692" s="177"/>
      <c r="D692" s="177"/>
      <c r="E692" s="177">
        <v>4212</v>
      </c>
      <c r="F692" s="176">
        <v>14</v>
      </c>
      <c r="G692" s="176"/>
      <c r="H692" s="16" t="s">
        <v>649</v>
      </c>
      <c r="I692" s="18"/>
      <c r="J692" s="27"/>
      <c r="K692" s="18"/>
      <c r="L692" s="18"/>
      <c r="M692" s="18"/>
      <c r="N692" s="18"/>
      <c r="O692" s="18"/>
      <c r="P692" s="18"/>
      <c r="Q692" s="18"/>
      <c r="R692" s="26"/>
      <c r="S692" s="18"/>
      <c r="T692" s="18"/>
      <c r="U692" s="18"/>
      <c r="V692" s="27"/>
      <c r="W692" s="182">
        <v>100000</v>
      </c>
      <c r="X692" s="182">
        <v>0</v>
      </c>
      <c r="Y692" s="429">
        <v>0</v>
      </c>
      <c r="Z692" s="162" t="b">
        <f t="shared" si="426"/>
        <v>0</v>
      </c>
      <c r="AA692" s="162" t="str">
        <f t="shared" si="427"/>
        <v>PUNO</v>
      </c>
      <c r="AC692" s="164"/>
    </row>
    <row r="693" spans="1:29" s="207" customFormat="1" ht="31.5" x14ac:dyDescent="0.25">
      <c r="A693" s="378"/>
      <c r="B693" s="168"/>
      <c r="C693" s="168"/>
      <c r="D693" s="168"/>
      <c r="E693" s="168"/>
      <c r="F693" s="322"/>
      <c r="G693" s="322"/>
      <c r="H693" s="13" t="s">
        <v>957</v>
      </c>
      <c r="I693" s="308"/>
      <c r="J693" s="323"/>
      <c r="K693" s="308"/>
      <c r="L693" s="308"/>
      <c r="M693" s="308"/>
      <c r="N693" s="308"/>
      <c r="O693" s="308"/>
      <c r="P693" s="308"/>
      <c r="Q693" s="308"/>
      <c r="R693" s="53"/>
      <c r="S693" s="308"/>
      <c r="T693" s="308"/>
      <c r="U693" s="308"/>
      <c r="V693" s="323"/>
      <c r="W693" s="438">
        <f>W695</f>
        <v>100000</v>
      </c>
      <c r="X693" s="438">
        <f>X695</f>
        <v>0</v>
      </c>
      <c r="Y693" s="438">
        <f>Y695</f>
        <v>0</v>
      </c>
      <c r="Z693" s="162" t="b">
        <f t="shared" si="426"/>
        <v>1</v>
      </c>
      <c r="AA693" s="162" t="str">
        <f t="shared" si="427"/>
        <v>PRAZNO</v>
      </c>
      <c r="AB693" s="206"/>
    </row>
    <row r="694" spans="1:29" s="447" customFormat="1" ht="15.75" x14ac:dyDescent="0.25">
      <c r="A694" s="378"/>
      <c r="B694" s="260"/>
      <c r="C694" s="260"/>
      <c r="D694" s="260"/>
      <c r="E694" s="260"/>
      <c r="F694" s="442"/>
      <c r="G694" s="442"/>
      <c r="H694" s="440" t="s">
        <v>824</v>
      </c>
      <c r="I694" s="443"/>
      <c r="J694" s="444"/>
      <c r="K694" s="443"/>
      <c r="L694" s="443"/>
      <c r="M694" s="443"/>
      <c r="N694" s="443"/>
      <c r="O694" s="443"/>
      <c r="P694" s="443"/>
      <c r="Q694" s="443"/>
      <c r="R694" s="342"/>
      <c r="S694" s="443"/>
      <c r="T694" s="443"/>
      <c r="U694" s="443"/>
      <c r="V694" s="444"/>
      <c r="W694" s="491">
        <f t="shared" ref="W694:Y697" si="441">W695</f>
        <v>100000</v>
      </c>
      <c r="X694" s="491">
        <f t="shared" si="441"/>
        <v>0</v>
      </c>
      <c r="Y694" s="491">
        <f t="shared" si="441"/>
        <v>0</v>
      </c>
      <c r="Z694" s="162" t="b">
        <f t="shared" si="426"/>
        <v>1</v>
      </c>
      <c r="AA694" s="162" t="str">
        <f t="shared" si="427"/>
        <v>PRAZNO</v>
      </c>
      <c r="AB694" s="446"/>
    </row>
    <row r="695" spans="1:29" s="174" customFormat="1" ht="15.75" x14ac:dyDescent="0.2">
      <c r="A695" s="259"/>
      <c r="B695" s="172">
        <v>4</v>
      </c>
      <c r="C695" s="172"/>
      <c r="D695" s="172"/>
      <c r="E695" s="172"/>
      <c r="F695" s="220"/>
      <c r="G695" s="220"/>
      <c r="H695" s="14" t="s">
        <v>956</v>
      </c>
      <c r="I695" s="184"/>
      <c r="J695" s="185"/>
      <c r="K695" s="184"/>
      <c r="L695" s="184"/>
      <c r="M695" s="184"/>
      <c r="N695" s="184"/>
      <c r="O695" s="184"/>
      <c r="P695" s="184"/>
      <c r="Q695" s="184"/>
      <c r="R695" s="55"/>
      <c r="S695" s="184"/>
      <c r="T695" s="184"/>
      <c r="U695" s="184"/>
      <c r="V695" s="185"/>
      <c r="W695" s="439">
        <f t="shared" si="441"/>
        <v>100000</v>
      </c>
      <c r="X695" s="439">
        <f t="shared" si="441"/>
        <v>0</v>
      </c>
      <c r="Y695" s="439">
        <f t="shared" si="441"/>
        <v>0</v>
      </c>
      <c r="Z695" s="162" t="b">
        <f t="shared" si="426"/>
        <v>1</v>
      </c>
      <c r="AA695" s="162" t="str">
        <f t="shared" si="427"/>
        <v>PRAZNO</v>
      </c>
      <c r="AB695" s="173"/>
    </row>
    <row r="696" spans="1:29" ht="15.75" x14ac:dyDescent="0.2">
      <c r="B696" s="177"/>
      <c r="C696" s="177">
        <v>42</v>
      </c>
      <c r="D696" s="177"/>
      <c r="E696" s="177"/>
      <c r="F696" s="176"/>
      <c r="G696" s="176"/>
      <c r="H696" s="16" t="s">
        <v>212</v>
      </c>
      <c r="I696" s="18"/>
      <c r="J696" s="27"/>
      <c r="K696" s="18"/>
      <c r="L696" s="18"/>
      <c r="M696" s="18"/>
      <c r="N696" s="18"/>
      <c r="O696" s="18"/>
      <c r="P696" s="18"/>
      <c r="Q696" s="18"/>
      <c r="R696" s="26"/>
      <c r="S696" s="18"/>
      <c r="T696" s="18"/>
      <c r="U696" s="18"/>
      <c r="V696" s="27"/>
      <c r="W696" s="182">
        <f t="shared" si="441"/>
        <v>100000</v>
      </c>
      <c r="X696" s="182">
        <f t="shared" si="441"/>
        <v>0</v>
      </c>
      <c r="Y696" s="182">
        <f t="shared" si="441"/>
        <v>0</v>
      </c>
      <c r="Z696" s="162" t="b">
        <f t="shared" si="426"/>
        <v>1</v>
      </c>
      <c r="AA696" s="162" t="str">
        <f t="shared" si="427"/>
        <v>PRAZNO</v>
      </c>
      <c r="AC696" s="164"/>
    </row>
    <row r="697" spans="1:29" ht="15.75" x14ac:dyDescent="0.2">
      <c r="B697" s="177"/>
      <c r="C697" s="177"/>
      <c r="D697" s="177">
        <v>421</v>
      </c>
      <c r="E697" s="177"/>
      <c r="F697" s="176"/>
      <c r="G697" s="176"/>
      <c r="H697" s="16" t="s">
        <v>759</v>
      </c>
      <c r="I697" s="18"/>
      <c r="J697" s="27"/>
      <c r="K697" s="18"/>
      <c r="L697" s="18"/>
      <c r="M697" s="18"/>
      <c r="N697" s="18"/>
      <c r="O697" s="18"/>
      <c r="P697" s="18"/>
      <c r="Q697" s="18"/>
      <c r="R697" s="26"/>
      <c r="S697" s="18"/>
      <c r="T697" s="18"/>
      <c r="U697" s="18"/>
      <c r="V697" s="27"/>
      <c r="W697" s="182">
        <f t="shared" si="441"/>
        <v>100000</v>
      </c>
      <c r="X697" s="182">
        <f t="shared" si="441"/>
        <v>0</v>
      </c>
      <c r="Y697" s="182">
        <f t="shared" si="441"/>
        <v>0</v>
      </c>
      <c r="Z697" s="162" t="b">
        <f t="shared" si="426"/>
        <v>1</v>
      </c>
      <c r="AA697" s="162" t="str">
        <f t="shared" si="427"/>
        <v>PRAZNO</v>
      </c>
      <c r="AC697" s="164"/>
    </row>
    <row r="698" spans="1:29" ht="15.75" x14ac:dyDescent="0.2">
      <c r="B698" s="177"/>
      <c r="C698" s="177"/>
      <c r="D698" s="177"/>
      <c r="E698" s="177">
        <v>4212</v>
      </c>
      <c r="F698" s="176">
        <v>14</v>
      </c>
      <c r="G698" s="176"/>
      <c r="H698" s="16" t="s">
        <v>649</v>
      </c>
      <c r="I698" s="18"/>
      <c r="J698" s="27"/>
      <c r="K698" s="18"/>
      <c r="L698" s="18"/>
      <c r="M698" s="18"/>
      <c r="N698" s="18"/>
      <c r="O698" s="18"/>
      <c r="P698" s="18"/>
      <c r="Q698" s="18"/>
      <c r="R698" s="26"/>
      <c r="S698" s="18"/>
      <c r="T698" s="18"/>
      <c r="U698" s="18"/>
      <c r="V698" s="27"/>
      <c r="W698" s="182">
        <v>100000</v>
      </c>
      <c r="X698" s="182">
        <v>0</v>
      </c>
      <c r="Y698" s="182">
        <v>0</v>
      </c>
      <c r="Z698" s="162" t="b">
        <f t="shared" si="426"/>
        <v>0</v>
      </c>
      <c r="AA698" s="162" t="str">
        <f t="shared" si="427"/>
        <v>PUNO</v>
      </c>
      <c r="AC698" s="164"/>
    </row>
    <row r="699" spans="1:29" s="164" customFormat="1" ht="15.75" x14ac:dyDescent="0.2">
      <c r="A699" s="259"/>
      <c r="B699" s="194"/>
      <c r="C699" s="194"/>
      <c r="D699" s="194"/>
      <c r="E699" s="194"/>
      <c r="F699" s="159"/>
      <c r="G699" s="159"/>
      <c r="H699" s="24" t="s">
        <v>472</v>
      </c>
      <c r="I699" s="195" t="e">
        <f>I701</f>
        <v>#REF!</v>
      </c>
      <c r="J699" s="195" t="e">
        <f>J701</f>
        <v>#REF!</v>
      </c>
      <c r="K699" s="196" t="e">
        <f>K701</f>
        <v>#REF!</v>
      </c>
      <c r="L699" s="196" t="e">
        <f>L701</f>
        <v>#REF!</v>
      </c>
      <c r="M699" s="196" t="e">
        <f>ROUND(L699/K699*100,2)</f>
        <v>#REF!</v>
      </c>
      <c r="N699" s="196" t="e">
        <f>O699-K699</f>
        <v>#REF!</v>
      </c>
      <c r="O699" s="195" t="e">
        <f>O701</f>
        <v>#REF!</v>
      </c>
      <c r="P699" s="195" t="e">
        <f>P701</f>
        <v>#REF!</v>
      </c>
      <c r="Q699" s="195" t="e">
        <f>Q701</f>
        <v>#REF!</v>
      </c>
      <c r="R699" s="351" t="e">
        <f>V699-P699</f>
        <v>#REF!</v>
      </c>
      <c r="S699" s="195" t="e">
        <f>S701</f>
        <v>#REF!</v>
      </c>
      <c r="T699" s="195" t="e">
        <f>T701</f>
        <v>#REF!</v>
      </c>
      <c r="U699" s="195" t="e">
        <f>U701</f>
        <v>#REF!</v>
      </c>
      <c r="V699" s="197" t="e">
        <f>V701</f>
        <v>#REF!</v>
      </c>
      <c r="W699" s="195">
        <f>W703+W736</f>
        <v>4443275</v>
      </c>
      <c r="X699" s="195">
        <f>X703+X736</f>
        <v>2968000</v>
      </c>
      <c r="Y699" s="195">
        <f>Y703+Y736</f>
        <v>971000</v>
      </c>
      <c r="Z699" s="162" t="b">
        <f t="shared" si="426"/>
        <v>1</v>
      </c>
      <c r="AA699" s="162" t="str">
        <f t="shared" si="427"/>
        <v>PRAZNO</v>
      </c>
      <c r="AB699" s="165"/>
    </row>
    <row r="700" spans="1:29" s="164" customFormat="1" ht="15.75" x14ac:dyDescent="0.2">
      <c r="A700" s="259"/>
      <c r="B700" s="194"/>
      <c r="C700" s="194"/>
      <c r="D700" s="194"/>
      <c r="E700" s="194"/>
      <c r="F700" s="159"/>
      <c r="G700" s="159"/>
      <c r="H700" s="11" t="s">
        <v>654</v>
      </c>
      <c r="I700" s="195"/>
      <c r="J700" s="195"/>
      <c r="K700" s="196"/>
      <c r="L700" s="196"/>
      <c r="M700" s="196" t="e">
        <f>ROUND(L700/K700*100,2)</f>
        <v>#DIV/0!</v>
      </c>
      <c r="N700" s="196"/>
      <c r="O700" s="195"/>
      <c r="P700" s="195"/>
      <c r="Q700" s="195"/>
      <c r="R700" s="353"/>
      <c r="S700" s="195"/>
      <c r="T700" s="195"/>
      <c r="U700" s="195"/>
      <c r="V700" s="197"/>
      <c r="W700" s="195"/>
      <c r="X700" s="195"/>
      <c r="Y700" s="195"/>
      <c r="Z700" s="162" t="b">
        <f t="shared" si="426"/>
        <v>1</v>
      </c>
      <c r="AA700" s="162" t="str">
        <f t="shared" si="427"/>
        <v>PRAZNO</v>
      </c>
      <c r="AB700" s="165"/>
    </row>
    <row r="701" spans="1:29" s="171" customFormat="1" ht="15.75" x14ac:dyDescent="0.2">
      <c r="A701" s="259"/>
      <c r="B701" s="168"/>
      <c r="C701" s="168"/>
      <c r="D701" s="168"/>
      <c r="E701" s="168"/>
      <c r="F701" s="168"/>
      <c r="G701" s="168"/>
      <c r="H701" s="13" t="s">
        <v>473</v>
      </c>
      <c r="I701" s="19" t="e">
        <f>I703+I736</f>
        <v>#REF!</v>
      </c>
      <c r="J701" s="19" t="e">
        <f>J703+J736</f>
        <v>#REF!</v>
      </c>
      <c r="K701" s="169" t="e">
        <f>K703+K736</f>
        <v>#REF!</v>
      </c>
      <c r="L701" s="169" t="e">
        <f>L703+L736</f>
        <v>#REF!</v>
      </c>
      <c r="M701" s="169" t="e">
        <f>ROUND(L701/K701*100,2)</f>
        <v>#REF!</v>
      </c>
      <c r="N701" s="169" t="e">
        <f>O701-K701</f>
        <v>#REF!</v>
      </c>
      <c r="O701" s="19" t="e">
        <f>O703+O736</f>
        <v>#REF!</v>
      </c>
      <c r="P701" s="19" t="e">
        <f>P703+P736</f>
        <v>#REF!</v>
      </c>
      <c r="Q701" s="19" t="e">
        <f>Q703+Q736</f>
        <v>#REF!</v>
      </c>
      <c r="R701" s="303" t="e">
        <f>V701-P701</f>
        <v>#REF!</v>
      </c>
      <c r="S701" s="19" t="e">
        <f>S703+S736</f>
        <v>#REF!</v>
      </c>
      <c r="T701" s="19" t="e">
        <f>T703+T736</f>
        <v>#REF!</v>
      </c>
      <c r="U701" s="19" t="e">
        <f>U703+U736</f>
        <v>#REF!</v>
      </c>
      <c r="V701" s="53" t="e">
        <f>V703+V736</f>
        <v>#REF!</v>
      </c>
      <c r="W701" s="19">
        <f>W699</f>
        <v>4443275</v>
      </c>
      <c r="X701" s="19">
        <f>X699</f>
        <v>2968000</v>
      </c>
      <c r="Y701" s="19">
        <f>Y699</f>
        <v>971000</v>
      </c>
      <c r="Z701" s="162" t="b">
        <f t="shared" si="426"/>
        <v>1</v>
      </c>
      <c r="AA701" s="162" t="str">
        <f t="shared" si="427"/>
        <v>PRAZNO</v>
      </c>
      <c r="AB701" s="170"/>
      <c r="AC701" s="164"/>
    </row>
    <row r="702" spans="1:29" s="171" customFormat="1" ht="31.5" x14ac:dyDescent="0.2">
      <c r="A702" s="259"/>
      <c r="B702" s="168"/>
      <c r="C702" s="168"/>
      <c r="D702" s="168"/>
      <c r="E702" s="168"/>
      <c r="F702" s="168"/>
      <c r="G702" s="168"/>
      <c r="H702" s="13" t="s">
        <v>306</v>
      </c>
      <c r="I702" s="53"/>
      <c r="J702" s="53"/>
      <c r="K702" s="169"/>
      <c r="L702" s="169"/>
      <c r="M702" s="169"/>
      <c r="N702" s="169"/>
      <c r="O702" s="19"/>
      <c r="P702" s="19"/>
      <c r="Q702" s="19"/>
      <c r="R702" s="205"/>
      <c r="S702" s="19"/>
      <c r="T702" s="19"/>
      <c r="U702" s="19"/>
      <c r="V702" s="53"/>
      <c r="W702" s="19"/>
      <c r="X702" s="19"/>
      <c r="Y702" s="19"/>
      <c r="Z702" s="162" t="b">
        <f t="shared" si="426"/>
        <v>1</v>
      </c>
      <c r="AA702" s="162" t="str">
        <f t="shared" si="427"/>
        <v>PRAZNO</v>
      </c>
      <c r="AB702" s="170"/>
      <c r="AC702" s="164"/>
    </row>
    <row r="703" spans="1:29" s="171" customFormat="1" ht="15.75" x14ac:dyDescent="0.2">
      <c r="A703" s="259"/>
      <c r="B703" s="270"/>
      <c r="C703" s="270"/>
      <c r="D703" s="270"/>
      <c r="E703" s="270"/>
      <c r="F703" s="270"/>
      <c r="G703" s="270"/>
      <c r="H703" s="274" t="s">
        <v>103</v>
      </c>
      <c r="I703" s="272" t="e">
        <f>#REF!+I709+I717+#REF!+I731+#REF!</f>
        <v>#REF!</v>
      </c>
      <c r="J703" s="272" t="e">
        <f>#REF!+J709+J717+#REF!+J731+#REF!</f>
        <v>#REF!</v>
      </c>
      <c r="K703" s="273" t="e">
        <f>#REF!+K709+K717+#REF!+K731+#REF!</f>
        <v>#REF!</v>
      </c>
      <c r="L703" s="273" t="e">
        <f>#REF!+L709+L717+#REF!+L731+#REF!</f>
        <v>#REF!</v>
      </c>
      <c r="M703" s="273" t="e">
        <f>ROUND(L703/K703*100,2)</f>
        <v>#REF!</v>
      </c>
      <c r="N703" s="273" t="e">
        <f>O703-K703</f>
        <v>#REF!</v>
      </c>
      <c r="O703" s="272" t="e">
        <f>#REF!+O709+O717+#REF!+O731+#REF!</f>
        <v>#REF!</v>
      </c>
      <c r="P703" s="272" t="e">
        <f>#REF!+P709+P717+#REF!+P731+#REF!</f>
        <v>#REF!</v>
      </c>
      <c r="Q703" s="272" t="e">
        <f>#REF!+Q709+Q717+#REF!+Q731+#REF!</f>
        <v>#REF!</v>
      </c>
      <c r="R703" s="336" t="e">
        <f>V703-P703</f>
        <v>#REF!</v>
      </c>
      <c r="S703" s="272" t="e">
        <f>#REF!+S709+S717+#REF!+S731+#REF!</f>
        <v>#REF!</v>
      </c>
      <c r="T703" s="272" t="e">
        <f>#REF!+T709+T717+#REF!+T731+#REF!</f>
        <v>#REF!</v>
      </c>
      <c r="U703" s="272" t="e">
        <f>#REF!+U709+U717+#REF!+U731+#REF!</f>
        <v>#REF!</v>
      </c>
      <c r="V703" s="275" t="e">
        <f>#REF!+V709+V717+#REF!+V731+#REF!</f>
        <v>#REF!</v>
      </c>
      <c r="W703" s="275">
        <f>W709+W717</f>
        <v>150000</v>
      </c>
      <c r="X703" s="275">
        <f>X709+X717</f>
        <v>735000</v>
      </c>
      <c r="Y703" s="275">
        <f>Y709+Y717</f>
        <v>757000</v>
      </c>
      <c r="Z703" s="162" t="b">
        <f t="shared" si="426"/>
        <v>1</v>
      </c>
      <c r="AA703" s="162" t="str">
        <f t="shared" si="427"/>
        <v>PRAZNO</v>
      </c>
      <c r="AB703" s="170"/>
      <c r="AC703" s="164"/>
    </row>
    <row r="704" spans="1:29" s="164" customFormat="1" ht="14.25" hidden="1" customHeight="1" x14ac:dyDescent="0.2">
      <c r="A704" s="259"/>
      <c r="B704" s="324"/>
      <c r="C704" s="324"/>
      <c r="D704" s="324"/>
      <c r="E704" s="324">
        <v>3235</v>
      </c>
      <c r="F704" s="325">
        <v>11</v>
      </c>
      <c r="G704" s="325" t="s">
        <v>1040</v>
      </c>
      <c r="H704" s="420" t="s">
        <v>640</v>
      </c>
      <c r="I704" s="326">
        <v>7337820.4299999997</v>
      </c>
      <c r="J704" s="327">
        <v>0</v>
      </c>
      <c r="K704" s="327">
        <v>0</v>
      </c>
      <c r="L704" s="327">
        <v>0</v>
      </c>
      <c r="M704" s="327">
        <v>0</v>
      </c>
      <c r="N704" s="327">
        <v>0</v>
      </c>
      <c r="O704" s="327">
        <v>0</v>
      </c>
      <c r="P704" s="327">
        <v>0</v>
      </c>
      <c r="Q704" s="327">
        <v>0</v>
      </c>
      <c r="R704" s="327">
        <v>0</v>
      </c>
      <c r="S704" s="327">
        <v>0</v>
      </c>
      <c r="T704" s="327">
        <v>0</v>
      </c>
      <c r="U704" s="327">
        <v>0</v>
      </c>
      <c r="V704" s="327">
        <v>0</v>
      </c>
      <c r="W704" s="327">
        <v>0</v>
      </c>
      <c r="X704" s="327">
        <v>0</v>
      </c>
      <c r="Y704" s="327">
        <v>0</v>
      </c>
      <c r="Z704" s="162" t="b">
        <f t="shared" ref="Z704:Z729" si="442">ISBLANK(E704)</f>
        <v>0</v>
      </c>
      <c r="AA704" s="162" t="str">
        <f t="shared" ref="AA704:AA729" si="443">IF(Z704,"PRAZNO","PUNO")</f>
        <v>PUNO</v>
      </c>
      <c r="AB704" s="165"/>
    </row>
    <row r="705" spans="1:29" s="164" customFormat="1" ht="14.25" hidden="1" customHeight="1" x14ac:dyDescent="0.2">
      <c r="A705" s="259"/>
      <c r="B705" s="324"/>
      <c r="C705" s="324"/>
      <c r="D705" s="324"/>
      <c r="E705" s="324">
        <v>3235</v>
      </c>
      <c r="F705" s="325">
        <v>14</v>
      </c>
      <c r="G705" s="325"/>
      <c r="H705" s="420" t="s">
        <v>640</v>
      </c>
      <c r="I705" s="326"/>
      <c r="J705" s="327">
        <v>0</v>
      </c>
      <c r="K705" s="327">
        <v>0</v>
      </c>
      <c r="L705" s="327">
        <v>0</v>
      </c>
      <c r="M705" s="327">
        <v>0</v>
      </c>
      <c r="N705" s="327">
        <v>0</v>
      </c>
      <c r="O705" s="327">
        <v>0</v>
      </c>
      <c r="P705" s="327">
        <v>0</v>
      </c>
      <c r="Q705" s="327">
        <v>0</v>
      </c>
      <c r="R705" s="327">
        <v>0</v>
      </c>
      <c r="S705" s="327">
        <v>0</v>
      </c>
      <c r="T705" s="327">
        <v>0</v>
      </c>
      <c r="U705" s="327">
        <v>0</v>
      </c>
      <c r="V705" s="327">
        <v>0</v>
      </c>
      <c r="W705" s="327">
        <v>0</v>
      </c>
      <c r="X705" s="327">
        <v>0</v>
      </c>
      <c r="Y705" s="327">
        <v>0</v>
      </c>
      <c r="Z705" s="162" t="b">
        <f t="shared" si="442"/>
        <v>0</v>
      </c>
      <c r="AA705" s="162" t="str">
        <f t="shared" si="443"/>
        <v>PUNO</v>
      </c>
      <c r="AB705" s="165"/>
    </row>
    <row r="706" spans="1:29" ht="30" hidden="1" x14ac:dyDescent="0.2">
      <c r="B706" s="175"/>
      <c r="C706" s="175">
        <v>37</v>
      </c>
      <c r="D706" s="175"/>
      <c r="E706" s="175"/>
      <c r="F706" s="175"/>
      <c r="G706" s="175"/>
      <c r="H706" s="16" t="s">
        <v>410</v>
      </c>
      <c r="I706" s="22">
        <f t="shared" ref="I706:L707" si="444">I707</f>
        <v>5530040.2599999998</v>
      </c>
      <c r="J706" s="38">
        <f t="shared" si="444"/>
        <v>0</v>
      </c>
      <c r="K706" s="22">
        <f t="shared" si="444"/>
        <v>0</v>
      </c>
      <c r="L706" s="22">
        <f t="shared" si="444"/>
        <v>0</v>
      </c>
      <c r="M706" s="22" t="e">
        <f>ROUND(L706/K706*100,2)</f>
        <v>#DIV/0!</v>
      </c>
      <c r="N706" s="22">
        <f>O706-K706</f>
        <v>0</v>
      </c>
      <c r="O706" s="22">
        <f t="shared" ref="O706:Q707" si="445">O707</f>
        <v>0</v>
      </c>
      <c r="P706" s="22">
        <f t="shared" si="445"/>
        <v>0</v>
      </c>
      <c r="Q706" s="22">
        <f t="shared" si="445"/>
        <v>0</v>
      </c>
      <c r="R706" s="26">
        <f>V706-P706</f>
        <v>0</v>
      </c>
      <c r="S706" s="22">
        <f t="shared" ref="S706:Y707" si="446">S707</f>
        <v>0</v>
      </c>
      <c r="T706" s="22">
        <f t="shared" si="446"/>
        <v>0</v>
      </c>
      <c r="U706" s="22">
        <f t="shared" si="446"/>
        <v>0</v>
      </c>
      <c r="V706" s="38">
        <f t="shared" si="446"/>
        <v>0</v>
      </c>
      <c r="W706" s="22">
        <f t="shared" si="446"/>
        <v>0</v>
      </c>
      <c r="X706" s="22">
        <f t="shared" si="446"/>
        <v>0</v>
      </c>
      <c r="Y706" s="22">
        <f t="shared" si="446"/>
        <v>0</v>
      </c>
      <c r="Z706" s="162" t="b">
        <f t="shared" si="442"/>
        <v>1</v>
      </c>
      <c r="AA706" s="162" t="str">
        <f t="shared" si="443"/>
        <v>PRAZNO</v>
      </c>
      <c r="AC706" s="164"/>
    </row>
    <row r="707" spans="1:29" ht="28.5" hidden="1" customHeight="1" x14ac:dyDescent="0.2">
      <c r="B707" s="177"/>
      <c r="C707" s="177"/>
      <c r="D707" s="177">
        <v>372</v>
      </c>
      <c r="E707" s="177"/>
      <c r="F707" s="177"/>
      <c r="G707" s="177"/>
      <c r="H707" s="16" t="s">
        <v>411</v>
      </c>
      <c r="I707" s="17">
        <f t="shared" si="444"/>
        <v>5530040.2599999998</v>
      </c>
      <c r="J707" s="26">
        <f t="shared" si="444"/>
        <v>0</v>
      </c>
      <c r="K707" s="17">
        <f t="shared" si="444"/>
        <v>0</v>
      </c>
      <c r="L707" s="17">
        <f t="shared" si="444"/>
        <v>0</v>
      </c>
      <c r="M707" s="17" t="e">
        <f>ROUND(L707/K707*100,2)</f>
        <v>#DIV/0!</v>
      </c>
      <c r="N707" s="17">
        <f>O707-K707</f>
        <v>0</v>
      </c>
      <c r="O707" s="17">
        <f t="shared" si="445"/>
        <v>0</v>
      </c>
      <c r="P707" s="17">
        <f t="shared" si="445"/>
        <v>0</v>
      </c>
      <c r="Q707" s="17">
        <f t="shared" si="445"/>
        <v>0</v>
      </c>
      <c r="R707" s="26">
        <f>V707-P707</f>
        <v>0</v>
      </c>
      <c r="S707" s="17">
        <f t="shared" si="446"/>
        <v>0</v>
      </c>
      <c r="T707" s="17">
        <f t="shared" si="446"/>
        <v>0</v>
      </c>
      <c r="U707" s="17">
        <f t="shared" si="446"/>
        <v>0</v>
      </c>
      <c r="V707" s="26">
        <f t="shared" si="446"/>
        <v>0</v>
      </c>
      <c r="W707" s="17">
        <f t="shared" si="446"/>
        <v>0</v>
      </c>
      <c r="X707" s="17">
        <f t="shared" si="446"/>
        <v>0</v>
      </c>
      <c r="Y707" s="17">
        <f t="shared" si="446"/>
        <v>0</v>
      </c>
      <c r="Z707" s="162" t="b">
        <f t="shared" si="442"/>
        <v>1</v>
      </c>
      <c r="AA707" s="162" t="str">
        <f t="shared" si="443"/>
        <v>PRAZNO</v>
      </c>
      <c r="AC707" s="164"/>
    </row>
    <row r="708" spans="1:29" ht="30" hidden="1" x14ac:dyDescent="0.2">
      <c r="B708" s="177"/>
      <c r="C708" s="177"/>
      <c r="D708" s="177"/>
      <c r="E708" s="177">
        <v>3722</v>
      </c>
      <c r="F708" s="176" t="s">
        <v>537</v>
      </c>
      <c r="G708" s="176" t="s">
        <v>1040</v>
      </c>
      <c r="H708" s="16" t="s">
        <v>394</v>
      </c>
      <c r="I708" s="18">
        <v>5530040.2599999998</v>
      </c>
      <c r="J708" s="27">
        <v>0</v>
      </c>
      <c r="K708" s="18">
        <v>0</v>
      </c>
      <c r="L708" s="18"/>
      <c r="M708" s="18" t="e">
        <f>ROUND(L708/K708*100,2)</f>
        <v>#DIV/0!</v>
      </c>
      <c r="N708" s="18">
        <f>O708-K708</f>
        <v>0</v>
      </c>
      <c r="O708" s="18"/>
      <c r="P708" s="18"/>
      <c r="Q708" s="18"/>
      <c r="R708" s="26">
        <f>V708-P708</f>
        <v>0</v>
      </c>
      <c r="S708" s="18"/>
      <c r="T708" s="18"/>
      <c r="U708" s="18"/>
      <c r="V708" s="27"/>
      <c r="W708" s="18"/>
      <c r="X708" s="18"/>
      <c r="Y708" s="18"/>
      <c r="Z708" s="162" t="b">
        <f t="shared" si="442"/>
        <v>0</v>
      </c>
      <c r="AA708" s="162" t="str">
        <f t="shared" si="443"/>
        <v>PUNO</v>
      </c>
      <c r="AC708" s="164"/>
    </row>
    <row r="709" spans="1:29" s="171" customFormat="1" ht="15.75" x14ac:dyDescent="0.2">
      <c r="A709" s="259"/>
      <c r="B709" s="168"/>
      <c r="C709" s="168"/>
      <c r="D709" s="168"/>
      <c r="E709" s="168"/>
      <c r="F709" s="168"/>
      <c r="G709" s="168"/>
      <c r="H709" s="13" t="s">
        <v>618</v>
      </c>
      <c r="I709" s="19">
        <f>I711</f>
        <v>338012.19</v>
      </c>
      <c r="J709" s="53">
        <f>J711</f>
        <v>295108.94999999995</v>
      </c>
      <c r="K709" s="169">
        <f>K711</f>
        <v>212200</v>
      </c>
      <c r="L709" s="169">
        <f>L711</f>
        <v>102169.95</v>
      </c>
      <c r="M709" s="169">
        <f>ROUND(L709/K709*100,2)</f>
        <v>48.15</v>
      </c>
      <c r="N709" s="169">
        <f>O709-K709</f>
        <v>-24943.559999999998</v>
      </c>
      <c r="O709" s="19">
        <f>O711</f>
        <v>187256.44</v>
      </c>
      <c r="P709" s="19">
        <f>P711</f>
        <v>290000</v>
      </c>
      <c r="Q709" s="19">
        <f>Q711</f>
        <v>221373.68</v>
      </c>
      <c r="R709" s="303">
        <f>V709-P709</f>
        <v>-15600</v>
      </c>
      <c r="S709" s="19">
        <f t="shared" ref="S709:Y709" si="447">S711</f>
        <v>290000</v>
      </c>
      <c r="T709" s="19">
        <f t="shared" si="447"/>
        <v>275000</v>
      </c>
      <c r="U709" s="19">
        <f t="shared" si="447"/>
        <v>295000</v>
      </c>
      <c r="V709" s="53">
        <f t="shared" si="447"/>
        <v>274400</v>
      </c>
      <c r="W709" s="19">
        <f t="shared" si="447"/>
        <v>0</v>
      </c>
      <c r="X709" s="19">
        <f t="shared" si="447"/>
        <v>290000</v>
      </c>
      <c r="Y709" s="19">
        <f t="shared" si="447"/>
        <v>298000</v>
      </c>
      <c r="Z709" s="162" t="b">
        <f t="shared" si="442"/>
        <v>1</v>
      </c>
      <c r="AA709" s="162" t="str">
        <f t="shared" si="443"/>
        <v>PRAZNO</v>
      </c>
      <c r="AB709" s="170"/>
      <c r="AC709" s="164"/>
    </row>
    <row r="710" spans="1:29" s="264" customFormat="1" ht="22.5" customHeight="1" x14ac:dyDescent="0.2">
      <c r="A710" s="259"/>
      <c r="B710" s="260"/>
      <c r="C710" s="260"/>
      <c r="D710" s="260"/>
      <c r="E710" s="260"/>
      <c r="F710" s="260"/>
      <c r="G710" s="260"/>
      <c r="H710" s="471" t="s">
        <v>830</v>
      </c>
      <c r="I710" s="262"/>
      <c r="J710" s="342"/>
      <c r="K710" s="181"/>
      <c r="L710" s="181"/>
      <c r="M710" s="181"/>
      <c r="N710" s="181"/>
      <c r="O710" s="262"/>
      <c r="P710" s="262"/>
      <c r="Q710" s="262"/>
      <c r="R710" s="445"/>
      <c r="S710" s="262"/>
      <c r="T710" s="262"/>
      <c r="U710" s="262"/>
      <c r="V710" s="342"/>
      <c r="W710" s="262">
        <f t="shared" ref="W710:Y711" si="448">W711</f>
        <v>0</v>
      </c>
      <c r="X710" s="262">
        <f t="shared" si="448"/>
        <v>290000</v>
      </c>
      <c r="Y710" s="262">
        <f t="shared" si="448"/>
        <v>298000</v>
      </c>
      <c r="Z710" s="162" t="b">
        <f t="shared" si="442"/>
        <v>1</v>
      </c>
      <c r="AA710" s="162" t="str">
        <f t="shared" si="443"/>
        <v>PRAZNO</v>
      </c>
      <c r="AB710" s="263"/>
    </row>
    <row r="711" spans="1:29" s="174" customFormat="1" ht="15.75" x14ac:dyDescent="0.2">
      <c r="A711" s="259"/>
      <c r="B711" s="172">
        <v>4</v>
      </c>
      <c r="C711" s="172"/>
      <c r="D711" s="172"/>
      <c r="E711" s="172"/>
      <c r="F711" s="172"/>
      <c r="G711" s="172"/>
      <c r="H711" s="14" t="s">
        <v>552</v>
      </c>
      <c r="I711" s="20">
        <f t="shared" ref="I711:L713" si="449">I712</f>
        <v>338012.19</v>
      </c>
      <c r="J711" s="55">
        <f t="shared" si="449"/>
        <v>295108.94999999995</v>
      </c>
      <c r="K711" s="20">
        <f t="shared" si="449"/>
        <v>212200</v>
      </c>
      <c r="L711" s="20">
        <f t="shared" si="449"/>
        <v>102169.95</v>
      </c>
      <c r="M711" s="20">
        <f>ROUND(L711/K711*100,2)</f>
        <v>48.15</v>
      </c>
      <c r="N711" s="20">
        <f>O711-K711</f>
        <v>-24943.559999999998</v>
      </c>
      <c r="O711" s="20">
        <f>O712</f>
        <v>187256.44</v>
      </c>
      <c r="P711" s="20">
        <f>P712</f>
        <v>290000</v>
      </c>
      <c r="Q711" s="20">
        <f>Q712</f>
        <v>221373.68</v>
      </c>
      <c r="R711" s="55">
        <f t="shared" ref="R711:R717" si="450">V711-P711</f>
        <v>-15600</v>
      </c>
      <c r="S711" s="20">
        <f>S712</f>
        <v>290000</v>
      </c>
      <c r="T711" s="20">
        <f>T712</f>
        <v>275000</v>
      </c>
      <c r="U711" s="20">
        <f>U712</f>
        <v>295000</v>
      </c>
      <c r="V711" s="55">
        <f>V712</f>
        <v>274400</v>
      </c>
      <c r="W711" s="20">
        <f t="shared" si="448"/>
        <v>0</v>
      </c>
      <c r="X711" s="20">
        <f t="shared" si="448"/>
        <v>290000</v>
      </c>
      <c r="Y711" s="20">
        <f t="shared" si="448"/>
        <v>298000</v>
      </c>
      <c r="Z711" s="162" t="b">
        <f t="shared" si="442"/>
        <v>1</v>
      </c>
      <c r="AA711" s="162" t="str">
        <f t="shared" si="443"/>
        <v>PRAZNO</v>
      </c>
      <c r="AB711" s="173"/>
      <c r="AC711" s="164"/>
    </row>
    <row r="712" spans="1:29" ht="30" x14ac:dyDescent="0.2">
      <c r="B712" s="175"/>
      <c r="C712" s="175">
        <v>45</v>
      </c>
      <c r="D712" s="175"/>
      <c r="E712" s="175"/>
      <c r="F712" s="175"/>
      <c r="G712" s="175"/>
      <c r="H712" s="15" t="s">
        <v>808</v>
      </c>
      <c r="I712" s="22">
        <f t="shared" si="449"/>
        <v>338012.19</v>
      </c>
      <c r="J712" s="38">
        <f t="shared" si="449"/>
        <v>295108.94999999995</v>
      </c>
      <c r="K712" s="22">
        <f t="shared" si="449"/>
        <v>212200</v>
      </c>
      <c r="L712" s="22">
        <f t="shared" si="449"/>
        <v>102169.95</v>
      </c>
      <c r="M712" s="22">
        <f>ROUND(L712/K712*100,2)</f>
        <v>48.15</v>
      </c>
      <c r="N712" s="22">
        <f>O712-K712</f>
        <v>-24943.559999999998</v>
      </c>
      <c r="O712" s="22">
        <f>O713</f>
        <v>187256.44</v>
      </c>
      <c r="P712" s="22">
        <f>P713+P715</f>
        <v>290000</v>
      </c>
      <c r="Q712" s="22">
        <f>Q713+Q715</f>
        <v>221373.68</v>
      </c>
      <c r="R712" s="26">
        <f t="shared" si="450"/>
        <v>-15600</v>
      </c>
      <c r="S712" s="22">
        <f t="shared" ref="S712:Y712" si="451">S713+S715</f>
        <v>290000</v>
      </c>
      <c r="T712" s="22">
        <f t="shared" si="451"/>
        <v>275000</v>
      </c>
      <c r="U712" s="22">
        <f t="shared" si="451"/>
        <v>295000</v>
      </c>
      <c r="V712" s="38">
        <f t="shared" si="451"/>
        <v>274400</v>
      </c>
      <c r="W712" s="22">
        <f t="shared" si="451"/>
        <v>0</v>
      </c>
      <c r="X712" s="22">
        <f t="shared" si="451"/>
        <v>290000</v>
      </c>
      <c r="Y712" s="22">
        <f t="shared" si="451"/>
        <v>298000</v>
      </c>
      <c r="Z712" s="162" t="b">
        <f t="shared" si="442"/>
        <v>1</v>
      </c>
      <c r="AA712" s="162" t="str">
        <f t="shared" si="443"/>
        <v>PRAZNO</v>
      </c>
      <c r="AC712" s="164"/>
    </row>
    <row r="713" spans="1:29" ht="15.75" x14ac:dyDescent="0.2">
      <c r="B713" s="177"/>
      <c r="C713" s="177"/>
      <c r="D713" s="177">
        <v>451</v>
      </c>
      <c r="E713" s="177"/>
      <c r="F713" s="177"/>
      <c r="G713" s="177"/>
      <c r="H713" s="16" t="s">
        <v>809</v>
      </c>
      <c r="I713" s="17">
        <f t="shared" si="449"/>
        <v>338012.19</v>
      </c>
      <c r="J713" s="17">
        <f t="shared" si="449"/>
        <v>295108.94999999995</v>
      </c>
      <c r="K713" s="17">
        <f t="shared" si="449"/>
        <v>212200</v>
      </c>
      <c r="L713" s="17">
        <f t="shared" si="449"/>
        <v>102169.95</v>
      </c>
      <c r="M713" s="17">
        <f>ROUND(L713/K713*100,2)</f>
        <v>48.15</v>
      </c>
      <c r="N713" s="17">
        <f>O713-K713</f>
        <v>-24943.559999999998</v>
      </c>
      <c r="O713" s="17">
        <f>O714</f>
        <v>187256.44</v>
      </c>
      <c r="P713" s="17">
        <f>P714</f>
        <v>265000</v>
      </c>
      <c r="Q713" s="17">
        <f>Q714</f>
        <v>221373.68</v>
      </c>
      <c r="R713" s="26">
        <f t="shared" si="450"/>
        <v>-15600</v>
      </c>
      <c r="S713" s="17">
        <f t="shared" ref="S713:Y713" si="452">S714</f>
        <v>265000</v>
      </c>
      <c r="T713" s="17">
        <f t="shared" si="452"/>
        <v>250000</v>
      </c>
      <c r="U713" s="17">
        <f t="shared" si="452"/>
        <v>270000</v>
      </c>
      <c r="V713" s="26">
        <f t="shared" si="452"/>
        <v>249400</v>
      </c>
      <c r="W713" s="17">
        <f t="shared" si="452"/>
        <v>0</v>
      </c>
      <c r="X713" s="17">
        <f t="shared" si="452"/>
        <v>265000</v>
      </c>
      <c r="Y713" s="17">
        <f t="shared" si="452"/>
        <v>272000</v>
      </c>
      <c r="Z713" s="162" t="b">
        <f t="shared" si="442"/>
        <v>1</v>
      </c>
      <c r="AA713" s="162" t="str">
        <f t="shared" si="443"/>
        <v>PRAZNO</v>
      </c>
      <c r="AC713" s="164"/>
    </row>
    <row r="714" spans="1:29" ht="15.75" x14ac:dyDescent="0.2">
      <c r="B714" s="177"/>
      <c r="C714" s="177"/>
      <c r="D714" s="177"/>
      <c r="E714" s="177">
        <v>4511</v>
      </c>
      <c r="F714" s="176">
        <v>54</v>
      </c>
      <c r="G714" s="176"/>
      <c r="H714" s="16" t="s">
        <v>809</v>
      </c>
      <c r="I714" s="18">
        <v>338012.19</v>
      </c>
      <c r="J714" s="27">
        <f>157408.55+51625+86075.4</f>
        <v>295108.94999999995</v>
      </c>
      <c r="K714" s="18">
        <v>212200</v>
      </c>
      <c r="L714" s="18">
        <v>102169.95</v>
      </c>
      <c r="M714" s="18">
        <f>ROUND(L714/K714*100,2)</f>
        <v>48.15</v>
      </c>
      <c r="N714" s="18">
        <f>O714-K714</f>
        <v>-24943.559999999998</v>
      </c>
      <c r="O714" s="18">
        <v>187256.44</v>
      </c>
      <c r="P714" s="18">
        <v>265000</v>
      </c>
      <c r="Q714" s="18">
        <v>221373.68</v>
      </c>
      <c r="R714" s="26">
        <f t="shared" si="450"/>
        <v>-15600</v>
      </c>
      <c r="S714" s="18">
        <v>265000</v>
      </c>
      <c r="T714" s="18">
        <v>250000</v>
      </c>
      <c r="U714" s="18">
        <v>270000</v>
      </c>
      <c r="V714" s="27">
        <v>249400</v>
      </c>
      <c r="W714" s="27">
        <v>0</v>
      </c>
      <c r="X714" s="27">
        <v>265000</v>
      </c>
      <c r="Y714" s="18">
        <v>272000</v>
      </c>
      <c r="Z714" s="162" t="b">
        <f t="shared" si="442"/>
        <v>0</v>
      </c>
      <c r="AA714" s="162" t="str">
        <f t="shared" si="443"/>
        <v>PUNO</v>
      </c>
      <c r="AC714" s="164"/>
    </row>
    <row r="715" spans="1:29" ht="15.75" x14ac:dyDescent="0.2">
      <c r="B715" s="177"/>
      <c r="C715" s="177"/>
      <c r="D715" s="177">
        <v>452</v>
      </c>
      <c r="E715" s="177"/>
      <c r="F715" s="176"/>
      <c r="G715" s="176"/>
      <c r="H715" s="16" t="s">
        <v>639</v>
      </c>
      <c r="I715" s="18"/>
      <c r="J715" s="27"/>
      <c r="K715" s="18"/>
      <c r="L715" s="18"/>
      <c r="M715" s="18"/>
      <c r="N715" s="18"/>
      <c r="O715" s="18"/>
      <c r="P715" s="18">
        <f>P716</f>
        <v>25000</v>
      </c>
      <c r="Q715" s="18">
        <f>Q716</f>
        <v>0</v>
      </c>
      <c r="R715" s="26">
        <f t="shared" si="450"/>
        <v>0</v>
      </c>
      <c r="S715" s="18">
        <f t="shared" ref="S715:Y715" si="453">S716</f>
        <v>25000</v>
      </c>
      <c r="T715" s="18">
        <f t="shared" si="453"/>
        <v>25000</v>
      </c>
      <c r="U715" s="18">
        <f t="shared" si="453"/>
        <v>25000</v>
      </c>
      <c r="V715" s="27">
        <f t="shared" si="453"/>
        <v>25000</v>
      </c>
      <c r="W715" s="18">
        <f t="shared" si="453"/>
        <v>0</v>
      </c>
      <c r="X715" s="18">
        <f t="shared" si="453"/>
        <v>25000</v>
      </c>
      <c r="Y715" s="18">
        <f t="shared" si="453"/>
        <v>26000</v>
      </c>
      <c r="Z715" s="162" t="b">
        <f t="shared" si="442"/>
        <v>1</v>
      </c>
      <c r="AA715" s="162" t="str">
        <f t="shared" si="443"/>
        <v>PRAZNO</v>
      </c>
      <c r="AC715" s="164"/>
    </row>
    <row r="716" spans="1:29" ht="15.75" x14ac:dyDescent="0.2">
      <c r="B716" s="177"/>
      <c r="C716" s="177"/>
      <c r="D716" s="177"/>
      <c r="E716" s="177">
        <v>4521</v>
      </c>
      <c r="F716" s="176">
        <v>54</v>
      </c>
      <c r="G716" s="176"/>
      <c r="H716" s="16" t="s">
        <v>639</v>
      </c>
      <c r="I716" s="18"/>
      <c r="J716" s="27"/>
      <c r="K716" s="18"/>
      <c r="L716" s="18"/>
      <c r="M716" s="18"/>
      <c r="N716" s="18"/>
      <c r="O716" s="18"/>
      <c r="P716" s="18">
        <v>25000</v>
      </c>
      <c r="Q716" s="18">
        <v>0</v>
      </c>
      <c r="R716" s="26">
        <f t="shared" si="450"/>
        <v>0</v>
      </c>
      <c r="S716" s="18">
        <v>25000</v>
      </c>
      <c r="T716" s="18">
        <v>25000</v>
      </c>
      <c r="U716" s="18">
        <v>25000</v>
      </c>
      <c r="V716" s="27">
        <v>25000</v>
      </c>
      <c r="W716" s="27">
        <v>0</v>
      </c>
      <c r="X716" s="27">
        <v>25000</v>
      </c>
      <c r="Y716" s="18">
        <v>26000</v>
      </c>
      <c r="Z716" s="162" t="b">
        <f t="shared" si="442"/>
        <v>0</v>
      </c>
      <c r="AA716" s="162" t="str">
        <f t="shared" si="443"/>
        <v>PUNO</v>
      </c>
      <c r="AC716" s="164"/>
    </row>
    <row r="717" spans="1:29" s="171" customFormat="1" ht="15.75" x14ac:dyDescent="0.2">
      <c r="A717" s="259"/>
      <c r="B717" s="168"/>
      <c r="C717" s="168"/>
      <c r="D717" s="168"/>
      <c r="E717" s="168"/>
      <c r="F717" s="168"/>
      <c r="G717" s="168"/>
      <c r="H717" s="12" t="s">
        <v>619</v>
      </c>
      <c r="I717" s="19">
        <f>I719</f>
        <v>869807.31</v>
      </c>
      <c r="J717" s="19">
        <f>J719</f>
        <v>724876.05</v>
      </c>
      <c r="K717" s="169">
        <f>K719</f>
        <v>429100</v>
      </c>
      <c r="L717" s="169">
        <f>L719</f>
        <v>4354</v>
      </c>
      <c r="M717" s="169">
        <f>ROUND(L717/K717*100,2)</f>
        <v>1.01</v>
      </c>
      <c r="N717" s="169">
        <f>O717-K717</f>
        <v>-25707.25</v>
      </c>
      <c r="O717" s="19">
        <f>O719</f>
        <v>403392.75</v>
      </c>
      <c r="P717" s="19">
        <f>P719</f>
        <v>445000</v>
      </c>
      <c r="Q717" s="19">
        <f>Q719</f>
        <v>0</v>
      </c>
      <c r="R717" s="303">
        <f t="shared" si="450"/>
        <v>-38800</v>
      </c>
      <c r="S717" s="19">
        <f t="shared" ref="S717:Y717" si="454">S719</f>
        <v>445000</v>
      </c>
      <c r="T717" s="19">
        <f t="shared" si="454"/>
        <v>447000</v>
      </c>
      <c r="U717" s="19">
        <f t="shared" si="454"/>
        <v>447000</v>
      </c>
      <c r="V717" s="53">
        <f t="shared" si="454"/>
        <v>406200</v>
      </c>
      <c r="W717" s="19">
        <f t="shared" si="454"/>
        <v>150000</v>
      </c>
      <c r="X717" s="19">
        <f t="shared" si="454"/>
        <v>445000</v>
      </c>
      <c r="Y717" s="19">
        <f t="shared" si="454"/>
        <v>459000</v>
      </c>
      <c r="Z717" s="162" t="b">
        <f t="shared" si="442"/>
        <v>1</v>
      </c>
      <c r="AA717" s="162" t="str">
        <f t="shared" si="443"/>
        <v>PRAZNO</v>
      </c>
      <c r="AB717" s="170"/>
      <c r="AC717" s="164"/>
    </row>
    <row r="718" spans="1:29" s="264" customFormat="1" ht="20.25" customHeight="1" x14ac:dyDescent="0.2">
      <c r="A718" s="259"/>
      <c r="B718" s="260"/>
      <c r="C718" s="260"/>
      <c r="D718" s="260"/>
      <c r="E718" s="260"/>
      <c r="F718" s="260"/>
      <c r="G718" s="260"/>
      <c r="H718" s="471" t="s">
        <v>830</v>
      </c>
      <c r="I718" s="262"/>
      <c r="J718" s="262"/>
      <c r="K718" s="181"/>
      <c r="L718" s="181"/>
      <c r="M718" s="181"/>
      <c r="N718" s="181"/>
      <c r="O718" s="262"/>
      <c r="P718" s="262"/>
      <c r="Q718" s="262"/>
      <c r="R718" s="445"/>
      <c r="S718" s="262"/>
      <c r="T718" s="262"/>
      <c r="U718" s="262"/>
      <c r="V718" s="342"/>
      <c r="W718" s="262">
        <f t="shared" ref="W718:Y719" si="455">W719</f>
        <v>150000</v>
      </c>
      <c r="X718" s="262">
        <f t="shared" si="455"/>
        <v>445000</v>
      </c>
      <c r="Y718" s="262">
        <f t="shared" si="455"/>
        <v>459000</v>
      </c>
      <c r="Z718" s="162" t="b">
        <f t="shared" si="442"/>
        <v>1</v>
      </c>
      <c r="AA718" s="162" t="str">
        <f t="shared" si="443"/>
        <v>PRAZNO</v>
      </c>
      <c r="AB718" s="263"/>
    </row>
    <row r="719" spans="1:29" s="174" customFormat="1" ht="15.75" x14ac:dyDescent="0.2">
      <c r="A719" s="259"/>
      <c r="B719" s="172">
        <v>4</v>
      </c>
      <c r="C719" s="172"/>
      <c r="D719" s="172"/>
      <c r="E719" s="172"/>
      <c r="F719" s="172"/>
      <c r="G719" s="172"/>
      <c r="H719" s="14" t="s">
        <v>552</v>
      </c>
      <c r="I719" s="20">
        <f>I720</f>
        <v>869807.31</v>
      </c>
      <c r="J719" s="20">
        <f>J720</f>
        <v>724876.05</v>
      </c>
      <c r="K719" s="20">
        <f>K720</f>
        <v>429100</v>
      </c>
      <c r="L719" s="20">
        <f>L720</f>
        <v>4354</v>
      </c>
      <c r="M719" s="20">
        <f t="shared" ref="M719:M735" si="456">ROUND(L719/K719*100,2)</f>
        <v>1.01</v>
      </c>
      <c r="N719" s="20">
        <f t="shared" ref="N719:N735" si="457">O719-K719</f>
        <v>-25707.25</v>
      </c>
      <c r="O719" s="20">
        <f>O720</f>
        <v>403392.75</v>
      </c>
      <c r="P719" s="20">
        <f>P720</f>
        <v>445000</v>
      </c>
      <c r="Q719" s="20">
        <f>Q720</f>
        <v>0</v>
      </c>
      <c r="R719" s="55">
        <f t="shared" ref="R719:R736" si="458">V719-P719</f>
        <v>-38800</v>
      </c>
      <c r="S719" s="20">
        <f>S720</f>
        <v>445000</v>
      </c>
      <c r="T719" s="20">
        <f>T720</f>
        <v>447000</v>
      </c>
      <c r="U719" s="20">
        <f>U720</f>
        <v>447000</v>
      </c>
      <c r="V719" s="55">
        <f>V720</f>
        <v>406200</v>
      </c>
      <c r="W719" s="20">
        <f t="shared" si="455"/>
        <v>150000</v>
      </c>
      <c r="X719" s="20">
        <f t="shared" si="455"/>
        <v>445000</v>
      </c>
      <c r="Y719" s="20">
        <f t="shared" si="455"/>
        <v>459000</v>
      </c>
      <c r="Z719" s="162" t="b">
        <f t="shared" si="442"/>
        <v>1</v>
      </c>
      <c r="AA719" s="162" t="str">
        <f t="shared" si="443"/>
        <v>PRAZNO</v>
      </c>
      <c r="AB719" s="173"/>
      <c r="AC719" s="164"/>
    </row>
    <row r="720" spans="1:29" ht="25.5" customHeight="1" x14ac:dyDescent="0.2">
      <c r="B720" s="175"/>
      <c r="C720" s="175">
        <v>42</v>
      </c>
      <c r="D720" s="175"/>
      <c r="E720" s="175"/>
      <c r="F720" s="175"/>
      <c r="G720" s="175"/>
      <c r="H720" s="42" t="s">
        <v>212</v>
      </c>
      <c r="I720" s="22">
        <f>I721+I729+I727</f>
        <v>869807.31</v>
      </c>
      <c r="J720" s="22">
        <f>J721+J729+J727</f>
        <v>724876.05</v>
      </c>
      <c r="K720" s="22">
        <f>K721+K729+K727</f>
        <v>429100</v>
      </c>
      <c r="L720" s="22">
        <f>L721+L729+L727</f>
        <v>4354</v>
      </c>
      <c r="M720" s="22">
        <f t="shared" si="456"/>
        <v>1.01</v>
      </c>
      <c r="N720" s="22">
        <f t="shared" si="457"/>
        <v>-25707.25</v>
      </c>
      <c r="O720" s="22">
        <f>O721+O729+O727</f>
        <v>403392.75</v>
      </c>
      <c r="P720" s="22">
        <f>P721+P729+P727</f>
        <v>445000</v>
      </c>
      <c r="Q720" s="22">
        <f>Q721+Q729+Q727</f>
        <v>0</v>
      </c>
      <c r="R720" s="26">
        <f t="shared" si="458"/>
        <v>-38800</v>
      </c>
      <c r="S720" s="22">
        <f t="shared" ref="S720:Y720" si="459">S721+S729+S727</f>
        <v>445000</v>
      </c>
      <c r="T720" s="22">
        <f t="shared" si="459"/>
        <v>447000</v>
      </c>
      <c r="U720" s="22">
        <f t="shared" si="459"/>
        <v>447000</v>
      </c>
      <c r="V720" s="38">
        <f t="shared" si="459"/>
        <v>406200</v>
      </c>
      <c r="W720" s="22">
        <f t="shared" si="459"/>
        <v>150000</v>
      </c>
      <c r="X720" s="22">
        <f t="shared" si="459"/>
        <v>445000</v>
      </c>
      <c r="Y720" s="22">
        <f t="shared" si="459"/>
        <v>459000</v>
      </c>
      <c r="Z720" s="162" t="b">
        <f t="shared" si="442"/>
        <v>1</v>
      </c>
      <c r="AA720" s="162" t="str">
        <f t="shared" si="443"/>
        <v>PRAZNO</v>
      </c>
      <c r="AC720" s="164"/>
    </row>
    <row r="721" spans="1:29" ht="15.75" x14ac:dyDescent="0.2">
      <c r="B721" s="177"/>
      <c r="C721" s="177"/>
      <c r="D721" s="177">
        <v>422</v>
      </c>
      <c r="E721" s="177"/>
      <c r="F721" s="177"/>
      <c r="G721" s="177"/>
      <c r="H721" s="16" t="s">
        <v>555</v>
      </c>
      <c r="I721" s="17">
        <f>SUM(I722:I726)</f>
        <v>804890.59000000008</v>
      </c>
      <c r="J721" s="17">
        <f>SUM(J722:J726)</f>
        <v>661087.66</v>
      </c>
      <c r="K721" s="17">
        <f>SUM(K722:K726)</f>
        <v>419600</v>
      </c>
      <c r="L721" s="17">
        <f>SUM(L722:L726)</f>
        <v>4354</v>
      </c>
      <c r="M721" s="17">
        <f t="shared" si="456"/>
        <v>1.04</v>
      </c>
      <c r="N721" s="17">
        <f t="shared" si="457"/>
        <v>-25182.219999999972</v>
      </c>
      <c r="O721" s="17">
        <f>SUM(O722:O726)</f>
        <v>394417.78</v>
      </c>
      <c r="P721" s="17">
        <f>SUM(P722:P726)</f>
        <v>443000</v>
      </c>
      <c r="Q721" s="17">
        <f>SUM(Q722:Q726)</f>
        <v>0</v>
      </c>
      <c r="R721" s="26">
        <f t="shared" si="458"/>
        <v>-38800</v>
      </c>
      <c r="S721" s="17">
        <f t="shared" ref="S721:Y721" si="460">SUM(S722:S726)</f>
        <v>443000</v>
      </c>
      <c r="T721" s="17">
        <f t="shared" si="460"/>
        <v>445000</v>
      </c>
      <c r="U721" s="17">
        <f t="shared" si="460"/>
        <v>445000</v>
      </c>
      <c r="V721" s="26">
        <f t="shared" si="460"/>
        <v>404200</v>
      </c>
      <c r="W721" s="17">
        <f t="shared" si="460"/>
        <v>150000</v>
      </c>
      <c r="X721" s="17">
        <f t="shared" si="460"/>
        <v>443000</v>
      </c>
      <c r="Y721" s="17">
        <f t="shared" si="460"/>
        <v>457000</v>
      </c>
      <c r="Z721" s="162" t="b">
        <f t="shared" si="442"/>
        <v>1</v>
      </c>
      <c r="AA721" s="162" t="str">
        <f t="shared" si="443"/>
        <v>PRAZNO</v>
      </c>
      <c r="AC721" s="164"/>
    </row>
    <row r="722" spans="1:29" ht="15.75" x14ac:dyDescent="0.2">
      <c r="B722" s="177"/>
      <c r="C722" s="177"/>
      <c r="D722" s="177"/>
      <c r="E722" s="177">
        <v>4221</v>
      </c>
      <c r="F722" s="176">
        <v>54</v>
      </c>
      <c r="G722" s="176"/>
      <c r="H722" s="16" t="s">
        <v>558</v>
      </c>
      <c r="I722" s="18">
        <v>380414.14</v>
      </c>
      <c r="J722" s="27">
        <v>268939.8</v>
      </c>
      <c r="K722" s="18">
        <v>220000</v>
      </c>
      <c r="L722" s="18">
        <v>0</v>
      </c>
      <c r="M722" s="18">
        <f t="shared" si="456"/>
        <v>0</v>
      </c>
      <c r="N722" s="18">
        <f t="shared" si="457"/>
        <v>-20865.260000000009</v>
      </c>
      <c r="O722" s="18">
        <v>199134.74</v>
      </c>
      <c r="P722" s="18">
        <v>270000</v>
      </c>
      <c r="Q722" s="18">
        <v>0</v>
      </c>
      <c r="R722" s="26">
        <f t="shared" si="458"/>
        <v>-33700</v>
      </c>
      <c r="S722" s="18">
        <v>270000</v>
      </c>
      <c r="T722" s="18">
        <v>200000</v>
      </c>
      <c r="U722" s="18">
        <v>200000</v>
      </c>
      <c r="V722" s="27">
        <v>236300</v>
      </c>
      <c r="W722" s="27">
        <v>90000</v>
      </c>
      <c r="X722" s="27">
        <v>270000</v>
      </c>
      <c r="Y722" s="18">
        <v>280000</v>
      </c>
      <c r="Z722" s="162" t="b">
        <f t="shared" si="442"/>
        <v>0</v>
      </c>
      <c r="AA722" s="162" t="str">
        <f t="shared" si="443"/>
        <v>PUNO</v>
      </c>
      <c r="AC722" s="164"/>
    </row>
    <row r="723" spans="1:29" ht="15.75" hidden="1" x14ac:dyDescent="0.2">
      <c r="B723" s="177"/>
      <c r="C723" s="177"/>
      <c r="D723" s="177"/>
      <c r="E723" s="177">
        <v>4222</v>
      </c>
      <c r="F723" s="176">
        <v>54</v>
      </c>
      <c r="G723" s="176"/>
      <c r="H723" s="16" t="s">
        <v>559</v>
      </c>
      <c r="I723" s="18">
        <v>5998</v>
      </c>
      <c r="J723" s="27">
        <v>4999.59</v>
      </c>
      <c r="K723" s="18">
        <v>4500</v>
      </c>
      <c r="L723" s="18">
        <v>4354</v>
      </c>
      <c r="M723" s="18">
        <f t="shared" si="456"/>
        <v>96.76</v>
      </c>
      <c r="N723" s="18">
        <f t="shared" si="457"/>
        <v>-146</v>
      </c>
      <c r="O723" s="18">
        <v>4354</v>
      </c>
      <c r="P723" s="18">
        <v>0</v>
      </c>
      <c r="Q723" s="18">
        <v>0</v>
      </c>
      <c r="R723" s="26">
        <f t="shared" si="458"/>
        <v>0</v>
      </c>
      <c r="S723" s="18">
        <v>0</v>
      </c>
      <c r="T723" s="18">
        <v>5000</v>
      </c>
      <c r="U723" s="18">
        <v>5000</v>
      </c>
      <c r="V723" s="27"/>
      <c r="W723" s="18"/>
      <c r="X723" s="18"/>
      <c r="Y723" s="18"/>
      <c r="Z723" s="162" t="b">
        <f t="shared" si="442"/>
        <v>0</v>
      </c>
      <c r="AA723" s="162" t="str">
        <f t="shared" si="443"/>
        <v>PUNO</v>
      </c>
      <c r="AC723" s="164"/>
    </row>
    <row r="724" spans="1:29" ht="15.75" hidden="1" x14ac:dyDescent="0.2">
      <c r="B724" s="177"/>
      <c r="C724" s="177"/>
      <c r="D724" s="177"/>
      <c r="E724" s="177">
        <v>4223</v>
      </c>
      <c r="F724" s="176">
        <v>11</v>
      </c>
      <c r="G724" s="176" t="s">
        <v>1040</v>
      </c>
      <c r="H724" s="16" t="s">
        <v>628</v>
      </c>
      <c r="I724" s="18">
        <v>35003.26</v>
      </c>
      <c r="J724" s="27">
        <v>12199.01</v>
      </c>
      <c r="K724" s="18">
        <v>0</v>
      </c>
      <c r="L724" s="18">
        <v>0</v>
      </c>
      <c r="M724" s="18" t="e">
        <f t="shared" si="456"/>
        <v>#DIV/0!</v>
      </c>
      <c r="N724" s="18">
        <f t="shared" si="457"/>
        <v>0</v>
      </c>
      <c r="O724" s="18"/>
      <c r="P724" s="18"/>
      <c r="Q724" s="18"/>
      <c r="R724" s="26">
        <f t="shared" si="458"/>
        <v>0</v>
      </c>
      <c r="S724" s="18"/>
      <c r="T724" s="18"/>
      <c r="U724" s="18"/>
      <c r="V724" s="27"/>
      <c r="W724" s="18"/>
      <c r="X724" s="18"/>
      <c r="Y724" s="18"/>
      <c r="Z724" s="162" t="b">
        <f t="shared" si="442"/>
        <v>0</v>
      </c>
      <c r="AA724" s="162" t="str">
        <f t="shared" si="443"/>
        <v>PUNO</v>
      </c>
      <c r="AC724" s="164"/>
    </row>
    <row r="725" spans="1:29" ht="15.75" x14ac:dyDescent="0.2">
      <c r="B725" s="177"/>
      <c r="C725" s="177"/>
      <c r="D725" s="177"/>
      <c r="E725" s="177">
        <v>4225</v>
      </c>
      <c r="F725" s="176">
        <v>54</v>
      </c>
      <c r="G725" s="176"/>
      <c r="H725" s="16" t="s">
        <v>844</v>
      </c>
      <c r="I725" s="18">
        <v>51084.74</v>
      </c>
      <c r="J725" s="27">
        <v>46171.7</v>
      </c>
      <c r="K725" s="18">
        <v>29200</v>
      </c>
      <c r="L725" s="18">
        <v>0</v>
      </c>
      <c r="M725" s="18">
        <f t="shared" si="456"/>
        <v>0</v>
      </c>
      <c r="N725" s="18">
        <f t="shared" si="457"/>
        <v>-0.16999999999825377</v>
      </c>
      <c r="O725" s="18">
        <v>29199.83</v>
      </c>
      <c r="P725" s="18">
        <v>93000</v>
      </c>
      <c r="Q725" s="18">
        <v>0</v>
      </c>
      <c r="R725" s="26">
        <f t="shared" si="458"/>
        <v>-5500</v>
      </c>
      <c r="S725" s="18">
        <v>93000</v>
      </c>
      <c r="T725" s="18">
        <v>90000</v>
      </c>
      <c r="U725" s="18">
        <v>90000</v>
      </c>
      <c r="V725" s="27">
        <v>87500</v>
      </c>
      <c r="W725" s="27">
        <v>60000</v>
      </c>
      <c r="X725" s="27">
        <v>93000</v>
      </c>
      <c r="Y725" s="18">
        <v>95000</v>
      </c>
      <c r="Z725" s="162" t="b">
        <f t="shared" si="442"/>
        <v>0</v>
      </c>
      <c r="AA725" s="162" t="str">
        <f t="shared" si="443"/>
        <v>PUNO</v>
      </c>
      <c r="AC725" s="164"/>
    </row>
    <row r="726" spans="1:29" ht="15.75" x14ac:dyDescent="0.2">
      <c r="B726" s="177"/>
      <c r="C726" s="177"/>
      <c r="D726" s="177"/>
      <c r="E726" s="177">
        <v>4227</v>
      </c>
      <c r="F726" s="176">
        <v>54</v>
      </c>
      <c r="G726" s="176"/>
      <c r="H726" s="16" t="s">
        <v>413</v>
      </c>
      <c r="I726" s="18">
        <v>332390.45</v>
      </c>
      <c r="J726" s="27">
        <v>328777.56</v>
      </c>
      <c r="K726" s="18">
        <v>165900</v>
      </c>
      <c r="L726" s="18">
        <v>0</v>
      </c>
      <c r="M726" s="18">
        <f t="shared" si="456"/>
        <v>0</v>
      </c>
      <c r="N726" s="18">
        <f t="shared" si="457"/>
        <v>-4170.7900000000081</v>
      </c>
      <c r="O726" s="18">
        <v>161729.21</v>
      </c>
      <c r="P726" s="18">
        <v>80000</v>
      </c>
      <c r="Q726" s="18">
        <v>0</v>
      </c>
      <c r="R726" s="26">
        <f t="shared" si="458"/>
        <v>400</v>
      </c>
      <c r="S726" s="18">
        <v>80000</v>
      </c>
      <c r="T726" s="18">
        <v>150000</v>
      </c>
      <c r="U726" s="18">
        <v>150000</v>
      </c>
      <c r="V726" s="27">
        <v>80400</v>
      </c>
      <c r="W726" s="27">
        <v>0</v>
      </c>
      <c r="X726" s="27">
        <v>80000</v>
      </c>
      <c r="Y726" s="18">
        <v>82000</v>
      </c>
      <c r="Z726" s="162" t="b">
        <f t="shared" si="442"/>
        <v>0</v>
      </c>
      <c r="AA726" s="162" t="str">
        <f t="shared" si="443"/>
        <v>PUNO</v>
      </c>
      <c r="AC726" s="164"/>
    </row>
    <row r="727" spans="1:29" ht="33" hidden="1" customHeight="1" x14ac:dyDescent="0.2">
      <c r="B727" s="177"/>
      <c r="C727" s="177"/>
      <c r="D727" s="177">
        <v>424</v>
      </c>
      <c r="E727" s="177"/>
      <c r="F727" s="177"/>
      <c r="G727" s="177"/>
      <c r="H727" s="16" t="s">
        <v>447</v>
      </c>
      <c r="I727" s="18">
        <f>I728</f>
        <v>64916.72</v>
      </c>
      <c r="J727" s="27">
        <f>J728</f>
        <v>57007.4</v>
      </c>
      <c r="K727" s="18">
        <f>K728</f>
        <v>0</v>
      </c>
      <c r="L727" s="18">
        <f>L728</f>
        <v>0</v>
      </c>
      <c r="M727" s="18" t="e">
        <f t="shared" si="456"/>
        <v>#DIV/0!</v>
      </c>
      <c r="N727" s="18">
        <f t="shared" si="457"/>
        <v>0</v>
      </c>
      <c r="O727" s="18">
        <f>O728</f>
        <v>0</v>
      </c>
      <c r="P727" s="18">
        <f>P728</f>
        <v>0</v>
      </c>
      <c r="Q727" s="18">
        <f>Q728</f>
        <v>0</v>
      </c>
      <c r="R727" s="26">
        <f t="shared" si="458"/>
        <v>0</v>
      </c>
      <c r="S727" s="18">
        <f t="shared" ref="S727:Y727" si="461">S728</f>
        <v>0</v>
      </c>
      <c r="T727" s="18">
        <f t="shared" si="461"/>
        <v>0</v>
      </c>
      <c r="U727" s="18">
        <f t="shared" si="461"/>
        <v>0</v>
      </c>
      <c r="V727" s="27">
        <f t="shared" si="461"/>
        <v>0</v>
      </c>
      <c r="W727" s="18">
        <f t="shared" si="461"/>
        <v>0</v>
      </c>
      <c r="X727" s="18">
        <f t="shared" si="461"/>
        <v>0</v>
      </c>
      <c r="Y727" s="18">
        <f t="shared" si="461"/>
        <v>0</v>
      </c>
      <c r="Z727" s="162" t="b">
        <f t="shared" si="442"/>
        <v>1</v>
      </c>
      <c r="AA727" s="162" t="str">
        <f t="shared" si="443"/>
        <v>PRAZNO</v>
      </c>
      <c r="AC727" s="164"/>
    </row>
    <row r="728" spans="1:29" ht="15.75" hidden="1" x14ac:dyDescent="0.2">
      <c r="B728" s="177"/>
      <c r="C728" s="177"/>
      <c r="D728" s="177"/>
      <c r="E728" s="177">
        <v>4241</v>
      </c>
      <c r="F728" s="176" t="s">
        <v>527</v>
      </c>
      <c r="G728" s="176" t="s">
        <v>1040</v>
      </c>
      <c r="H728" s="16" t="s">
        <v>437</v>
      </c>
      <c r="I728" s="18">
        <v>64916.72</v>
      </c>
      <c r="J728" s="27">
        <v>57007.4</v>
      </c>
      <c r="K728" s="18">
        <v>0</v>
      </c>
      <c r="L728" s="18">
        <v>0</v>
      </c>
      <c r="M728" s="18" t="e">
        <f t="shared" si="456"/>
        <v>#DIV/0!</v>
      </c>
      <c r="N728" s="18">
        <f t="shared" si="457"/>
        <v>0</v>
      </c>
      <c r="O728" s="18"/>
      <c r="P728" s="18"/>
      <c r="Q728" s="18"/>
      <c r="R728" s="26">
        <f t="shared" si="458"/>
        <v>0</v>
      </c>
      <c r="S728" s="18"/>
      <c r="T728" s="18"/>
      <c r="U728" s="18"/>
      <c r="V728" s="27"/>
      <c r="W728" s="18"/>
      <c r="X728" s="18"/>
      <c r="Y728" s="18"/>
      <c r="Z728" s="162" t="b">
        <f t="shared" si="442"/>
        <v>0</v>
      </c>
      <c r="AA728" s="162" t="str">
        <f t="shared" si="443"/>
        <v>PUNO</v>
      </c>
      <c r="AC728" s="164"/>
    </row>
    <row r="729" spans="1:29" ht="15.75" x14ac:dyDescent="0.2">
      <c r="B729" s="177"/>
      <c r="C729" s="177"/>
      <c r="D729" s="177">
        <v>426</v>
      </c>
      <c r="E729" s="177"/>
      <c r="F729" s="177"/>
      <c r="G729" s="177"/>
      <c r="H729" s="16" t="s">
        <v>560</v>
      </c>
      <c r="I729" s="18">
        <f>I730</f>
        <v>0</v>
      </c>
      <c r="J729" s="18">
        <f>J730</f>
        <v>6780.99</v>
      </c>
      <c r="K729" s="18">
        <f>K730</f>
        <v>9500</v>
      </c>
      <c r="L729" s="18">
        <f>L730</f>
        <v>0</v>
      </c>
      <c r="M729" s="18">
        <f t="shared" si="456"/>
        <v>0</v>
      </c>
      <c r="N729" s="18">
        <f t="shared" si="457"/>
        <v>-525.03000000000065</v>
      </c>
      <c r="O729" s="18">
        <f>O730</f>
        <v>8974.9699999999993</v>
      </c>
      <c r="P729" s="18">
        <f>P730</f>
        <v>2000</v>
      </c>
      <c r="Q729" s="18">
        <f>Q730</f>
        <v>0</v>
      </c>
      <c r="R729" s="26">
        <f t="shared" si="458"/>
        <v>0</v>
      </c>
      <c r="S729" s="18">
        <f t="shared" ref="S729:Y729" si="462">S730</f>
        <v>2000</v>
      </c>
      <c r="T729" s="18">
        <f t="shared" si="462"/>
        <v>2000</v>
      </c>
      <c r="U729" s="18">
        <f t="shared" si="462"/>
        <v>2000</v>
      </c>
      <c r="V729" s="27">
        <f t="shared" si="462"/>
        <v>2000</v>
      </c>
      <c r="W729" s="18">
        <f t="shared" si="462"/>
        <v>0</v>
      </c>
      <c r="X729" s="18">
        <f t="shared" si="462"/>
        <v>2000</v>
      </c>
      <c r="Y729" s="18">
        <f t="shared" si="462"/>
        <v>2000</v>
      </c>
      <c r="Z729" s="162" t="b">
        <f t="shared" si="442"/>
        <v>1</v>
      </c>
      <c r="AA729" s="162" t="str">
        <f t="shared" si="443"/>
        <v>PRAZNO</v>
      </c>
      <c r="AC729" s="164"/>
    </row>
    <row r="730" spans="1:29" ht="15.75" x14ac:dyDescent="0.2">
      <c r="B730" s="177"/>
      <c r="C730" s="177"/>
      <c r="D730" s="177"/>
      <c r="E730" s="177">
        <v>4262</v>
      </c>
      <c r="F730" s="176">
        <v>54</v>
      </c>
      <c r="G730" s="176"/>
      <c r="H730" s="16" t="s">
        <v>448</v>
      </c>
      <c r="I730" s="18">
        <v>0</v>
      </c>
      <c r="J730" s="27">
        <v>6780.99</v>
      </c>
      <c r="K730" s="18">
        <v>9500</v>
      </c>
      <c r="L730" s="18">
        <v>0</v>
      </c>
      <c r="M730" s="18">
        <f t="shared" si="456"/>
        <v>0</v>
      </c>
      <c r="N730" s="18">
        <f t="shared" si="457"/>
        <v>-525.03000000000065</v>
      </c>
      <c r="O730" s="18">
        <v>8974.9699999999993</v>
      </c>
      <c r="P730" s="18">
        <v>2000</v>
      </c>
      <c r="Q730" s="18">
        <v>0</v>
      </c>
      <c r="R730" s="26">
        <f t="shared" si="458"/>
        <v>0</v>
      </c>
      <c r="S730" s="18">
        <v>2000</v>
      </c>
      <c r="T730" s="18">
        <v>2000</v>
      </c>
      <c r="U730" s="18">
        <v>2000</v>
      </c>
      <c r="V730" s="27">
        <v>2000</v>
      </c>
      <c r="W730" s="27">
        <v>0</v>
      </c>
      <c r="X730" s="27">
        <v>2000</v>
      </c>
      <c r="Y730" s="18">
        <v>2000</v>
      </c>
      <c r="Z730" s="162" t="b">
        <f t="shared" ref="Z730:Z736" si="463">ISBLANK(E730)</f>
        <v>0</v>
      </c>
      <c r="AA730" s="162" t="str">
        <f t="shared" ref="AA730:AA736" si="464">IF(Z730,"PRAZNO","PUNO")</f>
        <v>PUNO</v>
      </c>
      <c r="AC730" s="164"/>
    </row>
    <row r="731" spans="1:29" s="171" customFormat="1" ht="31.5" hidden="1" x14ac:dyDescent="0.2">
      <c r="A731" s="259"/>
      <c r="B731" s="168"/>
      <c r="C731" s="168"/>
      <c r="D731" s="168"/>
      <c r="E731" s="168"/>
      <c r="F731" s="168"/>
      <c r="G731" s="168"/>
      <c r="H731" s="13" t="s">
        <v>606</v>
      </c>
      <c r="I731" s="19">
        <f t="shared" ref="I731:L734" si="465">I732</f>
        <v>0</v>
      </c>
      <c r="J731" s="53">
        <f t="shared" si="465"/>
        <v>660900</v>
      </c>
      <c r="K731" s="169">
        <f t="shared" si="465"/>
        <v>840000</v>
      </c>
      <c r="L731" s="169">
        <f t="shared" si="465"/>
        <v>840000</v>
      </c>
      <c r="M731" s="169">
        <f t="shared" si="456"/>
        <v>100</v>
      </c>
      <c r="N731" s="169">
        <f t="shared" si="457"/>
        <v>49200</v>
      </c>
      <c r="O731" s="19">
        <f t="shared" ref="O731:Q734" si="466">O732</f>
        <v>889200</v>
      </c>
      <c r="P731" s="19">
        <f t="shared" si="466"/>
        <v>0</v>
      </c>
      <c r="Q731" s="19">
        <f t="shared" si="466"/>
        <v>0</v>
      </c>
      <c r="R731" s="303">
        <f t="shared" si="458"/>
        <v>0</v>
      </c>
      <c r="S731" s="19">
        <f t="shared" ref="S731:Y734" si="467">S732</f>
        <v>0</v>
      </c>
      <c r="T731" s="19">
        <f t="shared" si="467"/>
        <v>0</v>
      </c>
      <c r="U731" s="19">
        <f t="shared" si="467"/>
        <v>0</v>
      </c>
      <c r="V731" s="53">
        <f t="shared" si="467"/>
        <v>0</v>
      </c>
      <c r="W731" s="19">
        <f t="shared" si="467"/>
        <v>0</v>
      </c>
      <c r="X731" s="19">
        <f t="shared" si="467"/>
        <v>0</v>
      </c>
      <c r="Y731" s="19">
        <f t="shared" si="467"/>
        <v>0</v>
      </c>
      <c r="Z731" s="162" t="b">
        <f t="shared" si="463"/>
        <v>1</v>
      </c>
      <c r="AA731" s="162" t="str">
        <f t="shared" si="464"/>
        <v>PRAZNO</v>
      </c>
      <c r="AB731" s="170"/>
      <c r="AC731" s="164"/>
    </row>
    <row r="732" spans="1:29" s="174" customFormat="1" ht="15.75" hidden="1" x14ac:dyDescent="0.2">
      <c r="A732" s="259"/>
      <c r="B732" s="172">
        <v>4</v>
      </c>
      <c r="C732" s="172"/>
      <c r="D732" s="172"/>
      <c r="E732" s="172"/>
      <c r="F732" s="172"/>
      <c r="G732" s="172"/>
      <c r="H732" s="14" t="s">
        <v>552</v>
      </c>
      <c r="I732" s="20">
        <f t="shared" si="465"/>
        <v>0</v>
      </c>
      <c r="J732" s="55">
        <f t="shared" si="465"/>
        <v>660900</v>
      </c>
      <c r="K732" s="20">
        <f t="shared" si="465"/>
        <v>840000</v>
      </c>
      <c r="L732" s="20">
        <f t="shared" si="465"/>
        <v>840000</v>
      </c>
      <c r="M732" s="20">
        <f t="shared" si="456"/>
        <v>100</v>
      </c>
      <c r="N732" s="20">
        <f t="shared" si="457"/>
        <v>49200</v>
      </c>
      <c r="O732" s="20">
        <f t="shared" si="466"/>
        <v>889200</v>
      </c>
      <c r="P732" s="20">
        <f t="shared" si="466"/>
        <v>0</v>
      </c>
      <c r="Q732" s="20">
        <f t="shared" si="466"/>
        <v>0</v>
      </c>
      <c r="R732" s="55">
        <f t="shared" si="458"/>
        <v>0</v>
      </c>
      <c r="S732" s="20">
        <f t="shared" si="467"/>
        <v>0</v>
      </c>
      <c r="T732" s="20">
        <f t="shared" si="467"/>
        <v>0</v>
      </c>
      <c r="U732" s="20">
        <f t="shared" si="467"/>
        <v>0</v>
      </c>
      <c r="V732" s="55">
        <f t="shared" si="467"/>
        <v>0</v>
      </c>
      <c r="W732" s="20">
        <f t="shared" si="467"/>
        <v>0</v>
      </c>
      <c r="X732" s="20">
        <f t="shared" si="467"/>
        <v>0</v>
      </c>
      <c r="Y732" s="20">
        <f t="shared" si="467"/>
        <v>0</v>
      </c>
      <c r="Z732" s="162" t="b">
        <f t="shared" si="463"/>
        <v>1</v>
      </c>
      <c r="AA732" s="162" t="str">
        <f t="shared" si="464"/>
        <v>PRAZNO</v>
      </c>
      <c r="AB732" s="173"/>
      <c r="AC732" s="164"/>
    </row>
    <row r="733" spans="1:29" ht="15.75" hidden="1" x14ac:dyDescent="0.2">
      <c r="B733" s="177"/>
      <c r="C733" s="177">
        <v>42</v>
      </c>
      <c r="D733" s="177"/>
      <c r="E733" s="177"/>
      <c r="F733" s="177"/>
      <c r="G733" s="177"/>
      <c r="H733" s="16" t="s">
        <v>212</v>
      </c>
      <c r="I733" s="18">
        <f t="shared" si="465"/>
        <v>0</v>
      </c>
      <c r="J733" s="27">
        <f t="shared" si="465"/>
        <v>660900</v>
      </c>
      <c r="K733" s="18">
        <f t="shared" si="465"/>
        <v>840000</v>
      </c>
      <c r="L733" s="18">
        <f t="shared" si="465"/>
        <v>840000</v>
      </c>
      <c r="M733" s="18">
        <f t="shared" si="456"/>
        <v>100</v>
      </c>
      <c r="N733" s="18">
        <f t="shared" si="457"/>
        <v>49200</v>
      </c>
      <c r="O733" s="18">
        <f t="shared" si="466"/>
        <v>889200</v>
      </c>
      <c r="P733" s="18">
        <f t="shared" si="466"/>
        <v>0</v>
      </c>
      <c r="Q733" s="18">
        <f t="shared" si="466"/>
        <v>0</v>
      </c>
      <c r="R733" s="26">
        <f t="shared" si="458"/>
        <v>0</v>
      </c>
      <c r="S733" s="18">
        <f t="shared" si="467"/>
        <v>0</v>
      </c>
      <c r="T733" s="18">
        <f t="shared" si="467"/>
        <v>0</v>
      </c>
      <c r="U733" s="18">
        <f t="shared" si="467"/>
        <v>0</v>
      </c>
      <c r="V733" s="27">
        <f t="shared" si="467"/>
        <v>0</v>
      </c>
      <c r="W733" s="18">
        <f t="shared" si="467"/>
        <v>0</v>
      </c>
      <c r="X733" s="18">
        <f t="shared" si="467"/>
        <v>0</v>
      </c>
      <c r="Y733" s="18">
        <f t="shared" si="467"/>
        <v>0</v>
      </c>
      <c r="Z733" s="162" t="b">
        <f t="shared" si="463"/>
        <v>1</v>
      </c>
      <c r="AA733" s="162" t="str">
        <f t="shared" si="464"/>
        <v>PRAZNO</v>
      </c>
      <c r="AC733" s="164"/>
    </row>
    <row r="734" spans="1:29" ht="15.75" hidden="1" x14ac:dyDescent="0.2">
      <c r="B734" s="177"/>
      <c r="C734" s="177"/>
      <c r="D734" s="177">
        <v>421</v>
      </c>
      <c r="E734" s="177"/>
      <c r="F734" s="177"/>
      <c r="G734" s="177"/>
      <c r="H734" s="16" t="s">
        <v>759</v>
      </c>
      <c r="I734" s="18">
        <f t="shared" si="465"/>
        <v>0</v>
      </c>
      <c r="J734" s="27">
        <f t="shared" si="465"/>
        <v>660900</v>
      </c>
      <c r="K734" s="18">
        <f t="shared" si="465"/>
        <v>840000</v>
      </c>
      <c r="L734" s="18">
        <f t="shared" si="465"/>
        <v>840000</v>
      </c>
      <c r="M734" s="18">
        <f t="shared" si="456"/>
        <v>100</v>
      </c>
      <c r="N734" s="18">
        <f t="shared" si="457"/>
        <v>49200</v>
      </c>
      <c r="O734" s="18">
        <f t="shared" si="466"/>
        <v>889200</v>
      </c>
      <c r="P734" s="18">
        <f t="shared" si="466"/>
        <v>0</v>
      </c>
      <c r="Q734" s="18">
        <f t="shared" si="466"/>
        <v>0</v>
      </c>
      <c r="R734" s="26">
        <f t="shared" si="458"/>
        <v>0</v>
      </c>
      <c r="S734" s="18">
        <f t="shared" si="467"/>
        <v>0</v>
      </c>
      <c r="T734" s="18">
        <f t="shared" si="467"/>
        <v>0</v>
      </c>
      <c r="U734" s="18">
        <f t="shared" si="467"/>
        <v>0</v>
      </c>
      <c r="V734" s="27">
        <f t="shared" si="467"/>
        <v>0</v>
      </c>
      <c r="W734" s="18">
        <f t="shared" si="467"/>
        <v>0</v>
      </c>
      <c r="X734" s="18">
        <f t="shared" si="467"/>
        <v>0</v>
      </c>
      <c r="Y734" s="18">
        <f t="shared" si="467"/>
        <v>0</v>
      </c>
      <c r="Z734" s="162" t="b">
        <f t="shared" si="463"/>
        <v>1</v>
      </c>
      <c r="AA734" s="162" t="str">
        <f t="shared" si="464"/>
        <v>PRAZNO</v>
      </c>
      <c r="AC734" s="164"/>
    </row>
    <row r="735" spans="1:29" ht="15.75" hidden="1" x14ac:dyDescent="0.2">
      <c r="B735" s="177"/>
      <c r="C735" s="177"/>
      <c r="D735" s="177"/>
      <c r="E735" s="177">
        <v>4212</v>
      </c>
      <c r="F735" s="176">
        <v>54</v>
      </c>
      <c r="G735" s="177"/>
      <c r="H735" s="16" t="s">
        <v>649</v>
      </c>
      <c r="I735" s="18">
        <v>0</v>
      </c>
      <c r="J735" s="27">
        <v>660900</v>
      </c>
      <c r="K735" s="18">
        <v>840000</v>
      </c>
      <c r="L735" s="18">
        <v>840000</v>
      </c>
      <c r="M735" s="18">
        <f t="shared" si="456"/>
        <v>100</v>
      </c>
      <c r="N735" s="18">
        <f t="shared" si="457"/>
        <v>49200</v>
      </c>
      <c r="O735" s="18">
        <v>889200</v>
      </c>
      <c r="P735" s="18">
        <v>0</v>
      </c>
      <c r="Q735" s="18">
        <v>0</v>
      </c>
      <c r="R735" s="26">
        <f t="shared" si="458"/>
        <v>0</v>
      </c>
      <c r="S735" s="18">
        <v>0</v>
      </c>
      <c r="T735" s="18">
        <v>0</v>
      </c>
      <c r="U735" s="18">
        <v>0</v>
      </c>
      <c r="V735" s="27"/>
      <c r="W735" s="18"/>
      <c r="X735" s="18"/>
      <c r="Y735" s="18"/>
      <c r="Z735" s="162" t="b">
        <f t="shared" si="463"/>
        <v>0</v>
      </c>
      <c r="AA735" s="162" t="str">
        <f t="shared" si="464"/>
        <v>PUNO</v>
      </c>
      <c r="AC735" s="164"/>
    </row>
    <row r="736" spans="1:29" s="171" customFormat="1" ht="31.5" x14ac:dyDescent="0.2">
      <c r="A736" s="259"/>
      <c r="B736" s="270"/>
      <c r="C736" s="270"/>
      <c r="D736" s="270"/>
      <c r="E736" s="270"/>
      <c r="F736" s="270"/>
      <c r="G736" s="270"/>
      <c r="H736" s="274" t="s">
        <v>105</v>
      </c>
      <c r="I736" s="272" t="e">
        <f>#REF!+I771+I739+I812+I751+I757+I763</f>
        <v>#REF!</v>
      </c>
      <c r="J736" s="272" t="e">
        <f>#REF!+J771+J739+J812+J751+J757+J763+#REF!</f>
        <v>#REF!</v>
      </c>
      <c r="K736" s="272" t="e">
        <f>#REF!+K771+K739+K812+K751+K757+K763+#REF!</f>
        <v>#REF!</v>
      </c>
      <c r="L736" s="272" t="e">
        <f>#REF!+L771+L739+L812+L751+L757+L763+#REF!</f>
        <v>#REF!</v>
      </c>
      <c r="M736" s="272" t="e">
        <f>#REF!+M771+M739+M812+M751+M757+M763+#REF!</f>
        <v>#REF!</v>
      </c>
      <c r="N736" s="272" t="e">
        <f>#REF!+N771+N739+N812+N751+N757+N763+#REF!</f>
        <v>#REF!</v>
      </c>
      <c r="O736" s="272" t="e">
        <f>#REF!+O771+O739+O812+O751+O757+O763+#REF!</f>
        <v>#REF!</v>
      </c>
      <c r="P736" s="272" t="e">
        <f>#REF!+P771+P739+P812+P751+P757+P763+#REF!+P833+P840</f>
        <v>#REF!</v>
      </c>
      <c r="Q736" s="272" t="e">
        <f>#REF!+Q771+Q739+Q812+Q751+Q757+Q763+#REF!+Q833+Q840</f>
        <v>#REF!</v>
      </c>
      <c r="R736" s="336" t="e">
        <f t="shared" si="458"/>
        <v>#REF!</v>
      </c>
      <c r="S736" s="272" t="e">
        <f>#REF!+S771+S739+S812+S751+S757+S763</f>
        <v>#REF!</v>
      </c>
      <c r="T736" s="272" t="e">
        <f>#REF!+T771+T739+T812+T751+T757+T763</f>
        <v>#REF!</v>
      </c>
      <c r="U736" s="272" t="e">
        <f>#REF!+U771+U739+U812+U751+U757+U763</f>
        <v>#REF!</v>
      </c>
      <c r="V736" s="275" t="e">
        <f>#REF!+V771+V739+V812+V751+V757+V763+V847+#REF!+V833+V840</f>
        <v>#REF!</v>
      </c>
      <c r="W736" s="275">
        <f>W739+W757+W763+W771+W833+W840</f>
        <v>4293275</v>
      </c>
      <c r="X736" s="275">
        <f>X739+X757+X763+X771+X833+X840</f>
        <v>2233000</v>
      </c>
      <c r="Y736" s="275">
        <f>Y739+Y757+Y763+Y771+Y833+Y840</f>
        <v>214000</v>
      </c>
      <c r="Z736" s="162" t="b">
        <f t="shared" si="463"/>
        <v>1</v>
      </c>
      <c r="AA736" s="162" t="str">
        <f t="shared" si="464"/>
        <v>PRAZNO</v>
      </c>
      <c r="AB736" s="170"/>
      <c r="AC736" s="164"/>
    </row>
    <row r="737" spans="1:29" ht="15.75" hidden="1" x14ac:dyDescent="0.2">
      <c r="B737" s="177"/>
      <c r="C737" s="177"/>
      <c r="D737" s="177"/>
      <c r="E737" s="177"/>
      <c r="F737" s="176"/>
      <c r="G737" s="176"/>
      <c r="H737" s="16"/>
      <c r="I737" s="18"/>
      <c r="J737" s="27"/>
      <c r="K737" s="18"/>
      <c r="L737" s="18"/>
      <c r="M737" s="18"/>
      <c r="N737" s="18"/>
      <c r="O737" s="18"/>
      <c r="P737" s="18"/>
      <c r="Q737" s="18"/>
      <c r="R737" s="26"/>
      <c r="S737" s="18"/>
      <c r="T737" s="18"/>
      <c r="U737" s="18"/>
      <c r="V737" s="27"/>
      <c r="W737" s="27"/>
      <c r="X737" s="27"/>
      <c r="Y737" s="18"/>
      <c r="Z737" s="162" t="b">
        <f t="shared" ref="Z737:Z786" si="468">ISBLANK(E737)</f>
        <v>1</v>
      </c>
      <c r="AA737" s="162"/>
      <c r="AC737" s="164"/>
    </row>
    <row r="738" spans="1:29" ht="15.75" hidden="1" x14ac:dyDescent="0.2">
      <c r="B738" s="177"/>
      <c r="C738" s="177"/>
      <c r="D738" s="177"/>
      <c r="E738" s="177"/>
      <c r="F738" s="176"/>
      <c r="G738" s="176"/>
      <c r="H738" s="16"/>
      <c r="I738" s="18"/>
      <c r="J738" s="27"/>
      <c r="K738" s="18"/>
      <c r="L738" s="18"/>
      <c r="M738" s="18"/>
      <c r="N738" s="18"/>
      <c r="O738" s="18"/>
      <c r="P738" s="18"/>
      <c r="Q738" s="18"/>
      <c r="R738" s="26"/>
      <c r="S738" s="18"/>
      <c r="T738" s="18"/>
      <c r="U738" s="18"/>
      <c r="V738" s="27"/>
      <c r="W738" s="27"/>
      <c r="X738" s="27"/>
      <c r="Y738" s="18"/>
      <c r="Z738" s="162" t="b">
        <f t="shared" si="468"/>
        <v>1</v>
      </c>
      <c r="AA738" s="162"/>
      <c r="AC738" s="164"/>
    </row>
    <row r="739" spans="1:29" s="171" customFormat="1" ht="31.5" x14ac:dyDescent="0.2">
      <c r="A739" s="259"/>
      <c r="B739" s="168"/>
      <c r="C739" s="168"/>
      <c r="D739" s="168"/>
      <c r="E739" s="168"/>
      <c r="F739" s="168"/>
      <c r="G739" s="168"/>
      <c r="H739" s="13" t="s">
        <v>478</v>
      </c>
      <c r="I739" s="19">
        <f>I741</f>
        <v>0</v>
      </c>
      <c r="J739" s="53">
        <f>J741</f>
        <v>0</v>
      </c>
      <c r="K739" s="169">
        <f>K741</f>
        <v>963400</v>
      </c>
      <c r="L739" s="169">
        <f>L741</f>
        <v>178841</v>
      </c>
      <c r="M739" s="169">
        <f>ROUND(L739/K739*100,2)</f>
        <v>18.559999999999999</v>
      </c>
      <c r="N739" s="169">
        <f>O739-K739</f>
        <v>-784559</v>
      </c>
      <c r="O739" s="19">
        <f>O741</f>
        <v>178841</v>
      </c>
      <c r="P739" s="19">
        <f>P741</f>
        <v>967600</v>
      </c>
      <c r="Q739" s="19">
        <f>Q741</f>
        <v>0</v>
      </c>
      <c r="R739" s="303">
        <f>V739-P739</f>
        <v>0</v>
      </c>
      <c r="S739" s="19">
        <f>S741</f>
        <v>967600</v>
      </c>
      <c r="T739" s="19">
        <f>T741</f>
        <v>1300000</v>
      </c>
      <c r="U739" s="19">
        <f>U741</f>
        <v>2511100</v>
      </c>
      <c r="V739" s="53">
        <f>V741</f>
        <v>967600</v>
      </c>
      <c r="W739" s="19">
        <f>W741+W746</f>
        <v>856775</v>
      </c>
      <c r="X739" s="19">
        <f>X741</f>
        <v>0</v>
      </c>
      <c r="Y739" s="19">
        <f>Y741</f>
        <v>0</v>
      </c>
      <c r="Z739" s="162" t="b">
        <f t="shared" si="468"/>
        <v>1</v>
      </c>
      <c r="AA739" s="162" t="str">
        <f t="shared" ref="AA739:AA759" si="469">IF(Z739,"PRAZNO","PUNO")</f>
        <v>PRAZNO</v>
      </c>
      <c r="AB739" s="170"/>
      <c r="AC739" s="164"/>
    </row>
    <row r="740" spans="1:29" s="264" customFormat="1" ht="15.75" x14ac:dyDescent="0.2">
      <c r="A740" s="259"/>
      <c r="B740" s="260"/>
      <c r="C740" s="260"/>
      <c r="D740" s="260"/>
      <c r="E740" s="260"/>
      <c r="F740" s="260"/>
      <c r="G740" s="260"/>
      <c r="H740" s="440" t="s">
        <v>824</v>
      </c>
      <c r="I740" s="262"/>
      <c r="J740" s="342"/>
      <c r="K740" s="181"/>
      <c r="L740" s="181"/>
      <c r="M740" s="181"/>
      <c r="N740" s="181"/>
      <c r="O740" s="262"/>
      <c r="P740" s="262"/>
      <c r="Q740" s="262"/>
      <c r="R740" s="445"/>
      <c r="S740" s="262"/>
      <c r="T740" s="262"/>
      <c r="U740" s="262"/>
      <c r="V740" s="342"/>
      <c r="W740" s="262">
        <f t="shared" ref="W740:Y742" si="470">W741</f>
        <v>500000</v>
      </c>
      <c r="X740" s="262">
        <f t="shared" si="470"/>
        <v>0</v>
      </c>
      <c r="Y740" s="262">
        <f t="shared" si="470"/>
        <v>0</v>
      </c>
      <c r="Z740" s="162" t="b">
        <f t="shared" si="468"/>
        <v>1</v>
      </c>
      <c r="AA740" s="162" t="str">
        <f t="shared" si="469"/>
        <v>PRAZNO</v>
      </c>
      <c r="AB740" s="263"/>
    </row>
    <row r="741" spans="1:29" s="174" customFormat="1" ht="15.75" x14ac:dyDescent="0.2">
      <c r="A741" s="259"/>
      <c r="B741" s="172">
        <v>4</v>
      </c>
      <c r="C741" s="172"/>
      <c r="D741" s="172"/>
      <c r="E741" s="172"/>
      <c r="F741" s="172"/>
      <c r="G741" s="172"/>
      <c r="H741" s="14" t="s">
        <v>552</v>
      </c>
      <c r="I741" s="20">
        <f t="shared" ref="I741:L742" si="471">I742</f>
        <v>0</v>
      </c>
      <c r="J741" s="55">
        <f t="shared" si="471"/>
        <v>0</v>
      </c>
      <c r="K741" s="20">
        <f t="shared" si="471"/>
        <v>963400</v>
      </c>
      <c r="L741" s="20">
        <f t="shared" si="471"/>
        <v>178841</v>
      </c>
      <c r="M741" s="20">
        <f>ROUND(L741/K741*100,2)</f>
        <v>18.559999999999999</v>
      </c>
      <c r="N741" s="20">
        <f>O741-K741</f>
        <v>-784559</v>
      </c>
      <c r="O741" s="20">
        <f t="shared" ref="O741:Q742" si="472">O742</f>
        <v>178841</v>
      </c>
      <c r="P741" s="20">
        <f t="shared" si="472"/>
        <v>967600</v>
      </c>
      <c r="Q741" s="20">
        <f t="shared" si="472"/>
        <v>0</v>
      </c>
      <c r="R741" s="55">
        <f>V741-P741</f>
        <v>0</v>
      </c>
      <c r="S741" s="20">
        <f t="shared" ref="S741:V742" si="473">S742</f>
        <v>967600</v>
      </c>
      <c r="T741" s="20">
        <f t="shared" si="473"/>
        <v>1300000</v>
      </c>
      <c r="U741" s="20">
        <f t="shared" si="473"/>
        <v>2511100</v>
      </c>
      <c r="V741" s="55">
        <f t="shared" si="473"/>
        <v>967600</v>
      </c>
      <c r="W741" s="20">
        <f t="shared" si="470"/>
        <v>500000</v>
      </c>
      <c r="X741" s="20">
        <f t="shared" si="470"/>
        <v>0</v>
      </c>
      <c r="Y741" s="20">
        <f t="shared" si="470"/>
        <v>0</v>
      </c>
      <c r="Z741" s="162" t="b">
        <f t="shared" si="468"/>
        <v>1</v>
      </c>
      <c r="AA741" s="162" t="str">
        <f t="shared" si="469"/>
        <v>PRAZNO</v>
      </c>
      <c r="AB741" s="173"/>
      <c r="AC741" s="164"/>
    </row>
    <row r="742" spans="1:29" ht="15.75" x14ac:dyDescent="0.2">
      <c r="B742" s="177"/>
      <c r="C742" s="177">
        <v>42</v>
      </c>
      <c r="D742" s="177"/>
      <c r="E742" s="177"/>
      <c r="F742" s="177"/>
      <c r="G742" s="177"/>
      <c r="H742" s="16" t="s">
        <v>212</v>
      </c>
      <c r="I742" s="18">
        <f t="shared" si="471"/>
        <v>0</v>
      </c>
      <c r="J742" s="27">
        <f t="shared" si="471"/>
        <v>0</v>
      </c>
      <c r="K742" s="18">
        <f t="shared" si="471"/>
        <v>963400</v>
      </c>
      <c r="L742" s="18">
        <f t="shared" si="471"/>
        <v>178841</v>
      </c>
      <c r="M742" s="18">
        <f>ROUND(L742/K742*100,2)</f>
        <v>18.559999999999999</v>
      </c>
      <c r="N742" s="18">
        <f>O742-K742</f>
        <v>-784559</v>
      </c>
      <c r="O742" s="18">
        <f t="shared" si="472"/>
        <v>178841</v>
      </c>
      <c r="P742" s="18">
        <f t="shared" si="472"/>
        <v>967600</v>
      </c>
      <c r="Q742" s="18">
        <f t="shared" si="472"/>
        <v>0</v>
      </c>
      <c r="R742" s="26">
        <f>V742-P742</f>
        <v>0</v>
      </c>
      <c r="S742" s="18">
        <f t="shared" si="473"/>
        <v>967600</v>
      </c>
      <c r="T742" s="18">
        <f t="shared" si="473"/>
        <v>1300000</v>
      </c>
      <c r="U742" s="18">
        <f t="shared" si="473"/>
        <v>2511100</v>
      </c>
      <c r="V742" s="27">
        <f t="shared" si="473"/>
        <v>967600</v>
      </c>
      <c r="W742" s="18">
        <f t="shared" si="470"/>
        <v>500000</v>
      </c>
      <c r="X742" s="18">
        <f t="shared" si="470"/>
        <v>0</v>
      </c>
      <c r="Y742" s="18">
        <f t="shared" si="470"/>
        <v>0</v>
      </c>
      <c r="Z742" s="162" t="b">
        <f t="shared" si="468"/>
        <v>1</v>
      </c>
      <c r="AA742" s="162" t="str">
        <f t="shared" si="469"/>
        <v>PRAZNO</v>
      </c>
      <c r="AC742" s="164"/>
    </row>
    <row r="743" spans="1:29" ht="15.75" x14ac:dyDescent="0.2">
      <c r="B743" s="177"/>
      <c r="C743" s="177"/>
      <c r="D743" s="177">
        <v>421</v>
      </c>
      <c r="E743" s="177"/>
      <c r="F743" s="177"/>
      <c r="G743" s="177"/>
      <c r="H743" s="16" t="s">
        <v>759</v>
      </c>
      <c r="I743" s="18">
        <f>SUM(I744:I750)</f>
        <v>0</v>
      </c>
      <c r="J743" s="27">
        <f>SUM(J744:J750)</f>
        <v>0</v>
      </c>
      <c r="K743" s="18">
        <f>SUM(K744:K750)</f>
        <v>963400</v>
      </c>
      <c r="L743" s="18">
        <f>SUM(L744:L750)</f>
        <v>178841</v>
      </c>
      <c r="M743" s="18">
        <f>ROUND(L743/K743*100,2)</f>
        <v>18.559999999999999</v>
      </c>
      <c r="N743" s="18">
        <f>O743-K743</f>
        <v>-784559</v>
      </c>
      <c r="O743" s="18">
        <f>SUM(O744:O750)</f>
        <v>178841</v>
      </c>
      <c r="P743" s="18">
        <f>SUM(P744:P750)</f>
        <v>967600</v>
      </c>
      <c r="Q743" s="18">
        <f>SUM(Q744:Q750)</f>
        <v>0</v>
      </c>
      <c r="R743" s="26">
        <f>V743-P743</f>
        <v>0</v>
      </c>
      <c r="S743" s="18">
        <f>SUM(S744:S750)</f>
        <v>967600</v>
      </c>
      <c r="T743" s="18">
        <f>SUM(T744:T750)</f>
        <v>1300000</v>
      </c>
      <c r="U743" s="18">
        <f>SUM(U744:U750)</f>
        <v>2511100</v>
      </c>
      <c r="V743" s="27">
        <f>SUM(V744:V750)</f>
        <v>967600</v>
      </c>
      <c r="W743" s="18">
        <f>W744</f>
        <v>500000</v>
      </c>
      <c r="X743" s="18">
        <f>SUM(X744:X750)</f>
        <v>0</v>
      </c>
      <c r="Y743" s="18">
        <f>SUM(Y744:Y750)</f>
        <v>0</v>
      </c>
      <c r="Z743" s="162" t="b">
        <f t="shared" si="468"/>
        <v>1</v>
      </c>
      <c r="AA743" s="162" t="str">
        <f t="shared" si="469"/>
        <v>PRAZNO</v>
      </c>
      <c r="AC743" s="164"/>
    </row>
    <row r="744" spans="1:29" ht="15.75" x14ac:dyDescent="0.2">
      <c r="B744" s="177"/>
      <c r="C744" s="177"/>
      <c r="D744" s="177"/>
      <c r="E744" s="177">
        <v>4212</v>
      </c>
      <c r="F744" s="176">
        <v>14</v>
      </c>
      <c r="G744" s="176" t="s">
        <v>1040</v>
      </c>
      <c r="H744" s="16" t="s">
        <v>649</v>
      </c>
      <c r="I744" s="18">
        <v>0</v>
      </c>
      <c r="J744" s="27">
        <v>0</v>
      </c>
      <c r="K744" s="18">
        <v>250000</v>
      </c>
      <c r="L744" s="18">
        <v>491</v>
      </c>
      <c r="M744" s="18">
        <f>ROUND(L744/K744*100,2)</f>
        <v>0.2</v>
      </c>
      <c r="N744" s="18">
        <f>O744-K744</f>
        <v>-249509</v>
      </c>
      <c r="O744" s="18">
        <v>491</v>
      </c>
      <c r="P744" s="18">
        <v>610825</v>
      </c>
      <c r="Q744" s="18">
        <v>0</v>
      </c>
      <c r="R744" s="26">
        <f>V744-P744</f>
        <v>0</v>
      </c>
      <c r="S744" s="18">
        <v>700000</v>
      </c>
      <c r="T744" s="18">
        <v>1300000</v>
      </c>
      <c r="U744" s="18">
        <f>2000000+511100</f>
        <v>2511100</v>
      </c>
      <c r="V744" s="27">
        <v>610825</v>
      </c>
      <c r="W744" s="18">
        <v>500000</v>
      </c>
      <c r="X744" s="18"/>
      <c r="Y744" s="18"/>
      <c r="Z744" s="162" t="b">
        <f t="shared" si="468"/>
        <v>0</v>
      </c>
      <c r="AA744" s="162" t="str">
        <f t="shared" si="469"/>
        <v>PUNO</v>
      </c>
      <c r="AC744" s="164"/>
    </row>
    <row r="745" spans="1:29" s="453" customFormat="1" ht="15.75" x14ac:dyDescent="0.25">
      <c r="A745" s="378"/>
      <c r="B745" s="260"/>
      <c r="C745" s="260"/>
      <c r="D745" s="260"/>
      <c r="E745" s="260"/>
      <c r="F745" s="448"/>
      <c r="G745" s="448"/>
      <c r="H745" s="440" t="s">
        <v>825</v>
      </c>
      <c r="I745" s="449"/>
      <c r="J745" s="450"/>
      <c r="K745" s="449"/>
      <c r="L745" s="449"/>
      <c r="M745" s="449"/>
      <c r="N745" s="449"/>
      <c r="O745" s="449"/>
      <c r="P745" s="449"/>
      <c r="Q745" s="449"/>
      <c r="R745" s="202"/>
      <c r="S745" s="449"/>
      <c r="T745" s="449"/>
      <c r="U745" s="449"/>
      <c r="V745" s="450"/>
      <c r="W745" s="449">
        <f t="shared" ref="W745:Y748" si="474">W746</f>
        <v>356775</v>
      </c>
      <c r="X745" s="449">
        <f t="shared" si="474"/>
        <v>0</v>
      </c>
      <c r="Y745" s="449">
        <f t="shared" si="474"/>
        <v>0</v>
      </c>
      <c r="Z745" s="162" t="b">
        <f t="shared" si="468"/>
        <v>1</v>
      </c>
      <c r="AA745" s="162" t="str">
        <f t="shared" si="469"/>
        <v>PRAZNO</v>
      </c>
      <c r="AB745" s="452"/>
      <c r="AC745" s="287"/>
    </row>
    <row r="746" spans="1:29" s="174" customFormat="1" ht="15.75" x14ac:dyDescent="0.2">
      <c r="A746" s="523"/>
      <c r="B746" s="172">
        <v>4</v>
      </c>
      <c r="C746" s="172"/>
      <c r="D746" s="172"/>
      <c r="E746" s="172"/>
      <c r="F746" s="220"/>
      <c r="G746" s="220"/>
      <c r="H746" s="14" t="s">
        <v>552</v>
      </c>
      <c r="I746" s="184"/>
      <c r="J746" s="185"/>
      <c r="K746" s="184"/>
      <c r="L746" s="184"/>
      <c r="M746" s="184"/>
      <c r="N746" s="184"/>
      <c r="O746" s="184"/>
      <c r="P746" s="184"/>
      <c r="Q746" s="184"/>
      <c r="R746" s="55"/>
      <c r="S746" s="184"/>
      <c r="T746" s="184"/>
      <c r="U746" s="184"/>
      <c r="V746" s="185"/>
      <c r="W746" s="184">
        <f t="shared" si="474"/>
        <v>356775</v>
      </c>
      <c r="X746" s="184">
        <f t="shared" si="474"/>
        <v>0</v>
      </c>
      <c r="Y746" s="184">
        <f t="shared" si="474"/>
        <v>0</v>
      </c>
      <c r="Z746" s="162" t="b">
        <f t="shared" si="468"/>
        <v>1</v>
      </c>
      <c r="AA746" s="162" t="str">
        <f t="shared" si="469"/>
        <v>PRAZNO</v>
      </c>
      <c r="AB746" s="173"/>
    </row>
    <row r="747" spans="1:29" ht="15.75" x14ac:dyDescent="0.2">
      <c r="B747" s="177"/>
      <c r="C747" s="177">
        <v>42</v>
      </c>
      <c r="D747" s="177"/>
      <c r="E747" s="177"/>
      <c r="F747" s="176"/>
      <c r="G747" s="176"/>
      <c r="H747" s="16" t="s">
        <v>212</v>
      </c>
      <c r="I747" s="18"/>
      <c r="J747" s="27"/>
      <c r="K747" s="18"/>
      <c r="L747" s="18"/>
      <c r="M747" s="18"/>
      <c r="N747" s="18"/>
      <c r="O747" s="18"/>
      <c r="P747" s="18"/>
      <c r="Q747" s="18"/>
      <c r="R747" s="26"/>
      <c r="S747" s="18"/>
      <c r="T747" s="18"/>
      <c r="U747" s="18"/>
      <c r="V747" s="27"/>
      <c r="W747" s="18">
        <f t="shared" si="474"/>
        <v>356775</v>
      </c>
      <c r="X747" s="18">
        <f t="shared" si="474"/>
        <v>0</v>
      </c>
      <c r="Y747" s="18">
        <f t="shared" si="474"/>
        <v>0</v>
      </c>
      <c r="Z747" s="162" t="b">
        <f t="shared" si="468"/>
        <v>1</v>
      </c>
      <c r="AA747" s="162" t="str">
        <f t="shared" si="469"/>
        <v>PRAZNO</v>
      </c>
      <c r="AC747" s="164"/>
    </row>
    <row r="748" spans="1:29" ht="15.75" x14ac:dyDescent="0.2">
      <c r="B748" s="177"/>
      <c r="C748" s="177"/>
      <c r="D748" s="177">
        <v>421</v>
      </c>
      <c r="E748" s="177"/>
      <c r="F748" s="176"/>
      <c r="G748" s="176"/>
      <c r="H748" s="16" t="s">
        <v>759</v>
      </c>
      <c r="I748" s="18"/>
      <c r="J748" s="27"/>
      <c r="K748" s="18"/>
      <c r="L748" s="18"/>
      <c r="M748" s="18"/>
      <c r="N748" s="18"/>
      <c r="O748" s="18"/>
      <c r="P748" s="18"/>
      <c r="Q748" s="18"/>
      <c r="R748" s="26"/>
      <c r="S748" s="18"/>
      <c r="T748" s="18"/>
      <c r="U748" s="18"/>
      <c r="V748" s="27"/>
      <c r="W748" s="18">
        <f t="shared" si="474"/>
        <v>356775</v>
      </c>
      <c r="X748" s="18">
        <f t="shared" si="474"/>
        <v>0</v>
      </c>
      <c r="Y748" s="18">
        <f t="shared" si="474"/>
        <v>0</v>
      </c>
      <c r="Z748" s="162" t="b">
        <f t="shared" si="468"/>
        <v>1</v>
      </c>
      <c r="AA748" s="162" t="str">
        <f t="shared" si="469"/>
        <v>PRAZNO</v>
      </c>
      <c r="AC748" s="164"/>
    </row>
    <row r="749" spans="1:29" ht="15.75" x14ac:dyDescent="0.2">
      <c r="B749" s="177"/>
      <c r="C749" s="177"/>
      <c r="D749" s="177"/>
      <c r="E749" s="177">
        <v>4212</v>
      </c>
      <c r="F749" s="325">
        <v>55</v>
      </c>
      <c r="G749" s="176" t="s">
        <v>1040</v>
      </c>
      <c r="H749" s="16" t="s">
        <v>649</v>
      </c>
      <c r="I749" s="18">
        <v>0</v>
      </c>
      <c r="J749" s="27">
        <v>0</v>
      </c>
      <c r="K749" s="18">
        <v>356700</v>
      </c>
      <c r="L749" s="18">
        <v>0</v>
      </c>
      <c r="M749" s="18">
        <f t="shared" ref="M749:M756" si="475">ROUND(L749/K749*100,2)</f>
        <v>0</v>
      </c>
      <c r="N749" s="18">
        <f t="shared" ref="N749:N756" si="476">O749-K749</f>
        <v>-356700</v>
      </c>
      <c r="O749" s="18"/>
      <c r="P749" s="18">
        <v>356775</v>
      </c>
      <c r="Q749" s="18">
        <v>0</v>
      </c>
      <c r="R749" s="26">
        <f t="shared" ref="R749:R757" si="477">V749-P749</f>
        <v>0</v>
      </c>
      <c r="S749" s="18">
        <v>267600</v>
      </c>
      <c r="T749" s="18"/>
      <c r="U749" s="18"/>
      <c r="V749" s="27">
        <v>356775</v>
      </c>
      <c r="W749" s="18">
        <v>356775</v>
      </c>
      <c r="X749" s="18">
        <v>0</v>
      </c>
      <c r="Y749" s="18">
        <v>0</v>
      </c>
      <c r="Z749" s="162" t="b">
        <f t="shared" si="468"/>
        <v>0</v>
      </c>
      <c r="AA749" s="162" t="str">
        <f t="shared" si="469"/>
        <v>PUNO</v>
      </c>
      <c r="AC749" s="164"/>
    </row>
    <row r="750" spans="1:29" ht="15.75" hidden="1" x14ac:dyDescent="0.2">
      <c r="B750" s="177"/>
      <c r="C750" s="177"/>
      <c r="D750" s="177"/>
      <c r="E750" s="177">
        <v>4212</v>
      </c>
      <c r="F750" s="176">
        <v>81</v>
      </c>
      <c r="G750" s="176" t="s">
        <v>1040</v>
      </c>
      <c r="H750" s="16" t="s">
        <v>649</v>
      </c>
      <c r="I750" s="18">
        <v>0</v>
      </c>
      <c r="J750" s="27">
        <v>0</v>
      </c>
      <c r="K750" s="18">
        <v>356700</v>
      </c>
      <c r="L750" s="18">
        <v>178350</v>
      </c>
      <c r="M750" s="18">
        <f t="shared" si="475"/>
        <v>50</v>
      </c>
      <c r="N750" s="18">
        <f t="shared" si="476"/>
        <v>-178350</v>
      </c>
      <c r="O750" s="18">
        <v>178350</v>
      </c>
      <c r="P750" s="18"/>
      <c r="Q750" s="18"/>
      <c r="R750" s="26">
        <f t="shared" si="477"/>
        <v>0</v>
      </c>
      <c r="S750" s="18"/>
      <c r="T750" s="18"/>
      <c r="U750" s="18"/>
      <c r="V750" s="27"/>
      <c r="W750" s="18"/>
      <c r="X750" s="18"/>
      <c r="Y750" s="18"/>
      <c r="Z750" s="162" t="b">
        <f t="shared" si="468"/>
        <v>0</v>
      </c>
      <c r="AA750" s="162" t="str">
        <f t="shared" si="469"/>
        <v>PUNO</v>
      </c>
      <c r="AC750" s="164"/>
    </row>
    <row r="751" spans="1:29" s="171" customFormat="1" ht="31.5" hidden="1" x14ac:dyDescent="0.2">
      <c r="A751" s="259"/>
      <c r="B751" s="168"/>
      <c r="C751" s="168"/>
      <c r="D751" s="168"/>
      <c r="E751" s="168"/>
      <c r="F751" s="168"/>
      <c r="G751" s="168"/>
      <c r="H751" s="13" t="s">
        <v>606</v>
      </c>
      <c r="I751" s="19">
        <f t="shared" ref="I751:L753" si="478">I752</f>
        <v>0</v>
      </c>
      <c r="J751" s="53">
        <f t="shared" si="478"/>
        <v>1137299.01</v>
      </c>
      <c r="K751" s="169">
        <f t="shared" si="478"/>
        <v>1207500</v>
      </c>
      <c r="L751" s="169">
        <f t="shared" si="478"/>
        <v>32287.5</v>
      </c>
      <c r="M751" s="169">
        <f t="shared" si="475"/>
        <v>2.67</v>
      </c>
      <c r="N751" s="169">
        <f t="shared" si="476"/>
        <v>-200918.21999999997</v>
      </c>
      <c r="O751" s="19">
        <f t="shared" ref="O751:Q753" si="479">O752</f>
        <v>1006581.78</v>
      </c>
      <c r="P751" s="19">
        <f t="shared" si="479"/>
        <v>0</v>
      </c>
      <c r="Q751" s="19">
        <f t="shared" si="479"/>
        <v>0</v>
      </c>
      <c r="R751" s="205">
        <f t="shared" si="477"/>
        <v>0</v>
      </c>
      <c r="S751" s="19">
        <f t="shared" ref="S751:Y753" si="480">S752</f>
        <v>0</v>
      </c>
      <c r="T751" s="19">
        <f t="shared" si="480"/>
        <v>0</v>
      </c>
      <c r="U751" s="19">
        <f t="shared" si="480"/>
        <v>0</v>
      </c>
      <c r="V751" s="53">
        <f t="shared" si="480"/>
        <v>0</v>
      </c>
      <c r="W751" s="19">
        <f t="shared" si="480"/>
        <v>0</v>
      </c>
      <c r="X751" s="19">
        <f t="shared" si="480"/>
        <v>0</v>
      </c>
      <c r="Y751" s="19">
        <f t="shared" si="480"/>
        <v>0</v>
      </c>
      <c r="Z751" s="162" t="b">
        <f t="shared" si="468"/>
        <v>1</v>
      </c>
      <c r="AA751" s="162" t="str">
        <f t="shared" si="469"/>
        <v>PRAZNO</v>
      </c>
      <c r="AB751" s="170"/>
      <c r="AC751" s="164"/>
    </row>
    <row r="752" spans="1:29" s="174" customFormat="1" ht="15.75" hidden="1" x14ac:dyDescent="0.2">
      <c r="A752" s="259"/>
      <c r="B752" s="172">
        <v>4</v>
      </c>
      <c r="C752" s="172"/>
      <c r="D752" s="172"/>
      <c r="E752" s="172"/>
      <c r="F752" s="172"/>
      <c r="G752" s="172"/>
      <c r="H752" s="14" t="s">
        <v>552</v>
      </c>
      <c r="I752" s="20">
        <f t="shared" si="478"/>
        <v>0</v>
      </c>
      <c r="J752" s="55">
        <f t="shared" si="478"/>
        <v>1137299.01</v>
      </c>
      <c r="K752" s="20">
        <f t="shared" si="478"/>
        <v>1207500</v>
      </c>
      <c r="L752" s="20">
        <f t="shared" si="478"/>
        <v>32287.5</v>
      </c>
      <c r="M752" s="20">
        <f t="shared" si="475"/>
        <v>2.67</v>
      </c>
      <c r="N752" s="20">
        <f t="shared" si="476"/>
        <v>-200918.21999999997</v>
      </c>
      <c r="O752" s="20">
        <f t="shared" si="479"/>
        <v>1006581.78</v>
      </c>
      <c r="P752" s="20">
        <f t="shared" si="479"/>
        <v>0</v>
      </c>
      <c r="Q752" s="20">
        <f t="shared" si="479"/>
        <v>0</v>
      </c>
      <c r="R752" s="55">
        <f t="shared" si="477"/>
        <v>0</v>
      </c>
      <c r="S752" s="20">
        <f t="shared" si="480"/>
        <v>0</v>
      </c>
      <c r="T752" s="20">
        <f t="shared" si="480"/>
        <v>0</v>
      </c>
      <c r="U752" s="20">
        <f t="shared" si="480"/>
        <v>0</v>
      </c>
      <c r="V752" s="55">
        <f t="shared" si="480"/>
        <v>0</v>
      </c>
      <c r="W752" s="20">
        <f t="shared" si="480"/>
        <v>0</v>
      </c>
      <c r="X752" s="20">
        <f t="shared" si="480"/>
        <v>0</v>
      </c>
      <c r="Y752" s="20">
        <f t="shared" si="480"/>
        <v>0</v>
      </c>
      <c r="Z752" s="162" t="b">
        <f t="shared" si="468"/>
        <v>1</v>
      </c>
      <c r="AA752" s="162" t="str">
        <f t="shared" si="469"/>
        <v>PRAZNO</v>
      </c>
      <c r="AB752" s="173"/>
      <c r="AC752" s="164"/>
    </row>
    <row r="753" spans="1:29" ht="15.75" hidden="1" x14ac:dyDescent="0.2">
      <c r="B753" s="177"/>
      <c r="C753" s="177">
        <v>42</v>
      </c>
      <c r="D753" s="177"/>
      <c r="E753" s="177"/>
      <c r="F753" s="177"/>
      <c r="G753" s="177"/>
      <c r="H753" s="16" t="s">
        <v>212</v>
      </c>
      <c r="I753" s="18">
        <f t="shared" si="478"/>
        <v>0</v>
      </c>
      <c r="J753" s="27">
        <f t="shared" si="478"/>
        <v>1137299.01</v>
      </c>
      <c r="K753" s="18">
        <f t="shared" si="478"/>
        <v>1207500</v>
      </c>
      <c r="L753" s="18">
        <f t="shared" si="478"/>
        <v>32287.5</v>
      </c>
      <c r="M753" s="18">
        <f t="shared" si="475"/>
        <v>2.67</v>
      </c>
      <c r="N753" s="18">
        <f t="shared" si="476"/>
        <v>-200918.21999999997</v>
      </c>
      <c r="O753" s="18">
        <f t="shared" si="479"/>
        <v>1006581.78</v>
      </c>
      <c r="P753" s="18">
        <f t="shared" si="479"/>
        <v>0</v>
      </c>
      <c r="Q753" s="18">
        <f t="shared" si="479"/>
        <v>0</v>
      </c>
      <c r="R753" s="26">
        <f t="shared" si="477"/>
        <v>0</v>
      </c>
      <c r="S753" s="18">
        <f t="shared" si="480"/>
        <v>0</v>
      </c>
      <c r="T753" s="18">
        <f t="shared" si="480"/>
        <v>0</v>
      </c>
      <c r="U753" s="18">
        <f t="shared" si="480"/>
        <v>0</v>
      </c>
      <c r="V753" s="27">
        <f t="shared" si="480"/>
        <v>0</v>
      </c>
      <c r="W753" s="18">
        <f t="shared" si="480"/>
        <v>0</v>
      </c>
      <c r="X753" s="18">
        <f t="shared" si="480"/>
        <v>0</v>
      </c>
      <c r="Y753" s="18">
        <f t="shared" si="480"/>
        <v>0</v>
      </c>
      <c r="Z753" s="162" t="b">
        <f t="shared" si="468"/>
        <v>1</v>
      </c>
      <c r="AA753" s="162" t="str">
        <f t="shared" si="469"/>
        <v>PRAZNO</v>
      </c>
      <c r="AC753" s="164"/>
    </row>
    <row r="754" spans="1:29" ht="15.75" hidden="1" x14ac:dyDescent="0.2">
      <c r="B754" s="177"/>
      <c r="C754" s="177"/>
      <c r="D754" s="177">
        <v>421</v>
      </c>
      <c r="E754" s="177"/>
      <c r="F754" s="177"/>
      <c r="G754" s="177"/>
      <c r="H754" s="16" t="s">
        <v>759</v>
      </c>
      <c r="I754" s="18">
        <f>I755+I756</f>
        <v>0</v>
      </c>
      <c r="J754" s="18">
        <f>J755+J756</f>
        <v>1137299.01</v>
      </c>
      <c r="K754" s="18">
        <f>K755+K756</f>
        <v>1207500</v>
      </c>
      <c r="L754" s="18">
        <f>L755+L756</f>
        <v>32287.5</v>
      </c>
      <c r="M754" s="18">
        <f t="shared" si="475"/>
        <v>2.67</v>
      </c>
      <c r="N754" s="18">
        <f t="shared" si="476"/>
        <v>-200918.21999999997</v>
      </c>
      <c r="O754" s="18">
        <f>O755+O756</f>
        <v>1006581.78</v>
      </c>
      <c r="P754" s="18">
        <f>P755+P756</f>
        <v>0</v>
      </c>
      <c r="Q754" s="18">
        <f>Q755+Q756</f>
        <v>0</v>
      </c>
      <c r="R754" s="26">
        <f t="shared" si="477"/>
        <v>0</v>
      </c>
      <c r="S754" s="18">
        <f t="shared" ref="S754:Y754" si="481">S755+S756</f>
        <v>0</v>
      </c>
      <c r="T754" s="18">
        <f t="shared" si="481"/>
        <v>0</v>
      </c>
      <c r="U754" s="18">
        <f t="shared" si="481"/>
        <v>0</v>
      </c>
      <c r="V754" s="27">
        <f t="shared" si="481"/>
        <v>0</v>
      </c>
      <c r="W754" s="18">
        <f t="shared" si="481"/>
        <v>0</v>
      </c>
      <c r="X754" s="18">
        <f t="shared" si="481"/>
        <v>0</v>
      </c>
      <c r="Y754" s="18">
        <f t="shared" si="481"/>
        <v>0</v>
      </c>
      <c r="Z754" s="162" t="b">
        <f t="shared" si="468"/>
        <v>1</v>
      </c>
      <c r="AA754" s="162" t="str">
        <f t="shared" si="469"/>
        <v>PRAZNO</v>
      </c>
      <c r="AC754" s="164"/>
    </row>
    <row r="755" spans="1:29" ht="30" hidden="1" x14ac:dyDescent="0.2">
      <c r="B755" s="177"/>
      <c r="C755" s="177"/>
      <c r="D755" s="177"/>
      <c r="E755" s="177">
        <v>4212</v>
      </c>
      <c r="F755" s="176">
        <v>53</v>
      </c>
      <c r="G755" s="176" t="s">
        <v>1040</v>
      </c>
      <c r="H755" s="16" t="s">
        <v>192</v>
      </c>
      <c r="I755" s="18">
        <v>0</v>
      </c>
      <c r="J755" s="214">
        <v>1137299.01</v>
      </c>
      <c r="K755" s="215">
        <v>1207500</v>
      </c>
      <c r="L755" s="215">
        <v>32287.5</v>
      </c>
      <c r="M755" s="215">
        <f t="shared" si="475"/>
        <v>2.67</v>
      </c>
      <c r="N755" s="215">
        <f t="shared" si="476"/>
        <v>-711248.74</v>
      </c>
      <c r="O755" s="215">
        <v>496251.26</v>
      </c>
      <c r="P755" s="215">
        <v>0</v>
      </c>
      <c r="Q755" s="215">
        <v>0</v>
      </c>
      <c r="R755" s="26">
        <f t="shared" si="477"/>
        <v>0</v>
      </c>
      <c r="S755" s="215"/>
      <c r="T755" s="215"/>
      <c r="U755" s="215"/>
      <c r="V755" s="214"/>
      <c r="W755" s="215"/>
      <c r="X755" s="215"/>
      <c r="Y755" s="215"/>
      <c r="Z755" s="162" t="b">
        <f t="shared" si="468"/>
        <v>0</v>
      </c>
      <c r="AA755" s="162" t="str">
        <f t="shared" si="469"/>
        <v>PUNO</v>
      </c>
      <c r="AC755" s="164"/>
    </row>
    <row r="756" spans="1:29" ht="30" hidden="1" x14ac:dyDescent="0.2">
      <c r="B756" s="177"/>
      <c r="C756" s="177"/>
      <c r="D756" s="177"/>
      <c r="E756" s="177">
        <v>4212</v>
      </c>
      <c r="F756" s="176">
        <v>11</v>
      </c>
      <c r="G756" s="176" t="s">
        <v>1040</v>
      </c>
      <c r="H756" s="16" t="s">
        <v>192</v>
      </c>
      <c r="I756" s="18"/>
      <c r="J756" s="214"/>
      <c r="K756" s="215">
        <v>0</v>
      </c>
      <c r="L756" s="215">
        <v>0</v>
      </c>
      <c r="M756" s="215" t="e">
        <f t="shared" si="475"/>
        <v>#DIV/0!</v>
      </c>
      <c r="N756" s="215">
        <f t="shared" si="476"/>
        <v>510330.52</v>
      </c>
      <c r="O756" s="215">
        <v>510330.52</v>
      </c>
      <c r="P756" s="215">
        <v>0</v>
      </c>
      <c r="Q756" s="215">
        <v>0</v>
      </c>
      <c r="R756" s="26">
        <f t="shared" si="477"/>
        <v>0</v>
      </c>
      <c r="S756" s="215"/>
      <c r="T756" s="215"/>
      <c r="U756" s="215"/>
      <c r="V756" s="214"/>
      <c r="W756" s="215"/>
      <c r="X756" s="215"/>
      <c r="Y756" s="215"/>
      <c r="Z756" s="162" t="b">
        <f t="shared" si="468"/>
        <v>0</v>
      </c>
      <c r="AA756" s="162" t="str">
        <f t="shared" si="469"/>
        <v>PUNO</v>
      </c>
      <c r="AC756" s="164"/>
    </row>
    <row r="757" spans="1:29" s="171" customFormat="1" ht="31.5" x14ac:dyDescent="0.2">
      <c r="A757" s="259"/>
      <c r="B757" s="168"/>
      <c r="C757" s="168"/>
      <c r="D757" s="168"/>
      <c r="E757" s="168"/>
      <c r="F757" s="168"/>
      <c r="G757" s="168"/>
      <c r="H757" s="13" t="s">
        <v>620</v>
      </c>
      <c r="I757" s="242">
        <f>I759</f>
        <v>0</v>
      </c>
      <c r="J757" s="301">
        <f>J759</f>
        <v>0</v>
      </c>
      <c r="K757" s="301">
        <f>K759</f>
        <v>1207500</v>
      </c>
      <c r="L757" s="301"/>
      <c r="M757" s="301"/>
      <c r="N757" s="301"/>
      <c r="O757" s="301">
        <f>O759</f>
        <v>0</v>
      </c>
      <c r="P757" s="301">
        <f>P759</f>
        <v>500000</v>
      </c>
      <c r="Q757" s="301">
        <f>Q759</f>
        <v>0</v>
      </c>
      <c r="R757" s="303">
        <f t="shared" si="477"/>
        <v>0</v>
      </c>
      <c r="S757" s="242">
        <f t="shared" ref="S757:Y757" si="482">S759</f>
        <v>500000</v>
      </c>
      <c r="T757" s="242">
        <f t="shared" si="482"/>
        <v>1000000</v>
      </c>
      <c r="U757" s="242">
        <f t="shared" si="482"/>
        <v>1500000</v>
      </c>
      <c r="V757" s="305">
        <f t="shared" si="482"/>
        <v>500000</v>
      </c>
      <c r="W757" s="301">
        <f t="shared" si="482"/>
        <v>100000</v>
      </c>
      <c r="X757" s="301">
        <f t="shared" si="482"/>
        <v>0</v>
      </c>
      <c r="Y757" s="301">
        <f t="shared" si="482"/>
        <v>0</v>
      </c>
      <c r="Z757" s="162" t="b">
        <f t="shared" si="468"/>
        <v>1</v>
      </c>
      <c r="AA757" s="162" t="str">
        <f t="shared" si="469"/>
        <v>PRAZNO</v>
      </c>
      <c r="AB757" s="170"/>
    </row>
    <row r="758" spans="1:29" s="264" customFormat="1" ht="15.75" x14ac:dyDescent="0.2">
      <c r="A758" s="259"/>
      <c r="B758" s="260"/>
      <c r="C758" s="260"/>
      <c r="D758" s="260"/>
      <c r="E758" s="260"/>
      <c r="F758" s="260"/>
      <c r="G758" s="260"/>
      <c r="H758" s="440" t="s">
        <v>824</v>
      </c>
      <c r="I758" s="178"/>
      <c r="J758" s="462"/>
      <c r="K758" s="462"/>
      <c r="L758" s="462"/>
      <c r="M758" s="462"/>
      <c r="N758" s="462"/>
      <c r="O758" s="462"/>
      <c r="P758" s="462"/>
      <c r="Q758" s="462"/>
      <c r="R758" s="445"/>
      <c r="S758" s="178"/>
      <c r="T758" s="178"/>
      <c r="U758" s="178"/>
      <c r="V758" s="430"/>
      <c r="W758" s="462">
        <f t="shared" ref="W758:Y761" si="483">W759</f>
        <v>100000</v>
      </c>
      <c r="X758" s="462">
        <f t="shared" si="483"/>
        <v>0</v>
      </c>
      <c r="Y758" s="462">
        <f t="shared" si="483"/>
        <v>0</v>
      </c>
      <c r="Z758" s="162" t="b">
        <f t="shared" si="468"/>
        <v>1</v>
      </c>
      <c r="AA758" s="162" t="str">
        <f t="shared" si="469"/>
        <v>PRAZNO</v>
      </c>
      <c r="AB758" s="263"/>
    </row>
    <row r="759" spans="1:29" s="174" customFormat="1" ht="15.75" x14ac:dyDescent="0.2">
      <c r="A759" s="259"/>
      <c r="B759" s="247">
        <v>4</v>
      </c>
      <c r="C759" s="247"/>
      <c r="D759" s="247"/>
      <c r="E759" s="247"/>
      <c r="F759" s="247"/>
      <c r="G759" s="247"/>
      <c r="H759" s="36" t="s">
        <v>552</v>
      </c>
      <c r="I759" s="249">
        <f t="shared" ref="I759:K760" si="484">I760</f>
        <v>0</v>
      </c>
      <c r="J759" s="249">
        <f t="shared" si="484"/>
        <v>0</v>
      </c>
      <c r="K759" s="249">
        <f t="shared" si="484"/>
        <v>1207500</v>
      </c>
      <c r="L759" s="249"/>
      <c r="M759" s="249"/>
      <c r="N759" s="249"/>
      <c r="O759" s="249">
        <f t="shared" ref="O759:Q761" si="485">O760</f>
        <v>0</v>
      </c>
      <c r="P759" s="249">
        <f t="shared" si="485"/>
        <v>500000</v>
      </c>
      <c r="Q759" s="249">
        <f t="shared" si="485"/>
        <v>0</v>
      </c>
      <c r="R759" s="55">
        <f>V759-P759</f>
        <v>0</v>
      </c>
      <c r="S759" s="249">
        <f t="shared" ref="S759:V761" si="486">S760</f>
        <v>500000</v>
      </c>
      <c r="T759" s="249">
        <f t="shared" si="486"/>
        <v>1000000</v>
      </c>
      <c r="U759" s="249">
        <f t="shared" si="486"/>
        <v>1500000</v>
      </c>
      <c r="V759" s="248">
        <f t="shared" si="486"/>
        <v>500000</v>
      </c>
      <c r="W759" s="249">
        <f t="shared" si="483"/>
        <v>100000</v>
      </c>
      <c r="X759" s="249">
        <f t="shared" si="483"/>
        <v>0</v>
      </c>
      <c r="Y759" s="249">
        <f t="shared" si="483"/>
        <v>0</v>
      </c>
      <c r="Z759" s="162" t="b">
        <f t="shared" si="468"/>
        <v>1</v>
      </c>
      <c r="AA759" s="162" t="str">
        <f t="shared" si="469"/>
        <v>PRAZNO</v>
      </c>
      <c r="AB759" s="173"/>
    </row>
    <row r="760" spans="1:29" ht="15.75" x14ac:dyDescent="0.2">
      <c r="B760" s="177"/>
      <c r="C760" s="177">
        <v>42</v>
      </c>
      <c r="D760" s="177"/>
      <c r="E760" s="177"/>
      <c r="F760" s="177"/>
      <c r="G760" s="177"/>
      <c r="H760" s="16" t="s">
        <v>212</v>
      </c>
      <c r="I760" s="18">
        <f t="shared" si="484"/>
        <v>0</v>
      </c>
      <c r="J760" s="27">
        <f t="shared" si="484"/>
        <v>0</v>
      </c>
      <c r="K760" s="18">
        <f t="shared" si="484"/>
        <v>1207500</v>
      </c>
      <c r="L760" s="18">
        <f>L761</f>
        <v>32287.5</v>
      </c>
      <c r="M760" s="18">
        <f>ROUND(L760/K760*100,2)</f>
        <v>2.67</v>
      </c>
      <c r="N760" s="18">
        <f>O760-K760</f>
        <v>-1207500</v>
      </c>
      <c r="O760" s="18">
        <f t="shared" si="485"/>
        <v>0</v>
      </c>
      <c r="P760" s="18">
        <f t="shared" si="485"/>
        <v>500000</v>
      </c>
      <c r="Q760" s="18">
        <f t="shared" si="485"/>
        <v>0</v>
      </c>
      <c r="R760" s="26">
        <f>V760-P760</f>
        <v>0</v>
      </c>
      <c r="S760" s="18">
        <f t="shared" si="486"/>
        <v>500000</v>
      </c>
      <c r="T760" s="18">
        <f t="shared" si="486"/>
        <v>1000000</v>
      </c>
      <c r="U760" s="18">
        <f t="shared" si="486"/>
        <v>1500000</v>
      </c>
      <c r="V760" s="27">
        <f t="shared" si="486"/>
        <v>500000</v>
      </c>
      <c r="W760" s="18">
        <f t="shared" si="483"/>
        <v>100000</v>
      </c>
      <c r="X760" s="18">
        <f t="shared" si="483"/>
        <v>0</v>
      </c>
      <c r="Y760" s="18">
        <f t="shared" si="483"/>
        <v>0</v>
      </c>
      <c r="Z760" s="162" t="b">
        <f t="shared" si="468"/>
        <v>1</v>
      </c>
      <c r="AA760" s="162" t="str">
        <f t="shared" ref="AA760:AA791" si="487">IF(Z760,"PRAZNO","PUNO")</f>
        <v>PRAZNO</v>
      </c>
      <c r="AC760" s="164"/>
    </row>
    <row r="761" spans="1:29" ht="15.75" x14ac:dyDescent="0.2">
      <c r="B761" s="177"/>
      <c r="C761" s="177"/>
      <c r="D761" s="177">
        <v>421</v>
      </c>
      <c r="E761" s="177"/>
      <c r="F761" s="177"/>
      <c r="G761" s="177"/>
      <c r="H761" s="16" t="s">
        <v>759</v>
      </c>
      <c r="I761" s="18">
        <f>I762</f>
        <v>0</v>
      </c>
      <c r="J761" s="18">
        <f>J762</f>
        <v>0</v>
      </c>
      <c r="K761" s="18">
        <f>K762+K763</f>
        <v>1207500</v>
      </c>
      <c r="L761" s="18">
        <f>L762+L763</f>
        <v>32287.5</v>
      </c>
      <c r="M761" s="18">
        <f>ROUND(L761/K761*100,2)</f>
        <v>2.67</v>
      </c>
      <c r="N761" s="18">
        <f>O761-K761</f>
        <v>-1207500</v>
      </c>
      <c r="O761" s="18">
        <f t="shared" si="485"/>
        <v>0</v>
      </c>
      <c r="P761" s="18">
        <f t="shared" si="485"/>
        <v>500000</v>
      </c>
      <c r="Q761" s="18">
        <f t="shared" si="485"/>
        <v>0</v>
      </c>
      <c r="R761" s="26">
        <f>V761-P761</f>
        <v>0</v>
      </c>
      <c r="S761" s="18">
        <f t="shared" si="486"/>
        <v>500000</v>
      </c>
      <c r="T761" s="18">
        <f t="shared" si="486"/>
        <v>1000000</v>
      </c>
      <c r="U761" s="18">
        <f t="shared" si="486"/>
        <v>1500000</v>
      </c>
      <c r="V761" s="27">
        <f t="shared" si="486"/>
        <v>500000</v>
      </c>
      <c r="W761" s="18">
        <f t="shared" si="483"/>
        <v>100000</v>
      </c>
      <c r="X761" s="18">
        <f t="shared" si="483"/>
        <v>0</v>
      </c>
      <c r="Y761" s="18">
        <f t="shared" si="483"/>
        <v>0</v>
      </c>
      <c r="Z761" s="162" t="b">
        <f t="shared" si="468"/>
        <v>1</v>
      </c>
      <c r="AA761" s="162" t="str">
        <f t="shared" si="487"/>
        <v>PRAZNO</v>
      </c>
      <c r="AC761" s="164"/>
    </row>
    <row r="762" spans="1:29" ht="15.75" x14ac:dyDescent="0.2">
      <c r="B762" s="177"/>
      <c r="C762" s="177"/>
      <c r="D762" s="177"/>
      <c r="E762" s="177">
        <v>4212</v>
      </c>
      <c r="F762" s="176">
        <v>14</v>
      </c>
      <c r="G762" s="176" t="s">
        <v>1040</v>
      </c>
      <c r="H762" s="16" t="s">
        <v>1025</v>
      </c>
      <c r="I762" s="18"/>
      <c r="J762" s="214"/>
      <c r="K762" s="215">
        <v>1207500</v>
      </c>
      <c r="L762" s="215">
        <v>32287.5</v>
      </c>
      <c r="M762" s="215">
        <f>ROUND(L762/K762*100,2)</f>
        <v>2.67</v>
      </c>
      <c r="N762" s="215">
        <f>O762-K762</f>
        <v>-1207500</v>
      </c>
      <c r="O762" s="215"/>
      <c r="P762" s="215">
        <v>500000</v>
      </c>
      <c r="Q762" s="215">
        <v>0</v>
      </c>
      <c r="R762" s="26">
        <f>V762-P762</f>
        <v>0</v>
      </c>
      <c r="S762" s="215">
        <v>500000</v>
      </c>
      <c r="T762" s="215">
        <f>500000+500000</f>
        <v>1000000</v>
      </c>
      <c r="U762" s="215">
        <f>1000000+500000</f>
        <v>1500000</v>
      </c>
      <c r="V762" s="214">
        <v>500000</v>
      </c>
      <c r="W762" s="215">
        <v>100000</v>
      </c>
      <c r="X762" s="215"/>
      <c r="Y762" s="215"/>
      <c r="Z762" s="162" t="b">
        <f t="shared" si="468"/>
        <v>0</v>
      </c>
      <c r="AA762" s="162" t="str">
        <f t="shared" si="487"/>
        <v>PUNO</v>
      </c>
      <c r="AC762" s="164"/>
    </row>
    <row r="763" spans="1:29" s="171" customFormat="1" ht="31.5" x14ac:dyDescent="0.2">
      <c r="A763" s="259"/>
      <c r="B763" s="168"/>
      <c r="C763" s="168"/>
      <c r="D763" s="168"/>
      <c r="E763" s="168"/>
      <c r="F763" s="168"/>
      <c r="G763" s="168"/>
      <c r="H763" s="13" t="s">
        <v>955</v>
      </c>
      <c r="I763" s="242"/>
      <c r="J763" s="245"/>
      <c r="K763" s="246"/>
      <c r="L763" s="246"/>
      <c r="M763" s="246"/>
      <c r="N763" s="246"/>
      <c r="O763" s="246"/>
      <c r="P763" s="301">
        <f>P765</f>
        <v>1555100</v>
      </c>
      <c r="Q763" s="301">
        <f>Q765</f>
        <v>181241.41</v>
      </c>
      <c r="R763" s="303">
        <f>V763-P763</f>
        <v>0</v>
      </c>
      <c r="S763" s="246">
        <f>S765</f>
        <v>1555100</v>
      </c>
      <c r="T763" s="246"/>
      <c r="U763" s="246"/>
      <c r="V763" s="305">
        <f>V765</f>
        <v>1555100</v>
      </c>
      <c r="W763" s="301">
        <f>W765</f>
        <v>100000</v>
      </c>
      <c r="X763" s="301">
        <f>X765</f>
        <v>0</v>
      </c>
      <c r="Y763" s="301">
        <f>Y765</f>
        <v>0</v>
      </c>
      <c r="Z763" s="162" t="b">
        <f t="shared" si="468"/>
        <v>1</v>
      </c>
      <c r="AA763" s="162" t="str">
        <f t="shared" si="487"/>
        <v>PRAZNO</v>
      </c>
      <c r="AB763" s="170"/>
    </row>
    <row r="764" spans="1:29" s="264" customFormat="1" ht="15.75" x14ac:dyDescent="0.2">
      <c r="A764" s="259"/>
      <c r="B764" s="260"/>
      <c r="C764" s="260"/>
      <c r="D764" s="260"/>
      <c r="E764" s="260"/>
      <c r="F764" s="260"/>
      <c r="G764" s="260"/>
      <c r="H764" s="440" t="s">
        <v>824</v>
      </c>
      <c r="I764" s="178"/>
      <c r="J764" s="344"/>
      <c r="K764" s="216"/>
      <c r="L764" s="216"/>
      <c r="M764" s="216"/>
      <c r="N764" s="216"/>
      <c r="O764" s="216"/>
      <c r="P764" s="462"/>
      <c r="Q764" s="462"/>
      <c r="R764" s="445"/>
      <c r="S764" s="216"/>
      <c r="T764" s="216"/>
      <c r="U764" s="216"/>
      <c r="V764" s="430"/>
      <c r="W764" s="462">
        <f t="shared" ref="W764:Y766" si="488">W765</f>
        <v>100000</v>
      </c>
      <c r="X764" s="462">
        <f t="shared" si="488"/>
        <v>0</v>
      </c>
      <c r="Y764" s="462">
        <f t="shared" si="488"/>
        <v>0</v>
      </c>
      <c r="Z764" s="162" t="b">
        <f t="shared" si="468"/>
        <v>1</v>
      </c>
      <c r="AA764" s="162" t="str">
        <f t="shared" si="487"/>
        <v>PRAZNO</v>
      </c>
      <c r="AB764" s="263"/>
    </row>
    <row r="765" spans="1:29" s="174" customFormat="1" ht="15.75" x14ac:dyDescent="0.2">
      <c r="A765" s="259"/>
      <c r="B765" s="247">
        <v>4</v>
      </c>
      <c r="C765" s="247"/>
      <c r="D765" s="247"/>
      <c r="E765" s="247"/>
      <c r="F765" s="247"/>
      <c r="G765" s="247"/>
      <c r="H765" s="36" t="s">
        <v>552</v>
      </c>
      <c r="I765" s="184"/>
      <c r="J765" s="248"/>
      <c r="K765" s="249"/>
      <c r="L765" s="249"/>
      <c r="M765" s="249"/>
      <c r="N765" s="249"/>
      <c r="O765" s="249"/>
      <c r="P765" s="249">
        <f>P766</f>
        <v>1555100</v>
      </c>
      <c r="Q765" s="249">
        <f>Q766</f>
        <v>181241.41</v>
      </c>
      <c r="R765" s="55">
        <f t="shared" ref="R765:R771" si="489">V765-P765</f>
        <v>0</v>
      </c>
      <c r="S765" s="249">
        <f>S766</f>
        <v>1555100</v>
      </c>
      <c r="T765" s="249"/>
      <c r="U765" s="249"/>
      <c r="V765" s="248">
        <f>V766</f>
        <v>1555100</v>
      </c>
      <c r="W765" s="249">
        <f t="shared" si="488"/>
        <v>100000</v>
      </c>
      <c r="X765" s="249">
        <f t="shared" si="488"/>
        <v>0</v>
      </c>
      <c r="Y765" s="249">
        <f t="shared" si="488"/>
        <v>0</v>
      </c>
      <c r="Z765" s="162" t="b">
        <f t="shared" si="468"/>
        <v>1</v>
      </c>
      <c r="AA765" s="162" t="str">
        <f t="shared" si="487"/>
        <v>PRAZNO</v>
      </c>
      <c r="AB765" s="173"/>
    </row>
    <row r="766" spans="1:29" ht="30" customHeight="1" x14ac:dyDescent="0.2">
      <c r="B766" s="200"/>
      <c r="C766" s="200">
        <v>45</v>
      </c>
      <c r="D766" s="200"/>
      <c r="E766" s="200"/>
      <c r="F766" s="200"/>
      <c r="G766" s="200"/>
      <c r="H766" s="30" t="s">
        <v>808</v>
      </c>
      <c r="I766" s="18"/>
      <c r="J766" s="214"/>
      <c r="K766" s="215"/>
      <c r="L766" s="215"/>
      <c r="M766" s="215"/>
      <c r="N766" s="215"/>
      <c r="O766" s="215"/>
      <c r="P766" s="215">
        <f>P767</f>
        <v>1555100</v>
      </c>
      <c r="Q766" s="215">
        <f>Q767</f>
        <v>181241.41</v>
      </c>
      <c r="R766" s="26">
        <f t="shared" si="489"/>
        <v>0</v>
      </c>
      <c r="S766" s="215">
        <f>S767</f>
        <v>1555100</v>
      </c>
      <c r="T766" s="215"/>
      <c r="U766" s="215"/>
      <c r="V766" s="214">
        <f>V767</f>
        <v>1555100</v>
      </c>
      <c r="W766" s="215">
        <f t="shared" si="488"/>
        <v>100000</v>
      </c>
      <c r="X766" s="215">
        <f t="shared" si="488"/>
        <v>0</v>
      </c>
      <c r="Y766" s="215">
        <f t="shared" si="488"/>
        <v>0</v>
      </c>
      <c r="Z766" s="162" t="b">
        <f t="shared" si="468"/>
        <v>1</v>
      </c>
      <c r="AA766" s="162" t="str">
        <f t="shared" si="487"/>
        <v>PRAZNO</v>
      </c>
      <c r="AC766" s="164"/>
    </row>
    <row r="767" spans="1:29" ht="15.75" x14ac:dyDescent="0.2">
      <c r="B767" s="200"/>
      <c r="C767" s="200"/>
      <c r="D767" s="200">
        <v>451</v>
      </c>
      <c r="E767" s="200"/>
      <c r="F767" s="200"/>
      <c r="G767" s="200"/>
      <c r="H767" s="30" t="s">
        <v>809</v>
      </c>
      <c r="I767" s="18"/>
      <c r="J767" s="214"/>
      <c r="K767" s="215"/>
      <c r="L767" s="215"/>
      <c r="M767" s="215"/>
      <c r="N767" s="215"/>
      <c r="O767" s="215"/>
      <c r="P767" s="215">
        <f>P768+P770</f>
        <v>1555100</v>
      </c>
      <c r="Q767" s="215">
        <f>Q768+Q770</f>
        <v>181241.41</v>
      </c>
      <c r="R767" s="26">
        <f t="shared" si="489"/>
        <v>0</v>
      </c>
      <c r="S767" s="215">
        <f>S768+S770</f>
        <v>1555100</v>
      </c>
      <c r="T767" s="215"/>
      <c r="U767" s="215"/>
      <c r="V767" s="214">
        <f>V768+V770+V769</f>
        <v>1555100</v>
      </c>
      <c r="W767" s="215">
        <f>W768+W770</f>
        <v>100000</v>
      </c>
      <c r="X767" s="215">
        <f>X768+X770</f>
        <v>0</v>
      </c>
      <c r="Y767" s="215">
        <f>Y768+Y770</f>
        <v>0</v>
      </c>
      <c r="Z767" s="162" t="b">
        <f t="shared" si="468"/>
        <v>1</v>
      </c>
      <c r="AA767" s="162" t="str">
        <f t="shared" si="487"/>
        <v>PRAZNO</v>
      </c>
      <c r="AC767" s="164"/>
    </row>
    <row r="768" spans="1:29" ht="15.75" x14ac:dyDescent="0.2">
      <c r="B768" s="200"/>
      <c r="C768" s="200"/>
      <c r="D768" s="200"/>
      <c r="E768" s="200">
        <v>4511</v>
      </c>
      <c r="F768" s="200">
        <v>14</v>
      </c>
      <c r="G768" s="200"/>
      <c r="H768" s="30" t="s">
        <v>809</v>
      </c>
      <c r="I768" s="18"/>
      <c r="J768" s="214"/>
      <c r="K768" s="215"/>
      <c r="L768" s="215"/>
      <c r="M768" s="215"/>
      <c r="N768" s="215"/>
      <c r="O768" s="215"/>
      <c r="P768" s="215">
        <v>1032100</v>
      </c>
      <c r="Q768" s="215">
        <v>181241.41</v>
      </c>
      <c r="R768" s="26">
        <f t="shared" si="489"/>
        <v>-87500</v>
      </c>
      <c r="S768" s="215">
        <v>523000</v>
      </c>
      <c r="T768" s="215"/>
      <c r="U768" s="215"/>
      <c r="V768" s="214">
        <v>944600</v>
      </c>
      <c r="W768" s="215">
        <v>100000</v>
      </c>
      <c r="X768" s="215">
        <v>0</v>
      </c>
      <c r="Y768" s="215">
        <v>0</v>
      </c>
      <c r="Z768" s="162" t="b">
        <f t="shared" si="468"/>
        <v>0</v>
      </c>
      <c r="AA768" s="162" t="str">
        <f t="shared" si="487"/>
        <v>PUNO</v>
      </c>
      <c r="AC768" s="164"/>
    </row>
    <row r="769" spans="1:29" ht="15.75" hidden="1" x14ac:dyDescent="0.2">
      <c r="B769" s="200"/>
      <c r="C769" s="200"/>
      <c r="D769" s="200"/>
      <c r="E769" s="200">
        <v>4511</v>
      </c>
      <c r="F769" s="200">
        <v>14</v>
      </c>
      <c r="G769" s="200"/>
      <c r="H769" s="30" t="s">
        <v>809</v>
      </c>
      <c r="I769" s="18"/>
      <c r="J769" s="214"/>
      <c r="K769" s="215"/>
      <c r="L769" s="215"/>
      <c r="M769" s="215"/>
      <c r="N769" s="215"/>
      <c r="O769" s="215"/>
      <c r="P769" s="215">
        <v>0</v>
      </c>
      <c r="Q769" s="215"/>
      <c r="R769" s="26">
        <f t="shared" si="489"/>
        <v>87500</v>
      </c>
      <c r="S769" s="215"/>
      <c r="T769" s="215"/>
      <c r="U769" s="215"/>
      <c r="V769" s="214">
        <v>87500</v>
      </c>
      <c r="W769" s="215"/>
      <c r="X769" s="215"/>
      <c r="Y769" s="215"/>
      <c r="Z769" s="162" t="b">
        <f t="shared" si="468"/>
        <v>0</v>
      </c>
      <c r="AA769" s="162" t="str">
        <f t="shared" si="487"/>
        <v>PUNO</v>
      </c>
      <c r="AC769" s="164"/>
    </row>
    <row r="770" spans="1:29" ht="15.75" hidden="1" x14ac:dyDescent="0.2">
      <c r="B770" s="200"/>
      <c r="C770" s="200"/>
      <c r="D770" s="200"/>
      <c r="E770" s="200">
        <v>4511</v>
      </c>
      <c r="F770" s="200">
        <v>53</v>
      </c>
      <c r="G770" s="200"/>
      <c r="H770" s="30" t="s">
        <v>809</v>
      </c>
      <c r="I770" s="18"/>
      <c r="J770" s="214"/>
      <c r="K770" s="215"/>
      <c r="L770" s="215"/>
      <c r="M770" s="215"/>
      <c r="N770" s="215"/>
      <c r="O770" s="215"/>
      <c r="P770" s="215">
        <v>523000</v>
      </c>
      <c r="Q770" s="215">
        <v>0</v>
      </c>
      <c r="R770" s="26">
        <f t="shared" si="489"/>
        <v>0</v>
      </c>
      <c r="S770" s="215">
        <v>1032100</v>
      </c>
      <c r="T770" s="215"/>
      <c r="U770" s="215"/>
      <c r="V770" s="214">
        <v>523000</v>
      </c>
      <c r="W770" s="215">
        <v>0</v>
      </c>
      <c r="X770" s="215">
        <v>0</v>
      </c>
      <c r="Y770" s="215">
        <v>0</v>
      </c>
      <c r="Z770" s="162" t="b">
        <f t="shared" si="468"/>
        <v>0</v>
      </c>
      <c r="AA770" s="162" t="str">
        <f t="shared" si="487"/>
        <v>PUNO</v>
      </c>
      <c r="AC770" s="164"/>
    </row>
    <row r="771" spans="1:29" s="171" customFormat="1" ht="15.75" x14ac:dyDescent="0.2">
      <c r="A771" s="259"/>
      <c r="B771" s="168"/>
      <c r="C771" s="168"/>
      <c r="D771" s="168"/>
      <c r="E771" s="168"/>
      <c r="F771" s="168"/>
      <c r="G771" s="168"/>
      <c r="H771" s="13" t="s">
        <v>621</v>
      </c>
      <c r="I771" s="19">
        <f>I778</f>
        <v>46774.6</v>
      </c>
      <c r="J771" s="19">
        <f>J778</f>
        <v>64059.520000000004</v>
      </c>
      <c r="K771" s="169">
        <f>K778</f>
        <v>162700</v>
      </c>
      <c r="L771" s="169">
        <f>L778</f>
        <v>0</v>
      </c>
      <c r="M771" s="169">
        <f>ROUND(L771/K771*100,2)</f>
        <v>0</v>
      </c>
      <c r="N771" s="169">
        <f>O771-K771</f>
        <v>-97926.950000000012</v>
      </c>
      <c r="O771" s="19">
        <f>O778</f>
        <v>64773.049999999996</v>
      </c>
      <c r="P771" s="19">
        <f>P778</f>
        <v>417700</v>
      </c>
      <c r="Q771" s="19">
        <f>Q778</f>
        <v>83278.3</v>
      </c>
      <c r="R771" s="303">
        <f t="shared" si="489"/>
        <v>-77000</v>
      </c>
      <c r="S771" s="19">
        <f>S778</f>
        <v>417700</v>
      </c>
      <c r="T771" s="19">
        <f>T778</f>
        <v>135000</v>
      </c>
      <c r="U771" s="19">
        <f>U778</f>
        <v>121000</v>
      </c>
      <c r="V771" s="53">
        <f>V778</f>
        <v>340700</v>
      </c>
      <c r="W771" s="19">
        <f>W778+W773+W803</f>
        <v>236500</v>
      </c>
      <c r="X771" s="19">
        <f>X778+X773+X803</f>
        <v>233000</v>
      </c>
      <c r="Y771" s="19">
        <f>Y778+Y773+Y803</f>
        <v>214000</v>
      </c>
      <c r="Z771" s="162" t="b">
        <f t="shared" si="468"/>
        <v>1</v>
      </c>
      <c r="AA771" s="162" t="str">
        <f t="shared" si="487"/>
        <v>PRAZNO</v>
      </c>
      <c r="AB771" s="170"/>
      <c r="AC771" s="164"/>
    </row>
    <row r="772" spans="1:29" s="264" customFormat="1" ht="15.75" x14ac:dyDescent="0.2">
      <c r="A772" s="259"/>
      <c r="B772" s="260"/>
      <c r="C772" s="260"/>
      <c r="D772" s="260"/>
      <c r="E772" s="260"/>
      <c r="F772" s="260"/>
      <c r="G772" s="260"/>
      <c r="H772" s="440" t="s">
        <v>824</v>
      </c>
      <c r="I772" s="262"/>
      <c r="J772" s="262"/>
      <c r="K772" s="181"/>
      <c r="L772" s="181"/>
      <c r="M772" s="181"/>
      <c r="N772" s="181"/>
      <c r="O772" s="262"/>
      <c r="P772" s="262"/>
      <c r="Q772" s="262"/>
      <c r="R772" s="445"/>
      <c r="S772" s="262"/>
      <c r="T772" s="262"/>
      <c r="U772" s="262"/>
      <c r="V772" s="342"/>
      <c r="W772" s="262">
        <f t="shared" ref="W772:Y775" si="490">W773</f>
        <v>10000</v>
      </c>
      <c r="X772" s="262">
        <f t="shared" si="490"/>
        <v>10000</v>
      </c>
      <c r="Y772" s="262">
        <f t="shared" si="490"/>
        <v>10000</v>
      </c>
      <c r="Z772" s="162" t="b">
        <f t="shared" si="468"/>
        <v>1</v>
      </c>
      <c r="AA772" s="162" t="str">
        <f t="shared" si="487"/>
        <v>PRAZNO</v>
      </c>
      <c r="AB772" s="263"/>
    </row>
    <row r="773" spans="1:29" s="174" customFormat="1" ht="15.75" x14ac:dyDescent="0.2">
      <c r="A773" s="259"/>
      <c r="B773" s="172">
        <v>4</v>
      </c>
      <c r="C773" s="172"/>
      <c r="D773" s="172"/>
      <c r="E773" s="172"/>
      <c r="F773" s="172"/>
      <c r="G773" s="172"/>
      <c r="H773" s="14" t="s">
        <v>552</v>
      </c>
      <c r="I773" s="20"/>
      <c r="J773" s="20"/>
      <c r="K773" s="20"/>
      <c r="L773" s="20"/>
      <c r="M773" s="20"/>
      <c r="N773" s="20"/>
      <c r="O773" s="20"/>
      <c r="P773" s="20"/>
      <c r="Q773" s="20"/>
      <c r="R773" s="54"/>
      <c r="S773" s="20"/>
      <c r="T773" s="20"/>
      <c r="U773" s="20"/>
      <c r="V773" s="55"/>
      <c r="W773" s="20">
        <f t="shared" si="490"/>
        <v>10000</v>
      </c>
      <c r="X773" s="20">
        <f t="shared" si="490"/>
        <v>10000</v>
      </c>
      <c r="Y773" s="20">
        <f t="shared" si="490"/>
        <v>10000</v>
      </c>
      <c r="Z773" s="162" t="b">
        <f t="shared" si="468"/>
        <v>1</v>
      </c>
      <c r="AA773" s="162" t="str">
        <f t="shared" si="487"/>
        <v>PRAZNO</v>
      </c>
      <c r="AB773" s="173"/>
    </row>
    <row r="774" spans="1:29" s="264" customFormat="1" ht="15.75" x14ac:dyDescent="0.2">
      <c r="A774" s="259"/>
      <c r="B774" s="177"/>
      <c r="C774" s="177">
        <v>42</v>
      </c>
      <c r="D774" s="177"/>
      <c r="E774" s="177"/>
      <c r="F774" s="177"/>
      <c r="G774" s="177"/>
      <c r="H774" s="16" t="s">
        <v>212</v>
      </c>
      <c r="I774" s="181"/>
      <c r="J774" s="181"/>
      <c r="K774" s="181"/>
      <c r="L774" s="181"/>
      <c r="M774" s="181"/>
      <c r="N774" s="181"/>
      <c r="O774" s="181"/>
      <c r="P774" s="181"/>
      <c r="Q774" s="181"/>
      <c r="R774" s="343"/>
      <c r="S774" s="181"/>
      <c r="T774" s="181"/>
      <c r="U774" s="181"/>
      <c r="V774" s="307"/>
      <c r="W774" s="181">
        <f t="shared" si="490"/>
        <v>10000</v>
      </c>
      <c r="X774" s="181">
        <f t="shared" si="490"/>
        <v>10000</v>
      </c>
      <c r="Y774" s="181">
        <f t="shared" si="490"/>
        <v>10000</v>
      </c>
      <c r="Z774" s="162" t="b">
        <f t="shared" si="468"/>
        <v>1</v>
      </c>
      <c r="AA774" s="162" t="str">
        <f t="shared" si="487"/>
        <v>PRAZNO</v>
      </c>
      <c r="AB774" s="263"/>
    </row>
    <row r="775" spans="1:29" s="264" customFormat="1" ht="15.75" x14ac:dyDescent="0.2">
      <c r="A775" s="259"/>
      <c r="B775" s="177"/>
      <c r="C775" s="177"/>
      <c r="D775" s="177">
        <v>422</v>
      </c>
      <c r="E775" s="177"/>
      <c r="F775" s="177"/>
      <c r="G775" s="177"/>
      <c r="H775" s="16" t="s">
        <v>555</v>
      </c>
      <c r="I775" s="181"/>
      <c r="J775" s="181"/>
      <c r="K775" s="181"/>
      <c r="L775" s="181"/>
      <c r="M775" s="181"/>
      <c r="N775" s="181"/>
      <c r="O775" s="181"/>
      <c r="P775" s="181"/>
      <c r="Q775" s="181"/>
      <c r="R775" s="343"/>
      <c r="S775" s="181"/>
      <c r="T775" s="181"/>
      <c r="U775" s="181"/>
      <c r="V775" s="307"/>
      <c r="W775" s="181">
        <f t="shared" si="490"/>
        <v>10000</v>
      </c>
      <c r="X775" s="181">
        <f t="shared" si="490"/>
        <v>10000</v>
      </c>
      <c r="Y775" s="181">
        <f t="shared" si="490"/>
        <v>10000</v>
      </c>
      <c r="Z775" s="162" t="b">
        <f t="shared" si="468"/>
        <v>1</v>
      </c>
      <c r="AA775" s="162" t="str">
        <f t="shared" si="487"/>
        <v>PRAZNO</v>
      </c>
      <c r="AB775" s="263"/>
    </row>
    <row r="776" spans="1:29" ht="15.75" x14ac:dyDescent="0.2">
      <c r="B776" s="177"/>
      <c r="C776" s="177"/>
      <c r="D776" s="177"/>
      <c r="E776" s="177">
        <v>4221</v>
      </c>
      <c r="F776" s="265">
        <v>11</v>
      </c>
      <c r="G776" s="177"/>
      <c r="H776" s="16" t="s">
        <v>558</v>
      </c>
      <c r="I776" s="181"/>
      <c r="J776" s="416"/>
      <c r="K776" s="181"/>
      <c r="L776" s="181"/>
      <c r="M776" s="181"/>
      <c r="N776" s="181"/>
      <c r="O776" s="181"/>
      <c r="P776" s="181">
        <v>0</v>
      </c>
      <c r="Q776" s="181">
        <v>0</v>
      </c>
      <c r="R776" s="307">
        <f>V776-P776</f>
        <v>0</v>
      </c>
      <c r="S776" s="181"/>
      <c r="T776" s="181"/>
      <c r="U776" s="181"/>
      <c r="V776" s="307">
        <v>0</v>
      </c>
      <c r="W776" s="307">
        <v>10000</v>
      </c>
      <c r="X776" s="307">
        <v>10000</v>
      </c>
      <c r="Y776" s="307">
        <v>10000</v>
      </c>
      <c r="Z776" s="162" t="b">
        <f t="shared" si="468"/>
        <v>0</v>
      </c>
      <c r="AA776" s="162" t="str">
        <f t="shared" si="487"/>
        <v>PUNO</v>
      </c>
      <c r="AC776" s="164"/>
    </row>
    <row r="777" spans="1:29" s="453" customFormat="1" ht="15.75" x14ac:dyDescent="0.25">
      <c r="A777" s="378"/>
      <c r="B777" s="260"/>
      <c r="C777" s="260"/>
      <c r="D777" s="260"/>
      <c r="E777" s="260"/>
      <c r="F777" s="442"/>
      <c r="G777" s="260"/>
      <c r="H777" s="440" t="s">
        <v>15</v>
      </c>
      <c r="I777" s="262"/>
      <c r="J777" s="494"/>
      <c r="K777" s="262"/>
      <c r="L777" s="262"/>
      <c r="M777" s="262"/>
      <c r="N777" s="262"/>
      <c r="O777" s="262"/>
      <c r="P777" s="262"/>
      <c r="Q777" s="262"/>
      <c r="R777" s="342"/>
      <c r="S777" s="262"/>
      <c r="T777" s="262"/>
      <c r="U777" s="262"/>
      <c r="V777" s="342"/>
      <c r="W777" s="342">
        <f>W778</f>
        <v>174500</v>
      </c>
      <c r="X777" s="342">
        <f>X778</f>
        <v>187000</v>
      </c>
      <c r="Y777" s="342">
        <f>Y778</f>
        <v>168000</v>
      </c>
      <c r="Z777" s="162" t="b">
        <f t="shared" si="468"/>
        <v>1</v>
      </c>
      <c r="AA777" s="162" t="str">
        <f t="shared" si="487"/>
        <v>PRAZNO</v>
      </c>
      <c r="AB777" s="452"/>
      <c r="AC777" s="287"/>
    </row>
    <row r="778" spans="1:29" s="174" customFormat="1" ht="15.75" x14ac:dyDescent="0.2">
      <c r="A778" s="259"/>
      <c r="B778" s="172">
        <v>4</v>
      </c>
      <c r="C778" s="172"/>
      <c r="D778" s="172"/>
      <c r="E778" s="172"/>
      <c r="F778" s="172"/>
      <c r="G778" s="172"/>
      <c r="H778" s="14" t="s">
        <v>552</v>
      </c>
      <c r="I778" s="20">
        <f t="shared" ref="I778:L779" si="491">I779</f>
        <v>46774.6</v>
      </c>
      <c r="J778" s="20">
        <f t="shared" si="491"/>
        <v>64059.520000000004</v>
      </c>
      <c r="K778" s="20">
        <f t="shared" si="491"/>
        <v>162700</v>
      </c>
      <c r="L778" s="20">
        <f t="shared" si="491"/>
        <v>0</v>
      </c>
      <c r="M778" s="20">
        <f>ROUND(L778/K778*100,2)</f>
        <v>0</v>
      </c>
      <c r="N778" s="20">
        <f>O778-K778</f>
        <v>-97926.950000000012</v>
      </c>
      <c r="O778" s="20">
        <f>O779</f>
        <v>64773.049999999996</v>
      </c>
      <c r="P778" s="20">
        <f>P779</f>
        <v>417700</v>
      </c>
      <c r="Q778" s="20">
        <f>Q779</f>
        <v>83278.3</v>
      </c>
      <c r="R778" s="55">
        <f t="shared" ref="R778:R801" si="492">V778-P778</f>
        <v>-77000</v>
      </c>
      <c r="S778" s="20">
        <f>S779</f>
        <v>417700</v>
      </c>
      <c r="T778" s="20">
        <f>T779</f>
        <v>135000</v>
      </c>
      <c r="U778" s="20">
        <f>U779</f>
        <v>121000</v>
      </c>
      <c r="V778" s="55">
        <f>V779</f>
        <v>340700</v>
      </c>
      <c r="W778" s="20">
        <f>W779+W830</f>
        <v>174500</v>
      </c>
      <c r="X778" s="20">
        <f>X779+X830</f>
        <v>187000</v>
      </c>
      <c r="Y778" s="20">
        <f>Y779+Y830</f>
        <v>168000</v>
      </c>
      <c r="Z778" s="162" t="b">
        <f t="shared" si="468"/>
        <v>1</v>
      </c>
      <c r="AA778" s="162" t="str">
        <f t="shared" si="487"/>
        <v>PRAZNO</v>
      </c>
      <c r="AB778" s="173"/>
      <c r="AC778" s="164"/>
    </row>
    <row r="779" spans="1:29" ht="15.75" x14ac:dyDescent="0.2">
      <c r="B779" s="175"/>
      <c r="C779" s="175">
        <v>42</v>
      </c>
      <c r="D779" s="175"/>
      <c r="E779" s="175"/>
      <c r="F779" s="175"/>
      <c r="G779" s="175"/>
      <c r="H779" s="16" t="s">
        <v>212</v>
      </c>
      <c r="I779" s="22">
        <f t="shared" si="491"/>
        <v>46774.6</v>
      </c>
      <c r="J779" s="22">
        <f t="shared" si="491"/>
        <v>64059.520000000004</v>
      </c>
      <c r="K779" s="22">
        <f t="shared" si="491"/>
        <v>162700</v>
      </c>
      <c r="L779" s="22">
        <f t="shared" si="491"/>
        <v>0</v>
      </c>
      <c r="M779" s="22">
        <f>ROUND(L779/K779*100,2)</f>
        <v>0</v>
      </c>
      <c r="N779" s="22">
        <f>O779-K779</f>
        <v>-97926.950000000012</v>
      </c>
      <c r="O779" s="22">
        <f>O780</f>
        <v>64773.049999999996</v>
      </c>
      <c r="P779" s="22">
        <f>P780+P792+P795+P800</f>
        <v>417700</v>
      </c>
      <c r="Q779" s="22">
        <f>Q780</f>
        <v>83278.3</v>
      </c>
      <c r="R779" s="26">
        <f t="shared" si="492"/>
        <v>-77000</v>
      </c>
      <c r="S779" s="22">
        <f>S780+S792+S795+S800</f>
        <v>417700</v>
      </c>
      <c r="T779" s="22">
        <f>T780+T792+T795</f>
        <v>135000</v>
      </c>
      <c r="U779" s="22">
        <f>U780+U792+U795</f>
        <v>121000</v>
      </c>
      <c r="V779" s="38">
        <f>V780+V792+V795+V800</f>
        <v>340700</v>
      </c>
      <c r="W779" s="22">
        <f>W780+W792+W795+W800</f>
        <v>174500</v>
      </c>
      <c r="X779" s="22">
        <f>X780+X792+X795+X800</f>
        <v>187000</v>
      </c>
      <c r="Y779" s="22">
        <f>Y780+Y792+Y795+Y800</f>
        <v>168000</v>
      </c>
      <c r="Z779" s="162" t="b">
        <f t="shared" si="468"/>
        <v>1</v>
      </c>
      <c r="AA779" s="162" t="str">
        <f t="shared" si="487"/>
        <v>PRAZNO</v>
      </c>
      <c r="AC779" s="164"/>
    </row>
    <row r="780" spans="1:29" ht="15.75" x14ac:dyDescent="0.2">
      <c r="B780" s="177"/>
      <c r="C780" s="177"/>
      <c r="D780" s="177">
        <v>422</v>
      </c>
      <c r="E780" s="177"/>
      <c r="F780" s="177"/>
      <c r="G780" s="177"/>
      <c r="H780" s="16" t="s">
        <v>555</v>
      </c>
      <c r="I780" s="17">
        <f>SUM(I781:I791)</f>
        <v>46774.6</v>
      </c>
      <c r="J780" s="203">
        <f>J781+J783+J785+J790+J791</f>
        <v>64059.520000000004</v>
      </c>
      <c r="K780" s="17">
        <f>SUM(K781:K791)</f>
        <v>162700</v>
      </c>
      <c r="L780" s="17">
        <f>SUM(L781:L791)</f>
        <v>0</v>
      </c>
      <c r="M780" s="17">
        <f>ROUND(L780/K780*100,2)</f>
        <v>0</v>
      </c>
      <c r="N780" s="17">
        <f>O780-K780</f>
        <v>-97926.950000000012</v>
      </c>
      <c r="O780" s="17">
        <f>SUM(O781:O791)</f>
        <v>64773.049999999996</v>
      </c>
      <c r="P780" s="17">
        <f>SUM(P781:P791)</f>
        <v>299700</v>
      </c>
      <c r="Q780" s="17">
        <f>SUM(Q781:Q791)</f>
        <v>83278.3</v>
      </c>
      <c r="R780" s="26">
        <f t="shared" si="492"/>
        <v>-63000</v>
      </c>
      <c r="S780" s="17">
        <f t="shared" ref="S780:Y780" si="493">SUM(S781:S791)</f>
        <v>299700</v>
      </c>
      <c r="T780" s="17">
        <f t="shared" si="493"/>
        <v>131000</v>
      </c>
      <c r="U780" s="17">
        <f t="shared" si="493"/>
        <v>117000</v>
      </c>
      <c r="V780" s="26">
        <f t="shared" si="493"/>
        <v>236700</v>
      </c>
      <c r="W780" s="17">
        <f t="shared" si="493"/>
        <v>156000</v>
      </c>
      <c r="X780" s="17">
        <f t="shared" si="493"/>
        <v>159000</v>
      </c>
      <c r="Y780" s="17">
        <f t="shared" si="493"/>
        <v>155000</v>
      </c>
      <c r="Z780" s="162" t="b">
        <f t="shared" si="468"/>
        <v>1</v>
      </c>
      <c r="AA780" s="162" t="str">
        <f t="shared" si="487"/>
        <v>PRAZNO</v>
      </c>
      <c r="AC780" s="164"/>
    </row>
    <row r="781" spans="1:29" s="164" customFormat="1" ht="15.75" x14ac:dyDescent="0.2">
      <c r="A781" s="259"/>
      <c r="B781" s="177"/>
      <c r="C781" s="177"/>
      <c r="D781" s="177"/>
      <c r="E781" s="177">
        <v>4221</v>
      </c>
      <c r="F781" s="265">
        <v>31</v>
      </c>
      <c r="G781" s="177"/>
      <c r="H781" s="16" t="s">
        <v>558</v>
      </c>
      <c r="I781" s="181">
        <v>30894.18</v>
      </c>
      <c r="J781" s="416">
        <v>4672.7700000000004</v>
      </c>
      <c r="K781" s="181">
        <f>25000+30000</f>
        <v>55000</v>
      </c>
      <c r="L781" s="181">
        <v>0</v>
      </c>
      <c r="M781" s="181">
        <f>ROUND(L781/K781*100,2)</f>
        <v>0</v>
      </c>
      <c r="N781" s="181">
        <f>O781-K781</f>
        <v>-14379.080000000002</v>
      </c>
      <c r="O781" s="181">
        <v>40620.92</v>
      </c>
      <c r="P781" s="181">
        <v>105000</v>
      </c>
      <c r="Q781" s="181">
        <v>59534.55</v>
      </c>
      <c r="R781" s="307">
        <f t="shared" si="492"/>
        <v>-10300</v>
      </c>
      <c r="S781" s="181">
        <v>105000</v>
      </c>
      <c r="T781" s="181">
        <f>115000-55000</f>
        <v>60000</v>
      </c>
      <c r="U781" s="181">
        <f>99000-55000</f>
        <v>44000</v>
      </c>
      <c r="V781" s="307">
        <v>94700</v>
      </c>
      <c r="W781" s="307">
        <v>79000</v>
      </c>
      <c r="X781" s="307">
        <v>80000</v>
      </c>
      <c r="Y781" s="307">
        <v>75000</v>
      </c>
      <c r="Z781" s="162" t="b">
        <f t="shared" si="468"/>
        <v>0</v>
      </c>
      <c r="AA781" s="162" t="str">
        <f t="shared" si="487"/>
        <v>PUNO</v>
      </c>
      <c r="AB781" s="165"/>
    </row>
    <row r="782" spans="1:29" ht="15.75" hidden="1" x14ac:dyDescent="0.2">
      <c r="B782" s="177"/>
      <c r="C782" s="177"/>
      <c r="D782" s="177"/>
      <c r="E782" s="177">
        <v>4221</v>
      </c>
      <c r="F782" s="265">
        <v>31</v>
      </c>
      <c r="G782" s="177"/>
      <c r="H782" s="16" t="s">
        <v>558</v>
      </c>
      <c r="I782" s="181"/>
      <c r="J782" s="416"/>
      <c r="K782" s="181"/>
      <c r="L782" s="181"/>
      <c r="M782" s="181"/>
      <c r="N782" s="181"/>
      <c r="O782" s="181"/>
      <c r="P782" s="181">
        <v>0</v>
      </c>
      <c r="Q782" s="181">
        <v>0</v>
      </c>
      <c r="R782" s="307">
        <f t="shared" si="492"/>
        <v>10000</v>
      </c>
      <c r="S782" s="181"/>
      <c r="T782" s="181"/>
      <c r="U782" s="181"/>
      <c r="V782" s="307">
        <v>10000</v>
      </c>
      <c r="W782" s="307">
        <v>0</v>
      </c>
      <c r="X782" s="307">
        <v>0</v>
      </c>
      <c r="Y782" s="307">
        <v>0</v>
      </c>
      <c r="Z782" s="162" t="b">
        <f t="shared" si="468"/>
        <v>0</v>
      </c>
      <c r="AA782" s="162" t="str">
        <f t="shared" si="487"/>
        <v>PUNO</v>
      </c>
      <c r="AC782" s="164"/>
    </row>
    <row r="783" spans="1:29" s="164" customFormat="1" ht="15.75" hidden="1" x14ac:dyDescent="0.2">
      <c r="A783" s="259"/>
      <c r="B783" s="324"/>
      <c r="C783" s="324"/>
      <c r="D783" s="324"/>
      <c r="E783" s="324">
        <v>4221</v>
      </c>
      <c r="F783" s="265">
        <v>31</v>
      </c>
      <c r="G783" s="325" t="s">
        <v>1040</v>
      </c>
      <c r="H783" s="420" t="s">
        <v>558</v>
      </c>
      <c r="I783" s="196">
        <v>0</v>
      </c>
      <c r="J783" s="353">
        <v>29449</v>
      </c>
      <c r="K783" s="196">
        <v>27700</v>
      </c>
      <c r="L783" s="196">
        <v>0</v>
      </c>
      <c r="M783" s="196">
        <f>ROUND(L783/K783*100,2)</f>
        <v>0</v>
      </c>
      <c r="N783" s="196">
        <f>O783-K783</f>
        <v>-17700</v>
      </c>
      <c r="O783" s="196">
        <v>10000</v>
      </c>
      <c r="P783" s="196">
        <v>10000</v>
      </c>
      <c r="Q783" s="196">
        <v>0</v>
      </c>
      <c r="R783" s="353">
        <f t="shared" si="492"/>
        <v>10000</v>
      </c>
      <c r="S783" s="196">
        <v>10000</v>
      </c>
      <c r="T783" s="196">
        <v>10000</v>
      </c>
      <c r="U783" s="196">
        <v>10000</v>
      </c>
      <c r="V783" s="353">
        <v>20000</v>
      </c>
      <c r="W783" s="353">
        <v>0</v>
      </c>
      <c r="X783" s="353">
        <v>0</v>
      </c>
      <c r="Y783" s="353">
        <v>0</v>
      </c>
      <c r="Z783" s="162" t="b">
        <f t="shared" si="468"/>
        <v>0</v>
      </c>
      <c r="AA783" s="162" t="str">
        <f t="shared" si="487"/>
        <v>PUNO</v>
      </c>
      <c r="AB783" s="165"/>
    </row>
    <row r="784" spans="1:29" s="164" customFormat="1" ht="15.75" x14ac:dyDescent="0.2">
      <c r="A784" s="259"/>
      <c r="B784" s="177"/>
      <c r="C784" s="177"/>
      <c r="D784" s="177"/>
      <c r="E784" s="177">
        <v>4222</v>
      </c>
      <c r="F784" s="265">
        <v>31</v>
      </c>
      <c r="G784" s="265"/>
      <c r="H784" s="16" t="s">
        <v>559</v>
      </c>
      <c r="I784" s="181"/>
      <c r="J784" s="307"/>
      <c r="K784" s="181"/>
      <c r="L784" s="181"/>
      <c r="M784" s="181"/>
      <c r="N784" s="181"/>
      <c r="O784" s="181"/>
      <c r="P784" s="181">
        <v>11000</v>
      </c>
      <c r="Q784" s="181">
        <v>0</v>
      </c>
      <c r="R784" s="307">
        <f t="shared" si="492"/>
        <v>0</v>
      </c>
      <c r="S784" s="181">
        <v>11000</v>
      </c>
      <c r="T784" s="181"/>
      <c r="U784" s="181"/>
      <c r="V784" s="307">
        <v>11000</v>
      </c>
      <c r="W784" s="307">
        <v>2000</v>
      </c>
      <c r="X784" s="307">
        <v>4000</v>
      </c>
      <c r="Y784" s="307">
        <v>5000</v>
      </c>
      <c r="Z784" s="162" t="b">
        <f t="shared" si="468"/>
        <v>0</v>
      </c>
      <c r="AA784" s="162" t="str">
        <f t="shared" si="487"/>
        <v>PUNO</v>
      </c>
      <c r="AB784" s="165"/>
    </row>
    <row r="785" spans="1:29" s="164" customFormat="1" ht="15.75" hidden="1" x14ac:dyDescent="0.2">
      <c r="A785" s="259"/>
      <c r="B785" s="177"/>
      <c r="C785" s="177"/>
      <c r="D785" s="177"/>
      <c r="E785" s="177">
        <v>4223</v>
      </c>
      <c r="F785" s="265">
        <v>31</v>
      </c>
      <c r="G785" s="265"/>
      <c r="H785" s="16" t="s">
        <v>628</v>
      </c>
      <c r="I785" s="181">
        <v>2184.04</v>
      </c>
      <c r="J785" s="307">
        <v>0</v>
      </c>
      <c r="K785" s="181">
        <v>0</v>
      </c>
      <c r="L785" s="181"/>
      <c r="M785" s="181" t="e">
        <f>ROUND(L785/K785*100,2)</f>
        <v>#DIV/0!</v>
      </c>
      <c r="N785" s="181">
        <f>O785-K785</f>
        <v>0</v>
      </c>
      <c r="O785" s="181"/>
      <c r="P785" s="181">
        <v>66000</v>
      </c>
      <c r="Q785" s="181">
        <v>23743.75</v>
      </c>
      <c r="R785" s="307">
        <f t="shared" si="492"/>
        <v>0</v>
      </c>
      <c r="S785" s="181">
        <v>66000</v>
      </c>
      <c r="T785" s="181"/>
      <c r="U785" s="181"/>
      <c r="V785" s="307">
        <v>66000</v>
      </c>
      <c r="W785" s="307">
        <v>0</v>
      </c>
      <c r="X785" s="307">
        <v>0</v>
      </c>
      <c r="Y785" s="307">
        <v>0</v>
      </c>
      <c r="Z785" s="162" t="b">
        <f t="shared" si="468"/>
        <v>0</v>
      </c>
      <c r="AA785" s="162" t="str">
        <f t="shared" si="487"/>
        <v>PUNO</v>
      </c>
      <c r="AB785" s="165"/>
    </row>
    <row r="786" spans="1:29" ht="15.75" hidden="1" x14ac:dyDescent="0.2">
      <c r="B786" s="177"/>
      <c r="C786" s="177"/>
      <c r="D786" s="177"/>
      <c r="E786" s="177">
        <v>4223</v>
      </c>
      <c r="F786" s="265">
        <v>31</v>
      </c>
      <c r="G786" s="265"/>
      <c r="H786" s="16" t="s">
        <v>628</v>
      </c>
      <c r="I786" s="181"/>
      <c r="J786" s="307"/>
      <c r="K786" s="181"/>
      <c r="L786" s="181"/>
      <c r="M786" s="181"/>
      <c r="N786" s="181"/>
      <c r="O786" s="181"/>
      <c r="P786" s="181"/>
      <c r="Q786" s="181"/>
      <c r="R786" s="307">
        <f t="shared" si="492"/>
        <v>0</v>
      </c>
      <c r="S786" s="181"/>
      <c r="T786" s="181"/>
      <c r="U786" s="181"/>
      <c r="V786" s="307"/>
      <c r="W786" s="307"/>
      <c r="X786" s="307"/>
      <c r="Y786" s="307"/>
      <c r="Z786" s="162" t="b">
        <f t="shared" si="468"/>
        <v>0</v>
      </c>
      <c r="AA786" s="162" t="str">
        <f t="shared" si="487"/>
        <v>PUNO</v>
      </c>
      <c r="AC786" s="164"/>
    </row>
    <row r="787" spans="1:29" s="164" customFormat="1" ht="15.75" hidden="1" x14ac:dyDescent="0.2">
      <c r="A787" s="259"/>
      <c r="B787" s="177"/>
      <c r="C787" s="177"/>
      <c r="D787" s="177"/>
      <c r="E787" s="177">
        <v>4226</v>
      </c>
      <c r="F787" s="265">
        <v>31</v>
      </c>
      <c r="G787" s="265"/>
      <c r="H787" s="16" t="s">
        <v>432</v>
      </c>
      <c r="I787" s="181"/>
      <c r="J787" s="307"/>
      <c r="K787" s="181"/>
      <c r="L787" s="181"/>
      <c r="M787" s="181"/>
      <c r="N787" s="181"/>
      <c r="O787" s="181"/>
      <c r="P787" s="181">
        <v>2700</v>
      </c>
      <c r="Q787" s="181">
        <v>0</v>
      </c>
      <c r="R787" s="307">
        <f t="shared" si="492"/>
        <v>-2700</v>
      </c>
      <c r="S787" s="181">
        <v>2700</v>
      </c>
      <c r="T787" s="181"/>
      <c r="U787" s="181"/>
      <c r="V787" s="307">
        <v>0</v>
      </c>
      <c r="W787" s="307">
        <v>0</v>
      </c>
      <c r="X787" s="307">
        <v>0</v>
      </c>
      <c r="Y787" s="307">
        <v>0</v>
      </c>
      <c r="Z787" s="162" t="b">
        <f t="shared" ref="Z787:Z810" si="494">ISBLANK(E787)</f>
        <v>0</v>
      </c>
      <c r="AA787" s="162" t="str">
        <f t="shared" si="487"/>
        <v>PUNO</v>
      </c>
      <c r="AB787" s="165"/>
    </row>
    <row r="788" spans="1:29" ht="15.75" hidden="1" x14ac:dyDescent="0.2">
      <c r="B788" s="177"/>
      <c r="C788" s="177"/>
      <c r="D788" s="177"/>
      <c r="E788" s="177">
        <v>4226</v>
      </c>
      <c r="F788" s="265">
        <v>31</v>
      </c>
      <c r="G788" s="265"/>
      <c r="H788" s="16" t="s">
        <v>432</v>
      </c>
      <c r="I788" s="181"/>
      <c r="J788" s="307"/>
      <c r="K788" s="181"/>
      <c r="L788" s="181"/>
      <c r="M788" s="181"/>
      <c r="N788" s="181"/>
      <c r="O788" s="181"/>
      <c r="P788" s="181"/>
      <c r="Q788" s="181"/>
      <c r="R788" s="307">
        <f t="shared" si="492"/>
        <v>0</v>
      </c>
      <c r="S788" s="181"/>
      <c r="T788" s="181"/>
      <c r="U788" s="181"/>
      <c r="V788" s="307"/>
      <c r="W788" s="307"/>
      <c r="X788" s="307"/>
      <c r="Y788" s="307"/>
      <c r="Z788" s="162" t="b">
        <f t="shared" si="494"/>
        <v>0</v>
      </c>
      <c r="AA788" s="162" t="str">
        <f t="shared" si="487"/>
        <v>PUNO</v>
      </c>
      <c r="AC788" s="164"/>
    </row>
    <row r="789" spans="1:29" s="164" customFormat="1" ht="15.75" hidden="1" x14ac:dyDescent="0.2">
      <c r="A789" s="259"/>
      <c r="B789" s="324"/>
      <c r="C789" s="324"/>
      <c r="D789" s="324"/>
      <c r="E789" s="324">
        <v>4225</v>
      </c>
      <c r="F789" s="265">
        <v>31</v>
      </c>
      <c r="G789" s="325"/>
      <c r="H789" s="420" t="s">
        <v>844</v>
      </c>
      <c r="I789" s="196"/>
      <c r="J789" s="353"/>
      <c r="K789" s="196"/>
      <c r="L789" s="196"/>
      <c r="M789" s="196"/>
      <c r="N789" s="196"/>
      <c r="O789" s="196"/>
      <c r="P789" s="196"/>
      <c r="Q789" s="196"/>
      <c r="R789" s="353">
        <f t="shared" si="492"/>
        <v>0</v>
      </c>
      <c r="S789" s="196"/>
      <c r="T789" s="196"/>
      <c r="U789" s="196"/>
      <c r="V789" s="353">
        <v>0</v>
      </c>
      <c r="W789" s="353">
        <v>0</v>
      </c>
      <c r="X789" s="353">
        <v>0</v>
      </c>
      <c r="Y789" s="353">
        <v>0</v>
      </c>
      <c r="Z789" s="162" t="b">
        <f t="shared" si="494"/>
        <v>0</v>
      </c>
      <c r="AA789" s="162" t="str">
        <f t="shared" si="487"/>
        <v>PUNO</v>
      </c>
      <c r="AB789" s="165"/>
    </row>
    <row r="790" spans="1:29" s="164" customFormat="1" ht="15.75" x14ac:dyDescent="0.2">
      <c r="A790" s="259"/>
      <c r="B790" s="177"/>
      <c r="C790" s="177"/>
      <c r="D790" s="177"/>
      <c r="E790" s="177">
        <v>4227</v>
      </c>
      <c r="F790" s="265">
        <v>31</v>
      </c>
      <c r="G790" s="265"/>
      <c r="H790" s="16" t="s">
        <v>413</v>
      </c>
      <c r="I790" s="181">
        <v>13696.38</v>
      </c>
      <c r="J790" s="307">
        <v>23543.75</v>
      </c>
      <c r="K790" s="181">
        <v>60000</v>
      </c>
      <c r="L790" s="181">
        <v>0</v>
      </c>
      <c r="M790" s="181">
        <f>ROUND(L790/K790*100,2)</f>
        <v>0</v>
      </c>
      <c r="N790" s="181">
        <f>O790-K790</f>
        <v>-45847.87</v>
      </c>
      <c r="O790" s="181">
        <v>14152.13</v>
      </c>
      <c r="P790" s="181">
        <v>105000</v>
      </c>
      <c r="Q790" s="181">
        <v>0</v>
      </c>
      <c r="R790" s="307">
        <f t="shared" si="492"/>
        <v>-70000</v>
      </c>
      <c r="S790" s="181">
        <v>105000</v>
      </c>
      <c r="T790" s="181">
        <v>61000</v>
      </c>
      <c r="U790" s="181">
        <v>63000</v>
      </c>
      <c r="V790" s="307">
        <v>35000</v>
      </c>
      <c r="W790" s="307">
        <v>75000</v>
      </c>
      <c r="X790" s="307">
        <v>75000</v>
      </c>
      <c r="Y790" s="307">
        <v>75000</v>
      </c>
      <c r="Z790" s="162" t="b">
        <f t="shared" si="494"/>
        <v>0</v>
      </c>
      <c r="AA790" s="162" t="str">
        <f t="shared" si="487"/>
        <v>PUNO</v>
      </c>
      <c r="AB790" s="165"/>
    </row>
    <row r="791" spans="1:29" ht="15.75" hidden="1" x14ac:dyDescent="0.2">
      <c r="B791" s="177"/>
      <c r="C791" s="177"/>
      <c r="D791" s="177"/>
      <c r="E791" s="177">
        <v>4227</v>
      </c>
      <c r="F791" s="265">
        <v>52</v>
      </c>
      <c r="G791" s="265" t="s">
        <v>1040</v>
      </c>
      <c r="H791" s="16" t="s">
        <v>413</v>
      </c>
      <c r="I791" s="181">
        <v>0</v>
      </c>
      <c r="J791" s="307">
        <v>6394</v>
      </c>
      <c r="K791" s="181">
        <v>20000</v>
      </c>
      <c r="L791" s="181">
        <v>0</v>
      </c>
      <c r="M791" s="181">
        <f>ROUND(L791/K791*100,2)</f>
        <v>0</v>
      </c>
      <c r="N791" s="181">
        <f>O791-K791</f>
        <v>-20000</v>
      </c>
      <c r="O791" s="181"/>
      <c r="P791" s="181"/>
      <c r="Q791" s="181"/>
      <c r="R791" s="307">
        <f t="shared" si="492"/>
        <v>0</v>
      </c>
      <c r="S791" s="181"/>
      <c r="T791" s="181"/>
      <c r="U791" s="181"/>
      <c r="V791" s="307"/>
      <c r="W791" s="181"/>
      <c r="X791" s="181"/>
      <c r="Y791" s="181"/>
      <c r="Z791" s="162" t="b">
        <f t="shared" si="494"/>
        <v>0</v>
      </c>
      <c r="AA791" s="162" t="str">
        <f t="shared" si="487"/>
        <v>PUNO</v>
      </c>
      <c r="AC791" s="164"/>
    </row>
    <row r="792" spans="1:29" ht="15.75" hidden="1" x14ac:dyDescent="0.2">
      <c r="B792" s="177"/>
      <c r="C792" s="177"/>
      <c r="D792" s="177">
        <v>423</v>
      </c>
      <c r="E792" s="177"/>
      <c r="F792" s="265"/>
      <c r="G792" s="265"/>
      <c r="H792" s="16" t="s">
        <v>223</v>
      </c>
      <c r="I792" s="181"/>
      <c r="J792" s="307"/>
      <c r="K792" s="181"/>
      <c r="L792" s="181"/>
      <c r="M792" s="181"/>
      <c r="N792" s="181"/>
      <c r="O792" s="181"/>
      <c r="P792" s="181">
        <f>P793</f>
        <v>90000</v>
      </c>
      <c r="Q792" s="181">
        <f>Q793</f>
        <v>0</v>
      </c>
      <c r="R792" s="307">
        <f t="shared" si="492"/>
        <v>0</v>
      </c>
      <c r="S792" s="181">
        <f>S793</f>
        <v>90000</v>
      </c>
      <c r="T792" s="181">
        <f>T793</f>
        <v>0</v>
      </c>
      <c r="U792" s="181">
        <f>U793</f>
        <v>0</v>
      </c>
      <c r="V792" s="307">
        <v>90000</v>
      </c>
      <c r="W792" s="181">
        <f>W793</f>
        <v>0</v>
      </c>
      <c r="X792" s="181">
        <f>X793</f>
        <v>0</v>
      </c>
      <c r="Y792" s="181">
        <f>Y793</f>
        <v>0</v>
      </c>
      <c r="Z792" s="162" t="b">
        <f t="shared" si="494"/>
        <v>1</v>
      </c>
      <c r="AA792" s="162" t="str">
        <f t="shared" ref="AA792:AA810" si="495">IF(Z792,"PRAZNO","PUNO")</f>
        <v>PRAZNO</v>
      </c>
      <c r="AC792" s="164"/>
    </row>
    <row r="793" spans="1:29" s="164" customFormat="1" ht="15.75" hidden="1" x14ac:dyDescent="0.2">
      <c r="A793" s="259"/>
      <c r="B793" s="177"/>
      <c r="C793" s="177"/>
      <c r="D793" s="177"/>
      <c r="E793" s="177">
        <v>4231</v>
      </c>
      <c r="F793" s="265">
        <v>31</v>
      </c>
      <c r="G793" s="265"/>
      <c r="H793" s="16" t="s">
        <v>224</v>
      </c>
      <c r="I793" s="181"/>
      <c r="J793" s="307"/>
      <c r="K793" s="181"/>
      <c r="L793" s="181"/>
      <c r="M793" s="181"/>
      <c r="N793" s="181"/>
      <c r="O793" s="181"/>
      <c r="P793" s="181">
        <v>90000</v>
      </c>
      <c r="Q793" s="181">
        <v>0</v>
      </c>
      <c r="R793" s="307">
        <f t="shared" si="492"/>
        <v>0</v>
      </c>
      <c r="S793" s="181">
        <v>90000</v>
      </c>
      <c r="T793" s="181"/>
      <c r="U793" s="181"/>
      <c r="V793" s="307">
        <v>90000</v>
      </c>
      <c r="W793" s="307">
        <v>0</v>
      </c>
      <c r="X793" s="307">
        <v>0</v>
      </c>
      <c r="Y793" s="307">
        <v>0</v>
      </c>
      <c r="Z793" s="162" t="b">
        <f t="shared" si="494"/>
        <v>0</v>
      </c>
      <c r="AA793" s="162" t="str">
        <f t="shared" si="495"/>
        <v>PUNO</v>
      </c>
      <c r="AB793" s="165"/>
    </row>
    <row r="794" spans="1:29" ht="15.75" hidden="1" x14ac:dyDescent="0.2">
      <c r="B794" s="177"/>
      <c r="C794" s="177"/>
      <c r="D794" s="177"/>
      <c r="E794" s="177"/>
      <c r="F794" s="265"/>
      <c r="G794" s="265"/>
      <c r="H794" s="16"/>
      <c r="I794" s="181"/>
      <c r="J794" s="307"/>
      <c r="K794" s="181"/>
      <c r="L794" s="181"/>
      <c r="M794" s="181"/>
      <c r="N794" s="181"/>
      <c r="O794" s="181"/>
      <c r="P794" s="181"/>
      <c r="Q794" s="181"/>
      <c r="R794" s="307">
        <f t="shared" si="492"/>
        <v>0</v>
      </c>
      <c r="S794" s="181"/>
      <c r="T794" s="181"/>
      <c r="U794" s="181"/>
      <c r="V794" s="307"/>
      <c r="W794" s="181"/>
      <c r="X794" s="181"/>
      <c r="Y794" s="181"/>
      <c r="Z794" s="162" t="b">
        <f t="shared" si="494"/>
        <v>1</v>
      </c>
      <c r="AA794" s="162" t="str">
        <f t="shared" si="495"/>
        <v>PRAZNO</v>
      </c>
      <c r="AC794" s="164"/>
    </row>
    <row r="795" spans="1:29" ht="20.25" customHeight="1" x14ac:dyDescent="0.2">
      <c r="B795" s="177"/>
      <c r="C795" s="177"/>
      <c r="D795" s="177">
        <v>424</v>
      </c>
      <c r="E795" s="177"/>
      <c r="F795" s="265"/>
      <c r="G795" s="265"/>
      <c r="H795" s="16" t="s">
        <v>447</v>
      </c>
      <c r="I795" s="181"/>
      <c r="J795" s="307"/>
      <c r="K795" s="181"/>
      <c r="L795" s="181"/>
      <c r="M795" s="181"/>
      <c r="N795" s="181"/>
      <c r="O795" s="181"/>
      <c r="P795" s="181">
        <f>P798</f>
        <v>22500</v>
      </c>
      <c r="Q795" s="181">
        <f>Q798</f>
        <v>0</v>
      </c>
      <c r="R795" s="307">
        <f t="shared" si="492"/>
        <v>-13000</v>
      </c>
      <c r="S795" s="181">
        <f>S798</f>
        <v>22500</v>
      </c>
      <c r="T795" s="181">
        <f>T798</f>
        <v>4000</v>
      </c>
      <c r="U795" s="181">
        <f>U798</f>
        <v>4000</v>
      </c>
      <c r="V795" s="307">
        <f>V798+V799</f>
        <v>9500</v>
      </c>
      <c r="W795" s="181">
        <f>W798</f>
        <v>17000</v>
      </c>
      <c r="X795" s="181">
        <f>X798</f>
        <v>28000</v>
      </c>
      <c r="Y795" s="181">
        <f>Y798</f>
        <v>13000</v>
      </c>
      <c r="Z795" s="162" t="b">
        <f t="shared" si="494"/>
        <v>1</v>
      </c>
      <c r="AA795" s="162" t="str">
        <f t="shared" si="495"/>
        <v>PRAZNO</v>
      </c>
      <c r="AC795" s="164"/>
    </row>
    <row r="796" spans="1:29" ht="37.5" hidden="1" customHeight="1" x14ac:dyDescent="0.2">
      <c r="B796" s="177"/>
      <c r="C796" s="177"/>
      <c r="D796" s="177"/>
      <c r="E796" s="177"/>
      <c r="F796" s="265"/>
      <c r="G796" s="265"/>
      <c r="H796" s="16"/>
      <c r="I796" s="181"/>
      <c r="J796" s="307"/>
      <c r="K796" s="181"/>
      <c r="L796" s="181"/>
      <c r="M796" s="181"/>
      <c r="N796" s="181"/>
      <c r="O796" s="181"/>
      <c r="P796" s="181"/>
      <c r="Q796" s="181"/>
      <c r="R796" s="307">
        <f t="shared" si="492"/>
        <v>0</v>
      </c>
      <c r="S796" s="181"/>
      <c r="T796" s="181"/>
      <c r="U796" s="181"/>
      <c r="V796" s="307"/>
      <c r="W796" s="181"/>
      <c r="X796" s="181"/>
      <c r="Y796" s="181"/>
      <c r="Z796" s="162" t="b">
        <f t="shared" si="494"/>
        <v>1</v>
      </c>
      <c r="AA796" s="162" t="str">
        <f t="shared" si="495"/>
        <v>PRAZNO</v>
      </c>
      <c r="AC796" s="164"/>
    </row>
    <row r="797" spans="1:29" ht="37.5" hidden="1" customHeight="1" x14ac:dyDescent="0.2">
      <c r="B797" s="177"/>
      <c r="C797" s="177"/>
      <c r="D797" s="177"/>
      <c r="E797" s="177"/>
      <c r="F797" s="265"/>
      <c r="G797" s="265"/>
      <c r="H797" s="16"/>
      <c r="I797" s="181"/>
      <c r="J797" s="307"/>
      <c r="K797" s="181"/>
      <c r="L797" s="181"/>
      <c r="M797" s="181"/>
      <c r="N797" s="181"/>
      <c r="O797" s="181"/>
      <c r="P797" s="181"/>
      <c r="Q797" s="181"/>
      <c r="R797" s="307">
        <f t="shared" si="492"/>
        <v>0</v>
      </c>
      <c r="S797" s="181"/>
      <c r="T797" s="181"/>
      <c r="U797" s="181"/>
      <c r="V797" s="307"/>
      <c r="W797" s="181"/>
      <c r="X797" s="181"/>
      <c r="Y797" s="181"/>
      <c r="Z797" s="162" t="b">
        <f t="shared" si="494"/>
        <v>1</v>
      </c>
      <c r="AA797" s="162" t="str">
        <f t="shared" si="495"/>
        <v>PRAZNO</v>
      </c>
      <c r="AC797" s="164"/>
    </row>
    <row r="798" spans="1:29" s="164" customFormat="1" ht="15.75" x14ac:dyDescent="0.2">
      <c r="A798" s="259"/>
      <c r="B798" s="177"/>
      <c r="C798" s="177"/>
      <c r="D798" s="177"/>
      <c r="E798" s="177">
        <v>4241</v>
      </c>
      <c r="F798" s="265">
        <v>31</v>
      </c>
      <c r="G798" s="265"/>
      <c r="H798" s="16" t="s">
        <v>822</v>
      </c>
      <c r="I798" s="181"/>
      <c r="J798" s="307"/>
      <c r="K798" s="181"/>
      <c r="L798" s="181"/>
      <c r="M798" s="181"/>
      <c r="N798" s="181"/>
      <c r="O798" s="181"/>
      <c r="P798" s="181">
        <v>22500</v>
      </c>
      <c r="Q798" s="181">
        <v>0</v>
      </c>
      <c r="R798" s="307">
        <f t="shared" si="492"/>
        <v>-13000</v>
      </c>
      <c r="S798" s="181">
        <v>22500</v>
      </c>
      <c r="T798" s="181">
        <v>4000</v>
      </c>
      <c r="U798" s="181">
        <v>4000</v>
      </c>
      <c r="V798" s="307">
        <v>9500</v>
      </c>
      <c r="W798" s="307">
        <v>17000</v>
      </c>
      <c r="X798" s="307">
        <v>28000</v>
      </c>
      <c r="Y798" s="307">
        <v>13000</v>
      </c>
      <c r="Z798" s="162" t="b">
        <f t="shared" si="494"/>
        <v>0</v>
      </c>
      <c r="AA798" s="162" t="str">
        <f t="shared" si="495"/>
        <v>PUNO</v>
      </c>
      <c r="AB798" s="165"/>
    </row>
    <row r="799" spans="1:29" ht="15.75" hidden="1" x14ac:dyDescent="0.2">
      <c r="B799" s="177"/>
      <c r="C799" s="177"/>
      <c r="D799" s="177"/>
      <c r="E799" s="177">
        <v>4241</v>
      </c>
      <c r="F799" s="265">
        <v>52</v>
      </c>
      <c r="G799" s="265"/>
      <c r="H799" s="16" t="s">
        <v>822</v>
      </c>
      <c r="I799" s="181"/>
      <c r="J799" s="307"/>
      <c r="K799" s="181"/>
      <c r="L799" s="181"/>
      <c r="M799" s="181"/>
      <c r="N799" s="181"/>
      <c r="O799" s="181"/>
      <c r="P799" s="181"/>
      <c r="Q799" s="181"/>
      <c r="R799" s="307">
        <f t="shared" si="492"/>
        <v>0</v>
      </c>
      <c r="S799" s="181"/>
      <c r="T799" s="181"/>
      <c r="U799" s="181"/>
      <c r="V799" s="307"/>
      <c r="W799" s="307"/>
      <c r="X799" s="307"/>
      <c r="Y799" s="307"/>
      <c r="Z799" s="162" t="b">
        <f t="shared" si="494"/>
        <v>0</v>
      </c>
      <c r="AA799" s="162" t="str">
        <f t="shared" si="495"/>
        <v>PUNO</v>
      </c>
      <c r="AC799" s="164"/>
    </row>
    <row r="800" spans="1:29" ht="15.75" x14ac:dyDescent="0.2">
      <c r="B800" s="177"/>
      <c r="C800" s="177"/>
      <c r="D800" s="177">
        <v>426</v>
      </c>
      <c r="E800" s="177"/>
      <c r="F800" s="265"/>
      <c r="G800" s="265"/>
      <c r="H800" s="16" t="s">
        <v>560</v>
      </c>
      <c r="I800" s="181"/>
      <c r="J800" s="307"/>
      <c r="K800" s="181"/>
      <c r="L800" s="181"/>
      <c r="M800" s="181"/>
      <c r="N800" s="181"/>
      <c r="O800" s="181"/>
      <c r="P800" s="181">
        <f>P801</f>
        <v>5500</v>
      </c>
      <c r="Q800" s="181">
        <v>0</v>
      </c>
      <c r="R800" s="307">
        <f t="shared" si="492"/>
        <v>-1000</v>
      </c>
      <c r="S800" s="181">
        <f>S801</f>
        <v>5500</v>
      </c>
      <c r="T800" s="181"/>
      <c r="U800" s="181"/>
      <c r="V800" s="307">
        <f>V801</f>
        <v>4500</v>
      </c>
      <c r="W800" s="307">
        <f>W801</f>
        <v>1500</v>
      </c>
      <c r="X800" s="307">
        <f>X801</f>
        <v>0</v>
      </c>
      <c r="Y800" s="307">
        <f>Y801</f>
        <v>0</v>
      </c>
      <c r="Z800" s="162" t="b">
        <f t="shared" si="494"/>
        <v>1</v>
      </c>
      <c r="AA800" s="162" t="str">
        <f t="shared" si="495"/>
        <v>PRAZNO</v>
      </c>
      <c r="AC800" s="164"/>
    </row>
    <row r="801" spans="1:29" s="164" customFormat="1" ht="15.75" x14ac:dyDescent="0.2">
      <c r="A801" s="259"/>
      <c r="B801" s="177"/>
      <c r="C801" s="177"/>
      <c r="D801" s="177"/>
      <c r="E801" s="177">
        <v>4262</v>
      </c>
      <c r="F801" s="265">
        <v>31</v>
      </c>
      <c r="G801" s="265"/>
      <c r="H801" s="16" t="s">
        <v>448</v>
      </c>
      <c r="I801" s="181"/>
      <c r="J801" s="307"/>
      <c r="K801" s="181"/>
      <c r="L801" s="181"/>
      <c r="M801" s="181"/>
      <c r="N801" s="181"/>
      <c r="O801" s="181"/>
      <c r="P801" s="181">
        <v>5500</v>
      </c>
      <c r="Q801" s="181">
        <v>0</v>
      </c>
      <c r="R801" s="307">
        <f t="shared" si="492"/>
        <v>-1000</v>
      </c>
      <c r="S801" s="181">
        <v>5500</v>
      </c>
      <c r="T801" s="181"/>
      <c r="U801" s="181"/>
      <c r="V801" s="307">
        <v>4500</v>
      </c>
      <c r="W801" s="307">
        <v>1500</v>
      </c>
      <c r="X801" s="307">
        <v>0</v>
      </c>
      <c r="Y801" s="307">
        <v>0</v>
      </c>
      <c r="Z801" s="162" t="b">
        <f t="shared" si="494"/>
        <v>0</v>
      </c>
      <c r="AA801" s="162" t="str">
        <f t="shared" si="495"/>
        <v>PUNO</v>
      </c>
      <c r="AB801" s="165"/>
    </row>
    <row r="802" spans="1:29" s="447" customFormat="1" ht="15.75" x14ac:dyDescent="0.25">
      <c r="A802" s="378"/>
      <c r="B802" s="260"/>
      <c r="C802" s="260"/>
      <c r="D802" s="260"/>
      <c r="E802" s="260"/>
      <c r="F802" s="260"/>
      <c r="G802" s="260"/>
      <c r="H802" s="441" t="s">
        <v>825</v>
      </c>
      <c r="I802" s="262"/>
      <c r="J802" s="262"/>
      <c r="K802" s="262"/>
      <c r="L802" s="262"/>
      <c r="M802" s="262"/>
      <c r="N802" s="262"/>
      <c r="O802" s="262"/>
      <c r="P802" s="262"/>
      <c r="Q802" s="262"/>
      <c r="R802" s="445"/>
      <c r="S802" s="262"/>
      <c r="T802" s="262"/>
      <c r="U802" s="262"/>
      <c r="V802" s="342"/>
      <c r="W802" s="262">
        <f>W803</f>
        <v>52000</v>
      </c>
      <c r="X802" s="262">
        <f>X803</f>
        <v>36000</v>
      </c>
      <c r="Y802" s="262">
        <f>Y803</f>
        <v>36000</v>
      </c>
      <c r="Z802" s="162" t="b">
        <f t="shared" si="494"/>
        <v>1</v>
      </c>
      <c r="AA802" s="162" t="str">
        <f t="shared" si="495"/>
        <v>PRAZNO</v>
      </c>
      <c r="AB802" s="446"/>
    </row>
    <row r="803" spans="1:29" s="174" customFormat="1" x14ac:dyDescent="0.2">
      <c r="A803" s="259"/>
      <c r="B803" s="247">
        <v>4</v>
      </c>
      <c r="C803" s="172"/>
      <c r="D803" s="172"/>
      <c r="E803" s="172"/>
      <c r="F803" s="172"/>
      <c r="G803" s="172"/>
      <c r="H803" s="36" t="s">
        <v>552</v>
      </c>
      <c r="I803" s="20"/>
      <c r="J803" s="20"/>
      <c r="K803" s="20"/>
      <c r="L803" s="20"/>
      <c r="M803" s="20"/>
      <c r="N803" s="20"/>
      <c r="O803" s="20"/>
      <c r="P803" s="20"/>
      <c r="Q803" s="20"/>
      <c r="R803" s="54"/>
      <c r="S803" s="20"/>
      <c r="T803" s="20"/>
      <c r="U803" s="20"/>
      <c r="V803" s="55"/>
      <c r="W803" s="20">
        <f>W804+W808</f>
        <v>52000</v>
      </c>
      <c r="X803" s="20">
        <f>X804+X808</f>
        <v>36000</v>
      </c>
      <c r="Y803" s="20">
        <f>Y804+Y808</f>
        <v>36000</v>
      </c>
      <c r="Z803" s="419" t="b">
        <f t="shared" si="494"/>
        <v>1</v>
      </c>
      <c r="AA803" s="419" t="str">
        <f t="shared" si="495"/>
        <v>PRAZNO</v>
      </c>
      <c r="AB803" s="173"/>
    </row>
    <row r="804" spans="1:29" s="264" customFormat="1" x14ac:dyDescent="0.2">
      <c r="A804" s="259"/>
      <c r="B804" s="177"/>
      <c r="C804" s="212">
        <v>42</v>
      </c>
      <c r="D804" s="177"/>
      <c r="E804" s="177"/>
      <c r="F804" s="177"/>
      <c r="G804" s="177"/>
      <c r="H804" s="23" t="s">
        <v>212</v>
      </c>
      <c r="I804" s="181"/>
      <c r="J804" s="181"/>
      <c r="K804" s="181"/>
      <c r="L804" s="181"/>
      <c r="M804" s="181"/>
      <c r="N804" s="181"/>
      <c r="O804" s="181"/>
      <c r="P804" s="181"/>
      <c r="Q804" s="181"/>
      <c r="R804" s="343"/>
      <c r="S804" s="181"/>
      <c r="T804" s="181"/>
      <c r="U804" s="181"/>
      <c r="V804" s="307"/>
      <c r="W804" s="181">
        <f>W805</f>
        <v>32000</v>
      </c>
      <c r="X804" s="181">
        <f>X805</f>
        <v>36000</v>
      </c>
      <c r="Y804" s="181">
        <f>Y805</f>
        <v>36000</v>
      </c>
      <c r="Z804" s="419" t="b">
        <f t="shared" si="494"/>
        <v>1</v>
      </c>
      <c r="AA804" s="419" t="str">
        <f t="shared" si="495"/>
        <v>PRAZNO</v>
      </c>
      <c r="AB804" s="263"/>
    </row>
    <row r="805" spans="1:29" s="264" customFormat="1" x14ac:dyDescent="0.2">
      <c r="A805" s="259"/>
      <c r="B805" s="177"/>
      <c r="C805" s="177"/>
      <c r="D805" s="212">
        <v>422</v>
      </c>
      <c r="E805" s="177"/>
      <c r="F805" s="177"/>
      <c r="G805" s="177"/>
      <c r="H805" s="23" t="s">
        <v>555</v>
      </c>
      <c r="I805" s="181"/>
      <c r="J805" s="181"/>
      <c r="K805" s="181"/>
      <c r="L805" s="181"/>
      <c r="M805" s="181"/>
      <c r="N805" s="181"/>
      <c r="O805" s="181"/>
      <c r="P805" s="181"/>
      <c r="Q805" s="181"/>
      <c r="R805" s="343"/>
      <c r="S805" s="181"/>
      <c r="T805" s="181"/>
      <c r="U805" s="181"/>
      <c r="V805" s="307"/>
      <c r="W805" s="181">
        <f>SUM(W806:W807)</f>
        <v>32000</v>
      </c>
      <c r="X805" s="181">
        <f>SUM(X806:X807)</f>
        <v>36000</v>
      </c>
      <c r="Y805" s="181">
        <f>SUM(Y806:Y807)</f>
        <v>36000</v>
      </c>
      <c r="Z805" s="419" t="b">
        <f t="shared" si="494"/>
        <v>1</v>
      </c>
      <c r="AA805" s="419" t="str">
        <f t="shared" si="495"/>
        <v>PRAZNO</v>
      </c>
      <c r="AB805" s="263"/>
    </row>
    <row r="806" spans="1:29" s="164" customFormat="1" ht="15.75" x14ac:dyDescent="0.2">
      <c r="A806" s="259"/>
      <c r="B806" s="177"/>
      <c r="C806" s="177"/>
      <c r="D806" s="177"/>
      <c r="E806" s="177">
        <v>4221</v>
      </c>
      <c r="F806" s="265">
        <v>55</v>
      </c>
      <c r="G806" s="265" t="s">
        <v>1040</v>
      </c>
      <c r="H806" s="16" t="s">
        <v>558</v>
      </c>
      <c r="I806" s="181">
        <v>0</v>
      </c>
      <c r="J806" s="307"/>
      <c r="K806" s="181"/>
      <c r="L806" s="181"/>
      <c r="M806" s="181"/>
      <c r="N806" s="181"/>
      <c r="O806" s="181"/>
      <c r="P806" s="181"/>
      <c r="Q806" s="181"/>
      <c r="R806" s="307"/>
      <c r="S806" s="181"/>
      <c r="T806" s="181"/>
      <c r="U806" s="181"/>
      <c r="V806" s="307"/>
      <c r="W806" s="307">
        <v>16000</v>
      </c>
      <c r="X806" s="307">
        <v>20000</v>
      </c>
      <c r="Y806" s="307">
        <v>20000</v>
      </c>
      <c r="Z806" s="162" t="b">
        <f t="shared" si="494"/>
        <v>0</v>
      </c>
      <c r="AA806" s="162" t="str">
        <f t="shared" si="495"/>
        <v>PUNO</v>
      </c>
      <c r="AB806" s="165"/>
    </row>
    <row r="807" spans="1:29" s="164" customFormat="1" ht="15.75" x14ac:dyDescent="0.2">
      <c r="A807" s="259"/>
      <c r="B807" s="177"/>
      <c r="C807" s="177"/>
      <c r="D807" s="177"/>
      <c r="E807" s="177">
        <v>4225</v>
      </c>
      <c r="F807" s="265">
        <v>55</v>
      </c>
      <c r="G807" s="265"/>
      <c r="H807" s="16" t="s">
        <v>844</v>
      </c>
      <c r="I807" s="181"/>
      <c r="J807" s="307"/>
      <c r="K807" s="181"/>
      <c r="L807" s="181"/>
      <c r="M807" s="181"/>
      <c r="N807" s="181"/>
      <c r="O807" s="181"/>
      <c r="P807" s="181"/>
      <c r="Q807" s="181"/>
      <c r="R807" s="307"/>
      <c r="S807" s="181"/>
      <c r="T807" s="181"/>
      <c r="U807" s="181"/>
      <c r="V807" s="307"/>
      <c r="W807" s="307">
        <v>16000</v>
      </c>
      <c r="X807" s="307">
        <v>16000</v>
      </c>
      <c r="Y807" s="307">
        <v>16000</v>
      </c>
      <c r="Z807" s="162" t="b">
        <f t="shared" si="494"/>
        <v>0</v>
      </c>
      <c r="AA807" s="162" t="str">
        <f t="shared" si="495"/>
        <v>PUNO</v>
      </c>
      <c r="AB807" s="165"/>
    </row>
    <row r="808" spans="1:29" ht="34.5" customHeight="1" x14ac:dyDescent="0.2">
      <c r="B808" s="177"/>
      <c r="C808" s="177">
        <v>45</v>
      </c>
      <c r="D808" s="177"/>
      <c r="E808" s="177"/>
      <c r="F808" s="265"/>
      <c r="G808" s="265"/>
      <c r="H808" s="16" t="s">
        <v>808</v>
      </c>
      <c r="I808" s="181"/>
      <c r="J808" s="307"/>
      <c r="K808" s="181"/>
      <c r="L808" s="181"/>
      <c r="M808" s="181"/>
      <c r="N808" s="181"/>
      <c r="O808" s="181"/>
      <c r="P808" s="181"/>
      <c r="Q808" s="181"/>
      <c r="R808" s="307"/>
      <c r="S808" s="181"/>
      <c r="T808" s="181"/>
      <c r="U808" s="181"/>
      <c r="V808" s="181"/>
      <c r="W808" s="181">
        <f t="shared" ref="W808:Y809" si="496">W809</f>
        <v>20000</v>
      </c>
      <c r="X808" s="181">
        <f t="shared" si="496"/>
        <v>0</v>
      </c>
      <c r="Y808" s="181">
        <f t="shared" si="496"/>
        <v>0</v>
      </c>
      <c r="Z808" s="162" t="b">
        <f t="shared" si="494"/>
        <v>1</v>
      </c>
      <c r="AA808" s="162" t="str">
        <f t="shared" si="495"/>
        <v>PRAZNO</v>
      </c>
      <c r="AC808" s="164"/>
    </row>
    <row r="809" spans="1:29" ht="15.75" x14ac:dyDescent="0.2">
      <c r="B809" s="177"/>
      <c r="C809" s="177"/>
      <c r="D809" s="177">
        <v>451</v>
      </c>
      <c r="E809" s="177"/>
      <c r="F809" s="265"/>
      <c r="G809" s="265"/>
      <c r="H809" s="16" t="s">
        <v>809</v>
      </c>
      <c r="I809" s="181"/>
      <c r="J809" s="307"/>
      <c r="K809" s="181"/>
      <c r="L809" s="181"/>
      <c r="M809" s="181"/>
      <c r="N809" s="181"/>
      <c r="O809" s="181"/>
      <c r="P809" s="181"/>
      <c r="Q809" s="181"/>
      <c r="R809" s="307"/>
      <c r="S809" s="181"/>
      <c r="T809" s="181"/>
      <c r="U809" s="181"/>
      <c r="V809" s="181"/>
      <c r="W809" s="181">
        <f t="shared" si="496"/>
        <v>20000</v>
      </c>
      <c r="X809" s="181">
        <f t="shared" si="496"/>
        <v>0</v>
      </c>
      <c r="Y809" s="181">
        <f t="shared" si="496"/>
        <v>0</v>
      </c>
      <c r="Z809" s="162" t="b">
        <f t="shared" si="494"/>
        <v>1</v>
      </c>
      <c r="AA809" s="162" t="str">
        <f t="shared" si="495"/>
        <v>PRAZNO</v>
      </c>
      <c r="AC809" s="164"/>
    </row>
    <row r="810" spans="1:29" s="164" customFormat="1" ht="15.75" x14ac:dyDescent="0.2">
      <c r="A810" s="259"/>
      <c r="B810" s="177"/>
      <c r="C810" s="177"/>
      <c r="D810" s="177"/>
      <c r="E810" s="177">
        <v>4511</v>
      </c>
      <c r="F810" s="265">
        <v>55</v>
      </c>
      <c r="G810" s="265"/>
      <c r="H810" s="16" t="s">
        <v>809</v>
      </c>
      <c r="I810" s="181"/>
      <c r="J810" s="307"/>
      <c r="K810" s="181"/>
      <c r="L810" s="181"/>
      <c r="M810" s="181"/>
      <c r="N810" s="181"/>
      <c r="O810" s="181"/>
      <c r="P810" s="181"/>
      <c r="Q810" s="181"/>
      <c r="R810" s="307"/>
      <c r="S810" s="181"/>
      <c r="T810" s="181"/>
      <c r="U810" s="181"/>
      <c r="V810" s="307"/>
      <c r="W810" s="181">
        <v>20000</v>
      </c>
      <c r="X810" s="181">
        <v>0</v>
      </c>
      <c r="Y810" s="181">
        <v>0</v>
      </c>
      <c r="Z810" s="162" t="b">
        <f t="shared" si="494"/>
        <v>0</v>
      </c>
      <c r="AA810" s="162" t="str">
        <f t="shared" si="495"/>
        <v>PUNO</v>
      </c>
      <c r="AB810" s="165"/>
    </row>
    <row r="811" spans="1:29" s="164" customFormat="1" ht="15.75" hidden="1" x14ac:dyDescent="0.2">
      <c r="A811" s="259"/>
      <c r="B811" s="177"/>
      <c r="C811" s="177"/>
      <c r="D811" s="177"/>
      <c r="E811" s="177"/>
      <c r="F811" s="265"/>
      <c r="G811" s="265"/>
      <c r="H811" s="16"/>
      <c r="I811" s="181"/>
      <c r="J811" s="307"/>
      <c r="K811" s="181"/>
      <c r="L811" s="181"/>
      <c r="M811" s="181"/>
      <c r="N811" s="181"/>
      <c r="O811" s="181"/>
      <c r="P811" s="181"/>
      <c r="Q811" s="181"/>
      <c r="R811" s="307"/>
      <c r="S811" s="181"/>
      <c r="T811" s="181"/>
      <c r="U811" s="181"/>
      <c r="V811" s="307"/>
      <c r="W811" s="307"/>
      <c r="X811" s="307"/>
      <c r="Y811" s="307"/>
      <c r="Z811" s="162"/>
      <c r="AA811" s="162"/>
      <c r="AB811" s="165"/>
    </row>
    <row r="812" spans="1:29" s="171" customFormat="1" ht="31.5" hidden="1" x14ac:dyDescent="0.2">
      <c r="A812" s="259"/>
      <c r="B812" s="168"/>
      <c r="C812" s="168"/>
      <c r="D812" s="168"/>
      <c r="E812" s="260"/>
      <c r="F812" s="168"/>
      <c r="G812" s="168"/>
      <c r="H812" s="13" t="s">
        <v>479</v>
      </c>
      <c r="I812" s="19">
        <f>I818</f>
        <v>672778.72</v>
      </c>
      <c r="J812" s="53">
        <f>J818+J813</f>
        <v>564906.54</v>
      </c>
      <c r="K812" s="169">
        <f>K818+K813</f>
        <v>0</v>
      </c>
      <c r="L812" s="169">
        <f>L818+L813</f>
        <v>0</v>
      </c>
      <c r="M812" s="169" t="e">
        <f t="shared" ref="M812:M829" si="497">ROUND(L812/K812*100,2)</f>
        <v>#DIV/0!</v>
      </c>
      <c r="N812" s="169">
        <f t="shared" ref="N812:N829" si="498">O812-K812</f>
        <v>0</v>
      </c>
      <c r="O812" s="19">
        <f>O818+O813</f>
        <v>0</v>
      </c>
      <c r="P812" s="19">
        <f>P818+P813</f>
        <v>0</v>
      </c>
      <c r="Q812" s="19">
        <f>Q818+Q813</f>
        <v>0</v>
      </c>
      <c r="R812" s="26">
        <f t="shared" ref="R812:R833" si="499">V812-P812</f>
        <v>0</v>
      </c>
      <c r="S812" s="19">
        <f t="shared" ref="S812:Y812" si="500">S818+S813</f>
        <v>0</v>
      </c>
      <c r="T812" s="19">
        <f t="shared" si="500"/>
        <v>0</v>
      </c>
      <c r="U812" s="19">
        <f t="shared" si="500"/>
        <v>0</v>
      </c>
      <c r="V812" s="53">
        <f t="shared" si="500"/>
        <v>0</v>
      </c>
      <c r="W812" s="19">
        <f t="shared" si="500"/>
        <v>0</v>
      </c>
      <c r="X812" s="19">
        <f t="shared" si="500"/>
        <v>0</v>
      </c>
      <c r="Y812" s="19">
        <f t="shared" si="500"/>
        <v>0</v>
      </c>
      <c r="Z812" s="162" t="b">
        <f t="shared" ref="Z812:Z847" si="501">ISBLANK(E812)</f>
        <v>1</v>
      </c>
      <c r="AA812" s="162" t="str">
        <f t="shared" ref="AA812:AA847" si="502">IF(Z812,"PRAZNO","PUNO")</f>
        <v>PRAZNO</v>
      </c>
      <c r="AB812" s="170"/>
      <c r="AC812" s="164"/>
    </row>
    <row r="813" spans="1:29" s="174" customFormat="1" ht="15.75" hidden="1" x14ac:dyDescent="0.2">
      <c r="A813" s="259"/>
      <c r="B813" s="172">
        <v>3</v>
      </c>
      <c r="C813" s="172"/>
      <c r="D813" s="172"/>
      <c r="E813" s="177"/>
      <c r="F813" s="172"/>
      <c r="G813" s="172"/>
      <c r="H813" s="14" t="s">
        <v>524</v>
      </c>
      <c r="I813" s="20"/>
      <c r="J813" s="55">
        <f t="shared" ref="J813:L814" si="503">J814</f>
        <v>100644.26999999999</v>
      </c>
      <c r="K813" s="20">
        <f t="shared" si="503"/>
        <v>0</v>
      </c>
      <c r="L813" s="20">
        <f t="shared" si="503"/>
        <v>0</v>
      </c>
      <c r="M813" s="20" t="e">
        <f t="shared" si="497"/>
        <v>#DIV/0!</v>
      </c>
      <c r="N813" s="20">
        <f t="shared" si="498"/>
        <v>0</v>
      </c>
      <c r="O813" s="20">
        <f t="shared" ref="O813:Q814" si="504">O814</f>
        <v>0</v>
      </c>
      <c r="P813" s="20">
        <f t="shared" si="504"/>
        <v>0</v>
      </c>
      <c r="Q813" s="20">
        <f t="shared" si="504"/>
        <v>0</v>
      </c>
      <c r="R813" s="26">
        <f t="shared" si="499"/>
        <v>0</v>
      </c>
      <c r="S813" s="20">
        <f t="shared" ref="S813:Y814" si="505">S814</f>
        <v>0</v>
      </c>
      <c r="T813" s="20">
        <f t="shared" si="505"/>
        <v>0</v>
      </c>
      <c r="U813" s="20">
        <f t="shared" si="505"/>
        <v>0</v>
      </c>
      <c r="V813" s="55">
        <f t="shared" si="505"/>
        <v>0</v>
      </c>
      <c r="W813" s="20">
        <f t="shared" si="505"/>
        <v>0</v>
      </c>
      <c r="X813" s="20">
        <f t="shared" si="505"/>
        <v>0</v>
      </c>
      <c r="Y813" s="20">
        <f t="shared" si="505"/>
        <v>0</v>
      </c>
      <c r="Z813" s="162" t="b">
        <f t="shared" si="501"/>
        <v>1</v>
      </c>
      <c r="AA813" s="162" t="str">
        <f t="shared" si="502"/>
        <v>PRAZNO</v>
      </c>
      <c r="AB813" s="173"/>
      <c r="AC813" s="164"/>
    </row>
    <row r="814" spans="1:29" ht="15.75" hidden="1" x14ac:dyDescent="0.2">
      <c r="B814" s="177"/>
      <c r="C814" s="177">
        <v>32</v>
      </c>
      <c r="D814" s="177"/>
      <c r="E814" s="177"/>
      <c r="F814" s="177"/>
      <c r="G814" s="177"/>
      <c r="H814" s="16" t="s">
        <v>525</v>
      </c>
      <c r="I814" s="17"/>
      <c r="J814" s="45">
        <f t="shared" si="503"/>
        <v>100644.26999999999</v>
      </c>
      <c r="K814" s="34">
        <f t="shared" si="503"/>
        <v>0</v>
      </c>
      <c r="L814" s="34">
        <f t="shared" si="503"/>
        <v>0</v>
      </c>
      <c r="M814" s="34" t="e">
        <f t="shared" si="497"/>
        <v>#DIV/0!</v>
      </c>
      <c r="N814" s="34">
        <f t="shared" si="498"/>
        <v>0</v>
      </c>
      <c r="O814" s="34">
        <f t="shared" si="504"/>
        <v>0</v>
      </c>
      <c r="P814" s="34">
        <f t="shared" si="504"/>
        <v>0</v>
      </c>
      <c r="Q814" s="34">
        <f t="shared" si="504"/>
        <v>0</v>
      </c>
      <c r="R814" s="26">
        <f t="shared" si="499"/>
        <v>0</v>
      </c>
      <c r="S814" s="34">
        <f t="shared" si="505"/>
        <v>0</v>
      </c>
      <c r="T814" s="34">
        <f t="shared" si="505"/>
        <v>0</v>
      </c>
      <c r="U814" s="34">
        <f t="shared" si="505"/>
        <v>0</v>
      </c>
      <c r="V814" s="45">
        <f t="shared" si="505"/>
        <v>0</v>
      </c>
      <c r="W814" s="34">
        <f t="shared" si="505"/>
        <v>0</v>
      </c>
      <c r="X814" s="34">
        <f t="shared" si="505"/>
        <v>0</v>
      </c>
      <c r="Y814" s="34">
        <f t="shared" si="505"/>
        <v>0</v>
      </c>
      <c r="Z814" s="162" t="b">
        <f t="shared" si="501"/>
        <v>1</v>
      </c>
      <c r="AA814" s="162" t="str">
        <f t="shared" si="502"/>
        <v>PRAZNO</v>
      </c>
      <c r="AC814" s="164"/>
    </row>
    <row r="815" spans="1:29" ht="15.75" hidden="1" x14ac:dyDescent="0.2">
      <c r="B815" s="177"/>
      <c r="C815" s="177"/>
      <c r="D815" s="177">
        <v>322</v>
      </c>
      <c r="E815" s="177"/>
      <c r="F815" s="177"/>
      <c r="G815" s="177"/>
      <c r="H815" s="46" t="s">
        <v>547</v>
      </c>
      <c r="I815" s="221"/>
      <c r="J815" s="47">
        <f>J816+J817</f>
        <v>100644.26999999999</v>
      </c>
      <c r="K815" s="47">
        <f>K816+K817</f>
        <v>0</v>
      </c>
      <c r="L815" s="47">
        <f>L816+L817</f>
        <v>0</v>
      </c>
      <c r="M815" s="47" t="e">
        <f t="shared" si="497"/>
        <v>#DIV/0!</v>
      </c>
      <c r="N815" s="47">
        <f t="shared" si="498"/>
        <v>0</v>
      </c>
      <c r="O815" s="47">
        <f>O816+O817</f>
        <v>0</v>
      </c>
      <c r="P815" s="47">
        <f>P816+P817</f>
        <v>0</v>
      </c>
      <c r="Q815" s="47">
        <f>Q816+Q817</f>
        <v>0</v>
      </c>
      <c r="R815" s="26">
        <f t="shared" si="499"/>
        <v>0</v>
      </c>
      <c r="S815" s="47">
        <f t="shared" ref="S815:Y815" si="506">S816+S817</f>
        <v>0</v>
      </c>
      <c r="T815" s="47">
        <f t="shared" si="506"/>
        <v>0</v>
      </c>
      <c r="U815" s="47">
        <f t="shared" si="506"/>
        <v>0</v>
      </c>
      <c r="V815" s="47">
        <f t="shared" si="506"/>
        <v>0</v>
      </c>
      <c r="W815" s="47">
        <f t="shared" si="506"/>
        <v>0</v>
      </c>
      <c r="X815" s="47">
        <f t="shared" si="506"/>
        <v>0</v>
      </c>
      <c r="Y815" s="47">
        <f t="shared" si="506"/>
        <v>0</v>
      </c>
      <c r="Z815" s="162" t="b">
        <f t="shared" si="501"/>
        <v>1</v>
      </c>
      <c r="AA815" s="162" t="str">
        <f t="shared" si="502"/>
        <v>PRAZNO</v>
      </c>
      <c r="AC815" s="164"/>
    </row>
    <row r="816" spans="1:29" ht="15.75" hidden="1" x14ac:dyDescent="0.2">
      <c r="B816" s="177"/>
      <c r="C816" s="177"/>
      <c r="D816" s="177"/>
      <c r="E816" s="177">
        <v>3225</v>
      </c>
      <c r="F816" s="176" t="s">
        <v>527</v>
      </c>
      <c r="G816" s="177"/>
      <c r="H816" s="16" t="s">
        <v>642</v>
      </c>
      <c r="I816" s="17"/>
      <c r="J816" s="26">
        <v>50322.14</v>
      </c>
      <c r="K816" s="17">
        <v>0</v>
      </c>
      <c r="L816" s="17"/>
      <c r="M816" s="17" t="e">
        <f t="shared" si="497"/>
        <v>#DIV/0!</v>
      </c>
      <c r="N816" s="17">
        <f t="shared" si="498"/>
        <v>0</v>
      </c>
      <c r="O816" s="17"/>
      <c r="P816" s="17"/>
      <c r="Q816" s="17"/>
      <c r="R816" s="26">
        <f t="shared" si="499"/>
        <v>0</v>
      </c>
      <c r="S816" s="17"/>
      <c r="T816" s="17"/>
      <c r="U816" s="17"/>
      <c r="V816" s="26"/>
      <c r="W816" s="17"/>
      <c r="X816" s="17"/>
      <c r="Y816" s="17"/>
      <c r="Z816" s="162" t="b">
        <f t="shared" si="501"/>
        <v>0</v>
      </c>
      <c r="AA816" s="162" t="str">
        <f t="shared" si="502"/>
        <v>PUNO</v>
      </c>
      <c r="AC816" s="164"/>
    </row>
    <row r="817" spans="1:29" ht="15.75" hidden="1" x14ac:dyDescent="0.2">
      <c r="B817" s="177"/>
      <c r="C817" s="177"/>
      <c r="D817" s="177"/>
      <c r="E817" s="177">
        <v>3225</v>
      </c>
      <c r="F817" s="176" t="s">
        <v>537</v>
      </c>
      <c r="G817" s="177"/>
      <c r="H817" s="16" t="s">
        <v>642</v>
      </c>
      <c r="I817" s="17"/>
      <c r="J817" s="26">
        <v>50322.13</v>
      </c>
      <c r="K817" s="17">
        <v>0</v>
      </c>
      <c r="L817" s="17"/>
      <c r="M817" s="17" t="e">
        <f t="shared" si="497"/>
        <v>#DIV/0!</v>
      </c>
      <c r="N817" s="17">
        <f t="shared" si="498"/>
        <v>0</v>
      </c>
      <c r="O817" s="17"/>
      <c r="P817" s="17"/>
      <c r="Q817" s="17"/>
      <c r="R817" s="26">
        <f t="shared" si="499"/>
        <v>0</v>
      </c>
      <c r="S817" s="17"/>
      <c r="T817" s="17"/>
      <c r="U817" s="17"/>
      <c r="V817" s="26"/>
      <c r="W817" s="17"/>
      <c r="X817" s="17"/>
      <c r="Y817" s="17"/>
      <c r="Z817" s="162" t="b">
        <f t="shared" si="501"/>
        <v>0</v>
      </c>
      <c r="AA817" s="162" t="str">
        <f t="shared" si="502"/>
        <v>PUNO</v>
      </c>
      <c r="AC817" s="164"/>
    </row>
    <row r="818" spans="1:29" s="174" customFormat="1" ht="15.75" hidden="1" x14ac:dyDescent="0.2">
      <c r="A818" s="259"/>
      <c r="B818" s="172">
        <v>4</v>
      </c>
      <c r="C818" s="172"/>
      <c r="D818" s="172"/>
      <c r="E818" s="177"/>
      <c r="F818" s="172"/>
      <c r="G818" s="172"/>
      <c r="H818" s="14" t="s">
        <v>552</v>
      </c>
      <c r="I818" s="20">
        <f>I819</f>
        <v>672778.72</v>
      </c>
      <c r="J818" s="55">
        <f>J819</f>
        <v>464262.27</v>
      </c>
      <c r="K818" s="20">
        <f>K819</f>
        <v>0</v>
      </c>
      <c r="L818" s="20">
        <f>L819</f>
        <v>0</v>
      </c>
      <c r="M818" s="20" t="e">
        <f t="shared" si="497"/>
        <v>#DIV/0!</v>
      </c>
      <c r="N818" s="20">
        <f t="shared" si="498"/>
        <v>0</v>
      </c>
      <c r="O818" s="20">
        <f>O819</f>
        <v>0</v>
      </c>
      <c r="P818" s="20">
        <f>P819</f>
        <v>0</v>
      </c>
      <c r="Q818" s="20">
        <f>Q819</f>
        <v>0</v>
      </c>
      <c r="R818" s="26">
        <f t="shared" si="499"/>
        <v>0</v>
      </c>
      <c r="S818" s="20">
        <f t="shared" ref="S818:Y818" si="507">S819</f>
        <v>0</v>
      </c>
      <c r="T818" s="20">
        <f t="shared" si="507"/>
        <v>0</v>
      </c>
      <c r="U818" s="20">
        <f t="shared" si="507"/>
        <v>0</v>
      </c>
      <c r="V818" s="55">
        <f t="shared" si="507"/>
        <v>0</v>
      </c>
      <c r="W818" s="20">
        <f t="shared" si="507"/>
        <v>0</v>
      </c>
      <c r="X818" s="20">
        <f t="shared" si="507"/>
        <v>0</v>
      </c>
      <c r="Y818" s="20">
        <f t="shared" si="507"/>
        <v>0</v>
      </c>
      <c r="Z818" s="162" t="b">
        <f t="shared" si="501"/>
        <v>1</v>
      </c>
      <c r="AA818" s="162" t="str">
        <f t="shared" si="502"/>
        <v>PRAZNO</v>
      </c>
      <c r="AB818" s="173"/>
      <c r="AC818" s="164"/>
    </row>
    <row r="819" spans="1:29" ht="15.75" hidden="1" x14ac:dyDescent="0.2">
      <c r="B819" s="177"/>
      <c r="C819" s="177">
        <v>42</v>
      </c>
      <c r="D819" s="177"/>
      <c r="E819" s="177"/>
      <c r="F819" s="177"/>
      <c r="G819" s="177"/>
      <c r="H819" s="16" t="s">
        <v>212</v>
      </c>
      <c r="I819" s="17">
        <f>I820+I827</f>
        <v>672778.72</v>
      </c>
      <c r="J819" s="26">
        <f>J820+J827</f>
        <v>464262.27</v>
      </c>
      <c r="K819" s="17">
        <f>K820+K827</f>
        <v>0</v>
      </c>
      <c r="L819" s="17">
        <f>L820+L827</f>
        <v>0</v>
      </c>
      <c r="M819" s="17" t="e">
        <f t="shared" si="497"/>
        <v>#DIV/0!</v>
      </c>
      <c r="N819" s="17">
        <f t="shared" si="498"/>
        <v>0</v>
      </c>
      <c r="O819" s="17">
        <f>O820+O827</f>
        <v>0</v>
      </c>
      <c r="P819" s="17">
        <f>P820+P827</f>
        <v>0</v>
      </c>
      <c r="Q819" s="17">
        <f>Q820+Q827</f>
        <v>0</v>
      </c>
      <c r="R819" s="26">
        <f t="shared" si="499"/>
        <v>0</v>
      </c>
      <c r="S819" s="17">
        <f t="shared" ref="S819:Y819" si="508">S820+S827</f>
        <v>0</v>
      </c>
      <c r="T819" s="17">
        <f t="shared" si="508"/>
        <v>0</v>
      </c>
      <c r="U819" s="17">
        <f t="shared" si="508"/>
        <v>0</v>
      </c>
      <c r="V819" s="26">
        <f t="shared" si="508"/>
        <v>0</v>
      </c>
      <c r="W819" s="17">
        <f t="shared" si="508"/>
        <v>0</v>
      </c>
      <c r="X819" s="17">
        <f t="shared" si="508"/>
        <v>0</v>
      </c>
      <c r="Y819" s="17">
        <f t="shared" si="508"/>
        <v>0</v>
      </c>
      <c r="Z819" s="162" t="b">
        <f t="shared" si="501"/>
        <v>1</v>
      </c>
      <c r="AA819" s="162" t="str">
        <f t="shared" si="502"/>
        <v>PRAZNO</v>
      </c>
      <c r="AC819" s="164"/>
    </row>
    <row r="820" spans="1:29" ht="15" hidden="1" customHeight="1" x14ac:dyDescent="0.2">
      <c r="B820" s="177"/>
      <c r="C820" s="177"/>
      <c r="D820" s="177">
        <v>422</v>
      </c>
      <c r="E820" s="177"/>
      <c r="F820" s="177"/>
      <c r="G820" s="177"/>
      <c r="H820" s="16" t="s">
        <v>555</v>
      </c>
      <c r="I820" s="17">
        <f>SUM(I821:I826)</f>
        <v>664238.72</v>
      </c>
      <c r="J820" s="26">
        <f>SUM(J821:J826)</f>
        <v>464262.27</v>
      </c>
      <c r="K820" s="17">
        <f>SUM(K821:K826)</f>
        <v>0</v>
      </c>
      <c r="L820" s="17">
        <f>SUM(L821:L826)</f>
        <v>0</v>
      </c>
      <c r="M820" s="17" t="e">
        <f t="shared" si="497"/>
        <v>#DIV/0!</v>
      </c>
      <c r="N820" s="17">
        <f t="shared" si="498"/>
        <v>0</v>
      </c>
      <c r="O820" s="17">
        <f>SUM(O821:O826)</f>
        <v>0</v>
      </c>
      <c r="P820" s="17">
        <f>SUM(P821:P826)</f>
        <v>0</v>
      </c>
      <c r="Q820" s="17">
        <f>SUM(Q821:Q826)</f>
        <v>0</v>
      </c>
      <c r="R820" s="26">
        <f t="shared" si="499"/>
        <v>0</v>
      </c>
      <c r="S820" s="17">
        <f t="shared" ref="S820:Y820" si="509">SUM(S821:S826)</f>
        <v>0</v>
      </c>
      <c r="T820" s="17">
        <f t="shared" si="509"/>
        <v>0</v>
      </c>
      <c r="U820" s="17">
        <f t="shared" si="509"/>
        <v>0</v>
      </c>
      <c r="V820" s="26">
        <f t="shared" si="509"/>
        <v>0</v>
      </c>
      <c r="W820" s="17">
        <f t="shared" si="509"/>
        <v>0</v>
      </c>
      <c r="X820" s="17">
        <f t="shared" si="509"/>
        <v>0</v>
      </c>
      <c r="Y820" s="17">
        <f t="shared" si="509"/>
        <v>0</v>
      </c>
      <c r="Z820" s="162" t="b">
        <f t="shared" si="501"/>
        <v>1</v>
      </c>
      <c r="AA820" s="162" t="str">
        <f t="shared" si="502"/>
        <v>PRAZNO</v>
      </c>
      <c r="AC820" s="164"/>
    </row>
    <row r="821" spans="1:29" ht="15.75" hidden="1" x14ac:dyDescent="0.2">
      <c r="B821" s="177"/>
      <c r="C821" s="177"/>
      <c r="D821" s="177"/>
      <c r="E821" s="177">
        <v>4221</v>
      </c>
      <c r="F821" s="176" t="s">
        <v>527</v>
      </c>
      <c r="G821" s="176" t="s">
        <v>1040</v>
      </c>
      <c r="H821" s="16" t="s">
        <v>558</v>
      </c>
      <c r="I821" s="17">
        <v>84625.63</v>
      </c>
      <c r="J821" s="26">
        <v>104725.9</v>
      </c>
      <c r="K821" s="17">
        <v>0</v>
      </c>
      <c r="L821" s="17"/>
      <c r="M821" s="17" t="e">
        <f t="shared" si="497"/>
        <v>#DIV/0!</v>
      </c>
      <c r="N821" s="17">
        <f t="shared" si="498"/>
        <v>0</v>
      </c>
      <c r="O821" s="17"/>
      <c r="P821" s="17"/>
      <c r="Q821" s="17"/>
      <c r="R821" s="26">
        <f t="shared" si="499"/>
        <v>0</v>
      </c>
      <c r="S821" s="17"/>
      <c r="T821" s="17"/>
      <c r="U821" s="17"/>
      <c r="V821" s="26"/>
      <c r="W821" s="17"/>
      <c r="X821" s="17"/>
      <c r="Y821" s="17"/>
      <c r="Z821" s="162" t="b">
        <f t="shared" si="501"/>
        <v>0</v>
      </c>
      <c r="AA821" s="162" t="str">
        <f t="shared" si="502"/>
        <v>PUNO</v>
      </c>
      <c r="AC821" s="164"/>
    </row>
    <row r="822" spans="1:29" ht="15.75" hidden="1" x14ac:dyDescent="0.2">
      <c r="B822" s="177"/>
      <c r="C822" s="177"/>
      <c r="D822" s="177"/>
      <c r="E822" s="177">
        <v>4221</v>
      </c>
      <c r="F822" s="176" t="s">
        <v>537</v>
      </c>
      <c r="G822" s="176" t="s">
        <v>1040</v>
      </c>
      <c r="H822" s="16" t="s">
        <v>558</v>
      </c>
      <c r="I822" s="17">
        <v>84625.63</v>
      </c>
      <c r="J822" s="26">
        <v>104725.88</v>
      </c>
      <c r="K822" s="17">
        <v>0</v>
      </c>
      <c r="L822" s="17"/>
      <c r="M822" s="17" t="e">
        <f t="shared" si="497"/>
        <v>#DIV/0!</v>
      </c>
      <c r="N822" s="17">
        <f t="shared" si="498"/>
        <v>0</v>
      </c>
      <c r="O822" s="17"/>
      <c r="P822" s="17"/>
      <c r="Q822" s="17"/>
      <c r="R822" s="26">
        <f t="shared" si="499"/>
        <v>0</v>
      </c>
      <c r="S822" s="17"/>
      <c r="T822" s="17"/>
      <c r="U822" s="17"/>
      <c r="V822" s="26"/>
      <c r="W822" s="17"/>
      <c r="X822" s="17"/>
      <c r="Y822" s="17"/>
      <c r="Z822" s="162" t="b">
        <f t="shared" si="501"/>
        <v>0</v>
      </c>
      <c r="AA822" s="162" t="str">
        <f t="shared" si="502"/>
        <v>PUNO</v>
      </c>
      <c r="AC822" s="164"/>
    </row>
    <row r="823" spans="1:29" ht="15.75" hidden="1" x14ac:dyDescent="0.2">
      <c r="B823" s="177"/>
      <c r="C823" s="177"/>
      <c r="D823" s="177"/>
      <c r="E823" s="177">
        <v>4222</v>
      </c>
      <c r="F823" s="176" t="s">
        <v>527</v>
      </c>
      <c r="G823" s="176" t="s">
        <v>1040</v>
      </c>
      <c r="H823" s="16" t="s">
        <v>559</v>
      </c>
      <c r="I823" s="17">
        <v>2841.04</v>
      </c>
      <c r="J823" s="26">
        <v>0</v>
      </c>
      <c r="K823" s="17">
        <v>0</v>
      </c>
      <c r="L823" s="17"/>
      <c r="M823" s="17" t="e">
        <f t="shared" si="497"/>
        <v>#DIV/0!</v>
      </c>
      <c r="N823" s="17">
        <f t="shared" si="498"/>
        <v>0</v>
      </c>
      <c r="O823" s="17"/>
      <c r="P823" s="17"/>
      <c r="Q823" s="17"/>
      <c r="R823" s="26">
        <f t="shared" si="499"/>
        <v>0</v>
      </c>
      <c r="S823" s="17"/>
      <c r="T823" s="17"/>
      <c r="U823" s="17"/>
      <c r="V823" s="26"/>
      <c r="W823" s="17"/>
      <c r="X823" s="17"/>
      <c r="Y823" s="17"/>
      <c r="Z823" s="162" t="b">
        <f t="shared" si="501"/>
        <v>0</v>
      </c>
      <c r="AA823" s="162" t="str">
        <f t="shared" si="502"/>
        <v>PUNO</v>
      </c>
      <c r="AC823" s="164"/>
    </row>
    <row r="824" spans="1:29" ht="15.75" hidden="1" x14ac:dyDescent="0.2">
      <c r="B824" s="177"/>
      <c r="C824" s="177"/>
      <c r="D824" s="177"/>
      <c r="E824" s="177">
        <v>4222</v>
      </c>
      <c r="F824" s="176" t="s">
        <v>537</v>
      </c>
      <c r="G824" s="176" t="s">
        <v>1040</v>
      </c>
      <c r="H824" s="16" t="s">
        <v>559</v>
      </c>
      <c r="I824" s="17">
        <v>2841.04</v>
      </c>
      <c r="J824" s="26">
        <v>0</v>
      </c>
      <c r="K824" s="17">
        <v>0</v>
      </c>
      <c r="L824" s="17"/>
      <c r="M824" s="17" t="e">
        <f t="shared" si="497"/>
        <v>#DIV/0!</v>
      </c>
      <c r="N824" s="17">
        <f t="shared" si="498"/>
        <v>0</v>
      </c>
      <c r="O824" s="17"/>
      <c r="P824" s="17"/>
      <c r="Q824" s="17"/>
      <c r="R824" s="26">
        <f t="shared" si="499"/>
        <v>0</v>
      </c>
      <c r="S824" s="17"/>
      <c r="T824" s="17"/>
      <c r="U824" s="17"/>
      <c r="V824" s="26"/>
      <c r="W824" s="17"/>
      <c r="X824" s="17"/>
      <c r="Y824" s="17"/>
      <c r="Z824" s="162" t="b">
        <f t="shared" si="501"/>
        <v>0</v>
      </c>
      <c r="AA824" s="162" t="str">
        <f t="shared" si="502"/>
        <v>PUNO</v>
      </c>
      <c r="AC824" s="164"/>
    </row>
    <row r="825" spans="1:29" ht="15.75" hidden="1" x14ac:dyDescent="0.2">
      <c r="B825" s="177"/>
      <c r="C825" s="177"/>
      <c r="D825" s="177"/>
      <c r="E825" s="177">
        <v>4227</v>
      </c>
      <c r="F825" s="176" t="s">
        <v>527</v>
      </c>
      <c r="G825" s="176" t="s">
        <v>1040</v>
      </c>
      <c r="H825" s="16" t="s">
        <v>413</v>
      </c>
      <c r="I825" s="17">
        <v>244652.69</v>
      </c>
      <c r="J825" s="26">
        <v>127405.25</v>
      </c>
      <c r="K825" s="17">
        <v>0</v>
      </c>
      <c r="L825" s="17"/>
      <c r="M825" s="17" t="e">
        <f t="shared" si="497"/>
        <v>#DIV/0!</v>
      </c>
      <c r="N825" s="17">
        <f t="shared" si="498"/>
        <v>0</v>
      </c>
      <c r="O825" s="17"/>
      <c r="P825" s="17"/>
      <c r="Q825" s="17"/>
      <c r="R825" s="26">
        <f t="shared" si="499"/>
        <v>0</v>
      </c>
      <c r="S825" s="17"/>
      <c r="T825" s="17"/>
      <c r="U825" s="17"/>
      <c r="V825" s="26"/>
      <c r="W825" s="17"/>
      <c r="X825" s="17"/>
      <c r="Y825" s="17"/>
      <c r="Z825" s="162" t="b">
        <f t="shared" si="501"/>
        <v>0</v>
      </c>
      <c r="AA825" s="162" t="str">
        <f t="shared" si="502"/>
        <v>PUNO</v>
      </c>
      <c r="AC825" s="164"/>
    </row>
    <row r="826" spans="1:29" ht="15.75" hidden="1" x14ac:dyDescent="0.2">
      <c r="B826" s="177"/>
      <c r="C826" s="177"/>
      <c r="D826" s="177"/>
      <c r="E826" s="177">
        <v>4227</v>
      </c>
      <c r="F826" s="176" t="s">
        <v>537</v>
      </c>
      <c r="G826" s="176" t="s">
        <v>1040</v>
      </c>
      <c r="H826" s="16" t="s">
        <v>413</v>
      </c>
      <c r="I826" s="17">
        <v>244652.69</v>
      </c>
      <c r="J826" s="26">
        <v>127405.24</v>
      </c>
      <c r="K826" s="17">
        <v>0</v>
      </c>
      <c r="L826" s="17"/>
      <c r="M826" s="17" t="e">
        <f t="shared" si="497"/>
        <v>#DIV/0!</v>
      </c>
      <c r="N826" s="17">
        <f t="shared" si="498"/>
        <v>0</v>
      </c>
      <c r="O826" s="17"/>
      <c r="P826" s="17"/>
      <c r="Q826" s="17"/>
      <c r="R826" s="26">
        <f t="shared" si="499"/>
        <v>0</v>
      </c>
      <c r="S826" s="17"/>
      <c r="T826" s="17"/>
      <c r="U826" s="17"/>
      <c r="V826" s="26"/>
      <c r="W826" s="17"/>
      <c r="X826" s="17"/>
      <c r="Y826" s="17"/>
      <c r="Z826" s="162" t="b">
        <f t="shared" si="501"/>
        <v>0</v>
      </c>
      <c r="AA826" s="162" t="str">
        <f t="shared" si="502"/>
        <v>PUNO</v>
      </c>
      <c r="AC826" s="164"/>
    </row>
    <row r="827" spans="1:29" ht="15.75" hidden="1" x14ac:dyDescent="0.2">
      <c r="B827" s="177"/>
      <c r="C827" s="177"/>
      <c r="D827" s="177">
        <v>426</v>
      </c>
      <c r="E827" s="177"/>
      <c r="F827" s="180"/>
      <c r="G827" s="180"/>
      <c r="H827" s="16" t="s">
        <v>560</v>
      </c>
      <c r="I827" s="17">
        <f>I828+I829</f>
        <v>8540</v>
      </c>
      <c r="J827" s="26">
        <f>J829+J828</f>
        <v>0</v>
      </c>
      <c r="K827" s="17">
        <f>K829+K828</f>
        <v>0</v>
      </c>
      <c r="L827" s="17">
        <f>L829+L828</f>
        <v>0</v>
      </c>
      <c r="M827" s="17" t="e">
        <f t="shared" si="497"/>
        <v>#DIV/0!</v>
      </c>
      <c r="N827" s="17">
        <f t="shared" si="498"/>
        <v>0</v>
      </c>
      <c r="O827" s="17">
        <f>O829+O828</f>
        <v>0</v>
      </c>
      <c r="P827" s="17">
        <f>P829+P828</f>
        <v>0</v>
      </c>
      <c r="Q827" s="17">
        <f>Q829+Q828</f>
        <v>0</v>
      </c>
      <c r="R827" s="26">
        <f t="shared" si="499"/>
        <v>0</v>
      </c>
      <c r="S827" s="17">
        <f t="shared" ref="S827:Y827" si="510">S829+S828</f>
        <v>0</v>
      </c>
      <c r="T827" s="17">
        <f t="shared" si="510"/>
        <v>0</v>
      </c>
      <c r="U827" s="17">
        <f t="shared" si="510"/>
        <v>0</v>
      </c>
      <c r="V827" s="26">
        <f t="shared" si="510"/>
        <v>0</v>
      </c>
      <c r="W827" s="17">
        <f t="shared" si="510"/>
        <v>0</v>
      </c>
      <c r="X827" s="17">
        <f t="shared" si="510"/>
        <v>0</v>
      </c>
      <c r="Y827" s="17">
        <f t="shared" si="510"/>
        <v>0</v>
      </c>
      <c r="Z827" s="162" t="b">
        <f t="shared" si="501"/>
        <v>1</v>
      </c>
      <c r="AA827" s="162" t="str">
        <f t="shared" si="502"/>
        <v>PRAZNO</v>
      </c>
      <c r="AC827" s="164"/>
    </row>
    <row r="828" spans="1:29" ht="15.75" hidden="1" x14ac:dyDescent="0.2">
      <c r="B828" s="177"/>
      <c r="C828" s="177"/>
      <c r="D828" s="177"/>
      <c r="E828" s="177">
        <v>4262</v>
      </c>
      <c r="F828" s="176" t="s">
        <v>527</v>
      </c>
      <c r="G828" s="176" t="s">
        <v>1040</v>
      </c>
      <c r="H828" s="16" t="s">
        <v>448</v>
      </c>
      <c r="I828" s="17">
        <v>4270</v>
      </c>
      <c r="J828" s="26">
        <v>0</v>
      </c>
      <c r="K828" s="17">
        <v>0</v>
      </c>
      <c r="L828" s="17"/>
      <c r="M828" s="17" t="e">
        <f t="shared" si="497"/>
        <v>#DIV/0!</v>
      </c>
      <c r="N828" s="17">
        <f t="shared" si="498"/>
        <v>0</v>
      </c>
      <c r="O828" s="17"/>
      <c r="P828" s="17"/>
      <c r="Q828" s="17"/>
      <c r="R828" s="26">
        <f t="shared" si="499"/>
        <v>0</v>
      </c>
      <c r="S828" s="17"/>
      <c r="T828" s="17"/>
      <c r="U828" s="17"/>
      <c r="V828" s="26"/>
      <c r="W828" s="17"/>
      <c r="X828" s="17"/>
      <c r="Y828" s="17"/>
      <c r="Z828" s="162" t="b">
        <f t="shared" si="501"/>
        <v>0</v>
      </c>
      <c r="AA828" s="162" t="str">
        <f t="shared" si="502"/>
        <v>PUNO</v>
      </c>
      <c r="AC828" s="164"/>
    </row>
    <row r="829" spans="1:29" ht="15.75" hidden="1" x14ac:dyDescent="0.2">
      <c r="B829" s="177"/>
      <c r="C829" s="177"/>
      <c r="D829" s="177"/>
      <c r="E829" s="177">
        <v>4262</v>
      </c>
      <c r="F829" s="176" t="s">
        <v>537</v>
      </c>
      <c r="G829" s="176" t="s">
        <v>1040</v>
      </c>
      <c r="H829" s="16" t="s">
        <v>448</v>
      </c>
      <c r="I829" s="17">
        <v>4270</v>
      </c>
      <c r="J829" s="26">
        <v>0</v>
      </c>
      <c r="K829" s="17">
        <v>0</v>
      </c>
      <c r="L829" s="17"/>
      <c r="M829" s="17" t="e">
        <f t="shared" si="497"/>
        <v>#DIV/0!</v>
      </c>
      <c r="N829" s="17">
        <f t="shared" si="498"/>
        <v>0</v>
      </c>
      <c r="O829" s="17"/>
      <c r="P829" s="17"/>
      <c r="Q829" s="17"/>
      <c r="R829" s="26">
        <f t="shared" si="499"/>
        <v>0</v>
      </c>
      <c r="S829" s="17"/>
      <c r="T829" s="17"/>
      <c r="U829" s="17"/>
      <c r="V829" s="26"/>
      <c r="W829" s="17"/>
      <c r="X829" s="17"/>
      <c r="Y829" s="17"/>
      <c r="Z829" s="162" t="b">
        <f t="shared" si="501"/>
        <v>0</v>
      </c>
      <c r="AA829" s="162" t="str">
        <f t="shared" si="502"/>
        <v>PUNO</v>
      </c>
      <c r="AC829" s="164"/>
    </row>
    <row r="830" spans="1:29" ht="34.5" hidden="1" customHeight="1" x14ac:dyDescent="0.2">
      <c r="B830" s="177"/>
      <c r="C830" s="177">
        <v>45</v>
      </c>
      <c r="D830" s="177"/>
      <c r="E830" s="177"/>
      <c r="F830" s="176"/>
      <c r="G830" s="176"/>
      <c r="H830" s="16" t="s">
        <v>808</v>
      </c>
      <c r="I830" s="17"/>
      <c r="J830" s="26"/>
      <c r="K830" s="17"/>
      <c r="L830" s="17"/>
      <c r="M830" s="17"/>
      <c r="N830" s="17"/>
      <c r="O830" s="17"/>
      <c r="P830" s="17"/>
      <c r="Q830" s="17"/>
      <c r="R830" s="26">
        <f t="shared" si="499"/>
        <v>0</v>
      </c>
      <c r="S830" s="17"/>
      <c r="T830" s="17"/>
      <c r="U830" s="17"/>
      <c r="V830" s="17">
        <f t="shared" ref="V830:Y831" si="511">V831</f>
        <v>0</v>
      </c>
      <c r="W830" s="17">
        <f t="shared" si="511"/>
        <v>0</v>
      </c>
      <c r="X830" s="17">
        <f t="shared" si="511"/>
        <v>0</v>
      </c>
      <c r="Y830" s="17">
        <f t="shared" si="511"/>
        <v>0</v>
      </c>
      <c r="Z830" s="162" t="b">
        <f t="shared" si="501"/>
        <v>1</v>
      </c>
      <c r="AA830" s="162" t="str">
        <f t="shared" si="502"/>
        <v>PRAZNO</v>
      </c>
      <c r="AC830" s="164"/>
    </row>
    <row r="831" spans="1:29" ht="15.75" hidden="1" x14ac:dyDescent="0.2">
      <c r="B831" s="177"/>
      <c r="C831" s="177"/>
      <c r="D831" s="177">
        <v>451</v>
      </c>
      <c r="E831" s="177"/>
      <c r="F831" s="176"/>
      <c r="G831" s="176"/>
      <c r="H831" s="16" t="s">
        <v>809</v>
      </c>
      <c r="I831" s="17"/>
      <c r="J831" s="26"/>
      <c r="K831" s="17"/>
      <c r="L831" s="17"/>
      <c r="M831" s="17"/>
      <c r="N831" s="17"/>
      <c r="O831" s="17"/>
      <c r="P831" s="17"/>
      <c r="Q831" s="17"/>
      <c r="R831" s="26">
        <f t="shared" si="499"/>
        <v>0</v>
      </c>
      <c r="S831" s="17"/>
      <c r="T831" s="17"/>
      <c r="U831" s="17"/>
      <c r="V831" s="17">
        <f t="shared" si="511"/>
        <v>0</v>
      </c>
      <c r="W831" s="17">
        <f t="shared" si="511"/>
        <v>0</v>
      </c>
      <c r="X831" s="17">
        <f t="shared" si="511"/>
        <v>0</v>
      </c>
      <c r="Y831" s="17">
        <f t="shared" si="511"/>
        <v>0</v>
      </c>
      <c r="Z831" s="162" t="b">
        <f t="shared" si="501"/>
        <v>1</v>
      </c>
      <c r="AA831" s="162" t="str">
        <f t="shared" si="502"/>
        <v>PRAZNO</v>
      </c>
      <c r="AC831" s="164"/>
    </row>
    <row r="832" spans="1:29" s="164" customFormat="1" ht="15.75" hidden="1" x14ac:dyDescent="0.2">
      <c r="A832" s="259"/>
      <c r="B832" s="324"/>
      <c r="C832" s="324"/>
      <c r="D832" s="324"/>
      <c r="E832" s="324">
        <v>4511</v>
      </c>
      <c r="F832" s="325">
        <v>52</v>
      </c>
      <c r="G832" s="325"/>
      <c r="H832" s="420" t="s">
        <v>809</v>
      </c>
      <c r="I832" s="196"/>
      <c r="J832" s="353"/>
      <c r="K832" s="196"/>
      <c r="L832" s="196"/>
      <c r="M832" s="196"/>
      <c r="N832" s="196"/>
      <c r="O832" s="196"/>
      <c r="P832" s="196"/>
      <c r="Q832" s="196"/>
      <c r="R832" s="353">
        <f t="shared" si="499"/>
        <v>0</v>
      </c>
      <c r="S832" s="196"/>
      <c r="T832" s="196"/>
      <c r="U832" s="196"/>
      <c r="V832" s="353">
        <v>0</v>
      </c>
      <c r="W832" s="196">
        <v>0</v>
      </c>
      <c r="X832" s="196">
        <v>0</v>
      </c>
      <c r="Y832" s="196">
        <v>0</v>
      </c>
      <c r="Z832" s="162" t="b">
        <f t="shared" si="501"/>
        <v>0</v>
      </c>
      <c r="AA832" s="162" t="str">
        <f t="shared" si="502"/>
        <v>PUNO</v>
      </c>
      <c r="AB832" s="165"/>
    </row>
    <row r="833" spans="1:29" ht="31.5" x14ac:dyDescent="0.2">
      <c r="B833" s="404"/>
      <c r="C833" s="404"/>
      <c r="D833" s="404"/>
      <c r="E833" s="404"/>
      <c r="F833" s="404"/>
      <c r="G833" s="404"/>
      <c r="H833" s="12" t="s">
        <v>404</v>
      </c>
      <c r="I833" s="242"/>
      <c r="J833" s="245">
        <f t="shared" ref="J833:Q833" si="512">J836</f>
        <v>0</v>
      </c>
      <c r="K833" s="245">
        <f t="shared" si="512"/>
        <v>0</v>
      </c>
      <c r="L833" s="245">
        <f t="shared" si="512"/>
        <v>0</v>
      </c>
      <c r="M833" s="245">
        <f t="shared" si="512"/>
        <v>0</v>
      </c>
      <c r="N833" s="245">
        <f t="shared" si="512"/>
        <v>0</v>
      </c>
      <c r="O833" s="245">
        <f t="shared" si="512"/>
        <v>0</v>
      </c>
      <c r="P833" s="301">
        <f t="shared" si="512"/>
        <v>0</v>
      </c>
      <c r="Q833" s="301">
        <f t="shared" si="512"/>
        <v>0</v>
      </c>
      <c r="R833" s="303">
        <f t="shared" si="499"/>
        <v>3000000</v>
      </c>
      <c r="S833" s="301"/>
      <c r="T833" s="301"/>
      <c r="U833" s="301"/>
      <c r="V833" s="305">
        <f>V836</f>
        <v>3000000</v>
      </c>
      <c r="W833" s="301">
        <f>W836</f>
        <v>2000000</v>
      </c>
      <c r="X833" s="301">
        <f>X836</f>
        <v>1000000</v>
      </c>
      <c r="Y833" s="301">
        <f>Y836</f>
        <v>0</v>
      </c>
      <c r="Z833" s="162" t="b">
        <f t="shared" si="501"/>
        <v>1</v>
      </c>
      <c r="AA833" s="162" t="str">
        <f t="shared" si="502"/>
        <v>PRAZNO</v>
      </c>
      <c r="AB833" s="165"/>
      <c r="AC833" s="164"/>
    </row>
    <row r="834" spans="1:29" s="264" customFormat="1" ht="15.75" x14ac:dyDescent="0.2">
      <c r="A834" s="259"/>
      <c r="B834" s="212"/>
      <c r="C834" s="212"/>
      <c r="D834" s="212"/>
      <c r="E834" s="212"/>
      <c r="F834" s="212"/>
      <c r="G834" s="212"/>
      <c r="H834" s="441" t="s">
        <v>824</v>
      </c>
      <c r="I834" s="178"/>
      <c r="J834" s="344"/>
      <c r="K834" s="344"/>
      <c r="L834" s="344"/>
      <c r="M834" s="344"/>
      <c r="N834" s="344"/>
      <c r="O834" s="344"/>
      <c r="P834" s="462"/>
      <c r="Q834" s="462"/>
      <c r="R834" s="445"/>
      <c r="S834" s="462"/>
      <c r="T834" s="462"/>
      <c r="U834" s="462"/>
      <c r="V834" s="430"/>
      <c r="W834" s="462">
        <f t="shared" ref="W834:Y836" si="513">W835</f>
        <v>2000000</v>
      </c>
      <c r="X834" s="462">
        <f t="shared" si="513"/>
        <v>1000000</v>
      </c>
      <c r="Y834" s="462">
        <f t="shared" si="513"/>
        <v>0</v>
      </c>
      <c r="Z834" s="162" t="b">
        <f t="shared" si="501"/>
        <v>1</v>
      </c>
      <c r="AA834" s="162" t="str">
        <f t="shared" si="502"/>
        <v>PRAZNO</v>
      </c>
      <c r="AB834" s="263"/>
    </row>
    <row r="835" spans="1:29" s="174" customFormat="1" x14ac:dyDescent="0.2">
      <c r="A835" s="259"/>
      <c r="B835" s="247">
        <v>4</v>
      </c>
      <c r="C835" s="247"/>
      <c r="D835" s="247"/>
      <c r="E835" s="247"/>
      <c r="F835" s="247"/>
      <c r="G835" s="247"/>
      <c r="H835" s="36" t="s">
        <v>552</v>
      </c>
      <c r="I835" s="184"/>
      <c r="J835" s="248"/>
      <c r="K835" s="248"/>
      <c r="L835" s="248"/>
      <c r="M835" s="248"/>
      <c r="N835" s="248"/>
      <c r="O835" s="248"/>
      <c r="P835" s="249"/>
      <c r="Q835" s="249"/>
      <c r="R835" s="54">
        <f t="shared" ref="R835:R840" si="514">V835-P835</f>
        <v>3000000</v>
      </c>
      <c r="S835" s="249"/>
      <c r="T835" s="249"/>
      <c r="U835" s="249"/>
      <c r="V835" s="248">
        <f>V836</f>
        <v>3000000</v>
      </c>
      <c r="W835" s="248">
        <f t="shared" si="513"/>
        <v>2000000</v>
      </c>
      <c r="X835" s="248">
        <f t="shared" si="513"/>
        <v>1000000</v>
      </c>
      <c r="Y835" s="248">
        <f t="shared" si="513"/>
        <v>0</v>
      </c>
      <c r="Z835" s="419" t="b">
        <f t="shared" si="501"/>
        <v>1</v>
      </c>
      <c r="AA835" s="419" t="str">
        <f t="shared" si="502"/>
        <v>PRAZNO</v>
      </c>
      <c r="AB835" s="165"/>
    </row>
    <row r="836" spans="1:29" s="264" customFormat="1" ht="34.5" customHeight="1" x14ac:dyDescent="0.2">
      <c r="A836" s="259"/>
      <c r="B836" s="212"/>
      <c r="C836" s="212">
        <v>45</v>
      </c>
      <c r="D836" s="212"/>
      <c r="E836" s="212"/>
      <c r="F836" s="212"/>
      <c r="G836" s="212"/>
      <c r="H836" s="23" t="s">
        <v>808</v>
      </c>
      <c r="I836" s="178"/>
      <c r="J836" s="344">
        <f t="shared" ref="J836:Q836" si="515">J837</f>
        <v>0</v>
      </c>
      <c r="K836" s="344">
        <f t="shared" si="515"/>
        <v>0</v>
      </c>
      <c r="L836" s="344">
        <f t="shared" si="515"/>
        <v>0</v>
      </c>
      <c r="M836" s="344">
        <f t="shared" si="515"/>
        <v>0</v>
      </c>
      <c r="N836" s="344">
        <f t="shared" si="515"/>
        <v>0</v>
      </c>
      <c r="O836" s="344">
        <f t="shared" si="515"/>
        <v>0</v>
      </c>
      <c r="P836" s="344">
        <f t="shared" si="515"/>
        <v>0</v>
      </c>
      <c r="Q836" s="344">
        <f t="shared" si="515"/>
        <v>0</v>
      </c>
      <c r="R836" s="307">
        <f t="shared" si="514"/>
        <v>3000000</v>
      </c>
      <c r="S836" s="216"/>
      <c r="T836" s="216"/>
      <c r="U836" s="216"/>
      <c r="V836" s="344">
        <f>V837</f>
        <v>3000000</v>
      </c>
      <c r="W836" s="216">
        <f t="shared" si="513"/>
        <v>2000000</v>
      </c>
      <c r="X836" s="216">
        <f t="shared" si="513"/>
        <v>1000000</v>
      </c>
      <c r="Y836" s="216">
        <f t="shared" si="513"/>
        <v>0</v>
      </c>
      <c r="Z836" s="162" t="b">
        <f t="shared" si="501"/>
        <v>1</v>
      </c>
      <c r="AA836" s="162" t="str">
        <f t="shared" si="502"/>
        <v>PRAZNO</v>
      </c>
      <c r="AB836" s="165"/>
    </row>
    <row r="837" spans="1:29" ht="15.75" x14ac:dyDescent="0.2">
      <c r="B837" s="200"/>
      <c r="C837" s="200"/>
      <c r="D837" s="212">
        <v>451</v>
      </c>
      <c r="E837" s="200"/>
      <c r="F837" s="200"/>
      <c r="G837" s="200"/>
      <c r="H837" s="30" t="s">
        <v>809</v>
      </c>
      <c r="I837" s="18"/>
      <c r="J837" s="214">
        <f t="shared" ref="J837:Q837" si="516">J838+J839</f>
        <v>0</v>
      </c>
      <c r="K837" s="214">
        <f t="shared" si="516"/>
        <v>0</v>
      </c>
      <c r="L837" s="214">
        <f t="shared" si="516"/>
        <v>0</v>
      </c>
      <c r="M837" s="214">
        <f t="shared" si="516"/>
        <v>0</v>
      </c>
      <c r="N837" s="214">
        <f t="shared" si="516"/>
        <v>0</v>
      </c>
      <c r="O837" s="214">
        <f t="shared" si="516"/>
        <v>0</v>
      </c>
      <c r="P837" s="214">
        <f t="shared" si="516"/>
        <v>0</v>
      </c>
      <c r="Q837" s="214">
        <f t="shared" si="516"/>
        <v>0</v>
      </c>
      <c r="R837" s="26">
        <f t="shared" si="514"/>
        <v>3000000</v>
      </c>
      <c r="S837" s="215"/>
      <c r="T837" s="215"/>
      <c r="U837" s="215"/>
      <c r="V837" s="214">
        <f>V838+V839</f>
        <v>3000000</v>
      </c>
      <c r="W837" s="215">
        <f>W838+W839</f>
        <v>2000000</v>
      </c>
      <c r="X837" s="215">
        <f>X838+X839</f>
        <v>1000000</v>
      </c>
      <c r="Y837" s="215">
        <f>Y838+Y839</f>
        <v>0</v>
      </c>
      <c r="Z837" s="162" t="b">
        <f t="shared" si="501"/>
        <v>1</v>
      </c>
      <c r="AA837" s="162" t="str">
        <f t="shared" si="502"/>
        <v>PRAZNO</v>
      </c>
      <c r="AB837" s="165"/>
      <c r="AC837" s="164"/>
    </row>
    <row r="838" spans="1:29" ht="15.75" x14ac:dyDescent="0.2">
      <c r="B838" s="200"/>
      <c r="C838" s="200"/>
      <c r="D838" s="200"/>
      <c r="E838" s="200">
        <v>4511</v>
      </c>
      <c r="F838" s="200">
        <v>14</v>
      </c>
      <c r="G838" s="200"/>
      <c r="H838" s="30" t="s">
        <v>809</v>
      </c>
      <c r="I838" s="18"/>
      <c r="J838" s="214">
        <v>0</v>
      </c>
      <c r="K838" s="214">
        <v>0</v>
      </c>
      <c r="L838" s="214">
        <v>0</v>
      </c>
      <c r="M838" s="214">
        <v>0</v>
      </c>
      <c r="N838" s="214">
        <v>0</v>
      </c>
      <c r="O838" s="214">
        <v>0</v>
      </c>
      <c r="P838" s="214">
        <v>0</v>
      </c>
      <c r="Q838" s="214">
        <v>0</v>
      </c>
      <c r="R838" s="26">
        <f t="shared" si="514"/>
        <v>3000000</v>
      </c>
      <c r="S838" s="215"/>
      <c r="T838" s="215"/>
      <c r="U838" s="215"/>
      <c r="V838" s="214">
        <v>3000000</v>
      </c>
      <c r="W838" s="216">
        <v>2000000</v>
      </c>
      <c r="X838" s="215">
        <v>1000000</v>
      </c>
      <c r="Y838" s="215"/>
      <c r="Z838" s="162" t="b">
        <f t="shared" si="501"/>
        <v>0</v>
      </c>
      <c r="AA838" s="162" t="str">
        <f t="shared" si="502"/>
        <v>PUNO</v>
      </c>
      <c r="AC838" s="164"/>
    </row>
    <row r="839" spans="1:29" ht="15.75" hidden="1" x14ac:dyDescent="0.2">
      <c r="B839" s="200"/>
      <c r="C839" s="200"/>
      <c r="D839" s="200"/>
      <c r="E839" s="200">
        <v>4511</v>
      </c>
      <c r="F839" s="200">
        <v>53</v>
      </c>
      <c r="G839" s="200"/>
      <c r="H839" s="30" t="s">
        <v>809</v>
      </c>
      <c r="I839" s="18"/>
      <c r="J839" s="214">
        <v>0</v>
      </c>
      <c r="K839" s="214">
        <v>0</v>
      </c>
      <c r="L839" s="214">
        <v>0</v>
      </c>
      <c r="M839" s="214">
        <v>0</v>
      </c>
      <c r="N839" s="214">
        <v>0</v>
      </c>
      <c r="O839" s="214">
        <v>0</v>
      </c>
      <c r="P839" s="214">
        <v>0</v>
      </c>
      <c r="Q839" s="214">
        <v>0</v>
      </c>
      <c r="R839" s="26">
        <f t="shared" si="514"/>
        <v>0</v>
      </c>
      <c r="S839" s="215"/>
      <c r="T839" s="215"/>
      <c r="U839" s="215"/>
      <c r="V839" s="214">
        <v>0</v>
      </c>
      <c r="W839" s="215"/>
      <c r="X839" s="215"/>
      <c r="Y839" s="215"/>
      <c r="Z839" s="162" t="b">
        <f t="shared" si="501"/>
        <v>0</v>
      </c>
      <c r="AA839" s="162" t="str">
        <f t="shared" si="502"/>
        <v>PUNO</v>
      </c>
      <c r="AC839" s="164"/>
    </row>
    <row r="840" spans="1:29" ht="35.25" customHeight="1" x14ac:dyDescent="0.2">
      <c r="B840" s="401"/>
      <c r="C840" s="401"/>
      <c r="D840" s="401"/>
      <c r="E840" s="401"/>
      <c r="F840" s="401"/>
      <c r="G840" s="401"/>
      <c r="H840" s="12" t="s">
        <v>405</v>
      </c>
      <c r="I840" s="301"/>
      <c r="J840" s="305">
        <f t="shared" ref="J840:Q840" si="517">J843</f>
        <v>0</v>
      </c>
      <c r="K840" s="305">
        <f t="shared" si="517"/>
        <v>0</v>
      </c>
      <c r="L840" s="305">
        <f t="shared" si="517"/>
        <v>0</v>
      </c>
      <c r="M840" s="305">
        <f t="shared" si="517"/>
        <v>0</v>
      </c>
      <c r="N840" s="305">
        <f t="shared" si="517"/>
        <v>0</v>
      </c>
      <c r="O840" s="305">
        <f t="shared" si="517"/>
        <v>0</v>
      </c>
      <c r="P840" s="305">
        <f t="shared" si="517"/>
        <v>0</v>
      </c>
      <c r="Q840" s="305">
        <f t="shared" si="517"/>
        <v>0</v>
      </c>
      <c r="R840" s="303">
        <f t="shared" si="514"/>
        <v>2000000</v>
      </c>
      <c r="S840" s="301"/>
      <c r="T840" s="301"/>
      <c r="U840" s="301"/>
      <c r="V840" s="305">
        <f>V843</f>
        <v>2000000</v>
      </c>
      <c r="W840" s="305">
        <f>W843</f>
        <v>1000000</v>
      </c>
      <c r="X840" s="305">
        <f>X843</f>
        <v>1000000</v>
      </c>
      <c r="Y840" s="305">
        <f>Y843</f>
        <v>0</v>
      </c>
      <c r="Z840" s="162" t="b">
        <f t="shared" si="501"/>
        <v>1</v>
      </c>
      <c r="AA840" s="162" t="str">
        <f t="shared" si="502"/>
        <v>PRAZNO</v>
      </c>
      <c r="AC840" s="164"/>
    </row>
    <row r="841" spans="1:29" s="264" customFormat="1" ht="23.25" customHeight="1" x14ac:dyDescent="0.2">
      <c r="A841" s="259"/>
      <c r="B841" s="469"/>
      <c r="C841" s="469"/>
      <c r="D841" s="469"/>
      <c r="E841" s="469"/>
      <c r="F841" s="469"/>
      <c r="G841" s="469"/>
      <c r="H841" s="441" t="s">
        <v>824</v>
      </c>
      <c r="I841" s="462"/>
      <c r="J841" s="430"/>
      <c r="K841" s="430"/>
      <c r="L841" s="430"/>
      <c r="M841" s="430"/>
      <c r="N841" s="430"/>
      <c r="O841" s="430"/>
      <c r="P841" s="430"/>
      <c r="Q841" s="430"/>
      <c r="R841" s="445"/>
      <c r="S841" s="462"/>
      <c r="T841" s="462"/>
      <c r="U841" s="462"/>
      <c r="V841" s="430"/>
      <c r="W841" s="430">
        <f t="shared" ref="W841:Y843" si="518">W842</f>
        <v>1000000</v>
      </c>
      <c r="X841" s="430">
        <f t="shared" si="518"/>
        <v>1000000</v>
      </c>
      <c r="Y841" s="430">
        <f t="shared" si="518"/>
        <v>0</v>
      </c>
      <c r="Z841" s="162" t="b">
        <f t="shared" si="501"/>
        <v>1</v>
      </c>
      <c r="AA841" s="162" t="str">
        <f t="shared" si="502"/>
        <v>PRAZNO</v>
      </c>
      <c r="AB841" s="263"/>
    </row>
    <row r="842" spans="1:29" s="174" customFormat="1" ht="18" customHeight="1" x14ac:dyDescent="0.2">
      <c r="A842" s="259"/>
      <c r="B842" s="247">
        <v>4</v>
      </c>
      <c r="C842" s="247"/>
      <c r="D842" s="247"/>
      <c r="E842" s="247"/>
      <c r="F842" s="247"/>
      <c r="G842" s="247"/>
      <c r="H842" s="36" t="s">
        <v>552</v>
      </c>
      <c r="I842" s="249"/>
      <c r="J842" s="248"/>
      <c r="K842" s="248"/>
      <c r="L842" s="248"/>
      <c r="M842" s="248"/>
      <c r="N842" s="248"/>
      <c r="O842" s="248"/>
      <c r="P842" s="248"/>
      <c r="Q842" s="248"/>
      <c r="R842" s="54">
        <f t="shared" ref="R842:R847" si="519">V842-P842</f>
        <v>2000000</v>
      </c>
      <c r="S842" s="249"/>
      <c r="T842" s="249"/>
      <c r="U842" s="249"/>
      <c r="V842" s="248">
        <f>V843</f>
        <v>2000000</v>
      </c>
      <c r="W842" s="248">
        <f t="shared" si="518"/>
        <v>1000000</v>
      </c>
      <c r="X842" s="248">
        <f t="shared" si="518"/>
        <v>1000000</v>
      </c>
      <c r="Y842" s="248">
        <f t="shared" si="518"/>
        <v>0</v>
      </c>
      <c r="Z842" s="162" t="b">
        <f t="shared" si="501"/>
        <v>1</v>
      </c>
      <c r="AA842" s="162" t="str">
        <f t="shared" si="502"/>
        <v>PRAZNO</v>
      </c>
      <c r="AB842" s="173"/>
    </row>
    <row r="843" spans="1:29" s="264" customFormat="1" ht="27.75" customHeight="1" x14ac:dyDescent="0.2">
      <c r="A843" s="259"/>
      <c r="B843" s="212"/>
      <c r="C843" s="212">
        <v>45</v>
      </c>
      <c r="D843" s="212"/>
      <c r="E843" s="212"/>
      <c r="F843" s="212"/>
      <c r="G843" s="212"/>
      <c r="H843" s="23" t="s">
        <v>808</v>
      </c>
      <c r="I843" s="178"/>
      <c r="J843" s="344">
        <f t="shared" ref="J843:Q843" si="520">J844</f>
        <v>0</v>
      </c>
      <c r="K843" s="344">
        <f t="shared" si="520"/>
        <v>0</v>
      </c>
      <c r="L843" s="344">
        <f t="shared" si="520"/>
        <v>0</v>
      </c>
      <c r="M843" s="344">
        <f t="shared" si="520"/>
        <v>0</v>
      </c>
      <c r="N843" s="344">
        <f t="shared" si="520"/>
        <v>0</v>
      </c>
      <c r="O843" s="344">
        <f t="shared" si="520"/>
        <v>0</v>
      </c>
      <c r="P843" s="344">
        <f t="shared" si="520"/>
        <v>0</v>
      </c>
      <c r="Q843" s="344">
        <f t="shared" si="520"/>
        <v>0</v>
      </c>
      <c r="R843" s="307">
        <f t="shared" si="519"/>
        <v>2000000</v>
      </c>
      <c r="S843" s="216"/>
      <c r="T843" s="216"/>
      <c r="U843" s="216"/>
      <c r="V843" s="344">
        <f>V844</f>
        <v>2000000</v>
      </c>
      <c r="W843" s="344">
        <f t="shared" si="518"/>
        <v>1000000</v>
      </c>
      <c r="X843" s="344">
        <f t="shared" si="518"/>
        <v>1000000</v>
      </c>
      <c r="Y843" s="344">
        <f t="shared" si="518"/>
        <v>0</v>
      </c>
      <c r="Z843" s="162" t="b">
        <f t="shared" si="501"/>
        <v>1</v>
      </c>
      <c r="AA843" s="162" t="str">
        <f t="shared" si="502"/>
        <v>PRAZNO</v>
      </c>
      <c r="AB843" s="263"/>
    </row>
    <row r="844" spans="1:29" ht="15.75" x14ac:dyDescent="0.2">
      <c r="B844" s="200"/>
      <c r="C844" s="200"/>
      <c r="D844" s="212">
        <v>451</v>
      </c>
      <c r="E844" s="200"/>
      <c r="F844" s="200"/>
      <c r="G844" s="200"/>
      <c r="H844" s="30" t="s">
        <v>809</v>
      </c>
      <c r="I844" s="18"/>
      <c r="J844" s="214">
        <f t="shared" ref="J844:Q844" si="521">J845+J846</f>
        <v>0</v>
      </c>
      <c r="K844" s="214">
        <f t="shared" si="521"/>
        <v>0</v>
      </c>
      <c r="L844" s="214">
        <f t="shared" si="521"/>
        <v>0</v>
      </c>
      <c r="M844" s="214">
        <f t="shared" si="521"/>
        <v>0</v>
      </c>
      <c r="N844" s="214">
        <f t="shared" si="521"/>
        <v>0</v>
      </c>
      <c r="O844" s="214">
        <f t="shared" si="521"/>
        <v>0</v>
      </c>
      <c r="P844" s="214">
        <f t="shared" si="521"/>
        <v>0</v>
      </c>
      <c r="Q844" s="214">
        <f t="shared" si="521"/>
        <v>0</v>
      </c>
      <c r="R844" s="26">
        <f t="shared" si="519"/>
        <v>2000000</v>
      </c>
      <c r="S844" s="215"/>
      <c r="T844" s="215"/>
      <c r="U844" s="215"/>
      <c r="V844" s="214">
        <f>V845+V846</f>
        <v>2000000</v>
      </c>
      <c r="W844" s="214">
        <f>W845+W846</f>
        <v>1000000</v>
      </c>
      <c r="X844" s="214">
        <f>X845+X846</f>
        <v>1000000</v>
      </c>
      <c r="Y844" s="214">
        <f>Y845+Y846</f>
        <v>0</v>
      </c>
      <c r="Z844" s="162" t="b">
        <f t="shared" si="501"/>
        <v>1</v>
      </c>
      <c r="AA844" s="162" t="str">
        <f t="shared" si="502"/>
        <v>PRAZNO</v>
      </c>
      <c r="AC844" s="164"/>
    </row>
    <row r="845" spans="1:29" ht="15.75" x14ac:dyDescent="0.2">
      <c r="B845" s="200"/>
      <c r="C845" s="200"/>
      <c r="D845" s="200"/>
      <c r="E845" s="200">
        <v>4511</v>
      </c>
      <c r="F845" s="200">
        <v>14</v>
      </c>
      <c r="G845" s="200"/>
      <c r="H845" s="30" t="s">
        <v>809</v>
      </c>
      <c r="I845" s="18"/>
      <c r="J845" s="214">
        <v>0</v>
      </c>
      <c r="K845" s="214">
        <v>0</v>
      </c>
      <c r="L845" s="214">
        <v>0</v>
      </c>
      <c r="M845" s="214">
        <v>0</v>
      </c>
      <c r="N845" s="214">
        <v>0</v>
      </c>
      <c r="O845" s="214">
        <v>0</v>
      </c>
      <c r="P845" s="214">
        <v>0</v>
      </c>
      <c r="Q845" s="214">
        <v>0</v>
      </c>
      <c r="R845" s="26">
        <f t="shared" si="519"/>
        <v>2000000</v>
      </c>
      <c r="S845" s="215"/>
      <c r="T845" s="215"/>
      <c r="U845" s="215"/>
      <c r="V845" s="214">
        <v>2000000</v>
      </c>
      <c r="W845" s="215">
        <v>200000</v>
      </c>
      <c r="X845" s="215">
        <v>200000</v>
      </c>
      <c r="Y845" s="215">
        <v>0</v>
      </c>
      <c r="Z845" s="162" t="b">
        <f t="shared" si="501"/>
        <v>0</v>
      </c>
      <c r="AA845" s="162" t="str">
        <f t="shared" si="502"/>
        <v>PUNO</v>
      </c>
      <c r="AC845" s="164"/>
    </row>
    <row r="846" spans="1:29" ht="15.75" x14ac:dyDescent="0.2">
      <c r="B846" s="200"/>
      <c r="C846" s="200"/>
      <c r="D846" s="200"/>
      <c r="E846" s="200">
        <v>4511</v>
      </c>
      <c r="F846" s="200">
        <v>14</v>
      </c>
      <c r="G846" s="200"/>
      <c r="H846" s="30" t="s">
        <v>809</v>
      </c>
      <c r="I846" s="18"/>
      <c r="J846" s="214">
        <v>0</v>
      </c>
      <c r="K846" s="214">
        <v>0</v>
      </c>
      <c r="L846" s="214">
        <v>0</v>
      </c>
      <c r="M846" s="214">
        <v>0</v>
      </c>
      <c r="N846" s="214">
        <v>0</v>
      </c>
      <c r="O846" s="214">
        <v>0</v>
      </c>
      <c r="P846" s="214">
        <v>0</v>
      </c>
      <c r="Q846" s="214">
        <v>0</v>
      </c>
      <c r="R846" s="26">
        <f t="shared" si="519"/>
        <v>0</v>
      </c>
      <c r="S846" s="215"/>
      <c r="T846" s="215"/>
      <c r="U846" s="215"/>
      <c r="V846" s="214">
        <v>0</v>
      </c>
      <c r="W846" s="215">
        <v>800000</v>
      </c>
      <c r="X846" s="215">
        <v>800000</v>
      </c>
      <c r="Y846" s="215">
        <v>0</v>
      </c>
      <c r="Z846" s="162" t="b">
        <f t="shared" si="501"/>
        <v>0</v>
      </c>
      <c r="AA846" s="162" t="str">
        <f t="shared" si="502"/>
        <v>PUNO</v>
      </c>
      <c r="AC846" s="164"/>
    </row>
    <row r="847" spans="1:29" s="207" customFormat="1" ht="39" hidden="1" customHeight="1" x14ac:dyDescent="0.25">
      <c r="A847" s="378"/>
      <c r="B847" s="168"/>
      <c r="C847" s="168"/>
      <c r="D847" s="168"/>
      <c r="E847" s="168"/>
      <c r="F847" s="322"/>
      <c r="G847" s="322"/>
      <c r="H847" s="13" t="s">
        <v>409</v>
      </c>
      <c r="I847" s="19"/>
      <c r="J847" s="53">
        <f t="shared" ref="J847:Q847" si="522">J849</f>
        <v>0</v>
      </c>
      <c r="K847" s="53">
        <f t="shared" si="522"/>
        <v>0</v>
      </c>
      <c r="L847" s="53">
        <f t="shared" si="522"/>
        <v>0</v>
      </c>
      <c r="M847" s="53">
        <f t="shared" si="522"/>
        <v>0</v>
      </c>
      <c r="N847" s="53">
        <f t="shared" si="522"/>
        <v>0</v>
      </c>
      <c r="O847" s="53">
        <f t="shared" si="522"/>
        <v>0</v>
      </c>
      <c r="P847" s="53">
        <f t="shared" si="522"/>
        <v>0</v>
      </c>
      <c r="Q847" s="53">
        <f t="shared" si="522"/>
        <v>0</v>
      </c>
      <c r="R847" s="303">
        <f t="shared" si="519"/>
        <v>150000</v>
      </c>
      <c r="S847" s="19"/>
      <c r="T847" s="19"/>
      <c r="U847" s="19"/>
      <c r="V847" s="53">
        <f>V849</f>
        <v>150000</v>
      </c>
      <c r="W847" s="53">
        <f>W849</f>
        <v>0</v>
      </c>
      <c r="X847" s="53">
        <f>X849</f>
        <v>0</v>
      </c>
      <c r="Y847" s="53">
        <f>Y849</f>
        <v>0</v>
      </c>
      <c r="Z847" s="162" t="b">
        <f t="shared" si="501"/>
        <v>1</v>
      </c>
      <c r="AA847" s="162" t="str">
        <f t="shared" si="502"/>
        <v>PRAZNO</v>
      </c>
      <c r="AB847" s="206"/>
    </row>
    <row r="848" spans="1:29" s="447" customFormat="1" ht="39" hidden="1" customHeight="1" x14ac:dyDescent="0.25">
      <c r="A848" s="378"/>
      <c r="B848" s="260"/>
      <c r="C848" s="260"/>
      <c r="D848" s="260"/>
      <c r="E848" s="260"/>
      <c r="F848" s="442"/>
      <c r="G848" s="442"/>
      <c r="H848" s="440"/>
      <c r="I848" s="262"/>
      <c r="J848" s="342"/>
      <c r="K848" s="342"/>
      <c r="L848" s="342"/>
      <c r="M848" s="342"/>
      <c r="N848" s="342"/>
      <c r="O848" s="342"/>
      <c r="P848" s="342"/>
      <c r="Q848" s="342"/>
      <c r="R848" s="445"/>
      <c r="S848" s="262"/>
      <c r="T848" s="262"/>
      <c r="U848" s="262"/>
      <c r="V848" s="342"/>
      <c r="W848" s="342"/>
      <c r="X848" s="342"/>
      <c r="Y848" s="342"/>
      <c r="Z848" s="417"/>
      <c r="AA848" s="417"/>
      <c r="AB848" s="446"/>
    </row>
    <row r="849" spans="1:38" s="174" customFormat="1" ht="20.25" hidden="1" customHeight="1" x14ac:dyDescent="0.2">
      <c r="A849" s="259"/>
      <c r="B849" s="172">
        <v>3</v>
      </c>
      <c r="C849" s="172"/>
      <c r="D849" s="172"/>
      <c r="E849" s="172"/>
      <c r="F849" s="220"/>
      <c r="G849" s="220"/>
      <c r="H849" s="14" t="s">
        <v>524</v>
      </c>
      <c r="I849" s="20"/>
      <c r="J849" s="55">
        <f t="shared" ref="J849:Q851" si="523">J850</f>
        <v>0</v>
      </c>
      <c r="K849" s="55">
        <f t="shared" si="523"/>
        <v>0</v>
      </c>
      <c r="L849" s="55">
        <f t="shared" si="523"/>
        <v>0</v>
      </c>
      <c r="M849" s="55">
        <f t="shared" si="523"/>
        <v>0</v>
      </c>
      <c r="N849" s="55">
        <f t="shared" si="523"/>
        <v>0</v>
      </c>
      <c r="O849" s="55">
        <f t="shared" si="523"/>
        <v>0</v>
      </c>
      <c r="P849" s="55">
        <f t="shared" si="523"/>
        <v>0</v>
      </c>
      <c r="Q849" s="55">
        <f t="shared" si="523"/>
        <v>0</v>
      </c>
      <c r="R849" s="54">
        <f t="shared" ref="R849:R858" si="524">V849-P849</f>
        <v>150000</v>
      </c>
      <c r="S849" s="20"/>
      <c r="T849" s="20"/>
      <c r="U849" s="20"/>
      <c r="V849" s="55">
        <f t="shared" ref="V849:Y851" si="525">V850</f>
        <v>150000</v>
      </c>
      <c r="W849" s="55">
        <f t="shared" si="525"/>
        <v>0</v>
      </c>
      <c r="X849" s="55">
        <f t="shared" si="525"/>
        <v>0</v>
      </c>
      <c r="Y849" s="55">
        <f t="shared" si="525"/>
        <v>0</v>
      </c>
      <c r="Z849" s="419" t="b">
        <f t="shared" ref="Z849:Z857" si="526">ISBLANK(E849)</f>
        <v>1</v>
      </c>
      <c r="AA849" s="419" t="str">
        <f t="shared" ref="AA849:AA857" si="527">IF(Z849,"PRAZNO","PUNO")</f>
        <v>PRAZNO</v>
      </c>
      <c r="AB849" s="173"/>
    </row>
    <row r="850" spans="1:38" s="264" customFormat="1" ht="28.5" hidden="1" customHeight="1" x14ac:dyDescent="0.2">
      <c r="A850" s="259"/>
      <c r="B850" s="177"/>
      <c r="C850" s="177">
        <v>36</v>
      </c>
      <c r="D850" s="177"/>
      <c r="E850" s="177"/>
      <c r="F850" s="265"/>
      <c r="G850" s="265"/>
      <c r="H850" s="16" t="s">
        <v>751</v>
      </c>
      <c r="I850" s="181"/>
      <c r="J850" s="307">
        <f t="shared" si="523"/>
        <v>0</v>
      </c>
      <c r="K850" s="307">
        <f t="shared" si="523"/>
        <v>0</v>
      </c>
      <c r="L850" s="307">
        <f t="shared" si="523"/>
        <v>0</v>
      </c>
      <c r="M850" s="307">
        <f t="shared" si="523"/>
        <v>0</v>
      </c>
      <c r="N850" s="307">
        <f t="shared" si="523"/>
        <v>0</v>
      </c>
      <c r="O850" s="307">
        <f t="shared" si="523"/>
        <v>0</v>
      </c>
      <c r="P850" s="307">
        <f t="shared" si="523"/>
        <v>0</v>
      </c>
      <c r="Q850" s="307">
        <f t="shared" si="523"/>
        <v>0</v>
      </c>
      <c r="R850" s="26">
        <f t="shared" si="524"/>
        <v>150000</v>
      </c>
      <c r="S850" s="181"/>
      <c r="T850" s="181"/>
      <c r="U850" s="181"/>
      <c r="V850" s="307">
        <f t="shared" si="525"/>
        <v>150000</v>
      </c>
      <c r="W850" s="307">
        <f t="shared" si="525"/>
        <v>0</v>
      </c>
      <c r="X850" s="307">
        <f t="shared" si="525"/>
        <v>0</v>
      </c>
      <c r="Y850" s="307">
        <f t="shared" si="525"/>
        <v>0</v>
      </c>
      <c r="Z850" s="162" t="b">
        <f t="shared" si="526"/>
        <v>1</v>
      </c>
      <c r="AA850" s="162" t="str">
        <f t="shared" si="527"/>
        <v>PRAZNO</v>
      </c>
      <c r="AB850" s="263"/>
    </row>
    <row r="851" spans="1:38" ht="15.75" hidden="1" x14ac:dyDescent="0.2">
      <c r="B851" s="177"/>
      <c r="C851" s="177"/>
      <c r="D851" s="177">
        <v>363</v>
      </c>
      <c r="E851" s="177"/>
      <c r="F851" s="176"/>
      <c r="G851" s="176"/>
      <c r="H851" s="16" t="s">
        <v>536</v>
      </c>
      <c r="I851" s="17"/>
      <c r="J851" s="26">
        <f t="shared" si="523"/>
        <v>0</v>
      </c>
      <c r="K851" s="26">
        <f t="shared" si="523"/>
        <v>0</v>
      </c>
      <c r="L851" s="26">
        <f t="shared" si="523"/>
        <v>0</v>
      </c>
      <c r="M851" s="26">
        <f t="shared" si="523"/>
        <v>0</v>
      </c>
      <c r="N851" s="26">
        <f t="shared" si="523"/>
        <v>0</v>
      </c>
      <c r="O851" s="26">
        <f t="shared" si="523"/>
        <v>0</v>
      </c>
      <c r="P851" s="26">
        <f t="shared" si="523"/>
        <v>0</v>
      </c>
      <c r="Q851" s="26">
        <f t="shared" si="523"/>
        <v>0</v>
      </c>
      <c r="R851" s="26">
        <f t="shared" si="524"/>
        <v>150000</v>
      </c>
      <c r="S851" s="17"/>
      <c r="T851" s="17"/>
      <c r="U851" s="17"/>
      <c r="V851" s="26">
        <f t="shared" si="525"/>
        <v>150000</v>
      </c>
      <c r="W851" s="26">
        <f t="shared" si="525"/>
        <v>0</v>
      </c>
      <c r="X851" s="26">
        <f t="shared" si="525"/>
        <v>0</v>
      </c>
      <c r="Y851" s="26">
        <f t="shared" si="525"/>
        <v>0</v>
      </c>
      <c r="Z851" s="162" t="b">
        <f t="shared" si="526"/>
        <v>1</v>
      </c>
      <c r="AA851" s="162" t="str">
        <f t="shared" si="527"/>
        <v>PRAZNO</v>
      </c>
      <c r="AC851" s="164"/>
    </row>
    <row r="852" spans="1:38" ht="15.75" hidden="1" x14ac:dyDescent="0.2">
      <c r="B852" s="177"/>
      <c r="C852" s="177"/>
      <c r="D852" s="177"/>
      <c r="E852" s="177">
        <v>3632</v>
      </c>
      <c r="F852" s="176">
        <v>14</v>
      </c>
      <c r="G852" s="176"/>
      <c r="H852" s="16" t="s">
        <v>227</v>
      </c>
      <c r="I852" s="17"/>
      <c r="J852" s="26">
        <v>0</v>
      </c>
      <c r="K852" s="17"/>
      <c r="L852" s="17"/>
      <c r="M852" s="17"/>
      <c r="N852" s="17"/>
      <c r="O852" s="17">
        <v>0</v>
      </c>
      <c r="P852" s="17">
        <v>0</v>
      </c>
      <c r="Q852" s="17">
        <v>0</v>
      </c>
      <c r="R852" s="26">
        <f t="shared" si="524"/>
        <v>150000</v>
      </c>
      <c r="S852" s="17"/>
      <c r="T852" s="17"/>
      <c r="U852" s="17"/>
      <c r="V852" s="26">
        <v>150000</v>
      </c>
      <c r="W852" s="17">
        <v>0</v>
      </c>
      <c r="X852" s="17">
        <v>0</v>
      </c>
      <c r="Y852" s="17">
        <v>0</v>
      </c>
      <c r="Z852" s="162" t="b">
        <f t="shared" si="526"/>
        <v>0</v>
      </c>
      <c r="AA852" s="162" t="str">
        <f t="shared" si="527"/>
        <v>PUNO</v>
      </c>
      <c r="AC852" s="164"/>
    </row>
    <row r="853" spans="1:38" s="174" customFormat="1" ht="15.75" hidden="1" x14ac:dyDescent="0.2">
      <c r="A853" s="259"/>
      <c r="B853" s="172">
        <v>5</v>
      </c>
      <c r="C853" s="172"/>
      <c r="D853" s="172"/>
      <c r="E853" s="172"/>
      <c r="F853" s="172"/>
      <c r="G853" s="172"/>
      <c r="H853" s="14" t="s">
        <v>415</v>
      </c>
      <c r="I853" s="20">
        <f t="shared" ref="I853:L855" si="528">I854</f>
        <v>464500</v>
      </c>
      <c r="J853" s="55">
        <f t="shared" si="528"/>
        <v>213000</v>
      </c>
      <c r="K853" s="20">
        <f t="shared" si="528"/>
        <v>85000</v>
      </c>
      <c r="L853" s="20">
        <f t="shared" si="528"/>
        <v>18000</v>
      </c>
      <c r="M853" s="20">
        <f>ROUND(L853/K853*100,2)</f>
        <v>21.18</v>
      </c>
      <c r="N853" s="20">
        <f>O853-K853</f>
        <v>-67000</v>
      </c>
      <c r="O853" s="20">
        <f t="shared" ref="O853:Q855" si="529">O854</f>
        <v>18000</v>
      </c>
      <c r="P853" s="20">
        <f t="shared" si="529"/>
        <v>0</v>
      </c>
      <c r="Q853" s="20">
        <f t="shared" si="529"/>
        <v>0</v>
      </c>
      <c r="R853" s="26">
        <f t="shared" si="524"/>
        <v>0</v>
      </c>
      <c r="S853" s="20">
        <f t="shared" ref="S853:Y855" si="530">S854</f>
        <v>0</v>
      </c>
      <c r="T853" s="20">
        <f t="shared" si="530"/>
        <v>0</v>
      </c>
      <c r="U853" s="20">
        <f t="shared" si="530"/>
        <v>0</v>
      </c>
      <c r="V853" s="55">
        <f t="shared" si="530"/>
        <v>0</v>
      </c>
      <c r="W853" s="20">
        <f t="shared" si="530"/>
        <v>0</v>
      </c>
      <c r="X853" s="20">
        <f t="shared" si="530"/>
        <v>0</v>
      </c>
      <c r="Y853" s="20">
        <f t="shared" si="530"/>
        <v>0</v>
      </c>
      <c r="Z853" s="162" t="b">
        <f t="shared" si="526"/>
        <v>1</v>
      </c>
      <c r="AA853" s="162" t="str">
        <f t="shared" si="527"/>
        <v>PRAZNO</v>
      </c>
      <c r="AB853" s="173"/>
      <c r="AC853" s="164"/>
    </row>
    <row r="854" spans="1:38" ht="15.75" hidden="1" x14ac:dyDescent="0.2">
      <c r="B854" s="175"/>
      <c r="C854" s="175">
        <v>51</v>
      </c>
      <c r="D854" s="175"/>
      <c r="E854" s="175"/>
      <c r="F854" s="175"/>
      <c r="G854" s="175"/>
      <c r="H854" s="15" t="s">
        <v>750</v>
      </c>
      <c r="I854" s="22">
        <f t="shared" si="528"/>
        <v>464500</v>
      </c>
      <c r="J854" s="38">
        <f t="shared" si="528"/>
        <v>213000</v>
      </c>
      <c r="K854" s="22">
        <f t="shared" si="528"/>
        <v>85000</v>
      </c>
      <c r="L854" s="22">
        <f t="shared" si="528"/>
        <v>18000</v>
      </c>
      <c r="M854" s="22">
        <f>ROUND(L854/K854*100,2)</f>
        <v>21.18</v>
      </c>
      <c r="N854" s="22">
        <f>O854-K854</f>
        <v>-67000</v>
      </c>
      <c r="O854" s="22">
        <f t="shared" si="529"/>
        <v>18000</v>
      </c>
      <c r="P854" s="22">
        <f t="shared" si="529"/>
        <v>0</v>
      </c>
      <c r="Q854" s="22">
        <f t="shared" si="529"/>
        <v>0</v>
      </c>
      <c r="R854" s="26">
        <f t="shared" si="524"/>
        <v>0</v>
      </c>
      <c r="S854" s="22">
        <f t="shared" si="530"/>
        <v>0</v>
      </c>
      <c r="T854" s="22">
        <f t="shared" si="530"/>
        <v>0</v>
      </c>
      <c r="U854" s="22">
        <f t="shared" si="530"/>
        <v>0</v>
      </c>
      <c r="V854" s="38">
        <f t="shared" si="530"/>
        <v>0</v>
      </c>
      <c r="W854" s="22">
        <f t="shared" si="530"/>
        <v>0</v>
      </c>
      <c r="X854" s="22">
        <f t="shared" si="530"/>
        <v>0</v>
      </c>
      <c r="Y854" s="22">
        <f t="shared" si="530"/>
        <v>0</v>
      </c>
      <c r="Z854" s="162" t="b">
        <f t="shared" si="526"/>
        <v>1</v>
      </c>
      <c r="AA854" s="162" t="str">
        <f t="shared" si="527"/>
        <v>PRAZNO</v>
      </c>
      <c r="AC854" s="164"/>
    </row>
    <row r="855" spans="1:38" ht="30" hidden="1" x14ac:dyDescent="0.2">
      <c r="B855" s="177"/>
      <c r="C855" s="177"/>
      <c r="D855" s="177">
        <v>512</v>
      </c>
      <c r="E855" s="177"/>
      <c r="F855" s="177"/>
      <c r="G855" s="177"/>
      <c r="H855" s="16" t="s">
        <v>485</v>
      </c>
      <c r="I855" s="17">
        <f t="shared" si="528"/>
        <v>464500</v>
      </c>
      <c r="J855" s="26">
        <f t="shared" si="528"/>
        <v>213000</v>
      </c>
      <c r="K855" s="17">
        <f t="shared" si="528"/>
        <v>85000</v>
      </c>
      <c r="L855" s="17">
        <f t="shared" si="528"/>
        <v>18000</v>
      </c>
      <c r="M855" s="17">
        <f>ROUND(L855/K855*100,2)</f>
        <v>21.18</v>
      </c>
      <c r="N855" s="17">
        <f>O855-K855</f>
        <v>-67000</v>
      </c>
      <c r="O855" s="17">
        <f t="shared" si="529"/>
        <v>18000</v>
      </c>
      <c r="P855" s="17">
        <f t="shared" si="529"/>
        <v>0</v>
      </c>
      <c r="Q855" s="17">
        <f t="shared" si="529"/>
        <v>0</v>
      </c>
      <c r="R855" s="26">
        <f t="shared" si="524"/>
        <v>0</v>
      </c>
      <c r="S855" s="17">
        <f t="shared" si="530"/>
        <v>0</v>
      </c>
      <c r="T855" s="17">
        <f t="shared" si="530"/>
        <v>0</v>
      </c>
      <c r="U855" s="17">
        <f t="shared" si="530"/>
        <v>0</v>
      </c>
      <c r="V855" s="26">
        <f t="shared" si="530"/>
        <v>0</v>
      </c>
      <c r="W855" s="17">
        <f t="shared" si="530"/>
        <v>0</v>
      </c>
      <c r="X855" s="17">
        <f t="shared" si="530"/>
        <v>0</v>
      </c>
      <c r="Y855" s="17">
        <f t="shared" si="530"/>
        <v>0</v>
      </c>
      <c r="Z855" s="162" t="b">
        <f t="shared" si="526"/>
        <v>1</v>
      </c>
      <c r="AA855" s="162" t="str">
        <f t="shared" si="527"/>
        <v>PRAZNO</v>
      </c>
      <c r="AC855" s="164"/>
    </row>
    <row r="856" spans="1:38" ht="42.75" hidden="1" customHeight="1" x14ac:dyDescent="0.2">
      <c r="B856" s="177"/>
      <c r="C856" s="177"/>
      <c r="D856" s="177"/>
      <c r="E856" s="177">
        <v>5121</v>
      </c>
      <c r="F856" s="176">
        <v>18</v>
      </c>
      <c r="G856" s="176"/>
      <c r="H856" s="16" t="s">
        <v>952</v>
      </c>
      <c r="I856" s="18">
        <v>464500</v>
      </c>
      <c r="J856" s="27">
        <v>213000</v>
      </c>
      <c r="K856" s="18">
        <v>85000</v>
      </c>
      <c r="L856" s="18">
        <v>18000</v>
      </c>
      <c r="M856" s="18">
        <f>ROUND(L856/K856*100,2)</f>
        <v>21.18</v>
      </c>
      <c r="N856" s="18">
        <f>O856-K856</f>
        <v>-67000</v>
      </c>
      <c r="O856" s="18">
        <v>18000</v>
      </c>
      <c r="P856" s="18">
        <v>0</v>
      </c>
      <c r="Q856" s="18">
        <v>0</v>
      </c>
      <c r="R856" s="26">
        <f t="shared" si="524"/>
        <v>0</v>
      </c>
      <c r="S856" s="18">
        <v>0</v>
      </c>
      <c r="T856" s="18">
        <v>0</v>
      </c>
      <c r="U856" s="18">
        <v>0</v>
      </c>
      <c r="V856" s="27"/>
      <c r="W856" s="18"/>
      <c r="X856" s="18"/>
      <c r="Y856" s="18"/>
      <c r="Z856" s="162" t="b">
        <f t="shared" si="526"/>
        <v>0</v>
      </c>
      <c r="AA856" s="162" t="str">
        <f t="shared" si="527"/>
        <v>PUNO</v>
      </c>
      <c r="AC856" s="164"/>
    </row>
    <row r="857" spans="1:38" ht="45.75" hidden="1" customHeight="1" x14ac:dyDescent="0.2">
      <c r="B857" s="177"/>
      <c r="C857" s="177"/>
      <c r="D857" s="177"/>
      <c r="E857" s="177">
        <v>3511</v>
      </c>
      <c r="F857" s="176">
        <v>18</v>
      </c>
      <c r="G857" s="176"/>
      <c r="H857" s="16" t="s">
        <v>323</v>
      </c>
      <c r="I857" s="18"/>
      <c r="J857" s="27"/>
      <c r="K857" s="18"/>
      <c r="L857" s="18"/>
      <c r="M857" s="18"/>
      <c r="N857" s="18"/>
      <c r="O857" s="18">
        <v>631515.77</v>
      </c>
      <c r="P857" s="18"/>
      <c r="Q857" s="18"/>
      <c r="R857" s="26">
        <f t="shared" si="524"/>
        <v>0</v>
      </c>
      <c r="S857" s="18"/>
      <c r="T857" s="18"/>
      <c r="U857" s="18"/>
      <c r="V857" s="27"/>
      <c r="W857" s="18"/>
      <c r="X857" s="18"/>
      <c r="Y857" s="18"/>
      <c r="Z857" s="162" t="b">
        <f t="shared" si="526"/>
        <v>0</v>
      </c>
      <c r="AA857" s="162" t="str">
        <f t="shared" si="527"/>
        <v>PUNO</v>
      </c>
      <c r="AC857" s="164"/>
    </row>
    <row r="858" spans="1:38" s="164" customFormat="1" ht="15.75" x14ac:dyDescent="0.2">
      <c r="A858" s="259"/>
      <c r="B858" s="159"/>
      <c r="C858" s="159"/>
      <c r="D858" s="159"/>
      <c r="E858" s="159"/>
      <c r="F858" s="159"/>
      <c r="G858" s="159"/>
      <c r="H858" s="11" t="s">
        <v>486</v>
      </c>
      <c r="I858" s="160" t="e">
        <f>I860</f>
        <v>#REF!</v>
      </c>
      <c r="J858" s="191" t="e">
        <f>J860</f>
        <v>#REF!</v>
      </c>
      <c r="K858" s="161" t="e">
        <f>K860</f>
        <v>#REF!</v>
      </c>
      <c r="L858" s="161" t="e">
        <f>L860</f>
        <v>#REF!</v>
      </c>
      <c r="M858" s="161" t="e">
        <f>ROUND(L858/K858*100,2)</f>
        <v>#REF!</v>
      </c>
      <c r="N858" s="161" t="e">
        <f>O858-K858</f>
        <v>#REF!</v>
      </c>
      <c r="O858" s="160" t="e">
        <f>O860</f>
        <v>#REF!</v>
      </c>
      <c r="P858" s="160" t="e">
        <f>P860</f>
        <v>#REF!</v>
      </c>
      <c r="Q858" s="160" t="e">
        <f>Q860</f>
        <v>#REF!</v>
      </c>
      <c r="R858" s="351" t="e">
        <f t="shared" si="524"/>
        <v>#REF!</v>
      </c>
      <c r="S858" s="160" t="e">
        <f t="shared" ref="S858:Y858" si="531">S860</f>
        <v>#REF!</v>
      </c>
      <c r="T858" s="160" t="e">
        <f t="shared" si="531"/>
        <v>#REF!</v>
      </c>
      <c r="U858" s="160" t="e">
        <f t="shared" si="531"/>
        <v>#REF!</v>
      </c>
      <c r="V858" s="191" t="e">
        <f t="shared" si="531"/>
        <v>#REF!</v>
      </c>
      <c r="W858" s="160">
        <f t="shared" si="531"/>
        <v>640000</v>
      </c>
      <c r="X858" s="160">
        <f t="shared" si="531"/>
        <v>640000</v>
      </c>
      <c r="Y858" s="160">
        <f t="shared" si="531"/>
        <v>650000</v>
      </c>
      <c r="Z858" s="162" t="b">
        <f>ISBLANK(E858)</f>
        <v>1</v>
      </c>
      <c r="AA858" s="162" t="str">
        <f>IF(Z858,"PRAZNO","PUNO")</f>
        <v>PRAZNO</v>
      </c>
      <c r="AB858" s="165"/>
      <c r="AF858" s="166"/>
    </row>
    <row r="859" spans="1:38" s="164" customFormat="1" ht="15.75" x14ac:dyDescent="0.2">
      <c r="A859" s="259"/>
      <c r="B859" s="194"/>
      <c r="C859" s="194"/>
      <c r="D859" s="194"/>
      <c r="E859" s="194"/>
      <c r="F859" s="159"/>
      <c r="G859" s="159"/>
      <c r="H859" s="11" t="s">
        <v>487</v>
      </c>
      <c r="I859" s="195"/>
      <c r="J859" s="197"/>
      <c r="K859" s="196"/>
      <c r="L859" s="196"/>
      <c r="M859" s="196"/>
      <c r="N859" s="196"/>
      <c r="O859" s="195"/>
      <c r="P859" s="195"/>
      <c r="Q859" s="195"/>
      <c r="R859" s="353"/>
      <c r="S859" s="195"/>
      <c r="T859" s="195"/>
      <c r="U859" s="195"/>
      <c r="V859" s="197"/>
      <c r="W859" s="195"/>
      <c r="X859" s="195"/>
      <c r="Y859" s="195"/>
      <c r="Z859" s="162" t="b">
        <f>ISBLANK(E859)</f>
        <v>1</v>
      </c>
      <c r="AA859" s="162" t="str">
        <f>IF(Z859,"PRAZNO","PUNO")</f>
        <v>PRAZNO</v>
      </c>
      <c r="AB859" s="222"/>
      <c r="AD859" s="222"/>
      <c r="AE859" s="222"/>
      <c r="AF859" s="222"/>
      <c r="AG859" s="222"/>
      <c r="AH859" s="222"/>
      <c r="AI859" s="222"/>
      <c r="AJ859" s="222"/>
      <c r="AK859" s="222"/>
      <c r="AL859" s="222"/>
    </row>
    <row r="860" spans="1:38" s="164" customFormat="1" ht="15.75" x14ac:dyDescent="0.2">
      <c r="A860" s="259"/>
      <c r="B860" s="278"/>
      <c r="C860" s="278"/>
      <c r="D860" s="278"/>
      <c r="E860" s="278"/>
      <c r="F860" s="278"/>
      <c r="G860" s="278"/>
      <c r="H860" s="279" t="s">
        <v>744</v>
      </c>
      <c r="I860" s="283" t="e">
        <f>#REF!+#REF!+I863</f>
        <v>#REF!</v>
      </c>
      <c r="J860" s="284" t="e">
        <f>#REF!+#REF!+J863</f>
        <v>#REF!</v>
      </c>
      <c r="K860" s="285" t="e">
        <f>#REF!+#REF!+K863</f>
        <v>#REF!</v>
      </c>
      <c r="L860" s="285" t="e">
        <f>#REF!+#REF!+L863</f>
        <v>#REF!</v>
      </c>
      <c r="M860" s="285" t="e">
        <f>ROUND(L860/K860*100,2)</f>
        <v>#REF!</v>
      </c>
      <c r="N860" s="285" t="e">
        <f>O860-K860</f>
        <v>#REF!</v>
      </c>
      <c r="O860" s="283" t="e">
        <f>#REF!+#REF!+O863</f>
        <v>#REF!</v>
      </c>
      <c r="P860" s="283" t="e">
        <f>#REF!+#REF!+P863</f>
        <v>#REF!</v>
      </c>
      <c r="Q860" s="283" t="e">
        <f>#REF!+#REF!+Q863</f>
        <v>#REF!</v>
      </c>
      <c r="R860" s="336" t="e">
        <f>V860-P860</f>
        <v>#REF!</v>
      </c>
      <c r="S860" s="283" t="e">
        <f>#REF!+#REF!+S863</f>
        <v>#REF!</v>
      </c>
      <c r="T860" s="283" t="e">
        <f>#REF!+#REF!+T863</f>
        <v>#REF!</v>
      </c>
      <c r="U860" s="283" t="e">
        <f>#REF!+#REF!+U863</f>
        <v>#REF!</v>
      </c>
      <c r="V860" s="284" t="e">
        <f>#REF!+#REF!+V863</f>
        <v>#REF!</v>
      </c>
      <c r="W860" s="283">
        <f>W863</f>
        <v>640000</v>
      </c>
      <c r="X860" s="283">
        <f>X863</f>
        <v>640000</v>
      </c>
      <c r="Y860" s="283">
        <f>Y863</f>
        <v>650000</v>
      </c>
      <c r="Z860" s="162" t="b">
        <f>ISBLANK(E860)</f>
        <v>1</v>
      </c>
      <c r="AA860" s="162" t="str">
        <f>IF(Z860,"PRAZNO","PUNO")</f>
        <v>PRAZNO</v>
      </c>
      <c r="AB860" s="165"/>
      <c r="AF860" s="166"/>
    </row>
    <row r="861" spans="1:38" s="164" customFormat="1" ht="31.5" x14ac:dyDescent="0.2">
      <c r="A861" s="259"/>
      <c r="B861" s="159"/>
      <c r="C861" s="159"/>
      <c r="D861" s="159"/>
      <c r="E861" s="159"/>
      <c r="F861" s="159"/>
      <c r="G861" s="159"/>
      <c r="H861" s="11" t="s">
        <v>764</v>
      </c>
      <c r="I861" s="160"/>
      <c r="J861" s="191"/>
      <c r="K861" s="161"/>
      <c r="L861" s="161"/>
      <c r="M861" s="161"/>
      <c r="N861" s="161"/>
      <c r="O861" s="160"/>
      <c r="P861" s="160"/>
      <c r="Q861" s="160"/>
      <c r="R861" s="353"/>
      <c r="S861" s="160"/>
      <c r="T861" s="160"/>
      <c r="U861" s="160"/>
      <c r="V861" s="191"/>
      <c r="W861" s="160"/>
      <c r="X861" s="160"/>
      <c r="Y861" s="160"/>
      <c r="Z861" s="162" t="b">
        <f>ISBLANK(E861)</f>
        <v>1</v>
      </c>
      <c r="AA861" s="162" t="str">
        <f>IF(Z861,"PRAZNO","PUNO")</f>
        <v>PRAZNO</v>
      </c>
      <c r="AB861" s="165"/>
      <c r="AF861" s="166"/>
    </row>
    <row r="862" spans="1:38" ht="33" hidden="1" customHeight="1" x14ac:dyDescent="0.2">
      <c r="B862" s="177"/>
      <c r="C862" s="177"/>
      <c r="D862" s="177"/>
      <c r="E862" s="177">
        <v>3811</v>
      </c>
      <c r="F862" s="176" t="s">
        <v>537</v>
      </c>
      <c r="G862" s="176" t="s">
        <v>1040</v>
      </c>
      <c r="H862" s="16" t="s">
        <v>285</v>
      </c>
      <c r="I862" s="18">
        <v>85000</v>
      </c>
      <c r="J862" s="27">
        <v>0</v>
      </c>
      <c r="K862" s="18">
        <v>0</v>
      </c>
      <c r="L862" s="18"/>
      <c r="M862" s="18" t="e">
        <f>ROUND(L862/K862*100,2)</f>
        <v>#DIV/0!</v>
      </c>
      <c r="N862" s="18">
        <f>O862-K862</f>
        <v>0</v>
      </c>
      <c r="O862" s="18"/>
      <c r="P862" s="18"/>
      <c r="Q862" s="18"/>
      <c r="R862" s="26">
        <f>V862-P862</f>
        <v>0</v>
      </c>
      <c r="S862" s="18"/>
      <c r="T862" s="18"/>
      <c r="U862" s="18"/>
      <c r="V862" s="27"/>
      <c r="W862" s="18"/>
      <c r="X862" s="18"/>
      <c r="Y862" s="18"/>
      <c r="Z862" s="162" t="b">
        <f>ISBLANK(E862)</f>
        <v>0</v>
      </c>
      <c r="AA862" s="162" t="str">
        <f>IF(Z862,"PRAZNO","PUNO")</f>
        <v>PUNO</v>
      </c>
      <c r="AB862" s="179"/>
      <c r="AC862" s="164"/>
      <c r="AD862" s="179"/>
      <c r="AE862" s="179"/>
      <c r="AF862" s="179"/>
      <c r="AG862" s="179"/>
      <c r="AH862" s="179"/>
      <c r="AI862" s="179"/>
      <c r="AJ862" s="179"/>
    </row>
    <row r="863" spans="1:38" s="171" customFormat="1" ht="31.5" x14ac:dyDescent="0.2">
      <c r="A863" s="259"/>
      <c r="B863" s="168"/>
      <c r="C863" s="168"/>
      <c r="D863" s="168"/>
      <c r="E863" s="168"/>
      <c r="F863" s="168"/>
      <c r="G863" s="168"/>
      <c r="H863" s="13" t="s">
        <v>622</v>
      </c>
      <c r="I863" s="19">
        <f>I865</f>
        <v>435853.98</v>
      </c>
      <c r="J863" s="53">
        <f>J865</f>
        <v>384932</v>
      </c>
      <c r="K863" s="169">
        <f>K865</f>
        <v>350000</v>
      </c>
      <c r="L863" s="169">
        <f>L865</f>
        <v>193160.55</v>
      </c>
      <c r="M863" s="169">
        <f>ROUND(L863/K863*100,2)</f>
        <v>55.19</v>
      </c>
      <c r="N863" s="169">
        <f>O863-K863</f>
        <v>56996.880000000005</v>
      </c>
      <c r="O863" s="19">
        <f>O865</f>
        <v>406996.88</v>
      </c>
      <c r="P863" s="19">
        <f>P865</f>
        <v>440000</v>
      </c>
      <c r="Q863" s="19">
        <f>Q865</f>
        <v>137648.06</v>
      </c>
      <c r="R863" s="303">
        <f>V863-P863</f>
        <v>300000</v>
      </c>
      <c r="S863" s="19">
        <f t="shared" ref="S863:Y863" si="532">S865</f>
        <v>440000</v>
      </c>
      <c r="T863" s="19">
        <f t="shared" si="532"/>
        <v>450000</v>
      </c>
      <c r="U863" s="19">
        <f t="shared" si="532"/>
        <v>470000</v>
      </c>
      <c r="V863" s="53">
        <f t="shared" si="532"/>
        <v>740000</v>
      </c>
      <c r="W863" s="19">
        <f t="shared" si="532"/>
        <v>640000</v>
      </c>
      <c r="X863" s="19">
        <f t="shared" si="532"/>
        <v>640000</v>
      </c>
      <c r="Y863" s="19">
        <f t="shared" si="532"/>
        <v>650000</v>
      </c>
      <c r="Z863" s="162" t="b">
        <f t="shared" ref="Z863:Z873" si="533">ISBLANK(E863)</f>
        <v>1</v>
      </c>
      <c r="AA863" s="162" t="str">
        <f t="shared" ref="AA863:AA873" si="534">IF(Z863,"PRAZNO","PUNO")</f>
        <v>PRAZNO</v>
      </c>
      <c r="AB863" s="170"/>
      <c r="AC863" s="164"/>
    </row>
    <row r="864" spans="1:38" s="264" customFormat="1" ht="15.75" x14ac:dyDescent="0.2">
      <c r="A864" s="259"/>
      <c r="B864" s="260"/>
      <c r="C864" s="260"/>
      <c r="D864" s="260"/>
      <c r="E864" s="260"/>
      <c r="F864" s="260"/>
      <c r="G864" s="260"/>
      <c r="H864" s="440" t="s">
        <v>824</v>
      </c>
      <c r="I864" s="262"/>
      <c r="J864" s="342"/>
      <c r="K864" s="181"/>
      <c r="L864" s="181"/>
      <c r="M864" s="181"/>
      <c r="N864" s="181"/>
      <c r="O864" s="262"/>
      <c r="P864" s="262"/>
      <c r="Q864" s="262"/>
      <c r="R864" s="445"/>
      <c r="S864" s="262"/>
      <c r="T864" s="262"/>
      <c r="U864" s="262"/>
      <c r="V864" s="342"/>
      <c r="W864" s="262">
        <f t="shared" ref="W864:Y866" si="535">W865</f>
        <v>640000</v>
      </c>
      <c r="X864" s="262">
        <f t="shared" si="535"/>
        <v>640000</v>
      </c>
      <c r="Y864" s="262">
        <f t="shared" si="535"/>
        <v>650000</v>
      </c>
      <c r="Z864" s="162" t="b">
        <f t="shared" si="533"/>
        <v>1</v>
      </c>
      <c r="AA864" s="162" t="str">
        <f t="shared" si="534"/>
        <v>PRAZNO</v>
      </c>
      <c r="AB864" s="263"/>
    </row>
    <row r="865" spans="1:29" s="174" customFormat="1" ht="15.75" x14ac:dyDescent="0.2">
      <c r="A865" s="259"/>
      <c r="B865" s="172">
        <v>3</v>
      </c>
      <c r="C865" s="172"/>
      <c r="D865" s="172"/>
      <c r="E865" s="172"/>
      <c r="F865" s="172"/>
      <c r="G865" s="172"/>
      <c r="H865" s="14" t="s">
        <v>524</v>
      </c>
      <c r="I865" s="20">
        <f t="shared" ref="I865:L866" si="536">I866</f>
        <v>435853.98</v>
      </c>
      <c r="J865" s="55">
        <f t="shared" si="536"/>
        <v>384932</v>
      </c>
      <c r="K865" s="20">
        <f t="shared" si="536"/>
        <v>350000</v>
      </c>
      <c r="L865" s="20">
        <f t="shared" si="536"/>
        <v>193160.55</v>
      </c>
      <c r="M865" s="20">
        <f>ROUND(L865/K865*100,2)</f>
        <v>55.19</v>
      </c>
      <c r="N865" s="20">
        <f>O865-K865</f>
        <v>56996.880000000005</v>
      </c>
      <c r="O865" s="20">
        <f t="shared" ref="O865:Q866" si="537">O866</f>
        <v>406996.88</v>
      </c>
      <c r="P865" s="20">
        <f t="shared" si="537"/>
        <v>440000</v>
      </c>
      <c r="Q865" s="20">
        <f t="shared" si="537"/>
        <v>137648.06</v>
      </c>
      <c r="R865" s="55">
        <f t="shared" ref="R865:R873" si="538">V865-P865</f>
        <v>300000</v>
      </c>
      <c r="S865" s="20">
        <f t="shared" ref="S865:V866" si="539">S866</f>
        <v>440000</v>
      </c>
      <c r="T865" s="20">
        <f t="shared" si="539"/>
        <v>450000</v>
      </c>
      <c r="U865" s="20">
        <f t="shared" si="539"/>
        <v>470000</v>
      </c>
      <c r="V865" s="55">
        <f t="shared" si="539"/>
        <v>740000</v>
      </c>
      <c r="W865" s="20">
        <f t="shared" si="535"/>
        <v>640000</v>
      </c>
      <c r="X865" s="20">
        <f t="shared" si="535"/>
        <v>640000</v>
      </c>
      <c r="Y865" s="20">
        <f t="shared" si="535"/>
        <v>650000</v>
      </c>
      <c r="Z865" s="162" t="b">
        <f t="shared" si="533"/>
        <v>1</v>
      </c>
      <c r="AA865" s="162" t="str">
        <f t="shared" si="534"/>
        <v>PRAZNO</v>
      </c>
      <c r="AB865" s="173"/>
      <c r="AC865" s="164"/>
    </row>
    <row r="866" spans="1:29" ht="15.75" x14ac:dyDescent="0.2">
      <c r="B866" s="175"/>
      <c r="C866" s="175">
        <v>36</v>
      </c>
      <c r="D866" s="175"/>
      <c r="E866" s="175"/>
      <c r="F866" s="175"/>
      <c r="G866" s="175"/>
      <c r="H866" s="141" t="s">
        <v>751</v>
      </c>
      <c r="I866" s="22">
        <f t="shared" si="536"/>
        <v>435853.98</v>
      </c>
      <c r="J866" s="38">
        <f t="shared" si="536"/>
        <v>384932</v>
      </c>
      <c r="K866" s="22">
        <f t="shared" si="536"/>
        <v>350000</v>
      </c>
      <c r="L866" s="22">
        <f t="shared" si="536"/>
        <v>193160.55</v>
      </c>
      <c r="M866" s="22">
        <f>ROUND(L866/K866*100,2)</f>
        <v>55.19</v>
      </c>
      <c r="N866" s="22">
        <f>O866-K866</f>
        <v>56996.880000000005</v>
      </c>
      <c r="O866" s="22">
        <f t="shared" si="537"/>
        <v>406996.88</v>
      </c>
      <c r="P866" s="22">
        <f t="shared" si="537"/>
        <v>440000</v>
      </c>
      <c r="Q866" s="22">
        <f t="shared" si="537"/>
        <v>137648.06</v>
      </c>
      <c r="R866" s="26">
        <f t="shared" si="538"/>
        <v>300000</v>
      </c>
      <c r="S866" s="22">
        <f t="shared" si="539"/>
        <v>440000</v>
      </c>
      <c r="T866" s="22">
        <f t="shared" si="539"/>
        <v>450000</v>
      </c>
      <c r="U866" s="22">
        <f t="shared" si="539"/>
        <v>470000</v>
      </c>
      <c r="V866" s="38">
        <f t="shared" si="539"/>
        <v>740000</v>
      </c>
      <c r="W866" s="22">
        <f t="shared" si="535"/>
        <v>640000</v>
      </c>
      <c r="X866" s="22">
        <f t="shared" si="535"/>
        <v>640000</v>
      </c>
      <c r="Y866" s="22">
        <f t="shared" si="535"/>
        <v>650000</v>
      </c>
      <c r="Z866" s="162" t="b">
        <f t="shared" si="533"/>
        <v>1</v>
      </c>
      <c r="AA866" s="162" t="str">
        <f t="shared" si="534"/>
        <v>PRAZNO</v>
      </c>
      <c r="AC866" s="164"/>
    </row>
    <row r="867" spans="1:29" ht="15.75" x14ac:dyDescent="0.2">
      <c r="B867" s="177"/>
      <c r="C867" s="177"/>
      <c r="D867" s="177">
        <v>363</v>
      </c>
      <c r="E867" s="177"/>
      <c r="F867" s="177"/>
      <c r="G867" s="177"/>
      <c r="H867" s="16" t="s">
        <v>536</v>
      </c>
      <c r="I867" s="17">
        <f>SUM(I868:I873)</f>
        <v>435853.98</v>
      </c>
      <c r="J867" s="26">
        <f>SUM(J868:J873)</f>
        <v>384932</v>
      </c>
      <c r="K867" s="17">
        <f>SUM(K868:K873)</f>
        <v>350000</v>
      </c>
      <c r="L867" s="17">
        <f>SUM(L868:L873)</f>
        <v>193160.55</v>
      </c>
      <c r="M867" s="17">
        <f>ROUND(L867/K867*100,2)</f>
        <v>55.19</v>
      </c>
      <c r="N867" s="17">
        <f>O867-K867</f>
        <v>56996.880000000005</v>
      </c>
      <c r="O867" s="17">
        <f>SUM(O868:O873)</f>
        <v>406996.88</v>
      </c>
      <c r="P867" s="17">
        <f>SUM(P868:P873)</f>
        <v>440000</v>
      </c>
      <c r="Q867" s="17">
        <f>SUM(Q868:Q873)</f>
        <v>137648.06</v>
      </c>
      <c r="R867" s="26">
        <f t="shared" si="538"/>
        <v>300000</v>
      </c>
      <c r="S867" s="17">
        <f t="shared" ref="S867:Y867" si="540">SUM(S868:S873)</f>
        <v>440000</v>
      </c>
      <c r="T867" s="17">
        <f t="shared" si="540"/>
        <v>450000</v>
      </c>
      <c r="U867" s="17">
        <f t="shared" si="540"/>
        <v>470000</v>
      </c>
      <c r="V867" s="26">
        <f t="shared" si="540"/>
        <v>740000</v>
      </c>
      <c r="W867" s="17">
        <f t="shared" si="540"/>
        <v>640000</v>
      </c>
      <c r="X867" s="17">
        <f t="shared" si="540"/>
        <v>640000</v>
      </c>
      <c r="Y867" s="17">
        <f t="shared" si="540"/>
        <v>650000</v>
      </c>
      <c r="Z867" s="162" t="b">
        <f t="shared" si="533"/>
        <v>1</v>
      </c>
      <c r="AA867" s="162" t="str">
        <f t="shared" si="534"/>
        <v>PRAZNO</v>
      </c>
      <c r="AC867" s="164"/>
    </row>
    <row r="868" spans="1:29" ht="41.25" hidden="1" customHeight="1" x14ac:dyDescent="0.2">
      <c r="B868" s="177"/>
      <c r="C868" s="177"/>
      <c r="D868" s="177"/>
      <c r="E868" s="177">
        <v>3632</v>
      </c>
      <c r="F868" s="176">
        <v>11</v>
      </c>
      <c r="G868" s="176" t="s">
        <v>1040</v>
      </c>
      <c r="H868" s="16" t="s">
        <v>391</v>
      </c>
      <c r="I868" s="18">
        <v>175861.45</v>
      </c>
      <c r="J868" s="214">
        <v>124943.7</v>
      </c>
      <c r="K868" s="215">
        <v>100000</v>
      </c>
      <c r="L868" s="215">
        <v>22000</v>
      </c>
      <c r="M868" s="215">
        <f>ROUND(L868/K868*100,2)</f>
        <v>22</v>
      </c>
      <c r="N868" s="215">
        <f>O868-K868</f>
        <v>-100000</v>
      </c>
      <c r="O868" s="215"/>
      <c r="P868" s="215">
        <v>0</v>
      </c>
      <c r="Q868" s="215">
        <v>0</v>
      </c>
      <c r="R868" s="26">
        <f t="shared" si="538"/>
        <v>0</v>
      </c>
      <c r="S868" s="215">
        <v>0</v>
      </c>
      <c r="T868" s="215">
        <v>200000</v>
      </c>
      <c r="U868" s="215">
        <v>220000</v>
      </c>
      <c r="V868" s="214"/>
      <c r="W868" s="215"/>
      <c r="X868" s="215"/>
      <c r="Y868" s="215"/>
      <c r="Z868" s="162" t="b">
        <f t="shared" si="533"/>
        <v>0</v>
      </c>
      <c r="AA868" s="162" t="str">
        <f t="shared" si="534"/>
        <v>PUNO</v>
      </c>
      <c r="AC868" s="164"/>
    </row>
    <row r="869" spans="1:29" ht="30" hidden="1" x14ac:dyDescent="0.2">
      <c r="B869" s="177"/>
      <c r="C869" s="177"/>
      <c r="D869" s="177"/>
      <c r="E869" s="177">
        <v>3632</v>
      </c>
      <c r="F869" s="176">
        <v>18</v>
      </c>
      <c r="G869" s="176" t="s">
        <v>1040</v>
      </c>
      <c r="H869" s="16" t="s">
        <v>735</v>
      </c>
      <c r="I869" s="18"/>
      <c r="J869" s="214"/>
      <c r="K869" s="215"/>
      <c r="L869" s="215"/>
      <c r="M869" s="215"/>
      <c r="N869" s="215"/>
      <c r="O869" s="215">
        <v>62000</v>
      </c>
      <c r="P869" s="215"/>
      <c r="Q869" s="215"/>
      <c r="R869" s="26">
        <f t="shared" si="538"/>
        <v>0</v>
      </c>
      <c r="S869" s="215"/>
      <c r="T869" s="215"/>
      <c r="U869" s="215"/>
      <c r="V869" s="214"/>
      <c r="W869" s="215"/>
      <c r="X869" s="215"/>
      <c r="Y869" s="215"/>
      <c r="Z869" s="162" t="b">
        <f t="shared" si="533"/>
        <v>0</v>
      </c>
      <c r="AA869" s="162" t="str">
        <f t="shared" si="534"/>
        <v>PUNO</v>
      </c>
      <c r="AC869" s="164"/>
    </row>
    <row r="870" spans="1:29" ht="30" hidden="1" x14ac:dyDescent="0.2">
      <c r="B870" s="177"/>
      <c r="C870" s="177"/>
      <c r="D870" s="177"/>
      <c r="E870" s="177">
        <v>3632</v>
      </c>
      <c r="F870" s="176">
        <v>71</v>
      </c>
      <c r="G870" s="176" t="s">
        <v>1040</v>
      </c>
      <c r="H870" s="16" t="s">
        <v>735</v>
      </c>
      <c r="I870" s="18"/>
      <c r="J870" s="214"/>
      <c r="K870" s="215"/>
      <c r="L870" s="215"/>
      <c r="M870" s="215"/>
      <c r="N870" s="215"/>
      <c r="O870" s="215">
        <v>95000</v>
      </c>
      <c r="P870" s="215"/>
      <c r="Q870" s="215"/>
      <c r="R870" s="26">
        <f t="shared" si="538"/>
        <v>0</v>
      </c>
      <c r="S870" s="215"/>
      <c r="T870" s="215"/>
      <c r="U870" s="215"/>
      <c r="V870" s="214"/>
      <c r="W870" s="215"/>
      <c r="X870" s="215"/>
      <c r="Y870" s="215"/>
      <c r="Z870" s="162" t="b">
        <f t="shared" si="533"/>
        <v>0</v>
      </c>
      <c r="AA870" s="162" t="str">
        <f t="shared" si="534"/>
        <v>PUNO</v>
      </c>
      <c r="AC870" s="164"/>
    </row>
    <row r="871" spans="1:29" ht="30" hidden="1" x14ac:dyDescent="0.2">
      <c r="B871" s="177"/>
      <c r="C871" s="177"/>
      <c r="D871" s="177"/>
      <c r="E871" s="177">
        <v>3632</v>
      </c>
      <c r="F871" s="176">
        <v>71</v>
      </c>
      <c r="G871" s="292" t="s">
        <v>1040</v>
      </c>
      <c r="H871" s="16" t="s">
        <v>725</v>
      </c>
      <c r="I871" s="18"/>
      <c r="J871" s="214"/>
      <c r="K871" s="215"/>
      <c r="L871" s="215"/>
      <c r="M871" s="215"/>
      <c r="N871" s="215"/>
      <c r="O871" s="215">
        <v>236452.88</v>
      </c>
      <c r="P871" s="215"/>
      <c r="Q871" s="215"/>
      <c r="R871" s="26">
        <f t="shared" si="538"/>
        <v>0</v>
      </c>
      <c r="S871" s="215"/>
      <c r="T871" s="215"/>
      <c r="U871" s="215"/>
      <c r="V871" s="214"/>
      <c r="W871" s="215"/>
      <c r="X871" s="215"/>
      <c r="Y871" s="215"/>
      <c r="Z871" s="162" t="b">
        <f t="shared" si="533"/>
        <v>0</v>
      </c>
      <c r="AA871" s="162" t="str">
        <f t="shared" si="534"/>
        <v>PUNO</v>
      </c>
      <c r="AC871" s="164"/>
    </row>
    <row r="872" spans="1:29" ht="30" x14ac:dyDescent="0.2">
      <c r="B872" s="177"/>
      <c r="C872" s="177"/>
      <c r="D872" s="177"/>
      <c r="E872" s="177">
        <v>3632</v>
      </c>
      <c r="F872" s="176">
        <v>11</v>
      </c>
      <c r="G872" s="292"/>
      <c r="H872" s="16" t="s">
        <v>922</v>
      </c>
      <c r="I872" s="18"/>
      <c r="J872" s="214"/>
      <c r="K872" s="215"/>
      <c r="L872" s="215"/>
      <c r="M872" s="215"/>
      <c r="N872" s="215"/>
      <c r="O872" s="215"/>
      <c r="P872" s="215">
        <v>190000</v>
      </c>
      <c r="Q872" s="215">
        <v>8000</v>
      </c>
      <c r="R872" s="26">
        <f t="shared" si="538"/>
        <v>300000</v>
      </c>
      <c r="S872" s="215"/>
      <c r="T872" s="215"/>
      <c r="U872" s="215"/>
      <c r="V872" s="214">
        <f>190000+300000</f>
        <v>490000</v>
      </c>
      <c r="W872" s="214">
        <f>190000+200000</f>
        <v>390000</v>
      </c>
      <c r="X872" s="214">
        <v>390000</v>
      </c>
      <c r="Y872" s="215">
        <v>395000</v>
      </c>
      <c r="Z872" s="162" t="b">
        <f t="shared" si="533"/>
        <v>0</v>
      </c>
      <c r="AA872" s="162" t="str">
        <f t="shared" si="534"/>
        <v>PUNO</v>
      </c>
      <c r="AC872" s="164"/>
    </row>
    <row r="873" spans="1:29" ht="30" x14ac:dyDescent="0.2">
      <c r="B873" s="177"/>
      <c r="C873" s="177"/>
      <c r="D873" s="177"/>
      <c r="E873" s="177">
        <v>3632</v>
      </c>
      <c r="F873" s="176">
        <v>11</v>
      </c>
      <c r="G873" s="176" t="s">
        <v>1040</v>
      </c>
      <c r="H873" s="16" t="s">
        <v>392</v>
      </c>
      <c r="I873" s="18">
        <v>259992.53</v>
      </c>
      <c r="J873" s="27">
        <v>259988.3</v>
      </c>
      <c r="K873" s="18">
        <v>250000</v>
      </c>
      <c r="L873" s="18">
        <v>171160.55</v>
      </c>
      <c r="M873" s="18">
        <f>ROUND(L873/K873*100,2)</f>
        <v>68.459999999999994</v>
      </c>
      <c r="N873" s="18">
        <f>O873-K873</f>
        <v>-236456</v>
      </c>
      <c r="O873" s="18">
        <v>13544</v>
      </c>
      <c r="P873" s="18">
        <v>250000</v>
      </c>
      <c r="Q873" s="18">
        <v>129648.06</v>
      </c>
      <c r="R873" s="26">
        <f t="shared" si="538"/>
        <v>0</v>
      </c>
      <c r="S873" s="18">
        <v>440000</v>
      </c>
      <c r="T873" s="18">
        <v>250000</v>
      </c>
      <c r="U873" s="18">
        <v>250000</v>
      </c>
      <c r="V873" s="27">
        <v>250000</v>
      </c>
      <c r="W873" s="27">
        <v>250000</v>
      </c>
      <c r="X873" s="27">
        <v>250000</v>
      </c>
      <c r="Y873" s="18">
        <v>255000</v>
      </c>
      <c r="Z873" s="162" t="b">
        <f t="shared" si="533"/>
        <v>0</v>
      </c>
      <c r="AA873" s="162" t="str">
        <f t="shared" si="534"/>
        <v>PUNO</v>
      </c>
      <c r="AC873" s="164"/>
    </row>
    <row r="874" spans="1:29" ht="21" customHeight="1" x14ac:dyDescent="0.2">
      <c r="B874" s="223"/>
      <c r="C874" s="223"/>
      <c r="D874" s="223"/>
      <c r="E874" s="223"/>
      <c r="F874" s="224"/>
      <c r="G874" s="224"/>
      <c r="H874" s="225" t="s">
        <v>496</v>
      </c>
      <c r="I874" s="226" t="e">
        <f>I5+I32+I96+I107+I121+I312+I428+I283+I244</f>
        <v>#REF!</v>
      </c>
      <c r="J874" s="226" t="e">
        <f>J5+J32+J96+J107+J121+J312+J428+J283+J244</f>
        <v>#REF!</v>
      </c>
      <c r="K874" s="226" t="e">
        <f>K5+K33+K96+K107+K121+K312+K428+K283+K244</f>
        <v>#REF!</v>
      </c>
      <c r="L874" s="226" t="e">
        <f>L5+L33+L96+L107+L121+L312+L428+L283+L244</f>
        <v>#REF!</v>
      </c>
      <c r="M874" s="226" t="e">
        <f>ROUND(L874/K874*100,2)</f>
        <v>#REF!</v>
      </c>
      <c r="N874" s="226" t="e">
        <f>N5+N33+N96+N107+N121+N312+N428+N283+N244</f>
        <v>#REF!</v>
      </c>
      <c r="O874" s="226" t="e">
        <f>O5+O32+O96+O107+O121+O312+O428+O283+O244</f>
        <v>#REF!</v>
      </c>
      <c r="P874" s="226" t="e">
        <f>P5+P32+P96+P107+P121+P312+P428+P283+P244</f>
        <v>#REF!</v>
      </c>
      <c r="Q874" s="226" t="e">
        <f>Q5+Q32+Q96+Q107+Q121+Q312+Q428+Q283+Q244</f>
        <v>#REF!</v>
      </c>
      <c r="R874" s="307" t="e">
        <f>V874-P874</f>
        <v>#REF!</v>
      </c>
      <c r="S874" s="226" t="e">
        <f t="shared" ref="S874:Y874" si="541">S5+S32+S96+S107+S121+S312+S428+S283+S244</f>
        <v>#REF!</v>
      </c>
      <c r="T874" s="226" t="e">
        <f t="shared" si="541"/>
        <v>#REF!</v>
      </c>
      <c r="U874" s="226" t="e">
        <f t="shared" si="541"/>
        <v>#REF!</v>
      </c>
      <c r="V874" s="226" t="e">
        <f t="shared" si="541"/>
        <v>#REF!</v>
      </c>
      <c r="W874" s="226">
        <f t="shared" si="541"/>
        <v>35333115</v>
      </c>
      <c r="X874" s="226">
        <f t="shared" si="541"/>
        <v>25188178</v>
      </c>
      <c r="Y874" s="226">
        <f t="shared" si="541"/>
        <v>24755625</v>
      </c>
      <c r="Z874" s="162" t="b">
        <f t="shared" ref="Z874:Z880" si="542">ISBLANK(E874)</f>
        <v>1</v>
      </c>
      <c r="AA874" s="162" t="str">
        <f t="shared" ref="AA874:AA880" si="543">IF(Z874,"PRAZNO","PUNO")</f>
        <v>PRAZNO</v>
      </c>
      <c r="AC874" s="164"/>
    </row>
    <row r="875" spans="1:29" ht="22.5" customHeight="1" x14ac:dyDescent="0.25">
      <c r="B875" s="223"/>
      <c r="C875" s="223"/>
      <c r="D875" s="223"/>
      <c r="E875" s="223"/>
      <c r="F875" s="223"/>
      <c r="G875" s="224"/>
      <c r="H875" s="225" t="s">
        <v>497</v>
      </c>
      <c r="I875" s="227">
        <f t="shared" ref="I875:Q875" si="544">SUMIF($AA$5:$AA$873,"PUNO",I5:I873)</f>
        <v>40270213.000000007</v>
      </c>
      <c r="J875" s="227">
        <f t="shared" si="544"/>
        <v>38646626.650000013</v>
      </c>
      <c r="K875" s="228">
        <f t="shared" si="544"/>
        <v>29320857</v>
      </c>
      <c r="L875" s="228">
        <f t="shared" si="544"/>
        <v>11932990.740000002</v>
      </c>
      <c r="M875" s="228" t="e">
        <f t="shared" si="544"/>
        <v>#DIV/0!</v>
      </c>
      <c r="N875" s="228">
        <f t="shared" si="544"/>
        <v>-5085896.4300000006</v>
      </c>
      <c r="O875" s="227">
        <f t="shared" si="544"/>
        <v>25878592.669999998</v>
      </c>
      <c r="P875" s="227">
        <f t="shared" si="544"/>
        <v>30675825</v>
      </c>
      <c r="Q875" s="227">
        <f t="shared" si="544"/>
        <v>7224334.6699999981</v>
      </c>
      <c r="R875" s="415">
        <f>V875-P875</f>
        <v>5935285</v>
      </c>
      <c r="S875" s="227">
        <f t="shared" ref="S875:Y875" si="545">SUMIF($AA$5:$AA$873,"PUNO",S5:S873)</f>
        <v>34325845</v>
      </c>
      <c r="T875" s="227">
        <f t="shared" si="545"/>
        <v>27984000</v>
      </c>
      <c r="U875" s="227">
        <f t="shared" si="545"/>
        <v>29293300</v>
      </c>
      <c r="V875" s="345">
        <f t="shared" si="545"/>
        <v>36611110</v>
      </c>
      <c r="W875" s="227">
        <f t="shared" si="545"/>
        <v>35333115</v>
      </c>
      <c r="X875" s="227">
        <f t="shared" si="545"/>
        <v>25188178</v>
      </c>
      <c r="Y875" s="227">
        <f t="shared" si="545"/>
        <v>24755625</v>
      </c>
      <c r="Z875" s="162" t="b">
        <f t="shared" si="542"/>
        <v>1</v>
      </c>
      <c r="AA875" s="162" t="str">
        <f t="shared" si="543"/>
        <v>PRAZNO</v>
      </c>
      <c r="AB875" s="198"/>
      <c r="AC875" s="164"/>
    </row>
    <row r="876" spans="1:29" ht="22.5" customHeight="1" x14ac:dyDescent="0.2">
      <c r="B876" s="142"/>
      <c r="C876" s="142"/>
      <c r="D876" s="142"/>
      <c r="E876" s="142"/>
      <c r="F876" s="143"/>
      <c r="G876" s="143"/>
      <c r="H876" s="142"/>
      <c r="I876" s="229" t="e">
        <f>I874-I875</f>
        <v>#REF!</v>
      </c>
      <c r="J876" s="230" t="e">
        <f>J874-J875</f>
        <v>#REF!</v>
      </c>
      <c r="K876" s="229" t="e">
        <f>K874-K875</f>
        <v>#REF!</v>
      </c>
      <c r="L876" s="229" t="e">
        <f>L874-L875</f>
        <v>#REF!</v>
      </c>
      <c r="M876" s="229" t="e">
        <f>M874-M875</f>
        <v>#REF!</v>
      </c>
      <c r="N876" s="229"/>
      <c r="O876" s="229" t="e">
        <f>O874-O875</f>
        <v>#REF!</v>
      </c>
      <c r="P876" s="229" t="e">
        <f>P874-P875</f>
        <v>#REF!</v>
      </c>
      <c r="Q876" s="229" t="e">
        <f>Q874-Q875</f>
        <v>#REF!</v>
      </c>
      <c r="R876" s="230" t="e">
        <f>V876-P876</f>
        <v>#REF!</v>
      </c>
      <c r="S876" s="229" t="e">
        <f t="shared" ref="S876:Y876" si="546">S874-S875</f>
        <v>#REF!</v>
      </c>
      <c r="T876" s="229" t="e">
        <f t="shared" si="546"/>
        <v>#REF!</v>
      </c>
      <c r="U876" s="229" t="e">
        <f t="shared" si="546"/>
        <v>#REF!</v>
      </c>
      <c r="V876" s="230" t="e">
        <f t="shared" si="546"/>
        <v>#REF!</v>
      </c>
      <c r="W876" s="229">
        <f t="shared" si="546"/>
        <v>0</v>
      </c>
      <c r="X876" s="229">
        <f t="shared" si="546"/>
        <v>0</v>
      </c>
      <c r="Y876" s="229">
        <f t="shared" si="546"/>
        <v>0</v>
      </c>
      <c r="Z876" s="162" t="b">
        <f t="shared" si="542"/>
        <v>1</v>
      </c>
      <c r="AA876" s="162" t="str">
        <f t="shared" si="543"/>
        <v>PRAZNO</v>
      </c>
      <c r="AB876" s="198"/>
    </row>
    <row r="877" spans="1:29" ht="15.75" x14ac:dyDescent="0.2">
      <c r="B877" s="231"/>
      <c r="C877" s="231"/>
      <c r="D877" s="231"/>
      <c r="E877" s="231"/>
      <c r="F877" s="232"/>
      <c r="G877" s="232"/>
      <c r="H877" s="231"/>
      <c r="I877" s="233"/>
      <c r="J877" s="234"/>
      <c r="K877" s="235"/>
      <c r="L877" s="235"/>
      <c r="M877" s="235"/>
      <c r="N877" s="235"/>
      <c r="O877" s="235"/>
      <c r="P877" s="236"/>
      <c r="Q877" s="236"/>
      <c r="R877" s="346"/>
      <c r="S877" s="236"/>
      <c r="T877" s="236"/>
      <c r="U877" s="236"/>
      <c r="V877" s="346"/>
      <c r="W877" s="236"/>
      <c r="X877" s="236"/>
      <c r="Y877" s="236"/>
      <c r="Z877" s="162" t="b">
        <f t="shared" si="542"/>
        <v>1</v>
      </c>
      <c r="AA877" s="162" t="str">
        <f t="shared" si="543"/>
        <v>PRAZNO</v>
      </c>
      <c r="AB877" s="146"/>
    </row>
    <row r="878" spans="1:29" ht="24.75" hidden="1" customHeight="1" x14ac:dyDescent="0.2">
      <c r="B878" s="772" t="s">
        <v>834</v>
      </c>
      <c r="C878" s="772"/>
      <c r="D878" s="772"/>
      <c r="E878" s="772"/>
      <c r="F878" s="772"/>
      <c r="G878" s="772"/>
      <c r="H878" s="772"/>
      <c r="I878" s="772"/>
      <c r="J878" s="772"/>
      <c r="K878" s="772"/>
      <c r="L878" s="772"/>
      <c r="M878" s="772"/>
      <c r="N878" s="772"/>
      <c r="O878" s="772"/>
      <c r="P878" s="772"/>
      <c r="Q878" s="772"/>
      <c r="R878" s="772"/>
      <c r="S878" s="772"/>
      <c r="T878" s="772"/>
      <c r="U878" s="772"/>
      <c r="V878" s="772"/>
      <c r="W878" s="772"/>
      <c r="X878" s="772"/>
      <c r="Y878" s="772"/>
      <c r="Z878" s="162" t="b">
        <f t="shared" si="542"/>
        <v>1</v>
      </c>
      <c r="AA878" s="162" t="str">
        <f t="shared" si="543"/>
        <v>PRAZNO</v>
      </c>
      <c r="AB878" s="146"/>
    </row>
    <row r="879" spans="1:29" ht="36.75" hidden="1" customHeight="1" x14ac:dyDescent="0.2">
      <c r="B879" s="773" t="s">
        <v>295</v>
      </c>
      <c r="C879" s="773"/>
      <c r="D879" s="773"/>
      <c r="E879" s="773"/>
      <c r="F879" s="773"/>
      <c r="G879" s="773"/>
      <c r="H879" s="773"/>
      <c r="I879" s="773"/>
      <c r="J879" s="773"/>
      <c r="K879" s="773"/>
      <c r="L879" s="773"/>
      <c r="M879" s="773"/>
      <c r="N879" s="773"/>
      <c r="O879" s="773"/>
      <c r="P879" s="773"/>
      <c r="Q879" s="773"/>
      <c r="R879" s="773"/>
      <c r="S879" s="773"/>
      <c r="T879" s="773"/>
      <c r="U879" s="773"/>
      <c r="V879" s="773"/>
      <c r="W879" s="773"/>
      <c r="X879" s="773"/>
      <c r="Y879" s="773"/>
      <c r="Z879" s="162" t="b">
        <f t="shared" si="542"/>
        <v>1</v>
      </c>
      <c r="AA879" s="162" t="str">
        <f t="shared" si="543"/>
        <v>PRAZNO</v>
      </c>
      <c r="AB879" s="146"/>
    </row>
    <row r="880" spans="1:29" ht="11.25" hidden="1" customHeight="1" x14ac:dyDescent="0.2">
      <c r="B880" s="772"/>
      <c r="C880" s="772"/>
      <c r="D880" s="772"/>
      <c r="E880" s="772"/>
      <c r="F880" s="772"/>
      <c r="G880" s="772"/>
      <c r="H880" s="772"/>
      <c r="I880" s="772"/>
      <c r="J880" s="49"/>
      <c r="K880" s="48"/>
      <c r="L880" s="48"/>
      <c r="M880" s="48"/>
      <c r="N880" s="48"/>
      <c r="O880" s="48"/>
      <c r="P880" s="50"/>
      <c r="Q880" s="50"/>
      <c r="R880" s="347"/>
      <c r="S880" s="50"/>
      <c r="T880" s="50"/>
      <c r="U880" s="50"/>
      <c r="V880" s="347"/>
      <c r="W880" s="50"/>
      <c r="X880" s="50"/>
      <c r="Y880" s="50"/>
      <c r="Z880" s="162" t="b">
        <f t="shared" si="542"/>
        <v>1</v>
      </c>
      <c r="AA880" s="162" t="str">
        <f t="shared" si="543"/>
        <v>PRAZNO</v>
      </c>
      <c r="AB880" s="146"/>
    </row>
    <row r="881" spans="1:28" ht="28.5" hidden="1" customHeight="1" x14ac:dyDescent="0.2">
      <c r="B881" s="772" t="s">
        <v>297</v>
      </c>
      <c r="C881" s="772"/>
      <c r="D881" s="772"/>
      <c r="E881" s="772"/>
      <c r="F881" s="772"/>
      <c r="G881" s="772"/>
      <c r="H881" s="772"/>
      <c r="I881" s="772"/>
      <c r="J881" s="772"/>
      <c r="K881" s="772"/>
      <c r="L881" s="772"/>
      <c r="M881" s="772"/>
      <c r="N881" s="772"/>
      <c r="O881" s="772"/>
      <c r="P881" s="772"/>
      <c r="Q881" s="772"/>
      <c r="R881" s="772"/>
      <c r="S881" s="772"/>
      <c r="T881" s="772"/>
      <c r="U881" s="772"/>
      <c r="V881" s="772"/>
      <c r="W881" s="772"/>
      <c r="X881" s="772"/>
      <c r="Y881" s="772"/>
      <c r="Z881" s="162"/>
      <c r="AA881" s="162"/>
      <c r="AB881" s="146"/>
    </row>
    <row r="882" spans="1:28" ht="23.25" hidden="1" customHeight="1" x14ac:dyDescent="0.2">
      <c r="B882" s="784" t="s">
        <v>296</v>
      </c>
      <c r="C882" s="784"/>
      <c r="D882" s="784"/>
      <c r="E882" s="784"/>
      <c r="F882" s="784"/>
      <c r="G882" s="784"/>
      <c r="H882" s="784"/>
      <c r="I882" s="784"/>
      <c r="J882" s="784"/>
      <c r="K882" s="784"/>
      <c r="L882" s="784"/>
      <c r="M882" s="784"/>
      <c r="N882" s="784"/>
      <c r="O882" s="784"/>
      <c r="P882" s="784"/>
      <c r="Q882" s="784"/>
      <c r="R882" s="784"/>
      <c r="S882" s="784"/>
      <c r="T882" s="784"/>
      <c r="U882" s="784"/>
      <c r="V882" s="784"/>
      <c r="W882" s="784"/>
      <c r="X882" s="784"/>
      <c r="Y882" s="784"/>
      <c r="Z882" s="162" t="b">
        <f>ISBLANK(E882)</f>
        <v>1</v>
      </c>
      <c r="AA882" s="162" t="str">
        <f>IF(Z882,"PRAZNO","PUNO")</f>
        <v>PRAZNO</v>
      </c>
      <c r="AB882" s="146"/>
    </row>
    <row r="883" spans="1:28" ht="23.25" hidden="1" customHeight="1" x14ac:dyDescent="0.2">
      <c r="B883" s="479"/>
      <c r="C883" s="479"/>
      <c r="D883" s="479"/>
      <c r="E883" s="479"/>
      <c r="F883" s="479"/>
      <c r="G883" s="479"/>
      <c r="H883" s="479"/>
      <c r="I883" s="479"/>
      <c r="J883" s="479"/>
      <c r="K883" s="479"/>
      <c r="L883" s="479"/>
      <c r="M883" s="479"/>
      <c r="N883" s="479"/>
      <c r="O883" s="479"/>
      <c r="P883" s="479"/>
      <c r="Q883" s="479"/>
      <c r="R883" s="479"/>
      <c r="S883" s="479"/>
      <c r="T883" s="479"/>
      <c r="U883" s="479"/>
      <c r="V883" s="479"/>
      <c r="W883" s="479"/>
      <c r="X883" s="479"/>
      <c r="Y883" s="479"/>
      <c r="Z883" s="162"/>
      <c r="AA883" s="162"/>
      <c r="AB883" s="146"/>
    </row>
    <row r="884" spans="1:28" ht="18.75" customHeight="1" x14ac:dyDescent="0.2">
      <c r="B884" s="774" t="s">
        <v>502</v>
      </c>
      <c r="C884" s="774"/>
      <c r="D884" s="774"/>
      <c r="E884" s="774"/>
      <c r="F884" s="774"/>
      <c r="G884" s="774"/>
      <c r="H884" s="774"/>
      <c r="I884" s="774"/>
      <c r="J884" s="774"/>
      <c r="K884" s="774"/>
      <c r="L884" s="774"/>
      <c r="M884" s="774"/>
      <c r="N884" s="774"/>
      <c r="O884" s="774"/>
      <c r="P884" s="774"/>
      <c r="Q884" s="774"/>
      <c r="R884" s="774"/>
      <c r="S884" s="774"/>
      <c r="T884" s="774"/>
      <c r="U884" s="774"/>
      <c r="V884" s="774"/>
      <c r="W884" s="774"/>
      <c r="X884" s="774"/>
      <c r="Y884" s="774"/>
      <c r="Z884" s="162" t="b">
        <f>ISBLANK(E884)</f>
        <v>1</v>
      </c>
      <c r="AA884" s="162" t="str">
        <f t="shared" ref="AA884:AA912" si="547">IF(Z884,"PRAZNO","PUNO")</f>
        <v>PRAZNO</v>
      </c>
      <c r="AB884" s="146"/>
    </row>
    <row r="885" spans="1:28" ht="14.25" customHeight="1" x14ac:dyDescent="0.2">
      <c r="A885" s="431"/>
      <c r="B885" s="772" t="s">
        <v>503</v>
      </c>
      <c r="C885" s="772"/>
      <c r="D885" s="772"/>
      <c r="E885" s="772"/>
      <c r="F885" s="772"/>
      <c r="G885" s="772"/>
      <c r="H885" s="772"/>
      <c r="I885" s="772"/>
      <c r="J885" s="772"/>
      <c r="K885" s="772"/>
      <c r="L885" s="772"/>
      <c r="M885" s="772"/>
      <c r="N885" s="772"/>
      <c r="O885" s="772"/>
      <c r="P885" s="772"/>
      <c r="Q885" s="772"/>
      <c r="R885" s="772"/>
      <c r="S885" s="772"/>
      <c r="T885" s="772"/>
      <c r="U885" s="772"/>
      <c r="V885" s="772"/>
      <c r="W885" s="772"/>
      <c r="X885" s="772"/>
      <c r="Y885" s="772"/>
      <c r="Z885" s="162" t="b">
        <f>ISBLANK(E885)</f>
        <v>1</v>
      </c>
      <c r="AA885" s="162" t="str">
        <f t="shared" si="547"/>
        <v>PRAZNO</v>
      </c>
      <c r="AB885" s="146"/>
    </row>
    <row r="886" spans="1:28" ht="14.25" customHeight="1" x14ac:dyDescent="0.2">
      <c r="B886" s="238" t="s">
        <v>881</v>
      </c>
      <c r="H886" s="239"/>
      <c r="W886" s="783" t="s">
        <v>835</v>
      </c>
      <c r="X886" s="783"/>
      <c r="Y886" s="783"/>
      <c r="Z886" s="162" t="b">
        <f>ISBLANK(E886)</f>
        <v>1</v>
      </c>
      <c r="AA886" s="162" t="str">
        <f t="shared" si="547"/>
        <v>PRAZNO</v>
      </c>
      <c r="AB886" s="146"/>
    </row>
    <row r="887" spans="1:28" ht="15.75" x14ac:dyDescent="0.2">
      <c r="B887" s="146" t="s">
        <v>882</v>
      </c>
      <c r="H887" s="239"/>
      <c r="J887" s="51"/>
      <c r="K887" s="240"/>
      <c r="L887" s="240"/>
      <c r="M887" s="240"/>
      <c r="N887" s="240"/>
      <c r="O887" s="240"/>
      <c r="P887" s="241"/>
      <c r="Q887" s="217" t="s">
        <v>969</v>
      </c>
      <c r="R887" s="349"/>
      <c r="S887" s="241"/>
      <c r="T887" s="241"/>
      <c r="U887" s="241"/>
      <c r="V887" s="349"/>
      <c r="W887" s="785" t="s">
        <v>266</v>
      </c>
      <c r="X887" s="785"/>
      <c r="Y887" s="785"/>
      <c r="Z887" s="162" t="b">
        <f>ISBLANK(E887)</f>
        <v>1</v>
      </c>
      <c r="AA887" s="162" t="str">
        <f t="shared" si="547"/>
        <v>PRAZNO</v>
      </c>
      <c r="AB887" s="146"/>
    </row>
    <row r="888" spans="1:28" ht="15.75" x14ac:dyDescent="0.2">
      <c r="B888" s="52" t="s">
        <v>1033</v>
      </c>
      <c r="H888" s="239"/>
      <c r="J888" s="51"/>
      <c r="K888" s="240"/>
      <c r="L888" s="240"/>
      <c r="M888" s="240"/>
      <c r="N888" s="240" t="s">
        <v>433</v>
      </c>
      <c r="O888" s="240"/>
      <c r="P888" s="241"/>
      <c r="Q888" s="770" t="s">
        <v>266</v>
      </c>
      <c r="R888" s="770"/>
      <c r="S888" s="241"/>
      <c r="T888" s="241" t="s">
        <v>835</v>
      </c>
      <c r="U888" s="241"/>
      <c r="V888" s="349"/>
      <c r="W888" s="241"/>
      <c r="X888" s="241"/>
      <c r="Y888" s="241"/>
      <c r="Z888" s="162" t="b">
        <f>ISBLANK(E888)</f>
        <v>1</v>
      </c>
      <c r="AA888" s="162" t="str">
        <f t="shared" si="547"/>
        <v>PRAZNO</v>
      </c>
      <c r="AB888" s="146"/>
    </row>
    <row r="889" spans="1:28" ht="15.75" x14ac:dyDescent="0.2">
      <c r="H889" s="7"/>
      <c r="AA889" s="162" t="str">
        <f t="shared" si="547"/>
        <v>PUNO</v>
      </c>
    </row>
    <row r="890" spans="1:28" ht="15.75" x14ac:dyDescent="0.2">
      <c r="H890" s="7"/>
      <c r="Q890" s="294"/>
      <c r="AA890" s="162" t="str">
        <f t="shared" si="547"/>
        <v>PUNO</v>
      </c>
    </row>
    <row r="891" spans="1:28" ht="15.75" x14ac:dyDescent="0.2">
      <c r="H891" s="7"/>
      <c r="AA891" s="162" t="str">
        <f t="shared" si="547"/>
        <v>PUNO</v>
      </c>
    </row>
    <row r="892" spans="1:28" ht="15.75" x14ac:dyDescent="0.2">
      <c r="H892" s="7"/>
      <c r="AA892" s="162" t="str">
        <f t="shared" si="547"/>
        <v>PUNO</v>
      </c>
    </row>
    <row r="893" spans="1:28" ht="15.75" x14ac:dyDescent="0.2">
      <c r="H893" s="7"/>
      <c r="AA893" s="162" t="str">
        <f t="shared" si="547"/>
        <v>PUNO</v>
      </c>
    </row>
    <row r="894" spans="1:28" ht="15.75" x14ac:dyDescent="0.2">
      <c r="H894" s="7"/>
      <c r="AA894" s="162" t="str">
        <f t="shared" si="547"/>
        <v>PUNO</v>
      </c>
    </row>
    <row r="895" spans="1:28" ht="15.75" x14ac:dyDescent="0.2">
      <c r="H895" s="7"/>
      <c r="AA895" s="162" t="str">
        <f t="shared" si="547"/>
        <v>PUNO</v>
      </c>
    </row>
    <row r="896" spans="1:28" ht="15.75" x14ac:dyDescent="0.2">
      <c r="H896" s="7"/>
      <c r="AA896" s="162" t="str">
        <f t="shared" si="547"/>
        <v>PUNO</v>
      </c>
    </row>
    <row r="897" spans="8:27" ht="15.75" x14ac:dyDescent="0.2">
      <c r="H897" s="7"/>
      <c r="AA897" s="162" t="str">
        <f t="shared" si="547"/>
        <v>PUNO</v>
      </c>
    </row>
    <row r="898" spans="8:27" ht="15.75" x14ac:dyDescent="0.2">
      <c r="H898" s="7"/>
      <c r="AA898" s="162" t="str">
        <f t="shared" si="547"/>
        <v>PUNO</v>
      </c>
    </row>
    <row r="899" spans="8:27" ht="15.75" x14ac:dyDescent="0.2">
      <c r="H899" s="7"/>
      <c r="AA899" s="162" t="str">
        <f t="shared" si="547"/>
        <v>PUNO</v>
      </c>
    </row>
    <row r="900" spans="8:27" ht="15.75" x14ac:dyDescent="0.2">
      <c r="AA900" s="162" t="str">
        <f t="shared" si="547"/>
        <v>PUNO</v>
      </c>
    </row>
    <row r="901" spans="8:27" ht="15.75" x14ac:dyDescent="0.2">
      <c r="AA901" s="162" t="str">
        <f t="shared" si="547"/>
        <v>PUNO</v>
      </c>
    </row>
    <row r="902" spans="8:27" ht="15.75" x14ac:dyDescent="0.2">
      <c r="AA902" s="162" t="str">
        <f t="shared" si="547"/>
        <v>PUNO</v>
      </c>
    </row>
    <row r="903" spans="8:27" ht="15.75" x14ac:dyDescent="0.2">
      <c r="AA903" s="162" t="str">
        <f t="shared" si="547"/>
        <v>PUNO</v>
      </c>
    </row>
    <row r="904" spans="8:27" ht="15.75" x14ac:dyDescent="0.2">
      <c r="AA904" s="162" t="str">
        <f t="shared" si="547"/>
        <v>PUNO</v>
      </c>
    </row>
    <row r="905" spans="8:27" ht="15.75" x14ac:dyDescent="0.2">
      <c r="AA905" s="162" t="str">
        <f t="shared" si="547"/>
        <v>PUNO</v>
      </c>
    </row>
    <row r="906" spans="8:27" ht="15.75" x14ac:dyDescent="0.2">
      <c r="AA906" s="162" t="str">
        <f t="shared" si="547"/>
        <v>PUNO</v>
      </c>
    </row>
    <row r="907" spans="8:27" ht="15.75" x14ac:dyDescent="0.2">
      <c r="AA907" s="162" t="str">
        <f t="shared" si="547"/>
        <v>PUNO</v>
      </c>
    </row>
    <row r="908" spans="8:27" ht="15.75" x14ac:dyDescent="0.2">
      <c r="AA908" s="162" t="str">
        <f t="shared" si="547"/>
        <v>PUNO</v>
      </c>
    </row>
    <row r="909" spans="8:27" ht="15.75" x14ac:dyDescent="0.2">
      <c r="AA909" s="162" t="str">
        <f t="shared" si="547"/>
        <v>PUNO</v>
      </c>
    </row>
    <row r="910" spans="8:27" ht="15.75" x14ac:dyDescent="0.2">
      <c r="AA910" s="162" t="str">
        <f t="shared" si="547"/>
        <v>PUNO</v>
      </c>
    </row>
    <row r="911" spans="8:27" ht="15.75" x14ac:dyDescent="0.2">
      <c r="AA911" s="162" t="str">
        <f t="shared" si="547"/>
        <v>PUNO</v>
      </c>
    </row>
    <row r="912" spans="8:27" ht="15.75" x14ac:dyDescent="0.2">
      <c r="AA912" s="162" t="str">
        <f t="shared" si="547"/>
        <v>PUNO</v>
      </c>
    </row>
  </sheetData>
  <autoFilter ref="B3:AB879"/>
  <dataConsolidate/>
  <mergeCells count="11">
    <mergeCell ref="B1:I1"/>
    <mergeCell ref="B880:I880"/>
    <mergeCell ref="B879:Y879"/>
    <mergeCell ref="B878:Y878"/>
    <mergeCell ref="Q888:R888"/>
    <mergeCell ref="B882:Y882"/>
    <mergeCell ref="B881:Y881"/>
    <mergeCell ref="B884:Y884"/>
    <mergeCell ref="B885:Y885"/>
    <mergeCell ref="W886:Y886"/>
    <mergeCell ref="W887:Y887"/>
  </mergeCells>
  <phoneticPr fontId="0" type="noConversion"/>
  <dataValidations count="1">
    <dataValidation type="whole" allowBlank="1" showErrorMessage="1" errorTitle="Neispravan unos" error="Unijeti cijelobrojnu vrijednost" promptTitle="Upozorenje !" prompt="Unešena je nedozvoljena vrijednost u polje" sqref="F818:F820 G812:G820 F812:F815 F863:G867 F874:G875 F853:G855 F858:G861 F778:F780 F802:G805 B458:E875 F760:G761 F660:F661 F653:G656 F612:G615 F592:G595 F597:G597 F589:G589 F586:G586 F605:G609 F599:G603 F631:G635 F625:G629 F549:G551 F529:G532 F534:G537 F471:F472 F453:G456 F443:F446 G443:G448 F424:G426 F428:G436 F438:G442 F497:G501 F495:G495 F489:G493 F510:G510 F512:G512 F484:G486 F479:G481 F464:G467 G470:G472 F522:G522 F561:G565 F571:G575 G659:G661 F541:G544 G731:G736 F736 F699:G703 F706:G707 F717:G721 F709:G713 F729:G729 F727:G727 F731:F734 F751:G754 F739:G743 F771:G775 G776:G782 F411:F415 G411:G418 F417:F418 F406:G410 F297:G298 F293:G294 F312:G320 F323:G333 F351:G351 F355:G356 F353:G353 F358:G362 F364:G365 F335:G342 F281:G281 B281:C282 D282 F283:G291 B283:D457 F244:G252 F255:G261 G224:G241 F121:G129 F119:G119 F96:G104 F107:G114 F131:G138 F44:G45 F5:G9 F28:G30 F19:G24 F11:G11 E10:E457 F33:G40 F72:G80 F218:G222 G216:G217 F209:G214 F196:G200 F183:G189 F178:G179 F167:G168 F170:G174 F158:G162 F153:G156 F141:G145 G203 F238:F241 B5:D280">
      <formula1>0</formula1>
      <formula2>9999</formula2>
    </dataValidation>
  </dataValidations>
  <printOptions horizontalCentered="1"/>
  <pageMargins left="0.19685039370078741" right="0.19685039370078741" top="0.59055118110236227" bottom="0.59055118110236227" header="0.35433070866141736" footer="0"/>
  <pageSetup paperSize="9" scale="65" orientation="portrait" r:id="rId1"/>
  <headerFooter alignWithMargins="0"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PRVA STRANA</vt:lpstr>
      <vt:lpstr>BILANCA PO IZVORIMA</vt:lpstr>
      <vt:lpstr>funkcijska</vt:lpstr>
      <vt:lpstr>OŠ I SŠ T I K izvor 55 staro</vt:lpstr>
      <vt:lpstr>Posebni dio 2013. arhiva</vt:lpstr>
      <vt:lpstr>PLAN RAZVOJNIH PROGRAMA</vt:lpstr>
      <vt:lpstr>'BILANCA PO IZVORIMA'!Print_Area</vt:lpstr>
      <vt:lpstr>funkcijska!Print_Area</vt:lpstr>
      <vt:lpstr>'Posebni dio 2013. arhiva'!Print_Area</vt:lpstr>
      <vt:lpstr>'PRVA STRANA'!Print_Area</vt:lpstr>
      <vt:lpstr>'BILANCA PO IZVORIMA'!Print_Titles</vt:lpstr>
      <vt:lpstr>'PLAN RAZVOJNIH PROGRAMA'!Print_Titles</vt:lpstr>
      <vt:lpstr>'Posebni dio 2013. arhiva'!Print_Titles</vt:lpstr>
    </vt:vector>
  </TitlesOfParts>
  <Company>kkz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kkz</dc:creator>
  <cp:lastModifiedBy>Sanja</cp:lastModifiedBy>
  <cp:lastPrinted>2018-06-20T15:34:32Z</cp:lastPrinted>
  <dcterms:created xsi:type="dcterms:W3CDTF">2011-08-12T07:39:30Z</dcterms:created>
  <dcterms:modified xsi:type="dcterms:W3CDTF">2018-11-21T14:53:47Z</dcterms:modified>
</cp:coreProperties>
</file>